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21096" windowHeight="9912"/>
  </bookViews>
  <sheets>
    <sheet name="Change Log" sheetId="1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g">#REF!</definedName>
    <definedName name="\m">#REF!</definedName>
    <definedName name="\t">#REF!</definedName>
    <definedName name="\Y">#REF!</definedName>
    <definedName name="_">#REF!</definedName>
    <definedName name="____cd52">#REF!</definedName>
    <definedName name="____cd53">#REF!</definedName>
    <definedName name="____cd54">#REF!</definedName>
    <definedName name="___A4" hidden="1">{#N/A,#N/A,FALSE,"India - 3f";#N/A,#N/A,FALSE,"India - 3";#N/A,#N/A,FALSE,"India - 4f";#N/A,#N/A,FALSE,"India - 4";#N/A,#N/A,FALSE,"Retail Spider"}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hidden="1">{#N/A,#N/A,FALSE,"Profit Status";#N/A,#N/A,FALSE,"Invest";#N/A,#N/A,FALSE,"Revenue";#N/A,#N/A,FALSE,"Variable Cost";#N/A,#N/A,FALSE,"Options &amp; Series"}</definedName>
    <definedName name="___AS1" hidden="1">{#N/A,#N/A,FALSE,"India - 3f";#N/A,#N/A,FALSE,"India - 3";#N/A,#N/A,FALSE,"India - 4f";#N/A,#N/A,FALSE,"India - 4";#N/A,#N/A,FALSE,"Retail Spider"}</definedName>
    <definedName name="___Att1" hidden="1">{#VALUE!,#N/A,FALSE,0;#N/A,#N/A,FALSE,0;#N/A,#N/A,FALSE,0;#N/A,#N/A,FALSE,0}</definedName>
    <definedName name="___att2">#REF!</definedName>
    <definedName name="___att3">#REF!</definedName>
    <definedName name="___att4">#REF!</definedName>
    <definedName name="___b2" hidden="1">{#VALUE!,#N/A,FALSE,0;#N/A,#N/A,FALSE,0;#N/A,#N/A,FALSE,0;#N/A,#N/A,FALSE,0}</definedName>
    <definedName name="___ba1" hidden="1">{"Fiesta Facer Page",#N/A,FALSE,"Q_C_S";"Fiesta Main Page",#N/A,FALSE,"V_L";"Fiesta 95BP Struct",#N/A,FALSE,"StructBP";"Fiesta Post 95BP Struct",#N/A,FALSE,"AdjStructBP"}</definedName>
    <definedName name="___bjw1" hidden="1">{#N/A,#N/A,FALSE,"Profit Status";#N/A,#N/A,FALSE,"Invest";#N/A,#N/A,FALSE,"Revenue";#N/A,#N/A,FALSE,"Variable Cost";#N/A,#N/A,FALSE,"Options &amp; Series"}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C1952" hidden="1">{#N/A,#N/A,FALSE,"Cover";#N/A,#N/A,FALSE,"VarCost Graph";#N/A,#N/A,FALSE,"VarCost Sum";#N/A,#N/A,FALSE,"Roadmap_Sum";#N/A,#N/A,FALSE,"VarCost";#N/A,#N/A,FALSE,"i-to-i, 06-01-98 [All_CMs]";#N/A,#N/A,FALSE,"VarCost I-2-I"}</definedName>
    <definedName name="___cd52">#REF!</definedName>
    <definedName name="___cd53">#REF!</definedName>
    <definedName name="___cd54">#REF!</definedName>
    <definedName name="___d2" hidden="1">{#VALUE!,#N/A,FALSE,0;#N/A,#N/A,FALSE,0;#N/A,#N/A,FALSE,0;#N/A,#N/A,FALSE,0}</definedName>
    <definedName name="___D258" hidden="1">{"Presentation",#N/A,FALSE,"Feb96 - ALL"}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fr2" hidden="1">{#N/A,#N/A,FALSE,"Profit Status";#N/A,#N/A,FALSE,"Invest";#N/A,#N/A,FALSE,"Revenue";#N/A,#N/A,FALSE,"Variable Cost";#N/A,#N/A,FALSE,"Options &amp; Series"}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MAC5" hidden="1">{"salaried",#N/A,FALSE,"VLD View (2)"}</definedName>
    <definedName name="___MMT6" hidden="1">{"REVISED",#N/A,FALSE,"Sheet1"}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F1">#REF!</definedName>
    <definedName name="___PF2">#REF!</definedName>
    <definedName name="___PF3">#REF!</definedName>
    <definedName name="___Pg1">#REF!</definedName>
    <definedName name="___Pg2">#REF!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hidden="1">{#N/A,#N/A,FALSE,"Profit Status";#N/A,#N/A,FALSE,"Invest";#N/A,#N/A,FALSE,"Revenue";#N/A,#N/A,FALSE,"Variable Cost";#N/A,#N/A,FALSE,"Options &amp; Series"}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_vep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A4" hidden="1">{#N/A,#N/A,FALSE,"India - 3f";#N/A,#N/A,FALSE,"India - 3";#N/A,#N/A,FALSE,"India - 4f";#N/A,#N/A,FALSE,"India - 4";#N/A,#N/A,FALSE,"Retail Spider"}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hidden="1">{#N/A,#N/A,FALSE,"Profit Status";#N/A,#N/A,FALSE,"Invest";#N/A,#N/A,FALSE,"Revenue";#N/A,#N/A,FALSE,"Variable Cost";#N/A,#N/A,FALSE,"Options &amp; Series"}</definedName>
    <definedName name="__AS1" hidden="1">{#N/A,#N/A,FALSE,"India - 3f";#N/A,#N/A,FALSE,"India - 3";#N/A,#N/A,FALSE,"India - 4f";#N/A,#N/A,FALSE,"India - 4";#N/A,#N/A,FALSE,"Retail Spider"}</definedName>
    <definedName name="__Att1" hidden="1">{#VALUE!,#N/A,FALSE,0;#N/A,#N/A,FALSE,0;#N/A,#N/A,FALSE,0;#N/A,#N/A,FALSE,0}</definedName>
    <definedName name="__att2">#REF!</definedName>
    <definedName name="__att3">#REF!</definedName>
    <definedName name="__att4">#REF!</definedName>
    <definedName name="__b2" hidden="1">{#VALUE!,#N/A,FALSE,0;#N/A,#N/A,FALSE,0;#N/A,#N/A,FALSE,0;#N/A,#N/A,FALSE,0}</definedName>
    <definedName name="__ba1" hidden="1">{"Fiesta Facer Page",#N/A,FALSE,"Q_C_S";"Fiesta Main Page",#N/A,FALSE,"V_L";"Fiesta 95BP Struct",#N/A,FALSE,"StructBP";"Fiesta Post 95BP Struct",#N/A,FALSE,"AdjStructBP"}</definedName>
    <definedName name="__bjw1" hidden="1">{#N/A,#N/A,FALSE,"Profit Status";#N/A,#N/A,FALSE,"Invest";#N/A,#N/A,FALSE,"Revenue";#N/A,#N/A,FALSE,"Variable Cost";#N/A,#N/A,FALSE,"Options &amp; Series"}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C1952" hidden="1">{#N/A,#N/A,FALSE,"Cover";#N/A,#N/A,FALSE,"VarCost Graph";#N/A,#N/A,FALSE,"VarCost Sum";#N/A,#N/A,FALSE,"Roadmap_Sum";#N/A,#N/A,FALSE,"VarCost";#N/A,#N/A,FALSE,"i-to-i, 06-01-98 [All_CMs]";#N/A,#N/A,FALSE,"VarCost I-2-I"}</definedName>
    <definedName name="__d2" hidden="1">{#VALUE!,#N/A,FALSE,0;#N/A,#N/A,FALSE,0;#N/A,#N/A,FALSE,0;#N/A,#N/A,FALSE,0}</definedName>
    <definedName name="__D258" hidden="1">{"Presentation",#N/A,FALSE,"Feb96 - ALL"}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fr2" hidden="1">{#N/A,#N/A,FALSE,"Profit Status";#N/A,#N/A,FALSE,"Invest";#N/A,#N/A,FALSE,"Revenue";#N/A,#N/A,FALSE,"Variable Cost";#N/A,#N/A,FALSE,"Options &amp; Series"}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MAC5" hidden="1">{"salaried",#N/A,FALSE,"VLD View (2)"}</definedName>
    <definedName name="__MMT6" hidden="1">{"REVISED",#N/A,FALSE,"Sheet1"}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F1">#REF!</definedName>
    <definedName name="__PF2">#REF!</definedName>
    <definedName name="__PF3">#REF!</definedName>
    <definedName name="__Pg1">#REF!</definedName>
    <definedName name="__Pg2">#REF!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hidden="1">{#N/A,#N/A,FALSE,"Profit Status";#N/A,#N/A,FALSE,"Invest";#N/A,#N/A,FALSE,"Revenue";#N/A,#N/A,FALSE,"Variable Cost";#N/A,#N/A,FALSE,"Options &amp; Series"}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vep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01_10_93">#REF!</definedName>
    <definedName name="_100b2_" hidden="1">{#VALUE!,#N/A,FALSE,0;#N/A,#N/A,FALSE,0;#N/A,#N/A,FALSE,0;#N/A,#N/A,FALSE,0}</definedName>
    <definedName name="_103ba1_" hidden="1">{"Fiesta Facer Page",#N/A,FALSE,"Q_C_S";"Fiesta Main Page",#N/A,FALSE,"V_L";"Fiesta 95BP Struct",#N/A,FALSE,"StructBP";"Fiesta Post 95BP Struct",#N/A,FALSE,"AdjStructBP"}</definedName>
    <definedName name="_10a">#REF!</definedName>
    <definedName name="_112C1952_" hidden="1">{#N/A,#N/A,FALSE,"Cover";#N/A,#N/A,FALSE,"VarCost Graph";#N/A,#N/A,FALSE,"VarCost Sum";#N/A,#N/A,FALSE,"Roadmap_Sum";#N/A,#N/A,FALSE,"VarCost";#N/A,#N/A,FALSE,"i-to-i, 06-01-98 [All_CMs]";#N/A,#N/A,FALSE,"VarCost I-2-I"}</definedName>
    <definedName name="_118cd52_">#REF!</definedName>
    <definedName name="_11b">#REF!</definedName>
    <definedName name="_121cd53_">#REF!</definedName>
    <definedName name="_124cd54_">#REF!</definedName>
    <definedName name="_127d2_" hidden="1">{#VALUE!,#N/A,FALSE,0;#N/A,#N/A,FALSE,0;#N/A,#N/A,FALSE,0;#N/A,#N/A,FALSE,0}</definedName>
    <definedName name="_12c_">#REF!</definedName>
    <definedName name="_130D258_" hidden="1">{"Presentation",#N/A,FALSE,"Feb96 - ALL"}</definedName>
    <definedName name="_13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35fr2_" hidden="1">{#N/A,#N/A,FALSE,"Profit Status";#N/A,#N/A,FALSE,"Invest";#N/A,#N/A,FALSE,"Revenue";#N/A,#N/A,FALSE,"Variable Cost";#N/A,#N/A,FALSE,"Options &amp; Series"}</definedName>
    <definedName name="_138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15g">#REF!</definedName>
    <definedName name="_18m">#REF!</definedName>
    <definedName name="_19t">#REF!</definedName>
    <definedName name="_22_0BRU">#REF!</definedName>
    <definedName name="_25_0L">#REF!</definedName>
    <definedName name="_43_0BRU">#REF!</definedName>
    <definedName name="_46_0ch">#REF!</definedName>
    <definedName name="_49_0EA">#REF!</definedName>
    <definedName name="_562">#REF!</definedName>
    <definedName name="_82_5_0svc">#REF!</definedName>
    <definedName name="_88A4_" hidden="1">{#N/A,#N/A,FALSE,"India - 3f";#N/A,#N/A,FALSE,"India - 3";#N/A,#N/A,FALSE,"India - 4f";#N/A,#N/A,FALSE,"India - 4";#N/A,#N/A,FALSE,"Retail Spider"}</definedName>
    <definedName name="_91ab2_" hidden="1">{#N/A,#N/A,FALSE,"Cover";#N/A,#N/A,FALSE,"Profits";#N/A,#N/A,FALSE,"ABS";#N/A,#N/A,FALSE,"TFLE Detail";#N/A,#N/A,FALSE,"TFLE Walk";#N/A,#N/A,FALSE,"Variable Cost";#N/A,#N/A,FALSE,"V.C. Walk"}</definedName>
    <definedName name="_94ab3_" hidden="1">{#N/A,#N/A,FALSE,"Profit Status";#N/A,#N/A,FALSE,"Invest";#N/A,#N/A,FALSE,"Revenue";#N/A,#N/A,FALSE,"Variable Cost";#N/A,#N/A,FALSE,"Options &amp; Series"}</definedName>
    <definedName name="_97AS1_" hidden="1">{#N/A,#N/A,FALSE,"India - 3f";#N/A,#N/A,FALSE,"India - 3";#N/A,#N/A,FALSE,"India - 4f";#N/A,#N/A,FALSE,"India - 4";#N/A,#N/A,FALSE,"Retail Spider"}</definedName>
    <definedName name="_A4" hidden="1">{#N/A,#N/A,FALSE,"India - 3f";#N/A,#N/A,FALSE,"India - 3";#N/A,#N/A,FALSE,"India - 4f";#N/A,#N/A,FALSE,"India - 4";#N/A,#N/A,FALSE,"Retail Spider"}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O">_a1O,_a2O</definedName>
    <definedName name="_AS1" hidden="1">{#N/A,#N/A,FALSE,"India - 3f";#N/A,#N/A,FALSE,"India - 3";#N/A,#N/A,FALSE,"India - 4f";#N/A,#N/A,FALSE,"India - 4";#N/A,#N/A,FALSE,"Retail Spider"}</definedName>
    <definedName name="_Att1" hidden="1">{#VALUE!,#N/A,FALSE,0;#N/A,#N/A,FALSE,0;#N/A,#N/A,FALSE,0;#N/A,#N/A,FALSE,0}</definedName>
    <definedName name="_att2">#REF!</definedName>
    <definedName name="_att3">#REF!</definedName>
    <definedName name="_att4">#REF!</definedName>
    <definedName name="_aZ">_a1Z,_a2Z</definedName>
    <definedName name="_b2" hidden="1">{#VALUE!,#N/A,FALSE,0;#N/A,#N/A,FALSE,0;#N/A,#N/A,FALSE,0;#N/A,#N/A,FALSE,0}</definedName>
    <definedName name="_ba1" hidden="1">{"Fiesta Facer Page",#N/A,FALSE,"Q_C_S";"Fiesta Main Page",#N/A,FALSE,"V_L";"Fiesta 95BP Struct",#N/A,FALSE,"StructBP";"Fiesta Post 95BP Struct",#N/A,FALSE,"AdjStructBP"}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C1952" hidden="1">{#N/A,#N/A,FALSE,"Cover";#N/A,#N/A,FALSE,"VarCost Graph";#N/A,#N/A,FALSE,"VarCost Sum";#N/A,#N/A,FALSE,"Roadmap_Sum";#N/A,#N/A,FALSE,"VarCost";#N/A,#N/A,FALSE,"i-to-i, 06-01-98 [All_CMs]";#N/A,#N/A,FALSE,"VarCost I-2-I"}</definedName>
    <definedName name="_cd52">#REF!</definedName>
    <definedName name="_cd53">#REF!</definedName>
    <definedName name="_cd54">#REF!</definedName>
    <definedName name="_d2" hidden="1">{#VALUE!,#N/A,FALSE,0;#N/A,#N/A,FALSE,0;#N/A,#N/A,FALSE,0;#N/A,#N/A,FALSE,0}</definedName>
    <definedName name="_D258" hidden="1">{"Presentation",#N/A,FALSE,"Feb96 - ALL"}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Fill" hidden="1">#REF!</definedName>
    <definedName name="_xlnm._FilterDatabase" localSheetId="0" hidden="1">'Change Log'!$A$6:$XEP$1422</definedName>
    <definedName name="_fr2" hidden="1">{#N/A,#N/A,FALSE,"Profit Status";#N/A,#N/A,FALSE,"Invest";#N/A,#N/A,FALSE,"Revenue";#N/A,#N/A,FALSE,"Variable Cost";#N/A,#N/A,FALSE,"Options &amp; Series"}</definedName>
    <definedName name="_FRANCE">#REF!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key">#REF!</definedName>
    <definedName name="_MAC5" hidden="1">{"salaried",#N/A,FALSE,"VLD View (2)"}</definedName>
    <definedName name="_MMT6" hidden="1">{"REVISED",#N/A,FALSE,"Sheet1"}</definedName>
    <definedName name="_Order1" hidden="1">255</definedName>
    <definedName name="_Order2" hidden="1">0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>#REF!</definedName>
    <definedName name="_PF2">#REF!</definedName>
    <definedName name="_PF3">#REF!</definedName>
    <definedName name="_Pg1">#REF!</definedName>
    <definedName name="_Pg2">#REF!</definedName>
    <definedName name="_Regression_Int" hidden="1">1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AA" hidden="1">{#N/A,#N/A,FALSE,"Cover";#N/A,#N/A,FALSE,"Profits";#N/A,#N/A,FALSE,"ABS";#N/A,#N/A,FALSE,"TFLE Detail";#N/A,#N/A,FALSE,"TFLE Walk";#N/A,#N/A,FALSE,"Variable Cost";#N/A,#N/A,FALSE,"V.C. Walk"}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C">#REF!</definedName>
    <definedName name="Absolute_Cost">#REF!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nscount" hidden="1">1</definedName>
    <definedName name="Appendix" hidden="1">{#N/A,#N/A,FALSE,"Cover Page";#N/A,#N/A,FALSE,"Facing Page";#N/A,#N/A,FALSE,"Main Page";#N/A,#N/A,FALSE,"Risk-Adjusted";#N/A,#N/A,FALSE,"Profit Improvement"}</definedName>
    <definedName name="att4a">#REF!</definedName>
    <definedName name="Austria">#REF!</definedName>
    <definedName name="average">#REF!</definedName>
    <definedName name="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CPI_">#REF!</definedName>
    <definedName name="BEG">#REF!</definedName>
    <definedName name="Belgium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ob" hidden="1">{#N/A,#N/A,FALSE,"Assumptions";#N/A,#N/A,FALSE,"Volumes";#N/A,#N/A,FALSE,"Pricing";#N/A,#N/A,FALSE,"Variable Cost";#N/A,#N/A,FALSE,"Investment";#N/A,#N/A,FALSE,"Profitability";#N/A,#N/A,FALSE,"Business Comparison"}</definedName>
    <definedName name="britain_">#REF!</definedName>
    <definedName name="Britain__ECU">#REF!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yModel">#REF!</definedName>
    <definedName name="Calendar_Year_Analysis">#REF!</definedName>
    <definedName name="Canada">#REF!</definedName>
    <definedName name="cashflow">#REF!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hidden="1">{#VALUE!,#N/A,FALSE,0;#N/A,#N/A,FALSE,0;#N/A,#N/A,FALSE,0;#N/A,#N/A,FALSE,0}</definedName>
    <definedName name="CD">#REF!</definedName>
    <definedName name="cddde">#REF!</definedName>
    <definedName name="Claudio" hidden="1">{"Fiesta Facer Page",#N/A,FALSE,"Q_C_S";"Fiesta Main Page",#N/A,FALSE,"V_L";"Fiesta 95BP Struct",#N/A,FALSE,"StructBP";"Fiesta Post 95BP Struct",#N/A,FALSE,"AdjStructBP"}</definedName>
    <definedName name="CNTCOL">#REF!</definedName>
    <definedName name="CNTROW">#REF!</definedName>
    <definedName name="co">#REF!</definedName>
    <definedName name="Code" hidden="1">#REF!</definedName>
    <definedName name="comttotal">#REF!</definedName>
    <definedName name="Cost">#REF!</definedName>
    <definedName name="Costwalk" hidden="1">{"REVISED",#N/A,FALSE,"Sheet1"}</definedName>
    <definedName name="cover">#REF!</definedName>
    <definedName name="CPI">#REF!</definedName>
    <definedName name="_xlnm.Criteria">#REF!</definedName>
    <definedName name="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ta3" hidden="1">#REF!</definedName>
    <definedName name="_xlnm.Database">#REF!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d" hidden="1">{#VALUE!,#N/A,FALSE,0;#N/A,#N/A,FALSE,0;#N/A,#N/A,FALSE,0;#N/A,#N/A,FALSE,0}</definedName>
    <definedName name="Denmark">#REF!</definedName>
    <definedName name="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r" hidden="1">{"Presentation",#N/A,FALSE,"Feb96 - ALL"}</definedName>
    <definedName name="Discount" hidden="1">#REF!</definedName>
    <definedName name="ds" hidden="1">{"REVISED",#N/A,FALSE,"Sheet1"}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ummy2" hidden="1">{"REVISED",#N/A,FALSE,"Sheet1"}</definedName>
    <definedName name="dummy3" hidden="1">{"REVISED",#N/A,FALSE,"Sheet1"}</definedName>
    <definedName name="e" hidden="1">{#N/A,#N/A,FALSE,"Assumptions";#N/A,#N/A,FALSE,"Volumes";#N/A,#N/A,FALSE,"Pricing";#N/A,#N/A,FALSE,"Variable Cost";#N/A,#N/A,FALSE,"Investment";#N/A,#N/A,FALSE,"Profitability";#N/A,#N/A,FALSE,"Business Comparison"}</definedName>
    <definedName name="EINLE">#REF!</definedName>
    <definedName name="ENDCOL">#REF!</definedName>
    <definedName name="Eng">#REF!</definedName>
    <definedName name="enmarg">#REF!</definedName>
    <definedName name="enobj">#REF!</definedName>
    <definedName name="enpric">#REF!</definedName>
    <definedName name="enprof">#REF!</definedName>
    <definedName name="envol">#REF!</definedName>
    <definedName name="er" hidden="1">{#N/A,#N/A,FALSE,"Cover";#N/A,#N/A,FALSE,"Profits";#N/A,#N/A,FALSE,"ABS";#N/A,#N/A,FALSE,"TFLE Detail";#N/A,#N/A,FALSE,"TFLE Walk";#N/A,#N/A,FALSE,"Variable Cost";#N/A,#N/A,FALSE,"V.C. Walk"}</definedName>
    <definedName name="EssOptions">"1100000000031000_01?00"</definedName>
    <definedName name="expisttl">#REF!</definedName>
    <definedName name="explorercanada">#REF!</definedName>
    <definedName name="explorerus">#REF!</definedName>
    <definedName name="F">#REF!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CSD_IMPL">#REF!</definedName>
    <definedName name="fcsttotal">#REF!</definedName>
    <definedName name="fd" hidden="1">{#VALUE!,#N/A,FALSE,0;#N/A,#N/A,FALSE,0;#N/A,#N/A,FALSE,0;#N/A,#N/A,FALSE,0}</definedName>
    <definedName name="FF">#REF!</definedName>
    <definedName name="ffff" hidden="1">{#VALUE!,#N/A,FALSE,0;#N/A,#N/A,FALSE,0;#N/A,#N/A,FALSE,0;#N/A,#N/A,FALSE,0}</definedName>
    <definedName name="FFFFF" hidden="1">{#VALUE!,#N/A,FALSE,0;#N/A,#N/A,FALSE,0;#N/A,#N/A,FALSE,0;#N/A,#N/A,FALSE,0}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land">#REF!</definedName>
    <definedName name="fjwhf" hidden="1">{#N/A,#N/A,FALSE,"Profit Status";#N/A,#N/A,FALSE,"Invest";#N/A,#N/A,FALSE,"Revenue";#N/A,#N/A,FALSE,"Variable Cost";#N/A,#N/A,FALSE,"Options &amp; Series"}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ASPLIT">#REF!</definedName>
    <definedName name="fr" hidden="1">{#N/A,#N/A,FALSE,"Profit Status";#N/A,#N/A,FALSE,"Invest";#N/A,#N/A,FALSE,"Revenue";#N/A,#N/A,FALSE,"Variable Cost";#N/A,#N/A,FALSE,"Options &amp; Series"}</definedName>
    <definedName name="France">#REF!</definedName>
    <definedName name="fre" hidden="1">{"REVISED",#N/A,FALSE,"Sheet1"}</definedName>
    <definedName name="ftdata">#REF!</definedName>
    <definedName name="g" hidden="1">{#N/A,#N/A,FALSE,"Profit Status";#N/A,#N/A,FALSE,"Invest";#N/A,#N/A,FALSE,"Revenue";#N/A,#N/A,FALSE,"Variable Cost";#N/A,#N/A,FALSE,"Options &amp; Series"}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P">#REF!</definedName>
    <definedName name="ge" hidden="1">{#N/A,#N/A,FALSE,"Profit Status";#N/A,#N/A,FALSE,"Invest";#N/A,#N/A,FALSE,"Revenue";#N/A,#N/A,FALSE,"Variable Cost";#N/A,#N/A,FALSE,"Options &amp; Series"}</definedName>
    <definedName name="Germany">#REF!</definedName>
    <definedName name="germany_">#REF!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dsged" hidden="1">{"REVISED",#N/A,FALSE,"Sheet1"}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TML_CodePage" hidden="1">1252</definedName>
    <definedName name="HTML_Control" hidden="1">{"'Section1'!$A$1:$AN$53","'Section1'!$A$1:$AO$59"}</definedName>
    <definedName name="HTML_Description" hidden="1">""</definedName>
    <definedName name="HTML_Email" hidden="1">""</definedName>
    <definedName name="HTML_Header" hidden="1">"Section1"</definedName>
    <definedName name="HTML_LastUpdate" hidden="1">"6/25/99"</definedName>
    <definedName name="HTML_LineAfter" hidden="1">FALSE</definedName>
    <definedName name="HTML_LineBefore" hidden="1">FALSE</definedName>
    <definedName name="HTML_Name" hidden="1">"Larry F. Liotino"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"instr_2f_a"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i">#N/A</definedName>
    <definedName name="iiii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vest">#N/A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c">#REF!</definedName>
    <definedName name="IRELAND">#REF!</definedName>
    <definedName name="Ireland__ECU">#REF!</definedName>
    <definedName name="Italy">#REF!</definedName>
    <definedName name="ITALY_">#REF!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apan">#REF!</definedName>
    <definedName name="jbujbj" hidden="1">{"REVISED",#N/A,FALSE,"Sheet1"}</definedName>
    <definedName name="JJ" hidden="1">{#N/A,#N/A,FALSE,"Profit Status";#N/A,#N/A,FALSE,"Invest";#N/A,#N/A,FALSE,"Revenue";#N/A,#N/A,FALSE,"Variable Cost";#N/A,#N/A,FALSE,"Options &amp; Series"}</definedName>
    <definedName name="Joe" hidden="1">{#N/A,#N/A,FALSE,"Cover Page";#N/A,#N/A,FALSE,"Facing Page";#N/A,#N/A,FALSE,"Main Page";#N/A,#N/A,FALSE,"Risk-Adjusted";#N/A,#N/A,FALSE,"Profit Improvement"}</definedName>
    <definedName name="KEY_ISSUES">#REF!</definedName>
    <definedName name="kjas" hidden="1">{#N/A,#N/A,FALSE,"Cover Page";#N/A,#N/A,FALSE,"Facing Page";#N/A,#N/A,FALSE,"Main Page";#N/A,#N/A,FALSE,"Risk-Adjusted";#N/A,#N/A,FALSE,"Profit Improvement"}</definedName>
    <definedName name="KP" hidden="1">{"pep204a",#N/A,FALSE,"tpepsum4a";"pep205a",#N/A,FALSE,"tpepsum4a";"wpep204a",#N/A,FALSE,"tpepsum4a";"wpep205a",#N/A,FALSE,"tpepsum4a"}</definedName>
    <definedName name="l" hidden="1">{#N/A,#N/A,FALSE,"Profit Status";#N/A,#N/A,FALSE,"Invest";#N/A,#N/A,FALSE,"Revenue";#N/A,#N/A,FALSE,"Variable Cost";#N/A,#N/A,FALSE,"Options &amp; Series"}</definedName>
    <definedName name="LABEL">#REF!</definedName>
    <definedName name="lastCell">#REF!</definedName>
    <definedName name="Launch">#REF!</definedName>
    <definedName name="LD">#REF!</definedName>
    <definedName name="ListColor">#REF!</definedName>
    <definedName name="ListPercent">#REF!</definedName>
    <definedName name="ListResponsibility">#REF!</definedName>
    <definedName name="ListRYG">#REF!</definedName>
    <definedName name="ListStatus">#REF!</definedName>
    <definedName name="ListSymbolType">#REF!</definedName>
    <definedName name="ListTrueFalse">#REF!</definedName>
    <definedName name="M">{#N/A,#N/A,FALSE,"Assumptions";#N/A,#N/A,FALSE,"Volumes";#N/A,#N/A,FALSE,"Pricing";#N/A,#N/A,FALSE,"Variable Cost";#N/A,#N/A,FALSE,"Investment";#N/A,#N/A,FALSE,"Profitability";#N/A,#N/A,FALSE,"Business Comparison"}</definedName>
    <definedName name="M48L">#REF!</definedName>
    <definedName name="marty" hidden="1">{#N/A,#N/A,TRUE,"Engine";#N/A,#N/A,TRUE,"Trans 5R55N";#N/A,#N/A,TRUE,"Manual Trans";#N/A,#N/A,TRUE,"DS and Axle";#N/A,#N/A,TRUE,"PTSSE";#N/A,#N/A,TRUE,"Summary"}</definedName>
    <definedName name="marty2" hidden="1">{#N/A,#N/A,TRUE,"Engine";#N/A,#N/A,TRUE,"Trans 5R55N";#N/A,#N/A,TRUE,"Manual Trans";#N/A,#N/A,TRUE,"DS and Axle";#N/A,#N/A,TRUE,"PTSSE";#N/A,#N/A,TRUE,"Summary"}</definedName>
    <definedName name="Misc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to" hidden="1">{#N/A,#N/A,FALSE,"India - 3f";#N/A,#N/A,FALSE,"India - 3";#N/A,#N/A,FALSE,"India - 4f";#N/A,#N/A,FALSE,"India - 4";#N/A,#N/A,FALSE,"Retail Spider"}</definedName>
    <definedName name="MLOOP">#REF!</definedName>
    <definedName name="MODELS">#REF!</definedName>
    <definedName name="MONTHLY">#REF!</definedName>
    <definedName name="mountaineer">#REF!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S">#REF!</definedName>
    <definedName name="NAAOMARGIN">#REF!</definedName>
    <definedName name="Netherlands">#REF!</definedName>
    <definedName name="NETHERLDS">#REF!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XT">#REF!</definedName>
    <definedName name="NEXTAVYR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mkljmkl" hidden="1">{#N/A,#N/A,FALSE,"India - 3f";#N/A,#N/A,FALSE,"India - 3";#N/A,#N/A,FALSE,"India - 4f";#N/A,#N/A,FALSE,"India - 4";#N/A,#N/A,FALSE,"Retail Spider"}</definedName>
    <definedName name="Norway">#REF!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rderTable" hidden="1">#REF!</definedName>
    <definedName name="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e1">#REF!</definedName>
    <definedName name="page2">#REF!</definedName>
    <definedName name="PANAL">#REF!</definedName>
    <definedName name="papa" hidden="1">{#N/A,#N/A,FALSE,"Profit Status";#N/A,#N/A,FALSE,"Invest";#N/A,#N/A,FALSE,"Revenue";#N/A,#N/A,FALSE,"Variable Cost";#N/A,#N/A,FALSE,"Options &amp; Series"}</definedName>
    <definedName name="patotal">#REF!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f1wrn.all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icked_Feats">#REF!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LOOP">#REF!</definedName>
    <definedName name="Portugal">#REF!</definedName>
    <definedName name="prindustry">#REF!</definedName>
    <definedName name="_xlnm.Print_Area" localSheetId="0">'Change Log'!$A$1:$EA$1158</definedName>
    <definedName name="_xlnm.Print_Area">#N/A</definedName>
    <definedName name="_xlnm.Print_Titles">#REF!</definedName>
    <definedName name="PRINT_TITLES_MI">#REF!</definedName>
    <definedName name="print7">#N/A</definedName>
    <definedName name="ProdForm" hidden="1">#REF!</definedName>
    <definedName name="Product" hidden="1">#REF!</definedName>
    <definedName name="Proposed">#REF!</definedName>
    <definedName name="PT_BYUSG">#REF!</definedName>
    <definedName name="PT_LOOP">#REF!</definedName>
    <definedName name="PTCNT">#REF!</definedName>
    <definedName name="PTCNTMODEL">#REF!</definedName>
    <definedName name="PTCNTOFFSET">#REF!</definedName>
    <definedName name="ptype">#REF!</definedName>
    <definedName name="PUTVALUE">#REF!</definedName>
    <definedName name="PVA_Changes">#REF!</definedName>
    <definedName name="qqw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CArea" hidden="1">#REF!</definedName>
    <definedName name="REal" hidden="1">{#N/A,#N/A,TRUE,"Engine";#N/A,#N/A,TRUE,"Trans 5R55N";#N/A,#N/A,TRUE,"Manual Trans";#N/A,#N/A,TRUE,"DS and Axle";#N/A,#N/A,TRUE,"PTSSE";#N/A,#N/A,TRUE,"Summary"}</definedName>
    <definedName name="Responsibility">#REF!</definedName>
    <definedName name="Revenue" hidden="1">{#N/A,#N/A,FALSE,"Assumptions";#N/A,#N/A,FALSE,"Volumes";#N/A,#N/A,FALSE,"Pricing";#N/A,#N/A,FALSE,"Variable Cost";#N/A,#N/A,FALSE,"Investment";#N/A,#N/A,FALSE,"Profitability";#N/A,#N/A,FALSE,"Business Comparison"}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s">#REF!</definedName>
    <definedName name="S1JJ22">#REF!</definedName>
    <definedName name="S1JJ23">#REF!</definedName>
    <definedName name="S1JJ24">#REF!</definedName>
    <definedName name="S1JJ25">#REF!</definedName>
    <definedName name="S1JJ28">#REF!</definedName>
    <definedName name="S2JJ1">#REF!</definedName>
    <definedName name="S2JJ10">#REF!</definedName>
    <definedName name="S2JJ11">#REF!</definedName>
    <definedName name="S2JJ12">#REF!</definedName>
    <definedName name="S2JJ13">#REF!</definedName>
    <definedName name="S2JJ14">#REF!</definedName>
    <definedName name="S2JJ15">#REF!</definedName>
    <definedName name="S2JJ16">#REF!</definedName>
    <definedName name="S2JJ17">#REF!</definedName>
    <definedName name="S2JJ18">#REF!</definedName>
    <definedName name="S2JJ19">#REF!</definedName>
    <definedName name="S2JJ2">#REF!</definedName>
    <definedName name="S2JJ20">#REF!</definedName>
    <definedName name="S2JJ21">#REF!</definedName>
    <definedName name="S2JJ22">#REF!</definedName>
    <definedName name="S2JJ23">#REF!</definedName>
    <definedName name="S2JJ24">#REF!</definedName>
    <definedName name="S2JJ25">#REF!</definedName>
    <definedName name="S2JJ26">#REF!</definedName>
    <definedName name="S2JJ27">#REF!</definedName>
    <definedName name="S2JJ28">#REF!</definedName>
    <definedName name="S2JJ29">#REF!</definedName>
    <definedName name="S2JJ3">#REF!</definedName>
    <definedName name="S2JJ30">#REF!</definedName>
    <definedName name="S2JJ4">#REF!</definedName>
    <definedName name="S2JJ5">#REF!</definedName>
    <definedName name="S2JJ6">#REF!</definedName>
    <definedName name="S2JJ7">#REF!</definedName>
    <definedName name="S2JJ8">#REF!</definedName>
    <definedName name="S2JJ9">#REF!</definedName>
    <definedName name="S30JJ21">#REF!</definedName>
    <definedName name="S30JJ22">#REF!</definedName>
    <definedName name="S30JJ23">#REF!</definedName>
    <definedName name="S30JJ24">#REF!</definedName>
    <definedName name="S30JJ25">#REF!</definedName>
    <definedName name="S3JJ10">#REF!</definedName>
    <definedName name="S3JJ11">#REF!</definedName>
    <definedName name="S3JJ12">#REF!</definedName>
    <definedName name="S3JJ13">#REF!</definedName>
    <definedName name="S3JJ14">#REF!</definedName>
    <definedName name="S3JJ15">#REF!</definedName>
    <definedName name="S3JJ16">#REF!</definedName>
    <definedName name="S3JJ17">#REF!</definedName>
    <definedName name="S3JJ18">#REF!</definedName>
    <definedName name="S3JJ19">#REF!</definedName>
    <definedName name="S3JJ20">#REF!</definedName>
    <definedName name="S3JJ21">#REF!</definedName>
    <definedName name="S3JJ22">#REF!</definedName>
    <definedName name="S3JJ23">#REF!</definedName>
    <definedName name="S3JJ24">#REF!</definedName>
    <definedName name="S3JJ25">#REF!</definedName>
    <definedName name="S3JJ26">#REF!</definedName>
    <definedName name="S3JJ27">#REF!</definedName>
    <definedName name="S3JJ28">#REF!</definedName>
    <definedName name="S3JJ29">#REF!</definedName>
    <definedName name="S3JJ30">#REF!</definedName>
    <definedName name="S3JJ5">#REF!</definedName>
    <definedName name="S3JJ6">#REF!</definedName>
    <definedName name="S3JJ7">#REF!</definedName>
    <definedName name="S3JJ8">#REF!</definedName>
    <definedName name="S3JJ9">#REF!</definedName>
    <definedName name="S4JJ14">#REF!</definedName>
    <definedName name="S4JJ15">#REF!</definedName>
    <definedName name="S4JJ16">#REF!</definedName>
    <definedName name="S4JJ17">#REF!</definedName>
    <definedName name="S4JJ18">#REF!</definedName>
    <definedName name="S4JJ19">#REF!</definedName>
    <definedName name="S4JJ20">#REF!</definedName>
    <definedName name="S4JJ21">#REF!</definedName>
    <definedName name="S4JJ22">#REF!</definedName>
    <definedName name="S4JJ23">#REF!</definedName>
    <definedName name="S4JJ24">#REF!</definedName>
    <definedName name="S4JJ25">#REF!</definedName>
    <definedName name="S4JJ26">#REF!</definedName>
    <definedName name="S4JJ27">#REF!</definedName>
    <definedName name="S4JJ28">#REF!</definedName>
    <definedName name="S4JJ29">#REF!</definedName>
    <definedName name="S4JJ30">#REF!</definedName>
    <definedName name="S5JJ20">#REF!</definedName>
    <definedName name="S5JJ21">#REF!</definedName>
    <definedName name="S5JJ22">#REF!</definedName>
    <definedName name="S5JJ23">#REF!</definedName>
    <definedName name="S5JJ24">#REF!</definedName>
    <definedName name="S5JJ25">#REF!</definedName>
    <definedName name="S5JJ26">#REF!</definedName>
    <definedName name="S5JJ27">#REF!</definedName>
    <definedName name="S5JJ28">#REF!</definedName>
    <definedName name="S5JJ29">#REF!</definedName>
    <definedName name="S5JJ30">#REF!</definedName>
    <definedName name="sadfsafsa" hidden="1">{#N/A,#N/A,FALSE,"Profit Status";#N/A,#N/A,FALSE,"Invest";#N/A,#N/A,FALSE,"Revenue";#N/A,#N/A,FALSE,"Variable Cost";#N/A,#N/A,FALSE,"Options &amp; Series"}</definedName>
    <definedName name="SAT">#REF!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hidden="1">{#N/A,#N/A,FALSE,"Assumptions";#N/A,#N/A,FALSE,"Volumes";#N/A,#N/A,FALSE,"Pricing";#N/A,#N/A,FALSE,"Variable Cost";#N/A,#N/A,FALSE,"Investment";#N/A,#N/A,FALSE,"Profitability";#N/A,#N/A,FALSE,"Business Comparison"}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ain">#REF!</definedName>
    <definedName name="SpecialPrice" hidden="1">#REF!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TOP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M">#REF!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weden">#REF!</definedName>
    <definedName name="SWITZ">#REF!</definedName>
    <definedName name="Switzerland">#REF!</definedName>
    <definedName name="SymbolType">#REF!</definedName>
    <definedName name="T_20COM">#REF!</definedName>
    <definedName name="T_CA">#REF!</definedName>
    <definedName name="T_CAA">#REF!</definedName>
    <definedName name="T_D">#REF!</definedName>
    <definedName name="T_DV">#REF!</definedName>
    <definedName name="T_E">#REF!</definedName>
    <definedName name="T_N">#REF!</definedName>
    <definedName name="T_O">#REF!</definedName>
    <definedName name="T_RFQ">#REF!</definedName>
    <definedName name="T_S">#REF!</definedName>
    <definedName name="tableaust">#REF!</definedName>
    <definedName name="tbl_ProdInfo" hidden="1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F">#REF!</definedName>
    <definedName name="Tier_1">#REF!</definedName>
    <definedName name="Tier_2">#REF!</definedName>
    <definedName name="TO">#REF!</definedName>
    <definedName name="Tooling">#REF!</definedName>
    <definedName name="total">#REF!</definedName>
    <definedName name="totalexplorer">#REF!</definedName>
    <definedName name="trans" hidden="1">{#N/A,#N/A,FALSE,"Summary Page";#N/A,#N/A,FALSE,"Backup Factory Order Request";#N/A,#N/A,FALSE,"Mix Updated to Include V227";#N/A,#N/A,FALSE,"2000 Bus Plan Status"}</definedName>
    <definedName name="TREND">#REF!</definedName>
    <definedName name="Trend_Rates">#REF!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39</definedName>
    <definedName name="usexplorer">#REF!</definedName>
    <definedName name="V_20942">#REF!</definedName>
    <definedName name="V_20ORG">#REF!</definedName>
    <definedName name="V_20UP">#REF!</definedName>
    <definedName name="V_CA">#REF!</definedName>
    <definedName name="V_CAA">#REF!</definedName>
    <definedName name="V_D">#REF!</definedName>
    <definedName name="V_E">#REF!</definedName>
    <definedName name="V_N">#REF!</definedName>
    <definedName name="V_O">#REF!</definedName>
    <definedName name="V_RFQ">#REF!</definedName>
    <definedName name="V_S">#REF!</definedName>
    <definedName name="varmkting">#REF!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lookup">#REF!</definedName>
    <definedName name="vsdm">#REF!</definedName>
    <definedName name="vv" hidden="1">{#VALUE!,#N/A,FALSE,0;#N/A,#N/A,FALSE,0;#N/A,#N/A,FALSE,0;#N/A,#N/A,FALSE,0}</definedName>
    <definedName name="w" hidden="1">{#N/A,#N/A,FALSE,"Cover";#N/A,#N/A,FALSE,"Profits";#N/A,#N/A,FALSE,"ABS";#N/A,#N/A,FALSE,"TFLE Detail";#N/A,#N/A,FALSE,"TFLE Walk";#N/A,#N/A,FALSE,"Variable Cost";#N/A,#N/A,FALSE,"V.C. Walk"}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98._.VALUE._.ANALYSES." hidden="1">{#VALUE!,#N/A,FALSE,0;#N/A,#N/A,FALSE,0;#N/A,#N/A,FALSE,0;#N/A,#N/A,FALSE,0}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COMPARISON." hidden="1">{"COMPARISON",#N/A,FALSE,"Sheet1"}</definedName>
    <definedName name="wrn.dave." hidden="1">{"salaried",#N/A,FALSE,"VLD View (2)"}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india." hidden="1">{#N/A,#N/A,FALSE,"India - 3f";#N/A,#N/A,FALSE,"India - 3";#N/A,#N/A,FALSE,"India - 4f";#N/A,#N/A,FALSE,"India - 4";#N/A,#N/A,FALSE,"Retail Spider"}</definedName>
    <definedName name="WRN.KIM" hidden="1">{"salaried",#N/A,FALSE,"VLD View (2)"}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pepsum." hidden="1">{"rev",#N/A,FALSE,"ppepsum";"vcost",#N/A,FALSE,"ppepsum";"ecprof",#N/A,FALSE,"ppepsum"}</definedName>
    <definedName name="wrn.Presentation." hidden="1">{"Presentation",#N/A,FALSE,"Feb96 - ALL"}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VISED." hidden="1">{"REVISED",#N/A,FALSE,"Sheet1"}</definedName>
    <definedName name="wrn.SumNRev." hidden="1">{#N/A,#N/A,FALSE,"Weight Summary";#N/A,#N/A,FALSE,"Revision_Log"}</definedName>
    <definedName name="wrn.tavg4a." hidden="1">{"rates",#N/A,FALSE,"tavg4a";"rev",#N/A,FALSE,"tavg4a"}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pepsum4a." hidden="1">{"pep204a",#N/A,FALSE,"tpepsum4a";"pep205a",#N/A,FALSE,"tpepsum4a";"wpep204a",#N/A,FALSE,"tpepsum4a";"wpep205a",#N/A,FALSE,"tpepsum4a"}</definedName>
    <definedName name="wrn.trans." hidden="1">{#N/A,#N/A,FALSE,"TRANSNEW"}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holesale._.Report." hidden="1">{"Wholesale",#N/A,FALSE,"1+11";"wholesale Mix",#N/A,FALSE,"1+11"}</definedName>
    <definedName name="wrna.dave" hidden="1">{"salaried",#N/A,FALSE,"VLD View (2)"}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x">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OYandITI">#REF!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Z_00CBDB89_2818_4CF3_9F88_9F71B04B18AD_.wvu.FilterData" localSheetId="0" hidden="1">'Change Log'!$B$6:$DZ$1147</definedName>
    <definedName name="Z_04AF2311_5A39_485C_B2F0_97F63BFF4362_.wvu.FilterData" localSheetId="0" hidden="1">'Change Log'!$B$6:$DZ$1134</definedName>
    <definedName name="Z_10C35ABC_6CB8_4A4B_BE31_23785DC9221D_.wvu.FilterData" localSheetId="0" hidden="1">'Change Log'!$A$6:$XEP$1422</definedName>
    <definedName name="Z_12C384B2_0995_49CD_BA9F_24BEAD7EDAB5_.wvu.FilterData" localSheetId="0" hidden="1">'Change Log'!$B$6:$DZ$1177</definedName>
    <definedName name="Z_1800E12C_06F5_468C_B8B7_F7FE132588CB_.wvu.FilterData" localSheetId="0" hidden="1">'Change Log'!$B$6:$DZ$1139</definedName>
    <definedName name="Z_1A077076_5DB2_42CD_965E_B97E1968B521_.wvu.FilterData" localSheetId="0" hidden="1">'Change Log'!$A$6:$XEP$1422</definedName>
    <definedName name="Z_1D0BF885_0A3B_4572_A46A_2EBE3B093D8E_.wvu.Cols" localSheetId="0" hidden="1">'Change Log'!$H:$H,'Change Log'!$DI:$DY</definedName>
    <definedName name="Z_1D0BF885_0A3B_4572_A46A_2EBE3B093D8E_.wvu.FilterData" localSheetId="0" hidden="1">'Change Log'!$B$6:$DZ$1437</definedName>
    <definedName name="Z_1D0BF885_0A3B_4572_A46A_2EBE3B093D8E_.wvu.PrintArea" localSheetId="0" hidden="1">'Change Log'!$A$1:$EA$1158</definedName>
    <definedName name="Z_2E776034_B28F_4E25_9128_9433E2952B47_.wvu.FilterData" localSheetId="0" hidden="1">'Change Log'!$A$1:$BY$1247</definedName>
    <definedName name="Z_32469233_2951_46B3_8130_A6FDE4729D4E_.wvu.FilterData" localSheetId="0" hidden="1">'Change Log'!$A$6:$EA$1466</definedName>
    <definedName name="Z_350F7FAF_FF49_4218_B4E9_F7CB87140081_.wvu.FilterData" localSheetId="0" hidden="1">'Change Log'!$A$6:$EA$1464</definedName>
    <definedName name="Z_36886F6B_2850_437B_96AC_287B04D36686_.wvu.FilterData" localSheetId="0" hidden="1">'Change Log'!$B$6:$DZ$1149</definedName>
    <definedName name="Z_37BA7DF3_2244_4A92_921F_C00E6FD289C8_.wvu.FilterData" localSheetId="0" hidden="1">'Change Log'!$B$6:$DZ$1096</definedName>
    <definedName name="Z_37DCE385_9447_46BF_A41A_935555EC2012_.wvu.FilterData" localSheetId="0" hidden="1">'Change Log'!$A$6:$XEP$1422</definedName>
    <definedName name="Z_3A060286_93A3_43BD_B605_2255BE236F18_.wvu.FilterData" localSheetId="0" hidden="1">'Change Log'!$B$6:$DZ$1025</definedName>
    <definedName name="Z_3A6478DB_75FE_4E30_A3DD_5FF6B9F07D0E_.wvu.FilterData" localSheetId="0" hidden="1">'Change Log'!$A$6:$EA$1461</definedName>
    <definedName name="Z_41D3C6F0_7349_4FB9_B79C_5C4A6F29E9B5_.wvu.FilterData" localSheetId="0" hidden="1">'Change Log'!$A$1:$BY$1251</definedName>
    <definedName name="Z_425E0B10_4F05_499A_BDC4_CBC3FE9F30CB_.wvu.FilterData" localSheetId="0" hidden="1">'Change Log'!$B$6:$DZ$1134</definedName>
    <definedName name="Z_446D2A33_7E3A_4C25_901D_42B7DBCB8C8C_.wvu.FilterData" localSheetId="0" hidden="1">'Change Log'!$B$6:$DZ$1213</definedName>
    <definedName name="Z_4A8F76B1_B130_4FAC_B066_927930282747_.wvu.FilterData" localSheetId="0" hidden="1">'Change Log'!$B$6:$DZ$1025</definedName>
    <definedName name="Z_4FB04A65_D9A1_4128_9928_A326B3ACA2A7_.wvu.FilterData" localSheetId="0" hidden="1">'Change Log'!$B$6:$DZ$1025</definedName>
    <definedName name="Z_5144D43A_17DA_4B71_90B3_36C44952AA85_.wvu.FilterData" localSheetId="0" hidden="1">'Change Log'!$A$1:$BY$1025</definedName>
    <definedName name="Z_5671C9DF_A1AE_415D_A7A8_2421AC8474D5_.wvu.FilterData" localSheetId="0" hidden="1">'Change Log'!$A$6:$EA$1025</definedName>
    <definedName name="Z_5A94B7D2_26C8_43A1_933B_63F4ED79EBA8_.wvu.FilterData" localSheetId="0" hidden="1">'Change Log'!$B$6:$DZ$1225</definedName>
    <definedName name="Z_5E3E37C1_C6AA_41A8_ACD1_D7488B948DE3_.wvu.FilterData" localSheetId="0" hidden="1">'Change Log'!$B$6:$DZ$1213</definedName>
    <definedName name="Z_63DE077F_870D_445E_8C28_ACFF5A5E10B7_.wvu.FilterData" localSheetId="0" hidden="1">'Change Log'!$B$6:$DZ$1025</definedName>
    <definedName name="Z_68446766_B656_427D_BF89_F7619FEF1DAC_.wvu.FilterData" localSheetId="0" hidden="1">'Change Log'!$B$6:$DZ$1168</definedName>
    <definedName name="Z_6AEDFECB_909F_452D_8CAC_CDD3A4D1CE24_.wvu.FilterData" localSheetId="0" hidden="1">'Change Log'!$B$6:$DZ$1025</definedName>
    <definedName name="Z_6C9712D6_4ACD_47E9_991A_9845E35C2618_.wvu.FilterData" localSheetId="0" hidden="1">'Change Log'!$B$6:$DZ$1108</definedName>
    <definedName name="Z_6E789B1F_B83E_486D_937B_3FF06C60B413_.wvu.FilterData" localSheetId="0" hidden="1">'Change Log'!$A$6:$EA$1465</definedName>
    <definedName name="Z_848594D3_97BE_4F51_9B74_52E7D683D06E_.wvu.FilterData" localSheetId="0" hidden="1">'Change Log'!$B$6:$DZ$1168</definedName>
    <definedName name="Z_8B006D2E_DC79_438C_B0DA_586D43C89CE4_.wvu.FilterData" localSheetId="0" hidden="1">'Change Log'!$A$6:$EA$1468</definedName>
    <definedName name="Z_8C4125F8_72A7_4C55_933E_BCFFAF636906_.wvu.FilterData" localSheetId="0" hidden="1">'Change Log'!$B$6:$DZ$1096</definedName>
    <definedName name="Z_8D1AF883_A7A1_40CE_8A08_1492963F87ED_.wvu.FilterData" localSheetId="0" hidden="1">'Change Log'!$A$1:$BY$1247</definedName>
    <definedName name="Z_8DB2A3EB_08CB_4B84_92BA_95D035AFE344_.wvu.FilterData" localSheetId="0" hidden="1">'Change Log'!$B$6:$DZ$1149</definedName>
    <definedName name="Z_9DDBDC29_FE14_468A_A034_DA9483BF79A9_.wvu.FilterData" localSheetId="0" hidden="1">'Change Log'!$A$1:$BY$1025</definedName>
    <definedName name="Z_A0987CCC_B92D_41AD_83B4_9CEAF445E6C8_.wvu.FilterData" localSheetId="0" hidden="1">'Change Log'!$A$6:$EA$1082</definedName>
    <definedName name="Z_A5DA2EC7_DCD9_442F_97C3_8F04DD8EED94_.wvu.Cols" localSheetId="0" hidden="1">'Change Log'!$H:$H,'Change Log'!$BS:$DA,'Change Log'!$DI:$DY</definedName>
    <definedName name="Z_A5DA2EC7_DCD9_442F_97C3_8F04DD8EED94_.wvu.FilterData" localSheetId="0" hidden="1">'Change Log'!$A$6:$XEP$1422</definedName>
    <definedName name="Z_A5DA2EC7_DCD9_442F_97C3_8F04DD8EED94_.wvu.PrintArea" localSheetId="0" hidden="1">'Change Log'!$A$1:$EA$1158</definedName>
    <definedName name="Z_A620E078_CA8E_47D3_B6F4_1E37DCD160FC_.wvu.FilterData" localSheetId="0" hidden="1">'Change Log'!$A$6:$EA$1466</definedName>
    <definedName name="Z_A6BD96BA_30C8_4328_B15B_EA09E8899F90_.wvu.FilterData" localSheetId="0" hidden="1">'Change Log'!$B$6:$DZ$1147</definedName>
    <definedName name="Z_A7EC2612_1B1F_4CBD_958C_9206AEA1C3F6_.wvu.FilterData" localSheetId="0" hidden="1">'Change Log'!$B$6:$DZ$1222</definedName>
    <definedName name="Z_A964352A_D36A_4FA2_8495_570C91EB056C_.wvu.FilterData" localSheetId="0" hidden="1">'Change Log'!$B$6:$DZ$1025</definedName>
    <definedName name="Z_B17F828D_7F7C_4537_BCF9_D8F856E06BC4_.wvu.FilterData" localSheetId="0" hidden="1">'Change Log'!$B$6:$DZ$1140</definedName>
    <definedName name="Z_B766E51D_A928_4676_BED6_1C5C851ED3C8_.wvu.FilterData" localSheetId="0" hidden="1">'Change Log'!$B$6:$DZ$1213</definedName>
    <definedName name="Z_BD76C1A4_46CD_4DBD_B952_5533D590AD71_.wvu.FilterData" localSheetId="0" hidden="1">'Change Log'!$A$1:$BY$1245</definedName>
    <definedName name="Z_C07A9D65_E91B_4FF4_B334_AECE968451D4_.wvu.FilterData" localSheetId="0" hidden="1">'Change Log'!$B$6:$DZ$1168</definedName>
    <definedName name="Z_C11CEFCB_BA79_44F7_A729_6D138D4382BD_.wvu.FilterData" localSheetId="0" hidden="1">'Change Log'!$A$1:$BY$1025</definedName>
    <definedName name="Z_C5767BE1_7EB2_4501_A3F2_FAABDD16CAB1_.wvu.Cols" localSheetId="0" hidden="1">'Change Log'!$H:$H,'Change Log'!$BS:$DA,'Change Log'!$DI:$DY</definedName>
    <definedName name="Z_C5767BE1_7EB2_4501_A3F2_FAABDD16CAB1_.wvu.FilterData" localSheetId="0" hidden="1">'Change Log'!$A$6:$XEP$1422</definedName>
    <definedName name="Z_C5767BE1_7EB2_4501_A3F2_FAABDD16CAB1_.wvu.PrintArea" localSheetId="0" hidden="1">'Change Log'!$A$1:$EA$1158</definedName>
    <definedName name="Z_C6DB4D39_C5A9_4D89_B3EB_C428C17BEEC7_.wvu.FilterData" localSheetId="0" hidden="1">'Change Log'!$B$6:$DZ$1140</definedName>
    <definedName name="Z_C7B84236_B5C1_404D_8F80_F88E64BF6CDB_.wvu.FilterData" localSheetId="0" hidden="1">'Change Log'!$A$6:$XEP$1422</definedName>
    <definedName name="Z_D08F0CE9_F19A_452B_9952_655F05EDB661_.wvu.Cols" localSheetId="0" hidden="1">'Change Log'!$H:$H,'Change Log'!$DI:$DY</definedName>
    <definedName name="Z_D08F0CE9_F19A_452B_9952_655F05EDB661_.wvu.FilterData" localSheetId="0" hidden="1">'Change Log'!$A$6:$XEP$1421</definedName>
    <definedName name="Z_D08F0CE9_F19A_452B_9952_655F05EDB661_.wvu.PrintArea" localSheetId="0" hidden="1">'Change Log'!$A$1:$EA$1158</definedName>
    <definedName name="Z_D18806DA_1DE4_4F03_999E_F65779534E43_.wvu.FilterData" localSheetId="0" hidden="1">'Change Log'!$A$6:$EA$1466</definedName>
    <definedName name="Z_D54B4155_6900_4926_842A_F21D5CCCC77B_.wvu.Cols" localSheetId="0" hidden="1">'Change Log'!$H:$H,'Change Log'!$DI:$DY</definedName>
    <definedName name="Z_D54B4155_6900_4926_842A_F21D5CCCC77B_.wvu.FilterData" localSheetId="0" hidden="1">'Change Log'!$A$1:$BY$1251</definedName>
    <definedName name="Z_D54B4155_6900_4926_842A_F21D5CCCC77B_.wvu.PrintArea" localSheetId="0" hidden="1">'Change Log'!$A$1:$EA$1158</definedName>
    <definedName name="Z_D8FDD3E5_BCC2_49EC_A612_761CC08A43E9_.wvu.FilterData" localSheetId="0" hidden="1">'Change Log'!$B$6:$DZ$1106</definedName>
    <definedName name="Z_DE828F04_A582_4BC9_9ABA_105125429A64_.wvu.FilterData" localSheetId="0" hidden="1">'Change Log'!$A$1:$BY$1245</definedName>
    <definedName name="Z_EA465C20_0971_4C0F_B75D_27162110CB2E_.wvu.FilterData" localSheetId="0" hidden="1">'Change Log'!$B$6:$DZ$1147</definedName>
    <definedName name="Z_F142DEA3_F097_4669_BFA6_C7EB50654CD1_.wvu.FilterData" localSheetId="0" hidden="1">'Change Log'!$B$6:$DZ$1437</definedName>
    <definedName name="Z_F195DDF5_3BF8_4B9E_BA05_5D9B10FDADD2_.wvu.FilterData" localSheetId="0" hidden="1">'Change Log'!$A$6:$XEP$1422</definedName>
    <definedName name="Z_F195DDF5_3BF8_4B9E_BA05_5D9B10FDADD2_.wvu.PrintArea" localSheetId="0" hidden="1">'Change Log'!$A$1:$EA$1158</definedName>
    <definedName name="Z_F1A42FBF_0A42_450C_ADC0_04637BCC513D_.wvu.Cols" localSheetId="0" hidden="1">'Change Log'!$DI:$DY</definedName>
    <definedName name="Z_F1A42FBF_0A42_450C_ADC0_04637BCC513D_.wvu.FilterData" localSheetId="0" hidden="1">'Change Log'!$B$6:$DZ$1168</definedName>
    <definedName name="Z_F1A42FBF_0A42_450C_ADC0_04637BCC513D_.wvu.PrintArea" localSheetId="0" hidden="1">'Change Log'!$A$1:$EA$1170</definedName>
    <definedName name="Z_F21A313D_7688_47D8_A99E_252787EE49E8_.wvu.FilterData" localSheetId="0" hidden="1">'Change Log'!$A$6:$EA$1468</definedName>
    <definedName name="Z_F52D0AC7_DC5C_4082_8E40_381F3BB55FEB_.wvu.FilterData" localSheetId="0" hidden="1">'Change Log'!$B$6:$DZ$1213</definedName>
    <definedName name="Z_FBB50C85_0299_4C3B_AD71_82F5C5ECC05A_.wvu.FilterData" localSheetId="0" hidden="1">'Change Log'!$B$6:$DZ$1106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_xlnm.Recorder">#REF!</definedName>
    <definedName name="_xlnm.Extract">#REF!</definedName>
  </definedNames>
  <calcPr calcId="144525" calcMode="manual" iterate="1"/>
</workbook>
</file>

<file path=xl/calcChain.xml><?xml version="1.0" encoding="utf-8"?>
<calcChain xmlns="http://schemas.openxmlformats.org/spreadsheetml/2006/main">
  <c r="BH1470" i="1" l="1"/>
  <c r="DA1468" i="1"/>
  <c r="CZ1468" i="1"/>
  <c r="CY1468" i="1"/>
  <c r="CW1468" i="1"/>
  <c r="CV1468" i="1"/>
  <c r="CH1468" i="1"/>
  <c r="CG1468" i="1"/>
  <c r="CF1468" i="1"/>
  <c r="CE1468" i="1"/>
  <c r="CD1468" i="1"/>
  <c r="CC1468" i="1"/>
  <c r="CB1468" i="1"/>
  <c r="CA1468" i="1"/>
  <c r="CI1468" i="1" s="1"/>
  <c r="BW1468" i="1"/>
  <c r="BV1468" i="1"/>
  <c r="BU1468" i="1"/>
  <c r="BT1468" i="1"/>
  <c r="BS1468" i="1"/>
  <c r="BI1468" i="1"/>
  <c r="CM1468" i="1" s="1"/>
  <c r="BB1468" i="1"/>
  <c r="AR1468" i="1"/>
  <c r="AD1468" i="1"/>
  <c r="CN1468" i="1" s="1"/>
  <c r="W1468" i="1"/>
  <c r="M1468" i="1"/>
  <c r="DA1467" i="1"/>
  <c r="CZ1467" i="1"/>
  <c r="CY1467" i="1"/>
  <c r="CW1467" i="1"/>
  <c r="CV1467" i="1"/>
  <c r="CQ1467" i="1"/>
  <c r="CN1467" i="1"/>
  <c r="CH1467" i="1"/>
  <c r="CG1467" i="1"/>
  <c r="CF1467" i="1"/>
  <c r="CE1467" i="1"/>
  <c r="CD1467" i="1"/>
  <c r="CC1467" i="1"/>
  <c r="CB1467" i="1"/>
  <c r="CA1467" i="1"/>
  <c r="CI1467" i="1" s="1"/>
  <c r="BX1467" i="1"/>
  <c r="BW1467" i="1"/>
  <c r="BV1467" i="1"/>
  <c r="BU1467" i="1"/>
  <c r="BT1467" i="1"/>
  <c r="BS1467" i="1"/>
  <c r="BI1467" i="1"/>
  <c r="CM1467" i="1" s="1"/>
  <c r="BB1467" i="1"/>
  <c r="AR1467" i="1"/>
  <c r="AD1467" i="1"/>
  <c r="CP1467" i="1" s="1"/>
  <c r="W1467" i="1"/>
  <c r="M1467" i="1"/>
  <c r="DA1466" i="1"/>
  <c r="CZ1466" i="1"/>
  <c r="CY1466" i="1"/>
  <c r="CV1466" i="1"/>
  <c r="CH1466" i="1"/>
  <c r="CD1466" i="1"/>
  <c r="CC1466" i="1"/>
  <c r="BW1466" i="1"/>
  <c r="BV1466" i="1"/>
  <c r="BU1466" i="1"/>
  <c r="BT1466" i="1"/>
  <c r="BS1466" i="1"/>
  <c r="BD1466" i="1"/>
  <c r="BI1466" i="1" s="1"/>
  <c r="BB1466" i="1"/>
  <c r="AR1466" i="1"/>
  <c r="Y1466" i="1"/>
  <c r="CG1466" i="1" s="1"/>
  <c r="W1466" i="1"/>
  <c r="M1466" i="1"/>
  <c r="DA1465" i="1"/>
  <c r="CZ1465" i="1"/>
  <c r="CY1465" i="1"/>
  <c r="CW1465" i="1"/>
  <c r="CV1465" i="1"/>
  <c r="CA1465" i="1"/>
  <c r="BW1465" i="1"/>
  <c r="BV1465" i="1"/>
  <c r="BU1465" i="1"/>
  <c r="BT1465" i="1"/>
  <c r="BI1465" i="1"/>
  <c r="BB1465" i="1"/>
  <c r="AR1465" i="1"/>
  <c r="Y1465" i="1"/>
  <c r="CF1465" i="1" s="1"/>
  <c r="W1465" i="1"/>
  <c r="M1465" i="1"/>
  <c r="DA1464" i="1"/>
  <c r="CZ1464" i="1"/>
  <c r="CY1464" i="1"/>
  <c r="CW1464" i="1"/>
  <c r="CV1464" i="1"/>
  <c r="CF1464" i="1"/>
  <c r="CC1464" i="1"/>
  <c r="CB1464" i="1"/>
  <c r="BW1464" i="1"/>
  <c r="BV1464" i="1"/>
  <c r="BU1464" i="1"/>
  <c r="BT1464" i="1"/>
  <c r="BS1464" i="1"/>
  <c r="BI1464" i="1"/>
  <c r="BB1464" i="1"/>
  <c r="Y1464" i="1"/>
  <c r="CA1464" i="1" s="1"/>
  <c r="W1464" i="1"/>
  <c r="M1464" i="1"/>
  <c r="DA1463" i="1"/>
  <c r="CZ1463" i="1"/>
  <c r="CY1463" i="1"/>
  <c r="CG1463" i="1"/>
  <c r="CF1463" i="1"/>
  <c r="CE1463" i="1"/>
  <c r="CB1463" i="1"/>
  <c r="BW1463" i="1"/>
  <c r="BV1463" i="1"/>
  <c r="BU1463" i="1"/>
  <c r="BT1463" i="1"/>
  <c r="BI1463" i="1"/>
  <c r="CP1463" i="1" s="1"/>
  <c r="BD1463" i="1"/>
  <c r="CC1463" i="1" s="1"/>
  <c r="BB1463" i="1"/>
  <c r="AH1463" i="1"/>
  <c r="CW1463" i="1" s="1"/>
  <c r="AG1463" i="1"/>
  <c r="CV1463" i="1" s="1"/>
  <c r="AD1463" i="1"/>
  <c r="CN1463" i="1" s="1"/>
  <c r="Y1463" i="1"/>
  <c r="CD1463" i="1" s="1"/>
  <c r="W1463" i="1"/>
  <c r="DA1462" i="1"/>
  <c r="CZ1462" i="1"/>
  <c r="CY1462" i="1"/>
  <c r="CW1462" i="1"/>
  <c r="CV1462" i="1"/>
  <c r="CQ1462" i="1"/>
  <c r="CN1462" i="1"/>
  <c r="CM1462" i="1"/>
  <c r="CH1462" i="1"/>
  <c r="CG1462" i="1"/>
  <c r="CE1462" i="1"/>
  <c r="CD1462" i="1"/>
  <c r="CC1462" i="1"/>
  <c r="CA1462" i="1"/>
  <c r="BX1462" i="1"/>
  <c r="BW1462" i="1"/>
  <c r="BV1462" i="1"/>
  <c r="BU1462" i="1"/>
  <c r="BT1462" i="1"/>
  <c r="BS1462" i="1"/>
  <c r="BI1462" i="1"/>
  <c r="BB1462" i="1"/>
  <c r="AR1462" i="1"/>
  <c r="AD1462" i="1"/>
  <c r="CL1462" i="1" s="1"/>
  <c r="Y1462" i="1"/>
  <c r="CB1462" i="1" s="1"/>
  <c r="W1462" i="1"/>
  <c r="DA1461" i="1"/>
  <c r="CZ1461" i="1"/>
  <c r="CY1461" i="1"/>
  <c r="CW1461" i="1"/>
  <c r="CV1461" i="1"/>
  <c r="CR1461" i="1"/>
  <c r="CQ1461" i="1"/>
  <c r="CP1461" i="1"/>
  <c r="CN1461" i="1"/>
  <c r="CM1461" i="1"/>
  <c r="CL1461" i="1"/>
  <c r="CH1461" i="1"/>
  <c r="CG1461" i="1"/>
  <c r="CF1461" i="1"/>
  <c r="CE1461" i="1"/>
  <c r="CD1461" i="1"/>
  <c r="CC1461" i="1"/>
  <c r="CB1461" i="1"/>
  <c r="CA1461" i="1"/>
  <c r="CI1461" i="1" s="1"/>
  <c r="BX1461" i="1"/>
  <c r="BW1461" i="1"/>
  <c r="BV1461" i="1"/>
  <c r="BU1461" i="1"/>
  <c r="BT1461" i="1"/>
  <c r="BS1461" i="1"/>
  <c r="BI1461" i="1"/>
  <c r="CO1461" i="1" s="1"/>
  <c r="BB1461" i="1"/>
  <c r="AR1461" i="1"/>
  <c r="W1461" i="1"/>
  <c r="DA1459" i="1"/>
  <c r="CZ1459" i="1"/>
  <c r="CY1459" i="1"/>
  <c r="CW1459" i="1"/>
  <c r="CV1459" i="1"/>
  <c r="CO1459" i="1"/>
  <c r="CL1459" i="1"/>
  <c r="CH1459" i="1"/>
  <c r="CG1459" i="1"/>
  <c r="CF1459" i="1"/>
  <c r="CE1459" i="1"/>
  <c r="CD1459" i="1"/>
  <c r="CC1459" i="1"/>
  <c r="CB1459" i="1"/>
  <c r="CA1459" i="1"/>
  <c r="CI1459" i="1" s="1"/>
  <c r="BW1459" i="1"/>
  <c r="BV1459" i="1"/>
  <c r="BU1459" i="1"/>
  <c r="BT1459" i="1"/>
  <c r="BS1459" i="1"/>
  <c r="BI1459" i="1"/>
  <c r="CK1459" i="1" s="1"/>
  <c r="BB1459" i="1"/>
  <c r="AR1459" i="1"/>
  <c r="AD1459" i="1"/>
  <c r="CR1459" i="1" s="1"/>
  <c r="M1459" i="1"/>
  <c r="DA1456" i="1"/>
  <c r="CZ1456" i="1"/>
  <c r="CY1456" i="1"/>
  <c r="CW1456" i="1"/>
  <c r="CV1456" i="1"/>
  <c r="CR1456" i="1"/>
  <c r="CO1456" i="1"/>
  <c r="CN1456" i="1"/>
  <c r="CM1456" i="1"/>
  <c r="CH1456" i="1"/>
  <c r="CG1456" i="1"/>
  <c r="CF1456" i="1"/>
  <c r="CE1456" i="1"/>
  <c r="CD1456" i="1"/>
  <c r="CC1456" i="1"/>
  <c r="CB1456" i="1"/>
  <c r="CA1456" i="1"/>
  <c r="CI1456" i="1" s="1"/>
  <c r="BW1456" i="1"/>
  <c r="BV1456" i="1"/>
  <c r="BU1456" i="1"/>
  <c r="BT1456" i="1"/>
  <c r="BS1456" i="1"/>
  <c r="BI1456" i="1"/>
  <c r="CL1456" i="1" s="1"/>
  <c r="BB1456" i="1"/>
  <c r="AR1456" i="1"/>
  <c r="AD1456" i="1"/>
  <c r="CP1456" i="1" s="1"/>
  <c r="W1456" i="1"/>
  <c r="M1456" i="1"/>
  <c r="DA1454" i="1"/>
  <c r="CZ1454" i="1"/>
  <c r="CY1454" i="1"/>
  <c r="CW1454" i="1"/>
  <c r="CV1454" i="1"/>
  <c r="CN1454" i="1"/>
  <c r="CH1454" i="1"/>
  <c r="CG1454" i="1"/>
  <c r="CF1454" i="1"/>
  <c r="CE1454" i="1"/>
  <c r="CD1454" i="1"/>
  <c r="CC1454" i="1"/>
  <c r="CB1454" i="1"/>
  <c r="CA1454" i="1"/>
  <c r="CI1454" i="1" s="1"/>
  <c r="BW1454" i="1"/>
  <c r="BV1454" i="1"/>
  <c r="BU1454" i="1"/>
  <c r="BT1454" i="1"/>
  <c r="BS1454" i="1"/>
  <c r="BI1454" i="1"/>
  <c r="CK1454" i="1" s="1"/>
  <c r="BB1454" i="1"/>
  <c r="AR1454" i="1"/>
  <c r="AD1454" i="1"/>
  <c r="CP1454" i="1" s="1"/>
  <c r="W1454" i="1"/>
  <c r="M1454" i="1"/>
  <c r="DA1451" i="1"/>
  <c r="CZ1451" i="1"/>
  <c r="CY1451" i="1"/>
  <c r="CW1451" i="1"/>
  <c r="CV1451" i="1"/>
  <c r="CR1451" i="1"/>
  <c r="CO1451" i="1"/>
  <c r="CN1451" i="1"/>
  <c r="CM1451" i="1"/>
  <c r="CH1451" i="1"/>
  <c r="CG1451" i="1"/>
  <c r="CF1451" i="1"/>
  <c r="CE1451" i="1"/>
  <c r="CD1451" i="1"/>
  <c r="CC1451" i="1"/>
  <c r="CB1451" i="1"/>
  <c r="CA1451" i="1"/>
  <c r="CI1451" i="1" s="1"/>
  <c r="BW1451" i="1"/>
  <c r="BV1451" i="1"/>
  <c r="BU1451" i="1"/>
  <c r="BT1451" i="1"/>
  <c r="BS1451" i="1"/>
  <c r="BI1451" i="1"/>
  <c r="CL1451" i="1" s="1"/>
  <c r="BB1451" i="1"/>
  <c r="AR1451" i="1"/>
  <c r="AD1451" i="1"/>
  <c r="CP1451" i="1" s="1"/>
  <c r="W1451" i="1"/>
  <c r="M1451" i="1"/>
  <c r="DA1449" i="1"/>
  <c r="CZ1449" i="1"/>
  <c r="CY1449" i="1"/>
  <c r="CW1449" i="1"/>
  <c r="CV1449" i="1"/>
  <c r="CN1449" i="1"/>
  <c r="CH1449" i="1"/>
  <c r="CG1449" i="1"/>
  <c r="CF1449" i="1"/>
  <c r="CE1449" i="1"/>
  <c r="CD1449" i="1"/>
  <c r="CC1449" i="1"/>
  <c r="CB1449" i="1"/>
  <c r="CA1449" i="1"/>
  <c r="CI1449" i="1" s="1"/>
  <c r="BW1449" i="1"/>
  <c r="BV1449" i="1"/>
  <c r="BU1449" i="1"/>
  <c r="BT1449" i="1"/>
  <c r="BS1449" i="1"/>
  <c r="BI1449" i="1"/>
  <c r="CK1449" i="1" s="1"/>
  <c r="BB1449" i="1"/>
  <c r="AR1449" i="1"/>
  <c r="AD1449" i="1"/>
  <c r="CP1449" i="1" s="1"/>
  <c r="W1449" i="1"/>
  <c r="M1449" i="1"/>
  <c r="DA1446" i="1"/>
  <c r="CZ1446" i="1"/>
  <c r="CY1446" i="1"/>
  <c r="CW1446" i="1"/>
  <c r="CV1446" i="1"/>
  <c r="CR1446" i="1"/>
  <c r="CO1446" i="1"/>
  <c r="CN1446" i="1"/>
  <c r="CM1446" i="1"/>
  <c r="CH1446" i="1"/>
  <c r="CG1446" i="1"/>
  <c r="CF1446" i="1"/>
  <c r="CE1446" i="1"/>
  <c r="CD1446" i="1"/>
  <c r="CC1446" i="1"/>
  <c r="CB1446" i="1"/>
  <c r="CA1446" i="1"/>
  <c r="CI1446" i="1" s="1"/>
  <c r="BW1446" i="1"/>
  <c r="BV1446" i="1"/>
  <c r="BU1446" i="1"/>
  <c r="BT1446" i="1"/>
  <c r="BS1446" i="1"/>
  <c r="BI1446" i="1"/>
  <c r="CL1446" i="1" s="1"/>
  <c r="BB1446" i="1"/>
  <c r="AR1446" i="1"/>
  <c r="AD1446" i="1"/>
  <c r="CP1446" i="1" s="1"/>
  <c r="W1446" i="1"/>
  <c r="M1446" i="1"/>
  <c r="DA1444" i="1"/>
  <c r="CZ1444" i="1"/>
  <c r="CY1444" i="1"/>
  <c r="CW1444" i="1"/>
  <c r="CV1444" i="1"/>
  <c r="CR1444" i="1"/>
  <c r="CN1444" i="1"/>
  <c r="CH1444" i="1"/>
  <c r="CG1444" i="1"/>
  <c r="CF1444" i="1"/>
  <c r="CE1444" i="1"/>
  <c r="CD1444" i="1"/>
  <c r="CC1444" i="1"/>
  <c r="CB1444" i="1"/>
  <c r="CA1444" i="1"/>
  <c r="CI1444" i="1" s="1"/>
  <c r="BW1444" i="1"/>
  <c r="BV1444" i="1"/>
  <c r="BU1444" i="1"/>
  <c r="BT1444" i="1"/>
  <c r="BS1444" i="1"/>
  <c r="BI1444" i="1"/>
  <c r="CK1444" i="1" s="1"/>
  <c r="BB1444" i="1"/>
  <c r="AR1444" i="1"/>
  <c r="AD1444" i="1"/>
  <c r="CP1444" i="1" s="1"/>
  <c r="W1444" i="1"/>
  <c r="M1444" i="1"/>
  <c r="DA1441" i="1"/>
  <c r="CZ1441" i="1"/>
  <c r="CY1441" i="1"/>
  <c r="CW1441" i="1"/>
  <c r="CV1441" i="1"/>
  <c r="CR1441" i="1"/>
  <c r="CO1441" i="1"/>
  <c r="CN1441" i="1"/>
  <c r="CM1441" i="1"/>
  <c r="CH1441" i="1"/>
  <c r="CG1441" i="1"/>
  <c r="CF1441" i="1"/>
  <c r="CE1441" i="1"/>
  <c r="CD1441" i="1"/>
  <c r="CC1441" i="1"/>
  <c r="CB1441" i="1"/>
  <c r="CA1441" i="1"/>
  <c r="CI1441" i="1" s="1"/>
  <c r="BW1441" i="1"/>
  <c r="BV1441" i="1"/>
  <c r="BU1441" i="1"/>
  <c r="BT1441" i="1"/>
  <c r="BS1441" i="1"/>
  <c r="BI1441" i="1"/>
  <c r="CL1441" i="1" s="1"/>
  <c r="BB1441" i="1"/>
  <c r="AR1441" i="1"/>
  <c r="AD1441" i="1"/>
  <c r="CP1441" i="1" s="1"/>
  <c r="W1441" i="1"/>
  <c r="M1441" i="1"/>
  <c r="DA1439" i="1"/>
  <c r="CZ1439" i="1"/>
  <c r="CY1439" i="1"/>
  <c r="CW1439" i="1"/>
  <c r="CV1439" i="1"/>
  <c r="CR1439" i="1"/>
  <c r="CN1439" i="1"/>
  <c r="CH1439" i="1"/>
  <c r="CG1439" i="1"/>
  <c r="CF1439" i="1"/>
  <c r="CE1439" i="1"/>
  <c r="CD1439" i="1"/>
  <c r="CC1439" i="1"/>
  <c r="CB1439" i="1"/>
  <c r="CA1439" i="1"/>
  <c r="CI1439" i="1" s="1"/>
  <c r="BW1439" i="1"/>
  <c r="BV1439" i="1"/>
  <c r="BU1439" i="1"/>
  <c r="BT1439" i="1"/>
  <c r="BS1439" i="1"/>
  <c r="BI1439" i="1"/>
  <c r="CK1439" i="1" s="1"/>
  <c r="BB1439" i="1"/>
  <c r="AR1439" i="1"/>
  <c r="AD1439" i="1"/>
  <c r="CP1439" i="1" s="1"/>
  <c r="W1439" i="1"/>
  <c r="M1439" i="1"/>
  <c r="DA1437" i="1"/>
  <c r="CZ1437" i="1"/>
  <c r="CY1437" i="1"/>
  <c r="CW1437" i="1"/>
  <c r="CV1437" i="1"/>
  <c r="BW1437" i="1"/>
  <c r="BV1437" i="1"/>
  <c r="BU1437" i="1"/>
  <c r="BT1437" i="1"/>
  <c r="BD1437" i="1"/>
  <c r="CF1437" i="1" s="1"/>
  <c r="BB1437" i="1"/>
  <c r="AR1437" i="1"/>
  <c r="AD1437" i="1"/>
  <c r="W1437" i="1"/>
  <c r="M1437" i="1"/>
  <c r="DA1436" i="1"/>
  <c r="CZ1436" i="1"/>
  <c r="CY1436" i="1"/>
  <c r="CW1436" i="1"/>
  <c r="CV1436" i="1"/>
  <c r="CF1436" i="1"/>
  <c r="CC1436" i="1"/>
  <c r="CB1436" i="1"/>
  <c r="BW1436" i="1"/>
  <c r="BV1436" i="1"/>
  <c r="BU1436" i="1"/>
  <c r="BT1436" i="1"/>
  <c r="BS1436" i="1"/>
  <c r="BI1436" i="1"/>
  <c r="BD1436" i="1"/>
  <c r="CA1436" i="1" s="1"/>
  <c r="BB1436" i="1"/>
  <c r="AR1436" i="1"/>
  <c r="AD1436" i="1"/>
  <c r="CL1436" i="1" s="1"/>
  <c r="W1436" i="1"/>
  <c r="M1436" i="1"/>
  <c r="DA1435" i="1"/>
  <c r="CZ1435" i="1"/>
  <c r="CY1435" i="1"/>
  <c r="CW1435" i="1"/>
  <c r="CV1435" i="1"/>
  <c r="CQ1435" i="1"/>
  <c r="CP1435" i="1"/>
  <c r="CL1435" i="1"/>
  <c r="CH1435" i="1"/>
  <c r="CG1435" i="1"/>
  <c r="CF1435" i="1"/>
  <c r="CD1435" i="1"/>
  <c r="CC1435" i="1"/>
  <c r="CB1435" i="1"/>
  <c r="BX1435" i="1"/>
  <c r="BW1435" i="1"/>
  <c r="BV1435" i="1"/>
  <c r="BU1435" i="1"/>
  <c r="BT1435" i="1"/>
  <c r="BS1435" i="1"/>
  <c r="BI1435" i="1"/>
  <c r="BD1435" i="1"/>
  <c r="CE1435" i="1" s="1"/>
  <c r="BB1435" i="1"/>
  <c r="AR1435" i="1"/>
  <c r="AD1435" i="1"/>
  <c r="CO1435" i="1" s="1"/>
  <c r="W1435" i="1"/>
  <c r="M1435" i="1"/>
  <c r="DA1434" i="1"/>
  <c r="CZ1434" i="1"/>
  <c r="CY1434" i="1"/>
  <c r="CW1434" i="1"/>
  <c r="CV1434" i="1"/>
  <c r="CH1434" i="1"/>
  <c r="CD1434" i="1"/>
  <c r="BW1434" i="1"/>
  <c r="BV1434" i="1"/>
  <c r="BU1434" i="1"/>
  <c r="BT1434" i="1"/>
  <c r="BD1434" i="1"/>
  <c r="CA1434" i="1" s="1"/>
  <c r="BB1434" i="1"/>
  <c r="AR1434" i="1"/>
  <c r="AD1434" i="1"/>
  <c r="W1434" i="1"/>
  <c r="M1434" i="1"/>
  <c r="CZ1422" i="1"/>
  <c r="CY1422" i="1"/>
  <c r="CW1422" i="1"/>
  <c r="CV1422" i="1"/>
  <c r="CR1422" i="1"/>
  <c r="CQ1422" i="1"/>
  <c r="CN1422" i="1"/>
  <c r="CM1422" i="1"/>
  <c r="CL1422" i="1"/>
  <c r="CH1422" i="1"/>
  <c r="CG1422" i="1"/>
  <c r="CF1422" i="1"/>
  <c r="CE1422" i="1"/>
  <c r="CD1422" i="1"/>
  <c r="CC1422" i="1"/>
  <c r="CB1422" i="1"/>
  <c r="CA1422" i="1"/>
  <c r="BX1422" i="1"/>
  <c r="BW1422" i="1"/>
  <c r="BV1422" i="1"/>
  <c r="BU1422" i="1"/>
  <c r="BT1422" i="1"/>
  <c r="BS1422" i="1"/>
  <c r="BI1422" i="1"/>
  <c r="BB1422" i="1"/>
  <c r="AR1422" i="1"/>
  <c r="AD1422" i="1"/>
  <c r="CK1422" i="1" s="1"/>
  <c r="W1422" i="1"/>
  <c r="M1422" i="1"/>
  <c r="CZ1421" i="1"/>
  <c r="CY1421" i="1"/>
  <c r="CW1421" i="1"/>
  <c r="CV1421" i="1"/>
  <c r="CP1421" i="1"/>
  <c r="CL1421" i="1"/>
  <c r="CH1421" i="1"/>
  <c r="CG1421" i="1"/>
  <c r="CF1421" i="1"/>
  <c r="CE1421" i="1"/>
  <c r="CD1421" i="1"/>
  <c r="CC1421" i="1"/>
  <c r="CB1421" i="1"/>
  <c r="CA1421" i="1"/>
  <c r="BW1421" i="1"/>
  <c r="BV1421" i="1"/>
  <c r="BU1421" i="1"/>
  <c r="BT1421" i="1"/>
  <c r="BS1421" i="1"/>
  <c r="BI1421" i="1"/>
  <c r="BB1421" i="1"/>
  <c r="AR1421" i="1"/>
  <c r="AD1421" i="1"/>
  <c r="W1421" i="1"/>
  <c r="M1421" i="1"/>
  <c r="CZ1420" i="1"/>
  <c r="CY1420" i="1"/>
  <c r="CW1420" i="1"/>
  <c r="CV1420" i="1"/>
  <c r="CH1420" i="1"/>
  <c r="CG1420" i="1"/>
  <c r="CF1420" i="1"/>
  <c r="CE1420" i="1"/>
  <c r="CD1420" i="1"/>
  <c r="CC1420" i="1"/>
  <c r="CB1420" i="1"/>
  <c r="CA1420" i="1"/>
  <c r="CI1420" i="1" s="1"/>
  <c r="BW1420" i="1"/>
  <c r="BV1420" i="1"/>
  <c r="BU1420" i="1"/>
  <c r="BT1420" i="1"/>
  <c r="BS1420" i="1"/>
  <c r="BI1420" i="1"/>
  <c r="CL1420" i="1" s="1"/>
  <c r="BB1420" i="1"/>
  <c r="AR1420" i="1"/>
  <c r="AD1420" i="1"/>
  <c r="W1420" i="1"/>
  <c r="M1420" i="1"/>
  <c r="CZ1419" i="1"/>
  <c r="CY1419" i="1"/>
  <c r="CW1419" i="1"/>
  <c r="CV1419" i="1"/>
  <c r="CH1419" i="1"/>
  <c r="CD1419" i="1"/>
  <c r="BW1419" i="1"/>
  <c r="BV1419" i="1"/>
  <c r="BU1419" i="1"/>
  <c r="BT1419" i="1"/>
  <c r="BD1419" i="1"/>
  <c r="BI1419" i="1" s="1"/>
  <c r="BB1419" i="1"/>
  <c r="AR1419" i="1"/>
  <c r="Y1419" i="1"/>
  <c r="CE1419" i="1" s="1"/>
  <c r="W1419" i="1"/>
  <c r="M1419" i="1"/>
  <c r="CZ1418" i="1"/>
  <c r="CY1418" i="1"/>
  <c r="CW1418" i="1"/>
  <c r="CV1418" i="1"/>
  <c r="CR1418" i="1"/>
  <c r="CQ1418" i="1"/>
  <c r="CM1418" i="1"/>
  <c r="CH1418" i="1"/>
  <c r="CG1418" i="1"/>
  <c r="CF1418" i="1"/>
  <c r="CE1418" i="1"/>
  <c r="CD1418" i="1"/>
  <c r="CC1418" i="1"/>
  <c r="CB1418" i="1"/>
  <c r="CA1418" i="1"/>
  <c r="CI1418" i="1" s="1"/>
  <c r="BX1418" i="1"/>
  <c r="BW1418" i="1"/>
  <c r="BV1418" i="1"/>
  <c r="BU1418" i="1"/>
  <c r="BT1418" i="1"/>
  <c r="BS1418" i="1"/>
  <c r="BI1418" i="1"/>
  <c r="BB1418" i="1"/>
  <c r="AR1418" i="1"/>
  <c r="AD1418" i="1"/>
  <c r="CP1418" i="1" s="1"/>
  <c r="W1418" i="1"/>
  <c r="M1418" i="1"/>
  <c r="CZ1417" i="1"/>
  <c r="CY1417" i="1"/>
  <c r="CW1417" i="1"/>
  <c r="CV1417" i="1"/>
  <c r="CK1417" i="1"/>
  <c r="CH1417" i="1"/>
  <c r="CG1417" i="1"/>
  <c r="CF1417" i="1"/>
  <c r="CE1417" i="1"/>
  <c r="CD1417" i="1"/>
  <c r="CC1417" i="1"/>
  <c r="CB1417" i="1"/>
  <c r="CA1417" i="1"/>
  <c r="CI1417" i="1" s="1"/>
  <c r="BW1417" i="1"/>
  <c r="BV1417" i="1"/>
  <c r="BU1417" i="1"/>
  <c r="BT1417" i="1"/>
  <c r="BS1417" i="1"/>
  <c r="BI1417" i="1"/>
  <c r="CO1417" i="1" s="1"/>
  <c r="BB1417" i="1"/>
  <c r="AR1417" i="1"/>
  <c r="AD1417" i="1"/>
  <c r="W1417" i="1"/>
  <c r="M1417" i="1"/>
  <c r="CZ1416" i="1"/>
  <c r="CY1416" i="1"/>
  <c r="CW1416" i="1"/>
  <c r="CV1416" i="1"/>
  <c r="CR1416" i="1"/>
  <c r="CO1416" i="1"/>
  <c r="CN1416" i="1"/>
  <c r="CM1416" i="1"/>
  <c r="CH1416" i="1"/>
  <c r="CG1416" i="1"/>
  <c r="CF1416" i="1"/>
  <c r="CE1416" i="1"/>
  <c r="CD1416" i="1"/>
  <c r="CC1416" i="1"/>
  <c r="CB1416" i="1"/>
  <c r="CA1416" i="1"/>
  <c r="BW1416" i="1"/>
  <c r="BV1416" i="1"/>
  <c r="BU1416" i="1"/>
  <c r="BT1416" i="1"/>
  <c r="BS1416" i="1"/>
  <c r="BI1416" i="1"/>
  <c r="CL1416" i="1" s="1"/>
  <c r="BB1416" i="1"/>
  <c r="AR1416" i="1"/>
  <c r="AD1416" i="1"/>
  <c r="CP1416" i="1" s="1"/>
  <c r="W1416" i="1"/>
  <c r="CZ1415" i="1"/>
  <c r="CY1415" i="1"/>
  <c r="CW1415" i="1"/>
  <c r="CV1415" i="1"/>
  <c r="CH1415" i="1"/>
  <c r="CG1415" i="1"/>
  <c r="CF1415" i="1"/>
  <c r="CE1415" i="1"/>
  <c r="CD1415" i="1"/>
  <c r="CC1415" i="1"/>
  <c r="CB1415" i="1"/>
  <c r="CA1415" i="1"/>
  <c r="BW1415" i="1"/>
  <c r="BV1415" i="1"/>
  <c r="BU1415" i="1"/>
  <c r="BT1415" i="1"/>
  <c r="BS1415" i="1"/>
  <c r="BI1415" i="1"/>
  <c r="CK1415" i="1" s="1"/>
  <c r="BB1415" i="1"/>
  <c r="AR1415" i="1"/>
  <c r="AD1415" i="1"/>
  <c r="W1415" i="1"/>
  <c r="M1415" i="1"/>
  <c r="DA1414" i="1"/>
  <c r="CZ1414" i="1"/>
  <c r="CY1414" i="1"/>
  <c r="CW1414" i="1"/>
  <c r="CV1414" i="1"/>
  <c r="CN1414" i="1"/>
  <c r="CH1414" i="1"/>
  <c r="CG1414" i="1"/>
  <c r="CF1414" i="1"/>
  <c r="CE1414" i="1"/>
  <c r="CD1414" i="1"/>
  <c r="CC1414" i="1"/>
  <c r="CB1414" i="1"/>
  <c r="CA1414" i="1"/>
  <c r="BX1414" i="1"/>
  <c r="BW1414" i="1"/>
  <c r="BV1414" i="1"/>
  <c r="BU1414" i="1"/>
  <c r="BT1414" i="1"/>
  <c r="BS1414" i="1"/>
  <c r="BI1414" i="1"/>
  <c r="CR1414" i="1" s="1"/>
  <c r="BB1414" i="1"/>
  <c r="AR1414" i="1"/>
  <c r="AD1414" i="1"/>
  <c r="W1414" i="1"/>
  <c r="DA1413" i="1"/>
  <c r="CZ1413" i="1"/>
  <c r="CY1413" i="1"/>
  <c r="CW1413" i="1"/>
  <c r="CV1413" i="1"/>
  <c r="CP1413" i="1"/>
  <c r="CH1413" i="1"/>
  <c r="CG1413" i="1"/>
  <c r="CF1413" i="1"/>
  <c r="CE1413" i="1"/>
  <c r="CD1413" i="1"/>
  <c r="CC1413" i="1"/>
  <c r="CB1413" i="1"/>
  <c r="CA1413" i="1"/>
  <c r="CI1413" i="1" s="1"/>
  <c r="BW1413" i="1"/>
  <c r="BV1413" i="1"/>
  <c r="BU1413" i="1"/>
  <c r="BT1413" i="1"/>
  <c r="BS1413" i="1"/>
  <c r="BI1413" i="1"/>
  <c r="BB1413" i="1"/>
  <c r="AR1413" i="1"/>
  <c r="AD1413" i="1"/>
  <c r="CQ1413" i="1" s="1"/>
  <c r="W1413" i="1"/>
  <c r="M1413" i="1"/>
  <c r="DA1412" i="1"/>
  <c r="CZ1412" i="1"/>
  <c r="CY1412" i="1"/>
  <c r="CW1412" i="1"/>
  <c r="CV1412" i="1"/>
  <c r="CO1412" i="1"/>
  <c r="CH1412" i="1"/>
  <c r="CG1412" i="1"/>
  <c r="CF1412" i="1"/>
  <c r="CE1412" i="1"/>
  <c r="CD1412" i="1"/>
  <c r="CC1412" i="1"/>
  <c r="CB1412" i="1"/>
  <c r="CA1412" i="1"/>
  <c r="CI1412" i="1" s="1"/>
  <c r="BW1412" i="1"/>
  <c r="BV1412" i="1"/>
  <c r="BU1412" i="1"/>
  <c r="BT1412" i="1"/>
  <c r="BS1412" i="1"/>
  <c r="BI1412" i="1"/>
  <c r="CN1412" i="1" s="1"/>
  <c r="BB1412" i="1"/>
  <c r="AD1412" i="1"/>
  <c r="CM1412" i="1" s="1"/>
  <c r="W1412" i="1"/>
  <c r="M1412" i="1"/>
  <c r="DA1411" i="1"/>
  <c r="CZ1411" i="1"/>
  <c r="CY1411" i="1"/>
  <c r="CW1411" i="1"/>
  <c r="CV1411" i="1"/>
  <c r="CQ1411" i="1"/>
  <c r="CN1411" i="1"/>
  <c r="CH1411" i="1"/>
  <c r="CG1411" i="1"/>
  <c r="CF1411" i="1"/>
  <c r="CE1411" i="1"/>
  <c r="CD1411" i="1"/>
  <c r="CC1411" i="1"/>
  <c r="CB1411" i="1"/>
  <c r="CA1411" i="1"/>
  <c r="CI1411" i="1" s="1"/>
  <c r="BX1411" i="1"/>
  <c r="BW1411" i="1"/>
  <c r="BV1411" i="1"/>
  <c r="BU1411" i="1"/>
  <c r="BT1411" i="1"/>
  <c r="BS1411" i="1"/>
  <c r="BI1411" i="1"/>
  <c r="CM1411" i="1" s="1"/>
  <c r="BB1411" i="1"/>
  <c r="AR1411" i="1"/>
  <c r="AD1411" i="1"/>
  <c r="W1411" i="1"/>
  <c r="M1411" i="1"/>
  <c r="DA1410" i="1"/>
  <c r="CZ1410" i="1"/>
  <c r="CY1410" i="1"/>
  <c r="CW1410" i="1"/>
  <c r="CV1410" i="1"/>
  <c r="CQ1410" i="1"/>
  <c r="CN1410" i="1"/>
  <c r="CL1410" i="1"/>
  <c r="CH1410" i="1"/>
  <c r="CG1410" i="1"/>
  <c r="CF1410" i="1"/>
  <c r="CE1410" i="1"/>
  <c r="CD1410" i="1"/>
  <c r="CC1410" i="1"/>
  <c r="CB1410" i="1"/>
  <c r="CA1410" i="1"/>
  <c r="CI1410" i="1" s="1"/>
  <c r="BX1410" i="1"/>
  <c r="BW1410" i="1"/>
  <c r="BV1410" i="1"/>
  <c r="BU1410" i="1"/>
  <c r="BT1410" i="1"/>
  <c r="BS1410" i="1"/>
  <c r="BI1410" i="1"/>
  <c r="BB1410" i="1"/>
  <c r="AR1410" i="1"/>
  <c r="AD1410" i="1"/>
  <c r="CP1410" i="1" s="1"/>
  <c r="W1410" i="1"/>
  <c r="M1410" i="1"/>
  <c r="DA1409" i="1"/>
  <c r="CZ1409" i="1"/>
  <c r="CY1409" i="1"/>
  <c r="CW1409" i="1"/>
  <c r="CV1409" i="1"/>
  <c r="CH1409" i="1"/>
  <c r="CG1409" i="1"/>
  <c r="CF1409" i="1"/>
  <c r="CD1409" i="1"/>
  <c r="CC1409" i="1"/>
  <c r="CB1409" i="1"/>
  <c r="BW1409" i="1"/>
  <c r="BV1409" i="1"/>
  <c r="BU1409" i="1"/>
  <c r="BT1409" i="1"/>
  <c r="BS1409" i="1"/>
  <c r="BI1409" i="1"/>
  <c r="BD1409" i="1"/>
  <c r="CA1409" i="1" s="1"/>
  <c r="BB1409" i="1"/>
  <c r="AR1409" i="1"/>
  <c r="AD1409" i="1"/>
  <c r="Y1409" i="1"/>
  <c r="CE1409" i="1" s="1"/>
  <c r="W1409" i="1"/>
  <c r="M1409" i="1"/>
  <c r="DA1408" i="1"/>
  <c r="CZ1408" i="1"/>
  <c r="CY1408" i="1"/>
  <c r="CW1408" i="1"/>
  <c r="CV1408" i="1"/>
  <c r="CQ1408" i="1"/>
  <c r="CH1408" i="1"/>
  <c r="CE1408" i="1"/>
  <c r="CC1408" i="1"/>
  <c r="BW1408" i="1"/>
  <c r="BV1408" i="1"/>
  <c r="BU1408" i="1"/>
  <c r="BT1408" i="1"/>
  <c r="BI1408" i="1"/>
  <c r="BD1408" i="1"/>
  <c r="CA1408" i="1" s="1"/>
  <c r="BB1408" i="1"/>
  <c r="AR1408" i="1"/>
  <c r="AD1408" i="1"/>
  <c r="CR1408" i="1" s="1"/>
  <c r="Y1408" i="1"/>
  <c r="W1408" i="1"/>
  <c r="M1408" i="1"/>
  <c r="DA1407" i="1"/>
  <c r="CZ1407" i="1"/>
  <c r="CY1407" i="1"/>
  <c r="CW1407" i="1"/>
  <c r="CV1407" i="1"/>
  <c r="CK1407" i="1"/>
  <c r="CH1407" i="1"/>
  <c r="CG1407" i="1"/>
  <c r="CF1407" i="1"/>
  <c r="CD1407" i="1"/>
  <c r="CC1407" i="1"/>
  <c r="CB1407" i="1"/>
  <c r="BW1407" i="1"/>
  <c r="BV1407" i="1"/>
  <c r="BU1407" i="1"/>
  <c r="BT1407" i="1"/>
  <c r="BS1407" i="1"/>
  <c r="BI1407" i="1"/>
  <c r="BD1407" i="1"/>
  <c r="BB1407" i="1"/>
  <c r="AR1407" i="1"/>
  <c r="AD1407" i="1"/>
  <c r="CR1407" i="1" s="1"/>
  <c r="Y1407" i="1"/>
  <c r="CA1407" i="1" s="1"/>
  <c r="W1407" i="1"/>
  <c r="M1407" i="1"/>
  <c r="DA1406" i="1"/>
  <c r="CZ1406" i="1"/>
  <c r="CY1406" i="1"/>
  <c r="CW1406" i="1"/>
  <c r="CV1406" i="1"/>
  <c r="CQ1406" i="1"/>
  <c r="CH1406" i="1"/>
  <c r="CF1406" i="1"/>
  <c r="CD1406" i="1"/>
  <c r="CB1406" i="1"/>
  <c r="BX1406" i="1"/>
  <c r="BW1406" i="1"/>
  <c r="BV1406" i="1"/>
  <c r="BU1406" i="1"/>
  <c r="BT1406" i="1"/>
  <c r="BI1406" i="1"/>
  <c r="CM1406" i="1" s="1"/>
  <c r="BD1406" i="1"/>
  <c r="BB1406" i="1"/>
  <c r="AR1406" i="1"/>
  <c r="AD1406" i="1"/>
  <c r="CP1406" i="1" s="1"/>
  <c r="Y1406" i="1"/>
  <c r="CG1406" i="1" s="1"/>
  <c r="W1406" i="1"/>
  <c r="M1406" i="1"/>
  <c r="DA1405" i="1"/>
  <c r="CZ1405" i="1"/>
  <c r="CY1405" i="1"/>
  <c r="CW1405" i="1"/>
  <c r="CV1405" i="1"/>
  <c r="CR1405" i="1"/>
  <c r="CP1405" i="1"/>
  <c r="CN1405" i="1"/>
  <c r="CL1405" i="1"/>
  <c r="CH1405" i="1"/>
  <c r="CG1405" i="1"/>
  <c r="CF1405" i="1"/>
  <c r="CE1405" i="1"/>
  <c r="CD1405" i="1"/>
  <c r="CC1405" i="1"/>
  <c r="CB1405" i="1"/>
  <c r="CA1405" i="1"/>
  <c r="BW1405" i="1"/>
  <c r="BV1405" i="1"/>
  <c r="BU1405" i="1"/>
  <c r="BT1405" i="1"/>
  <c r="BS1405" i="1"/>
  <c r="BI1405" i="1"/>
  <c r="CK1405" i="1" s="1"/>
  <c r="BB1405" i="1"/>
  <c r="AD1405" i="1"/>
  <c r="CM1405" i="1" s="1"/>
  <c r="W1405" i="1"/>
  <c r="M1405" i="1"/>
  <c r="DA1404" i="1"/>
  <c r="CZ1404" i="1"/>
  <c r="CY1404" i="1"/>
  <c r="CW1404" i="1"/>
  <c r="CV1404" i="1"/>
  <c r="CG1404" i="1"/>
  <c r="CC1404" i="1"/>
  <c r="BW1404" i="1"/>
  <c r="BV1404" i="1"/>
  <c r="BU1404" i="1"/>
  <c r="BT1404" i="1"/>
  <c r="BS1404" i="1"/>
  <c r="BD1404" i="1"/>
  <c r="BI1404" i="1" s="1"/>
  <c r="BB1404" i="1"/>
  <c r="AR1404" i="1"/>
  <c r="Y1404" i="1"/>
  <c r="CF1404" i="1" s="1"/>
  <c r="W1404" i="1"/>
  <c r="M1404" i="1"/>
  <c r="DA1403" i="1"/>
  <c r="CZ1403" i="1"/>
  <c r="CY1403" i="1"/>
  <c r="CW1403" i="1"/>
  <c r="CV1403" i="1"/>
  <c r="CQ1403" i="1"/>
  <c r="CM1403" i="1"/>
  <c r="CH1403" i="1"/>
  <c r="CF1403" i="1"/>
  <c r="CD1403" i="1"/>
  <c r="CB1403" i="1"/>
  <c r="BX1403" i="1"/>
  <c r="BW1403" i="1"/>
  <c r="BV1403" i="1"/>
  <c r="BU1403" i="1"/>
  <c r="BT1403" i="1"/>
  <c r="BI1403" i="1"/>
  <c r="BD1403" i="1"/>
  <c r="CA1403" i="1" s="1"/>
  <c r="BB1403" i="1"/>
  <c r="AR1403" i="1"/>
  <c r="AD1403" i="1"/>
  <c r="CL1403" i="1" s="1"/>
  <c r="Y1403" i="1"/>
  <c r="CC1403" i="1" s="1"/>
  <c r="W1403" i="1"/>
  <c r="M1403" i="1"/>
  <c r="DA1402" i="1"/>
  <c r="CZ1402" i="1"/>
  <c r="CY1402" i="1"/>
  <c r="CW1402" i="1"/>
  <c r="CV1402" i="1"/>
  <c r="CH1402" i="1"/>
  <c r="CG1402" i="1"/>
  <c r="CF1402" i="1"/>
  <c r="CE1402" i="1"/>
  <c r="CD1402" i="1"/>
  <c r="CC1402" i="1"/>
  <c r="CB1402" i="1"/>
  <c r="CA1402" i="1"/>
  <c r="CI1402" i="1" s="1"/>
  <c r="BW1402" i="1"/>
  <c r="BV1402" i="1"/>
  <c r="BU1402" i="1"/>
  <c r="BT1402" i="1"/>
  <c r="BS1402" i="1"/>
  <c r="BB1402" i="1"/>
  <c r="AD1402" i="1"/>
  <c r="W1402" i="1"/>
  <c r="M1402" i="1"/>
  <c r="DA1401" i="1"/>
  <c r="CZ1401" i="1"/>
  <c r="CY1401" i="1"/>
  <c r="CW1401" i="1"/>
  <c r="CV1401" i="1"/>
  <c r="CH1401" i="1"/>
  <c r="CG1401" i="1"/>
  <c r="CF1401" i="1"/>
  <c r="CD1401" i="1"/>
  <c r="CC1401" i="1"/>
  <c r="CB1401" i="1"/>
  <c r="BW1401" i="1"/>
  <c r="BV1401" i="1"/>
  <c r="BU1401" i="1"/>
  <c r="BT1401" i="1"/>
  <c r="BS1401" i="1"/>
  <c r="BI1401" i="1"/>
  <c r="CK1401" i="1" s="1"/>
  <c r="BD1401" i="1"/>
  <c r="CA1401" i="1" s="1"/>
  <c r="BB1401" i="1"/>
  <c r="AR1401" i="1"/>
  <c r="AD1401" i="1"/>
  <c r="Y1401" i="1"/>
  <c r="CE1401" i="1" s="1"/>
  <c r="W1401" i="1"/>
  <c r="M1401" i="1"/>
  <c r="DA1400" i="1"/>
  <c r="CZ1400" i="1"/>
  <c r="CY1400" i="1"/>
  <c r="CW1400" i="1"/>
  <c r="CV1400" i="1"/>
  <c r="CG1400" i="1"/>
  <c r="CC1400" i="1"/>
  <c r="BW1400" i="1"/>
  <c r="BV1400" i="1"/>
  <c r="BU1400" i="1"/>
  <c r="BT1400" i="1"/>
  <c r="BS1400" i="1"/>
  <c r="BD1400" i="1"/>
  <c r="BI1400" i="1" s="1"/>
  <c r="BB1400" i="1"/>
  <c r="AR1400" i="1"/>
  <c r="Y1400" i="1"/>
  <c r="CF1400" i="1" s="1"/>
  <c r="W1400" i="1"/>
  <c r="M1400" i="1"/>
  <c r="DA1399" i="1"/>
  <c r="CZ1399" i="1"/>
  <c r="CY1399" i="1"/>
  <c r="CW1399" i="1"/>
  <c r="CV1399" i="1"/>
  <c r="BW1399" i="1"/>
  <c r="BV1399" i="1"/>
  <c r="BU1399" i="1"/>
  <c r="BT1399" i="1"/>
  <c r="BD1399" i="1"/>
  <c r="BI1399" i="1" s="1"/>
  <c r="BB1399" i="1"/>
  <c r="AR1399" i="1"/>
  <c r="Y1399" i="1"/>
  <c r="W1399" i="1"/>
  <c r="M1399" i="1"/>
  <c r="DA1398" i="1"/>
  <c r="CZ1398" i="1"/>
  <c r="CY1398" i="1"/>
  <c r="CW1398" i="1"/>
  <c r="CV1398" i="1"/>
  <c r="CG1398" i="1"/>
  <c r="CC1398" i="1"/>
  <c r="BW1398" i="1"/>
  <c r="BV1398" i="1"/>
  <c r="BU1398" i="1"/>
  <c r="BT1398" i="1"/>
  <c r="BS1398" i="1"/>
  <c r="BD1398" i="1"/>
  <c r="BI1398" i="1" s="1"/>
  <c r="BB1398" i="1"/>
  <c r="AR1398" i="1"/>
  <c r="Y1398" i="1"/>
  <c r="CB1398" i="1" s="1"/>
  <c r="W1398" i="1"/>
  <c r="M1398" i="1"/>
  <c r="DA1397" i="1"/>
  <c r="CZ1397" i="1"/>
  <c r="CY1397" i="1"/>
  <c r="CQ1397" i="1"/>
  <c r="CH1397" i="1"/>
  <c r="CG1397" i="1"/>
  <c r="CF1397" i="1"/>
  <c r="CE1397" i="1"/>
  <c r="CD1397" i="1"/>
  <c r="CC1397" i="1"/>
  <c r="CB1397" i="1"/>
  <c r="CA1397" i="1"/>
  <c r="CI1397" i="1" s="1"/>
  <c r="BW1397" i="1"/>
  <c r="BV1397" i="1"/>
  <c r="BU1397" i="1"/>
  <c r="BT1397" i="1"/>
  <c r="BS1397" i="1"/>
  <c r="BM1397" i="1"/>
  <c r="BL1397" i="1"/>
  <c r="BI1397" i="1"/>
  <c r="BB1397" i="1"/>
  <c r="AR1397" i="1"/>
  <c r="AH1397" i="1"/>
  <c r="CW1397" i="1" s="1"/>
  <c r="AG1397" i="1"/>
  <c r="CV1397" i="1" s="1"/>
  <c r="AD1397" i="1"/>
  <c r="CP1397" i="1" s="1"/>
  <c r="W1397" i="1"/>
  <c r="M1397" i="1"/>
  <c r="DA1396" i="1"/>
  <c r="CZ1396" i="1"/>
  <c r="CY1396" i="1"/>
  <c r="CW1396" i="1"/>
  <c r="CV1396" i="1"/>
  <c r="CH1396" i="1"/>
  <c r="CG1396" i="1"/>
  <c r="CF1396" i="1"/>
  <c r="CE1396" i="1"/>
  <c r="CD1396" i="1"/>
  <c r="CC1396" i="1"/>
  <c r="CB1396" i="1"/>
  <c r="CA1396" i="1"/>
  <c r="BW1396" i="1"/>
  <c r="BV1396" i="1"/>
  <c r="BU1396" i="1"/>
  <c r="BT1396" i="1"/>
  <c r="BS1396" i="1"/>
  <c r="BI1396" i="1"/>
  <c r="BB1396" i="1"/>
  <c r="AR1396" i="1"/>
  <c r="AD1396" i="1"/>
  <c r="W1396" i="1"/>
  <c r="M1396" i="1"/>
  <c r="DA1395" i="1"/>
  <c r="CZ1395" i="1"/>
  <c r="CY1395" i="1"/>
  <c r="CW1395" i="1"/>
  <c r="CV1395" i="1"/>
  <c r="CK1395" i="1"/>
  <c r="CH1395" i="1"/>
  <c r="CG1395" i="1"/>
  <c r="CF1395" i="1"/>
  <c r="CE1395" i="1"/>
  <c r="CD1395" i="1"/>
  <c r="CC1395" i="1"/>
  <c r="CB1395" i="1"/>
  <c r="CA1395" i="1"/>
  <c r="CI1395" i="1" s="1"/>
  <c r="BW1395" i="1"/>
  <c r="BV1395" i="1"/>
  <c r="BU1395" i="1"/>
  <c r="BT1395" i="1"/>
  <c r="BS1395" i="1"/>
  <c r="BI1395" i="1"/>
  <c r="BB1395" i="1"/>
  <c r="AR1395" i="1"/>
  <c r="AD1395" i="1"/>
  <c r="CR1395" i="1" s="1"/>
  <c r="W1395" i="1"/>
  <c r="M1395" i="1"/>
  <c r="DA1394" i="1"/>
  <c r="CZ1394" i="1"/>
  <c r="CY1394" i="1"/>
  <c r="CW1394" i="1"/>
  <c r="CV1394" i="1"/>
  <c r="CR1394" i="1"/>
  <c r="CN1394" i="1"/>
  <c r="CH1394" i="1"/>
  <c r="CG1394" i="1"/>
  <c r="CF1394" i="1"/>
  <c r="CE1394" i="1"/>
  <c r="CD1394" i="1"/>
  <c r="CC1394" i="1"/>
  <c r="CB1394" i="1"/>
  <c r="CA1394" i="1"/>
  <c r="BW1394" i="1"/>
  <c r="BV1394" i="1"/>
  <c r="BU1394" i="1"/>
  <c r="BT1394" i="1"/>
  <c r="BS1394" i="1"/>
  <c r="BI1394" i="1"/>
  <c r="BB1394" i="1"/>
  <c r="AR1394" i="1"/>
  <c r="AD1394" i="1"/>
  <c r="CM1394" i="1" s="1"/>
  <c r="W1394" i="1"/>
  <c r="M1394" i="1"/>
  <c r="DA1393" i="1"/>
  <c r="CZ1393" i="1"/>
  <c r="CY1393" i="1"/>
  <c r="CW1393" i="1"/>
  <c r="CV1393" i="1"/>
  <c r="CQ1393" i="1"/>
  <c r="CM1393" i="1"/>
  <c r="CH1393" i="1"/>
  <c r="CG1393" i="1"/>
  <c r="CF1393" i="1"/>
  <c r="CE1393" i="1"/>
  <c r="CD1393" i="1"/>
  <c r="CC1393" i="1"/>
  <c r="CB1393" i="1"/>
  <c r="CA1393" i="1"/>
  <c r="BX1393" i="1"/>
  <c r="BW1393" i="1"/>
  <c r="BV1393" i="1"/>
  <c r="BU1393" i="1"/>
  <c r="BT1393" i="1"/>
  <c r="BS1393" i="1"/>
  <c r="BI1393" i="1"/>
  <c r="CO1393" i="1" s="1"/>
  <c r="BB1393" i="1"/>
  <c r="AR1393" i="1"/>
  <c r="AD1393" i="1"/>
  <c r="CP1393" i="1" s="1"/>
  <c r="W1393" i="1"/>
  <c r="M1393" i="1"/>
  <c r="DA1392" i="1"/>
  <c r="CZ1392" i="1"/>
  <c r="CY1392" i="1"/>
  <c r="CW1392" i="1"/>
  <c r="CV1392" i="1"/>
  <c r="CL1392" i="1"/>
  <c r="CH1392" i="1"/>
  <c r="CG1392" i="1"/>
  <c r="CF1392" i="1"/>
  <c r="CE1392" i="1"/>
  <c r="CD1392" i="1"/>
  <c r="CC1392" i="1"/>
  <c r="CB1392" i="1"/>
  <c r="CA1392" i="1"/>
  <c r="CI1392" i="1" s="1"/>
  <c r="BW1392" i="1"/>
  <c r="BV1392" i="1"/>
  <c r="BU1392" i="1"/>
  <c r="BT1392" i="1"/>
  <c r="BS1392" i="1"/>
  <c r="BI1392" i="1"/>
  <c r="BB1392" i="1"/>
  <c r="AR1392" i="1"/>
  <c r="AD1392" i="1"/>
  <c r="W1392" i="1"/>
  <c r="M1392" i="1"/>
  <c r="DA1391" i="1"/>
  <c r="CZ1391" i="1"/>
  <c r="CY1391" i="1"/>
  <c r="CW1391" i="1"/>
  <c r="CV1391" i="1"/>
  <c r="CK1391" i="1"/>
  <c r="CH1391" i="1"/>
  <c r="CG1391" i="1"/>
  <c r="CF1391" i="1"/>
  <c r="CE1391" i="1"/>
  <c r="CD1391" i="1"/>
  <c r="CC1391" i="1"/>
  <c r="CB1391" i="1"/>
  <c r="CA1391" i="1"/>
  <c r="BW1391" i="1"/>
  <c r="BV1391" i="1"/>
  <c r="BU1391" i="1"/>
  <c r="BT1391" i="1"/>
  <c r="BS1391" i="1"/>
  <c r="BI1391" i="1"/>
  <c r="CO1391" i="1" s="1"/>
  <c r="BB1391" i="1"/>
  <c r="AR1391" i="1"/>
  <c r="AD1391" i="1"/>
  <c r="W1391" i="1"/>
  <c r="M1391" i="1"/>
  <c r="DA1390" i="1"/>
  <c r="CZ1390" i="1"/>
  <c r="CY1390" i="1"/>
  <c r="CW1390" i="1"/>
  <c r="CV1390" i="1"/>
  <c r="CR1390" i="1"/>
  <c r="CN1390" i="1"/>
  <c r="CL1390" i="1"/>
  <c r="CH1390" i="1"/>
  <c r="CG1390" i="1"/>
  <c r="CF1390" i="1"/>
  <c r="CE1390" i="1"/>
  <c r="CD1390" i="1"/>
  <c r="CC1390" i="1"/>
  <c r="CB1390" i="1"/>
  <c r="CA1390" i="1"/>
  <c r="CI1390" i="1" s="1"/>
  <c r="BW1390" i="1"/>
  <c r="BV1390" i="1"/>
  <c r="BU1390" i="1"/>
  <c r="BT1390" i="1"/>
  <c r="BS1390" i="1"/>
  <c r="BI1390" i="1"/>
  <c r="BB1390" i="1"/>
  <c r="AR1390" i="1"/>
  <c r="AD1390" i="1"/>
  <c r="CQ1390" i="1" s="1"/>
  <c r="W1390" i="1"/>
  <c r="M1390" i="1"/>
  <c r="DA1389" i="1"/>
  <c r="CZ1389" i="1"/>
  <c r="CY1389" i="1"/>
  <c r="CW1389" i="1"/>
  <c r="CV1389" i="1"/>
  <c r="CO1389" i="1"/>
  <c r="CK1389" i="1"/>
  <c r="CH1389" i="1"/>
  <c r="CG1389" i="1"/>
  <c r="CF1389" i="1"/>
  <c r="CE1389" i="1"/>
  <c r="CD1389" i="1"/>
  <c r="CC1389" i="1"/>
  <c r="CB1389" i="1"/>
  <c r="CA1389" i="1"/>
  <c r="BW1389" i="1"/>
  <c r="BV1389" i="1"/>
  <c r="BU1389" i="1"/>
  <c r="BT1389" i="1"/>
  <c r="BS1389" i="1"/>
  <c r="BI1389" i="1"/>
  <c r="BX1389" i="1" s="1"/>
  <c r="BB1389" i="1"/>
  <c r="AR1389" i="1"/>
  <c r="AD1389" i="1"/>
  <c r="CP1389" i="1" s="1"/>
  <c r="W1389" i="1"/>
  <c r="M1389" i="1"/>
  <c r="DA1388" i="1"/>
  <c r="CZ1388" i="1"/>
  <c r="CY1388" i="1"/>
  <c r="CW1388" i="1"/>
  <c r="CV1388" i="1"/>
  <c r="CQ1388" i="1"/>
  <c r="CP1388" i="1"/>
  <c r="CN1388" i="1"/>
  <c r="CL1388" i="1"/>
  <c r="CH1388" i="1"/>
  <c r="CG1388" i="1"/>
  <c r="CF1388" i="1"/>
  <c r="CE1388" i="1"/>
  <c r="CD1388" i="1"/>
  <c r="CC1388" i="1"/>
  <c r="CB1388" i="1"/>
  <c r="CA1388" i="1"/>
  <c r="CI1388" i="1" s="1"/>
  <c r="BW1388" i="1"/>
  <c r="BV1388" i="1"/>
  <c r="BU1388" i="1"/>
  <c r="BT1388" i="1"/>
  <c r="BS1388" i="1"/>
  <c r="BI1388" i="1"/>
  <c r="BB1388" i="1"/>
  <c r="AR1388" i="1"/>
  <c r="AD1388" i="1"/>
  <c r="CR1388" i="1" s="1"/>
  <c r="W1388" i="1"/>
  <c r="M1388" i="1"/>
  <c r="DA1387" i="1"/>
  <c r="CZ1387" i="1"/>
  <c r="CY1387" i="1"/>
  <c r="CW1387" i="1"/>
  <c r="CV1387" i="1"/>
  <c r="CM1387" i="1"/>
  <c r="CH1387" i="1"/>
  <c r="CG1387" i="1"/>
  <c r="CF1387" i="1"/>
  <c r="CE1387" i="1"/>
  <c r="CD1387" i="1"/>
  <c r="CC1387" i="1"/>
  <c r="CB1387" i="1"/>
  <c r="CA1387" i="1"/>
  <c r="BX1387" i="1"/>
  <c r="BW1387" i="1"/>
  <c r="BV1387" i="1"/>
  <c r="BU1387" i="1"/>
  <c r="BT1387" i="1"/>
  <c r="BS1387" i="1"/>
  <c r="BI1387" i="1"/>
  <c r="BB1387" i="1"/>
  <c r="AR1387" i="1"/>
  <c r="AD1387" i="1"/>
  <c r="CQ1387" i="1" s="1"/>
  <c r="W1387" i="1"/>
  <c r="M1387" i="1"/>
  <c r="DA1386" i="1"/>
  <c r="CZ1386" i="1"/>
  <c r="CY1386" i="1"/>
  <c r="CW1386" i="1"/>
  <c r="CV1386" i="1"/>
  <c r="CH1386" i="1"/>
  <c r="CG1386" i="1"/>
  <c r="CF1386" i="1"/>
  <c r="CE1386" i="1"/>
  <c r="CD1386" i="1"/>
  <c r="CC1386" i="1"/>
  <c r="CB1386" i="1"/>
  <c r="CA1386" i="1"/>
  <c r="CI1386" i="1" s="1"/>
  <c r="BW1386" i="1"/>
  <c r="BV1386" i="1"/>
  <c r="BU1386" i="1"/>
  <c r="BT1386" i="1"/>
  <c r="BS1386" i="1"/>
  <c r="BI1386" i="1"/>
  <c r="BB1386" i="1"/>
  <c r="AR1386" i="1"/>
  <c r="AD1386" i="1"/>
  <c r="W1386" i="1"/>
  <c r="M1386" i="1"/>
  <c r="DA1385" i="1"/>
  <c r="CZ1385" i="1"/>
  <c r="CY1385" i="1"/>
  <c r="CW1385" i="1"/>
  <c r="CV1385" i="1"/>
  <c r="CR1385" i="1"/>
  <c r="CQ1385" i="1"/>
  <c r="CO1385" i="1"/>
  <c r="CN1385" i="1"/>
  <c r="CM1385" i="1"/>
  <c r="CH1385" i="1"/>
  <c r="CG1385" i="1"/>
  <c r="CF1385" i="1"/>
  <c r="CE1385" i="1"/>
  <c r="CD1385" i="1"/>
  <c r="CC1385" i="1"/>
  <c r="CB1385" i="1"/>
  <c r="CA1385" i="1"/>
  <c r="CI1385" i="1" s="1"/>
  <c r="BX1385" i="1"/>
  <c r="BW1385" i="1"/>
  <c r="BV1385" i="1"/>
  <c r="BU1385" i="1"/>
  <c r="BT1385" i="1"/>
  <c r="BS1385" i="1"/>
  <c r="BI1385" i="1"/>
  <c r="CK1385" i="1" s="1"/>
  <c r="BB1385" i="1"/>
  <c r="AR1385" i="1"/>
  <c r="AD1385" i="1"/>
  <c r="CP1385" i="1" s="1"/>
  <c r="W1385" i="1"/>
  <c r="M1385" i="1"/>
  <c r="DA1384" i="1"/>
  <c r="CZ1384" i="1"/>
  <c r="CY1384" i="1"/>
  <c r="CW1384" i="1"/>
  <c r="CV1384" i="1"/>
  <c r="CR1384" i="1"/>
  <c r="CP1384" i="1"/>
  <c r="CN1384" i="1"/>
  <c r="CM1384" i="1"/>
  <c r="CH1384" i="1"/>
  <c r="CG1384" i="1"/>
  <c r="CF1384" i="1"/>
  <c r="CE1384" i="1"/>
  <c r="CD1384" i="1"/>
  <c r="CC1384" i="1"/>
  <c r="CB1384" i="1"/>
  <c r="CA1384" i="1"/>
  <c r="CI1384" i="1" s="1"/>
  <c r="BX1384" i="1"/>
  <c r="BW1384" i="1"/>
  <c r="BV1384" i="1"/>
  <c r="BU1384" i="1"/>
  <c r="BT1384" i="1"/>
  <c r="BS1384" i="1"/>
  <c r="BI1384" i="1"/>
  <c r="BB1384" i="1"/>
  <c r="AR1384" i="1"/>
  <c r="AD1384" i="1"/>
  <c r="CO1384" i="1" s="1"/>
  <c r="W1384" i="1"/>
  <c r="M1384" i="1"/>
  <c r="DA1383" i="1"/>
  <c r="CZ1383" i="1"/>
  <c r="CY1383" i="1"/>
  <c r="CW1383" i="1"/>
  <c r="CV1383" i="1"/>
  <c r="CQ1383" i="1"/>
  <c r="CL1383" i="1"/>
  <c r="CH1383" i="1"/>
  <c r="CG1383" i="1"/>
  <c r="CF1383" i="1"/>
  <c r="CE1383" i="1"/>
  <c r="CD1383" i="1"/>
  <c r="CC1383" i="1"/>
  <c r="CB1383" i="1"/>
  <c r="CA1383" i="1"/>
  <c r="CI1383" i="1" s="1"/>
  <c r="BX1383" i="1"/>
  <c r="BW1383" i="1"/>
  <c r="BV1383" i="1"/>
  <c r="BU1383" i="1"/>
  <c r="BT1383" i="1"/>
  <c r="BS1383" i="1"/>
  <c r="BI1383" i="1"/>
  <c r="BB1383" i="1"/>
  <c r="AR1383" i="1"/>
  <c r="AD1383" i="1"/>
  <c r="CP1383" i="1" s="1"/>
  <c r="W1383" i="1"/>
  <c r="M1383" i="1"/>
  <c r="DA1382" i="1"/>
  <c r="CZ1382" i="1"/>
  <c r="CY1382" i="1"/>
  <c r="CW1382" i="1"/>
  <c r="CV1382" i="1"/>
  <c r="CO1382" i="1"/>
  <c r="CL1382" i="1"/>
  <c r="CH1382" i="1"/>
  <c r="CG1382" i="1"/>
  <c r="CF1382" i="1"/>
  <c r="CE1382" i="1"/>
  <c r="CD1382" i="1"/>
  <c r="CC1382" i="1"/>
  <c r="CB1382" i="1"/>
  <c r="CA1382" i="1"/>
  <c r="CI1382" i="1" s="1"/>
  <c r="BW1382" i="1"/>
  <c r="BV1382" i="1"/>
  <c r="BU1382" i="1"/>
  <c r="BT1382" i="1"/>
  <c r="BS1382" i="1"/>
  <c r="BI1382" i="1"/>
  <c r="CK1382" i="1" s="1"/>
  <c r="BB1382" i="1"/>
  <c r="AR1382" i="1"/>
  <c r="AD1382" i="1"/>
  <c r="CR1382" i="1" s="1"/>
  <c r="W1382" i="1"/>
  <c r="M1382" i="1"/>
  <c r="DA1381" i="1"/>
  <c r="CZ1381" i="1"/>
  <c r="CY1381" i="1"/>
  <c r="CW1381" i="1"/>
  <c r="CV1381" i="1"/>
  <c r="CR1381" i="1"/>
  <c r="CO1381" i="1"/>
  <c r="CN1381" i="1"/>
  <c r="CH1381" i="1"/>
  <c r="CG1381" i="1"/>
  <c r="CF1381" i="1"/>
  <c r="CE1381" i="1"/>
  <c r="CD1381" i="1"/>
  <c r="CC1381" i="1"/>
  <c r="CB1381" i="1"/>
  <c r="CA1381" i="1"/>
  <c r="CI1381" i="1" s="1"/>
  <c r="BW1381" i="1"/>
  <c r="BV1381" i="1"/>
  <c r="BU1381" i="1"/>
  <c r="BT1381" i="1"/>
  <c r="BS1381" i="1"/>
  <c r="BI1381" i="1"/>
  <c r="BB1381" i="1"/>
  <c r="AR1381" i="1"/>
  <c r="AD1381" i="1"/>
  <c r="CM1381" i="1" s="1"/>
  <c r="W1381" i="1"/>
  <c r="M1381" i="1"/>
  <c r="DA1380" i="1"/>
  <c r="CZ1380" i="1"/>
  <c r="CY1380" i="1"/>
  <c r="CW1380" i="1"/>
  <c r="CV1380" i="1"/>
  <c r="CR1380" i="1"/>
  <c r="CQ1380" i="1"/>
  <c r="CM1380" i="1"/>
  <c r="CH1380" i="1"/>
  <c r="CG1380" i="1"/>
  <c r="CF1380" i="1"/>
  <c r="CE1380" i="1"/>
  <c r="CD1380" i="1"/>
  <c r="CC1380" i="1"/>
  <c r="CB1380" i="1"/>
  <c r="CA1380" i="1"/>
  <c r="CI1380" i="1" s="1"/>
  <c r="BX1380" i="1"/>
  <c r="BW1380" i="1"/>
  <c r="BV1380" i="1"/>
  <c r="BU1380" i="1"/>
  <c r="BT1380" i="1"/>
  <c r="BS1380" i="1"/>
  <c r="BI1380" i="1"/>
  <c r="CK1380" i="1" s="1"/>
  <c r="BB1380" i="1"/>
  <c r="AR1380" i="1"/>
  <c r="AD1380" i="1"/>
  <c r="CP1380" i="1" s="1"/>
  <c r="W1380" i="1"/>
  <c r="M1380" i="1"/>
  <c r="DA1379" i="1"/>
  <c r="CZ1379" i="1"/>
  <c r="CY1379" i="1"/>
  <c r="CW1379" i="1"/>
  <c r="CV1379" i="1"/>
  <c r="CM1379" i="1"/>
  <c r="CH1379" i="1"/>
  <c r="CG1379" i="1"/>
  <c r="CF1379" i="1"/>
  <c r="CE1379" i="1"/>
  <c r="CD1379" i="1"/>
  <c r="CC1379" i="1"/>
  <c r="CB1379" i="1"/>
  <c r="CA1379" i="1"/>
  <c r="CI1379" i="1" s="1"/>
  <c r="BW1379" i="1"/>
  <c r="BV1379" i="1"/>
  <c r="BU1379" i="1"/>
  <c r="BT1379" i="1"/>
  <c r="BS1379" i="1"/>
  <c r="BI1379" i="1"/>
  <c r="BB1379" i="1"/>
  <c r="AR1379" i="1"/>
  <c r="AD1379" i="1"/>
  <c r="CL1379" i="1" s="1"/>
  <c r="W1379" i="1"/>
  <c r="M1379" i="1"/>
  <c r="DA1378" i="1"/>
  <c r="CZ1378" i="1"/>
  <c r="CY1378" i="1"/>
  <c r="CW1378" i="1"/>
  <c r="CV1378" i="1"/>
  <c r="CH1378" i="1"/>
  <c r="CG1378" i="1"/>
  <c r="CF1378" i="1"/>
  <c r="CE1378" i="1"/>
  <c r="CD1378" i="1"/>
  <c r="CC1378" i="1"/>
  <c r="CB1378" i="1"/>
  <c r="CA1378" i="1"/>
  <c r="CI1378" i="1" s="1"/>
  <c r="BW1378" i="1"/>
  <c r="BV1378" i="1"/>
  <c r="BU1378" i="1"/>
  <c r="BT1378" i="1"/>
  <c r="BS1378" i="1"/>
  <c r="BI1378" i="1"/>
  <c r="BB1378" i="1"/>
  <c r="AR1378" i="1"/>
  <c r="AD1378" i="1"/>
  <c r="CO1378" i="1" s="1"/>
  <c r="W1378" i="1"/>
  <c r="M1378" i="1"/>
  <c r="DA1377" i="1"/>
  <c r="CZ1377" i="1"/>
  <c r="CY1377" i="1"/>
  <c r="CW1377" i="1"/>
  <c r="CV1377" i="1"/>
  <c r="CH1377" i="1"/>
  <c r="CG1377" i="1"/>
  <c r="CF1377" i="1"/>
  <c r="CE1377" i="1"/>
  <c r="CD1377" i="1"/>
  <c r="CC1377" i="1"/>
  <c r="CB1377" i="1"/>
  <c r="CA1377" i="1"/>
  <c r="CI1377" i="1" s="1"/>
  <c r="BW1377" i="1"/>
  <c r="BV1377" i="1"/>
  <c r="BU1377" i="1"/>
  <c r="BT1377" i="1"/>
  <c r="BS1377" i="1"/>
  <c r="BI1377" i="1"/>
  <c r="CR1377" i="1" s="1"/>
  <c r="BB1377" i="1"/>
  <c r="AR1377" i="1"/>
  <c r="AD1377" i="1"/>
  <c r="CQ1377" i="1" s="1"/>
  <c r="W1377" i="1"/>
  <c r="M1377" i="1"/>
  <c r="DA1376" i="1"/>
  <c r="CZ1376" i="1"/>
  <c r="CY1376" i="1"/>
  <c r="CW1376" i="1"/>
  <c r="CV1376" i="1"/>
  <c r="CR1376" i="1"/>
  <c r="CQ1376" i="1"/>
  <c r="CO1376" i="1"/>
  <c r="CN1376" i="1"/>
  <c r="CM1376" i="1"/>
  <c r="CH1376" i="1"/>
  <c r="CG1376" i="1"/>
  <c r="CF1376" i="1"/>
  <c r="CE1376" i="1"/>
  <c r="CD1376" i="1"/>
  <c r="CC1376" i="1"/>
  <c r="CB1376" i="1"/>
  <c r="CA1376" i="1"/>
  <c r="CI1376" i="1" s="1"/>
  <c r="BX1376" i="1"/>
  <c r="BW1376" i="1"/>
  <c r="BV1376" i="1"/>
  <c r="BU1376" i="1"/>
  <c r="BT1376" i="1"/>
  <c r="BS1376" i="1"/>
  <c r="BI1376" i="1"/>
  <c r="BB1376" i="1"/>
  <c r="AR1376" i="1"/>
  <c r="AD1376" i="1"/>
  <c r="CL1376" i="1" s="1"/>
  <c r="W1376" i="1"/>
  <c r="M1376" i="1"/>
  <c r="DA1375" i="1"/>
  <c r="CZ1375" i="1"/>
  <c r="CY1375" i="1"/>
  <c r="CW1375" i="1"/>
  <c r="CV1375" i="1"/>
  <c r="CQ1375" i="1"/>
  <c r="CL1375" i="1"/>
  <c r="CH1375" i="1"/>
  <c r="CG1375" i="1"/>
  <c r="CF1375" i="1"/>
  <c r="CE1375" i="1"/>
  <c r="CD1375" i="1"/>
  <c r="CC1375" i="1"/>
  <c r="CB1375" i="1"/>
  <c r="CA1375" i="1"/>
  <c r="CI1375" i="1" s="1"/>
  <c r="BX1375" i="1"/>
  <c r="BW1375" i="1"/>
  <c r="BV1375" i="1"/>
  <c r="BU1375" i="1"/>
  <c r="BT1375" i="1"/>
  <c r="BS1375" i="1"/>
  <c r="BI1375" i="1"/>
  <c r="BB1375" i="1"/>
  <c r="AR1375" i="1"/>
  <c r="AD1375" i="1"/>
  <c r="CP1375" i="1" s="1"/>
  <c r="W1375" i="1"/>
  <c r="M1375" i="1"/>
  <c r="DA1374" i="1"/>
  <c r="CZ1374" i="1"/>
  <c r="CY1374" i="1"/>
  <c r="CW1374" i="1"/>
  <c r="CV1374" i="1"/>
  <c r="CO1374" i="1"/>
  <c r="CL1374" i="1"/>
  <c r="CH1374" i="1"/>
  <c r="CG1374" i="1"/>
  <c r="CF1374" i="1"/>
  <c r="CE1374" i="1"/>
  <c r="CD1374" i="1"/>
  <c r="CC1374" i="1"/>
  <c r="CB1374" i="1"/>
  <c r="CA1374" i="1"/>
  <c r="CI1374" i="1" s="1"/>
  <c r="BW1374" i="1"/>
  <c r="BV1374" i="1"/>
  <c r="BU1374" i="1"/>
  <c r="BT1374" i="1"/>
  <c r="BS1374" i="1"/>
  <c r="BI1374" i="1"/>
  <c r="CK1374" i="1" s="1"/>
  <c r="BB1374" i="1"/>
  <c r="AR1374" i="1"/>
  <c r="AD1374" i="1"/>
  <c r="CR1374" i="1" s="1"/>
  <c r="W1374" i="1"/>
  <c r="M1374" i="1"/>
  <c r="DA1373" i="1"/>
  <c r="CZ1373" i="1"/>
  <c r="CY1373" i="1"/>
  <c r="CW1373" i="1"/>
  <c r="CV1373" i="1"/>
  <c r="CR1373" i="1"/>
  <c r="CO1373" i="1"/>
  <c r="CN1373" i="1"/>
  <c r="CH1373" i="1"/>
  <c r="CG1373" i="1"/>
  <c r="CF1373" i="1"/>
  <c r="CE1373" i="1"/>
  <c r="CD1373" i="1"/>
  <c r="CC1373" i="1"/>
  <c r="CB1373" i="1"/>
  <c r="CA1373" i="1"/>
  <c r="CI1373" i="1" s="1"/>
  <c r="BW1373" i="1"/>
  <c r="BV1373" i="1"/>
  <c r="BU1373" i="1"/>
  <c r="BT1373" i="1"/>
  <c r="BS1373" i="1"/>
  <c r="BI1373" i="1"/>
  <c r="BB1373" i="1"/>
  <c r="AR1373" i="1"/>
  <c r="AD1373" i="1"/>
  <c r="CM1373" i="1" s="1"/>
  <c r="W1373" i="1"/>
  <c r="M1373" i="1"/>
  <c r="DA1372" i="1"/>
  <c r="CZ1372" i="1"/>
  <c r="CY1372" i="1"/>
  <c r="CW1372" i="1"/>
  <c r="CV1372" i="1"/>
  <c r="CR1372" i="1"/>
  <c r="CQ1372" i="1"/>
  <c r="CM1372" i="1"/>
  <c r="CH1372" i="1"/>
  <c r="CG1372" i="1"/>
  <c r="CF1372" i="1"/>
  <c r="CE1372" i="1"/>
  <c r="CD1372" i="1"/>
  <c r="CC1372" i="1"/>
  <c r="CB1372" i="1"/>
  <c r="CA1372" i="1"/>
  <c r="CI1372" i="1" s="1"/>
  <c r="BX1372" i="1"/>
  <c r="BW1372" i="1"/>
  <c r="BV1372" i="1"/>
  <c r="BU1372" i="1"/>
  <c r="BT1372" i="1"/>
  <c r="BS1372" i="1"/>
  <c r="BI1372" i="1"/>
  <c r="CN1372" i="1" s="1"/>
  <c r="BB1372" i="1"/>
  <c r="AR1372" i="1"/>
  <c r="AD1372" i="1"/>
  <c r="CP1372" i="1" s="1"/>
  <c r="W1372" i="1"/>
  <c r="M1372" i="1"/>
  <c r="DA1371" i="1"/>
  <c r="CZ1371" i="1"/>
  <c r="CY1371" i="1"/>
  <c r="CW1371" i="1"/>
  <c r="CV1371" i="1"/>
  <c r="CM1371" i="1"/>
  <c r="CH1371" i="1"/>
  <c r="CG1371" i="1"/>
  <c r="CF1371" i="1"/>
  <c r="CE1371" i="1"/>
  <c r="CD1371" i="1"/>
  <c r="CC1371" i="1"/>
  <c r="CB1371" i="1"/>
  <c r="CA1371" i="1"/>
  <c r="CI1371" i="1" s="1"/>
  <c r="BW1371" i="1"/>
  <c r="BV1371" i="1"/>
  <c r="BU1371" i="1"/>
  <c r="BT1371" i="1"/>
  <c r="BS1371" i="1"/>
  <c r="BI1371" i="1"/>
  <c r="BB1371" i="1"/>
  <c r="AR1371" i="1"/>
  <c r="AD1371" i="1"/>
  <c r="CL1371" i="1" s="1"/>
  <c r="W1371" i="1"/>
  <c r="M1371" i="1"/>
  <c r="DA1370" i="1"/>
  <c r="CZ1370" i="1"/>
  <c r="CY1370" i="1"/>
  <c r="CW1370" i="1"/>
  <c r="CV1370" i="1"/>
  <c r="CH1370" i="1"/>
  <c r="CG1370" i="1"/>
  <c r="CF1370" i="1"/>
  <c r="CE1370" i="1"/>
  <c r="CD1370" i="1"/>
  <c r="CC1370" i="1"/>
  <c r="CB1370" i="1"/>
  <c r="CA1370" i="1"/>
  <c r="CI1370" i="1" s="1"/>
  <c r="BW1370" i="1"/>
  <c r="BV1370" i="1"/>
  <c r="BU1370" i="1"/>
  <c r="BT1370" i="1"/>
  <c r="BS1370" i="1"/>
  <c r="BI1370" i="1"/>
  <c r="BB1370" i="1"/>
  <c r="AR1370" i="1"/>
  <c r="AD1370" i="1"/>
  <c r="CO1370" i="1" s="1"/>
  <c r="W1370" i="1"/>
  <c r="M1370" i="1"/>
  <c r="DA1369" i="1"/>
  <c r="CZ1369" i="1"/>
  <c r="CY1369" i="1"/>
  <c r="CW1369" i="1"/>
  <c r="CV1369" i="1"/>
  <c r="CH1369" i="1"/>
  <c r="CG1369" i="1"/>
  <c r="CF1369" i="1"/>
  <c r="CE1369" i="1"/>
  <c r="CD1369" i="1"/>
  <c r="CC1369" i="1"/>
  <c r="CB1369" i="1"/>
  <c r="CA1369" i="1"/>
  <c r="CI1369" i="1" s="1"/>
  <c r="BW1369" i="1"/>
  <c r="BV1369" i="1"/>
  <c r="BU1369" i="1"/>
  <c r="BT1369" i="1"/>
  <c r="BS1369" i="1"/>
  <c r="BI1369" i="1"/>
  <c r="CR1369" i="1" s="1"/>
  <c r="BB1369" i="1"/>
  <c r="AR1369" i="1"/>
  <c r="AD1369" i="1"/>
  <c r="CQ1369" i="1" s="1"/>
  <c r="W1369" i="1"/>
  <c r="M1369" i="1"/>
  <c r="DA1368" i="1"/>
  <c r="CZ1368" i="1"/>
  <c r="CY1368" i="1"/>
  <c r="CW1368" i="1"/>
  <c r="CV1368" i="1"/>
  <c r="CR1368" i="1"/>
  <c r="CQ1368" i="1"/>
  <c r="CO1368" i="1"/>
  <c r="CN1368" i="1"/>
  <c r="CM1368" i="1"/>
  <c r="CH1368" i="1"/>
  <c r="CG1368" i="1"/>
  <c r="CF1368" i="1"/>
  <c r="CE1368" i="1"/>
  <c r="CD1368" i="1"/>
  <c r="CC1368" i="1"/>
  <c r="CB1368" i="1"/>
  <c r="CA1368" i="1"/>
  <c r="CI1368" i="1" s="1"/>
  <c r="BX1368" i="1"/>
  <c r="BW1368" i="1"/>
  <c r="BV1368" i="1"/>
  <c r="BU1368" i="1"/>
  <c r="BT1368" i="1"/>
  <c r="BS1368" i="1"/>
  <c r="BI1368" i="1"/>
  <c r="CK1368" i="1" s="1"/>
  <c r="BB1368" i="1"/>
  <c r="AR1368" i="1"/>
  <c r="AD1368" i="1"/>
  <c r="CL1368" i="1" s="1"/>
  <c r="W1368" i="1"/>
  <c r="M1368" i="1"/>
  <c r="DA1367" i="1"/>
  <c r="CZ1367" i="1"/>
  <c r="CY1367" i="1"/>
  <c r="CW1367" i="1"/>
  <c r="CV1367" i="1"/>
  <c r="CQ1367" i="1"/>
  <c r="CL1367" i="1"/>
  <c r="CH1367" i="1"/>
  <c r="CG1367" i="1"/>
  <c r="CF1367" i="1"/>
  <c r="CE1367" i="1"/>
  <c r="CD1367" i="1"/>
  <c r="CC1367" i="1"/>
  <c r="CB1367" i="1"/>
  <c r="CA1367" i="1"/>
  <c r="CI1367" i="1" s="1"/>
  <c r="BX1367" i="1"/>
  <c r="BW1367" i="1"/>
  <c r="BV1367" i="1"/>
  <c r="BU1367" i="1"/>
  <c r="BT1367" i="1"/>
  <c r="BS1367" i="1"/>
  <c r="BI1367" i="1"/>
  <c r="BB1367" i="1"/>
  <c r="AR1367" i="1"/>
  <c r="AD1367" i="1"/>
  <c r="CP1367" i="1" s="1"/>
  <c r="W1367" i="1"/>
  <c r="M1367" i="1"/>
  <c r="DA1366" i="1"/>
  <c r="CZ1366" i="1"/>
  <c r="CY1366" i="1"/>
  <c r="CW1366" i="1"/>
  <c r="CV1366" i="1"/>
  <c r="CH1366" i="1"/>
  <c r="CG1366" i="1"/>
  <c r="CF1366" i="1"/>
  <c r="CE1366" i="1"/>
  <c r="CD1366" i="1"/>
  <c r="CC1366" i="1"/>
  <c r="CB1366" i="1"/>
  <c r="CA1366" i="1"/>
  <c r="CI1366" i="1" s="1"/>
  <c r="BW1366" i="1"/>
  <c r="BV1366" i="1"/>
  <c r="BU1366" i="1"/>
  <c r="BT1366" i="1"/>
  <c r="BS1366" i="1"/>
  <c r="BI1366" i="1"/>
  <c r="BB1366" i="1"/>
  <c r="AR1366" i="1"/>
  <c r="AD1366" i="1"/>
  <c r="W1366" i="1"/>
  <c r="M1366" i="1"/>
  <c r="DA1365" i="1"/>
  <c r="CZ1365" i="1"/>
  <c r="CY1365" i="1"/>
  <c r="CW1365" i="1"/>
  <c r="CV1365" i="1"/>
  <c r="CQ1365" i="1"/>
  <c r="CL1365" i="1"/>
  <c r="CH1365" i="1"/>
  <c r="CG1365" i="1"/>
  <c r="CF1365" i="1"/>
  <c r="CE1365" i="1"/>
  <c r="CD1365" i="1"/>
  <c r="CC1365" i="1"/>
  <c r="CB1365" i="1"/>
  <c r="CA1365" i="1"/>
  <c r="BX1365" i="1"/>
  <c r="BW1365" i="1"/>
  <c r="BV1365" i="1"/>
  <c r="BU1365" i="1"/>
  <c r="BT1365" i="1"/>
  <c r="BS1365" i="1"/>
  <c r="BI1365" i="1"/>
  <c r="BB1365" i="1"/>
  <c r="AR1365" i="1"/>
  <c r="AD1365" i="1"/>
  <c r="CP1365" i="1" s="1"/>
  <c r="W1365" i="1"/>
  <c r="M1365" i="1"/>
  <c r="DA1364" i="1"/>
  <c r="CZ1364" i="1"/>
  <c r="CY1364" i="1"/>
  <c r="CW1364" i="1"/>
  <c r="CV1364" i="1"/>
  <c r="CO1364" i="1"/>
  <c r="CM1364" i="1"/>
  <c r="CL1364" i="1"/>
  <c r="CH1364" i="1"/>
  <c r="CG1364" i="1"/>
  <c r="CF1364" i="1"/>
  <c r="CE1364" i="1"/>
  <c r="CD1364" i="1"/>
  <c r="CC1364" i="1"/>
  <c r="CB1364" i="1"/>
  <c r="CA1364" i="1"/>
  <c r="BW1364" i="1"/>
  <c r="BV1364" i="1"/>
  <c r="BU1364" i="1"/>
  <c r="BT1364" i="1"/>
  <c r="BS1364" i="1"/>
  <c r="BI1364" i="1"/>
  <c r="CK1364" i="1" s="1"/>
  <c r="BB1364" i="1"/>
  <c r="AR1364" i="1"/>
  <c r="AD1364" i="1"/>
  <c r="CR1364" i="1" s="1"/>
  <c r="W1364" i="1"/>
  <c r="M1364" i="1"/>
  <c r="DA1363" i="1"/>
  <c r="CZ1363" i="1"/>
  <c r="CY1363" i="1"/>
  <c r="CW1363" i="1"/>
  <c r="CV1363" i="1"/>
  <c r="CR1363" i="1"/>
  <c r="CP1363" i="1"/>
  <c r="CO1363" i="1"/>
  <c r="CH1363" i="1"/>
  <c r="CG1363" i="1"/>
  <c r="CF1363" i="1"/>
  <c r="CE1363" i="1"/>
  <c r="CD1363" i="1"/>
  <c r="CC1363" i="1"/>
  <c r="CB1363" i="1"/>
  <c r="CA1363" i="1"/>
  <c r="CI1363" i="1" s="1"/>
  <c r="BW1363" i="1"/>
  <c r="BV1363" i="1"/>
  <c r="BU1363" i="1"/>
  <c r="BT1363" i="1"/>
  <c r="BS1363" i="1"/>
  <c r="BI1363" i="1"/>
  <c r="BB1363" i="1"/>
  <c r="AR1363" i="1"/>
  <c r="AD1363" i="1"/>
  <c r="W1363" i="1"/>
  <c r="M1363" i="1"/>
  <c r="DA1362" i="1"/>
  <c r="CZ1362" i="1"/>
  <c r="CY1362" i="1"/>
  <c r="CW1362" i="1"/>
  <c r="CV1362" i="1"/>
  <c r="CR1362" i="1"/>
  <c r="CH1362" i="1"/>
  <c r="CG1362" i="1"/>
  <c r="CF1362" i="1"/>
  <c r="CE1362" i="1"/>
  <c r="CD1362" i="1"/>
  <c r="CC1362" i="1"/>
  <c r="CB1362" i="1"/>
  <c r="CA1362" i="1"/>
  <c r="CI1362" i="1" s="1"/>
  <c r="BW1362" i="1"/>
  <c r="BV1362" i="1"/>
  <c r="BU1362" i="1"/>
  <c r="BT1362" i="1"/>
  <c r="BS1362" i="1"/>
  <c r="BI1362" i="1"/>
  <c r="CO1362" i="1" s="1"/>
  <c r="BB1362" i="1"/>
  <c r="AR1362" i="1"/>
  <c r="AD1362" i="1"/>
  <c r="CQ1362" i="1" s="1"/>
  <c r="W1362" i="1"/>
  <c r="M1362" i="1"/>
  <c r="DA1361" i="1"/>
  <c r="CZ1361" i="1"/>
  <c r="CY1361" i="1"/>
  <c r="CW1361" i="1"/>
  <c r="CR1361" i="1"/>
  <c r="CP1361" i="1"/>
  <c r="CN1361" i="1"/>
  <c r="CH1361" i="1"/>
  <c r="CG1361" i="1"/>
  <c r="CF1361" i="1"/>
  <c r="CE1361" i="1"/>
  <c r="CD1361" i="1"/>
  <c r="CC1361" i="1"/>
  <c r="CB1361" i="1"/>
  <c r="CA1361" i="1"/>
  <c r="CI1361" i="1" s="1"/>
  <c r="BW1361" i="1"/>
  <c r="BV1361" i="1"/>
  <c r="BU1361" i="1"/>
  <c r="BT1361" i="1"/>
  <c r="BS1361" i="1"/>
  <c r="BI1361" i="1"/>
  <c r="BB1361" i="1"/>
  <c r="AR1361" i="1"/>
  <c r="AD1361" i="1"/>
  <c r="CO1361" i="1" s="1"/>
  <c r="W1361" i="1"/>
  <c r="AG1361" i="1" s="1"/>
  <c r="CV1361" i="1" s="1"/>
  <c r="M1361" i="1"/>
  <c r="DA1360" i="1"/>
  <c r="CZ1360" i="1"/>
  <c r="CY1360" i="1"/>
  <c r="CW1360" i="1"/>
  <c r="CV1360" i="1"/>
  <c r="CH1360" i="1"/>
  <c r="CG1360" i="1"/>
  <c r="CF1360" i="1"/>
  <c r="CE1360" i="1"/>
  <c r="CD1360" i="1"/>
  <c r="CC1360" i="1"/>
  <c r="CB1360" i="1"/>
  <c r="CA1360" i="1"/>
  <c r="CI1360" i="1" s="1"/>
  <c r="BW1360" i="1"/>
  <c r="BV1360" i="1"/>
  <c r="BU1360" i="1"/>
  <c r="BT1360" i="1"/>
  <c r="BS1360" i="1"/>
  <c r="BI1360" i="1"/>
  <c r="CR1360" i="1" s="1"/>
  <c r="BB1360" i="1"/>
  <c r="AR1360" i="1"/>
  <c r="AD1360" i="1"/>
  <c r="CQ1360" i="1" s="1"/>
  <c r="W1360" i="1"/>
  <c r="M1360" i="1"/>
  <c r="DA1359" i="1"/>
  <c r="CZ1359" i="1"/>
  <c r="CY1359" i="1"/>
  <c r="CW1359" i="1"/>
  <c r="CV1359" i="1"/>
  <c r="CR1359" i="1"/>
  <c r="CK1359" i="1"/>
  <c r="CH1359" i="1"/>
  <c r="CG1359" i="1"/>
  <c r="CF1359" i="1"/>
  <c r="CE1359" i="1"/>
  <c r="CD1359" i="1"/>
  <c r="CC1359" i="1"/>
  <c r="CB1359" i="1"/>
  <c r="CA1359" i="1"/>
  <c r="CI1359" i="1" s="1"/>
  <c r="BW1359" i="1"/>
  <c r="BV1359" i="1"/>
  <c r="BU1359" i="1"/>
  <c r="BT1359" i="1"/>
  <c r="BS1359" i="1"/>
  <c r="BI1359" i="1"/>
  <c r="CP1359" i="1" s="1"/>
  <c r="BB1359" i="1"/>
  <c r="AR1359" i="1"/>
  <c r="AD1359" i="1"/>
  <c r="W1359" i="1"/>
  <c r="M1359" i="1"/>
  <c r="DA1358" i="1"/>
  <c r="CZ1358" i="1"/>
  <c r="CY1358" i="1"/>
  <c r="CW1358" i="1"/>
  <c r="CV1358" i="1"/>
  <c r="CH1358" i="1"/>
  <c r="CE1358" i="1"/>
  <c r="CD1358" i="1"/>
  <c r="CB1358" i="1"/>
  <c r="CA1358" i="1"/>
  <c r="BW1358" i="1"/>
  <c r="BV1358" i="1"/>
  <c r="BU1358" i="1"/>
  <c r="BT1358" i="1"/>
  <c r="BI1358" i="1"/>
  <c r="BB1358" i="1"/>
  <c r="AR1358" i="1"/>
  <c r="Y1358" i="1"/>
  <c r="W1358" i="1"/>
  <c r="M1358" i="1"/>
  <c r="DA1357" i="1"/>
  <c r="CZ1357" i="1"/>
  <c r="CY1357" i="1"/>
  <c r="CW1357" i="1"/>
  <c r="CV1357" i="1"/>
  <c r="CH1357" i="1"/>
  <c r="CF1357" i="1"/>
  <c r="CE1357" i="1"/>
  <c r="CB1357" i="1"/>
  <c r="CA1357" i="1"/>
  <c r="BW1357" i="1"/>
  <c r="BV1357" i="1"/>
  <c r="BU1357" i="1"/>
  <c r="BT1357" i="1"/>
  <c r="BI1357" i="1"/>
  <c r="BB1357" i="1"/>
  <c r="AR1357" i="1"/>
  <c r="Y1357" i="1"/>
  <c r="CD1357" i="1" s="1"/>
  <c r="W1357" i="1"/>
  <c r="M1357" i="1"/>
  <c r="DA1356" i="1"/>
  <c r="CZ1356" i="1"/>
  <c r="CY1356" i="1"/>
  <c r="CW1356" i="1"/>
  <c r="CV1356" i="1"/>
  <c r="CR1356" i="1"/>
  <c r="CQ1356" i="1"/>
  <c r="CK1356" i="1"/>
  <c r="CF1356" i="1"/>
  <c r="CE1356" i="1"/>
  <c r="CD1356" i="1"/>
  <c r="CB1356" i="1"/>
  <c r="CA1356" i="1"/>
  <c r="BX1356" i="1"/>
  <c r="BW1356" i="1"/>
  <c r="BV1356" i="1"/>
  <c r="BU1356" i="1"/>
  <c r="BT1356" i="1"/>
  <c r="BS1356" i="1"/>
  <c r="BI1356" i="1"/>
  <c r="BB1356" i="1"/>
  <c r="AR1356" i="1"/>
  <c r="AD1356" i="1"/>
  <c r="Y1356" i="1"/>
  <c r="W1356" i="1"/>
  <c r="M1356" i="1"/>
  <c r="DA1355" i="1"/>
  <c r="CZ1355" i="1"/>
  <c r="CY1355" i="1"/>
  <c r="CW1355" i="1"/>
  <c r="CV1355" i="1"/>
  <c r="CH1355" i="1"/>
  <c r="CE1355" i="1"/>
  <c r="CD1355" i="1"/>
  <c r="CC1355" i="1"/>
  <c r="CA1355" i="1"/>
  <c r="BW1355" i="1"/>
  <c r="BV1355" i="1"/>
  <c r="BU1355" i="1"/>
  <c r="BT1355" i="1"/>
  <c r="BS1355" i="1"/>
  <c r="BI1355" i="1"/>
  <c r="BB1355" i="1"/>
  <c r="AR1355" i="1"/>
  <c r="Y1355" i="1"/>
  <c r="CG1355" i="1" s="1"/>
  <c r="W1355" i="1"/>
  <c r="M1355" i="1"/>
  <c r="DA1354" i="1"/>
  <c r="CZ1354" i="1"/>
  <c r="CY1354" i="1"/>
  <c r="CW1354" i="1"/>
  <c r="CV1354" i="1"/>
  <c r="CR1354" i="1"/>
  <c r="CQ1354" i="1"/>
  <c r="CO1354" i="1"/>
  <c r="CN1354" i="1"/>
  <c r="CH1354" i="1"/>
  <c r="CG1354" i="1"/>
  <c r="CF1354" i="1"/>
  <c r="CE1354" i="1"/>
  <c r="CD1354" i="1"/>
  <c r="CC1354" i="1"/>
  <c r="CB1354" i="1"/>
  <c r="CA1354" i="1"/>
  <c r="CI1354" i="1" s="1"/>
  <c r="BX1354" i="1"/>
  <c r="BW1354" i="1"/>
  <c r="BV1354" i="1"/>
  <c r="BU1354" i="1"/>
  <c r="BT1354" i="1"/>
  <c r="BS1354" i="1"/>
  <c r="BI1354" i="1"/>
  <c r="CM1354" i="1" s="1"/>
  <c r="BB1354" i="1"/>
  <c r="AR1354" i="1"/>
  <c r="AD1354" i="1"/>
  <c r="CP1354" i="1" s="1"/>
  <c r="W1354" i="1"/>
  <c r="M1354" i="1"/>
  <c r="DA1353" i="1"/>
  <c r="CZ1353" i="1"/>
  <c r="CY1353" i="1"/>
  <c r="CW1353" i="1"/>
  <c r="CV1353" i="1"/>
  <c r="CR1353" i="1"/>
  <c r="CN1353" i="1"/>
  <c r="CH1353" i="1"/>
  <c r="CG1353" i="1"/>
  <c r="CF1353" i="1"/>
  <c r="CE1353" i="1"/>
  <c r="CD1353" i="1"/>
  <c r="CC1353" i="1"/>
  <c r="CB1353" i="1"/>
  <c r="CA1353" i="1"/>
  <c r="CI1353" i="1" s="1"/>
  <c r="BW1353" i="1"/>
  <c r="BV1353" i="1"/>
  <c r="BU1353" i="1"/>
  <c r="BT1353" i="1"/>
  <c r="BS1353" i="1"/>
  <c r="BI1353" i="1"/>
  <c r="CO1353" i="1" s="1"/>
  <c r="BB1353" i="1"/>
  <c r="AR1353" i="1"/>
  <c r="AD1353" i="1"/>
  <c r="CQ1353" i="1" s="1"/>
  <c r="W1353" i="1"/>
  <c r="M1353" i="1"/>
  <c r="DA1352" i="1"/>
  <c r="CZ1352" i="1"/>
  <c r="CY1352" i="1"/>
  <c r="CW1352" i="1"/>
  <c r="CV1352" i="1"/>
  <c r="CR1352" i="1"/>
  <c r="CQ1352" i="1"/>
  <c r="CO1352" i="1"/>
  <c r="CN1352" i="1"/>
  <c r="CH1352" i="1"/>
  <c r="CG1352" i="1"/>
  <c r="CF1352" i="1"/>
  <c r="CE1352" i="1"/>
  <c r="CD1352" i="1"/>
  <c r="CC1352" i="1"/>
  <c r="CB1352" i="1"/>
  <c r="CA1352" i="1"/>
  <c r="CI1352" i="1" s="1"/>
  <c r="BX1352" i="1"/>
  <c r="BW1352" i="1"/>
  <c r="BV1352" i="1"/>
  <c r="BU1352" i="1"/>
  <c r="BT1352" i="1"/>
  <c r="BS1352" i="1"/>
  <c r="BI1352" i="1"/>
  <c r="CM1352" i="1" s="1"/>
  <c r="BB1352" i="1"/>
  <c r="AR1352" i="1"/>
  <c r="AD1352" i="1"/>
  <c r="CP1352" i="1" s="1"/>
  <c r="W1352" i="1"/>
  <c r="M1352" i="1"/>
  <c r="DA1351" i="1"/>
  <c r="CZ1351" i="1"/>
  <c r="CY1351" i="1"/>
  <c r="CW1351" i="1"/>
  <c r="CV1351" i="1"/>
  <c r="CR1351" i="1"/>
  <c r="CN1351" i="1"/>
  <c r="CH1351" i="1"/>
  <c r="CG1351" i="1"/>
  <c r="CF1351" i="1"/>
  <c r="CE1351" i="1"/>
  <c r="CD1351" i="1"/>
  <c r="CC1351" i="1"/>
  <c r="CB1351" i="1"/>
  <c r="CA1351" i="1"/>
  <c r="CI1351" i="1" s="1"/>
  <c r="BW1351" i="1"/>
  <c r="BV1351" i="1"/>
  <c r="BU1351" i="1"/>
  <c r="BT1351" i="1"/>
  <c r="BS1351" i="1"/>
  <c r="BI1351" i="1"/>
  <c r="CQ1351" i="1" s="1"/>
  <c r="BB1351" i="1"/>
  <c r="AR1351" i="1"/>
  <c r="AD1351" i="1"/>
  <c r="CP1351" i="1" s="1"/>
  <c r="W1351" i="1"/>
  <c r="M1351" i="1"/>
  <c r="DA1350" i="1"/>
  <c r="CZ1350" i="1"/>
  <c r="CY1350" i="1"/>
  <c r="CW1350" i="1"/>
  <c r="CV1350" i="1"/>
  <c r="CQ1350" i="1"/>
  <c r="CN1350" i="1"/>
  <c r="CM1350" i="1"/>
  <c r="CH1350" i="1"/>
  <c r="CG1350" i="1"/>
  <c r="CF1350" i="1"/>
  <c r="CE1350" i="1"/>
  <c r="CD1350" i="1"/>
  <c r="CC1350" i="1"/>
  <c r="CB1350" i="1"/>
  <c r="CA1350" i="1"/>
  <c r="CI1350" i="1" s="1"/>
  <c r="BX1350" i="1"/>
  <c r="BW1350" i="1"/>
  <c r="BV1350" i="1"/>
  <c r="BU1350" i="1"/>
  <c r="BT1350" i="1"/>
  <c r="BS1350" i="1"/>
  <c r="BI1350" i="1"/>
  <c r="BB1350" i="1"/>
  <c r="AR1350" i="1"/>
  <c r="AD1350" i="1"/>
  <c r="CL1350" i="1" s="1"/>
  <c r="W1350" i="1"/>
  <c r="M1350" i="1"/>
  <c r="DA1349" i="1"/>
  <c r="CZ1349" i="1"/>
  <c r="CY1349" i="1"/>
  <c r="CW1349" i="1"/>
  <c r="CV1349" i="1"/>
  <c r="CH1349" i="1"/>
  <c r="CG1349" i="1"/>
  <c r="CF1349" i="1"/>
  <c r="CE1349" i="1"/>
  <c r="CD1349" i="1"/>
  <c r="CC1349" i="1"/>
  <c r="CB1349" i="1"/>
  <c r="CA1349" i="1"/>
  <c r="CI1349" i="1" s="1"/>
  <c r="BW1349" i="1"/>
  <c r="BV1349" i="1"/>
  <c r="BU1349" i="1"/>
  <c r="BT1349" i="1"/>
  <c r="BS1349" i="1"/>
  <c r="BI1349" i="1"/>
  <c r="BB1349" i="1"/>
  <c r="AR1349" i="1"/>
  <c r="AD1349" i="1"/>
  <c r="CP1349" i="1" s="1"/>
  <c r="W1349" i="1"/>
  <c r="M1349" i="1"/>
  <c r="DA1348" i="1"/>
  <c r="CZ1348" i="1"/>
  <c r="CY1348" i="1"/>
  <c r="CW1348" i="1"/>
  <c r="CV1348" i="1"/>
  <c r="CH1348" i="1"/>
  <c r="CG1348" i="1"/>
  <c r="CF1348" i="1"/>
  <c r="CE1348" i="1"/>
  <c r="CD1348" i="1"/>
  <c r="CC1348" i="1"/>
  <c r="CB1348" i="1"/>
  <c r="CA1348" i="1"/>
  <c r="CI1348" i="1" s="1"/>
  <c r="BW1348" i="1"/>
  <c r="BV1348" i="1"/>
  <c r="BU1348" i="1"/>
  <c r="BT1348" i="1"/>
  <c r="BS1348" i="1"/>
  <c r="BI1348" i="1"/>
  <c r="CK1348" i="1" s="1"/>
  <c r="BB1348" i="1"/>
  <c r="AR1348" i="1"/>
  <c r="AD1348" i="1"/>
  <c r="CR1348" i="1" s="1"/>
  <c r="W1348" i="1"/>
  <c r="M1348" i="1"/>
  <c r="DA1347" i="1"/>
  <c r="CZ1347" i="1"/>
  <c r="CY1347" i="1"/>
  <c r="CW1347" i="1"/>
  <c r="CV1347" i="1"/>
  <c r="CR1347" i="1"/>
  <c r="CQ1347" i="1"/>
  <c r="CO1347" i="1"/>
  <c r="CN1347" i="1"/>
  <c r="CH1347" i="1"/>
  <c r="CG1347" i="1"/>
  <c r="CF1347" i="1"/>
  <c r="CE1347" i="1"/>
  <c r="CD1347" i="1"/>
  <c r="CC1347" i="1"/>
  <c r="CB1347" i="1"/>
  <c r="CA1347" i="1"/>
  <c r="CI1347" i="1" s="1"/>
  <c r="BX1347" i="1"/>
  <c r="BW1347" i="1"/>
  <c r="BV1347" i="1"/>
  <c r="BU1347" i="1"/>
  <c r="BT1347" i="1"/>
  <c r="BS1347" i="1"/>
  <c r="BI1347" i="1"/>
  <c r="CM1347" i="1" s="1"/>
  <c r="BB1347" i="1"/>
  <c r="AR1347" i="1"/>
  <c r="AD1347" i="1"/>
  <c r="CP1347" i="1" s="1"/>
  <c r="W1347" i="1"/>
  <c r="M1347" i="1"/>
  <c r="DA1346" i="1"/>
  <c r="CZ1346" i="1"/>
  <c r="CY1346" i="1"/>
  <c r="CW1346" i="1"/>
  <c r="CV1346" i="1"/>
  <c r="CH1346" i="1"/>
  <c r="CD1346" i="1"/>
  <c r="BW1346" i="1"/>
  <c r="BV1346" i="1"/>
  <c r="BU1346" i="1"/>
  <c r="BT1346" i="1"/>
  <c r="BD1346" i="1"/>
  <c r="CG1346" i="1" s="1"/>
  <c r="BB1346" i="1"/>
  <c r="AR1346" i="1"/>
  <c r="AD1346" i="1"/>
  <c r="W1346" i="1"/>
  <c r="M1346" i="1"/>
  <c r="DA1345" i="1"/>
  <c r="CZ1345" i="1"/>
  <c r="CY1345" i="1"/>
  <c r="CW1345" i="1"/>
  <c r="CV1345" i="1"/>
  <c r="CQ1345" i="1"/>
  <c r="CN1345" i="1"/>
  <c r="CM1345" i="1"/>
  <c r="CH1345" i="1"/>
  <c r="CG1345" i="1"/>
  <c r="CF1345" i="1"/>
  <c r="CE1345" i="1"/>
  <c r="CD1345" i="1"/>
  <c r="CC1345" i="1"/>
  <c r="CB1345" i="1"/>
  <c r="CA1345" i="1"/>
  <c r="CI1345" i="1" s="1"/>
  <c r="BX1345" i="1"/>
  <c r="BW1345" i="1"/>
  <c r="BV1345" i="1"/>
  <c r="BU1345" i="1"/>
  <c r="BT1345" i="1"/>
  <c r="BS1345" i="1"/>
  <c r="BI1345" i="1"/>
  <c r="BB1345" i="1"/>
  <c r="AR1345" i="1"/>
  <c r="AD1345" i="1"/>
  <c r="CL1345" i="1" s="1"/>
  <c r="W1345" i="1"/>
  <c r="M1345" i="1"/>
  <c r="DA1344" i="1"/>
  <c r="CZ1344" i="1"/>
  <c r="CY1344" i="1"/>
  <c r="CW1344" i="1"/>
  <c r="CV1344" i="1"/>
  <c r="CH1344" i="1"/>
  <c r="CG1344" i="1"/>
  <c r="CF1344" i="1"/>
  <c r="CE1344" i="1"/>
  <c r="CD1344" i="1"/>
  <c r="CC1344" i="1"/>
  <c r="CB1344" i="1"/>
  <c r="CA1344" i="1"/>
  <c r="CI1344" i="1" s="1"/>
  <c r="BW1344" i="1"/>
  <c r="BV1344" i="1"/>
  <c r="BU1344" i="1"/>
  <c r="BT1344" i="1"/>
  <c r="BS1344" i="1"/>
  <c r="BI1344" i="1"/>
  <c r="BB1344" i="1"/>
  <c r="AR1344" i="1"/>
  <c r="AD1344" i="1"/>
  <c r="CP1344" i="1" s="1"/>
  <c r="W1344" i="1"/>
  <c r="M1344" i="1"/>
  <c r="DA1343" i="1"/>
  <c r="CZ1343" i="1"/>
  <c r="CY1343" i="1"/>
  <c r="CW1343" i="1"/>
  <c r="CV1343" i="1"/>
  <c r="CH1343" i="1"/>
  <c r="CG1343" i="1"/>
  <c r="CF1343" i="1"/>
  <c r="CE1343" i="1"/>
  <c r="CD1343" i="1"/>
  <c r="CC1343" i="1"/>
  <c r="CB1343" i="1"/>
  <c r="CA1343" i="1"/>
  <c r="CI1343" i="1" s="1"/>
  <c r="BW1343" i="1"/>
  <c r="BV1343" i="1"/>
  <c r="BU1343" i="1"/>
  <c r="BT1343" i="1"/>
  <c r="BS1343" i="1"/>
  <c r="BI1343" i="1"/>
  <c r="CK1343" i="1" s="1"/>
  <c r="BB1343" i="1"/>
  <c r="AR1343" i="1"/>
  <c r="AD1343" i="1"/>
  <c r="CR1343" i="1" s="1"/>
  <c r="W1343" i="1"/>
  <c r="M1343" i="1"/>
  <c r="DA1342" i="1"/>
  <c r="CZ1342" i="1"/>
  <c r="CY1342" i="1"/>
  <c r="CW1342" i="1"/>
  <c r="CV1342" i="1"/>
  <c r="CR1342" i="1"/>
  <c r="CO1342" i="1"/>
  <c r="CN1342" i="1"/>
  <c r="CH1342" i="1"/>
  <c r="CG1342" i="1"/>
  <c r="CF1342" i="1"/>
  <c r="CE1342" i="1"/>
  <c r="CD1342" i="1"/>
  <c r="CC1342" i="1"/>
  <c r="CB1342" i="1"/>
  <c r="CA1342" i="1"/>
  <c r="CI1342" i="1" s="1"/>
  <c r="BX1342" i="1"/>
  <c r="BW1342" i="1"/>
  <c r="BV1342" i="1"/>
  <c r="BU1342" i="1"/>
  <c r="BT1342" i="1"/>
  <c r="BS1342" i="1"/>
  <c r="BI1342" i="1"/>
  <c r="CM1342" i="1" s="1"/>
  <c r="BB1342" i="1"/>
  <c r="AR1342" i="1"/>
  <c r="AD1342" i="1"/>
  <c r="CP1342" i="1" s="1"/>
  <c r="W1342" i="1"/>
  <c r="M1342" i="1"/>
  <c r="DA1341" i="1"/>
  <c r="CZ1341" i="1"/>
  <c r="CY1341" i="1"/>
  <c r="CW1341" i="1"/>
  <c r="CV1341" i="1"/>
  <c r="CR1341" i="1"/>
  <c r="CQ1341" i="1"/>
  <c r="CN1341" i="1"/>
  <c r="CM1341" i="1"/>
  <c r="CL1341" i="1"/>
  <c r="CH1341" i="1"/>
  <c r="CG1341" i="1"/>
  <c r="CF1341" i="1"/>
  <c r="CE1341" i="1"/>
  <c r="CD1341" i="1"/>
  <c r="CC1341" i="1"/>
  <c r="CB1341" i="1"/>
  <c r="CA1341" i="1"/>
  <c r="BX1341" i="1"/>
  <c r="BW1341" i="1"/>
  <c r="BV1341" i="1"/>
  <c r="BU1341" i="1"/>
  <c r="BT1341" i="1"/>
  <c r="BS1341" i="1"/>
  <c r="BI1341" i="1"/>
  <c r="BB1341" i="1"/>
  <c r="AR1341" i="1"/>
  <c r="AD1341" i="1"/>
  <c r="CP1341" i="1" s="1"/>
  <c r="W1341" i="1"/>
  <c r="M1341" i="1"/>
  <c r="DA1340" i="1"/>
  <c r="CZ1340" i="1"/>
  <c r="CY1340" i="1"/>
  <c r="CW1340" i="1"/>
  <c r="CV1340" i="1"/>
  <c r="CP1340" i="1"/>
  <c r="CL1340" i="1"/>
  <c r="CH1340" i="1"/>
  <c r="CG1340" i="1"/>
  <c r="CF1340" i="1"/>
  <c r="CE1340" i="1"/>
  <c r="CD1340" i="1"/>
  <c r="CC1340" i="1"/>
  <c r="CB1340" i="1"/>
  <c r="CA1340" i="1"/>
  <c r="CI1340" i="1" s="1"/>
  <c r="BW1340" i="1"/>
  <c r="BV1340" i="1"/>
  <c r="BU1340" i="1"/>
  <c r="BT1340" i="1"/>
  <c r="BS1340" i="1"/>
  <c r="BI1340" i="1"/>
  <c r="BB1340" i="1"/>
  <c r="AR1340" i="1"/>
  <c r="AD1340" i="1"/>
  <c r="W1340" i="1"/>
  <c r="M1340" i="1"/>
  <c r="DA1339" i="1"/>
  <c r="CZ1339" i="1"/>
  <c r="CY1339" i="1"/>
  <c r="CW1339" i="1"/>
  <c r="CV1339" i="1"/>
  <c r="CH1339" i="1"/>
  <c r="CG1339" i="1"/>
  <c r="CF1339" i="1"/>
  <c r="CE1339" i="1"/>
  <c r="CD1339" i="1"/>
  <c r="CC1339" i="1"/>
  <c r="CB1339" i="1"/>
  <c r="CA1339" i="1"/>
  <c r="BW1339" i="1"/>
  <c r="BV1339" i="1"/>
  <c r="BU1339" i="1"/>
  <c r="BT1339" i="1"/>
  <c r="BS1339" i="1"/>
  <c r="BI1339" i="1"/>
  <c r="CO1339" i="1" s="1"/>
  <c r="BB1339" i="1"/>
  <c r="AR1339" i="1"/>
  <c r="AD1339" i="1"/>
  <c r="W1339" i="1"/>
  <c r="M1339" i="1"/>
  <c r="DA1338" i="1"/>
  <c r="CZ1338" i="1"/>
  <c r="CY1338" i="1"/>
  <c r="CW1338" i="1"/>
  <c r="CV1338" i="1"/>
  <c r="CN1338" i="1"/>
  <c r="CH1338" i="1"/>
  <c r="CG1338" i="1"/>
  <c r="CF1338" i="1"/>
  <c r="CE1338" i="1"/>
  <c r="CD1338" i="1"/>
  <c r="CC1338" i="1"/>
  <c r="CB1338" i="1"/>
  <c r="CA1338" i="1"/>
  <c r="CI1338" i="1" s="1"/>
  <c r="BW1338" i="1"/>
  <c r="BV1338" i="1"/>
  <c r="BU1338" i="1"/>
  <c r="BT1338" i="1"/>
  <c r="BS1338" i="1"/>
  <c r="BI1338" i="1"/>
  <c r="BB1338" i="1"/>
  <c r="AR1338" i="1"/>
  <c r="AD1338" i="1"/>
  <c r="W1338" i="1"/>
  <c r="M1338" i="1"/>
  <c r="DA1337" i="1"/>
  <c r="CZ1337" i="1"/>
  <c r="CY1337" i="1"/>
  <c r="CW1337" i="1"/>
  <c r="CV1337" i="1"/>
  <c r="CR1337" i="1"/>
  <c r="CO1337" i="1"/>
  <c r="CN1337" i="1"/>
  <c r="CH1337" i="1"/>
  <c r="CG1337" i="1"/>
  <c r="CF1337" i="1"/>
  <c r="CE1337" i="1"/>
  <c r="CD1337" i="1"/>
  <c r="CC1337" i="1"/>
  <c r="CB1337" i="1"/>
  <c r="CA1337" i="1"/>
  <c r="CI1337" i="1" s="1"/>
  <c r="BX1337" i="1"/>
  <c r="BW1337" i="1"/>
  <c r="BV1337" i="1"/>
  <c r="BU1337" i="1"/>
  <c r="BT1337" i="1"/>
  <c r="BS1337" i="1"/>
  <c r="BI1337" i="1"/>
  <c r="CM1337" i="1" s="1"/>
  <c r="BB1337" i="1"/>
  <c r="AR1337" i="1"/>
  <c r="AD1337" i="1"/>
  <c r="CP1337" i="1" s="1"/>
  <c r="W1337" i="1"/>
  <c r="M1337" i="1"/>
  <c r="DA1336" i="1"/>
  <c r="CZ1336" i="1"/>
  <c r="CY1336" i="1"/>
  <c r="CW1336" i="1"/>
  <c r="CV1336" i="1"/>
  <c r="CR1336" i="1"/>
  <c r="CH1336" i="1"/>
  <c r="CG1336" i="1"/>
  <c r="CF1336" i="1"/>
  <c r="CE1336" i="1"/>
  <c r="CD1336" i="1"/>
  <c r="CC1336" i="1"/>
  <c r="CB1336" i="1"/>
  <c r="CA1336" i="1"/>
  <c r="BW1336" i="1"/>
  <c r="BV1336" i="1"/>
  <c r="BU1336" i="1"/>
  <c r="BT1336" i="1"/>
  <c r="BS1336" i="1"/>
  <c r="BI1336" i="1"/>
  <c r="CK1336" i="1" s="1"/>
  <c r="BB1336" i="1"/>
  <c r="AR1336" i="1"/>
  <c r="AD1336" i="1"/>
  <c r="CP1336" i="1" s="1"/>
  <c r="W1336" i="1"/>
  <c r="M1336" i="1"/>
  <c r="DA1335" i="1"/>
  <c r="CZ1335" i="1"/>
  <c r="CY1335" i="1"/>
  <c r="CW1335" i="1"/>
  <c r="CV1335" i="1"/>
  <c r="CN1335" i="1"/>
  <c r="CM1335" i="1"/>
  <c r="CH1335" i="1"/>
  <c r="CG1335" i="1"/>
  <c r="CF1335" i="1"/>
  <c r="CE1335" i="1"/>
  <c r="CD1335" i="1"/>
  <c r="CC1335" i="1"/>
  <c r="CB1335" i="1"/>
  <c r="CA1335" i="1"/>
  <c r="BW1335" i="1"/>
  <c r="BV1335" i="1"/>
  <c r="BU1335" i="1"/>
  <c r="BT1335" i="1"/>
  <c r="BS1335" i="1"/>
  <c r="BI1335" i="1"/>
  <c r="BB1335" i="1"/>
  <c r="AR1335" i="1"/>
  <c r="AD1335" i="1"/>
  <c r="CQ1335" i="1" s="1"/>
  <c r="W1335" i="1"/>
  <c r="M1335" i="1"/>
  <c r="DA1334" i="1"/>
  <c r="CZ1334" i="1"/>
  <c r="CY1334" i="1"/>
  <c r="CW1334" i="1"/>
  <c r="CV1334" i="1"/>
  <c r="CR1334" i="1"/>
  <c r="CQ1334" i="1"/>
  <c r="CN1334" i="1"/>
  <c r="CM1334" i="1"/>
  <c r="CL1334" i="1"/>
  <c r="CH1334" i="1"/>
  <c r="CG1334" i="1"/>
  <c r="CE1334" i="1"/>
  <c r="CD1334" i="1"/>
  <c r="CC1334" i="1"/>
  <c r="CA1334" i="1"/>
  <c r="BX1334" i="1"/>
  <c r="BW1334" i="1"/>
  <c r="BV1334" i="1"/>
  <c r="BU1334" i="1"/>
  <c r="BT1334" i="1"/>
  <c r="BS1334" i="1"/>
  <c r="BI1334" i="1"/>
  <c r="BB1334" i="1"/>
  <c r="AR1334" i="1"/>
  <c r="AD1334" i="1"/>
  <c r="CP1334" i="1" s="1"/>
  <c r="Y1334" i="1"/>
  <c r="CF1334" i="1" s="1"/>
  <c r="W1334" i="1"/>
  <c r="M1334" i="1"/>
  <c r="DA1333" i="1"/>
  <c r="CZ1333" i="1"/>
  <c r="CY1333" i="1"/>
  <c r="CW1333" i="1"/>
  <c r="CV1333" i="1"/>
  <c r="CQ1333" i="1"/>
  <c r="CO1333" i="1"/>
  <c r="CH1333" i="1"/>
  <c r="CG1333" i="1"/>
  <c r="CF1333" i="1"/>
  <c r="CE1333" i="1"/>
  <c r="CD1333" i="1"/>
  <c r="CC1333" i="1"/>
  <c r="CB1333" i="1"/>
  <c r="CA1333" i="1"/>
  <c r="CI1333" i="1" s="1"/>
  <c r="BX1333" i="1"/>
  <c r="BW1333" i="1"/>
  <c r="BV1333" i="1"/>
  <c r="BU1333" i="1"/>
  <c r="BT1333" i="1"/>
  <c r="BS1333" i="1"/>
  <c r="BI1333" i="1"/>
  <c r="CM1333" i="1" s="1"/>
  <c r="BB1333" i="1"/>
  <c r="AR1333" i="1"/>
  <c r="AD1333" i="1"/>
  <c r="CL1333" i="1" s="1"/>
  <c r="W1333" i="1"/>
  <c r="M1333" i="1"/>
  <c r="DA1332" i="1"/>
  <c r="CZ1332" i="1"/>
  <c r="CY1332" i="1"/>
  <c r="CW1332" i="1"/>
  <c r="CV1332" i="1"/>
  <c r="CR1332" i="1"/>
  <c r="CO1332" i="1"/>
  <c r="CN1332" i="1"/>
  <c r="CK1332" i="1"/>
  <c r="CH1332" i="1"/>
  <c r="CG1332" i="1"/>
  <c r="CF1332" i="1"/>
  <c r="CE1332" i="1"/>
  <c r="CD1332" i="1"/>
  <c r="CC1332" i="1"/>
  <c r="CB1332" i="1"/>
  <c r="CA1332" i="1"/>
  <c r="CI1332" i="1" s="1"/>
  <c r="BW1332" i="1"/>
  <c r="BV1332" i="1"/>
  <c r="BU1332" i="1"/>
  <c r="BT1332" i="1"/>
  <c r="BS1332" i="1"/>
  <c r="BI1332" i="1"/>
  <c r="BB1332" i="1"/>
  <c r="AR1332" i="1"/>
  <c r="AD1332" i="1"/>
  <c r="CP1332" i="1" s="1"/>
  <c r="W1332" i="1"/>
  <c r="M1332" i="1"/>
  <c r="DA1331" i="1"/>
  <c r="CZ1331" i="1"/>
  <c r="CY1331" i="1"/>
  <c r="CW1331" i="1"/>
  <c r="CV1331" i="1"/>
  <c r="CR1331" i="1"/>
  <c r="CQ1331" i="1"/>
  <c r="CO1331" i="1"/>
  <c r="CN1331" i="1"/>
  <c r="CH1331" i="1"/>
  <c r="CG1331" i="1"/>
  <c r="CF1331" i="1"/>
  <c r="CE1331" i="1"/>
  <c r="CD1331" i="1"/>
  <c r="CC1331" i="1"/>
  <c r="CB1331" i="1"/>
  <c r="CA1331" i="1"/>
  <c r="BX1331" i="1"/>
  <c r="BW1331" i="1"/>
  <c r="BV1331" i="1"/>
  <c r="BU1331" i="1"/>
  <c r="BT1331" i="1"/>
  <c r="BS1331" i="1"/>
  <c r="BI1331" i="1"/>
  <c r="CM1331" i="1" s="1"/>
  <c r="BB1331" i="1"/>
  <c r="AR1331" i="1"/>
  <c r="AD1331" i="1"/>
  <c r="CL1331" i="1" s="1"/>
  <c r="W1331" i="1"/>
  <c r="M1331" i="1"/>
  <c r="DA1330" i="1"/>
  <c r="CZ1330" i="1"/>
  <c r="CY1330" i="1"/>
  <c r="CW1330" i="1"/>
  <c r="CV1330" i="1"/>
  <c r="CN1330" i="1"/>
  <c r="CH1330" i="1"/>
  <c r="CG1330" i="1"/>
  <c r="CF1330" i="1"/>
  <c r="CE1330" i="1"/>
  <c r="CD1330" i="1"/>
  <c r="CC1330" i="1"/>
  <c r="CB1330" i="1"/>
  <c r="CA1330" i="1"/>
  <c r="CI1330" i="1" s="1"/>
  <c r="BW1330" i="1"/>
  <c r="BV1330" i="1"/>
  <c r="BU1330" i="1"/>
  <c r="BT1330" i="1"/>
  <c r="BS1330" i="1"/>
  <c r="BI1330" i="1"/>
  <c r="CK1330" i="1" s="1"/>
  <c r="BB1330" i="1"/>
  <c r="AR1330" i="1"/>
  <c r="AD1330" i="1"/>
  <c r="CP1330" i="1" s="1"/>
  <c r="W1330" i="1"/>
  <c r="M1330" i="1"/>
  <c r="DA1329" i="1"/>
  <c r="CZ1329" i="1"/>
  <c r="CY1329" i="1"/>
  <c r="CW1329" i="1"/>
  <c r="CV1329" i="1"/>
  <c r="CR1329" i="1"/>
  <c r="CQ1329" i="1"/>
  <c r="CO1329" i="1"/>
  <c r="CN1329" i="1"/>
  <c r="CM1329" i="1"/>
  <c r="CH1329" i="1"/>
  <c r="CG1329" i="1"/>
  <c r="CF1329" i="1"/>
  <c r="CE1329" i="1"/>
  <c r="CD1329" i="1"/>
  <c r="CC1329" i="1"/>
  <c r="CB1329" i="1"/>
  <c r="CA1329" i="1"/>
  <c r="BX1329" i="1"/>
  <c r="BW1329" i="1"/>
  <c r="BV1329" i="1"/>
  <c r="BU1329" i="1"/>
  <c r="BT1329" i="1"/>
  <c r="BS1329" i="1"/>
  <c r="BI1329" i="1"/>
  <c r="CK1329" i="1" s="1"/>
  <c r="BB1329" i="1"/>
  <c r="AR1329" i="1"/>
  <c r="AD1329" i="1"/>
  <c r="CL1329" i="1" s="1"/>
  <c r="W1329" i="1"/>
  <c r="M1329" i="1"/>
  <c r="DA1328" i="1"/>
  <c r="CZ1328" i="1"/>
  <c r="CY1328" i="1"/>
  <c r="CW1328" i="1"/>
  <c r="CV1328" i="1"/>
  <c r="CO1328" i="1"/>
  <c r="CH1328" i="1"/>
  <c r="CG1328" i="1"/>
  <c r="CF1328" i="1"/>
  <c r="CE1328" i="1"/>
  <c r="CD1328" i="1"/>
  <c r="CC1328" i="1"/>
  <c r="CB1328" i="1"/>
  <c r="CA1328" i="1"/>
  <c r="CI1328" i="1" s="1"/>
  <c r="BX1328" i="1"/>
  <c r="BW1328" i="1"/>
  <c r="BV1328" i="1"/>
  <c r="BU1328" i="1"/>
  <c r="BT1328" i="1"/>
  <c r="BS1328" i="1"/>
  <c r="BI1328" i="1"/>
  <c r="CR1328" i="1" s="1"/>
  <c r="BB1328" i="1"/>
  <c r="AR1328" i="1"/>
  <c r="AD1328" i="1"/>
  <c r="W1328" i="1"/>
  <c r="M1328" i="1"/>
  <c r="DA1327" i="1"/>
  <c r="CZ1327" i="1"/>
  <c r="CY1327" i="1"/>
  <c r="CW1327" i="1"/>
  <c r="CV1327" i="1"/>
  <c r="CK1327" i="1"/>
  <c r="CH1327" i="1"/>
  <c r="CG1327" i="1"/>
  <c r="CF1327" i="1"/>
  <c r="CE1327" i="1"/>
  <c r="CD1327" i="1"/>
  <c r="CC1327" i="1"/>
  <c r="CB1327" i="1"/>
  <c r="CA1327" i="1"/>
  <c r="CI1327" i="1" s="1"/>
  <c r="BW1327" i="1"/>
  <c r="BV1327" i="1"/>
  <c r="BU1327" i="1"/>
  <c r="BT1327" i="1"/>
  <c r="BS1327" i="1"/>
  <c r="BI1327" i="1"/>
  <c r="BB1327" i="1"/>
  <c r="AR1327" i="1"/>
  <c r="AD1327" i="1"/>
  <c r="W1327" i="1"/>
  <c r="M1327" i="1"/>
  <c r="DA1326" i="1"/>
  <c r="CZ1326" i="1"/>
  <c r="CY1326" i="1"/>
  <c r="CW1326" i="1"/>
  <c r="CV1326" i="1"/>
  <c r="CM1326" i="1"/>
  <c r="CH1326" i="1"/>
  <c r="CG1326" i="1"/>
  <c r="CF1326" i="1"/>
  <c r="CE1326" i="1"/>
  <c r="CD1326" i="1"/>
  <c r="CC1326" i="1"/>
  <c r="CB1326" i="1"/>
  <c r="CA1326" i="1"/>
  <c r="CI1326" i="1" s="1"/>
  <c r="BW1326" i="1"/>
  <c r="BV1326" i="1"/>
  <c r="BU1326" i="1"/>
  <c r="BT1326" i="1"/>
  <c r="BS1326" i="1"/>
  <c r="BI1326" i="1"/>
  <c r="CK1326" i="1" s="1"/>
  <c r="BB1326" i="1"/>
  <c r="AR1326" i="1"/>
  <c r="AD1326" i="1"/>
  <c r="W1326" i="1"/>
  <c r="M1326" i="1"/>
  <c r="DA1325" i="1"/>
  <c r="CZ1325" i="1"/>
  <c r="CY1325" i="1"/>
  <c r="CW1325" i="1"/>
  <c r="CV1325" i="1"/>
  <c r="CH1325" i="1"/>
  <c r="CG1325" i="1"/>
  <c r="CF1325" i="1"/>
  <c r="CE1325" i="1"/>
  <c r="CD1325" i="1"/>
  <c r="CC1325" i="1"/>
  <c r="CB1325" i="1"/>
  <c r="CA1325" i="1"/>
  <c r="CI1325" i="1" s="1"/>
  <c r="BX1325" i="1"/>
  <c r="BW1325" i="1"/>
  <c r="BV1325" i="1"/>
  <c r="BU1325" i="1"/>
  <c r="BT1325" i="1"/>
  <c r="BS1325" i="1"/>
  <c r="BI1325" i="1"/>
  <c r="BB1325" i="1"/>
  <c r="AR1325" i="1"/>
  <c r="AD1325" i="1"/>
  <c r="CQ1325" i="1" s="1"/>
  <c r="W1325" i="1"/>
  <c r="M1325" i="1"/>
  <c r="DA1324" i="1"/>
  <c r="CZ1324" i="1"/>
  <c r="CY1324" i="1"/>
  <c r="CW1324" i="1"/>
  <c r="CV1324" i="1"/>
  <c r="CH1324" i="1"/>
  <c r="CG1324" i="1"/>
  <c r="CF1324" i="1"/>
  <c r="CE1324" i="1"/>
  <c r="CD1324" i="1"/>
  <c r="CC1324" i="1"/>
  <c r="CB1324" i="1"/>
  <c r="CA1324" i="1"/>
  <c r="BW1324" i="1"/>
  <c r="BV1324" i="1"/>
  <c r="BU1324" i="1"/>
  <c r="BT1324" i="1"/>
  <c r="BS1324" i="1"/>
  <c r="BI1324" i="1"/>
  <c r="BB1324" i="1"/>
  <c r="AR1324" i="1"/>
  <c r="AD1324" i="1"/>
  <c r="W1324" i="1"/>
  <c r="M1324" i="1"/>
  <c r="DA1323" i="1"/>
  <c r="CZ1323" i="1"/>
  <c r="CY1323" i="1"/>
  <c r="CW1323" i="1"/>
  <c r="CV1323" i="1"/>
  <c r="CR1323" i="1"/>
  <c r="CP1323" i="1"/>
  <c r="CH1323" i="1"/>
  <c r="CG1323" i="1"/>
  <c r="CF1323" i="1"/>
  <c r="CE1323" i="1"/>
  <c r="CD1323" i="1"/>
  <c r="CC1323" i="1"/>
  <c r="CB1323" i="1"/>
  <c r="CA1323" i="1"/>
  <c r="BW1323" i="1"/>
  <c r="BV1323" i="1"/>
  <c r="BU1323" i="1"/>
  <c r="BT1323" i="1"/>
  <c r="BS1323" i="1"/>
  <c r="BI1323" i="1"/>
  <c r="CO1323" i="1" s="1"/>
  <c r="BB1323" i="1"/>
  <c r="AR1323" i="1"/>
  <c r="AD1323" i="1"/>
  <c r="W1323" i="1"/>
  <c r="M1323" i="1"/>
  <c r="DA1322" i="1"/>
  <c r="CZ1322" i="1"/>
  <c r="CY1322" i="1"/>
  <c r="CW1322" i="1"/>
  <c r="CV1322" i="1"/>
  <c r="CP1322" i="1"/>
  <c r="CO1322" i="1"/>
  <c r="CH1322" i="1"/>
  <c r="CG1322" i="1"/>
  <c r="CF1322" i="1"/>
  <c r="CE1322" i="1"/>
  <c r="CD1322" i="1"/>
  <c r="CC1322" i="1"/>
  <c r="CB1322" i="1"/>
  <c r="CA1322" i="1"/>
  <c r="CI1322" i="1" s="1"/>
  <c r="BW1322" i="1"/>
  <c r="BV1322" i="1"/>
  <c r="BU1322" i="1"/>
  <c r="BT1322" i="1"/>
  <c r="BS1322" i="1"/>
  <c r="BI1322" i="1"/>
  <c r="CN1322" i="1" s="1"/>
  <c r="BB1322" i="1"/>
  <c r="AR1322" i="1"/>
  <c r="AD1322" i="1"/>
  <c r="W1322" i="1"/>
  <c r="M1322" i="1"/>
  <c r="DA1321" i="1"/>
  <c r="CZ1321" i="1"/>
  <c r="CY1321" i="1"/>
  <c r="CW1321" i="1"/>
  <c r="CV1321" i="1"/>
  <c r="CH1321" i="1"/>
  <c r="CG1321" i="1"/>
  <c r="CF1321" i="1"/>
  <c r="CE1321" i="1"/>
  <c r="CD1321" i="1"/>
  <c r="CC1321" i="1"/>
  <c r="CB1321" i="1"/>
  <c r="CA1321" i="1"/>
  <c r="BW1321" i="1"/>
  <c r="BV1321" i="1"/>
  <c r="BU1321" i="1"/>
  <c r="BT1321" i="1"/>
  <c r="BS1321" i="1"/>
  <c r="BI1321" i="1"/>
  <c r="BB1321" i="1"/>
  <c r="AR1321" i="1"/>
  <c r="AD1321" i="1"/>
  <c r="W1321" i="1"/>
  <c r="M1321" i="1"/>
  <c r="DA1320" i="1"/>
  <c r="CZ1320" i="1"/>
  <c r="CY1320" i="1"/>
  <c r="CW1320" i="1"/>
  <c r="CV1320" i="1"/>
  <c r="CO1320" i="1"/>
  <c r="CN1320" i="1"/>
  <c r="CH1320" i="1"/>
  <c r="CG1320" i="1"/>
  <c r="CF1320" i="1"/>
  <c r="CE1320" i="1"/>
  <c r="CD1320" i="1"/>
  <c r="CC1320" i="1"/>
  <c r="CB1320" i="1"/>
  <c r="CA1320" i="1"/>
  <c r="CI1320" i="1" s="1"/>
  <c r="BW1320" i="1"/>
  <c r="BV1320" i="1"/>
  <c r="BU1320" i="1"/>
  <c r="BT1320" i="1"/>
  <c r="BS1320" i="1"/>
  <c r="BI1320" i="1"/>
  <c r="CM1320" i="1" s="1"/>
  <c r="BB1320" i="1"/>
  <c r="AR1320" i="1"/>
  <c r="AD1320" i="1"/>
  <c r="CL1320" i="1" s="1"/>
  <c r="W1320" i="1"/>
  <c r="M1320" i="1"/>
  <c r="DA1319" i="1"/>
  <c r="CZ1319" i="1"/>
  <c r="CY1319" i="1"/>
  <c r="CW1319" i="1"/>
  <c r="CV1319" i="1"/>
  <c r="CK1319" i="1"/>
  <c r="CH1319" i="1"/>
  <c r="CG1319" i="1"/>
  <c r="CF1319" i="1"/>
  <c r="CE1319" i="1"/>
  <c r="CD1319" i="1"/>
  <c r="CC1319" i="1"/>
  <c r="CB1319" i="1"/>
  <c r="CA1319" i="1"/>
  <c r="BW1319" i="1"/>
  <c r="BV1319" i="1"/>
  <c r="BU1319" i="1"/>
  <c r="BT1319" i="1"/>
  <c r="BS1319" i="1"/>
  <c r="BI1319" i="1"/>
  <c r="BB1319" i="1"/>
  <c r="AR1319" i="1"/>
  <c r="AD1319" i="1"/>
  <c r="W1319" i="1"/>
  <c r="M1319" i="1"/>
  <c r="DA1318" i="1"/>
  <c r="CZ1318" i="1"/>
  <c r="CY1318" i="1"/>
  <c r="CW1318" i="1"/>
  <c r="CV1318" i="1"/>
  <c r="CR1318" i="1"/>
  <c r="CO1318" i="1"/>
  <c r="CN1318" i="1"/>
  <c r="CH1318" i="1"/>
  <c r="CG1318" i="1"/>
  <c r="CF1318" i="1"/>
  <c r="CE1318" i="1"/>
  <c r="CD1318" i="1"/>
  <c r="CC1318" i="1"/>
  <c r="CB1318" i="1"/>
  <c r="CA1318" i="1"/>
  <c r="CI1318" i="1" s="1"/>
  <c r="BW1318" i="1"/>
  <c r="BV1318" i="1"/>
  <c r="BU1318" i="1"/>
  <c r="BT1318" i="1"/>
  <c r="BS1318" i="1"/>
  <c r="BI1318" i="1"/>
  <c r="CM1318" i="1" s="1"/>
  <c r="BB1318" i="1"/>
  <c r="AR1318" i="1"/>
  <c r="AD1318" i="1"/>
  <c r="CL1318" i="1" s="1"/>
  <c r="W1318" i="1"/>
  <c r="M1318" i="1"/>
  <c r="DA1317" i="1"/>
  <c r="CZ1317" i="1"/>
  <c r="CY1317" i="1"/>
  <c r="CW1317" i="1"/>
  <c r="CV1317" i="1"/>
  <c r="CR1317" i="1"/>
  <c r="CQ1317" i="1"/>
  <c r="CN1317" i="1"/>
  <c r="CM1317" i="1"/>
  <c r="CH1317" i="1"/>
  <c r="CG1317" i="1"/>
  <c r="CF1317" i="1"/>
  <c r="CE1317" i="1"/>
  <c r="CD1317" i="1"/>
  <c r="CC1317" i="1"/>
  <c r="CB1317" i="1"/>
  <c r="CA1317" i="1"/>
  <c r="CI1317" i="1" s="1"/>
  <c r="BX1317" i="1"/>
  <c r="BW1317" i="1"/>
  <c r="BV1317" i="1"/>
  <c r="BU1317" i="1"/>
  <c r="BT1317" i="1"/>
  <c r="BS1317" i="1"/>
  <c r="BI1317" i="1"/>
  <c r="BB1317" i="1"/>
  <c r="AR1317" i="1"/>
  <c r="AD1317" i="1"/>
  <c r="CP1317" i="1" s="1"/>
  <c r="W1317" i="1"/>
  <c r="M1317" i="1"/>
  <c r="DA1316" i="1"/>
  <c r="CZ1316" i="1"/>
  <c r="CY1316" i="1"/>
  <c r="CW1316" i="1"/>
  <c r="CV1316" i="1"/>
  <c r="CM1316" i="1"/>
  <c r="CL1316" i="1"/>
  <c r="CH1316" i="1"/>
  <c r="CG1316" i="1"/>
  <c r="CF1316" i="1"/>
  <c r="CE1316" i="1"/>
  <c r="CD1316" i="1"/>
  <c r="CC1316" i="1"/>
  <c r="CB1316" i="1"/>
  <c r="CA1316" i="1"/>
  <c r="BW1316" i="1"/>
  <c r="BV1316" i="1"/>
  <c r="BU1316" i="1"/>
  <c r="BT1316" i="1"/>
  <c r="BS1316" i="1"/>
  <c r="BI1316" i="1"/>
  <c r="BB1316" i="1"/>
  <c r="AR1316" i="1"/>
  <c r="AD1316" i="1"/>
  <c r="CK1316" i="1" s="1"/>
  <c r="W1316" i="1"/>
  <c r="M1316" i="1"/>
  <c r="DA1315" i="1"/>
  <c r="CZ1315" i="1"/>
  <c r="CY1315" i="1"/>
  <c r="CW1315" i="1"/>
  <c r="CV1315" i="1"/>
  <c r="CP1315" i="1"/>
  <c r="CH1315" i="1"/>
  <c r="CG1315" i="1"/>
  <c r="CF1315" i="1"/>
  <c r="CE1315" i="1"/>
  <c r="CD1315" i="1"/>
  <c r="CC1315" i="1"/>
  <c r="CB1315" i="1"/>
  <c r="CA1315" i="1"/>
  <c r="CI1315" i="1" s="1"/>
  <c r="BW1315" i="1"/>
  <c r="BV1315" i="1"/>
  <c r="BU1315" i="1"/>
  <c r="BT1315" i="1"/>
  <c r="BS1315" i="1"/>
  <c r="BI1315" i="1"/>
  <c r="BB1315" i="1"/>
  <c r="AR1315" i="1"/>
  <c r="AD1315" i="1"/>
  <c r="W1315" i="1"/>
  <c r="M1315" i="1"/>
  <c r="DA1314" i="1"/>
  <c r="CZ1314" i="1"/>
  <c r="CY1314" i="1"/>
  <c r="CW1314" i="1"/>
  <c r="CV1314" i="1"/>
  <c r="CK1314" i="1"/>
  <c r="CH1314" i="1"/>
  <c r="CG1314" i="1"/>
  <c r="CF1314" i="1"/>
  <c r="CE1314" i="1"/>
  <c r="CD1314" i="1"/>
  <c r="CC1314" i="1"/>
  <c r="CB1314" i="1"/>
  <c r="CA1314" i="1"/>
  <c r="CI1314" i="1" s="1"/>
  <c r="BW1314" i="1"/>
  <c r="BV1314" i="1"/>
  <c r="BU1314" i="1"/>
  <c r="BT1314" i="1"/>
  <c r="BS1314" i="1"/>
  <c r="BI1314" i="1"/>
  <c r="BB1314" i="1"/>
  <c r="AR1314" i="1"/>
  <c r="AD1314" i="1"/>
  <c r="CP1314" i="1" s="1"/>
  <c r="W1314" i="1"/>
  <c r="M1314" i="1"/>
  <c r="DA1313" i="1"/>
  <c r="CZ1313" i="1"/>
  <c r="CY1313" i="1"/>
  <c r="CW1313" i="1"/>
  <c r="CV1313" i="1"/>
  <c r="CR1313" i="1"/>
  <c r="CQ1313" i="1"/>
  <c r="CN1313" i="1"/>
  <c r="CM1313" i="1"/>
  <c r="CL1313" i="1"/>
  <c r="CH1313" i="1"/>
  <c r="CG1313" i="1"/>
  <c r="CF1313" i="1"/>
  <c r="CE1313" i="1"/>
  <c r="CD1313" i="1"/>
  <c r="CC1313" i="1"/>
  <c r="CB1313" i="1"/>
  <c r="CA1313" i="1"/>
  <c r="BX1313" i="1"/>
  <c r="BW1313" i="1"/>
  <c r="BV1313" i="1"/>
  <c r="BU1313" i="1"/>
  <c r="BT1313" i="1"/>
  <c r="BS1313" i="1"/>
  <c r="BI1313" i="1"/>
  <c r="CK1313" i="1" s="1"/>
  <c r="BB1313" i="1"/>
  <c r="AR1313" i="1"/>
  <c r="AD1313" i="1"/>
  <c r="CP1313" i="1" s="1"/>
  <c r="W1313" i="1"/>
  <c r="M1313" i="1"/>
  <c r="DA1312" i="1"/>
  <c r="CZ1312" i="1"/>
  <c r="CY1312" i="1"/>
  <c r="CW1312" i="1"/>
  <c r="CV1312" i="1"/>
  <c r="CQ1312" i="1"/>
  <c r="CH1312" i="1"/>
  <c r="CG1312" i="1"/>
  <c r="CF1312" i="1"/>
  <c r="CE1312" i="1"/>
  <c r="CD1312" i="1"/>
  <c r="CC1312" i="1"/>
  <c r="CB1312" i="1"/>
  <c r="CA1312" i="1"/>
  <c r="BX1312" i="1"/>
  <c r="BW1312" i="1"/>
  <c r="BV1312" i="1"/>
  <c r="BU1312" i="1"/>
  <c r="BT1312" i="1"/>
  <c r="BS1312" i="1"/>
  <c r="BI1312" i="1"/>
  <c r="BB1312" i="1"/>
  <c r="AR1312" i="1"/>
  <c r="AD1312" i="1"/>
  <c r="CP1312" i="1" s="1"/>
  <c r="W1312" i="1"/>
  <c r="M1312" i="1"/>
  <c r="DA1311" i="1"/>
  <c r="CZ1311" i="1"/>
  <c r="CY1311" i="1"/>
  <c r="CW1311" i="1"/>
  <c r="CV1311" i="1"/>
  <c r="CL1311" i="1"/>
  <c r="CH1311" i="1"/>
  <c r="CG1311" i="1"/>
  <c r="CF1311" i="1"/>
  <c r="CE1311" i="1"/>
  <c r="CD1311" i="1"/>
  <c r="CC1311" i="1"/>
  <c r="CB1311" i="1"/>
  <c r="CA1311" i="1"/>
  <c r="BW1311" i="1"/>
  <c r="BV1311" i="1"/>
  <c r="BU1311" i="1"/>
  <c r="BT1311" i="1"/>
  <c r="BS1311" i="1"/>
  <c r="BI1311" i="1"/>
  <c r="CK1311" i="1" s="1"/>
  <c r="BB1311" i="1"/>
  <c r="AR1311" i="1"/>
  <c r="AD1311" i="1"/>
  <c r="CR1311" i="1" s="1"/>
  <c r="W1311" i="1"/>
  <c r="M1311" i="1"/>
  <c r="DA1310" i="1"/>
  <c r="CZ1310" i="1"/>
  <c r="CY1310" i="1"/>
  <c r="CW1310" i="1"/>
  <c r="CV1310" i="1"/>
  <c r="CO1310" i="1"/>
  <c r="CN1310" i="1"/>
  <c r="CH1310" i="1"/>
  <c r="CG1310" i="1"/>
  <c r="CF1310" i="1"/>
  <c r="CE1310" i="1"/>
  <c r="CD1310" i="1"/>
  <c r="CC1310" i="1"/>
  <c r="CB1310" i="1"/>
  <c r="CA1310" i="1"/>
  <c r="BW1310" i="1"/>
  <c r="BV1310" i="1"/>
  <c r="BU1310" i="1"/>
  <c r="BT1310" i="1"/>
  <c r="BS1310" i="1"/>
  <c r="BI1310" i="1"/>
  <c r="CM1310" i="1" s="1"/>
  <c r="BB1310" i="1"/>
  <c r="AR1310" i="1"/>
  <c r="AD1310" i="1"/>
  <c r="CL1310" i="1" s="1"/>
  <c r="W1310" i="1"/>
  <c r="M1310" i="1"/>
  <c r="DA1309" i="1"/>
  <c r="CZ1309" i="1"/>
  <c r="CY1309" i="1"/>
  <c r="CW1309" i="1"/>
  <c r="CV1309" i="1"/>
  <c r="CR1309" i="1"/>
  <c r="CQ1309" i="1"/>
  <c r="CN1309" i="1"/>
  <c r="CM1309" i="1"/>
  <c r="CH1309" i="1"/>
  <c r="CG1309" i="1"/>
  <c r="CF1309" i="1"/>
  <c r="CE1309" i="1"/>
  <c r="CD1309" i="1"/>
  <c r="CC1309" i="1"/>
  <c r="CB1309" i="1"/>
  <c r="CA1309" i="1"/>
  <c r="CI1309" i="1" s="1"/>
  <c r="BX1309" i="1"/>
  <c r="BW1309" i="1"/>
  <c r="BV1309" i="1"/>
  <c r="BU1309" i="1"/>
  <c r="BT1309" i="1"/>
  <c r="BS1309" i="1"/>
  <c r="BI1309" i="1"/>
  <c r="BB1309" i="1"/>
  <c r="AR1309" i="1"/>
  <c r="AD1309" i="1"/>
  <c r="CP1309" i="1" s="1"/>
  <c r="W1309" i="1"/>
  <c r="M1309" i="1"/>
  <c r="DA1308" i="1"/>
  <c r="CZ1308" i="1"/>
  <c r="CY1308" i="1"/>
  <c r="CW1308" i="1"/>
  <c r="CV1308" i="1"/>
  <c r="CM1308" i="1"/>
  <c r="CL1308" i="1"/>
  <c r="CH1308" i="1"/>
  <c r="CG1308" i="1"/>
  <c r="CF1308" i="1"/>
  <c r="CE1308" i="1"/>
  <c r="CD1308" i="1"/>
  <c r="CC1308" i="1"/>
  <c r="CB1308" i="1"/>
  <c r="CA1308" i="1"/>
  <c r="BW1308" i="1"/>
  <c r="BV1308" i="1"/>
  <c r="BU1308" i="1"/>
  <c r="BT1308" i="1"/>
  <c r="BS1308" i="1"/>
  <c r="BI1308" i="1"/>
  <c r="BB1308" i="1"/>
  <c r="AR1308" i="1"/>
  <c r="AD1308" i="1"/>
  <c r="CK1308" i="1" s="1"/>
  <c r="W1308" i="1"/>
  <c r="M1308" i="1"/>
  <c r="DA1307" i="1"/>
  <c r="CZ1307" i="1"/>
  <c r="CY1307" i="1"/>
  <c r="CW1307" i="1"/>
  <c r="CV1307" i="1"/>
  <c r="CH1307" i="1"/>
  <c r="CG1307" i="1"/>
  <c r="CF1307" i="1"/>
  <c r="CE1307" i="1"/>
  <c r="CD1307" i="1"/>
  <c r="CC1307" i="1"/>
  <c r="CB1307" i="1"/>
  <c r="CA1307" i="1"/>
  <c r="BW1307" i="1"/>
  <c r="BV1307" i="1"/>
  <c r="BU1307" i="1"/>
  <c r="BT1307" i="1"/>
  <c r="BS1307" i="1"/>
  <c r="BI1307" i="1"/>
  <c r="BB1307" i="1"/>
  <c r="AR1307" i="1"/>
  <c r="AD1307" i="1"/>
  <c r="W1307" i="1"/>
  <c r="M1307" i="1"/>
  <c r="DA1306" i="1"/>
  <c r="CZ1306" i="1"/>
  <c r="CY1306" i="1"/>
  <c r="CW1306" i="1"/>
  <c r="CV1306" i="1"/>
  <c r="CH1306" i="1"/>
  <c r="CG1306" i="1"/>
  <c r="CF1306" i="1"/>
  <c r="CE1306" i="1"/>
  <c r="CD1306" i="1"/>
  <c r="CC1306" i="1"/>
  <c r="CB1306" i="1"/>
  <c r="CA1306" i="1"/>
  <c r="CI1306" i="1" s="1"/>
  <c r="BW1306" i="1"/>
  <c r="BV1306" i="1"/>
  <c r="BU1306" i="1"/>
  <c r="BT1306" i="1"/>
  <c r="BS1306" i="1"/>
  <c r="BI1306" i="1"/>
  <c r="CK1306" i="1" s="1"/>
  <c r="BB1306" i="1"/>
  <c r="AR1306" i="1"/>
  <c r="AD1306" i="1"/>
  <c r="W1306" i="1"/>
  <c r="M1306" i="1"/>
  <c r="DA1305" i="1"/>
  <c r="CZ1305" i="1"/>
  <c r="CY1305" i="1"/>
  <c r="CW1305" i="1"/>
  <c r="CV1305" i="1"/>
  <c r="CR1305" i="1"/>
  <c r="CQ1305" i="1"/>
  <c r="CN1305" i="1"/>
  <c r="CM1305" i="1"/>
  <c r="CL1305" i="1"/>
  <c r="CH1305" i="1"/>
  <c r="CG1305" i="1"/>
  <c r="CF1305" i="1"/>
  <c r="CE1305" i="1"/>
  <c r="CD1305" i="1"/>
  <c r="CC1305" i="1"/>
  <c r="CB1305" i="1"/>
  <c r="CA1305" i="1"/>
  <c r="BX1305" i="1"/>
  <c r="BW1305" i="1"/>
  <c r="BV1305" i="1"/>
  <c r="BU1305" i="1"/>
  <c r="BT1305" i="1"/>
  <c r="BS1305" i="1"/>
  <c r="BI1305" i="1"/>
  <c r="CK1305" i="1" s="1"/>
  <c r="BB1305" i="1"/>
  <c r="AR1305" i="1"/>
  <c r="AD1305" i="1"/>
  <c r="CP1305" i="1" s="1"/>
  <c r="W1305" i="1"/>
  <c r="M1305" i="1"/>
  <c r="DA1304" i="1"/>
  <c r="CZ1304" i="1"/>
  <c r="CY1304" i="1"/>
  <c r="CW1304" i="1"/>
  <c r="CV1304" i="1"/>
  <c r="CQ1304" i="1"/>
  <c r="CP1304" i="1"/>
  <c r="CM1304" i="1"/>
  <c r="CL1304" i="1"/>
  <c r="CH1304" i="1"/>
  <c r="CG1304" i="1"/>
  <c r="CF1304" i="1"/>
  <c r="CE1304" i="1"/>
  <c r="CD1304" i="1"/>
  <c r="CC1304" i="1"/>
  <c r="CB1304" i="1"/>
  <c r="CA1304" i="1"/>
  <c r="BX1304" i="1"/>
  <c r="BW1304" i="1"/>
  <c r="BV1304" i="1"/>
  <c r="BU1304" i="1"/>
  <c r="BT1304" i="1"/>
  <c r="BS1304" i="1"/>
  <c r="BI1304" i="1"/>
  <c r="BB1304" i="1"/>
  <c r="AR1304" i="1"/>
  <c r="AD1304" i="1"/>
  <c r="W1304" i="1"/>
  <c r="M1304" i="1"/>
  <c r="DA1303" i="1"/>
  <c r="CZ1303" i="1"/>
  <c r="CY1303" i="1"/>
  <c r="CW1303" i="1"/>
  <c r="CV1303" i="1"/>
  <c r="CH1303" i="1"/>
  <c r="CG1303" i="1"/>
  <c r="CF1303" i="1"/>
  <c r="CE1303" i="1"/>
  <c r="CD1303" i="1"/>
  <c r="CC1303" i="1"/>
  <c r="CB1303" i="1"/>
  <c r="CA1303" i="1"/>
  <c r="BW1303" i="1"/>
  <c r="BV1303" i="1"/>
  <c r="BU1303" i="1"/>
  <c r="BT1303" i="1"/>
  <c r="BS1303" i="1"/>
  <c r="BI1303" i="1"/>
  <c r="BB1303" i="1"/>
  <c r="AR1303" i="1"/>
  <c r="AD1303" i="1"/>
  <c r="W1303" i="1"/>
  <c r="M1303" i="1"/>
  <c r="DA1302" i="1"/>
  <c r="CZ1302" i="1"/>
  <c r="CY1302" i="1"/>
  <c r="CW1302" i="1"/>
  <c r="CV1302" i="1"/>
  <c r="CK1302" i="1"/>
  <c r="CH1302" i="1"/>
  <c r="CG1302" i="1"/>
  <c r="CF1302" i="1"/>
  <c r="CE1302" i="1"/>
  <c r="CD1302" i="1"/>
  <c r="CC1302" i="1"/>
  <c r="CB1302" i="1"/>
  <c r="CA1302" i="1"/>
  <c r="CI1302" i="1" s="1"/>
  <c r="BW1302" i="1"/>
  <c r="BV1302" i="1"/>
  <c r="BU1302" i="1"/>
  <c r="BT1302" i="1"/>
  <c r="BS1302" i="1"/>
  <c r="BI1302" i="1"/>
  <c r="CM1302" i="1" s="1"/>
  <c r="BB1302" i="1"/>
  <c r="AR1302" i="1"/>
  <c r="AD1302" i="1"/>
  <c r="W1302" i="1"/>
  <c r="M1302" i="1"/>
  <c r="DA1301" i="1"/>
  <c r="CZ1301" i="1"/>
  <c r="CY1301" i="1"/>
  <c r="CW1301" i="1"/>
  <c r="CV1301" i="1"/>
  <c r="CR1301" i="1"/>
  <c r="CQ1301" i="1"/>
  <c r="CN1301" i="1"/>
  <c r="CM1301" i="1"/>
  <c r="CH1301" i="1"/>
  <c r="CG1301" i="1"/>
  <c r="CF1301" i="1"/>
  <c r="CE1301" i="1"/>
  <c r="CD1301" i="1"/>
  <c r="CC1301" i="1"/>
  <c r="CB1301" i="1"/>
  <c r="CA1301" i="1"/>
  <c r="CI1301" i="1" s="1"/>
  <c r="BX1301" i="1"/>
  <c r="BW1301" i="1"/>
  <c r="BV1301" i="1"/>
  <c r="BU1301" i="1"/>
  <c r="BT1301" i="1"/>
  <c r="BS1301" i="1"/>
  <c r="BI1301" i="1"/>
  <c r="BB1301" i="1"/>
  <c r="AR1301" i="1"/>
  <c r="AD1301" i="1"/>
  <c r="CP1301" i="1" s="1"/>
  <c r="W1301" i="1"/>
  <c r="M1301" i="1"/>
  <c r="DA1300" i="1"/>
  <c r="CZ1300" i="1"/>
  <c r="CY1300" i="1"/>
  <c r="CW1300" i="1"/>
  <c r="CV1300" i="1"/>
  <c r="CP1300" i="1"/>
  <c r="CM1300" i="1"/>
  <c r="CH1300" i="1"/>
  <c r="CG1300" i="1"/>
  <c r="CF1300" i="1"/>
  <c r="CE1300" i="1"/>
  <c r="CD1300" i="1"/>
  <c r="CC1300" i="1"/>
  <c r="CB1300" i="1"/>
  <c r="CA1300" i="1"/>
  <c r="BW1300" i="1"/>
  <c r="BV1300" i="1"/>
  <c r="BU1300" i="1"/>
  <c r="BT1300" i="1"/>
  <c r="BS1300" i="1"/>
  <c r="BI1300" i="1"/>
  <c r="BB1300" i="1"/>
  <c r="AR1300" i="1"/>
  <c r="AD1300" i="1"/>
  <c r="CQ1300" i="1" s="1"/>
  <c r="W1300" i="1"/>
  <c r="M1300" i="1"/>
  <c r="DA1299" i="1"/>
  <c r="CZ1299" i="1"/>
  <c r="CY1299" i="1"/>
  <c r="CW1299" i="1"/>
  <c r="CV1299" i="1"/>
  <c r="CP1299" i="1"/>
  <c r="CL1299" i="1"/>
  <c r="CH1299" i="1"/>
  <c r="CG1299" i="1"/>
  <c r="CF1299" i="1"/>
  <c r="CE1299" i="1"/>
  <c r="CD1299" i="1"/>
  <c r="CC1299" i="1"/>
  <c r="CB1299" i="1"/>
  <c r="CA1299" i="1"/>
  <c r="BW1299" i="1"/>
  <c r="BV1299" i="1"/>
  <c r="BU1299" i="1"/>
  <c r="BT1299" i="1"/>
  <c r="BS1299" i="1"/>
  <c r="BI1299" i="1"/>
  <c r="CO1299" i="1" s="1"/>
  <c r="BB1299" i="1"/>
  <c r="AR1299" i="1"/>
  <c r="AD1299" i="1"/>
  <c r="W1299" i="1"/>
  <c r="M1299" i="1"/>
  <c r="DA1298" i="1"/>
  <c r="CZ1298" i="1"/>
  <c r="CY1298" i="1"/>
  <c r="CW1298" i="1"/>
  <c r="CV1298" i="1"/>
  <c r="CH1298" i="1"/>
  <c r="CF1298" i="1"/>
  <c r="CE1298" i="1"/>
  <c r="CB1298" i="1"/>
  <c r="CA1298" i="1"/>
  <c r="BW1298" i="1"/>
  <c r="BV1298" i="1"/>
  <c r="BU1298" i="1"/>
  <c r="BT1298" i="1"/>
  <c r="BI1298" i="1"/>
  <c r="BB1298" i="1"/>
  <c r="AR1298" i="1"/>
  <c r="Y1298" i="1"/>
  <c r="W1298" i="1"/>
  <c r="M1298" i="1"/>
  <c r="DA1297" i="1"/>
  <c r="CZ1297" i="1"/>
  <c r="CY1297" i="1"/>
  <c r="CW1297" i="1"/>
  <c r="CV1297" i="1"/>
  <c r="BW1297" i="1"/>
  <c r="BV1297" i="1"/>
  <c r="BU1297" i="1"/>
  <c r="BT1297" i="1"/>
  <c r="BI1297" i="1"/>
  <c r="BB1297" i="1"/>
  <c r="AR1297" i="1"/>
  <c r="W1297" i="1"/>
  <c r="M1297" i="1"/>
  <c r="DA1296" i="1"/>
  <c r="CZ1296" i="1"/>
  <c r="CY1296" i="1"/>
  <c r="CF1296" i="1"/>
  <c r="CB1296" i="1"/>
  <c r="BW1296" i="1"/>
  <c r="BV1296" i="1"/>
  <c r="BU1296" i="1"/>
  <c r="BT1296" i="1"/>
  <c r="BM1296" i="1"/>
  <c r="BL1296" i="1"/>
  <c r="BD1296" i="1"/>
  <c r="BI1296" i="1" s="1"/>
  <c r="BB1296" i="1"/>
  <c r="AR1296" i="1"/>
  <c r="AH1296" i="1"/>
  <c r="AG1296" i="1"/>
  <c r="CV1296" i="1" s="1"/>
  <c r="AD1296" i="1"/>
  <c r="CK1296" i="1" s="1"/>
  <c r="Y1296" i="1"/>
  <c r="CA1296" i="1" s="1"/>
  <c r="W1296" i="1"/>
  <c r="M1296" i="1"/>
  <c r="DA1295" i="1"/>
  <c r="CZ1295" i="1"/>
  <c r="CY1295" i="1"/>
  <c r="CV1295" i="1"/>
  <c r="CH1295" i="1"/>
  <c r="CE1295" i="1"/>
  <c r="CD1295" i="1"/>
  <c r="CC1295" i="1"/>
  <c r="BW1295" i="1"/>
  <c r="BV1295" i="1"/>
  <c r="BU1295" i="1"/>
  <c r="BT1295" i="1"/>
  <c r="BS1295" i="1"/>
  <c r="BM1295" i="1"/>
  <c r="BL1295" i="1"/>
  <c r="BI1295" i="1"/>
  <c r="BD1295" i="1"/>
  <c r="BB1295" i="1"/>
  <c r="AR1295" i="1"/>
  <c r="AH1295" i="1"/>
  <c r="CW1295" i="1" s="1"/>
  <c r="AG1295" i="1"/>
  <c r="Y1295" i="1"/>
  <c r="CB1295" i="1" s="1"/>
  <c r="W1295" i="1"/>
  <c r="M1295" i="1"/>
  <c r="DA1294" i="1"/>
  <c r="CZ1294" i="1"/>
  <c r="CY1294" i="1"/>
  <c r="CG1294" i="1"/>
  <c r="CF1294" i="1"/>
  <c r="CE1294" i="1"/>
  <c r="CB1294" i="1"/>
  <c r="BW1294" i="1"/>
  <c r="BV1294" i="1"/>
  <c r="BU1294" i="1"/>
  <c r="BT1294" i="1"/>
  <c r="BI1294" i="1"/>
  <c r="BD1294" i="1"/>
  <c r="CA1294" i="1" s="1"/>
  <c r="BB1294" i="1"/>
  <c r="AR1294" i="1"/>
  <c r="AH1294" i="1"/>
  <c r="CW1294" i="1" s="1"/>
  <c r="AG1294" i="1"/>
  <c r="CV1294" i="1" s="1"/>
  <c r="Y1294" i="1"/>
  <c r="CD1294" i="1" s="1"/>
  <c r="W1294" i="1"/>
  <c r="M1294" i="1"/>
  <c r="DA1293" i="1"/>
  <c r="CZ1293" i="1"/>
  <c r="CY1293" i="1"/>
  <c r="CW1293" i="1"/>
  <c r="CV1293" i="1"/>
  <c r="BW1293" i="1"/>
  <c r="BV1293" i="1"/>
  <c r="BU1293" i="1"/>
  <c r="BT1293" i="1"/>
  <c r="BI1293" i="1"/>
  <c r="BB1293" i="1"/>
  <c r="AR1293" i="1"/>
  <c r="W1293" i="1"/>
  <c r="M1293" i="1"/>
  <c r="DA1292" i="1"/>
  <c r="CZ1292" i="1"/>
  <c r="CY1292" i="1"/>
  <c r="CF1292" i="1"/>
  <c r="CB1292" i="1"/>
  <c r="BW1292" i="1"/>
  <c r="BV1292" i="1"/>
  <c r="BU1292" i="1"/>
  <c r="BT1292" i="1"/>
  <c r="BI1292" i="1"/>
  <c r="BD1292" i="1"/>
  <c r="CA1292" i="1" s="1"/>
  <c r="BB1292" i="1"/>
  <c r="AR1292" i="1"/>
  <c r="AH1292" i="1"/>
  <c r="CW1292" i="1" s="1"/>
  <c r="AG1292" i="1"/>
  <c r="CV1292" i="1" s="1"/>
  <c r="Y1292" i="1"/>
  <c r="CH1292" i="1" s="1"/>
  <c r="W1292" i="1"/>
  <c r="M1292" i="1"/>
  <c r="DA1291" i="1"/>
  <c r="CZ1291" i="1"/>
  <c r="CY1291" i="1"/>
  <c r="CW1291" i="1"/>
  <c r="CV1291" i="1"/>
  <c r="CB1291" i="1"/>
  <c r="BW1291" i="1"/>
  <c r="BV1291" i="1"/>
  <c r="BU1291" i="1"/>
  <c r="BT1291" i="1"/>
  <c r="BI1291" i="1"/>
  <c r="BB1291" i="1"/>
  <c r="AR1291" i="1"/>
  <c r="Y1291" i="1"/>
  <c r="CA1291" i="1" s="1"/>
  <c r="W1291" i="1"/>
  <c r="M1291" i="1"/>
  <c r="DA1290" i="1"/>
  <c r="CZ1290" i="1"/>
  <c r="CY1290" i="1"/>
  <c r="CW1290" i="1"/>
  <c r="CV1290" i="1"/>
  <c r="CH1290" i="1"/>
  <c r="CG1290" i="1"/>
  <c r="CF1290" i="1"/>
  <c r="CE1290" i="1"/>
  <c r="CD1290" i="1"/>
  <c r="CC1290" i="1"/>
  <c r="CB1290" i="1"/>
  <c r="CA1290" i="1"/>
  <c r="CI1290" i="1" s="1"/>
  <c r="BW1290" i="1"/>
  <c r="BV1290" i="1"/>
  <c r="BU1290" i="1"/>
  <c r="BT1290" i="1"/>
  <c r="BS1290" i="1"/>
  <c r="BI1290" i="1"/>
  <c r="BB1290" i="1"/>
  <c r="AR1290" i="1"/>
  <c r="AD1290" i="1"/>
  <c r="W1290" i="1"/>
  <c r="M1290" i="1"/>
  <c r="DA1289" i="1"/>
  <c r="CZ1289" i="1"/>
  <c r="CY1289" i="1"/>
  <c r="CW1289" i="1"/>
  <c r="CV1289" i="1"/>
  <c r="BW1289" i="1"/>
  <c r="BV1289" i="1"/>
  <c r="BU1289" i="1"/>
  <c r="BT1289" i="1"/>
  <c r="BI1289" i="1"/>
  <c r="BB1289" i="1"/>
  <c r="AR1289" i="1"/>
  <c r="W1289" i="1"/>
  <c r="M1289" i="1"/>
  <c r="DA1288" i="1"/>
  <c r="CZ1288" i="1"/>
  <c r="CY1288" i="1"/>
  <c r="CG1288" i="1"/>
  <c r="CC1288" i="1"/>
  <c r="BW1288" i="1"/>
  <c r="BV1288" i="1"/>
  <c r="BU1288" i="1"/>
  <c r="BT1288" i="1"/>
  <c r="BS1288" i="1"/>
  <c r="BN1288" i="1"/>
  <c r="BM1288" i="1"/>
  <c r="BL1288" i="1"/>
  <c r="BI1288" i="1"/>
  <c r="BD1288" i="1"/>
  <c r="CF1288" i="1" s="1"/>
  <c r="BB1288" i="1"/>
  <c r="AR1288" i="1"/>
  <c r="AH1288" i="1"/>
  <c r="CW1288" i="1" s="1"/>
  <c r="AG1288" i="1"/>
  <c r="CV1288" i="1" s="1"/>
  <c r="Y1288" i="1"/>
  <c r="CE1288" i="1" s="1"/>
  <c r="W1288" i="1"/>
  <c r="M1288" i="1"/>
  <c r="DA1287" i="1"/>
  <c r="CZ1287" i="1"/>
  <c r="CY1287" i="1"/>
  <c r="CB1287" i="1"/>
  <c r="BW1287" i="1"/>
  <c r="BV1287" i="1"/>
  <c r="BU1287" i="1"/>
  <c r="BT1287" i="1"/>
  <c r="BM1287" i="1"/>
  <c r="CW1287" i="1" s="1"/>
  <c r="BL1287" i="1"/>
  <c r="BI1287" i="1"/>
  <c r="BD1287" i="1"/>
  <c r="BB1287" i="1"/>
  <c r="AR1287" i="1"/>
  <c r="AH1287" i="1"/>
  <c r="AG1287" i="1"/>
  <c r="CV1287" i="1" s="1"/>
  <c r="AD1287" i="1"/>
  <c r="CK1287" i="1" s="1"/>
  <c r="Y1287" i="1"/>
  <c r="CA1287" i="1" s="1"/>
  <c r="W1287" i="1"/>
  <c r="M1287" i="1"/>
  <c r="DA1286" i="1"/>
  <c r="CZ1286" i="1"/>
  <c r="CY1286" i="1"/>
  <c r="CV1286" i="1"/>
  <c r="CM1286" i="1"/>
  <c r="CH1286" i="1"/>
  <c r="CD1286" i="1"/>
  <c r="CC1286" i="1"/>
  <c r="BW1286" i="1"/>
  <c r="BV1286" i="1"/>
  <c r="BU1286" i="1"/>
  <c r="BT1286" i="1"/>
  <c r="BS1286" i="1"/>
  <c r="BM1286" i="1"/>
  <c r="BL1286" i="1"/>
  <c r="BI1286" i="1"/>
  <c r="CL1286" i="1" s="1"/>
  <c r="BD1286" i="1"/>
  <c r="CB1286" i="1" s="1"/>
  <c r="BB1286" i="1"/>
  <c r="AR1286" i="1"/>
  <c r="AH1286" i="1"/>
  <c r="CW1286" i="1" s="1"/>
  <c r="AG1286" i="1"/>
  <c r="AD1286" i="1"/>
  <c r="CK1286" i="1" s="1"/>
  <c r="Y1286" i="1"/>
  <c r="CA1286" i="1" s="1"/>
  <c r="W1286" i="1"/>
  <c r="M1286" i="1"/>
  <c r="DA1285" i="1"/>
  <c r="CZ1285" i="1"/>
  <c r="CY1285" i="1"/>
  <c r="CO1285" i="1"/>
  <c r="CF1285" i="1"/>
  <c r="CE1285" i="1"/>
  <c r="CB1285" i="1"/>
  <c r="BW1285" i="1"/>
  <c r="BV1285" i="1"/>
  <c r="BU1285" i="1"/>
  <c r="BT1285" i="1"/>
  <c r="BI1285" i="1"/>
  <c r="CN1285" i="1" s="1"/>
  <c r="BD1285" i="1"/>
  <c r="CD1285" i="1" s="1"/>
  <c r="BB1285" i="1"/>
  <c r="AR1285" i="1"/>
  <c r="AH1285" i="1"/>
  <c r="CW1285" i="1" s="1"/>
  <c r="AG1285" i="1"/>
  <c r="CV1285" i="1" s="1"/>
  <c r="AD1285" i="1"/>
  <c r="CM1285" i="1" s="1"/>
  <c r="Y1285" i="1"/>
  <c r="CC1285" i="1" s="1"/>
  <c r="W1285" i="1"/>
  <c r="M1285" i="1"/>
  <c r="DA1284" i="1"/>
  <c r="CZ1284" i="1"/>
  <c r="CY1284" i="1"/>
  <c r="CW1284" i="1"/>
  <c r="CV1284" i="1"/>
  <c r="BW1284" i="1"/>
  <c r="BV1284" i="1"/>
  <c r="BU1284" i="1"/>
  <c r="BT1284" i="1"/>
  <c r="BI1284" i="1"/>
  <c r="BB1284" i="1"/>
  <c r="AR1284" i="1"/>
  <c r="W1284" i="1"/>
  <c r="M1284" i="1"/>
  <c r="DA1283" i="1"/>
  <c r="CZ1283" i="1"/>
  <c r="CY1283" i="1"/>
  <c r="CW1283" i="1"/>
  <c r="CV1283" i="1"/>
  <c r="CF1283" i="1"/>
  <c r="CB1283" i="1"/>
  <c r="BW1283" i="1"/>
  <c r="BV1283" i="1"/>
  <c r="BU1283" i="1"/>
  <c r="BT1283" i="1"/>
  <c r="BI1283" i="1"/>
  <c r="BD1283" i="1"/>
  <c r="CA1283" i="1" s="1"/>
  <c r="BB1283" i="1"/>
  <c r="AR1283" i="1"/>
  <c r="AD1283" i="1"/>
  <c r="Y1283" i="1"/>
  <c r="CH1283" i="1" s="1"/>
  <c r="W1283" i="1"/>
  <c r="M1283" i="1"/>
  <c r="DA1282" i="1"/>
  <c r="CZ1282" i="1"/>
  <c r="CY1282" i="1"/>
  <c r="CW1282" i="1"/>
  <c r="CV1282" i="1"/>
  <c r="BW1282" i="1"/>
  <c r="BV1282" i="1"/>
  <c r="BU1282" i="1"/>
  <c r="BT1282" i="1"/>
  <c r="BI1282" i="1"/>
  <c r="BB1282" i="1"/>
  <c r="AR1282" i="1"/>
  <c r="W1282" i="1"/>
  <c r="M1282" i="1"/>
  <c r="DA1281" i="1"/>
  <c r="CZ1281" i="1"/>
  <c r="CY1281" i="1"/>
  <c r="CW1281" i="1"/>
  <c r="CV1281" i="1"/>
  <c r="CM1281" i="1"/>
  <c r="CD1281" i="1"/>
  <c r="CC1281" i="1"/>
  <c r="BX1281" i="1"/>
  <c r="BW1281" i="1"/>
  <c r="BV1281" i="1"/>
  <c r="BU1281" i="1"/>
  <c r="BT1281" i="1"/>
  <c r="BI1281" i="1"/>
  <c r="BD1281" i="1"/>
  <c r="BB1281" i="1"/>
  <c r="AR1281" i="1"/>
  <c r="AH1281" i="1"/>
  <c r="AG1281" i="1"/>
  <c r="AD1281" i="1"/>
  <c r="CQ1281" i="1" s="1"/>
  <c r="Y1281" i="1"/>
  <c r="W1281" i="1"/>
  <c r="M1281" i="1"/>
  <c r="DA1280" i="1"/>
  <c r="CZ1280" i="1"/>
  <c r="CY1280" i="1"/>
  <c r="CW1280" i="1"/>
  <c r="CV1280" i="1"/>
  <c r="BW1280" i="1"/>
  <c r="BV1280" i="1"/>
  <c r="BU1280" i="1"/>
  <c r="BT1280" i="1"/>
  <c r="BI1280" i="1"/>
  <c r="BD1280" i="1"/>
  <c r="BB1280" i="1"/>
  <c r="AR1280" i="1"/>
  <c r="W1280" i="1"/>
  <c r="M1280" i="1"/>
  <c r="DA1279" i="1"/>
  <c r="CZ1279" i="1"/>
  <c r="CY1279" i="1"/>
  <c r="CW1279" i="1"/>
  <c r="CV1279" i="1"/>
  <c r="BW1279" i="1"/>
  <c r="BV1279" i="1"/>
  <c r="BU1279" i="1"/>
  <c r="BT1279" i="1"/>
  <c r="BD1279" i="1"/>
  <c r="BI1279" i="1" s="1"/>
  <c r="BB1279" i="1"/>
  <c r="AR1279" i="1"/>
  <c r="Y1279" i="1"/>
  <c r="W1279" i="1"/>
  <c r="M1279" i="1"/>
  <c r="DA1278" i="1"/>
  <c r="CZ1278" i="1"/>
  <c r="CY1278" i="1"/>
  <c r="CW1278" i="1"/>
  <c r="CV1278" i="1"/>
  <c r="BW1278" i="1"/>
  <c r="BV1278" i="1"/>
  <c r="BU1278" i="1"/>
  <c r="BT1278" i="1"/>
  <c r="BI1278" i="1"/>
  <c r="BB1278" i="1"/>
  <c r="AR1278" i="1"/>
  <c r="Y1278" i="1"/>
  <c r="W1278" i="1"/>
  <c r="M1278" i="1"/>
  <c r="DA1277" i="1"/>
  <c r="CZ1277" i="1"/>
  <c r="CY1277" i="1"/>
  <c r="CW1277" i="1"/>
  <c r="CV1277" i="1"/>
  <c r="BW1277" i="1"/>
  <c r="BV1277" i="1"/>
  <c r="BU1277" i="1"/>
  <c r="BT1277" i="1"/>
  <c r="BI1277" i="1"/>
  <c r="BB1277" i="1"/>
  <c r="AR1277" i="1"/>
  <c r="W1277" i="1"/>
  <c r="M1277" i="1"/>
  <c r="DA1276" i="1"/>
  <c r="CZ1276" i="1"/>
  <c r="CY1276" i="1"/>
  <c r="CW1276" i="1"/>
  <c r="CV1276" i="1"/>
  <c r="CD1276" i="1"/>
  <c r="BW1276" i="1"/>
  <c r="BV1276" i="1"/>
  <c r="BU1276" i="1"/>
  <c r="BT1276" i="1"/>
  <c r="BS1276" i="1"/>
  <c r="BI1276" i="1"/>
  <c r="BB1276" i="1"/>
  <c r="AR1276" i="1"/>
  <c r="Y1276" i="1"/>
  <c r="CB1276" i="1" s="1"/>
  <c r="W1276" i="1"/>
  <c r="M1276" i="1"/>
  <c r="DA1275" i="1"/>
  <c r="CZ1275" i="1"/>
  <c r="CY1275" i="1"/>
  <c r="CW1275" i="1"/>
  <c r="CV1275" i="1"/>
  <c r="BW1275" i="1"/>
  <c r="BV1275" i="1"/>
  <c r="BU1275" i="1"/>
  <c r="BT1275" i="1"/>
  <c r="BI1275" i="1"/>
  <c r="BB1275" i="1"/>
  <c r="AR1275" i="1"/>
  <c r="W1275" i="1"/>
  <c r="M1275" i="1"/>
  <c r="DA1274" i="1"/>
  <c r="CZ1274" i="1"/>
  <c r="CY1274" i="1"/>
  <c r="CW1274" i="1"/>
  <c r="CV1274" i="1"/>
  <c r="CF1274" i="1"/>
  <c r="CE1274" i="1"/>
  <c r="BW1274" i="1"/>
  <c r="BV1274" i="1"/>
  <c r="BU1274" i="1"/>
  <c r="BT1274" i="1"/>
  <c r="BD1274" i="1"/>
  <c r="CD1274" i="1" s="1"/>
  <c r="BB1274" i="1"/>
  <c r="AR1274" i="1"/>
  <c r="AH1274" i="1"/>
  <c r="AG1274" i="1"/>
  <c r="AD1274" i="1"/>
  <c r="Y1274" i="1"/>
  <c r="CC1274" i="1" s="1"/>
  <c r="W1274" i="1"/>
  <c r="M1274" i="1"/>
  <c r="DA1273" i="1"/>
  <c r="CZ1273" i="1"/>
  <c r="CY1273" i="1"/>
  <c r="CW1273" i="1"/>
  <c r="CV1273" i="1"/>
  <c r="CR1273" i="1"/>
  <c r="CM1273" i="1"/>
  <c r="CH1273" i="1"/>
  <c r="CG1273" i="1"/>
  <c r="CF1273" i="1"/>
  <c r="CE1273" i="1"/>
  <c r="CD1273" i="1"/>
  <c r="CC1273" i="1"/>
  <c r="CB1273" i="1"/>
  <c r="CA1273" i="1"/>
  <c r="CI1273" i="1" s="1"/>
  <c r="BX1273" i="1"/>
  <c r="BW1273" i="1"/>
  <c r="BV1273" i="1"/>
  <c r="BU1273" i="1"/>
  <c r="BT1273" i="1"/>
  <c r="BS1273" i="1"/>
  <c r="BI1273" i="1"/>
  <c r="BB1273" i="1"/>
  <c r="AR1273" i="1"/>
  <c r="AD1273" i="1"/>
  <c r="CK1273" i="1" s="1"/>
  <c r="W1273" i="1"/>
  <c r="M1273" i="1"/>
  <c r="DA1272" i="1"/>
  <c r="CZ1272" i="1"/>
  <c r="CY1272" i="1"/>
  <c r="CW1272" i="1"/>
  <c r="CV1272" i="1"/>
  <c r="CE1272" i="1"/>
  <c r="CB1272" i="1"/>
  <c r="BW1272" i="1"/>
  <c r="BV1272" i="1"/>
  <c r="BU1272" i="1"/>
  <c r="BT1272" i="1"/>
  <c r="BI1272" i="1"/>
  <c r="BD1272" i="1"/>
  <c r="CA1272" i="1" s="1"/>
  <c r="BB1272" i="1"/>
  <c r="AR1272" i="1"/>
  <c r="Y1272" i="1"/>
  <c r="CD1272" i="1" s="1"/>
  <c r="W1272" i="1"/>
  <c r="M1272" i="1"/>
  <c r="DA1271" i="1"/>
  <c r="CZ1271" i="1"/>
  <c r="CY1271" i="1"/>
  <c r="CW1271" i="1"/>
  <c r="CV1271" i="1"/>
  <c r="BW1271" i="1"/>
  <c r="BV1271" i="1"/>
  <c r="BU1271" i="1"/>
  <c r="BT1271" i="1"/>
  <c r="BI1271" i="1"/>
  <c r="BB1271" i="1"/>
  <c r="AR1271" i="1"/>
  <c r="W1271" i="1"/>
  <c r="M1271" i="1"/>
  <c r="DA1270" i="1"/>
  <c r="CZ1270" i="1"/>
  <c r="CY1270" i="1"/>
  <c r="CW1270" i="1"/>
  <c r="CV1270" i="1"/>
  <c r="CG1270" i="1"/>
  <c r="CE1270" i="1"/>
  <c r="CB1270" i="1"/>
  <c r="CA1270" i="1"/>
  <c r="BW1270" i="1"/>
  <c r="BV1270" i="1"/>
  <c r="BU1270" i="1"/>
  <c r="BT1270" i="1"/>
  <c r="BI1270" i="1"/>
  <c r="CN1270" i="1" s="1"/>
  <c r="BB1270" i="1"/>
  <c r="AR1270" i="1"/>
  <c r="AD1270" i="1"/>
  <c r="CR1270" i="1" s="1"/>
  <c r="Y1270" i="1"/>
  <c r="CH1270" i="1" s="1"/>
  <c r="W1270" i="1"/>
  <c r="M1270" i="1"/>
  <c r="DA1269" i="1"/>
  <c r="CZ1269" i="1"/>
  <c r="CY1269" i="1"/>
  <c r="CF1269" i="1"/>
  <c r="BW1269" i="1"/>
  <c r="BV1269" i="1"/>
  <c r="BU1269" i="1"/>
  <c r="BT1269" i="1"/>
  <c r="BD1269" i="1"/>
  <c r="BI1269" i="1" s="1"/>
  <c r="BB1269" i="1"/>
  <c r="AR1269" i="1"/>
  <c r="AH1269" i="1"/>
  <c r="CW1269" i="1" s="1"/>
  <c r="AG1269" i="1"/>
  <c r="CV1269" i="1" s="1"/>
  <c r="Y1269" i="1"/>
  <c r="CE1269" i="1" s="1"/>
  <c r="W1269" i="1"/>
  <c r="M1269" i="1"/>
  <c r="DA1268" i="1"/>
  <c r="CZ1268" i="1"/>
  <c r="CY1268" i="1"/>
  <c r="CW1268" i="1"/>
  <c r="CV1268" i="1"/>
  <c r="CR1268" i="1"/>
  <c r="CO1268" i="1"/>
  <c r="CN1268" i="1"/>
  <c r="CL1268" i="1"/>
  <c r="CH1268" i="1"/>
  <c r="CG1268" i="1"/>
  <c r="CF1268" i="1"/>
  <c r="CE1268" i="1"/>
  <c r="CD1268" i="1"/>
  <c r="CC1268" i="1"/>
  <c r="CB1268" i="1"/>
  <c r="CA1268" i="1"/>
  <c r="BW1268" i="1"/>
  <c r="BV1268" i="1"/>
  <c r="BU1268" i="1"/>
  <c r="BT1268" i="1"/>
  <c r="BS1268" i="1"/>
  <c r="BI1268" i="1"/>
  <c r="CM1268" i="1" s="1"/>
  <c r="BB1268" i="1"/>
  <c r="AR1268" i="1"/>
  <c r="AD1268" i="1"/>
  <c r="CP1268" i="1" s="1"/>
  <c r="W1268" i="1"/>
  <c r="M1268" i="1"/>
  <c r="DA1267" i="1"/>
  <c r="CZ1267" i="1"/>
  <c r="CY1267" i="1"/>
  <c r="CW1267" i="1"/>
  <c r="CV1267" i="1"/>
  <c r="CR1267" i="1"/>
  <c r="CQ1267" i="1"/>
  <c r="CO1267" i="1"/>
  <c r="CN1267" i="1"/>
  <c r="CM1267" i="1"/>
  <c r="CL1267" i="1"/>
  <c r="CH1267" i="1"/>
  <c r="CG1267" i="1"/>
  <c r="CF1267" i="1"/>
  <c r="CE1267" i="1"/>
  <c r="CD1267" i="1"/>
  <c r="CC1267" i="1"/>
  <c r="CB1267" i="1"/>
  <c r="CA1267" i="1"/>
  <c r="CI1267" i="1" s="1"/>
  <c r="BX1267" i="1"/>
  <c r="BW1267" i="1"/>
  <c r="BV1267" i="1"/>
  <c r="BU1267" i="1"/>
  <c r="BT1267" i="1"/>
  <c r="BS1267" i="1"/>
  <c r="BI1267" i="1"/>
  <c r="BB1267" i="1"/>
  <c r="AR1267" i="1"/>
  <c r="AD1267" i="1"/>
  <c r="CP1267" i="1" s="1"/>
  <c r="W1267" i="1"/>
  <c r="M1267" i="1"/>
  <c r="DA1266" i="1"/>
  <c r="CZ1266" i="1"/>
  <c r="CY1266" i="1"/>
  <c r="CW1266" i="1"/>
  <c r="CV1266" i="1"/>
  <c r="CM1266" i="1"/>
  <c r="CH1266" i="1"/>
  <c r="CG1266" i="1"/>
  <c r="CF1266" i="1"/>
  <c r="CE1266" i="1"/>
  <c r="CD1266" i="1"/>
  <c r="CC1266" i="1"/>
  <c r="CB1266" i="1"/>
  <c r="CA1266" i="1"/>
  <c r="CI1266" i="1" s="1"/>
  <c r="BW1266" i="1"/>
  <c r="BV1266" i="1"/>
  <c r="BU1266" i="1"/>
  <c r="BT1266" i="1"/>
  <c r="BS1266" i="1"/>
  <c r="BI1266" i="1"/>
  <c r="BB1266" i="1"/>
  <c r="AR1266" i="1"/>
  <c r="AD1266" i="1"/>
  <c r="CL1266" i="1" s="1"/>
  <c r="W1266" i="1"/>
  <c r="M1266" i="1"/>
  <c r="DA1265" i="1"/>
  <c r="CZ1265" i="1"/>
  <c r="CY1265" i="1"/>
  <c r="CW1265" i="1"/>
  <c r="CV1265" i="1"/>
  <c r="CP1265" i="1"/>
  <c r="CG1265" i="1"/>
  <c r="CF1265" i="1"/>
  <c r="CD1265" i="1"/>
  <c r="CC1265" i="1"/>
  <c r="CB1265" i="1"/>
  <c r="BW1265" i="1"/>
  <c r="BV1265" i="1"/>
  <c r="BU1265" i="1"/>
  <c r="BT1265" i="1"/>
  <c r="BS1265" i="1"/>
  <c r="BI1265" i="1"/>
  <c r="CM1265" i="1" s="1"/>
  <c r="BD1265" i="1"/>
  <c r="CA1265" i="1" s="1"/>
  <c r="BB1265" i="1"/>
  <c r="AR1265" i="1"/>
  <c r="AD1265" i="1"/>
  <c r="CO1265" i="1" s="1"/>
  <c r="Y1265" i="1"/>
  <c r="CE1265" i="1" s="1"/>
  <c r="W1265" i="1"/>
  <c r="M1265" i="1"/>
  <c r="DA1264" i="1"/>
  <c r="CZ1264" i="1"/>
  <c r="CY1264" i="1"/>
  <c r="CW1264" i="1"/>
  <c r="CV1264" i="1"/>
  <c r="BW1264" i="1"/>
  <c r="BV1264" i="1"/>
  <c r="BU1264" i="1"/>
  <c r="BT1264" i="1"/>
  <c r="BI1264" i="1"/>
  <c r="BD1264" i="1"/>
  <c r="BB1264" i="1"/>
  <c r="AR1264" i="1"/>
  <c r="Y1264" i="1"/>
  <c r="W1264" i="1"/>
  <c r="M1264" i="1"/>
  <c r="ED1263" i="1"/>
  <c r="DA1263" i="1"/>
  <c r="CZ1263" i="1"/>
  <c r="CW1263" i="1"/>
  <c r="CV1263" i="1"/>
  <c r="CR1263" i="1"/>
  <c r="CP1263" i="1"/>
  <c r="CM1263" i="1"/>
  <c r="CL1263" i="1"/>
  <c r="CH1263" i="1"/>
  <c r="CG1263" i="1"/>
  <c r="CF1263" i="1"/>
  <c r="CE1263" i="1"/>
  <c r="CD1263" i="1"/>
  <c r="CC1263" i="1"/>
  <c r="CB1263" i="1"/>
  <c r="CA1263" i="1"/>
  <c r="CI1263" i="1" s="1"/>
  <c r="BI1263" i="1"/>
  <c r="CK1263" i="1" s="1"/>
  <c r="BB1263" i="1"/>
  <c r="AR1263" i="1"/>
  <c r="AD1263" i="1"/>
  <c r="CN1263" i="1" s="1"/>
  <c r="W1263" i="1"/>
  <c r="M1263" i="1"/>
  <c r="EC1263" i="1" s="1"/>
  <c r="DA1262" i="1"/>
  <c r="CZ1262" i="1"/>
  <c r="CW1262" i="1"/>
  <c r="CV1262" i="1"/>
  <c r="CR1262" i="1"/>
  <c r="CO1262" i="1"/>
  <c r="CM1262" i="1"/>
  <c r="CH1262" i="1"/>
  <c r="CG1262" i="1"/>
  <c r="CF1262" i="1"/>
  <c r="CE1262" i="1"/>
  <c r="CD1262" i="1"/>
  <c r="CC1262" i="1"/>
  <c r="CB1262" i="1"/>
  <c r="CA1262" i="1"/>
  <c r="CI1262" i="1" s="1"/>
  <c r="BI1262" i="1"/>
  <c r="CQ1262" i="1" s="1"/>
  <c r="BB1262" i="1"/>
  <c r="AR1262" i="1"/>
  <c r="AD1262" i="1"/>
  <c r="CP1262" i="1" s="1"/>
  <c r="W1262" i="1"/>
  <c r="DA1261" i="1"/>
  <c r="CZ1261" i="1"/>
  <c r="CW1261" i="1"/>
  <c r="CV1261" i="1"/>
  <c r="CM1261" i="1"/>
  <c r="CH1261" i="1"/>
  <c r="CG1261" i="1"/>
  <c r="CF1261" i="1"/>
  <c r="CE1261" i="1"/>
  <c r="CD1261" i="1"/>
  <c r="CC1261" i="1"/>
  <c r="CB1261" i="1"/>
  <c r="CA1261" i="1"/>
  <c r="CI1261" i="1" s="1"/>
  <c r="BW1261" i="1"/>
  <c r="BV1261" i="1"/>
  <c r="BU1261" i="1"/>
  <c r="BT1261" i="1"/>
  <c r="BS1261" i="1"/>
  <c r="BI1261" i="1"/>
  <c r="BB1261" i="1"/>
  <c r="AR1261" i="1"/>
  <c r="AD1261" i="1"/>
  <c r="CL1261" i="1" s="1"/>
  <c r="W1261" i="1"/>
  <c r="M1261" i="1"/>
  <c r="DA1260" i="1"/>
  <c r="CZ1260" i="1"/>
  <c r="CF1260" i="1"/>
  <c r="CA1260" i="1"/>
  <c r="BW1260" i="1"/>
  <c r="BV1260" i="1"/>
  <c r="BU1260" i="1"/>
  <c r="BT1260" i="1"/>
  <c r="BI1260" i="1"/>
  <c r="BB1260" i="1"/>
  <c r="AR1260" i="1"/>
  <c r="AJ1260" i="1"/>
  <c r="AH1260" i="1"/>
  <c r="CW1260" i="1" s="1"/>
  <c r="AG1260" i="1"/>
  <c r="CV1260" i="1" s="1"/>
  <c r="Y1260" i="1"/>
  <c r="CE1260" i="1" s="1"/>
  <c r="W1260" i="1"/>
  <c r="M1260" i="1"/>
  <c r="DA1259" i="1"/>
  <c r="CZ1259" i="1"/>
  <c r="CY1259" i="1"/>
  <c r="CW1259" i="1"/>
  <c r="CV1259" i="1"/>
  <c r="CQ1259" i="1"/>
  <c r="CN1259" i="1"/>
  <c r="CH1259" i="1"/>
  <c r="CG1259" i="1"/>
  <c r="CF1259" i="1"/>
  <c r="CE1259" i="1"/>
  <c r="CD1259" i="1"/>
  <c r="CC1259" i="1"/>
  <c r="CB1259" i="1"/>
  <c r="CA1259" i="1"/>
  <c r="CI1259" i="1" s="1"/>
  <c r="BX1259" i="1"/>
  <c r="BW1259" i="1"/>
  <c r="BV1259" i="1"/>
  <c r="BU1259" i="1"/>
  <c r="BT1259" i="1"/>
  <c r="BS1259" i="1"/>
  <c r="BI1259" i="1"/>
  <c r="CM1259" i="1" s="1"/>
  <c r="BB1259" i="1"/>
  <c r="AR1259" i="1"/>
  <c r="AD1259" i="1"/>
  <c r="CL1259" i="1" s="1"/>
  <c r="W1259" i="1"/>
  <c r="M1259" i="1"/>
  <c r="DA1258" i="1"/>
  <c r="CZ1258" i="1"/>
  <c r="CY1258" i="1"/>
  <c r="CW1258" i="1"/>
  <c r="CV1258" i="1"/>
  <c r="CH1258" i="1"/>
  <c r="CC1258" i="1"/>
  <c r="BW1258" i="1"/>
  <c r="BV1258" i="1"/>
  <c r="BU1258" i="1"/>
  <c r="BT1258" i="1"/>
  <c r="BS1258" i="1"/>
  <c r="BI1258" i="1"/>
  <c r="BD1258" i="1"/>
  <c r="BB1258" i="1"/>
  <c r="AR1258" i="1"/>
  <c r="Y1258" i="1"/>
  <c r="CG1258" i="1" s="1"/>
  <c r="W1258" i="1"/>
  <c r="M1258" i="1"/>
  <c r="DA1257" i="1"/>
  <c r="CZ1257" i="1"/>
  <c r="CY1257" i="1"/>
  <c r="CW1257" i="1"/>
  <c r="CV1257" i="1"/>
  <c r="CF1257" i="1"/>
  <c r="BW1257" i="1"/>
  <c r="BV1257" i="1"/>
  <c r="BU1257" i="1"/>
  <c r="BT1257" i="1"/>
  <c r="BD1257" i="1"/>
  <c r="CC1257" i="1" s="1"/>
  <c r="BB1257" i="1"/>
  <c r="AR1257" i="1"/>
  <c r="AD1257" i="1"/>
  <c r="Y1257" i="1"/>
  <c r="CE1257" i="1" s="1"/>
  <c r="W1257" i="1"/>
  <c r="M1257" i="1"/>
  <c r="DA1256" i="1"/>
  <c r="CZ1256" i="1"/>
  <c r="CY1256" i="1"/>
  <c r="CW1256" i="1"/>
  <c r="CV1256" i="1"/>
  <c r="CG1256" i="1"/>
  <c r="CD1256" i="1"/>
  <c r="BW1256" i="1"/>
  <c r="BV1256" i="1"/>
  <c r="BU1256" i="1"/>
  <c r="BT1256" i="1"/>
  <c r="BD1256" i="1"/>
  <c r="CC1256" i="1" s="1"/>
  <c r="BB1256" i="1"/>
  <c r="AR1256" i="1"/>
  <c r="AD1256" i="1"/>
  <c r="Y1256" i="1"/>
  <c r="CE1256" i="1" s="1"/>
  <c r="W1256" i="1"/>
  <c r="M1256" i="1"/>
  <c r="DA1255" i="1"/>
  <c r="CZ1255" i="1"/>
  <c r="CY1255" i="1"/>
  <c r="CW1255" i="1"/>
  <c r="CV1255" i="1"/>
  <c r="CR1255" i="1"/>
  <c r="CQ1255" i="1"/>
  <c r="CO1255" i="1"/>
  <c r="CN1255" i="1"/>
  <c r="CM1255" i="1"/>
  <c r="CL1255" i="1"/>
  <c r="CH1255" i="1"/>
  <c r="CG1255" i="1"/>
  <c r="CF1255" i="1"/>
  <c r="CE1255" i="1"/>
  <c r="CD1255" i="1"/>
  <c r="CC1255" i="1"/>
  <c r="CB1255" i="1"/>
  <c r="CA1255" i="1"/>
  <c r="CI1255" i="1" s="1"/>
  <c r="BX1255" i="1"/>
  <c r="BW1255" i="1"/>
  <c r="BV1255" i="1"/>
  <c r="BU1255" i="1"/>
  <c r="BT1255" i="1"/>
  <c r="BS1255" i="1"/>
  <c r="BI1255" i="1"/>
  <c r="BB1255" i="1"/>
  <c r="AR1255" i="1"/>
  <c r="AD1255" i="1"/>
  <c r="CP1255" i="1" s="1"/>
  <c r="W1255" i="1"/>
  <c r="M1255" i="1"/>
  <c r="DA1254" i="1"/>
  <c r="CZ1254" i="1"/>
  <c r="CY1254" i="1"/>
  <c r="CW1254" i="1"/>
  <c r="CV1254" i="1"/>
  <c r="CQ1254" i="1"/>
  <c r="CN1254" i="1"/>
  <c r="CH1254" i="1"/>
  <c r="CG1254" i="1"/>
  <c r="CF1254" i="1"/>
  <c r="CE1254" i="1"/>
  <c r="CD1254" i="1"/>
  <c r="CC1254" i="1"/>
  <c r="CB1254" i="1"/>
  <c r="CA1254" i="1"/>
  <c r="BX1254" i="1"/>
  <c r="BW1254" i="1"/>
  <c r="BV1254" i="1"/>
  <c r="BU1254" i="1"/>
  <c r="BT1254" i="1"/>
  <c r="BS1254" i="1"/>
  <c r="BI1254" i="1"/>
  <c r="CM1254" i="1" s="1"/>
  <c r="BB1254" i="1"/>
  <c r="AR1254" i="1"/>
  <c r="AD1254" i="1"/>
  <c r="CL1254" i="1" s="1"/>
  <c r="W1254" i="1"/>
  <c r="M1254" i="1"/>
  <c r="DA1253" i="1"/>
  <c r="CZ1253" i="1"/>
  <c r="CY1253" i="1"/>
  <c r="CW1253" i="1"/>
  <c r="CV1253" i="1"/>
  <c r="CR1253" i="1"/>
  <c r="CQ1253" i="1"/>
  <c r="CO1253" i="1"/>
  <c r="CN1253" i="1"/>
  <c r="CM1253" i="1"/>
  <c r="CL1253" i="1"/>
  <c r="CH1253" i="1"/>
  <c r="CG1253" i="1"/>
  <c r="CF1253" i="1"/>
  <c r="CE1253" i="1"/>
  <c r="CD1253" i="1"/>
  <c r="CC1253" i="1"/>
  <c r="CB1253" i="1"/>
  <c r="CA1253" i="1"/>
  <c r="CI1253" i="1" s="1"/>
  <c r="BX1253" i="1"/>
  <c r="BW1253" i="1"/>
  <c r="BV1253" i="1"/>
  <c r="BU1253" i="1"/>
  <c r="BT1253" i="1"/>
  <c r="BS1253" i="1"/>
  <c r="BI1253" i="1"/>
  <c r="BB1253" i="1"/>
  <c r="AR1253" i="1"/>
  <c r="AD1253" i="1"/>
  <c r="CP1253" i="1" s="1"/>
  <c r="W1253" i="1"/>
  <c r="M1253" i="1"/>
  <c r="DA1252" i="1"/>
  <c r="CZ1252" i="1"/>
  <c r="CY1252" i="1"/>
  <c r="CW1252" i="1"/>
  <c r="CV1252" i="1"/>
  <c r="CH1252" i="1"/>
  <c r="CG1252" i="1"/>
  <c r="CF1252" i="1"/>
  <c r="CE1252" i="1"/>
  <c r="CD1252" i="1"/>
  <c r="CC1252" i="1"/>
  <c r="CB1252" i="1"/>
  <c r="CA1252" i="1"/>
  <c r="BW1252" i="1"/>
  <c r="BV1252" i="1"/>
  <c r="BU1252" i="1"/>
  <c r="BT1252" i="1"/>
  <c r="BS1252" i="1"/>
  <c r="BE1252" i="1"/>
  <c r="BI1252" i="1" s="1"/>
  <c r="CM1252" i="1" s="1"/>
  <c r="BB1252" i="1"/>
  <c r="AR1252" i="1"/>
  <c r="AD1252" i="1"/>
  <c r="CK1252" i="1" s="1"/>
  <c r="Z1252" i="1"/>
  <c r="W1252" i="1"/>
  <c r="M1252" i="1"/>
  <c r="DA1251" i="1"/>
  <c r="CZ1251" i="1"/>
  <c r="CY1251" i="1"/>
  <c r="CW1251" i="1"/>
  <c r="CV1251" i="1"/>
  <c r="CR1251" i="1"/>
  <c r="CQ1251" i="1"/>
  <c r="CO1251" i="1"/>
  <c r="CN1251" i="1"/>
  <c r="CM1251" i="1"/>
  <c r="CL1251" i="1"/>
  <c r="CH1251" i="1"/>
  <c r="CG1251" i="1"/>
  <c r="CF1251" i="1"/>
  <c r="CE1251" i="1"/>
  <c r="CD1251" i="1"/>
  <c r="CC1251" i="1"/>
  <c r="CB1251" i="1"/>
  <c r="CA1251" i="1"/>
  <c r="CI1251" i="1" s="1"/>
  <c r="BX1251" i="1"/>
  <c r="BW1251" i="1"/>
  <c r="BV1251" i="1"/>
  <c r="BU1251" i="1"/>
  <c r="BT1251" i="1"/>
  <c r="BS1251" i="1"/>
  <c r="BI1251" i="1"/>
  <c r="BB1251" i="1"/>
  <c r="AR1251" i="1"/>
  <c r="AD1251" i="1"/>
  <c r="CP1251" i="1" s="1"/>
  <c r="M1251" i="1"/>
  <c r="DA1250" i="1"/>
  <c r="CZ1250" i="1"/>
  <c r="CY1250" i="1"/>
  <c r="CW1250" i="1"/>
  <c r="CV1250" i="1"/>
  <c r="CR1250" i="1"/>
  <c r="CQ1250" i="1"/>
  <c r="CP1250" i="1"/>
  <c r="CO1250" i="1"/>
  <c r="CM1250" i="1"/>
  <c r="CL1250" i="1"/>
  <c r="CH1250" i="1"/>
  <c r="CG1250" i="1"/>
  <c r="CF1250" i="1"/>
  <c r="CE1250" i="1"/>
  <c r="CD1250" i="1"/>
  <c r="CC1250" i="1"/>
  <c r="CB1250" i="1"/>
  <c r="CA1250" i="1"/>
  <c r="CI1250" i="1" s="1"/>
  <c r="BX1250" i="1"/>
  <c r="BW1250" i="1"/>
  <c r="BV1250" i="1"/>
  <c r="BU1250" i="1"/>
  <c r="BT1250" i="1"/>
  <c r="BS1250" i="1"/>
  <c r="AD1250" i="1"/>
  <c r="CK1250" i="1" s="1"/>
  <c r="M1250" i="1"/>
  <c r="DA1249" i="1"/>
  <c r="CZ1249" i="1"/>
  <c r="CY1249" i="1"/>
  <c r="CW1249" i="1"/>
  <c r="CV1249" i="1"/>
  <c r="CC1249" i="1"/>
  <c r="BW1249" i="1"/>
  <c r="BV1249" i="1"/>
  <c r="BU1249" i="1"/>
  <c r="BT1249" i="1"/>
  <c r="BS1249" i="1"/>
  <c r="BI1249" i="1"/>
  <c r="BB1249" i="1"/>
  <c r="AR1249" i="1"/>
  <c r="Y1249" i="1"/>
  <c r="CB1249" i="1" s="1"/>
  <c r="V1249" i="1"/>
  <c r="U1249" i="1"/>
  <c r="T1249" i="1"/>
  <c r="S1249" i="1"/>
  <c r="R1249" i="1"/>
  <c r="Q1249" i="1"/>
  <c r="P1249" i="1"/>
  <c r="O1249" i="1"/>
  <c r="W1249" i="1" s="1"/>
  <c r="H1249" i="1"/>
  <c r="DA1248" i="1"/>
  <c r="CZ1248" i="1"/>
  <c r="CY1248" i="1"/>
  <c r="CW1248" i="1"/>
  <c r="CV1248" i="1"/>
  <c r="CP1248" i="1"/>
  <c r="CH1248" i="1"/>
  <c r="CG1248" i="1"/>
  <c r="CF1248" i="1"/>
  <c r="CE1248" i="1"/>
  <c r="CD1248" i="1"/>
  <c r="CC1248" i="1"/>
  <c r="CB1248" i="1"/>
  <c r="CA1248" i="1"/>
  <c r="CI1248" i="1" s="1"/>
  <c r="BW1248" i="1"/>
  <c r="BV1248" i="1"/>
  <c r="BU1248" i="1"/>
  <c r="BT1248" i="1"/>
  <c r="BS1248" i="1"/>
  <c r="BI1248" i="1"/>
  <c r="BB1248" i="1"/>
  <c r="AR1248" i="1"/>
  <c r="AD1248" i="1"/>
  <c r="W1248" i="1"/>
  <c r="M1248" i="1"/>
  <c r="DA1247" i="1"/>
  <c r="CZ1247" i="1"/>
  <c r="CY1247" i="1"/>
  <c r="CW1247" i="1"/>
  <c r="CV1247" i="1"/>
  <c r="CH1247" i="1"/>
  <c r="CG1247" i="1"/>
  <c r="CF1247" i="1"/>
  <c r="CE1247" i="1"/>
  <c r="CD1247" i="1"/>
  <c r="CC1247" i="1"/>
  <c r="CB1247" i="1"/>
  <c r="CA1247" i="1"/>
  <c r="BW1247" i="1"/>
  <c r="BV1247" i="1"/>
  <c r="BU1247" i="1"/>
  <c r="BT1247" i="1"/>
  <c r="BS1247" i="1"/>
  <c r="BI1247" i="1"/>
  <c r="CN1247" i="1" s="1"/>
  <c r="BB1247" i="1"/>
  <c r="AR1247" i="1"/>
  <c r="AD1247" i="1"/>
  <c r="CR1247" i="1" s="1"/>
  <c r="W1247" i="1"/>
  <c r="M1247" i="1"/>
  <c r="DA1246" i="1"/>
  <c r="CZ1246" i="1"/>
  <c r="CY1246" i="1"/>
  <c r="CW1246" i="1"/>
  <c r="CV1246" i="1"/>
  <c r="CE1246" i="1"/>
  <c r="BW1246" i="1"/>
  <c r="BV1246" i="1"/>
  <c r="BU1246" i="1"/>
  <c r="BT1246" i="1"/>
  <c r="BI1246" i="1"/>
  <c r="BD1246" i="1"/>
  <c r="BB1246" i="1"/>
  <c r="AR1246" i="1"/>
  <c r="Y1246" i="1"/>
  <c r="W1246" i="1"/>
  <c r="M1246" i="1"/>
  <c r="DA1245" i="1"/>
  <c r="CZ1245" i="1"/>
  <c r="CY1245" i="1"/>
  <c r="CW1245" i="1"/>
  <c r="CV1245" i="1"/>
  <c r="CC1245" i="1"/>
  <c r="BW1245" i="1"/>
  <c r="BV1245" i="1"/>
  <c r="BS1245" i="1"/>
  <c r="BG1245" i="1"/>
  <c r="BF1245" i="1"/>
  <c r="BU1245" i="1" s="1"/>
  <c r="BE1245" i="1"/>
  <c r="BT1245" i="1" s="1"/>
  <c r="BD1245" i="1"/>
  <c r="BI1245" i="1" s="1"/>
  <c r="CL1245" i="1" s="1"/>
  <c r="BB1245" i="1"/>
  <c r="AR1245" i="1"/>
  <c r="AD1245" i="1"/>
  <c r="Y1245" i="1"/>
  <c r="CB1245" i="1" s="1"/>
  <c r="W1245" i="1"/>
  <c r="M1245" i="1"/>
  <c r="DA1244" i="1"/>
  <c r="CZ1244" i="1"/>
  <c r="CY1244" i="1"/>
  <c r="CW1244" i="1"/>
  <c r="CV1244" i="1"/>
  <c r="CC1244" i="1"/>
  <c r="BW1244" i="1"/>
  <c r="BV1244" i="1"/>
  <c r="BU1244" i="1"/>
  <c r="BT1244" i="1"/>
  <c r="BS1244" i="1"/>
  <c r="BI1244" i="1"/>
  <c r="BB1244" i="1"/>
  <c r="AR1244" i="1"/>
  <c r="Y1244" i="1"/>
  <c r="CF1244" i="1" s="1"/>
  <c r="W1244" i="1"/>
  <c r="M1244" i="1"/>
  <c r="DA1243" i="1"/>
  <c r="CZ1243" i="1"/>
  <c r="CY1243" i="1"/>
  <c r="CW1243" i="1"/>
  <c r="CV1243" i="1"/>
  <c r="CQ1243" i="1"/>
  <c r="CN1243" i="1"/>
  <c r="CL1243" i="1"/>
  <c r="CH1243" i="1"/>
  <c r="CG1243" i="1"/>
  <c r="CF1243" i="1"/>
  <c r="CE1243" i="1"/>
  <c r="CD1243" i="1"/>
  <c r="CC1243" i="1"/>
  <c r="CB1243" i="1"/>
  <c r="CA1243" i="1"/>
  <c r="BX1243" i="1"/>
  <c r="BW1243" i="1"/>
  <c r="BV1243" i="1"/>
  <c r="BU1243" i="1"/>
  <c r="BT1243" i="1"/>
  <c r="BS1243" i="1"/>
  <c r="BI1243" i="1"/>
  <c r="BB1243" i="1"/>
  <c r="AR1243" i="1"/>
  <c r="AD1243" i="1"/>
  <c r="CP1243" i="1" s="1"/>
  <c r="W1243" i="1"/>
  <c r="M1243" i="1"/>
  <c r="DA1242" i="1"/>
  <c r="CZ1242" i="1"/>
  <c r="CY1242" i="1"/>
  <c r="CL1242" i="1"/>
  <c r="CH1242" i="1"/>
  <c r="CG1242" i="1"/>
  <c r="CF1242" i="1"/>
  <c r="CE1242" i="1"/>
  <c r="CD1242" i="1"/>
  <c r="CC1242" i="1"/>
  <c r="CB1242" i="1"/>
  <c r="CA1242" i="1"/>
  <c r="CI1242" i="1" s="1"/>
  <c r="BW1242" i="1"/>
  <c r="BV1242" i="1"/>
  <c r="BU1242" i="1"/>
  <c r="BT1242" i="1"/>
  <c r="BS1242" i="1"/>
  <c r="BM1242" i="1"/>
  <c r="BL1242" i="1"/>
  <c r="BI1242" i="1"/>
  <c r="BB1242" i="1"/>
  <c r="AR1242" i="1"/>
  <c r="AH1242" i="1"/>
  <c r="CW1242" i="1" s="1"/>
  <c r="AG1242" i="1"/>
  <c r="CV1242" i="1" s="1"/>
  <c r="AD1242" i="1"/>
  <c r="CO1242" i="1" s="1"/>
  <c r="W1242" i="1"/>
  <c r="M1242" i="1"/>
  <c r="DA1241" i="1"/>
  <c r="CZ1241" i="1"/>
  <c r="CY1241" i="1"/>
  <c r="CQ1241" i="1"/>
  <c r="CP1241" i="1"/>
  <c r="CO1241" i="1"/>
  <c r="CL1241" i="1"/>
  <c r="CK1241" i="1"/>
  <c r="CH1241" i="1"/>
  <c r="CG1241" i="1"/>
  <c r="CF1241" i="1"/>
  <c r="CE1241" i="1"/>
  <c r="CD1241" i="1"/>
  <c r="CC1241" i="1"/>
  <c r="CB1241" i="1"/>
  <c r="CA1241" i="1"/>
  <c r="CI1241" i="1" s="1"/>
  <c r="BX1241" i="1"/>
  <c r="BW1241" i="1"/>
  <c r="BV1241" i="1"/>
  <c r="BU1241" i="1"/>
  <c r="BT1241" i="1"/>
  <c r="BS1241" i="1"/>
  <c r="BO1241" i="1"/>
  <c r="BI1241" i="1"/>
  <c r="CR1241" i="1" s="1"/>
  <c r="BB1241" i="1"/>
  <c r="AR1241" i="1"/>
  <c r="AH1241" i="1"/>
  <c r="CW1241" i="1" s="1"/>
  <c r="AG1241" i="1"/>
  <c r="CV1241" i="1" s="1"/>
  <c r="AD1241" i="1"/>
  <c r="CM1241" i="1" s="1"/>
  <c r="W1241" i="1"/>
  <c r="M1241" i="1"/>
  <c r="DA1240" i="1"/>
  <c r="CZ1240" i="1"/>
  <c r="CY1240" i="1"/>
  <c r="CW1240" i="1"/>
  <c r="CV1240" i="1"/>
  <c r="BW1240" i="1"/>
  <c r="BV1240" i="1"/>
  <c r="BU1240" i="1"/>
  <c r="BT1240" i="1"/>
  <c r="BO1240" i="1"/>
  <c r="BI1240" i="1"/>
  <c r="BD1240" i="1"/>
  <c r="BB1240" i="1"/>
  <c r="AR1240" i="1"/>
  <c r="Y1240" i="1"/>
  <c r="W1240" i="1"/>
  <c r="M1240" i="1"/>
  <c r="DA1239" i="1"/>
  <c r="CZ1239" i="1"/>
  <c r="CY1239" i="1"/>
  <c r="CW1239" i="1"/>
  <c r="CV1239" i="1"/>
  <c r="CH1239" i="1"/>
  <c r="CC1239" i="1"/>
  <c r="BW1239" i="1"/>
  <c r="BV1239" i="1"/>
  <c r="BU1239" i="1"/>
  <c r="BT1239" i="1"/>
  <c r="BS1239" i="1"/>
  <c r="BO1239" i="1"/>
  <c r="BI1239" i="1"/>
  <c r="BB1239" i="1"/>
  <c r="AR1239" i="1"/>
  <c r="Y1239" i="1"/>
  <c r="CG1239" i="1" s="1"/>
  <c r="W1239" i="1"/>
  <c r="M1239" i="1"/>
  <c r="DA1238" i="1"/>
  <c r="CZ1238" i="1"/>
  <c r="CY1238" i="1"/>
  <c r="CV1238" i="1"/>
  <c r="CR1238" i="1"/>
  <c r="CO1238" i="1"/>
  <c r="CN1238" i="1"/>
  <c r="CL1238" i="1"/>
  <c r="CK1238" i="1"/>
  <c r="CH1238" i="1"/>
  <c r="CG1238" i="1"/>
  <c r="CF1238" i="1"/>
  <c r="CE1238" i="1"/>
  <c r="CD1238" i="1"/>
  <c r="CC1238" i="1"/>
  <c r="CB1238" i="1"/>
  <c r="CA1238" i="1"/>
  <c r="CI1238" i="1" s="1"/>
  <c r="BW1238" i="1"/>
  <c r="BV1238" i="1"/>
  <c r="BU1238" i="1"/>
  <c r="BT1238" i="1"/>
  <c r="BS1238" i="1"/>
  <c r="BO1238" i="1"/>
  <c r="BM1238" i="1"/>
  <c r="CW1238" i="1" s="1"/>
  <c r="BL1238" i="1"/>
  <c r="BI1238" i="1"/>
  <c r="BB1238" i="1"/>
  <c r="AR1238" i="1"/>
  <c r="AD1238" i="1"/>
  <c r="CM1238" i="1" s="1"/>
  <c r="W1238" i="1"/>
  <c r="M1238" i="1"/>
  <c r="DA1237" i="1"/>
  <c r="CZ1237" i="1"/>
  <c r="CV1237" i="1"/>
  <c r="CH1237" i="1"/>
  <c r="CG1237" i="1"/>
  <c r="CF1237" i="1"/>
  <c r="CE1237" i="1"/>
  <c r="CD1237" i="1"/>
  <c r="CC1237" i="1"/>
  <c r="CB1237" i="1"/>
  <c r="CA1237" i="1"/>
  <c r="CI1237" i="1" s="1"/>
  <c r="BW1237" i="1"/>
  <c r="BV1237" i="1"/>
  <c r="BU1237" i="1"/>
  <c r="BT1237" i="1"/>
  <c r="BS1237" i="1"/>
  <c r="BO1237" i="1"/>
  <c r="CY1237" i="1" s="1"/>
  <c r="BM1237" i="1"/>
  <c r="CW1237" i="1" s="1"/>
  <c r="BL1237" i="1"/>
  <c r="BI1237" i="1"/>
  <c r="BB1237" i="1"/>
  <c r="AR1237" i="1"/>
  <c r="AD1237" i="1"/>
  <c r="W1237" i="1"/>
  <c r="M1237" i="1"/>
  <c r="DA1236" i="1"/>
  <c r="CZ1236" i="1"/>
  <c r="CW1236" i="1"/>
  <c r="CR1236" i="1"/>
  <c r="CP1236" i="1"/>
  <c r="CN1236" i="1"/>
  <c r="CK1236" i="1"/>
  <c r="CH1236" i="1"/>
  <c r="CG1236" i="1"/>
  <c r="CF1236" i="1"/>
  <c r="CE1236" i="1"/>
  <c r="CD1236" i="1"/>
  <c r="CC1236" i="1"/>
  <c r="CB1236" i="1"/>
  <c r="CA1236" i="1"/>
  <c r="CI1236" i="1" s="1"/>
  <c r="BW1236" i="1"/>
  <c r="BV1236" i="1"/>
  <c r="BU1236" i="1"/>
  <c r="BT1236" i="1"/>
  <c r="BS1236" i="1"/>
  <c r="BO1236" i="1"/>
  <c r="CY1236" i="1" s="1"/>
  <c r="BM1236" i="1"/>
  <c r="BL1236" i="1"/>
  <c r="CV1236" i="1" s="1"/>
  <c r="BI1236" i="1"/>
  <c r="BB1236" i="1"/>
  <c r="AR1236" i="1"/>
  <c r="AD1236" i="1"/>
  <c r="CM1236" i="1" s="1"/>
  <c r="W1236" i="1"/>
  <c r="M1236" i="1"/>
  <c r="DA1235" i="1"/>
  <c r="CZ1235" i="1"/>
  <c r="CY1235" i="1"/>
  <c r="CW1235" i="1"/>
  <c r="CN1235" i="1"/>
  <c r="CM1235" i="1"/>
  <c r="CH1235" i="1"/>
  <c r="CG1235" i="1"/>
  <c r="CF1235" i="1"/>
  <c r="CE1235" i="1"/>
  <c r="CD1235" i="1"/>
  <c r="CC1235" i="1"/>
  <c r="CB1235" i="1"/>
  <c r="CA1235" i="1"/>
  <c r="BX1235" i="1"/>
  <c r="BW1235" i="1"/>
  <c r="BV1235" i="1"/>
  <c r="BU1235" i="1"/>
  <c r="BT1235" i="1"/>
  <c r="BS1235" i="1"/>
  <c r="BO1235" i="1"/>
  <c r="BM1235" i="1"/>
  <c r="BL1235" i="1"/>
  <c r="CV1235" i="1" s="1"/>
  <c r="BI1235" i="1"/>
  <c r="BB1235" i="1"/>
  <c r="AR1235" i="1"/>
  <c r="AD1235" i="1"/>
  <c r="CL1235" i="1" s="1"/>
  <c r="W1235" i="1"/>
  <c r="M1235" i="1"/>
  <c r="DA1234" i="1"/>
  <c r="CZ1234" i="1"/>
  <c r="CY1234" i="1"/>
  <c r="CV1234" i="1"/>
  <c r="CA1234" i="1"/>
  <c r="BW1234" i="1"/>
  <c r="BV1234" i="1"/>
  <c r="BU1234" i="1"/>
  <c r="BT1234" i="1"/>
  <c r="BO1234" i="1"/>
  <c r="BM1234" i="1"/>
  <c r="CW1234" i="1" s="1"/>
  <c r="BL1234" i="1"/>
  <c r="BD1234" i="1"/>
  <c r="BB1234" i="1"/>
  <c r="AR1234" i="1"/>
  <c r="AD1234" i="1"/>
  <c r="W1234" i="1"/>
  <c r="M1234" i="1"/>
  <c r="DA1233" i="1"/>
  <c r="CZ1233" i="1"/>
  <c r="CR1233" i="1"/>
  <c r="CQ1233" i="1"/>
  <c r="CM1233" i="1"/>
  <c r="CH1233" i="1"/>
  <c r="CG1233" i="1"/>
  <c r="CF1233" i="1"/>
  <c r="CE1233" i="1"/>
  <c r="CD1233" i="1"/>
  <c r="CC1233" i="1"/>
  <c r="CB1233" i="1"/>
  <c r="CA1233" i="1"/>
  <c r="CI1233" i="1" s="1"/>
  <c r="BW1233" i="1"/>
  <c r="BV1233" i="1"/>
  <c r="BU1233" i="1"/>
  <c r="BT1233" i="1"/>
  <c r="BS1233" i="1"/>
  <c r="BO1233" i="1"/>
  <c r="CY1233" i="1" s="1"/>
  <c r="BM1233" i="1"/>
  <c r="CW1233" i="1" s="1"/>
  <c r="BL1233" i="1"/>
  <c r="CV1233" i="1" s="1"/>
  <c r="BI1233" i="1"/>
  <c r="BB1233" i="1"/>
  <c r="AR1233" i="1"/>
  <c r="AD1233" i="1"/>
  <c r="W1233" i="1"/>
  <c r="M1233" i="1"/>
  <c r="DA1232" i="1"/>
  <c r="CZ1232" i="1"/>
  <c r="CY1232" i="1"/>
  <c r="CO1232" i="1"/>
  <c r="CL1232" i="1"/>
  <c r="CH1232" i="1"/>
  <c r="CG1232" i="1"/>
  <c r="CF1232" i="1"/>
  <c r="CE1232" i="1"/>
  <c r="CD1232" i="1"/>
  <c r="CC1232" i="1"/>
  <c r="CB1232" i="1"/>
  <c r="CA1232" i="1"/>
  <c r="BX1232" i="1"/>
  <c r="BW1232" i="1"/>
  <c r="BV1232" i="1"/>
  <c r="BU1232" i="1"/>
  <c r="BT1232" i="1"/>
  <c r="BS1232" i="1"/>
  <c r="BO1232" i="1"/>
  <c r="BM1232" i="1"/>
  <c r="CW1232" i="1" s="1"/>
  <c r="BL1232" i="1"/>
  <c r="CV1232" i="1" s="1"/>
  <c r="BI1232" i="1"/>
  <c r="CR1232" i="1" s="1"/>
  <c r="BB1232" i="1"/>
  <c r="AR1232" i="1"/>
  <c r="AD1232" i="1"/>
  <c r="W1232" i="1"/>
  <c r="M1232" i="1"/>
  <c r="DA1231" i="1"/>
  <c r="CZ1231" i="1"/>
  <c r="CY1231" i="1"/>
  <c r="CW1231" i="1"/>
  <c r="CV1231" i="1"/>
  <c r="CR1231" i="1"/>
  <c r="CQ1231" i="1"/>
  <c r="CO1231" i="1"/>
  <c r="CN1231" i="1"/>
  <c r="CM1231" i="1"/>
  <c r="CH1231" i="1"/>
  <c r="CG1231" i="1"/>
  <c r="CF1231" i="1"/>
  <c r="CE1231" i="1"/>
  <c r="CD1231" i="1"/>
  <c r="CC1231" i="1"/>
  <c r="CB1231" i="1"/>
  <c r="CA1231" i="1"/>
  <c r="CI1231" i="1" s="1"/>
  <c r="BX1231" i="1"/>
  <c r="BW1231" i="1"/>
  <c r="BV1231" i="1"/>
  <c r="BU1231" i="1"/>
  <c r="BT1231" i="1"/>
  <c r="BS1231" i="1"/>
  <c r="BI1231" i="1"/>
  <c r="BB1231" i="1"/>
  <c r="AR1231" i="1"/>
  <c r="AD1231" i="1"/>
  <c r="CP1231" i="1" s="1"/>
  <c r="W1231" i="1"/>
  <c r="M1231" i="1"/>
  <c r="DA1230" i="1"/>
  <c r="CZ1230" i="1"/>
  <c r="CY1230" i="1"/>
  <c r="CW1230" i="1"/>
  <c r="CV1230" i="1"/>
  <c r="CQ1230" i="1"/>
  <c r="CP1230" i="1"/>
  <c r="CM1230" i="1"/>
  <c r="CL1230" i="1"/>
  <c r="CH1230" i="1"/>
  <c r="CG1230" i="1"/>
  <c r="CF1230" i="1"/>
  <c r="CE1230" i="1"/>
  <c r="CD1230" i="1"/>
  <c r="CC1230" i="1"/>
  <c r="CB1230" i="1"/>
  <c r="CA1230" i="1"/>
  <c r="CI1230" i="1" s="1"/>
  <c r="BX1230" i="1"/>
  <c r="BW1230" i="1"/>
  <c r="BV1230" i="1"/>
  <c r="BU1230" i="1"/>
  <c r="BT1230" i="1"/>
  <c r="BS1230" i="1"/>
  <c r="BI1230" i="1"/>
  <c r="BB1230" i="1"/>
  <c r="AR1230" i="1"/>
  <c r="AD1230" i="1"/>
  <c r="CR1230" i="1" s="1"/>
  <c r="W1230" i="1"/>
  <c r="M1230" i="1"/>
  <c r="DA1229" i="1"/>
  <c r="CZ1229" i="1"/>
  <c r="CY1229" i="1"/>
  <c r="CW1229" i="1"/>
  <c r="CL1229" i="1"/>
  <c r="CH1229" i="1"/>
  <c r="CG1229" i="1"/>
  <c r="CF1229" i="1"/>
  <c r="CE1229" i="1"/>
  <c r="CD1229" i="1"/>
  <c r="CC1229" i="1"/>
  <c r="CB1229" i="1"/>
  <c r="CA1229" i="1"/>
  <c r="CI1229" i="1" s="1"/>
  <c r="BW1229" i="1"/>
  <c r="BV1229" i="1"/>
  <c r="BU1229" i="1"/>
  <c r="BT1229" i="1"/>
  <c r="BS1229" i="1"/>
  <c r="BO1229" i="1"/>
  <c r="BM1229" i="1"/>
  <c r="BL1229" i="1"/>
  <c r="CV1229" i="1" s="1"/>
  <c r="BI1229" i="1"/>
  <c r="BB1229" i="1"/>
  <c r="AR1229" i="1"/>
  <c r="AD1229" i="1"/>
  <c r="CN1229" i="1" s="1"/>
  <c r="W1229" i="1"/>
  <c r="M1229" i="1"/>
  <c r="DA1228" i="1"/>
  <c r="CZ1228" i="1"/>
  <c r="CY1228" i="1"/>
  <c r="CW1228" i="1"/>
  <c r="CV1228" i="1"/>
  <c r="CB1228" i="1"/>
  <c r="BV1228" i="1"/>
  <c r="BU1228" i="1"/>
  <c r="BT1228" i="1"/>
  <c r="BO1228" i="1"/>
  <c r="BM1228" i="1"/>
  <c r="BL1228" i="1"/>
  <c r="BH1228" i="1"/>
  <c r="BB1228" i="1"/>
  <c r="AR1228" i="1"/>
  <c r="Y1228" i="1"/>
  <c r="CD1228" i="1" s="1"/>
  <c r="W1228" i="1"/>
  <c r="M1228" i="1"/>
  <c r="DA1227" i="1"/>
  <c r="CZ1227" i="1"/>
  <c r="CY1227" i="1"/>
  <c r="CW1227" i="1"/>
  <c r="CV1227" i="1"/>
  <c r="CD1227" i="1"/>
  <c r="BU1227" i="1"/>
  <c r="BT1227" i="1"/>
  <c r="BI1227" i="1"/>
  <c r="BH1227" i="1"/>
  <c r="BW1227" i="1" s="1"/>
  <c r="BG1227" i="1"/>
  <c r="BV1227" i="1" s="1"/>
  <c r="BF1227" i="1"/>
  <c r="BE1227" i="1"/>
  <c r="BD1227" i="1"/>
  <c r="CG1227" i="1" s="1"/>
  <c r="BB1227" i="1"/>
  <c r="AR1227" i="1"/>
  <c r="AD1227" i="1"/>
  <c r="W1227" i="1"/>
  <c r="M1227" i="1"/>
  <c r="DA1226" i="1"/>
  <c r="CZ1226" i="1"/>
  <c r="CY1226" i="1"/>
  <c r="CW1226" i="1"/>
  <c r="CV1226" i="1"/>
  <c r="CR1226" i="1"/>
  <c r="CH1226" i="1"/>
  <c r="CC1226" i="1"/>
  <c r="BW1226" i="1"/>
  <c r="BV1226" i="1"/>
  <c r="BU1226" i="1"/>
  <c r="BT1226" i="1"/>
  <c r="BI1226" i="1"/>
  <c r="CL1226" i="1" s="1"/>
  <c r="BD1226" i="1"/>
  <c r="CG1226" i="1" s="1"/>
  <c r="BB1226" i="1"/>
  <c r="AR1226" i="1"/>
  <c r="AD1226" i="1"/>
  <c r="CP1226" i="1" s="1"/>
  <c r="W1226" i="1"/>
  <c r="M1226" i="1"/>
  <c r="DA1225" i="1"/>
  <c r="CZ1225" i="1"/>
  <c r="CY1225" i="1"/>
  <c r="CW1225" i="1"/>
  <c r="CV1225" i="1"/>
  <c r="CL1225" i="1"/>
  <c r="CH1225" i="1"/>
  <c r="CG1225" i="1"/>
  <c r="CF1225" i="1"/>
  <c r="CE1225" i="1"/>
  <c r="CD1225" i="1"/>
  <c r="CC1225" i="1"/>
  <c r="CB1225" i="1"/>
  <c r="CI1225" i="1" s="1"/>
  <c r="BU1225" i="1"/>
  <c r="BT1225" i="1"/>
  <c r="BS1225" i="1"/>
  <c r="BI1225" i="1"/>
  <c r="BB1225" i="1"/>
  <c r="AR1225" i="1"/>
  <c r="AC1225" i="1"/>
  <c r="BW1225" i="1" s="1"/>
  <c r="AB1225" i="1"/>
  <c r="BV1225" i="1" s="1"/>
  <c r="AA1225" i="1"/>
  <c r="Z1225" i="1"/>
  <c r="AD1225" i="1" s="1"/>
  <c r="W1225" i="1"/>
  <c r="M1225" i="1"/>
  <c r="DA1224" i="1"/>
  <c r="CZ1224" i="1"/>
  <c r="CY1224" i="1"/>
  <c r="CW1224" i="1"/>
  <c r="CV1224" i="1"/>
  <c r="CI1224" i="1"/>
  <c r="CH1224" i="1"/>
  <c r="CG1224" i="1"/>
  <c r="CF1224" i="1"/>
  <c r="CE1224" i="1"/>
  <c r="CD1224" i="1"/>
  <c r="CC1224" i="1"/>
  <c r="CB1224" i="1"/>
  <c r="BW1224" i="1"/>
  <c r="BV1224" i="1"/>
  <c r="BS1224" i="1"/>
  <c r="BI1224" i="1"/>
  <c r="BB1224" i="1"/>
  <c r="AR1224" i="1"/>
  <c r="AC1224" i="1"/>
  <c r="AB1224" i="1"/>
  <c r="AA1224" i="1"/>
  <c r="BU1224" i="1" s="1"/>
  <c r="Z1224" i="1"/>
  <c r="AD1224" i="1" s="1"/>
  <c r="W1224" i="1"/>
  <c r="M1224" i="1"/>
  <c r="DA1223" i="1"/>
  <c r="CZ1223" i="1"/>
  <c r="CY1223" i="1"/>
  <c r="CW1223" i="1"/>
  <c r="CV1223" i="1"/>
  <c r="CH1223" i="1"/>
  <c r="CG1223" i="1"/>
  <c r="CF1223" i="1"/>
  <c r="CE1223" i="1"/>
  <c r="CD1223" i="1"/>
  <c r="CC1223" i="1"/>
  <c r="CB1223" i="1"/>
  <c r="CI1223" i="1" s="1"/>
  <c r="BV1223" i="1"/>
  <c r="BU1223" i="1"/>
  <c r="BT1223" i="1"/>
  <c r="BS1223" i="1"/>
  <c r="BI1223" i="1"/>
  <c r="BB1223" i="1"/>
  <c r="AR1223" i="1"/>
  <c r="AC1223" i="1"/>
  <c r="BW1223" i="1" s="1"/>
  <c r="AB1223" i="1"/>
  <c r="AA1223" i="1"/>
  <c r="Z1223" i="1"/>
  <c r="W1223" i="1"/>
  <c r="M1223" i="1"/>
  <c r="DA1222" i="1"/>
  <c r="CZ1222" i="1"/>
  <c r="CY1222" i="1"/>
  <c r="CW1222" i="1"/>
  <c r="CV1222" i="1"/>
  <c r="CH1222" i="1"/>
  <c r="CG1222" i="1"/>
  <c r="CE1222" i="1"/>
  <c r="CD1222" i="1"/>
  <c r="BW1222" i="1"/>
  <c r="BV1222" i="1"/>
  <c r="BT1222" i="1"/>
  <c r="BS1222" i="1"/>
  <c r="BI1222" i="1"/>
  <c r="BB1222" i="1"/>
  <c r="AR1222" i="1"/>
  <c r="AC1222" i="1"/>
  <c r="AB1222" i="1"/>
  <c r="AA1222" i="1"/>
  <c r="Z1222" i="1"/>
  <c r="Y1222" i="1"/>
  <c r="CC1222" i="1" s="1"/>
  <c r="W1222" i="1"/>
  <c r="M1222" i="1"/>
  <c r="DA1221" i="1"/>
  <c r="CZ1221" i="1"/>
  <c r="CY1221" i="1"/>
  <c r="CW1221" i="1"/>
  <c r="CV1221" i="1"/>
  <c r="CG1221" i="1"/>
  <c r="CF1221" i="1"/>
  <c r="CD1221" i="1"/>
  <c r="BV1221" i="1"/>
  <c r="BU1221" i="1"/>
  <c r="BS1221" i="1"/>
  <c r="BI1221" i="1"/>
  <c r="BB1221" i="1"/>
  <c r="AR1221" i="1"/>
  <c r="AC1221" i="1"/>
  <c r="BW1221" i="1" s="1"/>
  <c r="AB1221" i="1"/>
  <c r="AA1221" i="1"/>
  <c r="Z1221" i="1"/>
  <c r="BT1221" i="1" s="1"/>
  <c r="Y1221" i="1"/>
  <c r="CC1221" i="1" s="1"/>
  <c r="W1221" i="1"/>
  <c r="M1221" i="1"/>
  <c r="DA1220" i="1"/>
  <c r="CZ1220" i="1"/>
  <c r="CY1220" i="1"/>
  <c r="CW1220" i="1"/>
  <c r="CV1220" i="1"/>
  <c r="CH1220" i="1"/>
  <c r="CG1220" i="1"/>
  <c r="CF1220" i="1"/>
  <c r="CE1220" i="1"/>
  <c r="CD1220" i="1"/>
  <c r="CC1220" i="1"/>
  <c r="CB1220" i="1"/>
  <c r="BW1220" i="1"/>
  <c r="BV1220" i="1"/>
  <c r="BU1220" i="1"/>
  <c r="BT1220" i="1"/>
  <c r="BS1220" i="1"/>
  <c r="BI1220" i="1"/>
  <c r="CL1220" i="1" s="1"/>
  <c r="BB1220" i="1"/>
  <c r="AR1220" i="1"/>
  <c r="AD1220" i="1"/>
  <c r="W1220" i="1"/>
  <c r="M1220" i="1"/>
  <c r="DA1219" i="1"/>
  <c r="CZ1219" i="1"/>
  <c r="CY1219" i="1"/>
  <c r="CW1219" i="1"/>
  <c r="CV1219" i="1"/>
  <c r="CQ1219" i="1"/>
  <c r="CN1219" i="1"/>
  <c r="CH1219" i="1"/>
  <c r="CG1219" i="1"/>
  <c r="CF1219" i="1"/>
  <c r="CE1219" i="1"/>
  <c r="CD1219" i="1"/>
  <c r="CC1219" i="1"/>
  <c r="CB1219" i="1"/>
  <c r="BW1219" i="1"/>
  <c r="BV1219" i="1"/>
  <c r="BU1219" i="1"/>
  <c r="BT1219" i="1"/>
  <c r="BS1219" i="1"/>
  <c r="BI1219" i="1"/>
  <c r="BB1219" i="1"/>
  <c r="AR1219" i="1"/>
  <c r="AH1219" i="1"/>
  <c r="AD1219" i="1"/>
  <c r="CM1219" i="1" s="1"/>
  <c r="W1219" i="1"/>
  <c r="M1219" i="1"/>
  <c r="DA1218" i="1"/>
  <c r="CZ1218" i="1"/>
  <c r="CY1218" i="1"/>
  <c r="CV1218" i="1"/>
  <c r="CR1218" i="1"/>
  <c r="CM1218" i="1"/>
  <c r="CI1218" i="1"/>
  <c r="CH1218" i="1"/>
  <c r="CG1218" i="1"/>
  <c r="CF1218" i="1"/>
  <c r="CE1218" i="1"/>
  <c r="CD1218" i="1"/>
  <c r="CC1218" i="1"/>
  <c r="CB1218" i="1"/>
  <c r="BX1218" i="1"/>
  <c r="BW1218" i="1"/>
  <c r="BV1218" i="1"/>
  <c r="BU1218" i="1"/>
  <c r="BT1218" i="1"/>
  <c r="BS1218" i="1"/>
  <c r="BI1218" i="1"/>
  <c r="BB1218" i="1"/>
  <c r="AR1218" i="1"/>
  <c r="AH1218" i="1"/>
  <c r="CW1218" i="1" s="1"/>
  <c r="AD1218" i="1"/>
  <c r="CQ1218" i="1" s="1"/>
  <c r="W1218" i="1"/>
  <c r="M1218" i="1"/>
  <c r="DA1217" i="1"/>
  <c r="CZ1217" i="1"/>
  <c r="CY1217" i="1"/>
  <c r="CV1217" i="1"/>
  <c r="CG1217" i="1"/>
  <c r="CD1217" i="1"/>
  <c r="BW1217" i="1"/>
  <c r="BV1217" i="1"/>
  <c r="BU1217" i="1"/>
  <c r="BS1217" i="1"/>
  <c r="BF1217" i="1"/>
  <c r="BE1217" i="1"/>
  <c r="BT1217" i="1" s="1"/>
  <c r="BD1217" i="1"/>
  <c r="CC1217" i="1" s="1"/>
  <c r="BB1217" i="1"/>
  <c r="AR1217" i="1"/>
  <c r="AH1217" i="1"/>
  <c r="CW1217" i="1" s="1"/>
  <c r="AD1217" i="1"/>
  <c r="W1217" i="1"/>
  <c r="M1217" i="1"/>
  <c r="DA1216" i="1"/>
  <c r="CZ1216" i="1"/>
  <c r="CY1216" i="1"/>
  <c r="CW1216" i="1"/>
  <c r="CV1216" i="1"/>
  <c r="CE1216" i="1"/>
  <c r="CB1216" i="1"/>
  <c r="BW1216" i="1"/>
  <c r="BT1216" i="1"/>
  <c r="BG1216" i="1"/>
  <c r="BV1216" i="1" s="1"/>
  <c r="BF1216" i="1"/>
  <c r="BU1216" i="1" s="1"/>
  <c r="BE1216" i="1"/>
  <c r="BD1216" i="1"/>
  <c r="CH1216" i="1" s="1"/>
  <c r="BB1216" i="1"/>
  <c r="AR1216" i="1"/>
  <c r="AH1216" i="1"/>
  <c r="AD1216" i="1"/>
  <c r="W1216" i="1"/>
  <c r="M1216" i="1"/>
  <c r="DA1215" i="1"/>
  <c r="CW1215" i="1"/>
  <c r="CV1215" i="1"/>
  <c r="CR1215" i="1"/>
  <c r="CM1215" i="1"/>
  <c r="CI1215" i="1"/>
  <c r="CH1215" i="1"/>
  <c r="CG1215" i="1"/>
  <c r="CF1215" i="1"/>
  <c r="CE1215" i="1"/>
  <c r="CD1215" i="1"/>
  <c r="CC1215" i="1"/>
  <c r="CB1215" i="1"/>
  <c r="BX1215" i="1"/>
  <c r="BW1215" i="1"/>
  <c r="BV1215" i="1"/>
  <c r="BU1215" i="1"/>
  <c r="BT1215" i="1"/>
  <c r="BS1215" i="1"/>
  <c r="BI1215" i="1"/>
  <c r="BB1215" i="1"/>
  <c r="AK1215" i="1"/>
  <c r="CZ1215" i="1" s="1"/>
  <c r="AJ1215" i="1"/>
  <c r="CY1215" i="1" s="1"/>
  <c r="AH1215" i="1"/>
  <c r="AG1215" i="1"/>
  <c r="AD1215" i="1"/>
  <c r="CQ1215" i="1" s="1"/>
  <c r="W1215" i="1"/>
  <c r="DA1214" i="1"/>
  <c r="CW1214" i="1"/>
  <c r="CV1214" i="1"/>
  <c r="CH1214" i="1"/>
  <c r="CG1214" i="1"/>
  <c r="CF1214" i="1"/>
  <c r="CE1214" i="1"/>
  <c r="CD1214" i="1"/>
  <c r="CI1214" i="1" s="1"/>
  <c r="CC1214" i="1"/>
  <c r="CB1214" i="1"/>
  <c r="BW1214" i="1"/>
  <c r="BV1214" i="1"/>
  <c r="BU1214" i="1"/>
  <c r="BT1214" i="1"/>
  <c r="BS1214" i="1"/>
  <c r="BI1214" i="1"/>
  <c r="BB1214" i="1"/>
  <c r="AK1214" i="1"/>
  <c r="CZ1214" i="1" s="1"/>
  <c r="AJ1214" i="1"/>
  <c r="CY1214" i="1" s="1"/>
  <c r="AH1214" i="1"/>
  <c r="AG1214" i="1"/>
  <c r="AD1214" i="1"/>
  <c r="W1214" i="1"/>
  <c r="DA1213" i="1"/>
  <c r="CY1213" i="1"/>
  <c r="CV1213" i="1"/>
  <c r="CR1213" i="1"/>
  <c r="CQ1213" i="1"/>
  <c r="CO1213" i="1"/>
  <c r="CN1213" i="1"/>
  <c r="CM1213" i="1"/>
  <c r="CI1213" i="1"/>
  <c r="CH1213" i="1"/>
  <c r="CG1213" i="1"/>
  <c r="CF1213" i="1"/>
  <c r="CE1213" i="1"/>
  <c r="CD1213" i="1"/>
  <c r="CC1213" i="1"/>
  <c r="CB1213" i="1"/>
  <c r="BX1213" i="1"/>
  <c r="BW1213" i="1"/>
  <c r="BV1213" i="1"/>
  <c r="BU1213" i="1"/>
  <c r="BT1213" i="1"/>
  <c r="BS1213" i="1"/>
  <c r="AK1213" i="1"/>
  <c r="CZ1213" i="1" s="1"/>
  <c r="AJ1213" i="1"/>
  <c r="AH1213" i="1"/>
  <c r="CW1213" i="1" s="1"/>
  <c r="AG1213" i="1"/>
  <c r="AD1213" i="1"/>
  <c r="CP1213" i="1" s="1"/>
  <c r="W1213" i="1"/>
  <c r="M1213" i="1"/>
  <c r="DA1212" i="1"/>
  <c r="CZ1212" i="1"/>
  <c r="CV1212" i="1"/>
  <c r="CM1212" i="1"/>
  <c r="CH1212" i="1"/>
  <c r="CG1212" i="1"/>
  <c r="CF1212" i="1"/>
  <c r="CE1212" i="1"/>
  <c r="CD1212" i="1"/>
  <c r="CC1212" i="1"/>
  <c r="CI1212" i="1" s="1"/>
  <c r="CB1212" i="1"/>
  <c r="BW1212" i="1"/>
  <c r="BV1212" i="1"/>
  <c r="BU1212" i="1"/>
  <c r="BT1212" i="1"/>
  <c r="BS1212" i="1"/>
  <c r="AK1212" i="1"/>
  <c r="AJ1212" i="1"/>
  <c r="CY1212" i="1" s="1"/>
  <c r="AH1212" i="1"/>
  <c r="CW1212" i="1" s="1"/>
  <c r="AG1212" i="1"/>
  <c r="AD1212" i="1"/>
  <c r="CL1212" i="1" s="1"/>
  <c r="W1212" i="1"/>
  <c r="M1212" i="1"/>
  <c r="DA1211" i="1"/>
  <c r="CZ1211" i="1"/>
  <c r="CV1211" i="1"/>
  <c r="CP1211" i="1"/>
  <c r="CH1211" i="1"/>
  <c r="CG1211" i="1"/>
  <c r="CF1211" i="1"/>
  <c r="CE1211" i="1"/>
  <c r="CD1211" i="1"/>
  <c r="CC1211" i="1"/>
  <c r="CB1211" i="1"/>
  <c r="CI1211" i="1" s="1"/>
  <c r="BW1211" i="1"/>
  <c r="BV1211" i="1"/>
  <c r="BU1211" i="1"/>
  <c r="BT1211" i="1"/>
  <c r="BS1211" i="1"/>
  <c r="AK1211" i="1"/>
  <c r="AJ1211" i="1"/>
  <c r="CY1211" i="1" s="1"/>
  <c r="AH1211" i="1"/>
  <c r="CW1211" i="1" s="1"/>
  <c r="AG1211" i="1"/>
  <c r="AD1211" i="1"/>
  <c r="W1211" i="1"/>
  <c r="M1211" i="1"/>
  <c r="DA1210" i="1"/>
  <c r="CZ1210" i="1"/>
  <c r="CW1210" i="1"/>
  <c r="CN1210" i="1"/>
  <c r="CK1210" i="1"/>
  <c r="CH1210" i="1"/>
  <c r="CG1210" i="1"/>
  <c r="CF1210" i="1"/>
  <c r="CE1210" i="1"/>
  <c r="CD1210" i="1"/>
  <c r="CC1210" i="1"/>
  <c r="CB1210" i="1"/>
  <c r="CI1210" i="1" s="1"/>
  <c r="BX1210" i="1"/>
  <c r="BW1210" i="1"/>
  <c r="BV1210" i="1"/>
  <c r="BU1210" i="1"/>
  <c r="BT1210" i="1"/>
  <c r="BS1210" i="1"/>
  <c r="AK1210" i="1"/>
  <c r="AJ1210" i="1"/>
  <c r="CY1210" i="1" s="1"/>
  <c r="AH1210" i="1"/>
  <c r="AG1210" i="1"/>
  <c r="CV1210" i="1" s="1"/>
  <c r="AD1210" i="1"/>
  <c r="CR1210" i="1" s="1"/>
  <c r="W1210" i="1"/>
  <c r="M1210" i="1"/>
  <c r="DA1209" i="1"/>
  <c r="CZ1209" i="1"/>
  <c r="CW1209" i="1"/>
  <c r="CR1209" i="1"/>
  <c r="CQ1209" i="1"/>
  <c r="CN1209" i="1"/>
  <c r="CM1209" i="1"/>
  <c r="CK1209" i="1"/>
  <c r="CH1209" i="1"/>
  <c r="CG1209" i="1"/>
  <c r="CF1209" i="1"/>
  <c r="CE1209" i="1"/>
  <c r="CI1209" i="1" s="1"/>
  <c r="CD1209" i="1"/>
  <c r="CC1209" i="1"/>
  <c r="CB1209" i="1"/>
  <c r="BX1209" i="1"/>
  <c r="BW1209" i="1"/>
  <c r="BV1209" i="1"/>
  <c r="BU1209" i="1"/>
  <c r="BT1209" i="1"/>
  <c r="BS1209" i="1"/>
  <c r="AK1209" i="1"/>
  <c r="AJ1209" i="1"/>
  <c r="CY1209" i="1" s="1"/>
  <c r="AH1209" i="1"/>
  <c r="AG1209" i="1"/>
  <c r="CV1209" i="1" s="1"/>
  <c r="AD1209" i="1"/>
  <c r="CL1209" i="1" s="1"/>
  <c r="W1209" i="1"/>
  <c r="M1209" i="1"/>
  <c r="DA1208" i="1"/>
  <c r="CW1208" i="1"/>
  <c r="CQ1208" i="1"/>
  <c r="CM1208" i="1"/>
  <c r="CL1208" i="1"/>
  <c r="CH1208" i="1"/>
  <c r="CG1208" i="1"/>
  <c r="CF1208" i="1"/>
  <c r="CE1208" i="1"/>
  <c r="CD1208" i="1"/>
  <c r="CC1208" i="1"/>
  <c r="CB1208" i="1"/>
  <c r="CI1208" i="1" s="1"/>
  <c r="BW1208" i="1"/>
  <c r="BV1208" i="1"/>
  <c r="BU1208" i="1"/>
  <c r="BT1208" i="1"/>
  <c r="BS1208" i="1"/>
  <c r="AK1208" i="1"/>
  <c r="CZ1208" i="1" s="1"/>
  <c r="AJ1208" i="1"/>
  <c r="CY1208" i="1" s="1"/>
  <c r="AH1208" i="1"/>
  <c r="AG1208" i="1"/>
  <c r="CV1208" i="1" s="1"/>
  <c r="AD1208" i="1"/>
  <c r="CP1208" i="1" s="1"/>
  <c r="W1208" i="1"/>
  <c r="M1208" i="1"/>
  <c r="DA1207" i="1"/>
  <c r="CY1207" i="1"/>
  <c r="CO1207" i="1"/>
  <c r="CL1207" i="1"/>
  <c r="CH1207" i="1"/>
  <c r="CG1207" i="1"/>
  <c r="CF1207" i="1"/>
  <c r="CE1207" i="1"/>
  <c r="CD1207" i="1"/>
  <c r="CC1207" i="1"/>
  <c r="CB1207" i="1"/>
  <c r="CI1207" i="1" s="1"/>
  <c r="BW1207" i="1"/>
  <c r="BV1207" i="1"/>
  <c r="BU1207" i="1"/>
  <c r="BT1207" i="1"/>
  <c r="BS1207" i="1"/>
  <c r="AK1207" i="1"/>
  <c r="CZ1207" i="1" s="1"/>
  <c r="AJ1207" i="1"/>
  <c r="AH1207" i="1"/>
  <c r="CW1207" i="1" s="1"/>
  <c r="AG1207" i="1"/>
  <c r="CV1207" i="1" s="1"/>
  <c r="AD1207" i="1"/>
  <c r="CK1207" i="1" s="1"/>
  <c r="W1207" i="1"/>
  <c r="M1207" i="1"/>
  <c r="DA1206" i="1"/>
  <c r="CY1206" i="1"/>
  <c r="CR1206" i="1"/>
  <c r="CQ1206" i="1"/>
  <c r="CO1206" i="1"/>
  <c r="CN1206" i="1"/>
  <c r="CM1206" i="1"/>
  <c r="CL1206" i="1"/>
  <c r="CK1206" i="1"/>
  <c r="CH1206" i="1"/>
  <c r="CG1206" i="1"/>
  <c r="CF1206" i="1"/>
  <c r="CI1206" i="1" s="1"/>
  <c r="CE1206" i="1"/>
  <c r="CD1206" i="1"/>
  <c r="CC1206" i="1"/>
  <c r="CB1206" i="1"/>
  <c r="BX1206" i="1"/>
  <c r="BW1206" i="1"/>
  <c r="BV1206" i="1"/>
  <c r="BU1206" i="1"/>
  <c r="BT1206" i="1"/>
  <c r="BS1206" i="1"/>
  <c r="AK1206" i="1"/>
  <c r="CZ1206" i="1" s="1"/>
  <c r="AJ1206" i="1"/>
  <c r="AH1206" i="1"/>
  <c r="CW1206" i="1" s="1"/>
  <c r="AG1206" i="1"/>
  <c r="CV1206" i="1" s="1"/>
  <c r="AD1206" i="1"/>
  <c r="CP1206" i="1" s="1"/>
  <c r="W1206" i="1"/>
  <c r="M1206" i="1"/>
  <c r="DA1205" i="1"/>
  <c r="CY1205" i="1"/>
  <c r="CV1205" i="1"/>
  <c r="CR1205" i="1"/>
  <c r="CQ1205" i="1"/>
  <c r="CO1205" i="1"/>
  <c r="CN1205" i="1"/>
  <c r="CM1205" i="1"/>
  <c r="CL1205" i="1"/>
  <c r="CI1205" i="1"/>
  <c r="CH1205" i="1"/>
  <c r="CG1205" i="1"/>
  <c r="CF1205" i="1"/>
  <c r="CE1205" i="1"/>
  <c r="CD1205" i="1"/>
  <c r="CC1205" i="1"/>
  <c r="CB1205" i="1"/>
  <c r="BX1205" i="1"/>
  <c r="BW1205" i="1"/>
  <c r="BV1205" i="1"/>
  <c r="BU1205" i="1"/>
  <c r="BT1205" i="1"/>
  <c r="BS1205" i="1"/>
  <c r="AK1205" i="1"/>
  <c r="CZ1205" i="1" s="1"/>
  <c r="AJ1205" i="1"/>
  <c r="AH1205" i="1"/>
  <c r="CW1205" i="1" s="1"/>
  <c r="AG1205" i="1"/>
  <c r="AD1205" i="1"/>
  <c r="CP1205" i="1" s="1"/>
  <c r="W1205" i="1"/>
  <c r="M1205" i="1"/>
  <c r="DA1204" i="1"/>
  <c r="CZ1204" i="1"/>
  <c r="CY1204" i="1"/>
  <c r="CV1204" i="1"/>
  <c r="CM1204" i="1"/>
  <c r="CH1204" i="1"/>
  <c r="CG1204" i="1"/>
  <c r="CF1204" i="1"/>
  <c r="CE1204" i="1"/>
  <c r="CD1204" i="1"/>
  <c r="CC1204" i="1"/>
  <c r="CB1204" i="1"/>
  <c r="BW1204" i="1"/>
  <c r="BV1204" i="1"/>
  <c r="BU1204" i="1"/>
  <c r="BT1204" i="1"/>
  <c r="BS1204" i="1"/>
  <c r="AK1204" i="1"/>
  <c r="AJ1204" i="1"/>
  <c r="AH1204" i="1"/>
  <c r="CW1204" i="1" s="1"/>
  <c r="AG1204" i="1"/>
  <c r="AD1204" i="1"/>
  <c r="CL1204" i="1" s="1"/>
  <c r="W1204" i="1"/>
  <c r="M1204" i="1"/>
  <c r="DA1203" i="1"/>
  <c r="CZ1203" i="1"/>
  <c r="CV1203" i="1"/>
  <c r="CH1203" i="1"/>
  <c r="CG1203" i="1"/>
  <c r="CF1203" i="1"/>
  <c r="CE1203" i="1"/>
  <c r="CD1203" i="1"/>
  <c r="CC1203" i="1"/>
  <c r="CB1203" i="1"/>
  <c r="CI1203" i="1" s="1"/>
  <c r="BW1203" i="1"/>
  <c r="BV1203" i="1"/>
  <c r="BU1203" i="1"/>
  <c r="BT1203" i="1"/>
  <c r="BS1203" i="1"/>
  <c r="AK1203" i="1"/>
  <c r="AJ1203" i="1"/>
  <c r="CY1203" i="1" s="1"/>
  <c r="AH1203" i="1"/>
  <c r="CW1203" i="1" s="1"/>
  <c r="AG1203" i="1"/>
  <c r="AD1203" i="1"/>
  <c r="W1203" i="1"/>
  <c r="M1203" i="1"/>
  <c r="DA1202" i="1"/>
  <c r="CZ1202" i="1"/>
  <c r="CW1202" i="1"/>
  <c r="CV1202" i="1"/>
  <c r="CR1202" i="1"/>
  <c r="CO1202" i="1"/>
  <c r="CN1202" i="1"/>
  <c r="CK1202" i="1"/>
  <c r="CH1202" i="1"/>
  <c r="CG1202" i="1"/>
  <c r="CF1202" i="1"/>
  <c r="CE1202" i="1"/>
  <c r="CD1202" i="1"/>
  <c r="CC1202" i="1"/>
  <c r="CB1202" i="1"/>
  <c r="CI1202" i="1" s="1"/>
  <c r="BX1202" i="1"/>
  <c r="BW1202" i="1"/>
  <c r="BV1202" i="1"/>
  <c r="BU1202" i="1"/>
  <c r="BT1202" i="1"/>
  <c r="BS1202" i="1"/>
  <c r="AK1202" i="1"/>
  <c r="AJ1202" i="1"/>
  <c r="CY1202" i="1" s="1"/>
  <c r="AH1202" i="1"/>
  <c r="AG1202" i="1"/>
  <c r="AD1202" i="1"/>
  <c r="CQ1202" i="1" s="1"/>
  <c r="W1202" i="1"/>
  <c r="M1202" i="1"/>
  <c r="DA1201" i="1"/>
  <c r="CW1201" i="1"/>
  <c r="CV1201" i="1"/>
  <c r="CR1201" i="1"/>
  <c r="CQ1201" i="1"/>
  <c r="CP1201" i="1"/>
  <c r="CN1201" i="1"/>
  <c r="CM1201" i="1"/>
  <c r="CL1201" i="1"/>
  <c r="CK1201" i="1"/>
  <c r="CH1201" i="1"/>
  <c r="CG1201" i="1"/>
  <c r="CF1201" i="1"/>
  <c r="CE1201" i="1"/>
  <c r="CD1201" i="1"/>
  <c r="CC1201" i="1"/>
  <c r="CB1201" i="1"/>
  <c r="CA1201" i="1"/>
  <c r="CI1201" i="1" s="1"/>
  <c r="BX1201" i="1"/>
  <c r="BW1201" i="1"/>
  <c r="BV1201" i="1"/>
  <c r="BU1201" i="1"/>
  <c r="BT1201" i="1"/>
  <c r="BS1201" i="1"/>
  <c r="AK1201" i="1"/>
  <c r="CZ1201" i="1" s="1"/>
  <c r="AJ1201" i="1"/>
  <c r="CY1201" i="1" s="1"/>
  <c r="AH1201" i="1"/>
  <c r="AG1201" i="1"/>
  <c r="AD1201" i="1"/>
  <c r="CO1201" i="1" s="1"/>
  <c r="W1201" i="1"/>
  <c r="M1201" i="1"/>
  <c r="DA1200" i="1"/>
  <c r="CW1200" i="1"/>
  <c r="CN1200" i="1"/>
  <c r="CK1200" i="1"/>
  <c r="CH1200" i="1"/>
  <c r="CG1200" i="1"/>
  <c r="CF1200" i="1"/>
  <c r="CE1200" i="1"/>
  <c r="CD1200" i="1"/>
  <c r="CC1200" i="1"/>
  <c r="CB1200" i="1"/>
  <c r="CA1200" i="1"/>
  <c r="BW1200" i="1"/>
  <c r="BV1200" i="1"/>
  <c r="BU1200" i="1"/>
  <c r="BT1200" i="1"/>
  <c r="BS1200" i="1"/>
  <c r="AK1200" i="1"/>
  <c r="CZ1200" i="1" s="1"/>
  <c r="AJ1200" i="1"/>
  <c r="CY1200" i="1" s="1"/>
  <c r="AH1200" i="1"/>
  <c r="AG1200" i="1"/>
  <c r="CV1200" i="1" s="1"/>
  <c r="AD1200" i="1"/>
  <c r="CR1200" i="1" s="1"/>
  <c r="W1200" i="1"/>
  <c r="M1200" i="1"/>
  <c r="DA1199" i="1"/>
  <c r="CW1199" i="1"/>
  <c r="CV1199" i="1"/>
  <c r="CR1199" i="1"/>
  <c r="CO1199" i="1"/>
  <c r="CH1199" i="1"/>
  <c r="CG1199" i="1"/>
  <c r="CF1199" i="1"/>
  <c r="CE1199" i="1"/>
  <c r="CD1199" i="1"/>
  <c r="CC1199" i="1"/>
  <c r="CB1199" i="1"/>
  <c r="CA1199" i="1"/>
  <c r="CI1199" i="1" s="1"/>
  <c r="BW1199" i="1"/>
  <c r="BV1199" i="1"/>
  <c r="BU1199" i="1"/>
  <c r="BT1199" i="1"/>
  <c r="BS1199" i="1"/>
  <c r="AK1199" i="1"/>
  <c r="CZ1199" i="1" s="1"/>
  <c r="AJ1199" i="1"/>
  <c r="CY1199" i="1" s="1"/>
  <c r="AH1199" i="1"/>
  <c r="AG1199" i="1"/>
  <c r="AD1199" i="1"/>
  <c r="W1199" i="1"/>
  <c r="M1199" i="1"/>
  <c r="DA1198" i="1"/>
  <c r="CW1198" i="1"/>
  <c r="CR1198" i="1"/>
  <c r="CN1198" i="1"/>
  <c r="CK1198" i="1"/>
  <c r="CH1198" i="1"/>
  <c r="CG1198" i="1"/>
  <c r="CF1198" i="1"/>
  <c r="CE1198" i="1"/>
  <c r="CD1198" i="1"/>
  <c r="CC1198" i="1"/>
  <c r="CB1198" i="1"/>
  <c r="CA1198" i="1"/>
  <c r="BW1198" i="1"/>
  <c r="BV1198" i="1"/>
  <c r="BU1198" i="1"/>
  <c r="BT1198" i="1"/>
  <c r="BS1198" i="1"/>
  <c r="AK1198" i="1"/>
  <c r="CZ1198" i="1" s="1"/>
  <c r="AJ1198" i="1"/>
  <c r="CY1198" i="1" s="1"/>
  <c r="AH1198" i="1"/>
  <c r="AG1198" i="1"/>
  <c r="CV1198" i="1" s="1"/>
  <c r="AD1198" i="1"/>
  <c r="CQ1198" i="1" s="1"/>
  <c r="W1198" i="1"/>
  <c r="M1198" i="1"/>
  <c r="DA1197" i="1"/>
  <c r="CW1197" i="1"/>
  <c r="CV1197" i="1"/>
  <c r="CR1197" i="1"/>
  <c r="CO1197" i="1"/>
  <c r="CH1197" i="1"/>
  <c r="CG1197" i="1"/>
  <c r="CF1197" i="1"/>
  <c r="CE1197" i="1"/>
  <c r="CD1197" i="1"/>
  <c r="CC1197" i="1"/>
  <c r="CB1197" i="1"/>
  <c r="CA1197" i="1"/>
  <c r="CI1197" i="1" s="1"/>
  <c r="BW1197" i="1"/>
  <c r="BV1197" i="1"/>
  <c r="BU1197" i="1"/>
  <c r="BT1197" i="1"/>
  <c r="BS1197" i="1"/>
  <c r="AK1197" i="1"/>
  <c r="CZ1197" i="1" s="1"/>
  <c r="AJ1197" i="1"/>
  <c r="CY1197" i="1" s="1"/>
  <c r="AH1197" i="1"/>
  <c r="AG1197" i="1"/>
  <c r="AD1197" i="1"/>
  <c r="W1197" i="1"/>
  <c r="M1197" i="1"/>
  <c r="DA1196" i="1"/>
  <c r="CR1196" i="1"/>
  <c r="BM1196" i="1" s="1"/>
  <c r="CN1196" i="1"/>
  <c r="CK1196" i="1"/>
  <c r="CH1196" i="1"/>
  <c r="CG1196" i="1"/>
  <c r="CF1196" i="1"/>
  <c r="CE1196" i="1"/>
  <c r="CD1196" i="1"/>
  <c r="CC1196" i="1"/>
  <c r="CB1196" i="1"/>
  <c r="CA1196" i="1"/>
  <c r="BW1196" i="1"/>
  <c r="BV1196" i="1"/>
  <c r="BU1196" i="1"/>
  <c r="BT1196" i="1"/>
  <c r="BS1196" i="1"/>
  <c r="BP1196" i="1"/>
  <c r="AK1196" i="1" s="1"/>
  <c r="CZ1196" i="1" s="1"/>
  <c r="BI1196" i="1"/>
  <c r="CO1196" i="1" s="1"/>
  <c r="BB1196" i="1"/>
  <c r="AR1196" i="1"/>
  <c r="AH1196" i="1"/>
  <c r="CW1196" i="1" s="1"/>
  <c r="AD1196" i="1"/>
  <c r="CQ1196" i="1" s="1"/>
  <c r="BL1196" i="1" s="1"/>
  <c r="AG1196" i="1" s="1"/>
  <c r="CV1196" i="1" s="1"/>
  <c r="W1196" i="1"/>
  <c r="M1196" i="1"/>
  <c r="DA1195" i="1"/>
  <c r="CV1195" i="1"/>
  <c r="CR1195" i="1"/>
  <c r="CQ1195" i="1"/>
  <c r="BL1195" i="1" s="1"/>
  <c r="CN1195" i="1"/>
  <c r="CM1195" i="1"/>
  <c r="CH1195" i="1"/>
  <c r="CG1195" i="1"/>
  <c r="CF1195" i="1"/>
  <c r="CE1195" i="1"/>
  <c r="CD1195" i="1"/>
  <c r="CC1195" i="1"/>
  <c r="CB1195" i="1"/>
  <c r="CA1195" i="1"/>
  <c r="BX1195" i="1"/>
  <c r="BW1195" i="1"/>
  <c r="BV1195" i="1"/>
  <c r="BU1195" i="1"/>
  <c r="BT1195" i="1"/>
  <c r="BS1195" i="1"/>
  <c r="BP1195" i="1"/>
  <c r="AK1195" i="1" s="1"/>
  <c r="CZ1195" i="1" s="1"/>
  <c r="BM1195" i="1"/>
  <c r="AH1195" i="1" s="1"/>
  <c r="CW1195" i="1" s="1"/>
  <c r="BI1195" i="1"/>
  <c r="BB1195" i="1"/>
  <c r="AR1195" i="1"/>
  <c r="AG1195" i="1"/>
  <c r="AD1195" i="1"/>
  <c r="CL1195" i="1" s="1"/>
  <c r="W1195" i="1"/>
  <c r="M1195" i="1"/>
  <c r="DA1194" i="1"/>
  <c r="CQ1194" i="1"/>
  <c r="BL1194" i="1" s="1"/>
  <c r="AG1194" i="1" s="1"/>
  <c r="CV1194" i="1" s="1"/>
  <c r="CL1194" i="1"/>
  <c r="CH1194" i="1"/>
  <c r="CG1194" i="1"/>
  <c r="CF1194" i="1"/>
  <c r="CE1194" i="1"/>
  <c r="CD1194" i="1"/>
  <c r="CC1194" i="1"/>
  <c r="CB1194" i="1"/>
  <c r="CA1194" i="1"/>
  <c r="BW1194" i="1"/>
  <c r="BV1194" i="1"/>
  <c r="BU1194" i="1"/>
  <c r="BT1194" i="1"/>
  <c r="BS1194" i="1"/>
  <c r="BP1194" i="1"/>
  <c r="BI1194" i="1"/>
  <c r="BB1194" i="1"/>
  <c r="AR1194" i="1"/>
  <c r="AK1194" i="1"/>
  <c r="CZ1194" i="1" s="1"/>
  <c r="AD1194" i="1"/>
  <c r="BX1194" i="1" s="1"/>
  <c r="W1194" i="1"/>
  <c r="M1194" i="1"/>
  <c r="DA1193" i="1"/>
  <c r="CO1193" i="1"/>
  <c r="CL1193" i="1"/>
  <c r="CH1193" i="1"/>
  <c r="CG1193" i="1"/>
  <c r="CF1193" i="1"/>
  <c r="CE1193" i="1"/>
  <c r="CD1193" i="1"/>
  <c r="CC1193" i="1"/>
  <c r="CB1193" i="1"/>
  <c r="CA1193" i="1"/>
  <c r="BW1193" i="1"/>
  <c r="BV1193" i="1"/>
  <c r="BU1193" i="1"/>
  <c r="BT1193" i="1"/>
  <c r="BS1193" i="1"/>
  <c r="BP1193" i="1"/>
  <c r="AK1193" i="1" s="1"/>
  <c r="CZ1193" i="1" s="1"/>
  <c r="BI1193" i="1"/>
  <c r="BB1193" i="1"/>
  <c r="AR1193" i="1"/>
  <c r="AD1193" i="1"/>
  <c r="W1193" i="1"/>
  <c r="M1193" i="1"/>
  <c r="DA1192" i="1"/>
  <c r="CH1192" i="1"/>
  <c r="CG1192" i="1"/>
  <c r="CF1192" i="1"/>
  <c r="CE1192" i="1"/>
  <c r="CD1192" i="1"/>
  <c r="CC1192" i="1"/>
  <c r="CB1192" i="1"/>
  <c r="CA1192" i="1"/>
  <c r="CI1192" i="1" s="1"/>
  <c r="BW1192" i="1"/>
  <c r="BV1192" i="1"/>
  <c r="BU1192" i="1"/>
  <c r="BT1192" i="1"/>
  <c r="BS1192" i="1"/>
  <c r="BP1192" i="1"/>
  <c r="BI1192" i="1"/>
  <c r="BB1192" i="1"/>
  <c r="AR1192" i="1"/>
  <c r="AK1192" i="1"/>
  <c r="CZ1192" i="1" s="1"/>
  <c r="AD1192" i="1"/>
  <c r="W1192" i="1"/>
  <c r="M1192" i="1"/>
  <c r="DA1191" i="1"/>
  <c r="CO1191" i="1"/>
  <c r="CN1191" i="1"/>
  <c r="CM1191" i="1"/>
  <c r="CL1191" i="1"/>
  <c r="CH1191" i="1"/>
  <c r="CG1191" i="1"/>
  <c r="CF1191" i="1"/>
  <c r="CE1191" i="1"/>
  <c r="CD1191" i="1"/>
  <c r="CC1191" i="1"/>
  <c r="CB1191" i="1"/>
  <c r="CA1191" i="1"/>
  <c r="BX1191" i="1"/>
  <c r="BW1191" i="1"/>
  <c r="BV1191" i="1"/>
  <c r="BU1191" i="1"/>
  <c r="BT1191" i="1"/>
  <c r="BS1191" i="1"/>
  <c r="BP1191" i="1"/>
  <c r="BI1191" i="1"/>
  <c r="CR1191" i="1" s="1"/>
  <c r="BM1191" i="1" s="1"/>
  <c r="AH1191" i="1" s="1"/>
  <c r="CW1191" i="1" s="1"/>
  <c r="BB1191" i="1"/>
  <c r="AR1191" i="1"/>
  <c r="AK1191" i="1"/>
  <c r="CZ1191" i="1" s="1"/>
  <c r="AD1191" i="1"/>
  <c r="CP1191" i="1" s="1"/>
  <c r="W1191" i="1"/>
  <c r="M1191" i="1"/>
  <c r="DA1190" i="1"/>
  <c r="CQ1190" i="1"/>
  <c r="BL1190" i="1" s="1"/>
  <c r="AG1190" i="1" s="1"/>
  <c r="CV1190" i="1" s="1"/>
  <c r="CH1190" i="1"/>
  <c r="CG1190" i="1"/>
  <c r="CF1190" i="1"/>
  <c r="CE1190" i="1"/>
  <c r="CD1190" i="1"/>
  <c r="CC1190" i="1"/>
  <c r="CB1190" i="1"/>
  <c r="CA1190" i="1"/>
  <c r="CI1190" i="1" s="1"/>
  <c r="BW1190" i="1"/>
  <c r="BV1190" i="1"/>
  <c r="BU1190" i="1"/>
  <c r="BT1190" i="1"/>
  <c r="BS1190" i="1"/>
  <c r="BP1190" i="1"/>
  <c r="BI1190" i="1"/>
  <c r="BB1190" i="1"/>
  <c r="AR1190" i="1"/>
  <c r="AK1190" i="1"/>
  <c r="CZ1190" i="1" s="1"/>
  <c r="AD1190" i="1"/>
  <c r="W1190" i="1"/>
  <c r="M1190" i="1"/>
  <c r="DA1189" i="1"/>
  <c r="CZ1189" i="1"/>
  <c r="CO1189" i="1"/>
  <c r="CM1189" i="1"/>
  <c r="CH1189" i="1"/>
  <c r="CG1189" i="1"/>
  <c r="CF1189" i="1"/>
  <c r="CE1189" i="1"/>
  <c r="CD1189" i="1"/>
  <c r="CC1189" i="1"/>
  <c r="CB1189" i="1"/>
  <c r="CA1189" i="1"/>
  <c r="BW1189" i="1"/>
  <c r="BV1189" i="1"/>
  <c r="BU1189" i="1"/>
  <c r="BT1189" i="1"/>
  <c r="BS1189" i="1"/>
  <c r="BP1189" i="1"/>
  <c r="BI1189" i="1"/>
  <c r="BB1189" i="1"/>
  <c r="AR1189" i="1"/>
  <c r="AK1189" i="1"/>
  <c r="AD1189" i="1"/>
  <c r="CR1189" i="1" s="1"/>
  <c r="BM1189" i="1" s="1"/>
  <c r="AH1189" i="1" s="1"/>
  <c r="CW1189" i="1" s="1"/>
  <c r="W1189" i="1"/>
  <c r="M1189" i="1"/>
  <c r="DA1188" i="1"/>
  <c r="CH1188" i="1"/>
  <c r="CG1188" i="1"/>
  <c r="CF1188" i="1"/>
  <c r="CE1188" i="1"/>
  <c r="CD1188" i="1"/>
  <c r="CC1188" i="1"/>
  <c r="CB1188" i="1"/>
  <c r="CA1188" i="1"/>
  <c r="CI1188" i="1" s="1"/>
  <c r="BW1188" i="1"/>
  <c r="BV1188" i="1"/>
  <c r="BU1188" i="1"/>
  <c r="BT1188" i="1"/>
  <c r="BS1188" i="1"/>
  <c r="BP1188" i="1"/>
  <c r="AK1188" i="1" s="1"/>
  <c r="CZ1188" i="1" s="1"/>
  <c r="BI1188" i="1"/>
  <c r="CQ1188" i="1" s="1"/>
  <c r="BL1188" i="1" s="1"/>
  <c r="BB1188" i="1"/>
  <c r="AR1188" i="1"/>
  <c r="AG1188" i="1"/>
  <c r="CV1188" i="1" s="1"/>
  <c r="AD1188" i="1"/>
  <c r="CO1188" i="1" s="1"/>
  <c r="W1188" i="1"/>
  <c r="M1188" i="1"/>
  <c r="DA1187" i="1"/>
  <c r="CR1187" i="1"/>
  <c r="BM1187" i="1" s="1"/>
  <c r="AH1187" i="1" s="1"/>
  <c r="CW1187" i="1" s="1"/>
  <c r="CN1187" i="1"/>
  <c r="CH1187" i="1"/>
  <c r="CG1187" i="1"/>
  <c r="CF1187" i="1"/>
  <c r="CE1187" i="1"/>
  <c r="CD1187" i="1"/>
  <c r="CC1187" i="1"/>
  <c r="CB1187" i="1"/>
  <c r="CA1187" i="1"/>
  <c r="CI1187" i="1" s="1"/>
  <c r="BX1187" i="1"/>
  <c r="BW1187" i="1"/>
  <c r="BV1187" i="1"/>
  <c r="BU1187" i="1"/>
  <c r="BT1187" i="1"/>
  <c r="BS1187" i="1"/>
  <c r="BP1187" i="1"/>
  <c r="AK1187" i="1" s="1"/>
  <c r="CZ1187" i="1" s="1"/>
  <c r="BI1187" i="1"/>
  <c r="CP1187" i="1" s="1"/>
  <c r="BB1187" i="1"/>
  <c r="AR1187" i="1"/>
  <c r="AD1187" i="1"/>
  <c r="CM1187" i="1" s="1"/>
  <c r="W1187" i="1"/>
  <c r="M1187" i="1"/>
  <c r="DA1186" i="1"/>
  <c r="CR1186" i="1"/>
  <c r="CQ1186" i="1"/>
  <c r="BL1186" i="1" s="1"/>
  <c r="AG1186" i="1" s="1"/>
  <c r="CV1186" i="1" s="1"/>
  <c r="CM1186" i="1"/>
  <c r="CL1186" i="1"/>
  <c r="CH1186" i="1"/>
  <c r="CG1186" i="1"/>
  <c r="CF1186" i="1"/>
  <c r="CE1186" i="1"/>
  <c r="CD1186" i="1"/>
  <c r="CC1186" i="1"/>
  <c r="CB1186" i="1"/>
  <c r="CA1186" i="1"/>
  <c r="BX1186" i="1"/>
  <c r="BW1186" i="1"/>
  <c r="BV1186" i="1"/>
  <c r="BU1186" i="1"/>
  <c r="BT1186" i="1"/>
  <c r="BS1186" i="1"/>
  <c r="BP1186" i="1"/>
  <c r="BM1186" i="1"/>
  <c r="AH1186" i="1" s="1"/>
  <c r="CW1186" i="1" s="1"/>
  <c r="BI1186" i="1"/>
  <c r="BB1186" i="1"/>
  <c r="AR1186" i="1"/>
  <c r="AK1186" i="1"/>
  <c r="CZ1186" i="1" s="1"/>
  <c r="AD1186" i="1"/>
  <c r="CK1186" i="1" s="1"/>
  <c r="W1186" i="1"/>
  <c r="M1186" i="1"/>
  <c r="DA1185" i="1"/>
  <c r="CH1185" i="1"/>
  <c r="CG1185" i="1"/>
  <c r="CF1185" i="1"/>
  <c r="CE1185" i="1"/>
  <c r="CD1185" i="1"/>
  <c r="CC1185" i="1"/>
  <c r="CB1185" i="1"/>
  <c r="CA1185" i="1"/>
  <c r="CI1185" i="1" s="1"/>
  <c r="BW1185" i="1"/>
  <c r="BV1185" i="1"/>
  <c r="BU1185" i="1"/>
  <c r="BT1185" i="1"/>
  <c r="BS1185" i="1"/>
  <c r="BP1185" i="1"/>
  <c r="BI1185" i="1"/>
  <c r="CL1185" i="1" s="1"/>
  <c r="BB1185" i="1"/>
  <c r="AR1185" i="1"/>
  <c r="AK1185" i="1"/>
  <c r="CZ1185" i="1" s="1"/>
  <c r="AD1185" i="1"/>
  <c r="W1185" i="1"/>
  <c r="M1185" i="1"/>
  <c r="DA1184" i="1"/>
  <c r="CR1184" i="1"/>
  <c r="BM1184" i="1" s="1"/>
  <c r="AH1184" i="1" s="1"/>
  <c r="CW1184" i="1" s="1"/>
  <c r="CH1184" i="1"/>
  <c r="CG1184" i="1"/>
  <c r="CF1184" i="1"/>
  <c r="CE1184" i="1"/>
  <c r="CD1184" i="1"/>
  <c r="CC1184" i="1"/>
  <c r="CB1184" i="1"/>
  <c r="CA1184" i="1"/>
  <c r="CI1184" i="1" s="1"/>
  <c r="BW1184" i="1"/>
  <c r="BV1184" i="1"/>
  <c r="BU1184" i="1"/>
  <c r="BT1184" i="1"/>
  <c r="BS1184" i="1"/>
  <c r="BP1184" i="1"/>
  <c r="AK1184" i="1" s="1"/>
  <c r="CZ1184" i="1" s="1"/>
  <c r="BI1184" i="1"/>
  <c r="CO1184" i="1" s="1"/>
  <c r="BB1184" i="1"/>
  <c r="AR1184" i="1"/>
  <c r="AD1184" i="1"/>
  <c r="CQ1184" i="1" s="1"/>
  <c r="BL1184" i="1" s="1"/>
  <c r="AG1184" i="1" s="1"/>
  <c r="CV1184" i="1" s="1"/>
  <c r="W1184" i="1"/>
  <c r="M1184" i="1"/>
  <c r="DA1183" i="1"/>
  <c r="CV1183" i="1"/>
  <c r="CR1183" i="1"/>
  <c r="CN1183" i="1"/>
  <c r="CM1183" i="1"/>
  <c r="CH1183" i="1"/>
  <c r="CG1183" i="1"/>
  <c r="CF1183" i="1"/>
  <c r="CE1183" i="1"/>
  <c r="CD1183" i="1"/>
  <c r="CC1183" i="1"/>
  <c r="CB1183" i="1"/>
  <c r="CA1183" i="1"/>
  <c r="BW1183" i="1"/>
  <c r="BV1183" i="1"/>
  <c r="BU1183" i="1"/>
  <c r="BT1183" i="1"/>
  <c r="BS1183" i="1"/>
  <c r="BI1183" i="1"/>
  <c r="CK1183" i="1" s="1"/>
  <c r="BB1183" i="1"/>
  <c r="AR1183" i="1"/>
  <c r="AK1183" i="1"/>
  <c r="CZ1183" i="1" s="1"/>
  <c r="AJ1183" i="1"/>
  <c r="CY1183" i="1" s="1"/>
  <c r="AH1183" i="1"/>
  <c r="CW1183" i="1" s="1"/>
  <c r="AG1183" i="1"/>
  <c r="AD1183" i="1"/>
  <c r="CL1183" i="1" s="1"/>
  <c r="W1183" i="1"/>
  <c r="M1183" i="1"/>
  <c r="DA1182" i="1"/>
  <c r="CL1182" i="1"/>
  <c r="CH1182" i="1"/>
  <c r="CG1182" i="1"/>
  <c r="CF1182" i="1"/>
  <c r="CE1182" i="1"/>
  <c r="CD1182" i="1"/>
  <c r="CC1182" i="1"/>
  <c r="CB1182" i="1"/>
  <c r="CA1182" i="1"/>
  <c r="BW1182" i="1"/>
  <c r="BV1182" i="1"/>
  <c r="BU1182" i="1"/>
  <c r="BT1182" i="1"/>
  <c r="BS1182" i="1"/>
  <c r="BI1182" i="1"/>
  <c r="BB1182" i="1"/>
  <c r="AR1182" i="1"/>
  <c r="AK1182" i="1"/>
  <c r="CZ1182" i="1" s="1"/>
  <c r="AJ1182" i="1"/>
  <c r="CY1182" i="1" s="1"/>
  <c r="AH1182" i="1"/>
  <c r="CW1182" i="1" s="1"/>
  <c r="AG1182" i="1"/>
  <c r="CV1182" i="1" s="1"/>
  <c r="AD1182" i="1"/>
  <c r="W1182" i="1"/>
  <c r="M1182" i="1"/>
  <c r="DA1181" i="1"/>
  <c r="CK1181" i="1"/>
  <c r="CH1181" i="1"/>
  <c r="CG1181" i="1"/>
  <c r="CF1181" i="1"/>
  <c r="CE1181" i="1"/>
  <c r="CD1181" i="1"/>
  <c r="CC1181" i="1"/>
  <c r="CB1181" i="1"/>
  <c r="CA1181" i="1"/>
  <c r="BW1181" i="1"/>
  <c r="BV1181" i="1"/>
  <c r="BU1181" i="1"/>
  <c r="BT1181" i="1"/>
  <c r="BS1181" i="1"/>
  <c r="BI1181" i="1"/>
  <c r="CP1181" i="1" s="1"/>
  <c r="BB1181" i="1"/>
  <c r="AR1181" i="1"/>
  <c r="AK1181" i="1"/>
  <c r="CZ1181" i="1" s="1"/>
  <c r="AJ1181" i="1"/>
  <c r="CY1181" i="1" s="1"/>
  <c r="AH1181" i="1"/>
  <c r="CW1181" i="1" s="1"/>
  <c r="AG1181" i="1"/>
  <c r="CV1181" i="1" s="1"/>
  <c r="AD1181" i="1"/>
  <c r="CR1181" i="1" s="1"/>
  <c r="W1181" i="1"/>
  <c r="M1181" i="1"/>
  <c r="DA1180" i="1"/>
  <c r="CR1180" i="1"/>
  <c r="CO1180" i="1"/>
  <c r="CH1180" i="1"/>
  <c r="CG1180" i="1"/>
  <c r="CF1180" i="1"/>
  <c r="CE1180" i="1"/>
  <c r="CD1180" i="1"/>
  <c r="CC1180" i="1"/>
  <c r="CB1180" i="1"/>
  <c r="CA1180" i="1"/>
  <c r="CI1180" i="1" s="1"/>
  <c r="BW1180" i="1"/>
  <c r="BV1180" i="1"/>
  <c r="BU1180" i="1"/>
  <c r="BT1180" i="1"/>
  <c r="BS1180" i="1"/>
  <c r="BI1180" i="1"/>
  <c r="CQ1180" i="1" s="1"/>
  <c r="BB1180" i="1"/>
  <c r="AR1180" i="1"/>
  <c r="AK1180" i="1"/>
  <c r="CZ1180" i="1" s="1"/>
  <c r="AJ1180" i="1"/>
  <c r="CY1180" i="1" s="1"/>
  <c r="AH1180" i="1"/>
  <c r="CW1180" i="1" s="1"/>
  <c r="AG1180" i="1"/>
  <c r="CV1180" i="1" s="1"/>
  <c r="AD1180" i="1"/>
  <c r="CM1180" i="1" s="1"/>
  <c r="W1180" i="1"/>
  <c r="M1180" i="1"/>
  <c r="DA1179" i="1"/>
  <c r="CR1179" i="1"/>
  <c r="CQ1179" i="1"/>
  <c r="CP1179" i="1"/>
  <c r="CO1179" i="1"/>
  <c r="CN1179" i="1"/>
  <c r="CM1179" i="1"/>
  <c r="CH1179" i="1"/>
  <c r="CG1179" i="1"/>
  <c r="CF1179" i="1"/>
  <c r="CE1179" i="1"/>
  <c r="CD1179" i="1"/>
  <c r="CC1179" i="1"/>
  <c r="CB1179" i="1"/>
  <c r="CA1179" i="1"/>
  <c r="BX1179" i="1"/>
  <c r="BW1179" i="1"/>
  <c r="BV1179" i="1"/>
  <c r="BU1179" i="1"/>
  <c r="BT1179" i="1"/>
  <c r="BS1179" i="1"/>
  <c r="BI1179" i="1"/>
  <c r="CK1179" i="1" s="1"/>
  <c r="CS1179" i="1" s="1"/>
  <c r="CT1179" i="1" s="1"/>
  <c r="BB1179" i="1"/>
  <c r="AR1179" i="1"/>
  <c r="AK1179" i="1"/>
  <c r="CZ1179" i="1" s="1"/>
  <c r="AJ1179" i="1"/>
  <c r="CY1179" i="1" s="1"/>
  <c r="AH1179" i="1"/>
  <c r="CW1179" i="1" s="1"/>
  <c r="AG1179" i="1"/>
  <c r="CV1179" i="1" s="1"/>
  <c r="AD1179" i="1"/>
  <c r="CL1179" i="1" s="1"/>
  <c r="W1179" i="1"/>
  <c r="M1179" i="1"/>
  <c r="DA1178" i="1"/>
  <c r="CQ1178" i="1"/>
  <c r="CP1178" i="1"/>
  <c r="CO1178" i="1"/>
  <c r="CN1178" i="1"/>
  <c r="CM1178" i="1"/>
  <c r="CH1178" i="1"/>
  <c r="CG1178" i="1"/>
  <c r="CF1178" i="1"/>
  <c r="CE1178" i="1"/>
  <c r="CD1178" i="1"/>
  <c r="CC1178" i="1"/>
  <c r="CB1178" i="1"/>
  <c r="CA1178" i="1"/>
  <c r="BX1178" i="1"/>
  <c r="BW1178" i="1"/>
  <c r="BV1178" i="1"/>
  <c r="BU1178" i="1"/>
  <c r="BT1178" i="1"/>
  <c r="BS1178" i="1"/>
  <c r="BI1178" i="1"/>
  <c r="BB1178" i="1"/>
  <c r="AR1178" i="1"/>
  <c r="AK1178" i="1"/>
  <c r="CZ1178" i="1" s="1"/>
  <c r="AJ1178" i="1"/>
  <c r="CY1178" i="1" s="1"/>
  <c r="AH1178" i="1"/>
  <c r="CW1178" i="1" s="1"/>
  <c r="AG1178" i="1"/>
  <c r="CV1178" i="1" s="1"/>
  <c r="AD1178" i="1"/>
  <c r="CL1178" i="1" s="1"/>
  <c r="W1178" i="1"/>
  <c r="M1178" i="1"/>
  <c r="DA1177" i="1"/>
  <c r="CZ1177" i="1"/>
  <c r="CY1177" i="1"/>
  <c r="CV1177" i="1"/>
  <c r="CF1177" i="1"/>
  <c r="CC1177" i="1"/>
  <c r="BV1177" i="1"/>
  <c r="BU1177" i="1"/>
  <c r="BT1177" i="1"/>
  <c r="BS1177" i="1"/>
  <c r="BI1177" i="1"/>
  <c r="BB1177" i="1"/>
  <c r="AK1177" i="1"/>
  <c r="AJ1177" i="1"/>
  <c r="AH1177" i="1"/>
  <c r="CW1177" i="1" s="1"/>
  <c r="AG1177" i="1"/>
  <c r="AC1177" i="1"/>
  <c r="BW1177" i="1" s="1"/>
  <c r="AB1177" i="1"/>
  <c r="AA1177" i="1"/>
  <c r="Z1177" i="1"/>
  <c r="Y1177" i="1"/>
  <c r="CE1177" i="1" s="1"/>
  <c r="W1177" i="1"/>
  <c r="M1177" i="1"/>
  <c r="DA1176" i="1"/>
  <c r="CZ1176" i="1"/>
  <c r="CY1176" i="1"/>
  <c r="CF1176" i="1"/>
  <c r="CB1176" i="1"/>
  <c r="CA1176" i="1"/>
  <c r="BW1176" i="1"/>
  <c r="BV1176" i="1"/>
  <c r="BI1176" i="1"/>
  <c r="BB1176" i="1"/>
  <c r="AK1176" i="1"/>
  <c r="AJ1176" i="1"/>
  <c r="AH1176" i="1"/>
  <c r="CW1176" i="1" s="1"/>
  <c r="AG1176" i="1"/>
  <c r="CV1176" i="1" s="1"/>
  <c r="AC1176" i="1"/>
  <c r="AB1176" i="1"/>
  <c r="AA1176" i="1"/>
  <c r="BU1176" i="1" s="1"/>
  <c r="Z1176" i="1"/>
  <c r="BT1176" i="1" s="1"/>
  <c r="Y1176" i="1"/>
  <c r="CH1176" i="1" s="1"/>
  <c r="W1176" i="1"/>
  <c r="M1176" i="1"/>
  <c r="DA1175" i="1"/>
  <c r="CY1175" i="1"/>
  <c r="CW1175" i="1"/>
  <c r="CV1175" i="1"/>
  <c r="CH1175" i="1"/>
  <c r="CF1175" i="1"/>
  <c r="CE1175" i="1"/>
  <c r="CD1175" i="1"/>
  <c r="CC1175" i="1"/>
  <c r="CB1175" i="1"/>
  <c r="CA1175" i="1"/>
  <c r="CI1175" i="1" s="1"/>
  <c r="BT1175" i="1"/>
  <c r="BS1175" i="1"/>
  <c r="BI1175" i="1"/>
  <c r="BB1175" i="1"/>
  <c r="AK1175" i="1"/>
  <c r="CZ1175" i="1" s="1"/>
  <c r="AJ1175" i="1"/>
  <c r="AH1175" i="1"/>
  <c r="AG1175" i="1"/>
  <c r="AD1175" i="1"/>
  <c r="AC1175" i="1"/>
  <c r="BW1175" i="1" s="1"/>
  <c r="AB1175" i="1"/>
  <c r="BV1175" i="1" s="1"/>
  <c r="AA1175" i="1"/>
  <c r="BU1175" i="1" s="1"/>
  <c r="Z1175" i="1"/>
  <c r="Y1175" i="1"/>
  <c r="CG1175" i="1" s="1"/>
  <c r="W1175" i="1"/>
  <c r="M1175" i="1"/>
  <c r="DA1174" i="1"/>
  <c r="CZ1174" i="1"/>
  <c r="CW1174" i="1"/>
  <c r="CV1174" i="1"/>
  <c r="CG1174" i="1"/>
  <c r="BW1174" i="1"/>
  <c r="BV1174" i="1"/>
  <c r="BU1174" i="1"/>
  <c r="BT1174" i="1"/>
  <c r="BI1174" i="1"/>
  <c r="BB1174" i="1"/>
  <c r="AK1174" i="1"/>
  <c r="AJ1174" i="1"/>
  <c r="CY1174" i="1" s="1"/>
  <c r="AH1174" i="1"/>
  <c r="AG1174" i="1"/>
  <c r="AC1174" i="1"/>
  <c r="AB1174" i="1"/>
  <c r="AA1174" i="1"/>
  <c r="Z1174" i="1"/>
  <c r="Y1174" i="1"/>
  <c r="W1174" i="1"/>
  <c r="M1174" i="1"/>
  <c r="DA1173" i="1"/>
  <c r="CZ1173" i="1"/>
  <c r="CY1173" i="1"/>
  <c r="CW1173" i="1"/>
  <c r="CV1173" i="1"/>
  <c r="CR1173" i="1"/>
  <c r="CQ1173" i="1"/>
  <c r="CM1173" i="1"/>
  <c r="CL1173" i="1"/>
  <c r="CH1173" i="1"/>
  <c r="CG1173" i="1"/>
  <c r="CF1173" i="1"/>
  <c r="CE1173" i="1"/>
  <c r="CD1173" i="1"/>
  <c r="CC1173" i="1"/>
  <c r="CB1173" i="1"/>
  <c r="CA1173" i="1"/>
  <c r="BX1173" i="1"/>
  <c r="BW1173" i="1"/>
  <c r="BV1173" i="1"/>
  <c r="BU1173" i="1"/>
  <c r="BT1173" i="1"/>
  <c r="BS1173" i="1"/>
  <c r="BI1173" i="1"/>
  <c r="CK1173" i="1" s="1"/>
  <c r="BB1173" i="1"/>
  <c r="AR1173" i="1"/>
  <c r="AD1173" i="1"/>
  <c r="CP1173" i="1" s="1"/>
  <c r="W1173" i="1"/>
  <c r="M1173" i="1"/>
  <c r="DA1172" i="1"/>
  <c r="CZ1172" i="1"/>
  <c r="CY1172" i="1"/>
  <c r="CW1172" i="1"/>
  <c r="CV1172" i="1"/>
  <c r="CP1172" i="1"/>
  <c r="CH1172" i="1"/>
  <c r="CG1172" i="1"/>
  <c r="CF1172" i="1"/>
  <c r="CE1172" i="1"/>
  <c r="CD1172" i="1"/>
  <c r="CC1172" i="1"/>
  <c r="CB1172" i="1"/>
  <c r="CA1172" i="1"/>
  <c r="CI1172" i="1" s="1"/>
  <c r="BW1172" i="1"/>
  <c r="BV1172" i="1"/>
  <c r="BU1172" i="1"/>
  <c r="BT1172" i="1"/>
  <c r="BS1172" i="1"/>
  <c r="BI1172" i="1"/>
  <c r="BB1172" i="1"/>
  <c r="AR1172" i="1"/>
  <c r="AD1172" i="1"/>
  <c r="W1172" i="1"/>
  <c r="M1172" i="1"/>
  <c r="DA1171" i="1"/>
  <c r="CZ1171" i="1"/>
  <c r="CY1171" i="1"/>
  <c r="CW1171" i="1"/>
  <c r="CV1171" i="1"/>
  <c r="CR1171" i="1"/>
  <c r="CQ1171" i="1"/>
  <c r="CN1171" i="1"/>
  <c r="CM1171" i="1"/>
  <c r="CL1171" i="1"/>
  <c r="CH1171" i="1"/>
  <c r="CG1171" i="1"/>
  <c r="CF1171" i="1"/>
  <c r="CE1171" i="1"/>
  <c r="CD1171" i="1"/>
  <c r="CC1171" i="1"/>
  <c r="CB1171" i="1"/>
  <c r="CA1171" i="1"/>
  <c r="BX1171" i="1"/>
  <c r="BW1171" i="1"/>
  <c r="BV1171" i="1"/>
  <c r="BU1171" i="1"/>
  <c r="BT1171" i="1"/>
  <c r="BS1171" i="1"/>
  <c r="BI1171" i="1"/>
  <c r="CK1171" i="1" s="1"/>
  <c r="BB1171" i="1"/>
  <c r="AR1171" i="1"/>
  <c r="AD1171" i="1"/>
  <c r="CP1171" i="1" s="1"/>
  <c r="W1171" i="1"/>
  <c r="M1171" i="1"/>
  <c r="DA1170" i="1"/>
  <c r="CZ1170" i="1"/>
  <c r="CY1170" i="1"/>
  <c r="CW1170" i="1"/>
  <c r="CV1170" i="1"/>
  <c r="CP1170" i="1"/>
  <c r="CH1170" i="1"/>
  <c r="CG1170" i="1"/>
  <c r="CF1170" i="1"/>
  <c r="CE1170" i="1"/>
  <c r="CD1170" i="1"/>
  <c r="CC1170" i="1"/>
  <c r="CB1170" i="1"/>
  <c r="CA1170" i="1"/>
  <c r="CI1170" i="1" s="1"/>
  <c r="BW1170" i="1"/>
  <c r="BV1170" i="1"/>
  <c r="BU1170" i="1"/>
  <c r="BT1170" i="1"/>
  <c r="BS1170" i="1"/>
  <c r="BI1170" i="1"/>
  <c r="BB1170" i="1"/>
  <c r="AR1170" i="1"/>
  <c r="AD1170" i="1"/>
  <c r="W1170" i="1"/>
  <c r="M1170" i="1"/>
  <c r="DA1169" i="1"/>
  <c r="CZ1169" i="1"/>
  <c r="CY1169" i="1"/>
  <c r="CW1169" i="1"/>
  <c r="CV1169" i="1"/>
  <c r="CH1169" i="1"/>
  <c r="CG1169" i="1"/>
  <c r="CD1169" i="1"/>
  <c r="CC1169" i="1"/>
  <c r="CB1169" i="1"/>
  <c r="BW1169" i="1"/>
  <c r="BV1169" i="1"/>
  <c r="BU1169" i="1"/>
  <c r="BT1169" i="1"/>
  <c r="BS1169" i="1"/>
  <c r="BI1169" i="1"/>
  <c r="BD1169" i="1"/>
  <c r="CA1169" i="1" s="1"/>
  <c r="BB1169" i="1"/>
  <c r="AR1169" i="1"/>
  <c r="Y1169" i="1"/>
  <c r="CF1169" i="1" s="1"/>
  <c r="W1169" i="1"/>
  <c r="M1169" i="1"/>
  <c r="DA1168" i="1"/>
  <c r="CZ1168" i="1"/>
  <c r="CY1168" i="1"/>
  <c r="CW1168" i="1"/>
  <c r="CV1168" i="1"/>
  <c r="CH1168" i="1"/>
  <c r="CG1168" i="1"/>
  <c r="CF1168" i="1"/>
  <c r="CE1168" i="1"/>
  <c r="CC1168" i="1"/>
  <c r="CB1168" i="1"/>
  <c r="CA1168" i="1"/>
  <c r="BU1168" i="1"/>
  <c r="BT1168" i="1"/>
  <c r="BS1168" i="1"/>
  <c r="BH1168" i="1"/>
  <c r="BW1168" i="1" s="1"/>
  <c r="BG1168" i="1"/>
  <c r="BB1168" i="1"/>
  <c r="AR1168" i="1"/>
  <c r="AD1168" i="1"/>
  <c r="Y1168" i="1"/>
  <c r="CD1168" i="1" s="1"/>
  <c r="W1168" i="1"/>
  <c r="M1168" i="1"/>
  <c r="EJ1167" i="1"/>
  <c r="EI1167" i="1"/>
  <c r="DA1167" i="1"/>
  <c r="CZ1167" i="1"/>
  <c r="CY1167" i="1"/>
  <c r="CW1167" i="1"/>
  <c r="CV1167" i="1"/>
  <c r="CR1167" i="1"/>
  <c r="CO1167" i="1"/>
  <c r="CH1167" i="1"/>
  <c r="CG1167" i="1"/>
  <c r="CF1167" i="1"/>
  <c r="CE1167" i="1"/>
  <c r="CD1167" i="1"/>
  <c r="CC1167" i="1"/>
  <c r="CB1167" i="1"/>
  <c r="CA1167" i="1"/>
  <c r="CI1167" i="1" s="1"/>
  <c r="BW1167" i="1"/>
  <c r="BV1167" i="1"/>
  <c r="BU1167" i="1"/>
  <c r="BT1167" i="1"/>
  <c r="BS1167" i="1"/>
  <c r="BI1167" i="1"/>
  <c r="CP1167" i="1" s="1"/>
  <c r="BB1167" i="1"/>
  <c r="AD1167" i="1"/>
  <c r="CQ1167" i="1" s="1"/>
  <c r="W1167" i="1"/>
  <c r="M1167" i="1"/>
  <c r="DA1166" i="1"/>
  <c r="CZ1166" i="1"/>
  <c r="CY1166" i="1"/>
  <c r="CW1166" i="1"/>
  <c r="CV1166" i="1"/>
  <c r="CR1166" i="1"/>
  <c r="CN1166" i="1"/>
  <c r="CM1166" i="1"/>
  <c r="CH1166" i="1"/>
  <c r="CG1166" i="1"/>
  <c r="CF1166" i="1"/>
  <c r="CE1166" i="1"/>
  <c r="CD1166" i="1"/>
  <c r="CC1166" i="1"/>
  <c r="CB1166" i="1"/>
  <c r="CA1166" i="1"/>
  <c r="CI1166" i="1" s="1"/>
  <c r="BW1166" i="1"/>
  <c r="BV1166" i="1"/>
  <c r="BU1166" i="1"/>
  <c r="BT1166" i="1"/>
  <c r="BS1166" i="1"/>
  <c r="BI1166" i="1"/>
  <c r="CL1166" i="1" s="1"/>
  <c r="BB1166" i="1"/>
  <c r="AD1166" i="1"/>
  <c r="CQ1166" i="1" s="1"/>
  <c r="W1166" i="1"/>
  <c r="M1166" i="1"/>
  <c r="DA1165" i="1"/>
  <c r="CZ1165" i="1"/>
  <c r="CY1165" i="1"/>
  <c r="CW1165" i="1"/>
  <c r="CV1165" i="1"/>
  <c r="CO1165" i="1"/>
  <c r="CL1165" i="1"/>
  <c r="CH1165" i="1"/>
  <c r="CG1165" i="1"/>
  <c r="CF1165" i="1"/>
  <c r="CE1165" i="1"/>
  <c r="CD1165" i="1"/>
  <c r="CC1165" i="1"/>
  <c r="CB1165" i="1"/>
  <c r="CA1165" i="1"/>
  <c r="CI1165" i="1" s="1"/>
  <c r="BW1165" i="1"/>
  <c r="BV1165" i="1"/>
  <c r="BU1165" i="1"/>
  <c r="BT1165" i="1"/>
  <c r="BS1165" i="1"/>
  <c r="BI1165" i="1"/>
  <c r="BB1165" i="1"/>
  <c r="AR1165" i="1"/>
  <c r="AD1165" i="1"/>
  <c r="CN1165" i="1" s="1"/>
  <c r="W1165" i="1"/>
  <c r="M1165" i="1"/>
  <c r="DA1164" i="1"/>
  <c r="CZ1164" i="1"/>
  <c r="CY1164" i="1"/>
  <c r="CW1164" i="1"/>
  <c r="CV1164" i="1"/>
  <c r="CR1164" i="1"/>
  <c r="CO1164" i="1"/>
  <c r="CH1164" i="1"/>
  <c r="CG1164" i="1"/>
  <c r="CF1164" i="1"/>
  <c r="CE1164" i="1"/>
  <c r="CD1164" i="1"/>
  <c r="CC1164" i="1"/>
  <c r="CB1164" i="1"/>
  <c r="CA1164" i="1"/>
  <c r="CI1164" i="1" s="1"/>
  <c r="BX1164" i="1"/>
  <c r="BW1164" i="1"/>
  <c r="BV1164" i="1"/>
  <c r="BU1164" i="1"/>
  <c r="BT1164" i="1"/>
  <c r="BS1164" i="1"/>
  <c r="BI1164" i="1"/>
  <c r="CK1164" i="1" s="1"/>
  <c r="BB1164" i="1"/>
  <c r="AR1164" i="1"/>
  <c r="AD1164" i="1"/>
  <c r="CQ1164" i="1" s="1"/>
  <c r="W1164" i="1"/>
  <c r="M1164" i="1"/>
  <c r="DA1163" i="1"/>
  <c r="CZ1163" i="1"/>
  <c r="CY1163" i="1"/>
  <c r="CW1163" i="1"/>
  <c r="CV1163" i="1"/>
  <c r="CR1163" i="1"/>
  <c r="CN1163" i="1"/>
  <c r="CM1163" i="1"/>
  <c r="CL1163" i="1"/>
  <c r="CH1163" i="1"/>
  <c r="CG1163" i="1"/>
  <c r="CF1163" i="1"/>
  <c r="CE1163" i="1"/>
  <c r="CD1163" i="1"/>
  <c r="CC1163" i="1"/>
  <c r="CB1163" i="1"/>
  <c r="CA1163" i="1"/>
  <c r="CI1163" i="1" s="1"/>
  <c r="BW1163" i="1"/>
  <c r="BV1163" i="1"/>
  <c r="BU1163" i="1"/>
  <c r="BT1163" i="1"/>
  <c r="BS1163" i="1"/>
  <c r="BI1163" i="1"/>
  <c r="CK1163" i="1" s="1"/>
  <c r="BB1163" i="1"/>
  <c r="AR1163" i="1"/>
  <c r="AD1163" i="1"/>
  <c r="CQ1163" i="1" s="1"/>
  <c r="W1163" i="1"/>
  <c r="M1163" i="1"/>
  <c r="DA1162" i="1"/>
  <c r="CZ1162" i="1"/>
  <c r="CY1162" i="1"/>
  <c r="CW1162" i="1"/>
  <c r="CV1162" i="1"/>
  <c r="CH1162" i="1"/>
  <c r="CG1162" i="1"/>
  <c r="CF1162" i="1"/>
  <c r="CE1162" i="1"/>
  <c r="CD1162" i="1"/>
  <c r="CC1162" i="1"/>
  <c r="CB1162" i="1"/>
  <c r="CA1162" i="1"/>
  <c r="BW1162" i="1"/>
  <c r="BV1162" i="1"/>
  <c r="BU1162" i="1"/>
  <c r="BT1162" i="1"/>
  <c r="BS1162" i="1"/>
  <c r="BI1162" i="1"/>
  <c r="BB1162" i="1"/>
  <c r="AR1162" i="1"/>
  <c r="AD1162" i="1"/>
  <c r="W1162" i="1"/>
  <c r="M1162" i="1"/>
  <c r="DA1161" i="1"/>
  <c r="CZ1161" i="1"/>
  <c r="CY1161" i="1"/>
  <c r="CW1161" i="1"/>
  <c r="CV1161" i="1"/>
  <c r="CH1161" i="1"/>
  <c r="CG1161" i="1"/>
  <c r="CF1161" i="1"/>
  <c r="CE1161" i="1"/>
  <c r="CD1161" i="1"/>
  <c r="CC1161" i="1"/>
  <c r="CB1161" i="1"/>
  <c r="CA1161" i="1"/>
  <c r="CI1161" i="1" s="1"/>
  <c r="BW1161" i="1"/>
  <c r="BV1161" i="1"/>
  <c r="BU1161" i="1"/>
  <c r="BT1161" i="1"/>
  <c r="BS1161" i="1"/>
  <c r="BI1161" i="1"/>
  <c r="BB1161" i="1"/>
  <c r="AR1161" i="1"/>
  <c r="AD1161" i="1"/>
  <c r="W1161" i="1"/>
  <c r="M1161" i="1"/>
  <c r="DA1160" i="1"/>
  <c r="CZ1160" i="1"/>
  <c r="CY1160" i="1"/>
  <c r="CW1160" i="1"/>
  <c r="CV1160" i="1"/>
  <c r="CK1160" i="1"/>
  <c r="CH1160" i="1"/>
  <c r="CG1160" i="1"/>
  <c r="CF1160" i="1"/>
  <c r="CE1160" i="1"/>
  <c r="CD1160" i="1"/>
  <c r="CC1160" i="1"/>
  <c r="CB1160" i="1"/>
  <c r="CA1160" i="1"/>
  <c r="BW1160" i="1"/>
  <c r="BV1160" i="1"/>
  <c r="BU1160" i="1"/>
  <c r="BT1160" i="1"/>
  <c r="BS1160" i="1"/>
  <c r="BI1160" i="1"/>
  <c r="CM1160" i="1" s="1"/>
  <c r="BB1160" i="1"/>
  <c r="AR1160" i="1"/>
  <c r="AD1160" i="1"/>
  <c r="CR1160" i="1" s="1"/>
  <c r="W1160" i="1"/>
  <c r="M1160" i="1"/>
  <c r="DA1159" i="1"/>
  <c r="CZ1159" i="1"/>
  <c r="CY1159" i="1"/>
  <c r="CW1159" i="1"/>
  <c r="CV1159" i="1"/>
  <c r="CQ1159" i="1"/>
  <c r="CP1159" i="1"/>
  <c r="CN1159" i="1"/>
  <c r="CH1159" i="1"/>
  <c r="CG1159" i="1"/>
  <c r="CF1159" i="1"/>
  <c r="CE1159" i="1"/>
  <c r="CD1159" i="1"/>
  <c r="CC1159" i="1"/>
  <c r="CB1159" i="1"/>
  <c r="CA1159" i="1"/>
  <c r="CI1159" i="1" s="1"/>
  <c r="BX1159" i="1"/>
  <c r="BW1159" i="1"/>
  <c r="BV1159" i="1"/>
  <c r="BU1159" i="1"/>
  <c r="BT1159" i="1"/>
  <c r="BS1159" i="1"/>
  <c r="BI1159" i="1"/>
  <c r="BB1159" i="1"/>
  <c r="AR1159" i="1"/>
  <c r="AD1159" i="1"/>
  <c r="W1159" i="1"/>
  <c r="M1159" i="1"/>
  <c r="DA1158" i="1"/>
  <c r="CZ1158" i="1"/>
  <c r="CY1158" i="1"/>
  <c r="CW1158" i="1"/>
  <c r="CV1158" i="1"/>
  <c r="CH1158" i="1"/>
  <c r="CG1158" i="1"/>
  <c r="CF1158" i="1"/>
  <c r="CE1158" i="1"/>
  <c r="CD1158" i="1"/>
  <c r="CC1158" i="1"/>
  <c r="CB1158" i="1"/>
  <c r="CA1158" i="1"/>
  <c r="CI1158" i="1" s="1"/>
  <c r="BV1158" i="1"/>
  <c r="BU1158" i="1"/>
  <c r="BT1158" i="1"/>
  <c r="BS1158" i="1"/>
  <c r="BH1158" i="1"/>
  <c r="BB1158" i="1"/>
  <c r="AR1158" i="1"/>
  <c r="AD1158" i="1"/>
  <c r="W1158" i="1"/>
  <c r="M1158" i="1"/>
  <c r="DA1157" i="1"/>
  <c r="CZ1157" i="1"/>
  <c r="CY1157" i="1"/>
  <c r="CW1157" i="1"/>
  <c r="CV1157" i="1"/>
  <c r="CH1157" i="1"/>
  <c r="CG1157" i="1"/>
  <c r="CF1157" i="1"/>
  <c r="CE1157" i="1"/>
  <c r="CD1157" i="1"/>
  <c r="CC1157" i="1"/>
  <c r="CB1157" i="1"/>
  <c r="CA1157" i="1"/>
  <c r="CI1157" i="1" s="1"/>
  <c r="BV1157" i="1"/>
  <c r="BU1157" i="1"/>
  <c r="BT1157" i="1"/>
  <c r="BS1157" i="1"/>
  <c r="BH1157" i="1"/>
  <c r="BB1157" i="1"/>
  <c r="AR1157" i="1"/>
  <c r="AD1157" i="1"/>
  <c r="W1157" i="1"/>
  <c r="M1157" i="1"/>
  <c r="DA1156" i="1"/>
  <c r="CZ1156" i="1"/>
  <c r="CY1156" i="1"/>
  <c r="CW1156" i="1"/>
  <c r="CV1156" i="1"/>
  <c r="CE1156" i="1"/>
  <c r="CC1156" i="1"/>
  <c r="BW1156" i="1"/>
  <c r="BV1156" i="1"/>
  <c r="BU1156" i="1"/>
  <c r="BS1156" i="1"/>
  <c r="BH1156" i="1"/>
  <c r="BG1156" i="1"/>
  <c r="BF1156" i="1"/>
  <c r="BE1156" i="1"/>
  <c r="BT1156" i="1" s="1"/>
  <c r="BD1156" i="1"/>
  <c r="CF1156" i="1" s="1"/>
  <c r="BB1156" i="1"/>
  <c r="AR1156" i="1"/>
  <c r="AD1156" i="1"/>
  <c r="W1156" i="1"/>
  <c r="M1156" i="1"/>
  <c r="DA1155" i="1"/>
  <c r="CZ1155" i="1"/>
  <c r="CY1155" i="1"/>
  <c r="CW1155" i="1"/>
  <c r="CV1155" i="1"/>
  <c r="CH1155" i="1"/>
  <c r="CG1155" i="1"/>
  <c r="CF1155" i="1"/>
  <c r="CD1155" i="1"/>
  <c r="BW1155" i="1"/>
  <c r="BV1155" i="1"/>
  <c r="BH1155" i="1"/>
  <c r="BG1155" i="1"/>
  <c r="BF1155" i="1"/>
  <c r="BU1155" i="1" s="1"/>
  <c r="BE1155" i="1"/>
  <c r="BT1155" i="1" s="1"/>
  <c r="BD1155" i="1"/>
  <c r="CE1155" i="1" s="1"/>
  <c r="BB1155" i="1"/>
  <c r="AR1155" i="1"/>
  <c r="AD1155" i="1"/>
  <c r="W1155" i="1"/>
  <c r="M1155" i="1"/>
  <c r="DA1154" i="1"/>
  <c r="CZ1154" i="1"/>
  <c r="CY1154" i="1"/>
  <c r="CW1154" i="1"/>
  <c r="CV1154" i="1"/>
  <c r="CH1154" i="1"/>
  <c r="CG1154" i="1"/>
  <c r="BW1154" i="1"/>
  <c r="BH1154" i="1"/>
  <c r="BG1154" i="1"/>
  <c r="BV1154" i="1" s="1"/>
  <c r="BF1154" i="1"/>
  <c r="BU1154" i="1" s="1"/>
  <c r="BE1154" i="1"/>
  <c r="BT1154" i="1" s="1"/>
  <c r="BD1154" i="1"/>
  <c r="BB1154" i="1"/>
  <c r="AR1154" i="1"/>
  <c r="AD1154" i="1"/>
  <c r="W1154" i="1"/>
  <c r="M1154" i="1"/>
  <c r="DA1153" i="1"/>
  <c r="CZ1153" i="1"/>
  <c r="CY1153" i="1"/>
  <c r="CW1153" i="1"/>
  <c r="CV1153" i="1"/>
  <c r="CH1153" i="1"/>
  <c r="CG1153" i="1"/>
  <c r="CF1153" i="1"/>
  <c r="CD1153" i="1"/>
  <c r="CC1153" i="1"/>
  <c r="CB1153" i="1"/>
  <c r="CA1153" i="1"/>
  <c r="CI1153" i="1" s="1"/>
  <c r="BS1153" i="1"/>
  <c r="BH1153" i="1"/>
  <c r="BW1153" i="1" s="1"/>
  <c r="BG1153" i="1"/>
  <c r="BV1153" i="1" s="1"/>
  <c r="BF1153" i="1"/>
  <c r="BU1153" i="1" s="1"/>
  <c r="BE1153" i="1"/>
  <c r="BT1153" i="1" s="1"/>
  <c r="BD1153" i="1"/>
  <c r="CE1153" i="1" s="1"/>
  <c r="BB1153" i="1"/>
  <c r="AR1153" i="1"/>
  <c r="AD1153" i="1"/>
  <c r="W1153" i="1"/>
  <c r="M1153" i="1"/>
  <c r="DA1152" i="1"/>
  <c r="CZ1152" i="1"/>
  <c r="CY1152" i="1"/>
  <c r="CW1152" i="1"/>
  <c r="CV1152" i="1"/>
  <c r="CH1152" i="1"/>
  <c r="CG1152" i="1"/>
  <c r="CD1152" i="1"/>
  <c r="CC1152" i="1"/>
  <c r="CB1152" i="1"/>
  <c r="CA1152" i="1"/>
  <c r="BT1152" i="1"/>
  <c r="BS1152" i="1"/>
  <c r="BH1152" i="1"/>
  <c r="BW1152" i="1" s="1"/>
  <c r="BG1152" i="1"/>
  <c r="BV1152" i="1" s="1"/>
  <c r="BF1152" i="1"/>
  <c r="BU1152" i="1" s="1"/>
  <c r="BE1152" i="1"/>
  <c r="BD1152" i="1"/>
  <c r="CF1152" i="1" s="1"/>
  <c r="BB1152" i="1"/>
  <c r="AR1152" i="1"/>
  <c r="AD1152" i="1"/>
  <c r="W1152" i="1"/>
  <c r="M1152" i="1"/>
  <c r="DA1151" i="1"/>
  <c r="CZ1151" i="1"/>
  <c r="CY1151" i="1"/>
  <c r="CW1151" i="1"/>
  <c r="CV1151" i="1"/>
  <c r="CR1151" i="1"/>
  <c r="CK1151" i="1"/>
  <c r="CH1151" i="1"/>
  <c r="CG1151" i="1"/>
  <c r="CF1151" i="1"/>
  <c r="CE1151" i="1"/>
  <c r="CD1151" i="1"/>
  <c r="CC1151" i="1"/>
  <c r="CB1151" i="1"/>
  <c r="CA1151" i="1"/>
  <c r="CI1151" i="1" s="1"/>
  <c r="BW1151" i="1"/>
  <c r="BV1151" i="1"/>
  <c r="BU1151" i="1"/>
  <c r="BT1151" i="1"/>
  <c r="BS1151" i="1"/>
  <c r="AD1151" i="1"/>
  <c r="W1151" i="1"/>
  <c r="M1151" i="1"/>
  <c r="DA1150" i="1"/>
  <c r="CZ1150" i="1"/>
  <c r="CY1150" i="1"/>
  <c r="CV1150" i="1"/>
  <c r="CP1150" i="1"/>
  <c r="CH1150" i="1"/>
  <c r="CG1150" i="1"/>
  <c r="CF1150" i="1"/>
  <c r="CE1150" i="1"/>
  <c r="CD1150" i="1"/>
  <c r="CC1150" i="1"/>
  <c r="CB1150" i="1"/>
  <c r="CA1150" i="1"/>
  <c r="CI1150" i="1" s="1"/>
  <c r="BW1150" i="1"/>
  <c r="BV1150" i="1"/>
  <c r="BU1150" i="1"/>
  <c r="BT1150" i="1"/>
  <c r="BS1150" i="1"/>
  <c r="AH1150" i="1"/>
  <c r="CW1150" i="1" s="1"/>
  <c r="AD1150" i="1"/>
  <c r="W1150" i="1"/>
  <c r="M1150" i="1"/>
  <c r="DA1149" i="1"/>
  <c r="CZ1149" i="1"/>
  <c r="CY1149" i="1"/>
  <c r="CW1149" i="1"/>
  <c r="CV1149" i="1"/>
  <c r="CR1149" i="1"/>
  <c r="CN1149" i="1"/>
  <c r="CM1149" i="1"/>
  <c r="CL1149" i="1"/>
  <c r="CH1149" i="1"/>
  <c r="CG1149" i="1"/>
  <c r="CF1149" i="1"/>
  <c r="CE1149" i="1"/>
  <c r="CD1149" i="1"/>
  <c r="CC1149" i="1"/>
  <c r="CB1149" i="1"/>
  <c r="CA1149" i="1"/>
  <c r="BW1149" i="1"/>
  <c r="BV1149" i="1"/>
  <c r="BU1149" i="1"/>
  <c r="BT1149" i="1"/>
  <c r="BS1149" i="1"/>
  <c r="BI1149" i="1"/>
  <c r="CK1149" i="1" s="1"/>
  <c r="BB1149" i="1"/>
  <c r="AR1149" i="1"/>
  <c r="AD1149" i="1"/>
  <c r="CQ1149" i="1" s="1"/>
  <c r="W1149" i="1"/>
  <c r="M1149" i="1"/>
  <c r="DA1148" i="1"/>
  <c r="CZ1148" i="1"/>
  <c r="CY1148" i="1"/>
  <c r="CV1148" i="1"/>
  <c r="CR1148" i="1"/>
  <c r="CQ1148" i="1"/>
  <c r="CP1148" i="1"/>
  <c r="CN1148" i="1"/>
  <c r="CH1148" i="1"/>
  <c r="CG1148" i="1"/>
  <c r="CF1148" i="1"/>
  <c r="CE1148" i="1"/>
  <c r="CD1148" i="1"/>
  <c r="CC1148" i="1"/>
  <c r="CB1148" i="1"/>
  <c r="CA1148" i="1"/>
  <c r="CI1148" i="1" s="1"/>
  <c r="BX1148" i="1"/>
  <c r="BW1148" i="1"/>
  <c r="BV1148" i="1"/>
  <c r="BU1148" i="1"/>
  <c r="BT1148" i="1"/>
  <c r="BS1148" i="1"/>
  <c r="BI1148" i="1"/>
  <c r="BB1148" i="1"/>
  <c r="AR1148" i="1"/>
  <c r="AH1148" i="1"/>
  <c r="CW1148" i="1" s="1"/>
  <c r="AD1148" i="1"/>
  <c r="CO1148" i="1" s="1"/>
  <c r="W1148" i="1"/>
  <c r="M1148" i="1"/>
  <c r="DA1147" i="1"/>
  <c r="CZ1147" i="1"/>
  <c r="CY1147" i="1"/>
  <c r="CW1147" i="1"/>
  <c r="CV1147" i="1"/>
  <c r="CR1147" i="1"/>
  <c r="CN1147" i="1"/>
  <c r="CM1147" i="1"/>
  <c r="CL1147" i="1"/>
  <c r="CH1147" i="1"/>
  <c r="CG1147" i="1"/>
  <c r="CF1147" i="1"/>
  <c r="CE1147" i="1"/>
  <c r="CD1147" i="1"/>
  <c r="CC1147" i="1"/>
  <c r="CB1147" i="1"/>
  <c r="CA1147" i="1"/>
  <c r="CI1147" i="1" s="1"/>
  <c r="BW1147" i="1"/>
  <c r="BV1147" i="1"/>
  <c r="BU1147" i="1"/>
  <c r="BT1147" i="1"/>
  <c r="BS1147" i="1"/>
  <c r="BI1147" i="1"/>
  <c r="CK1147" i="1" s="1"/>
  <c r="BB1147" i="1"/>
  <c r="AR1147" i="1"/>
  <c r="AD1147" i="1"/>
  <c r="CQ1147" i="1" s="1"/>
  <c r="W1147" i="1"/>
  <c r="M1147" i="1"/>
  <c r="DA1146" i="1"/>
  <c r="CZ1146" i="1"/>
  <c r="CY1146" i="1"/>
  <c r="CW1146" i="1"/>
  <c r="CV1146" i="1"/>
  <c r="CQ1146" i="1"/>
  <c r="CH1146" i="1"/>
  <c r="CG1146" i="1"/>
  <c r="CF1146" i="1"/>
  <c r="CD1146" i="1"/>
  <c r="BW1146" i="1"/>
  <c r="BV1146" i="1"/>
  <c r="BU1146" i="1"/>
  <c r="BT1146" i="1"/>
  <c r="BD1146" i="1"/>
  <c r="BI1146" i="1" s="1"/>
  <c r="BB1146" i="1"/>
  <c r="AR1146" i="1"/>
  <c r="AD1146" i="1"/>
  <c r="Y1146" i="1"/>
  <c r="CE1146" i="1" s="1"/>
  <c r="W1146" i="1"/>
  <c r="M1146" i="1"/>
  <c r="DA1145" i="1"/>
  <c r="CZ1145" i="1"/>
  <c r="CY1145" i="1"/>
  <c r="CW1145" i="1"/>
  <c r="CV1145" i="1"/>
  <c r="CD1145" i="1"/>
  <c r="BW1145" i="1"/>
  <c r="BV1145" i="1"/>
  <c r="BU1145" i="1"/>
  <c r="BT1145" i="1"/>
  <c r="BI1145" i="1"/>
  <c r="BB1145" i="1"/>
  <c r="AR1145" i="1"/>
  <c r="Y1145" i="1"/>
  <c r="CF1145" i="1" s="1"/>
  <c r="W1145" i="1"/>
  <c r="M1145" i="1"/>
  <c r="DA1144" i="1"/>
  <c r="CZ1144" i="1"/>
  <c r="CY1144" i="1"/>
  <c r="CW1144" i="1"/>
  <c r="CV1144" i="1"/>
  <c r="CH1144" i="1"/>
  <c r="CG1144" i="1"/>
  <c r="CF1144" i="1"/>
  <c r="CE1144" i="1"/>
  <c r="CD1144" i="1"/>
  <c r="CC1144" i="1"/>
  <c r="CB1144" i="1"/>
  <c r="CA1144" i="1"/>
  <c r="CI1144" i="1" s="1"/>
  <c r="BW1144" i="1"/>
  <c r="BV1144" i="1"/>
  <c r="BU1144" i="1"/>
  <c r="BT1144" i="1"/>
  <c r="BS1144" i="1"/>
  <c r="BI1144" i="1"/>
  <c r="BB1144" i="1"/>
  <c r="AR1144" i="1"/>
  <c r="AD1144" i="1"/>
  <c r="W1144" i="1"/>
  <c r="M1144" i="1"/>
  <c r="DA1143" i="1"/>
  <c r="CZ1143" i="1"/>
  <c r="CY1143" i="1"/>
  <c r="CW1143" i="1"/>
  <c r="CV1143" i="1"/>
  <c r="CM1143" i="1"/>
  <c r="CK1143" i="1"/>
  <c r="CH1143" i="1"/>
  <c r="CG1143" i="1"/>
  <c r="CF1143" i="1"/>
  <c r="CE1143" i="1"/>
  <c r="CD1143" i="1"/>
  <c r="CC1143" i="1"/>
  <c r="CB1143" i="1"/>
  <c r="CA1143" i="1"/>
  <c r="CI1143" i="1" s="1"/>
  <c r="BW1143" i="1"/>
  <c r="BV1143" i="1"/>
  <c r="BU1143" i="1"/>
  <c r="BT1143" i="1"/>
  <c r="BS1143" i="1"/>
  <c r="BI1143" i="1"/>
  <c r="BB1143" i="1"/>
  <c r="AR1143" i="1"/>
  <c r="M1143" i="1"/>
  <c r="DA1142" i="1"/>
  <c r="CZ1142" i="1"/>
  <c r="CY1142" i="1"/>
  <c r="CW1142" i="1"/>
  <c r="CV1142" i="1"/>
  <c r="CP1142" i="1"/>
  <c r="CO1142" i="1"/>
  <c r="CH1142" i="1"/>
  <c r="CG1142" i="1"/>
  <c r="CF1142" i="1"/>
  <c r="CE1142" i="1"/>
  <c r="CD1142" i="1"/>
  <c r="CC1142" i="1"/>
  <c r="CB1142" i="1"/>
  <c r="CA1142" i="1"/>
  <c r="BW1142" i="1"/>
  <c r="BV1142" i="1"/>
  <c r="BU1142" i="1"/>
  <c r="BT1142" i="1"/>
  <c r="BS1142" i="1"/>
  <c r="BI1142" i="1"/>
  <c r="BB1142" i="1"/>
  <c r="AR1142" i="1"/>
  <c r="AD1142" i="1"/>
  <c r="CQ1142" i="1" s="1"/>
  <c r="W1142" i="1"/>
  <c r="M1142" i="1"/>
  <c r="DA1141" i="1"/>
  <c r="CZ1141" i="1"/>
  <c r="CY1141" i="1"/>
  <c r="CW1141" i="1"/>
  <c r="CV1141" i="1"/>
  <c r="CK1141" i="1"/>
  <c r="CH1141" i="1"/>
  <c r="CG1141" i="1"/>
  <c r="CE1141" i="1"/>
  <c r="CD1141" i="1"/>
  <c r="CC1141" i="1"/>
  <c r="CB1141" i="1"/>
  <c r="CA1141" i="1"/>
  <c r="CI1141" i="1" s="1"/>
  <c r="BX1141" i="1"/>
  <c r="BW1141" i="1"/>
  <c r="BV1141" i="1"/>
  <c r="BU1141" i="1"/>
  <c r="BT1141" i="1"/>
  <c r="BS1141" i="1"/>
  <c r="BI1141" i="1"/>
  <c r="BB1141" i="1"/>
  <c r="AR1141" i="1"/>
  <c r="AD1141" i="1"/>
  <c r="CR1141" i="1" s="1"/>
  <c r="Y1141" i="1"/>
  <c r="CF1141" i="1" s="1"/>
  <c r="W1141" i="1"/>
  <c r="M1141" i="1"/>
  <c r="DA1140" i="1"/>
  <c r="CZ1140" i="1"/>
  <c r="CY1140" i="1"/>
  <c r="CW1140" i="1"/>
  <c r="CV1140" i="1"/>
  <c r="CH1140" i="1"/>
  <c r="CF1140" i="1"/>
  <c r="CA1140" i="1"/>
  <c r="BW1140" i="1"/>
  <c r="BV1140" i="1"/>
  <c r="BU1140" i="1"/>
  <c r="BT1140" i="1"/>
  <c r="BD1140" i="1"/>
  <c r="CD1140" i="1" s="1"/>
  <c r="BB1140" i="1"/>
  <c r="AR1140" i="1"/>
  <c r="AD1140" i="1"/>
  <c r="W1140" i="1"/>
  <c r="M1140" i="1"/>
  <c r="DA1139" i="1"/>
  <c r="CZ1139" i="1"/>
  <c r="CY1139" i="1"/>
  <c r="CW1139" i="1"/>
  <c r="CV1139" i="1"/>
  <c r="CR1139" i="1"/>
  <c r="CQ1139" i="1"/>
  <c r="CN1139" i="1"/>
  <c r="CM1139" i="1"/>
  <c r="CH1139" i="1"/>
  <c r="CG1139" i="1"/>
  <c r="CF1139" i="1"/>
  <c r="CE1139" i="1"/>
  <c r="CD1139" i="1"/>
  <c r="CC1139" i="1"/>
  <c r="CB1139" i="1"/>
  <c r="CA1139" i="1"/>
  <c r="CI1139" i="1" s="1"/>
  <c r="BW1139" i="1"/>
  <c r="BV1139" i="1"/>
  <c r="BU1139" i="1"/>
  <c r="BT1139" i="1"/>
  <c r="BS1139" i="1"/>
  <c r="BI1139" i="1"/>
  <c r="CO1139" i="1" s="1"/>
  <c r="BB1139" i="1"/>
  <c r="AR1139" i="1"/>
  <c r="AD1139" i="1"/>
  <c r="CP1139" i="1" s="1"/>
  <c r="W1139" i="1"/>
  <c r="M1139" i="1"/>
  <c r="DA1138" i="1"/>
  <c r="CZ1138" i="1"/>
  <c r="CY1138" i="1"/>
  <c r="CW1138" i="1"/>
  <c r="CV1138" i="1"/>
  <c r="CP1138" i="1"/>
  <c r="CO1138" i="1"/>
  <c r="CH1138" i="1"/>
  <c r="CG1138" i="1"/>
  <c r="CF1138" i="1"/>
  <c r="CE1138" i="1"/>
  <c r="CD1138" i="1"/>
  <c r="CC1138" i="1"/>
  <c r="CB1138" i="1"/>
  <c r="CA1138" i="1"/>
  <c r="CI1138" i="1" s="1"/>
  <c r="BW1138" i="1"/>
  <c r="BV1138" i="1"/>
  <c r="BU1138" i="1"/>
  <c r="BT1138" i="1"/>
  <c r="BS1138" i="1"/>
  <c r="BI1138" i="1"/>
  <c r="BB1138" i="1"/>
  <c r="AR1138" i="1"/>
  <c r="AD1138" i="1"/>
  <c r="CK1138" i="1" s="1"/>
  <c r="W1138" i="1"/>
  <c r="M1138" i="1"/>
  <c r="DA1137" i="1"/>
  <c r="CZ1137" i="1"/>
  <c r="CY1137" i="1"/>
  <c r="CV1137" i="1"/>
  <c r="CG1137" i="1"/>
  <c r="CF1137" i="1"/>
  <c r="CE1137" i="1"/>
  <c r="BW1137" i="1"/>
  <c r="BV1137" i="1"/>
  <c r="BU1137" i="1"/>
  <c r="BT1137" i="1"/>
  <c r="BD1137" i="1"/>
  <c r="BI1137" i="1" s="1"/>
  <c r="CP1137" i="1" s="1"/>
  <c r="BB1137" i="1"/>
  <c r="AR1137" i="1"/>
  <c r="AH1137" i="1"/>
  <c r="CW1137" i="1" s="1"/>
  <c r="AD1137" i="1"/>
  <c r="CM1137" i="1" s="1"/>
  <c r="Y1137" i="1"/>
  <c r="CD1137" i="1" s="1"/>
  <c r="W1137" i="1"/>
  <c r="M1137" i="1"/>
  <c r="DA1136" i="1"/>
  <c r="CZ1136" i="1"/>
  <c r="CY1136" i="1"/>
  <c r="CW1136" i="1"/>
  <c r="CV1136" i="1"/>
  <c r="CD1136" i="1"/>
  <c r="CC1136" i="1"/>
  <c r="BW1136" i="1"/>
  <c r="BV1136" i="1"/>
  <c r="BU1136" i="1"/>
  <c r="BT1136" i="1"/>
  <c r="BS1136" i="1"/>
  <c r="BI1136" i="1"/>
  <c r="BD1136" i="1"/>
  <c r="BB1136" i="1"/>
  <c r="AR1136" i="1"/>
  <c r="Y1136" i="1"/>
  <c r="CB1136" i="1" s="1"/>
  <c r="W1136" i="1"/>
  <c r="M1136" i="1"/>
  <c r="DA1135" i="1"/>
  <c r="CZ1135" i="1"/>
  <c r="CY1135" i="1"/>
  <c r="CW1135" i="1"/>
  <c r="CV1135" i="1"/>
  <c r="CE1135" i="1"/>
  <c r="CC1135" i="1"/>
  <c r="CB1135" i="1"/>
  <c r="CA1135" i="1"/>
  <c r="BW1135" i="1"/>
  <c r="BV1135" i="1"/>
  <c r="BU1135" i="1"/>
  <c r="BT1135" i="1"/>
  <c r="BS1135" i="1"/>
  <c r="BI1135" i="1"/>
  <c r="BB1135" i="1"/>
  <c r="AR1135" i="1"/>
  <c r="Y1135" i="1"/>
  <c r="CH1135" i="1" s="1"/>
  <c r="W1135" i="1"/>
  <c r="M1135" i="1"/>
  <c r="DA1134" i="1"/>
  <c r="CZ1134" i="1"/>
  <c r="CY1134" i="1"/>
  <c r="CW1134" i="1"/>
  <c r="CV1134" i="1"/>
  <c r="CP1134" i="1"/>
  <c r="CH1134" i="1"/>
  <c r="CG1134" i="1"/>
  <c r="CF1134" i="1"/>
  <c r="CE1134" i="1"/>
  <c r="CD1134" i="1"/>
  <c r="CC1134" i="1"/>
  <c r="CB1134" i="1"/>
  <c r="CA1134" i="1"/>
  <c r="BW1134" i="1"/>
  <c r="BV1134" i="1"/>
  <c r="BU1134" i="1"/>
  <c r="BT1134" i="1"/>
  <c r="BS1134" i="1"/>
  <c r="BI1134" i="1"/>
  <c r="BB1134" i="1"/>
  <c r="AR1134" i="1"/>
  <c r="AD1134" i="1"/>
  <c r="W1134" i="1"/>
  <c r="M1134" i="1"/>
  <c r="DA1133" i="1"/>
  <c r="CZ1133" i="1"/>
  <c r="CY1133" i="1"/>
  <c r="CW1133" i="1"/>
  <c r="CV1133" i="1"/>
  <c r="CB1133" i="1"/>
  <c r="BW1133" i="1"/>
  <c r="BV1133" i="1"/>
  <c r="BU1133" i="1"/>
  <c r="BT1133" i="1"/>
  <c r="BI1133" i="1"/>
  <c r="BD1133" i="1"/>
  <c r="CA1133" i="1" s="1"/>
  <c r="BB1133" i="1"/>
  <c r="AR1133" i="1"/>
  <c r="Y1133" i="1"/>
  <c r="CH1133" i="1" s="1"/>
  <c r="W1133" i="1"/>
  <c r="M1133" i="1"/>
  <c r="DA1132" i="1"/>
  <c r="CZ1132" i="1"/>
  <c r="CY1132" i="1"/>
  <c r="CW1132" i="1"/>
  <c r="CV1132" i="1"/>
  <c r="CG1132" i="1"/>
  <c r="CF1132" i="1"/>
  <c r="BW1132" i="1"/>
  <c r="BV1132" i="1"/>
  <c r="BU1132" i="1"/>
  <c r="BT1132" i="1"/>
  <c r="BD1132" i="1"/>
  <c r="CE1132" i="1" s="1"/>
  <c r="BB1132" i="1"/>
  <c r="AR1132" i="1"/>
  <c r="AD1132" i="1"/>
  <c r="W1132" i="1"/>
  <c r="M1132" i="1"/>
  <c r="DA1131" i="1"/>
  <c r="CZ1131" i="1"/>
  <c r="CY1131" i="1"/>
  <c r="CW1131" i="1"/>
  <c r="CV1131" i="1"/>
  <c r="CL1131" i="1"/>
  <c r="CE1131" i="1"/>
  <c r="CD1131" i="1"/>
  <c r="CC1131" i="1"/>
  <c r="CB1131" i="1"/>
  <c r="BW1131" i="1"/>
  <c r="BV1131" i="1"/>
  <c r="BU1131" i="1"/>
  <c r="BT1131" i="1"/>
  <c r="BS1131" i="1"/>
  <c r="BI1131" i="1"/>
  <c r="CK1131" i="1" s="1"/>
  <c r="BD1131" i="1"/>
  <c r="CA1131" i="1" s="1"/>
  <c r="BB1131" i="1"/>
  <c r="AR1131" i="1"/>
  <c r="AD1131" i="1"/>
  <c r="CR1131" i="1" s="1"/>
  <c r="W1131" i="1"/>
  <c r="M1131" i="1"/>
  <c r="DA1130" i="1"/>
  <c r="CZ1130" i="1"/>
  <c r="CY1130" i="1"/>
  <c r="CW1130" i="1"/>
  <c r="CV1130" i="1"/>
  <c r="CH1130" i="1"/>
  <c r="CG1130" i="1"/>
  <c r="CF1130" i="1"/>
  <c r="BW1130" i="1"/>
  <c r="BV1130" i="1"/>
  <c r="BU1130" i="1"/>
  <c r="BT1130" i="1"/>
  <c r="BD1130" i="1"/>
  <c r="CE1130" i="1" s="1"/>
  <c r="BB1130" i="1"/>
  <c r="AR1130" i="1"/>
  <c r="AD1130" i="1"/>
  <c r="W1130" i="1"/>
  <c r="M1130" i="1"/>
  <c r="DA1129" i="1"/>
  <c r="CZ1129" i="1"/>
  <c r="CY1129" i="1"/>
  <c r="CW1129" i="1"/>
  <c r="CV1129" i="1"/>
  <c r="CL1129" i="1"/>
  <c r="CE1129" i="1"/>
  <c r="CD1129" i="1"/>
  <c r="CC1129" i="1"/>
  <c r="CB1129" i="1"/>
  <c r="BW1129" i="1"/>
  <c r="BV1129" i="1"/>
  <c r="BU1129" i="1"/>
  <c r="BT1129" i="1"/>
  <c r="BS1129" i="1"/>
  <c r="BI1129" i="1"/>
  <c r="CK1129" i="1" s="1"/>
  <c r="BD1129" i="1"/>
  <c r="CA1129" i="1" s="1"/>
  <c r="BB1129" i="1"/>
  <c r="AR1129" i="1"/>
  <c r="AD1129" i="1"/>
  <c r="CR1129" i="1" s="1"/>
  <c r="W1129" i="1"/>
  <c r="M1129" i="1"/>
  <c r="DA1128" i="1"/>
  <c r="CZ1128" i="1"/>
  <c r="CY1128" i="1"/>
  <c r="CW1128" i="1"/>
  <c r="CV1128" i="1"/>
  <c r="CQ1128" i="1"/>
  <c r="CH1128" i="1"/>
  <c r="CG1128" i="1"/>
  <c r="CB1128" i="1"/>
  <c r="CA1128" i="1"/>
  <c r="BX1128" i="1"/>
  <c r="BW1128" i="1"/>
  <c r="BV1128" i="1"/>
  <c r="BU1128" i="1"/>
  <c r="BT1128" i="1"/>
  <c r="BI1128" i="1"/>
  <c r="BB1128" i="1"/>
  <c r="AR1128" i="1"/>
  <c r="AD1128" i="1"/>
  <c r="CP1128" i="1" s="1"/>
  <c r="Y1128" i="1"/>
  <c r="CF1128" i="1" s="1"/>
  <c r="W1128" i="1"/>
  <c r="M1128" i="1"/>
  <c r="DA1127" i="1"/>
  <c r="CZ1127" i="1"/>
  <c r="CY1127" i="1"/>
  <c r="CW1127" i="1"/>
  <c r="CV1127" i="1"/>
  <c r="BW1127" i="1"/>
  <c r="BV1127" i="1"/>
  <c r="BU1127" i="1"/>
  <c r="BT1127" i="1"/>
  <c r="BD1127" i="1"/>
  <c r="BI1127" i="1" s="1"/>
  <c r="BB1127" i="1"/>
  <c r="AR1127" i="1"/>
  <c r="Y1127" i="1"/>
  <c r="W1127" i="1"/>
  <c r="M1127" i="1"/>
  <c r="DA1126" i="1"/>
  <c r="CZ1126" i="1"/>
  <c r="CY1126" i="1"/>
  <c r="CW1126" i="1"/>
  <c r="CV1126" i="1"/>
  <c r="CE1126" i="1"/>
  <c r="CD1126" i="1"/>
  <c r="CC1126" i="1"/>
  <c r="CB1126" i="1"/>
  <c r="CA1126" i="1"/>
  <c r="BW1126" i="1"/>
  <c r="BV1126" i="1"/>
  <c r="BU1126" i="1"/>
  <c r="BT1126" i="1"/>
  <c r="BS1126" i="1"/>
  <c r="BI1126" i="1"/>
  <c r="BB1126" i="1"/>
  <c r="AR1126" i="1"/>
  <c r="Y1126" i="1"/>
  <c r="CH1126" i="1" s="1"/>
  <c r="W1126" i="1"/>
  <c r="M1126" i="1"/>
  <c r="DA1125" i="1"/>
  <c r="CZ1125" i="1"/>
  <c r="CY1125" i="1"/>
  <c r="CW1125" i="1"/>
  <c r="CV1125" i="1"/>
  <c r="CQ1125" i="1"/>
  <c r="CM1125" i="1"/>
  <c r="CH1125" i="1"/>
  <c r="CG1125" i="1"/>
  <c r="CD1125" i="1"/>
  <c r="CB1125" i="1"/>
  <c r="CA1125" i="1"/>
  <c r="BX1125" i="1"/>
  <c r="BW1125" i="1"/>
  <c r="BV1125" i="1"/>
  <c r="BU1125" i="1"/>
  <c r="BT1125" i="1"/>
  <c r="BI1125" i="1"/>
  <c r="BB1125" i="1"/>
  <c r="AR1125" i="1"/>
  <c r="AD1125" i="1"/>
  <c r="CP1125" i="1" s="1"/>
  <c r="Y1125" i="1"/>
  <c r="CF1125" i="1" s="1"/>
  <c r="W1125" i="1"/>
  <c r="M1125" i="1"/>
  <c r="DA1124" i="1"/>
  <c r="CZ1124" i="1"/>
  <c r="CY1124" i="1"/>
  <c r="CW1124" i="1"/>
  <c r="CV1124" i="1"/>
  <c r="BW1124" i="1"/>
  <c r="BV1124" i="1"/>
  <c r="BU1124" i="1"/>
  <c r="BT1124" i="1"/>
  <c r="BD1124" i="1"/>
  <c r="BI1124" i="1" s="1"/>
  <c r="BB1124" i="1"/>
  <c r="AR1124" i="1"/>
  <c r="Y1124" i="1"/>
  <c r="W1124" i="1"/>
  <c r="M1124" i="1"/>
  <c r="DA1123" i="1"/>
  <c r="CZ1123" i="1"/>
  <c r="CY1123" i="1"/>
  <c r="CW1123" i="1"/>
  <c r="CV1123" i="1"/>
  <c r="CL1123" i="1"/>
  <c r="CH1123" i="1"/>
  <c r="CG1123" i="1"/>
  <c r="CF1123" i="1"/>
  <c r="CE1123" i="1"/>
  <c r="CD1123" i="1"/>
  <c r="CC1123" i="1"/>
  <c r="CB1123" i="1"/>
  <c r="CA1123" i="1"/>
  <c r="BW1123" i="1"/>
  <c r="BV1123" i="1"/>
  <c r="BU1123" i="1"/>
  <c r="BT1123" i="1"/>
  <c r="BS1123" i="1"/>
  <c r="BI1123" i="1"/>
  <c r="BB1123" i="1"/>
  <c r="AR1123" i="1"/>
  <c r="AD1123" i="1"/>
  <c r="CK1123" i="1" s="1"/>
  <c r="W1123" i="1"/>
  <c r="M1123" i="1"/>
  <c r="DA1122" i="1"/>
  <c r="CZ1122" i="1"/>
  <c r="CY1122" i="1"/>
  <c r="CW1122" i="1"/>
  <c r="CV1122" i="1"/>
  <c r="CH1122" i="1"/>
  <c r="CG1122" i="1"/>
  <c r="CF1122" i="1"/>
  <c r="CC1122" i="1"/>
  <c r="BW1122" i="1"/>
  <c r="BV1122" i="1"/>
  <c r="BU1122" i="1"/>
  <c r="BT1122" i="1"/>
  <c r="BS1122" i="1"/>
  <c r="BD1122" i="1"/>
  <c r="BI1122" i="1" s="1"/>
  <c r="CL1122" i="1" s="1"/>
  <c r="BB1122" i="1"/>
  <c r="AR1122" i="1"/>
  <c r="AD1122" i="1"/>
  <c r="CO1122" i="1" s="1"/>
  <c r="Y1122" i="1"/>
  <c r="CE1122" i="1" s="1"/>
  <c r="W1122" i="1"/>
  <c r="M1122" i="1"/>
  <c r="DA1121" i="1"/>
  <c r="CZ1121" i="1"/>
  <c r="CY1121" i="1"/>
  <c r="CW1121" i="1"/>
  <c r="CV1121" i="1"/>
  <c r="CR1121" i="1"/>
  <c r="CO1121" i="1"/>
  <c r="CN1121" i="1"/>
  <c r="CM1121" i="1"/>
  <c r="CH1121" i="1"/>
  <c r="CG1121" i="1"/>
  <c r="CF1121" i="1"/>
  <c r="CE1121" i="1"/>
  <c r="CD1121" i="1"/>
  <c r="CC1121" i="1"/>
  <c r="CB1121" i="1"/>
  <c r="CA1121" i="1"/>
  <c r="BW1121" i="1"/>
  <c r="BV1121" i="1"/>
  <c r="BU1121" i="1"/>
  <c r="BT1121" i="1"/>
  <c r="BS1121" i="1"/>
  <c r="BI1121" i="1"/>
  <c r="BB1121" i="1"/>
  <c r="AR1121" i="1"/>
  <c r="AD1121" i="1"/>
  <c r="CL1121" i="1" s="1"/>
  <c r="W1121" i="1"/>
  <c r="M1121" i="1"/>
  <c r="DA1120" i="1"/>
  <c r="CZ1120" i="1"/>
  <c r="CY1120" i="1"/>
  <c r="CW1120" i="1"/>
  <c r="CV1120" i="1"/>
  <c r="CR1120" i="1"/>
  <c r="CN1120" i="1"/>
  <c r="CH1120" i="1"/>
  <c r="CG1120" i="1"/>
  <c r="CF1120" i="1"/>
  <c r="CE1120" i="1"/>
  <c r="CD1120" i="1"/>
  <c r="CC1120" i="1"/>
  <c r="CB1120" i="1"/>
  <c r="CA1120" i="1"/>
  <c r="CI1120" i="1" s="1"/>
  <c r="BW1120" i="1"/>
  <c r="BV1120" i="1"/>
  <c r="BU1120" i="1"/>
  <c r="BT1120" i="1"/>
  <c r="BS1120" i="1"/>
  <c r="BI1120" i="1"/>
  <c r="CQ1120" i="1" s="1"/>
  <c r="BB1120" i="1"/>
  <c r="AR1120" i="1"/>
  <c r="AD1120" i="1"/>
  <c r="CP1120" i="1" s="1"/>
  <c r="W1120" i="1"/>
  <c r="M1120" i="1"/>
  <c r="DA1119" i="1"/>
  <c r="CZ1119" i="1"/>
  <c r="CY1119" i="1"/>
  <c r="CW1119" i="1"/>
  <c r="CV1119" i="1"/>
  <c r="CQ1119" i="1"/>
  <c r="CO1119" i="1"/>
  <c r="CN1119" i="1"/>
  <c r="CM1119" i="1"/>
  <c r="CL1119" i="1"/>
  <c r="CH1119" i="1"/>
  <c r="CG1119" i="1"/>
  <c r="CF1119" i="1"/>
  <c r="CE1119" i="1"/>
  <c r="CD1119" i="1"/>
  <c r="CC1119" i="1"/>
  <c r="CB1119" i="1"/>
  <c r="CA1119" i="1"/>
  <c r="BX1119" i="1"/>
  <c r="BW1119" i="1"/>
  <c r="BV1119" i="1"/>
  <c r="BU1119" i="1"/>
  <c r="BT1119" i="1"/>
  <c r="BS1119" i="1"/>
  <c r="BI1119" i="1"/>
  <c r="CK1119" i="1" s="1"/>
  <c r="BB1119" i="1"/>
  <c r="AR1119" i="1"/>
  <c r="AD1119" i="1"/>
  <c r="CR1119" i="1" s="1"/>
  <c r="W1119" i="1"/>
  <c r="M1119" i="1"/>
  <c r="DA1118" i="1"/>
  <c r="CZ1118" i="1"/>
  <c r="CY1118" i="1"/>
  <c r="CV1118" i="1"/>
  <c r="CQ1118" i="1"/>
  <c r="CP1118" i="1"/>
  <c r="CO1118" i="1"/>
  <c r="CL1118" i="1"/>
  <c r="CH1118" i="1"/>
  <c r="CG1118" i="1"/>
  <c r="CF1118" i="1"/>
  <c r="CE1118" i="1"/>
  <c r="CD1118" i="1"/>
  <c r="CC1118" i="1"/>
  <c r="CB1118" i="1"/>
  <c r="CA1118" i="1"/>
  <c r="CI1118" i="1" s="1"/>
  <c r="BX1118" i="1"/>
  <c r="BW1118" i="1"/>
  <c r="BV1118" i="1"/>
  <c r="BU1118" i="1"/>
  <c r="BT1118" i="1"/>
  <c r="BS1118" i="1"/>
  <c r="BM1118" i="1"/>
  <c r="BI1118" i="1"/>
  <c r="CR1118" i="1" s="1"/>
  <c r="BB1118" i="1"/>
  <c r="AR1118" i="1"/>
  <c r="AH1118" i="1"/>
  <c r="CW1118" i="1" s="1"/>
  <c r="AD1118" i="1"/>
  <c r="CN1118" i="1" s="1"/>
  <c r="W1118" i="1"/>
  <c r="M1118" i="1"/>
  <c r="DA1117" i="1"/>
  <c r="CZ1117" i="1"/>
  <c r="CY1117" i="1"/>
  <c r="CW1117" i="1"/>
  <c r="CV1117" i="1"/>
  <c r="CE1117" i="1"/>
  <c r="BW1117" i="1"/>
  <c r="BV1117" i="1"/>
  <c r="BU1117" i="1"/>
  <c r="BT1117" i="1"/>
  <c r="BD1117" i="1"/>
  <c r="CD1117" i="1" s="1"/>
  <c r="BB1117" i="1"/>
  <c r="AR1117" i="1"/>
  <c r="AD1117" i="1"/>
  <c r="W1117" i="1"/>
  <c r="M1117" i="1"/>
  <c r="DA1116" i="1"/>
  <c r="CZ1116" i="1"/>
  <c r="CY1116" i="1"/>
  <c r="CV1116" i="1"/>
  <c r="CF1116" i="1"/>
  <c r="CB1116" i="1"/>
  <c r="BW1116" i="1"/>
  <c r="BV1116" i="1"/>
  <c r="BU1116" i="1"/>
  <c r="BT1116" i="1"/>
  <c r="BI1116" i="1"/>
  <c r="CK1116" i="1" s="1"/>
  <c r="BD1116" i="1"/>
  <c r="CA1116" i="1" s="1"/>
  <c r="BB1116" i="1"/>
  <c r="AR1116" i="1"/>
  <c r="AH1116" i="1"/>
  <c r="CW1116" i="1" s="1"/>
  <c r="AD1116" i="1"/>
  <c r="W1116" i="1"/>
  <c r="M1116" i="1"/>
  <c r="DA1115" i="1"/>
  <c r="CZ1115" i="1"/>
  <c r="CH1115" i="1"/>
  <c r="CG1115" i="1"/>
  <c r="CC1115" i="1"/>
  <c r="BW1115" i="1"/>
  <c r="BV1115" i="1"/>
  <c r="BS1115" i="1"/>
  <c r="BI1115" i="1"/>
  <c r="BB1115" i="1"/>
  <c r="AR1115" i="1"/>
  <c r="AK1115" i="1"/>
  <c r="AJ1115" i="1"/>
  <c r="CY1115" i="1" s="1"/>
  <c r="AH1115" i="1"/>
  <c r="CW1115" i="1" s="1"/>
  <c r="AG1115" i="1"/>
  <c r="CV1115" i="1" s="1"/>
  <c r="AC1115" i="1"/>
  <c r="AB1115" i="1"/>
  <c r="AA1115" i="1"/>
  <c r="BU1115" i="1" s="1"/>
  <c r="Z1115" i="1"/>
  <c r="Y1115" i="1"/>
  <c r="CF1115" i="1" s="1"/>
  <c r="W1115" i="1"/>
  <c r="M1115" i="1"/>
  <c r="DA1114" i="1"/>
  <c r="CG1114" i="1"/>
  <c r="CE1114" i="1"/>
  <c r="CD1114" i="1"/>
  <c r="CC1114" i="1"/>
  <c r="CB1114" i="1"/>
  <c r="CA1114" i="1"/>
  <c r="BW1114" i="1"/>
  <c r="BU1114" i="1"/>
  <c r="BS1114" i="1"/>
  <c r="BI1114" i="1"/>
  <c r="BB1114" i="1"/>
  <c r="AR1114" i="1"/>
  <c r="AK1114" i="1"/>
  <c r="CZ1114" i="1" s="1"/>
  <c r="AJ1114" i="1"/>
  <c r="CY1114" i="1" s="1"/>
  <c r="AH1114" i="1"/>
  <c r="CW1114" i="1" s="1"/>
  <c r="AG1114" i="1"/>
  <c r="CV1114" i="1" s="1"/>
  <c r="AD1114" i="1"/>
  <c r="AC1114" i="1"/>
  <c r="AB1114" i="1"/>
  <c r="BV1114" i="1" s="1"/>
  <c r="AA1114" i="1"/>
  <c r="Z1114" i="1"/>
  <c r="BT1114" i="1" s="1"/>
  <c r="Y1114" i="1"/>
  <c r="CH1114" i="1" s="1"/>
  <c r="W1114" i="1"/>
  <c r="M1114" i="1"/>
  <c r="DA1113" i="1"/>
  <c r="CZ1113" i="1"/>
  <c r="CH1113" i="1"/>
  <c r="CG1113" i="1"/>
  <c r="CC1113" i="1"/>
  <c r="BW1113" i="1"/>
  <c r="BV1113" i="1"/>
  <c r="BS1113" i="1"/>
  <c r="BI1113" i="1"/>
  <c r="BB1113" i="1"/>
  <c r="AR1113" i="1"/>
  <c r="AK1113" i="1"/>
  <c r="AJ1113" i="1"/>
  <c r="CY1113" i="1" s="1"/>
  <c r="AH1113" i="1"/>
  <c r="CW1113" i="1" s="1"/>
  <c r="AG1113" i="1"/>
  <c r="CV1113" i="1" s="1"/>
  <c r="AC1113" i="1"/>
  <c r="AB1113" i="1"/>
  <c r="AA1113" i="1"/>
  <c r="BU1113" i="1" s="1"/>
  <c r="Z1113" i="1"/>
  <c r="Y1113" i="1"/>
  <c r="CF1113" i="1" s="1"/>
  <c r="W1113" i="1"/>
  <c r="M1113" i="1"/>
  <c r="DA1112" i="1"/>
  <c r="CG1112" i="1"/>
  <c r="CE1112" i="1"/>
  <c r="CD1112" i="1"/>
  <c r="CC1112" i="1"/>
  <c r="CB1112" i="1"/>
  <c r="CA1112" i="1"/>
  <c r="BW1112" i="1"/>
  <c r="BU1112" i="1"/>
  <c r="BS1112" i="1"/>
  <c r="BI1112" i="1"/>
  <c r="BB1112" i="1"/>
  <c r="AR1112" i="1"/>
  <c r="AK1112" i="1"/>
  <c r="CZ1112" i="1" s="1"/>
  <c r="AJ1112" i="1"/>
  <c r="CY1112" i="1" s="1"/>
  <c r="AH1112" i="1"/>
  <c r="CW1112" i="1" s="1"/>
  <c r="AG1112" i="1"/>
  <c r="CV1112" i="1" s="1"/>
  <c r="AD1112" i="1"/>
  <c r="AC1112" i="1"/>
  <c r="AB1112" i="1"/>
  <c r="BV1112" i="1" s="1"/>
  <c r="AA1112" i="1"/>
  <c r="Z1112" i="1"/>
  <c r="BT1112" i="1" s="1"/>
  <c r="Y1112" i="1"/>
  <c r="CH1112" i="1" s="1"/>
  <c r="W1112" i="1"/>
  <c r="M1112" i="1"/>
  <c r="DA1111" i="1"/>
  <c r="CZ1111" i="1"/>
  <c r="CH1111" i="1"/>
  <c r="CG1111" i="1"/>
  <c r="CE1111" i="1"/>
  <c r="CC1111" i="1"/>
  <c r="BW1111" i="1"/>
  <c r="BU1111" i="1"/>
  <c r="BS1111" i="1"/>
  <c r="BI1111" i="1"/>
  <c r="BB1111" i="1"/>
  <c r="AR1111" i="1"/>
  <c r="AK1111" i="1"/>
  <c r="AJ1111" i="1"/>
  <c r="CY1111" i="1" s="1"/>
  <c r="AH1111" i="1"/>
  <c r="CW1111" i="1" s="1"/>
  <c r="AG1111" i="1"/>
  <c r="CV1111" i="1" s="1"/>
  <c r="AC1111" i="1"/>
  <c r="AB1111" i="1"/>
  <c r="BV1111" i="1" s="1"/>
  <c r="AA1111" i="1"/>
  <c r="Z1111" i="1"/>
  <c r="Y1111" i="1"/>
  <c r="CF1111" i="1" s="1"/>
  <c r="W1111" i="1"/>
  <c r="M1111" i="1"/>
  <c r="DA1110" i="1"/>
  <c r="CZ1110" i="1"/>
  <c r="CY1110" i="1"/>
  <c r="CW1110" i="1"/>
  <c r="CV1110" i="1"/>
  <c r="BW1110" i="1"/>
  <c r="BV1110" i="1"/>
  <c r="BU1110" i="1"/>
  <c r="BE1110" i="1"/>
  <c r="BI1110" i="1" s="1"/>
  <c r="BB1110" i="1"/>
  <c r="AR1110" i="1"/>
  <c r="AH1110" i="1"/>
  <c r="Z1110" i="1"/>
  <c r="BT1110" i="1" s="1"/>
  <c r="Y1110" i="1"/>
  <c r="BS1110" i="1" s="1"/>
  <c r="W1110" i="1"/>
  <c r="M1110" i="1"/>
  <c r="DA1109" i="1"/>
  <c r="CZ1109" i="1"/>
  <c r="CY1109" i="1"/>
  <c r="CW1109" i="1"/>
  <c r="CV1109" i="1"/>
  <c r="CL1109" i="1"/>
  <c r="CH1109" i="1"/>
  <c r="CG1109" i="1"/>
  <c r="CF1109" i="1"/>
  <c r="CE1109" i="1"/>
  <c r="CD1109" i="1"/>
  <c r="CC1109" i="1"/>
  <c r="CB1109" i="1"/>
  <c r="CA1109" i="1"/>
  <c r="BW1109" i="1"/>
  <c r="BV1109" i="1"/>
  <c r="BU1109" i="1"/>
  <c r="BT1109" i="1"/>
  <c r="BS1109" i="1"/>
  <c r="BB1109" i="1"/>
  <c r="AR1109" i="1"/>
  <c r="AH1109" i="1"/>
  <c r="AD1109" i="1"/>
  <c r="CK1109" i="1" s="1"/>
  <c r="Z1109" i="1"/>
  <c r="W1109" i="1"/>
  <c r="M1109" i="1"/>
  <c r="DA1108" i="1"/>
  <c r="CZ1108" i="1"/>
  <c r="CY1108" i="1"/>
  <c r="CW1108" i="1"/>
  <c r="CV1108" i="1"/>
  <c r="CR1108" i="1"/>
  <c r="CQ1108" i="1"/>
  <c r="CO1108" i="1"/>
  <c r="CM1108" i="1"/>
  <c r="CH1108" i="1"/>
  <c r="CG1108" i="1"/>
  <c r="CF1108" i="1"/>
  <c r="CE1108" i="1"/>
  <c r="CD1108" i="1"/>
  <c r="CC1108" i="1"/>
  <c r="CB1108" i="1"/>
  <c r="CA1108" i="1"/>
  <c r="BX1108" i="1"/>
  <c r="BW1108" i="1"/>
  <c r="BV1108" i="1"/>
  <c r="BU1108" i="1"/>
  <c r="BT1108" i="1"/>
  <c r="BS1108" i="1"/>
  <c r="BI1108" i="1"/>
  <c r="BB1108" i="1"/>
  <c r="AR1108" i="1"/>
  <c r="AD1108" i="1"/>
  <c r="CP1108" i="1" s="1"/>
  <c r="W1108" i="1"/>
  <c r="M1108" i="1"/>
  <c r="DA1107" i="1"/>
  <c r="CZ1107" i="1"/>
  <c r="CY1107" i="1"/>
  <c r="CW1107" i="1"/>
  <c r="CV1107" i="1"/>
  <c r="CL1107" i="1"/>
  <c r="CH1107" i="1"/>
  <c r="CG1107" i="1"/>
  <c r="CF1107" i="1"/>
  <c r="CE1107" i="1"/>
  <c r="CD1107" i="1"/>
  <c r="CC1107" i="1"/>
  <c r="CB1107" i="1"/>
  <c r="CA1107" i="1"/>
  <c r="BW1107" i="1"/>
  <c r="BV1107" i="1"/>
  <c r="BU1107" i="1"/>
  <c r="BT1107" i="1"/>
  <c r="BS1107" i="1"/>
  <c r="BI1107" i="1"/>
  <c r="BB1107" i="1"/>
  <c r="AR1107" i="1"/>
  <c r="AD1107" i="1"/>
  <c r="CK1107" i="1" s="1"/>
  <c r="W1107" i="1"/>
  <c r="M1107" i="1"/>
  <c r="DA1106" i="1"/>
  <c r="CZ1106" i="1"/>
  <c r="CY1106" i="1"/>
  <c r="CW1106" i="1"/>
  <c r="CV1106" i="1"/>
  <c r="CQ1106" i="1"/>
  <c r="CP1106" i="1"/>
  <c r="CN1106" i="1"/>
  <c r="CL1106" i="1"/>
  <c r="CH1106" i="1"/>
  <c r="CG1106" i="1"/>
  <c r="CF1106" i="1"/>
  <c r="CE1106" i="1"/>
  <c r="CD1106" i="1"/>
  <c r="CC1106" i="1"/>
  <c r="CB1106" i="1"/>
  <c r="CA1106" i="1"/>
  <c r="BX1106" i="1"/>
  <c r="BW1106" i="1"/>
  <c r="BV1106" i="1"/>
  <c r="BU1106" i="1"/>
  <c r="BT1106" i="1"/>
  <c r="BS1106" i="1"/>
  <c r="BB1106" i="1"/>
  <c r="AD1106" i="1"/>
  <c r="CO1106" i="1" s="1"/>
  <c r="W1106" i="1"/>
  <c r="M1106" i="1"/>
  <c r="DA1105" i="1"/>
  <c r="CZ1105" i="1"/>
  <c r="CY1105" i="1"/>
  <c r="CW1105" i="1"/>
  <c r="CV1105" i="1"/>
  <c r="CH1105" i="1"/>
  <c r="CF1105" i="1"/>
  <c r="CD1105" i="1"/>
  <c r="BW1105" i="1"/>
  <c r="BV1105" i="1"/>
  <c r="BU1105" i="1"/>
  <c r="BT1105" i="1"/>
  <c r="BD1105" i="1"/>
  <c r="CG1105" i="1" s="1"/>
  <c r="BB1105" i="1"/>
  <c r="AR1105" i="1"/>
  <c r="AD1105" i="1"/>
  <c r="Y1105" i="1"/>
  <c r="CE1105" i="1" s="1"/>
  <c r="W1105" i="1"/>
  <c r="M1105" i="1"/>
  <c r="DA1104" i="1"/>
  <c r="CZ1104" i="1"/>
  <c r="CY1104" i="1"/>
  <c r="CW1104" i="1"/>
  <c r="CV1104" i="1"/>
  <c r="CF1104" i="1"/>
  <c r="CD1104" i="1"/>
  <c r="CB1104" i="1"/>
  <c r="BW1104" i="1"/>
  <c r="BV1104" i="1"/>
  <c r="BU1104" i="1"/>
  <c r="BT1104" i="1"/>
  <c r="BI1104" i="1"/>
  <c r="BB1104" i="1"/>
  <c r="Y1104" i="1"/>
  <c r="CE1104" i="1" s="1"/>
  <c r="W1104" i="1"/>
  <c r="M1104" i="1"/>
  <c r="DA1103" i="1"/>
  <c r="CZ1103" i="1"/>
  <c r="CY1103" i="1"/>
  <c r="CW1103" i="1"/>
  <c r="CV1103" i="1"/>
  <c r="CQ1103" i="1"/>
  <c r="CO1103" i="1"/>
  <c r="CM1103" i="1"/>
  <c r="CL1103" i="1"/>
  <c r="CK1103" i="1"/>
  <c r="CH1103" i="1"/>
  <c r="CG1103" i="1"/>
  <c r="CF1103" i="1"/>
  <c r="CE1103" i="1"/>
  <c r="CD1103" i="1"/>
  <c r="CC1103" i="1"/>
  <c r="CB1103" i="1"/>
  <c r="CA1103" i="1"/>
  <c r="BX1103" i="1"/>
  <c r="BW1103" i="1"/>
  <c r="BV1103" i="1"/>
  <c r="BU1103" i="1"/>
  <c r="BT1103" i="1"/>
  <c r="BS1103" i="1"/>
  <c r="BB1103" i="1"/>
  <c r="AD1103" i="1"/>
  <c r="CR1103" i="1" s="1"/>
  <c r="W1103" i="1"/>
  <c r="M1103" i="1"/>
  <c r="DA1102" i="1"/>
  <c r="CZ1102" i="1"/>
  <c r="CY1102" i="1"/>
  <c r="CW1102" i="1"/>
  <c r="CV1102" i="1"/>
  <c r="CG1102" i="1"/>
  <c r="CF1102" i="1"/>
  <c r="CE1102" i="1"/>
  <c r="CD1102" i="1"/>
  <c r="CC1102" i="1"/>
  <c r="CB1102" i="1"/>
  <c r="CA1102" i="1"/>
  <c r="BV1102" i="1"/>
  <c r="BU1102" i="1"/>
  <c r="BT1102" i="1"/>
  <c r="BS1102" i="1"/>
  <c r="AC1102" i="1"/>
  <c r="AD1102" i="1" s="1"/>
  <c r="CL1102" i="1" s="1"/>
  <c r="Y1102" i="1"/>
  <c r="CH1102" i="1" s="1"/>
  <c r="W1102" i="1"/>
  <c r="M1102" i="1"/>
  <c r="G1102" i="1"/>
  <c r="DA1101" i="1"/>
  <c r="CZ1101" i="1"/>
  <c r="CY1101" i="1"/>
  <c r="CW1101" i="1"/>
  <c r="CV1101" i="1"/>
  <c r="CP1101" i="1"/>
  <c r="CG1101" i="1"/>
  <c r="BW1101" i="1"/>
  <c r="BV1101" i="1"/>
  <c r="BU1101" i="1"/>
  <c r="BT1101" i="1"/>
  <c r="BB1101" i="1"/>
  <c r="AD1101" i="1"/>
  <c r="AC1101" i="1"/>
  <c r="Y1101" i="1"/>
  <c r="W1101" i="1"/>
  <c r="M1101" i="1"/>
  <c r="G1101" i="1"/>
  <c r="DA1100" i="1"/>
  <c r="CZ1100" i="1"/>
  <c r="CY1100" i="1"/>
  <c r="CW1100" i="1"/>
  <c r="CV1100" i="1"/>
  <c r="CH1100" i="1"/>
  <c r="CG1100" i="1"/>
  <c r="CF1100" i="1"/>
  <c r="CE1100" i="1"/>
  <c r="CD1100" i="1"/>
  <c r="CC1100" i="1"/>
  <c r="CB1100" i="1"/>
  <c r="CA1100" i="1"/>
  <c r="CI1100" i="1" s="1"/>
  <c r="BW1100" i="1"/>
  <c r="BV1100" i="1"/>
  <c r="BU1100" i="1"/>
  <c r="BT1100" i="1"/>
  <c r="BS1100" i="1"/>
  <c r="BB1100" i="1"/>
  <c r="AD1100" i="1"/>
  <c r="W1100" i="1"/>
  <c r="M1100" i="1"/>
  <c r="G1100" i="1"/>
  <c r="DA1099" i="1"/>
  <c r="CZ1099" i="1"/>
  <c r="CY1099" i="1"/>
  <c r="CW1099" i="1"/>
  <c r="CV1099" i="1"/>
  <c r="CR1099" i="1"/>
  <c r="CH1099" i="1"/>
  <c r="CG1099" i="1"/>
  <c r="CF1099" i="1"/>
  <c r="CE1099" i="1"/>
  <c r="CD1099" i="1"/>
  <c r="CC1099" i="1"/>
  <c r="CB1099" i="1"/>
  <c r="CA1099" i="1"/>
  <c r="BW1099" i="1"/>
  <c r="BV1099" i="1"/>
  <c r="BU1099" i="1"/>
  <c r="BT1099" i="1"/>
  <c r="BS1099" i="1"/>
  <c r="BB1099" i="1"/>
  <c r="AD1099" i="1"/>
  <c r="BX1099" i="1" s="1"/>
  <c r="W1099" i="1"/>
  <c r="M1099" i="1"/>
  <c r="G1099" i="1"/>
  <c r="DA1098" i="1"/>
  <c r="CZ1098" i="1"/>
  <c r="CY1098" i="1"/>
  <c r="CW1098" i="1"/>
  <c r="CV1098" i="1"/>
  <c r="CQ1098" i="1"/>
  <c r="CH1098" i="1"/>
  <c r="CG1098" i="1"/>
  <c r="CF1098" i="1"/>
  <c r="CE1098" i="1"/>
  <c r="CD1098" i="1"/>
  <c r="CC1098" i="1"/>
  <c r="CB1098" i="1"/>
  <c r="CA1098" i="1"/>
  <c r="BW1098" i="1"/>
  <c r="BV1098" i="1"/>
  <c r="BU1098" i="1"/>
  <c r="BT1098" i="1"/>
  <c r="BS1098" i="1"/>
  <c r="BB1098" i="1"/>
  <c r="AD1098" i="1"/>
  <c r="CO1098" i="1" s="1"/>
  <c r="W1098" i="1"/>
  <c r="M1098" i="1"/>
  <c r="DA1097" i="1"/>
  <c r="CZ1097" i="1"/>
  <c r="CY1097" i="1"/>
  <c r="CW1097" i="1"/>
  <c r="CV1097" i="1"/>
  <c r="CR1097" i="1"/>
  <c r="CO1097" i="1"/>
  <c r="CM1097" i="1"/>
  <c r="CH1097" i="1"/>
  <c r="CG1097" i="1"/>
  <c r="CF1097" i="1"/>
  <c r="CE1097" i="1"/>
  <c r="CD1097" i="1"/>
  <c r="CC1097" i="1"/>
  <c r="CB1097" i="1"/>
  <c r="CA1097" i="1"/>
  <c r="CI1097" i="1" s="1"/>
  <c r="BX1097" i="1"/>
  <c r="BW1097" i="1"/>
  <c r="BV1097" i="1"/>
  <c r="BU1097" i="1"/>
  <c r="BT1097" i="1"/>
  <c r="BS1097" i="1"/>
  <c r="BB1097" i="1"/>
  <c r="AD1097" i="1"/>
  <c r="CP1097" i="1" s="1"/>
  <c r="W1097" i="1"/>
  <c r="M1097" i="1"/>
  <c r="DA1096" i="1"/>
  <c r="CZ1096" i="1"/>
  <c r="CY1096" i="1"/>
  <c r="CW1096" i="1"/>
  <c r="CV1096" i="1"/>
  <c r="CR1096" i="1"/>
  <c r="CO1096" i="1"/>
  <c r="CM1096" i="1"/>
  <c r="CH1096" i="1"/>
  <c r="CG1096" i="1"/>
  <c r="CF1096" i="1"/>
  <c r="CE1096" i="1"/>
  <c r="CD1096" i="1"/>
  <c r="CC1096" i="1"/>
  <c r="CB1096" i="1"/>
  <c r="CA1096" i="1"/>
  <c r="BW1096" i="1"/>
  <c r="BV1096" i="1"/>
  <c r="BU1096" i="1"/>
  <c r="BT1096" i="1"/>
  <c r="BS1096" i="1"/>
  <c r="BB1096" i="1"/>
  <c r="AD1096" i="1"/>
  <c r="CP1096" i="1" s="1"/>
  <c r="W1096" i="1"/>
  <c r="M1096" i="1"/>
  <c r="DA1095" i="1"/>
  <c r="CZ1095" i="1"/>
  <c r="CY1095" i="1"/>
  <c r="CW1095" i="1"/>
  <c r="CV1095" i="1"/>
  <c r="CQ1095" i="1"/>
  <c r="CP1095" i="1"/>
  <c r="CO1095" i="1"/>
  <c r="CN1095" i="1"/>
  <c r="CM1095" i="1"/>
  <c r="CL1095" i="1"/>
  <c r="CK1095" i="1"/>
  <c r="CS1095" i="1" s="1"/>
  <c r="CT1095" i="1" s="1"/>
  <c r="CH1095" i="1"/>
  <c r="CG1095" i="1"/>
  <c r="CF1095" i="1"/>
  <c r="CE1095" i="1"/>
  <c r="CD1095" i="1"/>
  <c r="CC1095" i="1"/>
  <c r="CB1095" i="1"/>
  <c r="CA1095" i="1"/>
  <c r="BX1095" i="1"/>
  <c r="BW1095" i="1"/>
  <c r="BV1095" i="1"/>
  <c r="BU1095" i="1"/>
  <c r="BT1095" i="1"/>
  <c r="BS1095" i="1"/>
  <c r="BB1095" i="1"/>
  <c r="AD1095" i="1"/>
  <c r="CR1095" i="1" s="1"/>
  <c r="W1095" i="1"/>
  <c r="M1095" i="1"/>
  <c r="DA1094" i="1"/>
  <c r="CZ1094" i="1"/>
  <c r="CY1094" i="1"/>
  <c r="CW1094" i="1"/>
  <c r="CV1094" i="1"/>
  <c r="CH1094" i="1"/>
  <c r="CG1094" i="1"/>
  <c r="CF1094" i="1"/>
  <c r="CE1094" i="1"/>
  <c r="CD1094" i="1"/>
  <c r="CC1094" i="1"/>
  <c r="CB1094" i="1"/>
  <c r="CA1094" i="1"/>
  <c r="CI1094" i="1" s="1"/>
  <c r="BW1094" i="1"/>
  <c r="BV1094" i="1"/>
  <c r="BU1094" i="1"/>
  <c r="BT1094" i="1"/>
  <c r="BS1094" i="1"/>
  <c r="BB1094" i="1"/>
  <c r="AD1094" i="1"/>
  <c r="W1094" i="1"/>
  <c r="M1094" i="1"/>
  <c r="DA1093" i="1"/>
  <c r="CZ1093" i="1"/>
  <c r="CY1093" i="1"/>
  <c r="CW1093" i="1"/>
  <c r="CV1093" i="1"/>
  <c r="CQ1093" i="1"/>
  <c r="CH1093" i="1"/>
  <c r="CG1093" i="1"/>
  <c r="CF1093" i="1"/>
  <c r="CE1093" i="1"/>
  <c r="CD1093" i="1"/>
  <c r="CC1093" i="1"/>
  <c r="CB1093" i="1"/>
  <c r="CA1093" i="1"/>
  <c r="BW1093" i="1"/>
  <c r="BV1093" i="1"/>
  <c r="BU1093" i="1"/>
  <c r="BT1093" i="1"/>
  <c r="BS1093" i="1"/>
  <c r="BB1093" i="1"/>
  <c r="AD1093" i="1"/>
  <c r="CL1093" i="1" s="1"/>
  <c r="W1093" i="1"/>
  <c r="M1093" i="1"/>
  <c r="DA1092" i="1"/>
  <c r="CZ1092" i="1"/>
  <c r="CY1092" i="1"/>
  <c r="CW1092" i="1"/>
  <c r="CV1092" i="1"/>
  <c r="CR1092" i="1"/>
  <c r="CQ1092" i="1"/>
  <c r="CP1092" i="1"/>
  <c r="CM1092" i="1"/>
  <c r="CL1092" i="1"/>
  <c r="CK1092" i="1"/>
  <c r="CH1092" i="1"/>
  <c r="CG1092" i="1"/>
  <c r="CF1092" i="1"/>
  <c r="CE1092" i="1"/>
  <c r="CD1092" i="1"/>
  <c r="CC1092" i="1"/>
  <c r="CB1092" i="1"/>
  <c r="CA1092" i="1"/>
  <c r="BX1092" i="1"/>
  <c r="BW1092" i="1"/>
  <c r="BV1092" i="1"/>
  <c r="BU1092" i="1"/>
  <c r="BT1092" i="1"/>
  <c r="BS1092" i="1"/>
  <c r="BB1092" i="1"/>
  <c r="AD1092" i="1"/>
  <c r="CN1092" i="1" s="1"/>
  <c r="W1092" i="1"/>
  <c r="M1092" i="1"/>
  <c r="DA1091" i="1"/>
  <c r="CZ1091" i="1"/>
  <c r="CY1091" i="1"/>
  <c r="CW1091" i="1"/>
  <c r="CV1091" i="1"/>
  <c r="CQ1091" i="1"/>
  <c r="CH1091" i="1"/>
  <c r="CG1091" i="1"/>
  <c r="CF1091" i="1"/>
  <c r="CE1091" i="1"/>
  <c r="CD1091" i="1"/>
  <c r="CC1091" i="1"/>
  <c r="CB1091" i="1"/>
  <c r="CA1091" i="1"/>
  <c r="BW1091" i="1"/>
  <c r="BV1091" i="1"/>
  <c r="BU1091" i="1"/>
  <c r="BT1091" i="1"/>
  <c r="BS1091" i="1"/>
  <c r="BB1091" i="1"/>
  <c r="AD1091" i="1"/>
  <c r="CO1091" i="1" s="1"/>
  <c r="W1091" i="1"/>
  <c r="M1091" i="1"/>
  <c r="DA1090" i="1"/>
  <c r="CZ1090" i="1"/>
  <c r="CY1090" i="1"/>
  <c r="CW1090" i="1"/>
  <c r="CV1090" i="1"/>
  <c r="CR1090" i="1"/>
  <c r="CO1090" i="1"/>
  <c r="CM1090" i="1"/>
  <c r="CH1090" i="1"/>
  <c r="CF1090" i="1"/>
  <c r="CE1090" i="1"/>
  <c r="CD1090" i="1"/>
  <c r="CC1090" i="1"/>
  <c r="CI1090" i="1" s="1"/>
  <c r="CB1090" i="1"/>
  <c r="CA1090" i="1"/>
  <c r="BW1090" i="1"/>
  <c r="BV1090" i="1"/>
  <c r="BU1090" i="1"/>
  <c r="BT1090" i="1"/>
  <c r="BS1090" i="1"/>
  <c r="BB1090" i="1"/>
  <c r="AR1090" i="1"/>
  <c r="AD1090" i="1"/>
  <c r="CP1090" i="1" s="1"/>
  <c r="Y1090" i="1"/>
  <c r="CG1090" i="1" s="1"/>
  <c r="W1090" i="1"/>
  <c r="M1090" i="1"/>
  <c r="DA1089" i="1"/>
  <c r="CZ1089" i="1"/>
  <c r="CY1089" i="1"/>
  <c r="CW1089" i="1"/>
  <c r="CO1089" i="1"/>
  <c r="CH1089" i="1"/>
  <c r="CG1089" i="1"/>
  <c r="CE1089" i="1"/>
  <c r="CD1089" i="1"/>
  <c r="CC1089" i="1"/>
  <c r="BW1089" i="1"/>
  <c r="BV1089" i="1"/>
  <c r="BU1089" i="1"/>
  <c r="BT1089" i="1"/>
  <c r="BS1089" i="1"/>
  <c r="BB1089" i="1"/>
  <c r="AR1089" i="1"/>
  <c r="AH1089" i="1"/>
  <c r="AG1089" i="1"/>
  <c r="CV1089" i="1" s="1"/>
  <c r="AD1089" i="1"/>
  <c r="CK1089" i="1" s="1"/>
  <c r="Y1089" i="1"/>
  <c r="CB1089" i="1" s="1"/>
  <c r="W1089" i="1"/>
  <c r="M1089" i="1"/>
  <c r="DA1088" i="1"/>
  <c r="CZ1088" i="1"/>
  <c r="CY1088" i="1"/>
  <c r="CW1088" i="1"/>
  <c r="CV1088" i="1"/>
  <c r="CR1088" i="1"/>
  <c r="CP1088" i="1"/>
  <c r="CN1088" i="1"/>
  <c r="CM1088" i="1"/>
  <c r="CL1088" i="1"/>
  <c r="CH1088" i="1"/>
  <c r="CG1088" i="1"/>
  <c r="CF1088" i="1"/>
  <c r="CE1088" i="1"/>
  <c r="CD1088" i="1"/>
  <c r="CC1088" i="1"/>
  <c r="CB1088" i="1"/>
  <c r="CA1088" i="1"/>
  <c r="CI1088" i="1" s="1"/>
  <c r="BW1088" i="1"/>
  <c r="BV1088" i="1"/>
  <c r="BU1088" i="1"/>
  <c r="BT1088" i="1"/>
  <c r="BS1088" i="1"/>
  <c r="BB1088" i="1"/>
  <c r="AD1088" i="1"/>
  <c r="W1088" i="1"/>
  <c r="M1088" i="1"/>
  <c r="DA1087" i="1"/>
  <c r="CZ1087" i="1"/>
  <c r="CY1087" i="1"/>
  <c r="CW1087" i="1"/>
  <c r="CV1087" i="1"/>
  <c r="CQ1087" i="1"/>
  <c r="CP1087" i="1"/>
  <c r="CS1087" i="1" s="1"/>
  <c r="CT1087" i="1" s="1"/>
  <c r="CO1087" i="1"/>
  <c r="CN1087" i="1"/>
  <c r="CM1087" i="1"/>
  <c r="CL1087" i="1"/>
  <c r="CK1087" i="1"/>
  <c r="CH1087" i="1"/>
  <c r="CG1087" i="1"/>
  <c r="CF1087" i="1"/>
  <c r="CE1087" i="1"/>
  <c r="CD1087" i="1"/>
  <c r="CC1087" i="1"/>
  <c r="CB1087" i="1"/>
  <c r="CA1087" i="1"/>
  <c r="BX1087" i="1"/>
  <c r="BW1087" i="1"/>
  <c r="BV1087" i="1"/>
  <c r="BU1087" i="1"/>
  <c r="BT1087" i="1"/>
  <c r="BS1087" i="1"/>
  <c r="BB1087" i="1"/>
  <c r="AD1087" i="1"/>
  <c r="CR1087" i="1" s="1"/>
  <c r="W1087" i="1"/>
  <c r="M1087" i="1"/>
  <c r="DA1086" i="1"/>
  <c r="CZ1086" i="1"/>
  <c r="CY1086" i="1"/>
  <c r="CW1086" i="1"/>
  <c r="CV1086" i="1"/>
  <c r="CQ1086" i="1"/>
  <c r="CP1086" i="1"/>
  <c r="CN1086" i="1"/>
  <c r="CL1086" i="1"/>
  <c r="CH1086" i="1"/>
  <c r="CG1086" i="1"/>
  <c r="CF1086" i="1"/>
  <c r="CE1086" i="1"/>
  <c r="CD1086" i="1"/>
  <c r="CC1086" i="1"/>
  <c r="CB1086" i="1"/>
  <c r="CA1086" i="1"/>
  <c r="CI1086" i="1" s="1"/>
  <c r="BW1086" i="1"/>
  <c r="BV1086" i="1"/>
  <c r="BU1086" i="1"/>
  <c r="BT1086" i="1"/>
  <c r="BS1086" i="1"/>
  <c r="BI1086" i="1"/>
  <c r="BB1086" i="1"/>
  <c r="AD1086" i="1"/>
  <c r="CK1086" i="1" s="1"/>
  <c r="W1086" i="1"/>
  <c r="M1086" i="1"/>
  <c r="DA1085" i="1"/>
  <c r="CZ1085" i="1"/>
  <c r="CY1085" i="1"/>
  <c r="CW1085" i="1"/>
  <c r="CV1085" i="1"/>
  <c r="CQ1085" i="1"/>
  <c r="CP1085" i="1"/>
  <c r="CN1085" i="1"/>
  <c r="CH1085" i="1"/>
  <c r="CG1085" i="1"/>
  <c r="CF1085" i="1"/>
  <c r="CE1085" i="1"/>
  <c r="CD1085" i="1"/>
  <c r="CC1085" i="1"/>
  <c r="CB1085" i="1"/>
  <c r="CA1085" i="1"/>
  <c r="CI1085" i="1" s="1"/>
  <c r="BW1085" i="1"/>
  <c r="BV1085" i="1"/>
  <c r="BU1085" i="1"/>
  <c r="BT1085" i="1"/>
  <c r="BS1085" i="1"/>
  <c r="BI1085" i="1"/>
  <c r="BB1085" i="1"/>
  <c r="AD1085" i="1"/>
  <c r="CO1085" i="1" s="1"/>
  <c r="W1085" i="1"/>
  <c r="M1085" i="1"/>
  <c r="DA1084" i="1"/>
  <c r="CZ1084" i="1"/>
  <c r="CY1084" i="1"/>
  <c r="CW1084" i="1"/>
  <c r="CV1084" i="1"/>
  <c r="CG1084" i="1"/>
  <c r="CE1084" i="1"/>
  <c r="CC1084" i="1"/>
  <c r="BW1084" i="1"/>
  <c r="BV1084" i="1"/>
  <c r="BU1084" i="1"/>
  <c r="BT1084" i="1"/>
  <c r="BS1084" i="1"/>
  <c r="Y1084" i="1"/>
  <c r="CF1084" i="1" s="1"/>
  <c r="W1084" i="1"/>
  <c r="M1084" i="1"/>
  <c r="DA1083" i="1"/>
  <c r="CZ1083" i="1"/>
  <c r="CY1083" i="1"/>
  <c r="CW1083" i="1"/>
  <c r="CV1083" i="1"/>
  <c r="CK1083" i="1"/>
  <c r="CH1083" i="1"/>
  <c r="CF1083" i="1"/>
  <c r="CE1083" i="1"/>
  <c r="CD1083" i="1"/>
  <c r="CB1083" i="1"/>
  <c r="BW1083" i="1"/>
  <c r="BV1083" i="1"/>
  <c r="BU1083" i="1"/>
  <c r="BT1083" i="1"/>
  <c r="AD1083" i="1"/>
  <c r="Y1083" i="1"/>
  <c r="CA1083" i="1" s="1"/>
  <c r="W1083" i="1"/>
  <c r="M1083" i="1"/>
  <c r="DA1082" i="1"/>
  <c r="CZ1082" i="1"/>
  <c r="CY1082" i="1"/>
  <c r="CW1082" i="1"/>
  <c r="CV1082" i="1"/>
  <c r="CO1082" i="1"/>
  <c r="CM1082" i="1"/>
  <c r="CH1082" i="1"/>
  <c r="CG1082" i="1"/>
  <c r="CF1082" i="1"/>
  <c r="CE1082" i="1"/>
  <c r="CD1082" i="1"/>
  <c r="CC1082" i="1"/>
  <c r="CB1082" i="1"/>
  <c r="CA1082" i="1"/>
  <c r="CI1082" i="1" s="1"/>
  <c r="BW1082" i="1"/>
  <c r="BV1082" i="1"/>
  <c r="BU1082" i="1"/>
  <c r="BT1082" i="1"/>
  <c r="BS1082" i="1"/>
  <c r="BI1082" i="1"/>
  <c r="BB1082" i="1"/>
  <c r="AR1082" i="1"/>
  <c r="AD1082" i="1"/>
  <c r="CL1082" i="1" s="1"/>
  <c r="W1082" i="1"/>
  <c r="M1082" i="1"/>
  <c r="DA1081" i="1"/>
  <c r="CZ1081" i="1"/>
  <c r="CY1081" i="1"/>
  <c r="CW1081" i="1"/>
  <c r="CV1081" i="1"/>
  <c r="CQ1081" i="1"/>
  <c r="CH1081" i="1"/>
  <c r="CG1081" i="1"/>
  <c r="CF1081" i="1"/>
  <c r="CE1081" i="1"/>
  <c r="CD1081" i="1"/>
  <c r="CC1081" i="1"/>
  <c r="CB1081" i="1"/>
  <c r="CA1081" i="1"/>
  <c r="CI1081" i="1" s="1"/>
  <c r="BX1081" i="1"/>
  <c r="BW1081" i="1"/>
  <c r="BV1081" i="1"/>
  <c r="BU1081" i="1"/>
  <c r="BT1081" i="1"/>
  <c r="BS1081" i="1"/>
  <c r="BI1081" i="1"/>
  <c r="CO1081" i="1" s="1"/>
  <c r="BB1081" i="1"/>
  <c r="AR1081" i="1"/>
  <c r="AD1081" i="1"/>
  <c r="CP1081" i="1" s="1"/>
  <c r="W1081" i="1"/>
  <c r="M1081" i="1"/>
  <c r="DA1080" i="1"/>
  <c r="CZ1080" i="1"/>
  <c r="CY1080" i="1"/>
  <c r="CW1080" i="1"/>
  <c r="CV1080" i="1"/>
  <c r="CE1080" i="1"/>
  <c r="CC1080" i="1"/>
  <c r="BW1080" i="1"/>
  <c r="BV1080" i="1"/>
  <c r="BU1080" i="1"/>
  <c r="BT1080" i="1"/>
  <c r="BS1080" i="1"/>
  <c r="BD1080" i="1"/>
  <c r="CB1080" i="1" s="1"/>
  <c r="BB1080" i="1"/>
  <c r="AR1080" i="1"/>
  <c r="AD1080" i="1"/>
  <c r="W1080" i="1"/>
  <c r="M1080" i="1"/>
  <c r="DA1079" i="1"/>
  <c r="CZ1079" i="1"/>
  <c r="CY1079" i="1"/>
  <c r="CW1079" i="1"/>
  <c r="CV1079" i="1"/>
  <c r="CG1079" i="1"/>
  <c r="BW1079" i="1"/>
  <c r="BV1079" i="1"/>
  <c r="BU1079" i="1"/>
  <c r="BT1079" i="1"/>
  <c r="BD1079" i="1"/>
  <c r="CF1079" i="1" s="1"/>
  <c r="BB1079" i="1"/>
  <c r="AR1079" i="1"/>
  <c r="AD1079" i="1"/>
  <c r="W1079" i="1"/>
  <c r="M1079" i="1"/>
  <c r="DA1078" i="1"/>
  <c r="CZ1078" i="1"/>
  <c r="CY1078" i="1"/>
  <c r="CE1078" i="1"/>
  <c r="CC1078" i="1"/>
  <c r="BV1078" i="1"/>
  <c r="BU1078" i="1"/>
  <c r="BT1078" i="1"/>
  <c r="BS1078" i="1"/>
  <c r="BH1078" i="1"/>
  <c r="BW1078" i="1" s="1"/>
  <c r="BD1078" i="1"/>
  <c r="BI1078" i="1" s="1"/>
  <c r="BB1078" i="1"/>
  <c r="AR1078" i="1"/>
  <c r="AH1078" i="1"/>
  <c r="CW1078" i="1" s="1"/>
  <c r="AG1078" i="1"/>
  <c r="CV1078" i="1" s="1"/>
  <c r="AD1078" i="1"/>
  <c r="CL1078" i="1" s="1"/>
  <c r="AC1078" i="1"/>
  <c r="Y1078" i="1"/>
  <c r="CB1078" i="1" s="1"/>
  <c r="W1078" i="1"/>
  <c r="M1078" i="1"/>
  <c r="DA1077" i="1"/>
  <c r="CZ1077" i="1"/>
  <c r="CY1077" i="1"/>
  <c r="CW1077" i="1"/>
  <c r="CV1077" i="1"/>
  <c r="CF1077" i="1"/>
  <c r="CD1077" i="1"/>
  <c r="BW1077" i="1"/>
  <c r="BV1077" i="1"/>
  <c r="BU1077" i="1"/>
  <c r="BT1077" i="1"/>
  <c r="BI1077" i="1"/>
  <c r="BH1077" i="1"/>
  <c r="BD1077" i="1"/>
  <c r="BB1077" i="1"/>
  <c r="AR1077" i="1"/>
  <c r="AJ1077" i="1"/>
  <c r="AD1077" i="1"/>
  <c r="CM1077" i="1" s="1"/>
  <c r="AC1077" i="1"/>
  <c r="Y1077" i="1"/>
  <c r="CC1077" i="1" s="1"/>
  <c r="W1077" i="1"/>
  <c r="M1077" i="1"/>
  <c r="DA1076" i="1"/>
  <c r="CZ1076" i="1"/>
  <c r="CY1076" i="1"/>
  <c r="CW1076" i="1"/>
  <c r="CV1076" i="1"/>
  <c r="BW1076" i="1"/>
  <c r="BV1076" i="1"/>
  <c r="BU1076" i="1"/>
  <c r="BT1076" i="1"/>
  <c r="BD1076" i="1"/>
  <c r="BI1076" i="1" s="1"/>
  <c r="BB1076" i="1"/>
  <c r="AR1076" i="1"/>
  <c r="Y1076" i="1"/>
  <c r="W1076" i="1"/>
  <c r="M1076" i="1"/>
  <c r="DA1075" i="1"/>
  <c r="CZ1075" i="1"/>
  <c r="CY1075" i="1"/>
  <c r="CW1075" i="1"/>
  <c r="CV1075" i="1"/>
  <c r="CC1075" i="1"/>
  <c r="BW1075" i="1"/>
  <c r="BV1075" i="1"/>
  <c r="BU1075" i="1"/>
  <c r="BT1075" i="1"/>
  <c r="BS1075" i="1"/>
  <c r="BD1075" i="1"/>
  <c r="BI1075" i="1" s="1"/>
  <c r="BB1075" i="1"/>
  <c r="AR1075" i="1"/>
  <c r="Y1075" i="1"/>
  <c r="CB1075" i="1" s="1"/>
  <c r="W1075" i="1"/>
  <c r="M1075" i="1"/>
  <c r="DA1074" i="1"/>
  <c r="CZ1074" i="1"/>
  <c r="CY1074" i="1"/>
  <c r="CW1074" i="1"/>
  <c r="CV1074" i="1"/>
  <c r="CA1074" i="1"/>
  <c r="BW1074" i="1"/>
  <c r="BV1074" i="1"/>
  <c r="BU1074" i="1"/>
  <c r="BT1074" i="1"/>
  <c r="BD1074" i="1"/>
  <c r="BB1074" i="1"/>
  <c r="AR1074" i="1"/>
  <c r="Y1074" i="1"/>
  <c r="CH1074" i="1" s="1"/>
  <c r="W1074" i="1"/>
  <c r="M1074" i="1"/>
  <c r="DA1073" i="1"/>
  <c r="CZ1073" i="1"/>
  <c r="CY1073" i="1"/>
  <c r="CW1073" i="1"/>
  <c r="CV1073" i="1"/>
  <c r="CG1073" i="1"/>
  <c r="BW1073" i="1"/>
  <c r="BV1073" i="1"/>
  <c r="BU1073" i="1"/>
  <c r="BT1073" i="1"/>
  <c r="BD1073" i="1"/>
  <c r="CB1073" i="1" s="1"/>
  <c r="BB1073" i="1"/>
  <c r="AR1073" i="1"/>
  <c r="Y1073" i="1"/>
  <c r="CF1073" i="1" s="1"/>
  <c r="W1073" i="1"/>
  <c r="M1073" i="1"/>
  <c r="DA1072" i="1"/>
  <c r="CZ1072" i="1"/>
  <c r="CY1072" i="1"/>
  <c r="CW1072" i="1"/>
  <c r="CV1072" i="1"/>
  <c r="CH1072" i="1"/>
  <c r="CG1072" i="1"/>
  <c r="CE1072" i="1"/>
  <c r="BW1072" i="1"/>
  <c r="BV1072" i="1"/>
  <c r="BU1072" i="1"/>
  <c r="BT1072" i="1"/>
  <c r="Y1072" i="1"/>
  <c r="CD1072" i="1" s="1"/>
  <c r="W1072" i="1"/>
  <c r="M1072" i="1"/>
  <c r="DA1071" i="1"/>
  <c r="CZ1071" i="1"/>
  <c r="CY1071" i="1"/>
  <c r="CW1071" i="1"/>
  <c r="CV1071" i="1"/>
  <c r="CG1071" i="1"/>
  <c r="BW1071" i="1"/>
  <c r="BV1071" i="1"/>
  <c r="BU1071" i="1"/>
  <c r="BT1071" i="1"/>
  <c r="Y1071" i="1"/>
  <c r="CF1071" i="1" s="1"/>
  <c r="W1071" i="1"/>
  <c r="M1071" i="1"/>
  <c r="DA1070" i="1"/>
  <c r="CZ1070" i="1"/>
  <c r="CY1070" i="1"/>
  <c r="CW1070" i="1"/>
  <c r="CV1070" i="1"/>
  <c r="CR1070" i="1"/>
  <c r="CN1070" i="1"/>
  <c r="CM1070" i="1"/>
  <c r="CL1070" i="1"/>
  <c r="CH1070" i="1"/>
  <c r="CG1070" i="1"/>
  <c r="CF1070" i="1"/>
  <c r="CE1070" i="1"/>
  <c r="CD1070" i="1"/>
  <c r="CC1070" i="1"/>
  <c r="CB1070" i="1"/>
  <c r="CA1070" i="1"/>
  <c r="CI1070" i="1" s="1"/>
  <c r="BW1070" i="1"/>
  <c r="BV1070" i="1"/>
  <c r="BU1070" i="1"/>
  <c r="BT1070" i="1"/>
  <c r="BS1070" i="1"/>
  <c r="BI1070" i="1"/>
  <c r="BB1070" i="1"/>
  <c r="AR1070" i="1"/>
  <c r="AD1070" i="1"/>
  <c r="CQ1070" i="1" s="1"/>
  <c r="W1070" i="1"/>
  <c r="M1070" i="1"/>
  <c r="DA1069" i="1"/>
  <c r="CZ1069" i="1"/>
  <c r="CY1069" i="1"/>
  <c r="CW1069" i="1"/>
  <c r="CV1069" i="1"/>
  <c r="CN1069" i="1"/>
  <c r="CH1069" i="1"/>
  <c r="CG1069" i="1"/>
  <c r="CF1069" i="1"/>
  <c r="CE1069" i="1"/>
  <c r="CD1069" i="1"/>
  <c r="CC1069" i="1"/>
  <c r="CB1069" i="1"/>
  <c r="CA1069" i="1"/>
  <c r="CI1069" i="1" s="1"/>
  <c r="BW1069" i="1"/>
  <c r="BV1069" i="1"/>
  <c r="BU1069" i="1"/>
  <c r="BT1069" i="1"/>
  <c r="BS1069" i="1"/>
  <c r="BI1069" i="1"/>
  <c r="BB1069" i="1"/>
  <c r="AR1069" i="1"/>
  <c r="AD1069" i="1"/>
  <c r="CM1069" i="1" s="1"/>
  <c r="W1069" i="1"/>
  <c r="M1069" i="1"/>
  <c r="DA1068" i="1"/>
  <c r="CZ1068" i="1"/>
  <c r="CY1068" i="1"/>
  <c r="CW1068" i="1"/>
  <c r="CV1068" i="1"/>
  <c r="CR1068" i="1"/>
  <c r="CN1068" i="1"/>
  <c r="CM1068" i="1"/>
  <c r="CL1068" i="1"/>
  <c r="CH1068" i="1"/>
  <c r="CG1068" i="1"/>
  <c r="CF1068" i="1"/>
  <c r="CE1068" i="1"/>
  <c r="CD1068" i="1"/>
  <c r="CC1068" i="1"/>
  <c r="CB1068" i="1"/>
  <c r="CA1068" i="1"/>
  <c r="CI1068" i="1" s="1"/>
  <c r="BW1068" i="1"/>
  <c r="BV1068" i="1"/>
  <c r="BU1068" i="1"/>
  <c r="BT1068" i="1"/>
  <c r="BS1068" i="1"/>
  <c r="BI1068" i="1"/>
  <c r="BB1068" i="1"/>
  <c r="AR1068" i="1"/>
  <c r="AD1068" i="1"/>
  <c r="CQ1068" i="1" s="1"/>
  <c r="W1068" i="1"/>
  <c r="M1068" i="1"/>
  <c r="DA1067" i="1"/>
  <c r="CZ1067" i="1"/>
  <c r="CY1067" i="1"/>
  <c r="CW1067" i="1"/>
  <c r="CV1067" i="1"/>
  <c r="CN1067" i="1"/>
  <c r="CH1067" i="1"/>
  <c r="CG1067" i="1"/>
  <c r="CF1067" i="1"/>
  <c r="CE1067" i="1"/>
  <c r="CD1067" i="1"/>
  <c r="CC1067" i="1"/>
  <c r="CB1067" i="1"/>
  <c r="CA1067" i="1"/>
  <c r="CI1067" i="1" s="1"/>
  <c r="BW1067" i="1"/>
  <c r="BV1067" i="1"/>
  <c r="BU1067" i="1"/>
  <c r="BT1067" i="1"/>
  <c r="BS1067" i="1"/>
  <c r="BI1067" i="1"/>
  <c r="BB1067" i="1"/>
  <c r="AR1067" i="1"/>
  <c r="AD1067" i="1"/>
  <c r="CM1067" i="1" s="1"/>
  <c r="W1067" i="1"/>
  <c r="M1067" i="1"/>
  <c r="DA1066" i="1"/>
  <c r="CZ1066" i="1"/>
  <c r="CY1066" i="1"/>
  <c r="CW1066" i="1"/>
  <c r="CV1066" i="1"/>
  <c r="CR1066" i="1"/>
  <c r="CN1066" i="1"/>
  <c r="CM1066" i="1"/>
  <c r="CL1066" i="1"/>
  <c r="CH1066" i="1"/>
  <c r="CG1066" i="1"/>
  <c r="CF1066" i="1"/>
  <c r="CE1066" i="1"/>
  <c r="CD1066" i="1"/>
  <c r="CC1066" i="1"/>
  <c r="CB1066" i="1"/>
  <c r="CA1066" i="1"/>
  <c r="CI1066" i="1" s="1"/>
  <c r="BW1066" i="1"/>
  <c r="BV1066" i="1"/>
  <c r="BU1066" i="1"/>
  <c r="BT1066" i="1"/>
  <c r="BS1066" i="1"/>
  <c r="BI1066" i="1"/>
  <c r="BB1066" i="1"/>
  <c r="AR1066" i="1"/>
  <c r="AD1066" i="1"/>
  <c r="CQ1066" i="1" s="1"/>
  <c r="W1066" i="1"/>
  <c r="M1066" i="1"/>
  <c r="DA1065" i="1"/>
  <c r="CZ1065" i="1"/>
  <c r="CY1065" i="1"/>
  <c r="CW1065" i="1"/>
  <c r="CV1065" i="1"/>
  <c r="CQ1065" i="1"/>
  <c r="CO1065" i="1"/>
  <c r="CM1065" i="1"/>
  <c r="CH1065" i="1"/>
  <c r="CG1065" i="1"/>
  <c r="CF1065" i="1"/>
  <c r="CE1065" i="1"/>
  <c r="CD1065" i="1"/>
  <c r="CC1065" i="1"/>
  <c r="CB1065" i="1"/>
  <c r="CA1065" i="1"/>
  <c r="BX1065" i="1"/>
  <c r="BW1065" i="1"/>
  <c r="BV1065" i="1"/>
  <c r="BU1065" i="1"/>
  <c r="BT1065" i="1"/>
  <c r="BS1065" i="1"/>
  <c r="BI1065" i="1"/>
  <c r="BB1065" i="1"/>
  <c r="AR1065" i="1"/>
  <c r="AD1065" i="1"/>
  <c r="CL1065" i="1" s="1"/>
  <c r="W1065" i="1"/>
  <c r="M1065" i="1"/>
  <c r="DA1064" i="1"/>
  <c r="CZ1064" i="1"/>
  <c r="CY1064" i="1"/>
  <c r="CW1064" i="1"/>
  <c r="CV1064" i="1"/>
  <c r="CH1064" i="1"/>
  <c r="CG1064" i="1"/>
  <c r="CF1064" i="1"/>
  <c r="CE1064" i="1"/>
  <c r="CD1064" i="1"/>
  <c r="CC1064" i="1"/>
  <c r="CB1064" i="1"/>
  <c r="CA1064" i="1"/>
  <c r="BW1064" i="1"/>
  <c r="BV1064" i="1"/>
  <c r="BU1064" i="1"/>
  <c r="BT1064" i="1"/>
  <c r="BS1064" i="1"/>
  <c r="BI1064" i="1"/>
  <c r="BB1064" i="1"/>
  <c r="AR1064" i="1"/>
  <c r="AD1064" i="1"/>
  <c r="W1064" i="1"/>
  <c r="M1064" i="1"/>
  <c r="DA1063" i="1"/>
  <c r="CZ1063" i="1"/>
  <c r="CY1063" i="1"/>
  <c r="CW1063" i="1"/>
  <c r="CV1063" i="1"/>
  <c r="CD1063" i="1"/>
  <c r="CB1063" i="1"/>
  <c r="BW1063" i="1"/>
  <c r="BV1063" i="1"/>
  <c r="BU1063" i="1"/>
  <c r="BT1063" i="1"/>
  <c r="BI1063" i="1"/>
  <c r="BB1063" i="1"/>
  <c r="AR1063" i="1"/>
  <c r="Y1063" i="1"/>
  <c r="CA1063" i="1" s="1"/>
  <c r="W1063" i="1"/>
  <c r="M1063" i="1"/>
  <c r="DA1062" i="1"/>
  <c r="CZ1062" i="1"/>
  <c r="CY1062" i="1"/>
  <c r="CW1062" i="1"/>
  <c r="CV1062" i="1"/>
  <c r="CH1062" i="1"/>
  <c r="CG1062" i="1"/>
  <c r="CF1062" i="1"/>
  <c r="CE1062" i="1"/>
  <c r="CD1062" i="1"/>
  <c r="CC1062" i="1"/>
  <c r="CB1062" i="1"/>
  <c r="CA1062" i="1"/>
  <c r="BW1062" i="1"/>
  <c r="BV1062" i="1"/>
  <c r="BU1062" i="1"/>
  <c r="BT1062" i="1"/>
  <c r="BS1062" i="1"/>
  <c r="BI1062" i="1"/>
  <c r="BB1062" i="1"/>
  <c r="AR1062" i="1"/>
  <c r="AD1062" i="1"/>
  <c r="W1062" i="1"/>
  <c r="M1062" i="1"/>
  <c r="DA1061" i="1"/>
  <c r="CZ1061" i="1"/>
  <c r="CY1061" i="1"/>
  <c r="CW1061" i="1"/>
  <c r="CV1061" i="1"/>
  <c r="CN1061" i="1"/>
  <c r="CL1061" i="1"/>
  <c r="CH1061" i="1"/>
  <c r="CG1061" i="1"/>
  <c r="CF1061" i="1"/>
  <c r="CE1061" i="1"/>
  <c r="CD1061" i="1"/>
  <c r="CC1061" i="1"/>
  <c r="CB1061" i="1"/>
  <c r="CA1061" i="1"/>
  <c r="BW1061" i="1"/>
  <c r="BV1061" i="1"/>
  <c r="BU1061" i="1"/>
  <c r="BT1061" i="1"/>
  <c r="BS1061" i="1"/>
  <c r="BI1061" i="1"/>
  <c r="BB1061" i="1"/>
  <c r="AR1061" i="1"/>
  <c r="AD1061" i="1"/>
  <c r="CK1061" i="1" s="1"/>
  <c r="W1061" i="1"/>
  <c r="M1061" i="1"/>
  <c r="DA1060" i="1"/>
  <c r="CZ1060" i="1"/>
  <c r="CY1060" i="1"/>
  <c r="CW1060" i="1"/>
  <c r="CV1060" i="1"/>
  <c r="CQ1060" i="1"/>
  <c r="CO1060" i="1"/>
  <c r="CH1060" i="1"/>
  <c r="CG1060" i="1"/>
  <c r="CF1060" i="1"/>
  <c r="CE1060" i="1"/>
  <c r="CD1060" i="1"/>
  <c r="CC1060" i="1"/>
  <c r="CB1060" i="1"/>
  <c r="CA1060" i="1"/>
  <c r="BX1060" i="1"/>
  <c r="BW1060" i="1"/>
  <c r="BV1060" i="1"/>
  <c r="BU1060" i="1"/>
  <c r="BT1060" i="1"/>
  <c r="BS1060" i="1"/>
  <c r="BI1060" i="1"/>
  <c r="CN1060" i="1" s="1"/>
  <c r="BB1060" i="1"/>
  <c r="AR1060" i="1"/>
  <c r="AD1060" i="1"/>
  <c r="CP1060" i="1" s="1"/>
  <c r="W1060" i="1"/>
  <c r="M1060" i="1"/>
  <c r="DA1059" i="1"/>
  <c r="CZ1059" i="1"/>
  <c r="CY1059" i="1"/>
  <c r="CW1059" i="1"/>
  <c r="CV1059" i="1"/>
  <c r="CR1059" i="1"/>
  <c r="CN1059" i="1"/>
  <c r="CM1059" i="1"/>
  <c r="CL1059" i="1"/>
  <c r="CH1059" i="1"/>
  <c r="CG1059" i="1"/>
  <c r="CF1059" i="1"/>
  <c r="CE1059" i="1"/>
  <c r="CD1059" i="1"/>
  <c r="CC1059" i="1"/>
  <c r="CB1059" i="1"/>
  <c r="CA1059" i="1"/>
  <c r="CI1059" i="1" s="1"/>
  <c r="BW1059" i="1"/>
  <c r="BV1059" i="1"/>
  <c r="BU1059" i="1"/>
  <c r="BT1059" i="1"/>
  <c r="BS1059" i="1"/>
  <c r="BI1059" i="1"/>
  <c r="BB1059" i="1"/>
  <c r="AR1059" i="1"/>
  <c r="AD1059" i="1"/>
  <c r="CQ1059" i="1" s="1"/>
  <c r="W1059" i="1"/>
  <c r="M1059" i="1"/>
  <c r="DA1058" i="1"/>
  <c r="CZ1058" i="1"/>
  <c r="CY1058" i="1"/>
  <c r="CV1058" i="1"/>
  <c r="BW1058" i="1"/>
  <c r="BV1058" i="1"/>
  <c r="BU1058" i="1"/>
  <c r="BT1058" i="1"/>
  <c r="BI1058" i="1"/>
  <c r="BB1058" i="1"/>
  <c r="AR1058" i="1"/>
  <c r="AH1058" i="1"/>
  <c r="CW1058" i="1" s="1"/>
  <c r="AG1058" i="1"/>
  <c r="Y1058" i="1"/>
  <c r="W1058" i="1"/>
  <c r="M1058" i="1"/>
  <c r="DA1057" i="1"/>
  <c r="CZ1057" i="1"/>
  <c r="CY1057" i="1"/>
  <c r="CW1057" i="1"/>
  <c r="CV1057" i="1"/>
  <c r="CN1057" i="1"/>
  <c r="CL1057" i="1"/>
  <c r="CH1057" i="1"/>
  <c r="CG1057" i="1"/>
  <c r="CF1057" i="1"/>
  <c r="CE1057" i="1"/>
  <c r="CD1057" i="1"/>
  <c r="CC1057" i="1"/>
  <c r="CB1057" i="1"/>
  <c r="CA1057" i="1"/>
  <c r="BW1057" i="1"/>
  <c r="BV1057" i="1"/>
  <c r="BU1057" i="1"/>
  <c r="BT1057" i="1"/>
  <c r="BS1057" i="1"/>
  <c r="BI1057" i="1"/>
  <c r="BB1057" i="1"/>
  <c r="AR1057" i="1"/>
  <c r="AD1057" i="1"/>
  <c r="CK1057" i="1" s="1"/>
  <c r="W1057" i="1"/>
  <c r="M1057" i="1"/>
  <c r="DA1056" i="1"/>
  <c r="CZ1056" i="1"/>
  <c r="CY1056" i="1"/>
  <c r="CW1056" i="1"/>
  <c r="CV1056" i="1"/>
  <c r="CP1056" i="1"/>
  <c r="CH1056" i="1"/>
  <c r="CG1056" i="1"/>
  <c r="CF1056" i="1"/>
  <c r="CE1056" i="1"/>
  <c r="CD1056" i="1"/>
  <c r="CC1056" i="1"/>
  <c r="CB1056" i="1"/>
  <c r="CA1056" i="1"/>
  <c r="CI1056" i="1" s="1"/>
  <c r="BW1056" i="1"/>
  <c r="BV1056" i="1"/>
  <c r="BU1056" i="1"/>
  <c r="BT1056" i="1"/>
  <c r="BS1056" i="1"/>
  <c r="BI1056" i="1"/>
  <c r="BB1056" i="1"/>
  <c r="AR1056" i="1"/>
  <c r="AD1056" i="1"/>
  <c r="W1056" i="1"/>
  <c r="M1056" i="1"/>
  <c r="DA1055" i="1"/>
  <c r="CZ1055" i="1"/>
  <c r="CY1055" i="1"/>
  <c r="CW1055" i="1"/>
  <c r="CV1055" i="1"/>
  <c r="CN1055" i="1"/>
  <c r="CL1055" i="1"/>
  <c r="CH1055" i="1"/>
  <c r="CG1055" i="1"/>
  <c r="CF1055" i="1"/>
  <c r="CE1055" i="1"/>
  <c r="CD1055" i="1"/>
  <c r="CC1055" i="1"/>
  <c r="CB1055" i="1"/>
  <c r="CA1055" i="1"/>
  <c r="CI1055" i="1" s="1"/>
  <c r="BW1055" i="1"/>
  <c r="BV1055" i="1"/>
  <c r="BU1055" i="1"/>
  <c r="BT1055" i="1"/>
  <c r="BS1055" i="1"/>
  <c r="BI1055" i="1"/>
  <c r="BB1055" i="1"/>
  <c r="AR1055" i="1"/>
  <c r="AD1055" i="1"/>
  <c r="CK1055" i="1" s="1"/>
  <c r="W1055" i="1"/>
  <c r="M1055" i="1"/>
  <c r="DA1054" i="1"/>
  <c r="CZ1054" i="1"/>
  <c r="CY1054" i="1"/>
  <c r="CW1054" i="1"/>
  <c r="CH1054" i="1"/>
  <c r="CF1054" i="1"/>
  <c r="CB1054" i="1"/>
  <c r="BW1054" i="1"/>
  <c r="BV1054" i="1"/>
  <c r="BU1054" i="1"/>
  <c r="BT1054" i="1"/>
  <c r="BI1054" i="1"/>
  <c r="BB1054" i="1"/>
  <c r="AR1054" i="1"/>
  <c r="AH1054" i="1"/>
  <c r="AG1054" i="1"/>
  <c r="CV1054" i="1" s="1"/>
  <c r="Y1054" i="1"/>
  <c r="CE1054" i="1" s="1"/>
  <c r="W1054" i="1"/>
  <c r="M1054" i="1"/>
  <c r="DA1053" i="1"/>
  <c r="CZ1053" i="1"/>
  <c r="CY1053" i="1"/>
  <c r="CW1053" i="1"/>
  <c r="CV1053" i="1"/>
  <c r="CP1053" i="1"/>
  <c r="CN1053" i="1"/>
  <c r="CH1053" i="1"/>
  <c r="CG1053" i="1"/>
  <c r="CF1053" i="1"/>
  <c r="CE1053" i="1"/>
  <c r="CD1053" i="1"/>
  <c r="CC1053" i="1"/>
  <c r="CB1053" i="1"/>
  <c r="CA1053" i="1"/>
  <c r="CI1053" i="1" s="1"/>
  <c r="BW1053" i="1"/>
  <c r="BV1053" i="1"/>
  <c r="BU1053" i="1"/>
  <c r="BT1053" i="1"/>
  <c r="BS1053" i="1"/>
  <c r="BI1053" i="1"/>
  <c r="BB1053" i="1"/>
  <c r="AR1053" i="1"/>
  <c r="AD1053" i="1"/>
  <c r="W1053" i="1"/>
  <c r="M1053" i="1"/>
  <c r="DA1052" i="1"/>
  <c r="CZ1052" i="1"/>
  <c r="CY1052" i="1"/>
  <c r="CW1052" i="1"/>
  <c r="CV1052" i="1"/>
  <c r="CH1052" i="1"/>
  <c r="CG1052" i="1"/>
  <c r="CF1052" i="1"/>
  <c r="CE1052" i="1"/>
  <c r="CD1052" i="1"/>
  <c r="CC1052" i="1"/>
  <c r="CB1052" i="1"/>
  <c r="CA1052" i="1"/>
  <c r="BW1052" i="1"/>
  <c r="BV1052" i="1"/>
  <c r="BU1052" i="1"/>
  <c r="BT1052" i="1"/>
  <c r="BS1052" i="1"/>
  <c r="BI1052" i="1"/>
  <c r="CK1052" i="1" s="1"/>
  <c r="BB1052" i="1"/>
  <c r="AR1052" i="1"/>
  <c r="AD1052" i="1"/>
  <c r="W1052" i="1"/>
  <c r="M1052" i="1"/>
  <c r="DA1051" i="1"/>
  <c r="CZ1051" i="1"/>
  <c r="CY1051" i="1"/>
  <c r="CW1051" i="1"/>
  <c r="CV1051" i="1"/>
  <c r="CQ1051" i="1"/>
  <c r="CO1051" i="1"/>
  <c r="CM1051" i="1"/>
  <c r="CH1051" i="1"/>
  <c r="CG1051" i="1"/>
  <c r="CF1051" i="1"/>
  <c r="CE1051" i="1"/>
  <c r="CD1051" i="1"/>
  <c r="CC1051" i="1"/>
  <c r="CB1051" i="1"/>
  <c r="CA1051" i="1"/>
  <c r="BX1051" i="1"/>
  <c r="BW1051" i="1"/>
  <c r="BV1051" i="1"/>
  <c r="BU1051" i="1"/>
  <c r="BT1051" i="1"/>
  <c r="BS1051" i="1"/>
  <c r="BI1051" i="1"/>
  <c r="BB1051" i="1"/>
  <c r="AR1051" i="1"/>
  <c r="AD1051" i="1"/>
  <c r="CL1051" i="1" s="1"/>
  <c r="W1051" i="1"/>
  <c r="M1051" i="1"/>
  <c r="DA1050" i="1"/>
  <c r="CZ1050" i="1"/>
  <c r="CY1050" i="1"/>
  <c r="CW1050" i="1"/>
  <c r="CV1050" i="1"/>
  <c r="CH1050" i="1"/>
  <c r="CG1050" i="1"/>
  <c r="CF1050" i="1"/>
  <c r="CE1050" i="1"/>
  <c r="CD1050" i="1"/>
  <c r="CC1050" i="1"/>
  <c r="CB1050" i="1"/>
  <c r="CA1050" i="1"/>
  <c r="BW1050" i="1"/>
  <c r="BV1050" i="1"/>
  <c r="BU1050" i="1"/>
  <c r="BT1050" i="1"/>
  <c r="BS1050" i="1"/>
  <c r="BI1050" i="1"/>
  <c r="CK1050" i="1" s="1"/>
  <c r="BB1050" i="1"/>
  <c r="AR1050" i="1"/>
  <c r="AD1050" i="1"/>
  <c r="W1050" i="1"/>
  <c r="M1050" i="1"/>
  <c r="DA1049" i="1"/>
  <c r="CZ1049" i="1"/>
  <c r="CW1049" i="1"/>
  <c r="CV1049" i="1"/>
  <c r="CC1049" i="1"/>
  <c r="BU1049" i="1"/>
  <c r="BS1049" i="1"/>
  <c r="AK1049" i="1"/>
  <c r="AJ1049" i="1"/>
  <c r="CY1049" i="1" s="1"/>
  <c r="AC1049" i="1"/>
  <c r="BW1049" i="1" s="1"/>
  <c r="AB1049" i="1"/>
  <c r="BV1049" i="1" s="1"/>
  <c r="AA1049" i="1"/>
  <c r="Z1049" i="1"/>
  <c r="BT1049" i="1" s="1"/>
  <c r="Y1049" i="1"/>
  <c r="V1049" i="1"/>
  <c r="U1049" i="1"/>
  <c r="R1049" i="1"/>
  <c r="Q1049" i="1"/>
  <c r="P1049" i="1"/>
  <c r="O1049" i="1"/>
  <c r="M1049" i="1"/>
  <c r="K1049" i="1"/>
  <c r="J1049" i="1"/>
  <c r="DA1048" i="1"/>
  <c r="CY1048" i="1"/>
  <c r="CW1048" i="1"/>
  <c r="CV1048" i="1"/>
  <c r="CM1048" i="1"/>
  <c r="CH1048" i="1"/>
  <c r="CF1048" i="1"/>
  <c r="CE1048" i="1"/>
  <c r="CD1048" i="1"/>
  <c r="CB1048" i="1"/>
  <c r="BT1048" i="1"/>
  <c r="AK1048" i="1"/>
  <c r="CZ1048" i="1" s="1"/>
  <c r="AJ1048" i="1"/>
  <c r="AC1048" i="1"/>
  <c r="BW1048" i="1" s="1"/>
  <c r="AB1048" i="1"/>
  <c r="BV1048" i="1" s="1"/>
  <c r="AA1048" i="1"/>
  <c r="BU1048" i="1" s="1"/>
  <c r="Z1048" i="1"/>
  <c r="AD1048" i="1" s="1"/>
  <c r="Y1048" i="1"/>
  <c r="CA1048" i="1" s="1"/>
  <c r="W1048" i="1"/>
  <c r="V1048" i="1"/>
  <c r="CR1048" i="1" s="1"/>
  <c r="U1048" i="1"/>
  <c r="R1048" i="1"/>
  <c r="CN1048" i="1" s="1"/>
  <c r="Q1048" i="1"/>
  <c r="P1048" i="1"/>
  <c r="O1048" i="1"/>
  <c r="CK1048" i="1" s="1"/>
  <c r="K1048" i="1"/>
  <c r="M1048" i="1" s="1"/>
  <c r="J1048" i="1"/>
  <c r="DA1047" i="1"/>
  <c r="CY1047" i="1"/>
  <c r="CW1047" i="1"/>
  <c r="CV1047" i="1"/>
  <c r="CH1047" i="1"/>
  <c r="CF1047" i="1"/>
  <c r="CE1047" i="1"/>
  <c r="CD1047" i="1"/>
  <c r="CB1047" i="1"/>
  <c r="AK1047" i="1"/>
  <c r="CZ1047" i="1" s="1"/>
  <c r="AJ1047" i="1"/>
  <c r="AC1047" i="1"/>
  <c r="BW1047" i="1" s="1"/>
  <c r="AB1047" i="1"/>
  <c r="BV1047" i="1" s="1"/>
  <c r="AA1047" i="1"/>
  <c r="BU1047" i="1" s="1"/>
  <c r="Z1047" i="1"/>
  <c r="AD1047" i="1" s="1"/>
  <c r="Y1047" i="1"/>
  <c r="V1047" i="1"/>
  <c r="U1047" i="1"/>
  <c r="R1047" i="1"/>
  <c r="Q1047" i="1"/>
  <c r="P1047" i="1"/>
  <c r="O1047" i="1"/>
  <c r="W1047" i="1" s="1"/>
  <c r="K1047" i="1"/>
  <c r="M1047" i="1" s="1"/>
  <c r="J1047" i="1"/>
  <c r="DA1046" i="1"/>
  <c r="CY1046" i="1"/>
  <c r="CW1046" i="1"/>
  <c r="CV1046" i="1"/>
  <c r="CM1046" i="1"/>
  <c r="CH1046" i="1"/>
  <c r="CF1046" i="1"/>
  <c r="CE1046" i="1"/>
  <c r="CD1046" i="1"/>
  <c r="CB1046" i="1"/>
  <c r="AK1046" i="1"/>
  <c r="CZ1046" i="1" s="1"/>
  <c r="AJ1046" i="1"/>
  <c r="AC1046" i="1"/>
  <c r="BW1046" i="1" s="1"/>
  <c r="AB1046" i="1"/>
  <c r="BV1046" i="1" s="1"/>
  <c r="AA1046" i="1"/>
  <c r="BU1046" i="1" s="1"/>
  <c r="Z1046" i="1"/>
  <c r="AD1046" i="1" s="1"/>
  <c r="Y1046" i="1"/>
  <c r="CA1046" i="1" s="1"/>
  <c r="V1046" i="1"/>
  <c r="CR1046" i="1" s="1"/>
  <c r="U1046" i="1"/>
  <c r="R1046" i="1"/>
  <c r="Q1046" i="1"/>
  <c r="P1046" i="1"/>
  <c r="CL1046" i="1" s="1"/>
  <c r="O1046" i="1"/>
  <c r="CK1046" i="1" s="1"/>
  <c r="K1046" i="1"/>
  <c r="J1046" i="1"/>
  <c r="DA1045" i="1"/>
  <c r="CY1045" i="1"/>
  <c r="CW1045" i="1"/>
  <c r="CV1045" i="1"/>
  <c r="CH1045" i="1"/>
  <c r="CF1045" i="1"/>
  <c r="CD1045" i="1"/>
  <c r="CB1045" i="1"/>
  <c r="BV1045" i="1"/>
  <c r="BT1045" i="1"/>
  <c r="AK1045" i="1"/>
  <c r="CZ1045" i="1" s="1"/>
  <c r="AJ1045" i="1"/>
  <c r="AC1045" i="1"/>
  <c r="BW1045" i="1" s="1"/>
  <c r="AB1045" i="1"/>
  <c r="AA1045" i="1"/>
  <c r="BU1045" i="1" s="1"/>
  <c r="Z1045" i="1"/>
  <c r="Y1045" i="1"/>
  <c r="CC1045" i="1" s="1"/>
  <c r="V1045" i="1"/>
  <c r="U1045" i="1"/>
  <c r="T1045" i="1"/>
  <c r="S1045" i="1"/>
  <c r="CE1045" i="1" s="1"/>
  <c r="R1045" i="1"/>
  <c r="Q1045" i="1"/>
  <c r="P1045" i="1"/>
  <c r="O1045" i="1"/>
  <c r="CA1045" i="1" s="1"/>
  <c r="K1045" i="1"/>
  <c r="J1045" i="1"/>
  <c r="M1045" i="1" s="1"/>
  <c r="DA1044" i="1"/>
  <c r="CY1044" i="1"/>
  <c r="CW1044" i="1"/>
  <c r="CV1044" i="1"/>
  <c r="CH1044" i="1"/>
  <c r="CF1044" i="1"/>
  <c r="CD1044" i="1"/>
  <c r="CB1044" i="1"/>
  <c r="BV1044" i="1"/>
  <c r="AK1044" i="1"/>
  <c r="CZ1044" i="1" s="1"/>
  <c r="AJ1044" i="1"/>
  <c r="AD1044" i="1"/>
  <c r="BX1044" i="1" s="1"/>
  <c r="AC1044" i="1"/>
  <c r="BW1044" i="1" s="1"/>
  <c r="AB1044" i="1"/>
  <c r="AA1044" i="1"/>
  <c r="BU1044" i="1" s="1"/>
  <c r="Z1044" i="1"/>
  <c r="BT1044" i="1" s="1"/>
  <c r="Y1044" i="1"/>
  <c r="CC1044" i="1" s="1"/>
  <c r="V1044" i="1"/>
  <c r="U1044" i="1"/>
  <c r="CG1044" i="1" s="1"/>
  <c r="T1044" i="1"/>
  <c r="CP1044" i="1" s="1"/>
  <c r="S1044" i="1"/>
  <c r="R1044" i="1"/>
  <c r="Q1044" i="1"/>
  <c r="P1044" i="1"/>
  <c r="O1044" i="1"/>
  <c r="K1044" i="1"/>
  <c r="J1044" i="1"/>
  <c r="DA1043" i="1"/>
  <c r="CY1043" i="1"/>
  <c r="CW1043" i="1"/>
  <c r="CV1043" i="1"/>
  <c r="CH1043" i="1"/>
  <c r="CF1043" i="1"/>
  <c r="CD1043" i="1"/>
  <c r="CB1043" i="1"/>
  <c r="BV1043" i="1"/>
  <c r="AK1043" i="1"/>
  <c r="CZ1043" i="1" s="1"/>
  <c r="AJ1043" i="1"/>
  <c r="AD1043" i="1"/>
  <c r="BX1043" i="1" s="1"/>
  <c r="AC1043" i="1"/>
  <c r="BW1043" i="1" s="1"/>
  <c r="AB1043" i="1"/>
  <c r="AA1043" i="1"/>
  <c r="BU1043" i="1" s="1"/>
  <c r="Z1043" i="1"/>
  <c r="BT1043" i="1" s="1"/>
  <c r="Y1043" i="1"/>
  <c r="CE1043" i="1" s="1"/>
  <c r="V1043" i="1"/>
  <c r="U1043" i="1"/>
  <c r="CQ1043" i="1" s="1"/>
  <c r="T1043" i="1"/>
  <c r="S1043" i="1"/>
  <c r="R1043" i="1"/>
  <c r="Q1043" i="1"/>
  <c r="P1043" i="1"/>
  <c r="O1043" i="1"/>
  <c r="CA1043" i="1" s="1"/>
  <c r="K1043" i="1"/>
  <c r="M1043" i="1" s="1"/>
  <c r="J1043" i="1"/>
  <c r="DA1042" i="1"/>
  <c r="CY1042" i="1"/>
  <c r="CW1042" i="1"/>
  <c r="CV1042" i="1"/>
  <c r="CH1042" i="1"/>
  <c r="CF1042" i="1"/>
  <c r="CD1042" i="1"/>
  <c r="CB1042" i="1"/>
  <c r="AK1042" i="1"/>
  <c r="CZ1042" i="1" s="1"/>
  <c r="AJ1042" i="1"/>
  <c r="AC1042" i="1"/>
  <c r="BW1042" i="1" s="1"/>
  <c r="AB1042" i="1"/>
  <c r="BV1042" i="1" s="1"/>
  <c r="AA1042" i="1"/>
  <c r="BU1042" i="1" s="1"/>
  <c r="Z1042" i="1"/>
  <c r="AD1042" i="1" s="1"/>
  <c r="Y1042" i="1"/>
  <c r="V1042" i="1"/>
  <c r="U1042" i="1"/>
  <c r="T1042" i="1"/>
  <c r="S1042" i="1"/>
  <c r="R1042" i="1"/>
  <c r="Q1042" i="1"/>
  <c r="P1042" i="1"/>
  <c r="O1042" i="1"/>
  <c r="CK1042" i="1" s="1"/>
  <c r="K1042" i="1"/>
  <c r="J1042" i="1"/>
  <c r="DA1041" i="1"/>
  <c r="CY1041" i="1"/>
  <c r="CW1041" i="1"/>
  <c r="CV1041" i="1"/>
  <c r="BV1041" i="1"/>
  <c r="BT1041" i="1"/>
  <c r="BI1041" i="1"/>
  <c r="BB1041" i="1"/>
  <c r="AR1041" i="1"/>
  <c r="AK1041" i="1"/>
  <c r="CZ1041" i="1" s="1"/>
  <c r="AJ1041" i="1"/>
  <c r="AC1041" i="1"/>
  <c r="BW1041" i="1" s="1"/>
  <c r="AB1041" i="1"/>
  <c r="AA1041" i="1"/>
  <c r="BU1041" i="1" s="1"/>
  <c r="Z1041" i="1"/>
  <c r="Y1041" i="1"/>
  <c r="CF1041" i="1" s="1"/>
  <c r="V1041" i="1"/>
  <c r="U1041" i="1"/>
  <c r="T1041" i="1"/>
  <c r="S1041" i="1"/>
  <c r="R1041" i="1"/>
  <c r="Q1041" i="1"/>
  <c r="P1041" i="1"/>
  <c r="O1041" i="1"/>
  <c r="W1041" i="1" s="1"/>
  <c r="L1041" i="1"/>
  <c r="M1041" i="1" s="1"/>
  <c r="K1041" i="1"/>
  <c r="J1041" i="1"/>
  <c r="DA1040" i="1"/>
  <c r="CW1040" i="1"/>
  <c r="CV1040" i="1"/>
  <c r="CO1040" i="1"/>
  <c r="CH1040" i="1"/>
  <c r="CE1040" i="1"/>
  <c r="CC1040" i="1"/>
  <c r="BU1040" i="1"/>
  <c r="BT1040" i="1"/>
  <c r="BS1040" i="1"/>
  <c r="BI1040" i="1"/>
  <c r="BB1040" i="1"/>
  <c r="AR1040" i="1"/>
  <c r="AK1040" i="1"/>
  <c r="CZ1040" i="1" s="1"/>
  <c r="AJ1040" i="1"/>
  <c r="CY1040" i="1" s="1"/>
  <c r="AD1040" i="1"/>
  <c r="CM1040" i="1" s="1"/>
  <c r="AC1040" i="1"/>
  <c r="BW1040" i="1" s="1"/>
  <c r="AB1040" i="1"/>
  <c r="BV1040" i="1" s="1"/>
  <c r="AA1040" i="1"/>
  <c r="Z1040" i="1"/>
  <c r="Y1040" i="1"/>
  <c r="CD1040" i="1" s="1"/>
  <c r="V1040" i="1"/>
  <c r="U1040" i="1"/>
  <c r="CQ1040" i="1" s="1"/>
  <c r="T1040" i="1"/>
  <c r="CP1040" i="1" s="1"/>
  <c r="S1040" i="1"/>
  <c r="R1040" i="1"/>
  <c r="Q1040" i="1"/>
  <c r="P1040" i="1"/>
  <c r="CL1040" i="1" s="1"/>
  <c r="O1040" i="1"/>
  <c r="L1040" i="1"/>
  <c r="K1040" i="1"/>
  <c r="J1040" i="1"/>
  <c r="M1040" i="1" s="1"/>
  <c r="DA1039" i="1"/>
  <c r="CZ1039" i="1"/>
  <c r="CY1039" i="1"/>
  <c r="CW1039" i="1"/>
  <c r="CV1039" i="1"/>
  <c r="CP1039" i="1"/>
  <c r="CI1039" i="1"/>
  <c r="CH1039" i="1"/>
  <c r="CG1039" i="1"/>
  <c r="CE1039" i="1"/>
  <c r="CD1039" i="1"/>
  <c r="CC1039" i="1"/>
  <c r="CB1039" i="1"/>
  <c r="CA1039" i="1"/>
  <c r="BX1039" i="1"/>
  <c r="BW1039" i="1"/>
  <c r="BV1039" i="1"/>
  <c r="BU1039" i="1"/>
  <c r="BT1039" i="1"/>
  <c r="BS1039" i="1"/>
  <c r="BI1039" i="1"/>
  <c r="CN1039" i="1" s="1"/>
  <c r="BB1039" i="1"/>
  <c r="AR1039" i="1"/>
  <c r="AD1039" i="1"/>
  <c r="CR1039" i="1" s="1"/>
  <c r="Y1039" i="1"/>
  <c r="CF1039" i="1" s="1"/>
  <c r="W1039" i="1"/>
  <c r="M1039" i="1"/>
  <c r="DA1038" i="1"/>
  <c r="CZ1038" i="1"/>
  <c r="CY1038" i="1"/>
  <c r="CW1038" i="1"/>
  <c r="CV1038" i="1"/>
  <c r="CN1038" i="1"/>
  <c r="CG1038" i="1"/>
  <c r="CF1038" i="1"/>
  <c r="CE1038" i="1"/>
  <c r="CD1038" i="1"/>
  <c r="CC1038" i="1"/>
  <c r="CA1038" i="1"/>
  <c r="BW1038" i="1"/>
  <c r="BV1038" i="1"/>
  <c r="BU1038" i="1"/>
  <c r="BT1038" i="1"/>
  <c r="BS1038" i="1"/>
  <c r="BI1038" i="1"/>
  <c r="BB1038" i="1"/>
  <c r="AR1038" i="1"/>
  <c r="AD1038" i="1"/>
  <c r="Y1038" i="1"/>
  <c r="W1038" i="1"/>
  <c r="M1038" i="1"/>
  <c r="DA1037" i="1"/>
  <c r="CZ1037" i="1"/>
  <c r="CY1037" i="1"/>
  <c r="CW1037" i="1"/>
  <c r="CV1037" i="1"/>
  <c r="CQ1037" i="1"/>
  <c r="CG1037" i="1"/>
  <c r="CB1037" i="1"/>
  <c r="BW1037" i="1"/>
  <c r="BV1037" i="1"/>
  <c r="BU1037" i="1"/>
  <c r="BT1037" i="1"/>
  <c r="BI1037" i="1"/>
  <c r="CP1037" i="1" s="1"/>
  <c r="BD1037" i="1"/>
  <c r="CF1037" i="1" s="1"/>
  <c r="BB1037" i="1"/>
  <c r="AR1037" i="1"/>
  <c r="AD1037" i="1"/>
  <c r="CO1037" i="1" s="1"/>
  <c r="W1037" i="1"/>
  <c r="M1037" i="1"/>
  <c r="DA1036" i="1"/>
  <c r="CZ1036" i="1"/>
  <c r="CY1036" i="1"/>
  <c r="CW1036" i="1"/>
  <c r="CV1036" i="1"/>
  <c r="CG1036" i="1"/>
  <c r="BW1036" i="1"/>
  <c r="BV1036" i="1"/>
  <c r="BU1036" i="1"/>
  <c r="BT1036" i="1"/>
  <c r="BD1036" i="1"/>
  <c r="CA1036" i="1" s="1"/>
  <c r="BB1036" i="1"/>
  <c r="AR1036" i="1"/>
  <c r="AD1036" i="1"/>
  <c r="W1036" i="1"/>
  <c r="M1036" i="1"/>
  <c r="DA1035" i="1"/>
  <c r="CZ1035" i="1"/>
  <c r="CY1035" i="1"/>
  <c r="CW1035" i="1"/>
  <c r="CV1035" i="1"/>
  <c r="CH1035" i="1"/>
  <c r="CG1035" i="1"/>
  <c r="CF1035" i="1"/>
  <c r="CE1035" i="1"/>
  <c r="CD1035" i="1"/>
  <c r="CC1035" i="1"/>
  <c r="CB1035" i="1"/>
  <c r="CA1035" i="1"/>
  <c r="CI1035" i="1" s="1"/>
  <c r="BW1035" i="1"/>
  <c r="BV1035" i="1"/>
  <c r="BU1035" i="1"/>
  <c r="BT1035" i="1"/>
  <c r="BS1035" i="1"/>
  <c r="BI1035" i="1"/>
  <c r="BB1035" i="1"/>
  <c r="AR1035" i="1"/>
  <c r="AD1035" i="1"/>
  <c r="CO1035" i="1" s="1"/>
  <c r="W1035" i="1"/>
  <c r="M1035" i="1"/>
  <c r="DA1034" i="1"/>
  <c r="CZ1034" i="1"/>
  <c r="CY1034" i="1"/>
  <c r="CW1034" i="1"/>
  <c r="CV1034" i="1"/>
  <c r="CL1034" i="1"/>
  <c r="CH1034" i="1"/>
  <c r="CG1034" i="1"/>
  <c r="CF1034" i="1"/>
  <c r="CE1034" i="1"/>
  <c r="CD1034" i="1"/>
  <c r="CC1034" i="1"/>
  <c r="CB1034" i="1"/>
  <c r="CA1034" i="1"/>
  <c r="CI1034" i="1" s="1"/>
  <c r="BW1034" i="1"/>
  <c r="BV1034" i="1"/>
  <c r="BU1034" i="1"/>
  <c r="BT1034" i="1"/>
  <c r="BS1034" i="1"/>
  <c r="BI1034" i="1"/>
  <c r="BB1034" i="1"/>
  <c r="AR1034" i="1"/>
  <c r="AD1034" i="1"/>
  <c r="CK1034" i="1" s="1"/>
  <c r="W1034" i="1"/>
  <c r="M1034" i="1"/>
  <c r="CZ1033" i="1"/>
  <c r="CY1033" i="1"/>
  <c r="CW1033" i="1"/>
  <c r="CV1033" i="1"/>
  <c r="CH1033" i="1"/>
  <c r="CF1033" i="1"/>
  <c r="CB1033" i="1"/>
  <c r="CA1033" i="1"/>
  <c r="BV1033" i="1"/>
  <c r="BU1033" i="1"/>
  <c r="BH1033" i="1"/>
  <c r="BW1033" i="1" s="1"/>
  <c r="BG1033" i="1"/>
  <c r="BF1033" i="1"/>
  <c r="BE1033" i="1"/>
  <c r="BT1033" i="1" s="1"/>
  <c r="BD1033" i="1"/>
  <c r="CE1033" i="1" s="1"/>
  <c r="BB1033" i="1"/>
  <c r="AR1033" i="1"/>
  <c r="AL1033" i="1"/>
  <c r="DA1033" i="1" s="1"/>
  <c r="AD1033" i="1"/>
  <c r="W1033" i="1"/>
  <c r="M1033" i="1"/>
  <c r="DA1032" i="1"/>
  <c r="CZ1032" i="1"/>
  <c r="CY1032" i="1"/>
  <c r="CW1032" i="1"/>
  <c r="CV1032" i="1"/>
  <c r="CH1032" i="1"/>
  <c r="CG1032" i="1"/>
  <c r="CF1032" i="1"/>
  <c r="CD1032" i="1"/>
  <c r="CC1032" i="1"/>
  <c r="CB1032" i="1"/>
  <c r="BW1032" i="1"/>
  <c r="BT1032" i="1"/>
  <c r="BS1032" i="1"/>
  <c r="BH1032" i="1"/>
  <c r="BG1032" i="1"/>
  <c r="BV1032" i="1" s="1"/>
  <c r="BF1032" i="1"/>
  <c r="BU1032" i="1" s="1"/>
  <c r="BE1032" i="1"/>
  <c r="BD1032" i="1"/>
  <c r="CE1032" i="1" s="1"/>
  <c r="BB1032" i="1"/>
  <c r="AR1032" i="1"/>
  <c r="AD1032" i="1"/>
  <c r="W1032" i="1"/>
  <c r="M1032" i="1"/>
  <c r="DA1031" i="1"/>
  <c r="CZ1031" i="1"/>
  <c r="CY1031" i="1"/>
  <c r="CW1031" i="1"/>
  <c r="CV1031" i="1"/>
  <c r="CA1031" i="1"/>
  <c r="BU1031" i="1"/>
  <c r="BT1031" i="1"/>
  <c r="BH1031" i="1"/>
  <c r="BW1031" i="1" s="1"/>
  <c r="BG1031" i="1"/>
  <c r="BV1031" i="1" s="1"/>
  <c r="BF1031" i="1"/>
  <c r="BE1031" i="1"/>
  <c r="BD1031" i="1"/>
  <c r="CH1031" i="1" s="1"/>
  <c r="BB1031" i="1"/>
  <c r="AR1031" i="1"/>
  <c r="AD1031" i="1"/>
  <c r="W1031" i="1"/>
  <c r="M1031" i="1"/>
  <c r="DA1030" i="1"/>
  <c r="CZ1030" i="1"/>
  <c r="CY1030" i="1"/>
  <c r="CW1030" i="1"/>
  <c r="CV1030" i="1"/>
  <c r="CE1030" i="1"/>
  <c r="CC1030" i="1"/>
  <c r="CA1030" i="1"/>
  <c r="BU1030" i="1"/>
  <c r="BS1030" i="1"/>
  <c r="BI1030" i="1"/>
  <c r="AD1030" i="1"/>
  <c r="CQ1030" i="1" s="1"/>
  <c r="AC1030" i="1"/>
  <c r="BW1030" i="1" s="1"/>
  <c r="AB1030" i="1"/>
  <c r="BV1030" i="1" s="1"/>
  <c r="AA1030" i="1"/>
  <c r="Z1030" i="1"/>
  <c r="BT1030" i="1" s="1"/>
  <c r="Y1030" i="1"/>
  <c r="CH1030" i="1" s="1"/>
  <c r="W1030" i="1"/>
  <c r="M1030" i="1"/>
  <c r="DA1029" i="1"/>
  <c r="CZ1029" i="1"/>
  <c r="CY1029" i="1"/>
  <c r="CW1029" i="1"/>
  <c r="CV1029" i="1"/>
  <c r="CG1029" i="1"/>
  <c r="CF1029" i="1"/>
  <c r="CE1029" i="1"/>
  <c r="CC1029" i="1"/>
  <c r="CB1029" i="1"/>
  <c r="CA1029" i="1"/>
  <c r="BW1029" i="1"/>
  <c r="BS1029" i="1"/>
  <c r="BI1029" i="1"/>
  <c r="AC1029" i="1"/>
  <c r="AB1029" i="1"/>
  <c r="BV1029" i="1" s="1"/>
  <c r="AA1029" i="1"/>
  <c r="BU1029" i="1" s="1"/>
  <c r="Z1029" i="1"/>
  <c r="BT1029" i="1" s="1"/>
  <c r="Y1029" i="1"/>
  <c r="CD1029" i="1" s="1"/>
  <c r="W1029" i="1"/>
  <c r="M1029" i="1"/>
  <c r="DA1028" i="1"/>
  <c r="CZ1028" i="1"/>
  <c r="CY1028" i="1"/>
  <c r="CW1028" i="1"/>
  <c r="CV1028" i="1"/>
  <c r="CF1028" i="1"/>
  <c r="BV1028" i="1"/>
  <c r="BU1028" i="1"/>
  <c r="BT1028" i="1"/>
  <c r="BI1028" i="1"/>
  <c r="BB1028" i="1"/>
  <c r="AR1028" i="1"/>
  <c r="AC1028" i="1"/>
  <c r="BW1028" i="1" s="1"/>
  <c r="AB1028" i="1"/>
  <c r="AA1028" i="1"/>
  <c r="Z1028" i="1"/>
  <c r="Y1028" i="1"/>
  <c r="CE1028" i="1" s="1"/>
  <c r="W1028" i="1"/>
  <c r="M1028" i="1"/>
  <c r="DA1027" i="1"/>
  <c r="CZ1027" i="1"/>
  <c r="CY1027" i="1"/>
  <c r="CW1027" i="1"/>
  <c r="CV1027" i="1"/>
  <c r="CG1027" i="1"/>
  <c r="CC1027" i="1"/>
  <c r="CA1027" i="1"/>
  <c r="BW1027" i="1"/>
  <c r="BV1027" i="1"/>
  <c r="BU1027" i="1"/>
  <c r="BS1027" i="1"/>
  <c r="BI1027" i="1"/>
  <c r="BB1027" i="1"/>
  <c r="AR1027" i="1"/>
  <c r="AD1027" i="1"/>
  <c r="CO1027" i="1" s="1"/>
  <c r="AC1027" i="1"/>
  <c r="AB1027" i="1"/>
  <c r="AA1027" i="1"/>
  <c r="Z1027" i="1"/>
  <c r="BT1027" i="1" s="1"/>
  <c r="Y1027" i="1"/>
  <c r="CF1027" i="1" s="1"/>
  <c r="W1027" i="1"/>
  <c r="M1027" i="1"/>
  <c r="DA1026" i="1"/>
  <c r="CZ1026" i="1"/>
  <c r="CY1026" i="1"/>
  <c r="CG1026" i="1"/>
  <c r="BW1026" i="1"/>
  <c r="BV1026" i="1"/>
  <c r="BU1026" i="1"/>
  <c r="BT1026" i="1"/>
  <c r="BM1026" i="1"/>
  <c r="BI1026" i="1"/>
  <c r="BB1026" i="1"/>
  <c r="AR1026" i="1"/>
  <c r="AH1026" i="1"/>
  <c r="CW1026" i="1" s="1"/>
  <c r="AG1026" i="1"/>
  <c r="CV1026" i="1" s="1"/>
  <c r="Y1026" i="1"/>
  <c r="CF1026" i="1" s="1"/>
  <c r="W1026" i="1"/>
  <c r="M1026" i="1"/>
  <c r="DA1025" i="1"/>
  <c r="CZ1025" i="1"/>
  <c r="CY1025" i="1"/>
  <c r="CV1025" i="1"/>
  <c r="CP1025" i="1"/>
  <c r="CH1025" i="1"/>
  <c r="CG1025" i="1"/>
  <c r="CF1025" i="1"/>
  <c r="CE1025" i="1"/>
  <c r="CD1025" i="1"/>
  <c r="CC1025" i="1"/>
  <c r="CB1025" i="1"/>
  <c r="CA1025" i="1"/>
  <c r="CI1025" i="1" s="1"/>
  <c r="BW1025" i="1"/>
  <c r="BV1025" i="1"/>
  <c r="BU1025" i="1"/>
  <c r="BT1025" i="1"/>
  <c r="BS1025" i="1"/>
  <c r="BM1025" i="1"/>
  <c r="BI1025" i="1"/>
  <c r="CO1025" i="1" s="1"/>
  <c r="BB1025" i="1"/>
  <c r="AR1025" i="1"/>
  <c r="AH1025" i="1"/>
  <c r="CW1025" i="1" s="1"/>
  <c r="AD1025" i="1"/>
  <c r="CN1025" i="1" s="1"/>
  <c r="W1025" i="1"/>
  <c r="M1025" i="1"/>
  <c r="DA1024" i="1"/>
  <c r="CZ1024" i="1"/>
  <c r="CY1024" i="1"/>
  <c r="CV1024" i="1"/>
  <c r="CM1024" i="1"/>
  <c r="CH1024" i="1"/>
  <c r="CG1024" i="1"/>
  <c r="CF1024" i="1"/>
  <c r="CE1024" i="1"/>
  <c r="CD1024" i="1"/>
  <c r="CC1024" i="1"/>
  <c r="CB1024" i="1"/>
  <c r="CA1024" i="1"/>
  <c r="CI1024" i="1" s="1"/>
  <c r="BW1024" i="1"/>
  <c r="BV1024" i="1"/>
  <c r="BU1024" i="1"/>
  <c r="BT1024" i="1"/>
  <c r="BS1024" i="1"/>
  <c r="BO1024" i="1"/>
  <c r="BM1024" i="1"/>
  <c r="BI1024" i="1"/>
  <c r="CQ1024" i="1" s="1"/>
  <c r="BB1024" i="1"/>
  <c r="AR1024" i="1"/>
  <c r="AJ1024" i="1"/>
  <c r="AH1024" i="1"/>
  <c r="CW1024" i="1" s="1"/>
  <c r="AD1024" i="1"/>
  <c r="CL1024" i="1" s="1"/>
  <c r="W1024" i="1"/>
  <c r="M1024" i="1"/>
  <c r="DA1023" i="1"/>
  <c r="CZ1023" i="1"/>
  <c r="CW1023" i="1"/>
  <c r="CV1023" i="1"/>
  <c r="CH1023" i="1"/>
  <c r="CG1023" i="1"/>
  <c r="CF1023" i="1"/>
  <c r="CE1023" i="1"/>
  <c r="CD1023" i="1"/>
  <c r="CC1023" i="1"/>
  <c r="CB1023" i="1"/>
  <c r="CA1023" i="1"/>
  <c r="CI1023" i="1" s="1"/>
  <c r="BW1023" i="1"/>
  <c r="BV1023" i="1"/>
  <c r="BU1023" i="1"/>
  <c r="BT1023" i="1"/>
  <c r="BS1023" i="1"/>
  <c r="BO1023" i="1"/>
  <c r="BM1023" i="1"/>
  <c r="BI1023" i="1"/>
  <c r="BB1023" i="1"/>
  <c r="AR1023" i="1"/>
  <c r="AJ1023" i="1"/>
  <c r="CY1023" i="1" s="1"/>
  <c r="AH1023" i="1"/>
  <c r="AD1023" i="1"/>
  <c r="CK1023" i="1" s="1"/>
  <c r="W1023" i="1"/>
  <c r="M1023" i="1"/>
  <c r="DA1022" i="1"/>
  <c r="CZ1022" i="1"/>
  <c r="CY1022" i="1"/>
  <c r="CW1022" i="1"/>
  <c r="CV1022" i="1"/>
  <c r="CH1022" i="1"/>
  <c r="CG1022" i="1"/>
  <c r="CF1022" i="1"/>
  <c r="CE1022" i="1"/>
  <c r="CD1022" i="1"/>
  <c r="CC1022" i="1"/>
  <c r="CB1022" i="1"/>
  <c r="CA1022" i="1"/>
  <c r="CI1022" i="1" s="1"/>
  <c r="BW1022" i="1"/>
  <c r="BV1022" i="1"/>
  <c r="BU1022" i="1"/>
  <c r="BT1022" i="1"/>
  <c r="BS1022" i="1"/>
  <c r="BI1022" i="1"/>
  <c r="CR1022" i="1" s="1"/>
  <c r="BB1022" i="1"/>
  <c r="AR1022" i="1"/>
  <c r="AD1022" i="1"/>
  <c r="CP1022" i="1" s="1"/>
  <c r="W1022" i="1"/>
  <c r="M1022" i="1"/>
  <c r="DA1021" i="1"/>
  <c r="CZ1021" i="1"/>
  <c r="CY1021" i="1"/>
  <c r="CW1021" i="1"/>
  <c r="CV1021" i="1"/>
  <c r="BW1021" i="1"/>
  <c r="BV1021" i="1"/>
  <c r="BU1021" i="1"/>
  <c r="BT1021" i="1"/>
  <c r="BD1021" i="1"/>
  <c r="BI1021" i="1" s="1"/>
  <c r="BB1021" i="1"/>
  <c r="AR1021" i="1"/>
  <c r="Y1021" i="1"/>
  <c r="W1021" i="1"/>
  <c r="M1021" i="1"/>
  <c r="DA1020" i="1"/>
  <c r="CZ1020" i="1"/>
  <c r="CY1020" i="1"/>
  <c r="CW1020" i="1"/>
  <c r="CV1020" i="1"/>
  <c r="CB1020" i="1"/>
  <c r="BW1020" i="1"/>
  <c r="BV1020" i="1"/>
  <c r="BU1020" i="1"/>
  <c r="BT1020" i="1"/>
  <c r="BI1020" i="1"/>
  <c r="BB1020" i="1"/>
  <c r="AR1020" i="1"/>
  <c r="Y1020" i="1"/>
  <c r="CA1020" i="1" s="1"/>
  <c r="W1020" i="1"/>
  <c r="M1020" i="1"/>
  <c r="DA1019" i="1"/>
  <c r="CZ1019" i="1"/>
  <c r="CY1019" i="1"/>
  <c r="CW1019" i="1"/>
  <c r="CV1019" i="1"/>
  <c r="BW1019" i="1"/>
  <c r="BV1019" i="1"/>
  <c r="BU1019" i="1"/>
  <c r="BT1019" i="1"/>
  <c r="BI1019" i="1"/>
  <c r="BB1019" i="1"/>
  <c r="AR1019" i="1"/>
  <c r="Y1019" i="1"/>
  <c r="W1019" i="1"/>
  <c r="M1019" i="1"/>
  <c r="DA1018" i="1"/>
  <c r="CZ1018" i="1"/>
  <c r="CY1018" i="1"/>
  <c r="CW1018" i="1"/>
  <c r="CV1018" i="1"/>
  <c r="CP1018" i="1"/>
  <c r="CN1018" i="1"/>
  <c r="CL1018" i="1"/>
  <c r="CG1018" i="1"/>
  <c r="CF1018" i="1"/>
  <c r="CE1018" i="1"/>
  <c r="CC1018" i="1"/>
  <c r="CB1018" i="1"/>
  <c r="BW1018" i="1"/>
  <c r="BV1018" i="1"/>
  <c r="BU1018" i="1"/>
  <c r="BT1018" i="1"/>
  <c r="BS1018" i="1"/>
  <c r="BI1018" i="1"/>
  <c r="BD1018" i="1"/>
  <c r="CA1018" i="1" s="1"/>
  <c r="BB1018" i="1"/>
  <c r="AR1018" i="1"/>
  <c r="AD1018" i="1"/>
  <c r="CK1018" i="1" s="1"/>
  <c r="W1018" i="1"/>
  <c r="DA1017" i="1"/>
  <c r="CZ1017" i="1"/>
  <c r="CY1017" i="1"/>
  <c r="CO1017" i="1"/>
  <c r="CH1017" i="1"/>
  <c r="CF1017" i="1"/>
  <c r="CB1017" i="1"/>
  <c r="BW1017" i="1"/>
  <c r="BV1017" i="1"/>
  <c r="BU1017" i="1"/>
  <c r="BT1017" i="1"/>
  <c r="BM1017" i="1"/>
  <c r="CW1017" i="1" s="1"/>
  <c r="BL1017" i="1"/>
  <c r="CV1017" i="1" s="1"/>
  <c r="BI1017" i="1"/>
  <c r="BD1017" i="1"/>
  <c r="BB1017" i="1"/>
  <c r="AR1017" i="1"/>
  <c r="AH1017" i="1"/>
  <c r="AG1017" i="1"/>
  <c r="AD1017" i="1"/>
  <c r="CN1017" i="1" s="1"/>
  <c r="Y1017" i="1"/>
  <c r="CE1017" i="1" s="1"/>
  <c r="W1017" i="1"/>
  <c r="M1017" i="1"/>
  <c r="DA1016" i="1"/>
  <c r="CZ1016" i="1"/>
  <c r="CY1016" i="1"/>
  <c r="CW1016" i="1"/>
  <c r="CV1016" i="1"/>
  <c r="CQ1016" i="1"/>
  <c r="CH1016" i="1"/>
  <c r="CG1016" i="1"/>
  <c r="CF1016" i="1"/>
  <c r="CD1016" i="1"/>
  <c r="CC1016" i="1"/>
  <c r="CB1016" i="1"/>
  <c r="BX1016" i="1"/>
  <c r="BW1016" i="1"/>
  <c r="BV1016" i="1"/>
  <c r="BU1016" i="1"/>
  <c r="BT1016" i="1"/>
  <c r="BS1016" i="1"/>
  <c r="BI1016" i="1"/>
  <c r="CP1016" i="1" s="1"/>
  <c r="BD1016" i="1"/>
  <c r="CA1016" i="1" s="1"/>
  <c r="BB1016" i="1"/>
  <c r="AR1016" i="1"/>
  <c r="AD1016" i="1"/>
  <c r="CO1016" i="1" s="1"/>
  <c r="Y1016" i="1"/>
  <c r="CE1016" i="1" s="1"/>
  <c r="W1016" i="1"/>
  <c r="M1016" i="1"/>
  <c r="DA1015" i="1"/>
  <c r="CZ1015" i="1"/>
  <c r="CY1015" i="1"/>
  <c r="CO1015" i="1"/>
  <c r="CH1015" i="1"/>
  <c r="CF1015" i="1"/>
  <c r="CB1015" i="1"/>
  <c r="BW1015" i="1"/>
  <c r="BV1015" i="1"/>
  <c r="BU1015" i="1"/>
  <c r="BT1015" i="1"/>
  <c r="BM1015" i="1"/>
  <c r="CW1015" i="1" s="1"/>
  <c r="BL1015" i="1"/>
  <c r="CV1015" i="1" s="1"/>
  <c r="BI1015" i="1"/>
  <c r="BD1015" i="1"/>
  <c r="BB1015" i="1"/>
  <c r="AR1015" i="1"/>
  <c r="AH1015" i="1"/>
  <c r="AG1015" i="1"/>
  <c r="AD1015" i="1"/>
  <c r="CN1015" i="1" s="1"/>
  <c r="Y1015" i="1"/>
  <c r="CE1015" i="1" s="1"/>
  <c r="W1015" i="1"/>
  <c r="M1015" i="1"/>
  <c r="DA1014" i="1"/>
  <c r="CZ1014" i="1"/>
  <c r="CY1014" i="1"/>
  <c r="CW1014" i="1"/>
  <c r="CV1014" i="1"/>
  <c r="CH1014" i="1"/>
  <c r="CG1014" i="1"/>
  <c r="CF1014" i="1"/>
  <c r="CE1014" i="1"/>
  <c r="CD1014" i="1"/>
  <c r="CC1014" i="1"/>
  <c r="CB1014" i="1"/>
  <c r="CA1014" i="1"/>
  <c r="CI1014" i="1" s="1"/>
  <c r="BW1014" i="1"/>
  <c r="BV1014" i="1"/>
  <c r="BU1014" i="1"/>
  <c r="BT1014" i="1"/>
  <c r="BS1014" i="1"/>
  <c r="BI1014" i="1"/>
  <c r="BB1014" i="1"/>
  <c r="AR1014" i="1"/>
  <c r="AD1014" i="1"/>
  <c r="W1014" i="1"/>
  <c r="M1014" i="1"/>
  <c r="DA1013" i="1"/>
  <c r="CZ1013" i="1"/>
  <c r="CY1013" i="1"/>
  <c r="CW1013" i="1"/>
  <c r="CV1013" i="1"/>
  <c r="CH1013" i="1"/>
  <c r="CG1013" i="1"/>
  <c r="CF1013" i="1"/>
  <c r="CE1013" i="1"/>
  <c r="CD1013" i="1"/>
  <c r="CC1013" i="1"/>
  <c r="CB1013" i="1"/>
  <c r="CA1013" i="1"/>
  <c r="CI1013" i="1" s="1"/>
  <c r="BW1013" i="1"/>
  <c r="BV1013" i="1"/>
  <c r="BU1013" i="1"/>
  <c r="BT1013" i="1"/>
  <c r="BS1013" i="1"/>
  <c r="BI1013" i="1"/>
  <c r="BB1013" i="1"/>
  <c r="AR1013" i="1"/>
  <c r="AD1013" i="1"/>
  <c r="W1013" i="1"/>
  <c r="M1013" i="1"/>
  <c r="DA1012" i="1"/>
  <c r="CZ1012" i="1"/>
  <c r="CY1012" i="1"/>
  <c r="CW1012" i="1"/>
  <c r="CV1012" i="1"/>
  <c r="CN1012" i="1"/>
  <c r="CH1012" i="1"/>
  <c r="CG1012" i="1"/>
  <c r="CF1012" i="1"/>
  <c r="CE1012" i="1"/>
  <c r="CD1012" i="1"/>
  <c r="CC1012" i="1"/>
  <c r="CB1012" i="1"/>
  <c r="CA1012" i="1"/>
  <c r="BW1012" i="1"/>
  <c r="BV1012" i="1"/>
  <c r="BU1012" i="1"/>
  <c r="BT1012" i="1"/>
  <c r="BS1012" i="1"/>
  <c r="BI1012" i="1"/>
  <c r="BB1012" i="1"/>
  <c r="AR1012" i="1"/>
  <c r="AD1012" i="1"/>
  <c r="CM1012" i="1" s="1"/>
  <c r="W1012" i="1"/>
  <c r="M1012" i="1"/>
  <c r="DA1011" i="1"/>
  <c r="CZ1011" i="1"/>
  <c r="CY1011" i="1"/>
  <c r="CW1011" i="1"/>
  <c r="CV1011" i="1"/>
  <c r="CQ1011" i="1"/>
  <c r="CH1011" i="1"/>
  <c r="CG1011" i="1"/>
  <c r="CF1011" i="1"/>
  <c r="CE1011" i="1"/>
  <c r="CD1011" i="1"/>
  <c r="CC1011" i="1"/>
  <c r="CB1011" i="1"/>
  <c r="CA1011" i="1"/>
  <c r="BX1011" i="1"/>
  <c r="BW1011" i="1"/>
  <c r="BV1011" i="1"/>
  <c r="BU1011" i="1"/>
  <c r="BT1011" i="1"/>
  <c r="BS1011" i="1"/>
  <c r="BI1011" i="1"/>
  <c r="CM1011" i="1" s="1"/>
  <c r="BB1011" i="1"/>
  <c r="AR1011" i="1"/>
  <c r="AD1011" i="1"/>
  <c r="CP1011" i="1" s="1"/>
  <c r="W1011" i="1"/>
  <c r="M1011" i="1"/>
  <c r="DA1010" i="1"/>
  <c r="CZ1010" i="1"/>
  <c r="CY1010" i="1"/>
  <c r="CW1010" i="1"/>
  <c r="CV1010" i="1"/>
  <c r="CL1010" i="1"/>
  <c r="CH1010" i="1"/>
  <c r="CG1010" i="1"/>
  <c r="CF1010" i="1"/>
  <c r="CE1010" i="1"/>
  <c r="CD1010" i="1"/>
  <c r="CC1010" i="1"/>
  <c r="CB1010" i="1"/>
  <c r="CA1010" i="1"/>
  <c r="BW1010" i="1"/>
  <c r="BV1010" i="1"/>
  <c r="BU1010" i="1"/>
  <c r="BT1010" i="1"/>
  <c r="BS1010" i="1"/>
  <c r="BI1010" i="1"/>
  <c r="BB1010" i="1"/>
  <c r="AR1010" i="1"/>
  <c r="AD1010" i="1"/>
  <c r="CK1010" i="1" s="1"/>
  <c r="W1010" i="1"/>
  <c r="M1010" i="1"/>
  <c r="CT1009" i="1"/>
  <c r="BI1009" i="1"/>
  <c r="BB1009" i="1"/>
  <c r="AR1009" i="1"/>
  <c r="AD1009" i="1"/>
  <c r="CR1008" i="1" s="1"/>
  <c r="W1009" i="1"/>
  <c r="M1009" i="1"/>
  <c r="DA1008" i="1"/>
  <c r="CZ1008" i="1"/>
  <c r="CY1008" i="1"/>
  <c r="CW1008" i="1"/>
  <c r="CV1008" i="1"/>
  <c r="CQ1008" i="1"/>
  <c r="CP1008" i="1"/>
  <c r="CO1008" i="1"/>
  <c r="CM1008" i="1"/>
  <c r="CL1008" i="1"/>
  <c r="CH1008" i="1"/>
  <c r="CG1008" i="1"/>
  <c r="CF1008" i="1"/>
  <c r="CE1008" i="1"/>
  <c r="CD1008" i="1"/>
  <c r="CC1008" i="1"/>
  <c r="CB1008" i="1"/>
  <c r="CA1008" i="1"/>
  <c r="CI1008" i="1" s="1"/>
  <c r="BX1008" i="1"/>
  <c r="BW1008" i="1"/>
  <c r="BV1008" i="1"/>
  <c r="BU1008" i="1"/>
  <c r="BT1008" i="1"/>
  <c r="BS1008" i="1"/>
  <c r="BI1008" i="1"/>
  <c r="CK1008" i="1" s="1"/>
  <c r="BB1008" i="1"/>
  <c r="AR1008" i="1"/>
  <c r="AD1008" i="1"/>
  <c r="W1008" i="1"/>
  <c r="M1008" i="1"/>
  <c r="DA1007" i="1"/>
  <c r="CZ1007" i="1"/>
  <c r="CY1007" i="1"/>
  <c r="CW1007" i="1"/>
  <c r="CV1007" i="1"/>
  <c r="CP1007" i="1"/>
  <c r="CH1007" i="1"/>
  <c r="CG1007" i="1"/>
  <c r="CF1007" i="1"/>
  <c r="CE1007" i="1"/>
  <c r="CD1007" i="1"/>
  <c r="CC1007" i="1"/>
  <c r="CB1007" i="1"/>
  <c r="CA1007" i="1"/>
  <c r="CI1007" i="1" s="1"/>
  <c r="BW1007" i="1"/>
  <c r="BV1007" i="1"/>
  <c r="BU1007" i="1"/>
  <c r="BT1007" i="1"/>
  <c r="BS1007" i="1"/>
  <c r="BI1007" i="1"/>
  <c r="BB1007" i="1"/>
  <c r="AR1007" i="1"/>
  <c r="AD1007" i="1"/>
  <c r="W1007" i="1"/>
  <c r="M1007" i="1"/>
  <c r="DA1006" i="1"/>
  <c r="CZ1006" i="1"/>
  <c r="CY1006" i="1"/>
  <c r="CW1006" i="1"/>
  <c r="CV1006" i="1"/>
  <c r="CH1006" i="1"/>
  <c r="CG1006" i="1"/>
  <c r="CF1006" i="1"/>
  <c r="CE1006" i="1"/>
  <c r="CD1006" i="1"/>
  <c r="CC1006" i="1"/>
  <c r="CB1006" i="1"/>
  <c r="CA1006" i="1"/>
  <c r="BW1006" i="1"/>
  <c r="BV1006" i="1"/>
  <c r="BU1006" i="1"/>
  <c r="BT1006" i="1"/>
  <c r="BS1006" i="1"/>
  <c r="BI1006" i="1"/>
  <c r="CK1006" i="1" s="1"/>
  <c r="BB1006" i="1"/>
  <c r="AR1006" i="1"/>
  <c r="AD1006" i="1"/>
  <c r="CP1006" i="1" s="1"/>
  <c r="W1006" i="1"/>
  <c r="M1006" i="1"/>
  <c r="DA1005" i="1"/>
  <c r="CZ1005" i="1"/>
  <c r="CY1005" i="1"/>
  <c r="CR1005" i="1"/>
  <c r="CP1005" i="1"/>
  <c r="CN1005" i="1"/>
  <c r="CH1005" i="1"/>
  <c r="CG1005" i="1"/>
  <c r="CF1005" i="1"/>
  <c r="CE1005" i="1"/>
  <c r="CD1005" i="1"/>
  <c r="CC1005" i="1"/>
  <c r="CB1005" i="1"/>
  <c r="CA1005" i="1"/>
  <c r="CI1005" i="1" s="1"/>
  <c r="BW1005" i="1"/>
  <c r="BV1005" i="1"/>
  <c r="BU1005" i="1"/>
  <c r="BT1005" i="1"/>
  <c r="BS1005" i="1"/>
  <c r="BM1005" i="1"/>
  <c r="BL1005" i="1"/>
  <c r="BI1005" i="1"/>
  <c r="CM1005" i="1" s="1"/>
  <c r="BB1005" i="1"/>
  <c r="AR1005" i="1"/>
  <c r="AH1005" i="1"/>
  <c r="CW1005" i="1" s="1"/>
  <c r="AG1005" i="1"/>
  <c r="CV1005" i="1" s="1"/>
  <c r="AD1005" i="1"/>
  <c r="CL1005" i="1" s="1"/>
  <c r="W1005" i="1"/>
  <c r="M1005" i="1"/>
  <c r="CT1004" i="1"/>
  <c r="BI1004" i="1"/>
  <c r="BD1004" i="1"/>
  <c r="BB1004" i="1"/>
  <c r="AR1004" i="1"/>
  <c r="AD1004" i="1"/>
  <c r="Y1004" i="1"/>
  <c r="W1004" i="1"/>
  <c r="M1004" i="1"/>
  <c r="CT1003" i="1"/>
  <c r="BD1003" i="1"/>
  <c r="BI1003" i="1" s="1"/>
  <c r="BB1003" i="1"/>
  <c r="AR1003" i="1"/>
  <c r="AH1003" i="1"/>
  <c r="AG1003" i="1"/>
  <c r="Y1003" i="1"/>
  <c r="AD1003" i="1" s="1"/>
  <c r="W1003" i="1"/>
  <c r="M1003" i="1"/>
  <c r="CT1002" i="1"/>
  <c r="BI1002" i="1"/>
  <c r="BB1002" i="1"/>
  <c r="AR1002" i="1"/>
  <c r="AD1002" i="1"/>
  <c r="W1002" i="1"/>
  <c r="M1002" i="1"/>
  <c r="DA1001" i="1"/>
  <c r="CZ1001" i="1"/>
  <c r="CY1001" i="1"/>
  <c r="CW1001" i="1"/>
  <c r="CV1001" i="1"/>
  <c r="CQ1001" i="1"/>
  <c r="CM1001" i="1"/>
  <c r="CH1001" i="1"/>
  <c r="CG1001" i="1"/>
  <c r="CF1001" i="1"/>
  <c r="CE1001" i="1"/>
  <c r="CD1001" i="1"/>
  <c r="CC1001" i="1"/>
  <c r="CB1001" i="1"/>
  <c r="CA1001" i="1"/>
  <c r="BX1001" i="1"/>
  <c r="BW1001" i="1"/>
  <c r="BV1001" i="1"/>
  <c r="BU1001" i="1"/>
  <c r="BT1001" i="1"/>
  <c r="BS1001" i="1"/>
  <c r="BI1001" i="1"/>
  <c r="CL1001" i="1" s="1"/>
  <c r="BB1001" i="1"/>
  <c r="AR1001" i="1"/>
  <c r="AD1001" i="1"/>
  <c r="CP1001" i="1" s="1"/>
  <c r="W1001" i="1"/>
  <c r="M1001" i="1"/>
  <c r="DA1000" i="1"/>
  <c r="CZ1000" i="1"/>
  <c r="CY1000" i="1"/>
  <c r="CW1000" i="1"/>
  <c r="CV1000" i="1"/>
  <c r="CQ1000" i="1"/>
  <c r="CO1000" i="1"/>
  <c r="CM1000" i="1"/>
  <c r="CH1000" i="1"/>
  <c r="CG1000" i="1"/>
  <c r="CF1000" i="1"/>
  <c r="CE1000" i="1"/>
  <c r="CD1000" i="1"/>
  <c r="CC1000" i="1"/>
  <c r="CB1000" i="1"/>
  <c r="CA1000" i="1"/>
  <c r="BX1000" i="1"/>
  <c r="BW1000" i="1"/>
  <c r="BV1000" i="1"/>
  <c r="BU1000" i="1"/>
  <c r="BT1000" i="1"/>
  <c r="BS1000" i="1"/>
  <c r="BI1000" i="1"/>
  <c r="BB1000" i="1"/>
  <c r="AR1000" i="1"/>
  <c r="AD1000" i="1"/>
  <c r="CL1000" i="1" s="1"/>
  <c r="W1000" i="1"/>
  <c r="M1000" i="1"/>
  <c r="DA999" i="1"/>
  <c r="CZ999" i="1"/>
  <c r="CY999" i="1"/>
  <c r="CW999" i="1"/>
  <c r="CV999" i="1"/>
  <c r="CQ999" i="1"/>
  <c r="CH999" i="1"/>
  <c r="CG999" i="1"/>
  <c r="CF999" i="1"/>
  <c r="CE999" i="1"/>
  <c r="CD999" i="1"/>
  <c r="CC999" i="1"/>
  <c r="CB999" i="1"/>
  <c r="CA999" i="1"/>
  <c r="BX999" i="1"/>
  <c r="BW999" i="1"/>
  <c r="BV999" i="1"/>
  <c r="BU999" i="1"/>
  <c r="BT999" i="1"/>
  <c r="BS999" i="1"/>
  <c r="BI999" i="1"/>
  <c r="CM999" i="1" s="1"/>
  <c r="BB999" i="1"/>
  <c r="AR999" i="1"/>
  <c r="AD999" i="1"/>
  <c r="CP999" i="1" s="1"/>
  <c r="W999" i="1"/>
  <c r="M999" i="1"/>
  <c r="DA998" i="1"/>
  <c r="CZ998" i="1"/>
  <c r="CY998" i="1"/>
  <c r="CW998" i="1"/>
  <c r="CV998" i="1"/>
  <c r="CQ998" i="1"/>
  <c r="CO998" i="1"/>
  <c r="CM998" i="1"/>
  <c r="CH998" i="1"/>
  <c r="CG998" i="1"/>
  <c r="CF998" i="1"/>
  <c r="CE998" i="1"/>
  <c r="CD998" i="1"/>
  <c r="CC998" i="1"/>
  <c r="CB998" i="1"/>
  <c r="CA998" i="1"/>
  <c r="BX998" i="1"/>
  <c r="BW998" i="1"/>
  <c r="BV998" i="1"/>
  <c r="BU998" i="1"/>
  <c r="BT998" i="1"/>
  <c r="BS998" i="1"/>
  <c r="BI998" i="1"/>
  <c r="BB998" i="1"/>
  <c r="AR998" i="1"/>
  <c r="AD998" i="1"/>
  <c r="CL998" i="1" s="1"/>
  <c r="W998" i="1"/>
  <c r="M998" i="1"/>
  <c r="CT997" i="1"/>
  <c r="BI997" i="1"/>
  <c r="BB997" i="1"/>
  <c r="AR997" i="1"/>
  <c r="AD997" i="1"/>
  <c r="CO996" i="1" s="1"/>
  <c r="W997" i="1"/>
  <c r="M997" i="1"/>
  <c r="DA996" i="1"/>
  <c r="CZ996" i="1"/>
  <c r="CY996" i="1"/>
  <c r="CW996" i="1"/>
  <c r="CV996" i="1"/>
  <c r="CR996" i="1"/>
  <c r="CP996" i="1"/>
  <c r="CL996" i="1"/>
  <c r="CH996" i="1"/>
  <c r="CG996" i="1"/>
  <c r="CF996" i="1"/>
  <c r="CE996" i="1"/>
  <c r="CD996" i="1"/>
  <c r="CC996" i="1"/>
  <c r="CB996" i="1"/>
  <c r="CA996" i="1"/>
  <c r="BW996" i="1"/>
  <c r="BV996" i="1"/>
  <c r="BU996" i="1"/>
  <c r="BT996" i="1"/>
  <c r="BS996" i="1"/>
  <c r="BI996" i="1"/>
  <c r="BB996" i="1"/>
  <c r="AR996" i="1"/>
  <c r="AD996" i="1"/>
  <c r="W996" i="1"/>
  <c r="M996" i="1"/>
  <c r="DA995" i="1"/>
  <c r="CZ995" i="1"/>
  <c r="CY995" i="1"/>
  <c r="CW995" i="1"/>
  <c r="CV995" i="1"/>
  <c r="CN995" i="1"/>
  <c r="CL995" i="1"/>
  <c r="CH995" i="1"/>
  <c r="CG995" i="1"/>
  <c r="CF995" i="1"/>
  <c r="CE995" i="1"/>
  <c r="CD995" i="1"/>
  <c r="CC995" i="1"/>
  <c r="CB995" i="1"/>
  <c r="CA995" i="1"/>
  <c r="CI995" i="1" s="1"/>
  <c r="BW995" i="1"/>
  <c r="BV995" i="1"/>
  <c r="BU995" i="1"/>
  <c r="BT995" i="1"/>
  <c r="BS995" i="1"/>
  <c r="BI995" i="1"/>
  <c r="BB995" i="1"/>
  <c r="AR995" i="1"/>
  <c r="AD995" i="1"/>
  <c r="CK995" i="1" s="1"/>
  <c r="W995" i="1"/>
  <c r="M995" i="1"/>
  <c r="DA994" i="1"/>
  <c r="CZ994" i="1"/>
  <c r="CY994" i="1"/>
  <c r="CW994" i="1"/>
  <c r="CV994" i="1"/>
  <c r="CP994" i="1"/>
  <c r="CH994" i="1"/>
  <c r="CG994" i="1"/>
  <c r="CF994" i="1"/>
  <c r="CE994" i="1"/>
  <c r="CD994" i="1"/>
  <c r="CC994" i="1"/>
  <c r="CB994" i="1"/>
  <c r="CA994" i="1"/>
  <c r="CI994" i="1" s="1"/>
  <c r="BW994" i="1"/>
  <c r="BV994" i="1"/>
  <c r="BU994" i="1"/>
  <c r="BT994" i="1"/>
  <c r="BS994" i="1"/>
  <c r="BI994" i="1"/>
  <c r="BB994" i="1"/>
  <c r="AR994" i="1"/>
  <c r="AD994" i="1"/>
  <c r="W994" i="1"/>
  <c r="M994" i="1"/>
  <c r="DA993" i="1"/>
  <c r="CZ993" i="1"/>
  <c r="CY993" i="1"/>
  <c r="CL993" i="1"/>
  <c r="CH993" i="1"/>
  <c r="CG993" i="1"/>
  <c r="CF993" i="1"/>
  <c r="CE993" i="1"/>
  <c r="CD993" i="1"/>
  <c r="CC993" i="1"/>
  <c r="CB993" i="1"/>
  <c r="CA993" i="1"/>
  <c r="CI993" i="1" s="1"/>
  <c r="BW993" i="1"/>
  <c r="BV993" i="1"/>
  <c r="BU993" i="1"/>
  <c r="BT993" i="1"/>
  <c r="BS993" i="1"/>
  <c r="BM993" i="1"/>
  <c r="BL993" i="1"/>
  <c r="BI993" i="1"/>
  <c r="BB993" i="1"/>
  <c r="AR993" i="1"/>
  <c r="AH993" i="1"/>
  <c r="CW993" i="1" s="1"/>
  <c r="AG993" i="1"/>
  <c r="CV993" i="1" s="1"/>
  <c r="AD993" i="1"/>
  <c r="W993" i="1"/>
  <c r="M993" i="1"/>
  <c r="CT992" i="1"/>
  <c r="BI992" i="1"/>
  <c r="BB992" i="1"/>
  <c r="AR992" i="1"/>
  <c r="Y992" i="1"/>
  <c r="AD992" i="1" s="1"/>
  <c r="W992" i="1"/>
  <c r="M992" i="1"/>
  <c r="CT991" i="1"/>
  <c r="BI991" i="1"/>
  <c r="BB991" i="1"/>
  <c r="AR991" i="1"/>
  <c r="Y991" i="1"/>
  <c r="AD991" i="1" s="1"/>
  <c r="W991" i="1"/>
  <c r="M991" i="1"/>
  <c r="CT990" i="1"/>
  <c r="BI990" i="1"/>
  <c r="BB990" i="1"/>
  <c r="AR990" i="1"/>
  <c r="AD990" i="1"/>
  <c r="W990" i="1"/>
  <c r="M990" i="1"/>
  <c r="CT989" i="1"/>
  <c r="BI989" i="1"/>
  <c r="BB989" i="1"/>
  <c r="AR989" i="1"/>
  <c r="AD989" i="1"/>
  <c r="W989" i="1"/>
  <c r="M989" i="1"/>
  <c r="CT988" i="1"/>
  <c r="BI988" i="1"/>
  <c r="BB988" i="1"/>
  <c r="AR988" i="1"/>
  <c r="AD988" i="1"/>
  <c r="W988" i="1"/>
  <c r="M988" i="1"/>
  <c r="DA987" i="1"/>
  <c r="CZ987" i="1"/>
  <c r="CY987" i="1"/>
  <c r="CW987" i="1"/>
  <c r="CV987" i="1"/>
  <c r="CQ987" i="1"/>
  <c r="CH987" i="1"/>
  <c r="CG987" i="1"/>
  <c r="CF987" i="1"/>
  <c r="CE987" i="1"/>
  <c r="CD987" i="1"/>
  <c r="CC987" i="1"/>
  <c r="CB987" i="1"/>
  <c r="CA987" i="1"/>
  <c r="CI987" i="1" s="1"/>
  <c r="BX987" i="1"/>
  <c r="BW987" i="1"/>
  <c r="BV987" i="1"/>
  <c r="BU987" i="1"/>
  <c r="BT987" i="1"/>
  <c r="BS987" i="1"/>
  <c r="BI987" i="1"/>
  <c r="CM987" i="1" s="1"/>
  <c r="BB987" i="1"/>
  <c r="AR987" i="1"/>
  <c r="AD987" i="1"/>
  <c r="CP987" i="1" s="1"/>
  <c r="W987" i="1"/>
  <c r="M987" i="1"/>
  <c r="DA986" i="1"/>
  <c r="CZ986" i="1"/>
  <c r="CY986" i="1"/>
  <c r="CW986" i="1"/>
  <c r="CV986" i="1"/>
  <c r="CQ986" i="1"/>
  <c r="CO986" i="1"/>
  <c r="CM986" i="1"/>
  <c r="CH986" i="1"/>
  <c r="CG986" i="1"/>
  <c r="CF986" i="1"/>
  <c r="CE986" i="1"/>
  <c r="CD986" i="1"/>
  <c r="CC986" i="1"/>
  <c r="CB986" i="1"/>
  <c r="CA986" i="1"/>
  <c r="CI986" i="1" s="1"/>
  <c r="BX986" i="1"/>
  <c r="BW986" i="1"/>
  <c r="BV986" i="1"/>
  <c r="BU986" i="1"/>
  <c r="BT986" i="1"/>
  <c r="BS986" i="1"/>
  <c r="BI986" i="1"/>
  <c r="BB986" i="1"/>
  <c r="AR986" i="1"/>
  <c r="AD986" i="1"/>
  <c r="CL986" i="1" s="1"/>
  <c r="W986" i="1"/>
  <c r="M986" i="1"/>
  <c r="DA985" i="1"/>
  <c r="CZ985" i="1"/>
  <c r="CY985" i="1"/>
  <c r="CW985" i="1"/>
  <c r="CV985" i="1"/>
  <c r="CQ985" i="1"/>
  <c r="CH985" i="1"/>
  <c r="CG985" i="1"/>
  <c r="CF985" i="1"/>
  <c r="CE985" i="1"/>
  <c r="CD985" i="1"/>
  <c r="CC985" i="1"/>
  <c r="CB985" i="1"/>
  <c r="CA985" i="1"/>
  <c r="CI985" i="1" s="1"/>
  <c r="BX985" i="1"/>
  <c r="BW985" i="1"/>
  <c r="BV985" i="1"/>
  <c r="BU985" i="1"/>
  <c r="BT985" i="1"/>
  <c r="BS985" i="1"/>
  <c r="BI985" i="1"/>
  <c r="CM985" i="1" s="1"/>
  <c r="BB985" i="1"/>
  <c r="AR985" i="1"/>
  <c r="AD985" i="1"/>
  <c r="CP985" i="1" s="1"/>
  <c r="W985" i="1"/>
  <c r="M985" i="1"/>
  <c r="DA984" i="1"/>
  <c r="CZ984" i="1"/>
  <c r="CY984" i="1"/>
  <c r="CW984" i="1"/>
  <c r="CV984" i="1"/>
  <c r="CQ984" i="1"/>
  <c r="CO984" i="1"/>
  <c r="CM984" i="1"/>
  <c r="CH984" i="1"/>
  <c r="CG984" i="1"/>
  <c r="CF984" i="1"/>
  <c r="CE984" i="1"/>
  <c r="CD984" i="1"/>
  <c r="CC984" i="1"/>
  <c r="CB984" i="1"/>
  <c r="CA984" i="1"/>
  <c r="BX984" i="1"/>
  <c r="BW984" i="1"/>
  <c r="BV984" i="1"/>
  <c r="BU984" i="1"/>
  <c r="BT984" i="1"/>
  <c r="BS984" i="1"/>
  <c r="BI984" i="1"/>
  <c r="BB984" i="1"/>
  <c r="AR984" i="1"/>
  <c r="AD984" i="1"/>
  <c r="CL984" i="1" s="1"/>
  <c r="W984" i="1"/>
  <c r="M984" i="1"/>
  <c r="CT983" i="1"/>
  <c r="BI983" i="1"/>
  <c r="AR983" i="1"/>
  <c r="AD983" i="1"/>
  <c r="W983" i="1"/>
  <c r="M983" i="1"/>
  <c r="DA982" i="1"/>
  <c r="CZ982" i="1"/>
  <c r="CY982" i="1"/>
  <c r="CW982" i="1"/>
  <c r="CV982" i="1"/>
  <c r="CQ982" i="1"/>
  <c r="CO982" i="1"/>
  <c r="CH982" i="1"/>
  <c r="CG982" i="1"/>
  <c r="CF982" i="1"/>
  <c r="CE982" i="1"/>
  <c r="CD982" i="1"/>
  <c r="CC982" i="1"/>
  <c r="CB982" i="1"/>
  <c r="CA982" i="1"/>
  <c r="BX982" i="1"/>
  <c r="BW982" i="1"/>
  <c r="BV982" i="1"/>
  <c r="BU982" i="1"/>
  <c r="BT982" i="1"/>
  <c r="BS982" i="1"/>
  <c r="BI982" i="1"/>
  <c r="CN982" i="1" s="1"/>
  <c r="BB982" i="1"/>
  <c r="AR982" i="1"/>
  <c r="AD982" i="1"/>
  <c r="W982" i="1"/>
  <c r="M982" i="1"/>
  <c r="DA981" i="1"/>
  <c r="CZ981" i="1"/>
  <c r="CY981" i="1"/>
  <c r="CW981" i="1"/>
  <c r="CV981" i="1"/>
  <c r="CK981" i="1"/>
  <c r="CH981" i="1"/>
  <c r="CG981" i="1"/>
  <c r="CF981" i="1"/>
  <c r="CE981" i="1"/>
  <c r="CD981" i="1"/>
  <c r="CC981" i="1"/>
  <c r="CB981" i="1"/>
  <c r="CA981" i="1"/>
  <c r="CI981" i="1" s="1"/>
  <c r="BW981" i="1"/>
  <c r="BV981" i="1"/>
  <c r="BU981" i="1"/>
  <c r="BT981" i="1"/>
  <c r="BS981" i="1"/>
  <c r="BI981" i="1"/>
  <c r="BB981" i="1"/>
  <c r="AR981" i="1"/>
  <c r="AD981" i="1"/>
  <c r="CP981" i="1" s="1"/>
  <c r="W981" i="1"/>
  <c r="M981" i="1"/>
  <c r="DA980" i="1"/>
  <c r="CZ980" i="1"/>
  <c r="CY980" i="1"/>
  <c r="CW980" i="1"/>
  <c r="CV980" i="1"/>
  <c r="CQ980" i="1"/>
  <c r="CO980" i="1"/>
  <c r="CH980" i="1"/>
  <c r="CG980" i="1"/>
  <c r="CF980" i="1"/>
  <c r="CE980" i="1"/>
  <c r="CD980" i="1"/>
  <c r="CC980" i="1"/>
  <c r="CB980" i="1"/>
  <c r="CA980" i="1"/>
  <c r="CI980" i="1" s="1"/>
  <c r="BX980" i="1"/>
  <c r="BW980" i="1"/>
  <c r="BV980" i="1"/>
  <c r="BU980" i="1"/>
  <c r="BT980" i="1"/>
  <c r="BS980" i="1"/>
  <c r="BI980" i="1"/>
  <c r="CN980" i="1" s="1"/>
  <c r="BB980" i="1"/>
  <c r="AR980" i="1"/>
  <c r="AD980" i="1"/>
  <c r="CL980" i="1" s="1"/>
  <c r="W980" i="1"/>
  <c r="M980" i="1"/>
  <c r="DA979" i="1"/>
  <c r="CZ979" i="1"/>
  <c r="CY979" i="1"/>
  <c r="CW979" i="1"/>
  <c r="CV979" i="1"/>
  <c r="CM979" i="1"/>
  <c r="CK979" i="1"/>
  <c r="CH979" i="1"/>
  <c r="CG979" i="1"/>
  <c r="CF979" i="1"/>
  <c r="CE979" i="1"/>
  <c r="CD979" i="1"/>
  <c r="CC979" i="1"/>
  <c r="CB979" i="1"/>
  <c r="CA979" i="1"/>
  <c r="BW979" i="1"/>
  <c r="BV979" i="1"/>
  <c r="BU979" i="1"/>
  <c r="BT979" i="1"/>
  <c r="BS979" i="1"/>
  <c r="BI979" i="1"/>
  <c r="BB979" i="1"/>
  <c r="AR979" i="1"/>
  <c r="AD979" i="1"/>
  <c r="W979" i="1"/>
  <c r="M979" i="1"/>
  <c r="CT978" i="1"/>
  <c r="BI978" i="1"/>
  <c r="BB978" i="1"/>
  <c r="AR978" i="1"/>
  <c r="AD978" i="1"/>
  <c r="W978" i="1"/>
  <c r="M978" i="1"/>
  <c r="CT977" i="1"/>
  <c r="BI977" i="1"/>
  <c r="BB977" i="1"/>
  <c r="AR977" i="1"/>
  <c r="AD977" i="1"/>
  <c r="W977" i="1"/>
  <c r="M977" i="1"/>
  <c r="CT976" i="1"/>
  <c r="BI976" i="1"/>
  <c r="BB976" i="1"/>
  <c r="AR976" i="1"/>
  <c r="AD976" i="1"/>
  <c r="W976" i="1"/>
  <c r="M976" i="1"/>
  <c r="DA975" i="1"/>
  <c r="CZ975" i="1"/>
  <c r="CY975" i="1"/>
  <c r="CW975" i="1"/>
  <c r="CV975" i="1"/>
  <c r="CN975" i="1"/>
  <c r="CL975" i="1"/>
  <c r="CH975" i="1"/>
  <c r="CG975" i="1"/>
  <c r="CF975" i="1"/>
  <c r="CE975" i="1"/>
  <c r="CD975" i="1"/>
  <c r="CC975" i="1"/>
  <c r="CB975" i="1"/>
  <c r="CA975" i="1"/>
  <c r="BW975" i="1"/>
  <c r="BV975" i="1"/>
  <c r="BU975" i="1"/>
  <c r="BT975" i="1"/>
  <c r="BS975" i="1"/>
  <c r="BI975" i="1"/>
  <c r="BB975" i="1"/>
  <c r="AR975" i="1"/>
  <c r="AD975" i="1"/>
  <c r="W975" i="1"/>
  <c r="M975" i="1"/>
  <c r="DA974" i="1"/>
  <c r="CZ974" i="1"/>
  <c r="CY974" i="1"/>
  <c r="CW974" i="1"/>
  <c r="CV974" i="1"/>
  <c r="CR974" i="1"/>
  <c r="CP974" i="1"/>
  <c r="CL974" i="1"/>
  <c r="CH974" i="1"/>
  <c r="CG974" i="1"/>
  <c r="CF974" i="1"/>
  <c r="CE974" i="1"/>
  <c r="CD974" i="1"/>
  <c r="CC974" i="1"/>
  <c r="CB974" i="1"/>
  <c r="CA974" i="1"/>
  <c r="CI974" i="1" s="1"/>
  <c r="BW974" i="1"/>
  <c r="BV974" i="1"/>
  <c r="BU974" i="1"/>
  <c r="BT974" i="1"/>
  <c r="BS974" i="1"/>
  <c r="BI974" i="1"/>
  <c r="BB974" i="1"/>
  <c r="AR974" i="1"/>
  <c r="AD974" i="1"/>
  <c r="W974" i="1"/>
  <c r="M974" i="1"/>
  <c r="DA973" i="1"/>
  <c r="CZ973" i="1"/>
  <c r="CY973" i="1"/>
  <c r="CW973" i="1"/>
  <c r="CV973" i="1"/>
  <c r="CH973" i="1"/>
  <c r="CG973" i="1"/>
  <c r="CF973" i="1"/>
  <c r="CE973" i="1"/>
  <c r="CD973" i="1"/>
  <c r="CC973" i="1"/>
  <c r="CB973" i="1"/>
  <c r="CA973" i="1"/>
  <c r="BW973" i="1"/>
  <c r="BV973" i="1"/>
  <c r="BU973" i="1"/>
  <c r="BT973" i="1"/>
  <c r="BS973" i="1"/>
  <c r="BI973" i="1"/>
  <c r="BB973" i="1"/>
  <c r="AR973" i="1"/>
  <c r="AD973" i="1"/>
  <c r="W973" i="1"/>
  <c r="M973" i="1"/>
  <c r="DA972" i="1"/>
  <c r="CZ972" i="1"/>
  <c r="CY972" i="1"/>
  <c r="CW972" i="1"/>
  <c r="CV972" i="1"/>
  <c r="CP972" i="1"/>
  <c r="CH972" i="1"/>
  <c r="CG972" i="1"/>
  <c r="CF972" i="1"/>
  <c r="CE972" i="1"/>
  <c r="CD972" i="1"/>
  <c r="CC972" i="1"/>
  <c r="CB972" i="1"/>
  <c r="CA972" i="1"/>
  <c r="CI972" i="1" s="1"/>
  <c r="BW972" i="1"/>
  <c r="BV972" i="1"/>
  <c r="BU972" i="1"/>
  <c r="BT972" i="1"/>
  <c r="BS972" i="1"/>
  <c r="BI972" i="1"/>
  <c r="BB972" i="1"/>
  <c r="AR972" i="1"/>
  <c r="AD972" i="1"/>
  <c r="CR972" i="1" s="1"/>
  <c r="W972" i="1"/>
  <c r="M972" i="1"/>
  <c r="CT971" i="1"/>
  <c r="BI971" i="1"/>
  <c r="AR971" i="1"/>
  <c r="AD971" i="1"/>
  <c r="W971" i="1"/>
  <c r="M971" i="1"/>
  <c r="DA970" i="1"/>
  <c r="CZ970" i="1"/>
  <c r="CY970" i="1"/>
  <c r="CW970" i="1"/>
  <c r="CV970" i="1"/>
  <c r="CR970" i="1"/>
  <c r="CN970" i="1"/>
  <c r="CL970" i="1"/>
  <c r="CH970" i="1"/>
  <c r="CG970" i="1"/>
  <c r="CF970" i="1"/>
  <c r="CE970" i="1"/>
  <c r="CD970" i="1"/>
  <c r="CC970" i="1"/>
  <c r="CB970" i="1"/>
  <c r="CA970" i="1"/>
  <c r="CI970" i="1" s="1"/>
  <c r="BW970" i="1"/>
  <c r="BV970" i="1"/>
  <c r="BU970" i="1"/>
  <c r="BT970" i="1"/>
  <c r="BS970" i="1"/>
  <c r="BI970" i="1"/>
  <c r="BB970" i="1"/>
  <c r="AR970" i="1"/>
  <c r="AD970" i="1"/>
  <c r="W970" i="1"/>
  <c r="M970" i="1"/>
  <c r="DA969" i="1"/>
  <c r="CZ969" i="1"/>
  <c r="CY969" i="1"/>
  <c r="CW969" i="1"/>
  <c r="CV969" i="1"/>
  <c r="CN969" i="1"/>
  <c r="CH969" i="1"/>
  <c r="CG969" i="1"/>
  <c r="CF969" i="1"/>
  <c r="CE969" i="1"/>
  <c r="CD969" i="1"/>
  <c r="CC969" i="1"/>
  <c r="CB969" i="1"/>
  <c r="CA969" i="1"/>
  <c r="CI969" i="1" s="1"/>
  <c r="BW969" i="1"/>
  <c r="BV969" i="1"/>
  <c r="BU969" i="1"/>
  <c r="BT969" i="1"/>
  <c r="BS969" i="1"/>
  <c r="BI969" i="1"/>
  <c r="BB969" i="1"/>
  <c r="AR969" i="1"/>
  <c r="AD969" i="1"/>
  <c r="CR969" i="1" s="1"/>
  <c r="W969" i="1"/>
  <c r="M969" i="1"/>
  <c r="DA968" i="1"/>
  <c r="CZ968" i="1"/>
  <c r="CY968" i="1"/>
  <c r="CW968" i="1"/>
  <c r="CV968" i="1"/>
  <c r="CR968" i="1"/>
  <c r="CQ968" i="1"/>
  <c r="CN968" i="1"/>
  <c r="CM968" i="1"/>
  <c r="CL968" i="1"/>
  <c r="CH968" i="1"/>
  <c r="CG968" i="1"/>
  <c r="CF968" i="1"/>
  <c r="CE968" i="1"/>
  <c r="CD968" i="1"/>
  <c r="CC968" i="1"/>
  <c r="CB968" i="1"/>
  <c r="CA968" i="1"/>
  <c r="CI968" i="1" s="1"/>
  <c r="BX968" i="1"/>
  <c r="BW968" i="1"/>
  <c r="BV968" i="1"/>
  <c r="BU968" i="1"/>
  <c r="BT968" i="1"/>
  <c r="BS968" i="1"/>
  <c r="BI968" i="1"/>
  <c r="BB968" i="1"/>
  <c r="AR968" i="1"/>
  <c r="AD968" i="1"/>
  <c r="CP968" i="1" s="1"/>
  <c r="W968" i="1"/>
  <c r="M968" i="1"/>
  <c r="DA967" i="1"/>
  <c r="CZ967" i="1"/>
  <c r="CY967" i="1"/>
  <c r="CW967" i="1"/>
  <c r="CV967" i="1"/>
  <c r="CR967" i="1"/>
  <c r="CQ967" i="1"/>
  <c r="CN967" i="1"/>
  <c r="CH967" i="1"/>
  <c r="CG967" i="1"/>
  <c r="CF967" i="1"/>
  <c r="CE967" i="1"/>
  <c r="CD967" i="1"/>
  <c r="CC967" i="1"/>
  <c r="CB967" i="1"/>
  <c r="CA967" i="1"/>
  <c r="CI967" i="1" s="1"/>
  <c r="BX967" i="1"/>
  <c r="BW967" i="1"/>
  <c r="BV967" i="1"/>
  <c r="BU967" i="1"/>
  <c r="BT967" i="1"/>
  <c r="BS967" i="1"/>
  <c r="BI967" i="1"/>
  <c r="BB967" i="1"/>
  <c r="AR967" i="1"/>
  <c r="AD967" i="1"/>
  <c r="W967" i="1"/>
  <c r="M967" i="1"/>
  <c r="DA966" i="1"/>
  <c r="CZ966" i="1"/>
  <c r="CY966" i="1"/>
  <c r="CW966" i="1"/>
  <c r="CV966" i="1"/>
  <c r="CR966" i="1"/>
  <c r="CQ966" i="1"/>
  <c r="CN966" i="1"/>
  <c r="CM966" i="1"/>
  <c r="CL966" i="1"/>
  <c r="CH966" i="1"/>
  <c r="CG966" i="1"/>
  <c r="CF966" i="1"/>
  <c r="CE966" i="1"/>
  <c r="CD966" i="1"/>
  <c r="CC966" i="1"/>
  <c r="CB966" i="1"/>
  <c r="CA966" i="1"/>
  <c r="CI966" i="1" s="1"/>
  <c r="BX966" i="1"/>
  <c r="BW966" i="1"/>
  <c r="BV966" i="1"/>
  <c r="BU966" i="1"/>
  <c r="BT966" i="1"/>
  <c r="BS966" i="1"/>
  <c r="BI966" i="1"/>
  <c r="BB966" i="1"/>
  <c r="AR966" i="1"/>
  <c r="AD966" i="1"/>
  <c r="CP966" i="1" s="1"/>
  <c r="W966" i="1"/>
  <c r="M966" i="1"/>
  <c r="DA965" i="1"/>
  <c r="CZ965" i="1"/>
  <c r="CY965" i="1"/>
  <c r="CW965" i="1"/>
  <c r="CV965" i="1"/>
  <c r="CH965" i="1"/>
  <c r="CG965" i="1"/>
  <c r="CF965" i="1"/>
  <c r="CE965" i="1"/>
  <c r="CD965" i="1"/>
  <c r="CC965" i="1"/>
  <c r="CB965" i="1"/>
  <c r="CA965" i="1"/>
  <c r="CI965" i="1" s="1"/>
  <c r="BW965" i="1"/>
  <c r="BV965" i="1"/>
  <c r="BU965" i="1"/>
  <c r="BT965" i="1"/>
  <c r="BS965" i="1"/>
  <c r="BI965" i="1"/>
  <c r="BB965" i="1"/>
  <c r="AR965" i="1"/>
  <c r="AD965" i="1"/>
  <c r="CR965" i="1" s="1"/>
  <c r="W965" i="1"/>
  <c r="M965" i="1"/>
  <c r="DA964" i="1"/>
  <c r="CZ964" i="1"/>
  <c r="CY964" i="1"/>
  <c r="CW964" i="1"/>
  <c r="CV964" i="1"/>
  <c r="CR964" i="1"/>
  <c r="CQ964" i="1"/>
  <c r="CN964" i="1"/>
  <c r="CM964" i="1"/>
  <c r="CL964" i="1"/>
  <c r="CH964" i="1"/>
  <c r="CG964" i="1"/>
  <c r="CF964" i="1"/>
  <c r="CE964" i="1"/>
  <c r="CD964" i="1"/>
  <c r="CC964" i="1"/>
  <c r="CB964" i="1"/>
  <c r="CA964" i="1"/>
  <c r="CI964" i="1" s="1"/>
  <c r="BX964" i="1"/>
  <c r="BW964" i="1"/>
  <c r="BV964" i="1"/>
  <c r="BU964" i="1"/>
  <c r="BT964" i="1"/>
  <c r="BS964" i="1"/>
  <c r="BI964" i="1"/>
  <c r="BB964" i="1"/>
  <c r="AR964" i="1"/>
  <c r="AD964" i="1"/>
  <c r="CP964" i="1" s="1"/>
  <c r="W964" i="1"/>
  <c r="M964" i="1"/>
  <c r="DA963" i="1"/>
  <c r="CZ963" i="1"/>
  <c r="CY963" i="1"/>
  <c r="CW963" i="1"/>
  <c r="CV963" i="1"/>
  <c r="CR963" i="1"/>
  <c r="CQ963" i="1"/>
  <c r="CH963" i="1"/>
  <c r="CG963" i="1"/>
  <c r="CF963" i="1"/>
  <c r="CE963" i="1"/>
  <c r="CD963" i="1"/>
  <c r="CC963" i="1"/>
  <c r="CB963" i="1"/>
  <c r="CA963" i="1"/>
  <c r="CI963" i="1" s="1"/>
  <c r="BW963" i="1"/>
  <c r="BV963" i="1"/>
  <c r="BU963" i="1"/>
  <c r="BT963" i="1"/>
  <c r="BS963" i="1"/>
  <c r="BI963" i="1"/>
  <c r="BB963" i="1"/>
  <c r="AR963" i="1"/>
  <c r="AD963" i="1"/>
  <c r="CP963" i="1" s="1"/>
  <c r="W963" i="1"/>
  <c r="M963" i="1"/>
  <c r="DA962" i="1"/>
  <c r="CZ962" i="1"/>
  <c r="CY962" i="1"/>
  <c r="CW962" i="1"/>
  <c r="CV962" i="1"/>
  <c r="CR962" i="1"/>
  <c r="CQ962" i="1"/>
  <c r="CN962" i="1"/>
  <c r="CM962" i="1"/>
  <c r="CL962" i="1"/>
  <c r="CH962" i="1"/>
  <c r="CG962" i="1"/>
  <c r="CE962" i="1"/>
  <c r="CD962" i="1"/>
  <c r="CC962" i="1"/>
  <c r="CB962" i="1"/>
  <c r="CA962" i="1"/>
  <c r="CI962" i="1" s="1"/>
  <c r="BX962" i="1"/>
  <c r="BW962" i="1"/>
  <c r="BV962" i="1"/>
  <c r="BU962" i="1"/>
  <c r="BT962" i="1"/>
  <c r="BS962" i="1"/>
  <c r="BI962" i="1"/>
  <c r="BB962" i="1"/>
  <c r="AR962" i="1"/>
  <c r="AD962" i="1"/>
  <c r="CP962" i="1" s="1"/>
  <c r="Y962" i="1"/>
  <c r="CF962" i="1" s="1"/>
  <c r="W962" i="1"/>
  <c r="M962" i="1"/>
  <c r="DA961" i="1"/>
  <c r="CZ961" i="1"/>
  <c r="CY961" i="1"/>
  <c r="CW961" i="1"/>
  <c r="CV961" i="1"/>
  <c r="CF961" i="1"/>
  <c r="CE961" i="1"/>
  <c r="CB961" i="1"/>
  <c r="BW961" i="1"/>
  <c r="BV961" i="1"/>
  <c r="BU961" i="1"/>
  <c r="BT961" i="1"/>
  <c r="BI961" i="1"/>
  <c r="BB961" i="1"/>
  <c r="AR961" i="1"/>
  <c r="Y961" i="1"/>
  <c r="CH961" i="1" s="1"/>
  <c r="W961" i="1"/>
  <c r="M961" i="1"/>
  <c r="DA960" i="1"/>
  <c r="CZ960" i="1"/>
  <c r="CY960" i="1"/>
  <c r="CW960" i="1"/>
  <c r="CV960" i="1"/>
  <c r="CG960" i="1"/>
  <c r="CF960" i="1"/>
  <c r="CE960" i="1"/>
  <c r="CC960" i="1"/>
  <c r="CA960" i="1"/>
  <c r="BW960" i="1"/>
  <c r="BV960" i="1"/>
  <c r="BU960" i="1"/>
  <c r="BT960" i="1"/>
  <c r="BS960" i="1"/>
  <c r="BI960" i="1"/>
  <c r="BD960" i="1"/>
  <c r="BB960" i="1"/>
  <c r="AR960" i="1"/>
  <c r="AD960" i="1"/>
  <c r="W960" i="1"/>
  <c r="M960" i="1"/>
  <c r="DA959" i="1"/>
  <c r="CZ959" i="1"/>
  <c r="CY959" i="1"/>
  <c r="CW959" i="1"/>
  <c r="CV959" i="1"/>
  <c r="CH959" i="1"/>
  <c r="CG959" i="1"/>
  <c r="CF959" i="1"/>
  <c r="CD959" i="1"/>
  <c r="CC959" i="1"/>
  <c r="CB959" i="1"/>
  <c r="BW959" i="1"/>
  <c r="BV959" i="1"/>
  <c r="BU959" i="1"/>
  <c r="BT959" i="1"/>
  <c r="BS959" i="1"/>
  <c r="BI959" i="1"/>
  <c r="BD959" i="1"/>
  <c r="CE959" i="1" s="1"/>
  <c r="BB959" i="1"/>
  <c r="AR959" i="1"/>
  <c r="AD959" i="1"/>
  <c r="W959" i="1"/>
  <c r="M959" i="1"/>
  <c r="DA958" i="1"/>
  <c r="CZ958" i="1"/>
  <c r="CY958" i="1"/>
  <c r="CW958" i="1"/>
  <c r="CV958" i="1"/>
  <c r="CH958" i="1"/>
  <c r="CD958" i="1"/>
  <c r="BW958" i="1"/>
  <c r="BV958" i="1"/>
  <c r="BU958" i="1"/>
  <c r="BT958" i="1"/>
  <c r="BS958" i="1"/>
  <c r="BD958" i="1"/>
  <c r="CA958" i="1" s="1"/>
  <c r="BB958" i="1"/>
  <c r="AR958" i="1"/>
  <c r="AD958" i="1"/>
  <c r="W958" i="1"/>
  <c r="M958" i="1"/>
  <c r="DA957" i="1"/>
  <c r="CZ957" i="1"/>
  <c r="CY957" i="1"/>
  <c r="CW957" i="1"/>
  <c r="CV957" i="1"/>
  <c r="CH957" i="1"/>
  <c r="CF957" i="1"/>
  <c r="BW957" i="1"/>
  <c r="BV957" i="1"/>
  <c r="BU957" i="1"/>
  <c r="BT957" i="1"/>
  <c r="BD957" i="1"/>
  <c r="CA957" i="1" s="1"/>
  <c r="BB957" i="1"/>
  <c r="AR957" i="1"/>
  <c r="AD957" i="1"/>
  <c r="W957" i="1"/>
  <c r="M957" i="1"/>
  <c r="DA956" i="1"/>
  <c r="CZ956" i="1"/>
  <c r="CY956" i="1"/>
  <c r="CW956" i="1"/>
  <c r="CV956" i="1"/>
  <c r="CG956" i="1"/>
  <c r="CF956" i="1"/>
  <c r="BW956" i="1"/>
  <c r="BV956" i="1"/>
  <c r="BU956" i="1"/>
  <c r="BT956" i="1"/>
  <c r="BD956" i="1"/>
  <c r="CA956" i="1" s="1"/>
  <c r="BB956" i="1"/>
  <c r="AR956" i="1"/>
  <c r="AD956" i="1"/>
  <c r="W956" i="1"/>
  <c r="M956" i="1"/>
  <c r="DA955" i="1"/>
  <c r="CZ955" i="1"/>
  <c r="CY955" i="1"/>
  <c r="CV955" i="1"/>
  <c r="CP955" i="1"/>
  <c r="CG955" i="1"/>
  <c r="CF955" i="1"/>
  <c r="CD955" i="1"/>
  <c r="BW955" i="1"/>
  <c r="BV955" i="1"/>
  <c r="BU955" i="1"/>
  <c r="BT955" i="1"/>
  <c r="BS955" i="1"/>
  <c r="BM955" i="1"/>
  <c r="CW955" i="1" s="1"/>
  <c r="BL955" i="1"/>
  <c r="BI955" i="1"/>
  <c r="BD955" i="1"/>
  <c r="CH955" i="1" s="1"/>
  <c r="BB955" i="1"/>
  <c r="AR955" i="1"/>
  <c r="AD955" i="1"/>
  <c r="CO955" i="1" s="1"/>
  <c r="W955" i="1"/>
  <c r="M955" i="1"/>
  <c r="DA954" i="1"/>
  <c r="CZ954" i="1"/>
  <c r="CY954" i="1"/>
  <c r="CW954" i="1"/>
  <c r="CV954" i="1"/>
  <c r="CR954" i="1"/>
  <c r="CQ954" i="1"/>
  <c r="CO954" i="1"/>
  <c r="CN954" i="1"/>
  <c r="CM954" i="1"/>
  <c r="CL954" i="1"/>
  <c r="CH954" i="1"/>
  <c r="CG954" i="1"/>
  <c r="CF954" i="1"/>
  <c r="CE954" i="1"/>
  <c r="CD954" i="1"/>
  <c r="CC954" i="1"/>
  <c r="CB954" i="1"/>
  <c r="CA954" i="1"/>
  <c r="CI954" i="1" s="1"/>
  <c r="BX954" i="1"/>
  <c r="BW954" i="1"/>
  <c r="BV954" i="1"/>
  <c r="BU954" i="1"/>
  <c r="BT954" i="1"/>
  <c r="BS954" i="1"/>
  <c r="BI954" i="1"/>
  <c r="CK954" i="1" s="1"/>
  <c r="CS954" i="1" s="1"/>
  <c r="CT954" i="1" s="1"/>
  <c r="BB954" i="1"/>
  <c r="AR954" i="1"/>
  <c r="AD954" i="1"/>
  <c r="CP954" i="1" s="1"/>
  <c r="W954" i="1"/>
  <c r="M954" i="1"/>
  <c r="DA953" i="1"/>
  <c r="CZ953" i="1"/>
  <c r="CY953" i="1"/>
  <c r="CW953" i="1"/>
  <c r="CV953" i="1"/>
  <c r="BW953" i="1"/>
  <c r="BV953" i="1"/>
  <c r="BU953" i="1"/>
  <c r="BT953" i="1"/>
  <c r="BM953" i="1"/>
  <c r="BL953" i="1"/>
  <c r="BD953" i="1"/>
  <c r="CH953" i="1" s="1"/>
  <c r="BB953" i="1"/>
  <c r="AR953" i="1"/>
  <c r="AD953" i="1"/>
  <c r="W953" i="1"/>
  <c r="M953" i="1"/>
  <c r="DA952" i="1"/>
  <c r="CZ952" i="1"/>
  <c r="CY952" i="1"/>
  <c r="CW952" i="1"/>
  <c r="CV952" i="1"/>
  <c r="CH952" i="1"/>
  <c r="CG952" i="1"/>
  <c r="CF952" i="1"/>
  <c r="CE952" i="1"/>
  <c r="CD952" i="1"/>
  <c r="CC952" i="1"/>
  <c r="CB952" i="1"/>
  <c r="CA952" i="1"/>
  <c r="BW952" i="1"/>
  <c r="BV952" i="1"/>
  <c r="BU952" i="1"/>
  <c r="BT952" i="1"/>
  <c r="BS952" i="1"/>
  <c r="BI952" i="1"/>
  <c r="CN952" i="1" s="1"/>
  <c r="BB952" i="1"/>
  <c r="AR952" i="1"/>
  <c r="AD952" i="1"/>
  <c r="CP952" i="1" s="1"/>
  <c r="W952" i="1"/>
  <c r="M952" i="1"/>
  <c r="DA951" i="1"/>
  <c r="CZ951" i="1"/>
  <c r="CY951" i="1"/>
  <c r="CW951" i="1"/>
  <c r="CV951" i="1"/>
  <c r="CO951" i="1"/>
  <c r="CN951" i="1"/>
  <c r="CH951" i="1"/>
  <c r="CG951" i="1"/>
  <c r="CF951" i="1"/>
  <c r="CE951" i="1"/>
  <c r="CD951" i="1"/>
  <c r="CC951" i="1"/>
  <c r="CB951" i="1"/>
  <c r="CA951" i="1"/>
  <c r="CI951" i="1" s="1"/>
  <c r="BW951" i="1"/>
  <c r="BV951" i="1"/>
  <c r="BU951" i="1"/>
  <c r="BT951" i="1"/>
  <c r="BS951" i="1"/>
  <c r="BI951" i="1"/>
  <c r="BB951" i="1"/>
  <c r="AR951" i="1"/>
  <c r="AD951" i="1"/>
  <c r="CL951" i="1" s="1"/>
  <c r="W951" i="1"/>
  <c r="M951" i="1"/>
  <c r="DA950" i="1"/>
  <c r="CZ950" i="1"/>
  <c r="CY950" i="1"/>
  <c r="CW950" i="1"/>
  <c r="CV950" i="1"/>
  <c r="CH950" i="1"/>
  <c r="BW950" i="1"/>
  <c r="BV950" i="1"/>
  <c r="BU950" i="1"/>
  <c r="BT950" i="1"/>
  <c r="BD950" i="1"/>
  <c r="CB950" i="1" s="1"/>
  <c r="BB950" i="1"/>
  <c r="AR950" i="1"/>
  <c r="Y950" i="1"/>
  <c r="CF950" i="1" s="1"/>
  <c r="W950" i="1"/>
  <c r="M950" i="1"/>
  <c r="DA949" i="1"/>
  <c r="CZ949" i="1"/>
  <c r="CY949" i="1"/>
  <c r="CW949" i="1"/>
  <c r="CV949" i="1"/>
  <c r="CE949" i="1"/>
  <c r="BW949" i="1"/>
  <c r="BV949" i="1"/>
  <c r="BU949" i="1"/>
  <c r="BT949" i="1"/>
  <c r="BI949" i="1"/>
  <c r="BB949" i="1"/>
  <c r="AR949" i="1"/>
  <c r="Y949" i="1"/>
  <c r="CC949" i="1" s="1"/>
  <c r="W949" i="1"/>
  <c r="M949" i="1"/>
  <c r="DA948" i="1"/>
  <c r="CZ948" i="1"/>
  <c r="CY948" i="1"/>
  <c r="BW948" i="1"/>
  <c r="BV948" i="1"/>
  <c r="BU948" i="1"/>
  <c r="BT948" i="1"/>
  <c r="BM948" i="1"/>
  <c r="CW948" i="1" s="1"/>
  <c r="BL948" i="1"/>
  <c r="BI948" i="1"/>
  <c r="BD948" i="1"/>
  <c r="BB948" i="1"/>
  <c r="AR948" i="1"/>
  <c r="AH948" i="1"/>
  <c r="AG948" i="1"/>
  <c r="CV948" i="1" s="1"/>
  <c r="Y948" i="1"/>
  <c r="CG948" i="1" s="1"/>
  <c r="W948" i="1"/>
  <c r="M948" i="1"/>
  <c r="DA947" i="1"/>
  <c r="CZ947" i="1"/>
  <c r="CY947" i="1"/>
  <c r="BW947" i="1"/>
  <c r="BV947" i="1"/>
  <c r="BU947" i="1"/>
  <c r="BT947" i="1"/>
  <c r="BM947" i="1"/>
  <c r="BL947" i="1"/>
  <c r="BI947" i="1"/>
  <c r="BB947" i="1"/>
  <c r="AR947" i="1"/>
  <c r="AH947" i="1"/>
  <c r="CW947" i="1" s="1"/>
  <c r="AG947" i="1"/>
  <c r="CV947" i="1" s="1"/>
  <c r="Y947" i="1"/>
  <c r="CH947" i="1" s="1"/>
  <c r="W947" i="1"/>
  <c r="M947" i="1"/>
  <c r="DA946" i="1"/>
  <c r="CZ946" i="1"/>
  <c r="CY946" i="1"/>
  <c r="CW946" i="1"/>
  <c r="CV946" i="1"/>
  <c r="CM946" i="1"/>
  <c r="CL946" i="1"/>
  <c r="CH946" i="1"/>
  <c r="CG946" i="1"/>
  <c r="CF946" i="1"/>
  <c r="CE946" i="1"/>
  <c r="CD946" i="1"/>
  <c r="CC946" i="1"/>
  <c r="CB946" i="1"/>
  <c r="CA946" i="1"/>
  <c r="CI946" i="1" s="1"/>
  <c r="BW946" i="1"/>
  <c r="BV946" i="1"/>
  <c r="BU946" i="1"/>
  <c r="BT946" i="1"/>
  <c r="BS946" i="1"/>
  <c r="BI946" i="1"/>
  <c r="BB946" i="1"/>
  <c r="AR946" i="1"/>
  <c r="AD946" i="1"/>
  <c r="CR946" i="1" s="1"/>
  <c r="W946" i="1"/>
  <c r="M946" i="1"/>
  <c r="DA945" i="1"/>
  <c r="CZ945" i="1"/>
  <c r="CY945" i="1"/>
  <c r="CP945" i="1"/>
  <c r="CH945" i="1"/>
  <c r="CG945" i="1"/>
  <c r="CF945" i="1"/>
  <c r="CE945" i="1"/>
  <c r="CD945" i="1"/>
  <c r="CC945" i="1"/>
  <c r="CB945" i="1"/>
  <c r="CA945" i="1"/>
  <c r="CI945" i="1" s="1"/>
  <c r="BW945" i="1"/>
  <c r="BV945" i="1"/>
  <c r="BU945" i="1"/>
  <c r="BT945" i="1"/>
  <c r="BS945" i="1"/>
  <c r="BM945" i="1"/>
  <c r="BL945" i="1"/>
  <c r="BI945" i="1"/>
  <c r="CR945" i="1" s="1"/>
  <c r="BB945" i="1"/>
  <c r="AR945" i="1"/>
  <c r="AH945" i="1"/>
  <c r="CW945" i="1" s="1"/>
  <c r="AG945" i="1"/>
  <c r="CV945" i="1" s="1"/>
  <c r="AD945" i="1"/>
  <c r="CN945" i="1" s="1"/>
  <c r="W945" i="1"/>
  <c r="M945" i="1"/>
  <c r="DA944" i="1"/>
  <c r="CZ944" i="1"/>
  <c r="CY944" i="1"/>
  <c r="CW944" i="1"/>
  <c r="CV944" i="1"/>
  <c r="CH944" i="1"/>
  <c r="CG944" i="1"/>
  <c r="CF944" i="1"/>
  <c r="CE944" i="1"/>
  <c r="CD944" i="1"/>
  <c r="CC944" i="1"/>
  <c r="CB944" i="1"/>
  <c r="CA944" i="1"/>
  <c r="CI944" i="1" s="1"/>
  <c r="BW944" i="1"/>
  <c r="BV944" i="1"/>
  <c r="BU944" i="1"/>
  <c r="BT944" i="1"/>
  <c r="BS944" i="1"/>
  <c r="BI944" i="1"/>
  <c r="BB944" i="1"/>
  <c r="AR944" i="1"/>
  <c r="AD944" i="1"/>
  <c r="CN944" i="1" s="1"/>
  <c r="W944" i="1"/>
  <c r="M944" i="1"/>
  <c r="DA943" i="1"/>
  <c r="CZ943" i="1"/>
  <c r="CY943" i="1"/>
  <c r="CH943" i="1"/>
  <c r="CG943" i="1"/>
  <c r="CF943" i="1"/>
  <c r="CE943" i="1"/>
  <c r="CD943" i="1"/>
  <c r="CC943" i="1"/>
  <c r="CB943" i="1"/>
  <c r="CA943" i="1"/>
  <c r="CI943" i="1" s="1"/>
  <c r="BW943" i="1"/>
  <c r="BV943" i="1"/>
  <c r="BU943" i="1"/>
  <c r="BT943" i="1"/>
  <c r="BS943" i="1"/>
  <c r="BM943" i="1"/>
  <c r="BL943" i="1"/>
  <c r="BI943" i="1"/>
  <c r="BB943" i="1"/>
  <c r="AR943" i="1"/>
  <c r="AH943" i="1"/>
  <c r="CW943" i="1" s="1"/>
  <c r="AG943" i="1"/>
  <c r="CV943" i="1" s="1"/>
  <c r="AD943" i="1"/>
  <c r="CR943" i="1" s="1"/>
  <c r="W943" i="1"/>
  <c r="M943" i="1"/>
  <c r="DA942" i="1"/>
  <c r="CZ942" i="1"/>
  <c r="CY942" i="1"/>
  <c r="CW942" i="1"/>
  <c r="CV942" i="1"/>
  <c r="CN942" i="1"/>
  <c r="CM942" i="1"/>
  <c r="CL942" i="1"/>
  <c r="CH942" i="1"/>
  <c r="CG942" i="1"/>
  <c r="CF942" i="1"/>
  <c r="CE942" i="1"/>
  <c r="CD942" i="1"/>
  <c r="CC942" i="1"/>
  <c r="CB942" i="1"/>
  <c r="CA942" i="1"/>
  <c r="CI942" i="1" s="1"/>
  <c r="BW942" i="1"/>
  <c r="BV942" i="1"/>
  <c r="BU942" i="1"/>
  <c r="BT942" i="1"/>
  <c r="BS942" i="1"/>
  <c r="BI942" i="1"/>
  <c r="CK942" i="1" s="1"/>
  <c r="BB942" i="1"/>
  <c r="AR942" i="1"/>
  <c r="AD942" i="1"/>
  <c r="CR942" i="1" s="1"/>
  <c r="W942" i="1"/>
  <c r="M942" i="1"/>
  <c r="DA941" i="1"/>
  <c r="CZ941" i="1"/>
  <c r="CY941" i="1"/>
  <c r="CW941" i="1"/>
  <c r="CV941" i="1"/>
  <c r="CH941" i="1"/>
  <c r="CG941" i="1"/>
  <c r="CF941" i="1"/>
  <c r="CE941" i="1"/>
  <c r="CD941" i="1"/>
  <c r="CC941" i="1"/>
  <c r="CB941" i="1"/>
  <c r="CA941" i="1"/>
  <c r="CI941" i="1" s="1"/>
  <c r="BW941" i="1"/>
  <c r="BV941" i="1"/>
  <c r="BU941" i="1"/>
  <c r="BT941" i="1"/>
  <c r="BS941" i="1"/>
  <c r="BI941" i="1"/>
  <c r="BB941" i="1"/>
  <c r="AR941" i="1"/>
  <c r="AD941" i="1"/>
  <c r="CN941" i="1" s="1"/>
  <c r="W941" i="1"/>
  <c r="M941" i="1"/>
  <c r="DA940" i="1"/>
  <c r="CZ940" i="1"/>
  <c r="CY940" i="1"/>
  <c r="CW940" i="1"/>
  <c r="CV940" i="1"/>
  <c r="CL940" i="1"/>
  <c r="CH940" i="1"/>
  <c r="CG940" i="1"/>
  <c r="CF940" i="1"/>
  <c r="CE940" i="1"/>
  <c r="CD940" i="1"/>
  <c r="CC940" i="1"/>
  <c r="CB940" i="1"/>
  <c r="CA940" i="1"/>
  <c r="CI940" i="1" s="1"/>
  <c r="BW940" i="1"/>
  <c r="BV940" i="1"/>
  <c r="BU940" i="1"/>
  <c r="BT940" i="1"/>
  <c r="BS940" i="1"/>
  <c r="BI940" i="1"/>
  <c r="BB940" i="1"/>
  <c r="AR940" i="1"/>
  <c r="AH940" i="1"/>
  <c r="AG940" i="1"/>
  <c r="AD940" i="1"/>
  <c r="CR940" i="1" s="1"/>
  <c r="W940" i="1"/>
  <c r="M940" i="1"/>
  <c r="DA939" i="1"/>
  <c r="CZ939" i="1"/>
  <c r="CY939" i="1"/>
  <c r="CW939" i="1"/>
  <c r="CV939" i="1"/>
  <c r="CR939" i="1"/>
  <c r="CH939" i="1"/>
  <c r="CG939" i="1"/>
  <c r="CF939" i="1"/>
  <c r="CE939" i="1"/>
  <c r="CD939" i="1"/>
  <c r="CC939" i="1"/>
  <c r="CB939" i="1"/>
  <c r="CA939" i="1"/>
  <c r="CI939" i="1" s="1"/>
  <c r="BW939" i="1"/>
  <c r="BV939" i="1"/>
  <c r="BU939" i="1"/>
  <c r="BT939" i="1"/>
  <c r="BS939" i="1"/>
  <c r="BI939" i="1"/>
  <c r="CL939" i="1" s="1"/>
  <c r="BB939" i="1"/>
  <c r="AR939" i="1"/>
  <c r="AD939" i="1"/>
  <c r="CP939" i="1" s="1"/>
  <c r="W939" i="1"/>
  <c r="M939" i="1"/>
  <c r="DA938" i="1"/>
  <c r="CZ938" i="1"/>
  <c r="CY938" i="1"/>
  <c r="CW938" i="1"/>
  <c r="CV938" i="1"/>
  <c r="CG938" i="1"/>
  <c r="CF938" i="1"/>
  <c r="CE938" i="1"/>
  <c r="CD938" i="1"/>
  <c r="CC938" i="1"/>
  <c r="BW938" i="1"/>
  <c r="BV938" i="1"/>
  <c r="BU938" i="1"/>
  <c r="BT938" i="1"/>
  <c r="BS938" i="1"/>
  <c r="BD938" i="1"/>
  <c r="CB938" i="1" s="1"/>
  <c r="BB938" i="1"/>
  <c r="AR938" i="1"/>
  <c r="AD938" i="1"/>
  <c r="W938" i="1"/>
  <c r="M938" i="1"/>
  <c r="DA937" i="1"/>
  <c r="CZ937" i="1"/>
  <c r="CY937" i="1"/>
  <c r="CV937" i="1"/>
  <c r="CK937" i="1"/>
  <c r="CH937" i="1"/>
  <c r="CD937" i="1"/>
  <c r="CC937" i="1"/>
  <c r="CB937" i="1"/>
  <c r="CA937" i="1"/>
  <c r="BW937" i="1"/>
  <c r="BV937" i="1"/>
  <c r="BU937" i="1"/>
  <c r="BT937" i="1"/>
  <c r="BS937" i="1"/>
  <c r="BM937" i="1"/>
  <c r="CW937" i="1" s="1"/>
  <c r="BL937" i="1"/>
  <c r="BI937" i="1"/>
  <c r="BD937" i="1"/>
  <c r="CG937" i="1" s="1"/>
  <c r="BB937" i="1"/>
  <c r="AR937" i="1"/>
  <c r="AD937" i="1"/>
  <c r="CQ937" i="1" s="1"/>
  <c r="W937" i="1"/>
  <c r="M937" i="1"/>
  <c r="DA936" i="1"/>
  <c r="CZ936" i="1"/>
  <c r="CY936" i="1"/>
  <c r="CQ936" i="1"/>
  <c r="CH936" i="1"/>
  <c r="CB936" i="1"/>
  <c r="CA936" i="1"/>
  <c r="BW936" i="1"/>
  <c r="BV936" i="1"/>
  <c r="BU936" i="1"/>
  <c r="BT936" i="1"/>
  <c r="BM936" i="1"/>
  <c r="CW936" i="1" s="1"/>
  <c r="BL936" i="1"/>
  <c r="CV936" i="1" s="1"/>
  <c r="BI936" i="1"/>
  <c r="BX936" i="1" s="1"/>
  <c r="BD936" i="1"/>
  <c r="CF936" i="1" s="1"/>
  <c r="BB936" i="1"/>
  <c r="AR936" i="1"/>
  <c r="AD936" i="1"/>
  <c r="W936" i="1"/>
  <c r="M936" i="1"/>
  <c r="DA935" i="1"/>
  <c r="CZ935" i="1"/>
  <c r="CY935" i="1"/>
  <c r="CW935" i="1"/>
  <c r="CV935" i="1"/>
  <c r="CO935" i="1"/>
  <c r="CH935" i="1"/>
  <c r="CF935" i="1"/>
  <c r="BW935" i="1"/>
  <c r="BV935" i="1"/>
  <c r="BU935" i="1"/>
  <c r="BT935" i="1"/>
  <c r="BM935" i="1"/>
  <c r="BL935" i="1"/>
  <c r="BI935" i="1"/>
  <c r="CQ935" i="1" s="1"/>
  <c r="BD935" i="1"/>
  <c r="CD935" i="1" s="1"/>
  <c r="BB935" i="1"/>
  <c r="AR935" i="1"/>
  <c r="AD935" i="1"/>
  <c r="CM935" i="1" s="1"/>
  <c r="W935" i="1"/>
  <c r="M935" i="1"/>
  <c r="DA934" i="1"/>
  <c r="CZ934" i="1"/>
  <c r="CY934" i="1"/>
  <c r="CW934" i="1"/>
  <c r="CV934" i="1"/>
  <c r="CO934" i="1"/>
  <c r="CN934" i="1"/>
  <c r="CM934" i="1"/>
  <c r="CL934" i="1"/>
  <c r="CH934" i="1"/>
  <c r="CG934" i="1"/>
  <c r="CF934" i="1"/>
  <c r="CE934" i="1"/>
  <c r="CD934" i="1"/>
  <c r="CC934" i="1"/>
  <c r="CB934" i="1"/>
  <c r="CA934" i="1"/>
  <c r="CI934" i="1" s="1"/>
  <c r="BW934" i="1"/>
  <c r="BV934" i="1"/>
  <c r="BU934" i="1"/>
  <c r="BT934" i="1"/>
  <c r="BS934" i="1"/>
  <c r="BI934" i="1"/>
  <c r="CK934" i="1" s="1"/>
  <c r="BB934" i="1"/>
  <c r="AR934" i="1"/>
  <c r="AD934" i="1"/>
  <c r="CP934" i="1" s="1"/>
  <c r="W934" i="1"/>
  <c r="M934" i="1"/>
  <c r="DA933" i="1"/>
  <c r="CZ933" i="1"/>
  <c r="CY933" i="1"/>
  <c r="CW933" i="1"/>
  <c r="CV933" i="1"/>
  <c r="CP933" i="1"/>
  <c r="CH933" i="1"/>
  <c r="CG933" i="1"/>
  <c r="CF933" i="1"/>
  <c r="CE933" i="1"/>
  <c r="CD933" i="1"/>
  <c r="CC933" i="1"/>
  <c r="CB933" i="1"/>
  <c r="CA933" i="1"/>
  <c r="CI933" i="1" s="1"/>
  <c r="BW933" i="1"/>
  <c r="BV933" i="1"/>
  <c r="BU933" i="1"/>
  <c r="BT933" i="1"/>
  <c r="BS933" i="1"/>
  <c r="BI933" i="1"/>
  <c r="BB933" i="1"/>
  <c r="AR933" i="1"/>
  <c r="AD933" i="1"/>
  <c r="W933" i="1"/>
  <c r="M933" i="1"/>
  <c r="DA932" i="1"/>
  <c r="CZ932" i="1"/>
  <c r="CY932" i="1"/>
  <c r="CW932" i="1"/>
  <c r="CV932" i="1"/>
  <c r="CL932" i="1"/>
  <c r="CH932" i="1"/>
  <c r="CG932" i="1"/>
  <c r="CF932" i="1"/>
  <c r="CE932" i="1"/>
  <c r="CD932" i="1"/>
  <c r="CC932" i="1"/>
  <c r="CB932" i="1"/>
  <c r="CA932" i="1"/>
  <c r="BW932" i="1"/>
  <c r="BV932" i="1"/>
  <c r="BU932" i="1"/>
  <c r="BT932" i="1"/>
  <c r="BS932" i="1"/>
  <c r="BI932" i="1"/>
  <c r="CK932" i="1" s="1"/>
  <c r="BB932" i="1"/>
  <c r="AR932" i="1"/>
  <c r="AD932" i="1"/>
  <c r="W932" i="1"/>
  <c r="M932" i="1"/>
  <c r="DA931" i="1"/>
  <c r="CZ931" i="1"/>
  <c r="CY931" i="1"/>
  <c r="CW931" i="1"/>
  <c r="CV931" i="1"/>
  <c r="CP931" i="1"/>
  <c r="CO931" i="1"/>
  <c r="CN931" i="1"/>
  <c r="CM931" i="1"/>
  <c r="CH931" i="1"/>
  <c r="CG931" i="1"/>
  <c r="CF931" i="1"/>
  <c r="CE931" i="1"/>
  <c r="CD931" i="1"/>
  <c r="CC931" i="1"/>
  <c r="CB931" i="1"/>
  <c r="CA931" i="1"/>
  <c r="BW931" i="1"/>
  <c r="BV931" i="1"/>
  <c r="BU931" i="1"/>
  <c r="BT931" i="1"/>
  <c r="BS931" i="1"/>
  <c r="BI931" i="1"/>
  <c r="BB931" i="1"/>
  <c r="AR931" i="1"/>
  <c r="AD931" i="1"/>
  <c r="W931" i="1"/>
  <c r="M931" i="1"/>
  <c r="DA930" i="1"/>
  <c r="CZ930" i="1"/>
  <c r="CY930" i="1"/>
  <c r="CW930" i="1"/>
  <c r="CV930" i="1"/>
  <c r="CR930" i="1"/>
  <c r="CH930" i="1"/>
  <c r="CG930" i="1"/>
  <c r="CF930" i="1"/>
  <c r="CE930" i="1"/>
  <c r="CD930" i="1"/>
  <c r="CC930" i="1"/>
  <c r="CB930" i="1"/>
  <c r="CA930" i="1"/>
  <c r="CI930" i="1" s="1"/>
  <c r="BW930" i="1"/>
  <c r="BV930" i="1"/>
  <c r="BU930" i="1"/>
  <c r="BT930" i="1"/>
  <c r="BS930" i="1"/>
  <c r="BI930" i="1"/>
  <c r="CQ930" i="1" s="1"/>
  <c r="BB930" i="1"/>
  <c r="AR930" i="1"/>
  <c r="AD930" i="1"/>
  <c r="W930" i="1"/>
  <c r="M930" i="1"/>
  <c r="DA929" i="1"/>
  <c r="CZ929" i="1"/>
  <c r="CY929" i="1"/>
  <c r="CW929" i="1"/>
  <c r="CV929" i="1"/>
  <c r="CN929" i="1"/>
  <c r="CM929" i="1"/>
  <c r="CH929" i="1"/>
  <c r="CG929" i="1"/>
  <c r="CF929" i="1"/>
  <c r="CE929" i="1"/>
  <c r="CD929" i="1"/>
  <c r="CC929" i="1"/>
  <c r="CB929" i="1"/>
  <c r="CA929" i="1"/>
  <c r="BX929" i="1"/>
  <c r="BW929" i="1"/>
  <c r="BV929" i="1"/>
  <c r="BU929" i="1"/>
  <c r="BT929" i="1"/>
  <c r="BS929" i="1"/>
  <c r="BI929" i="1"/>
  <c r="CR929" i="1" s="1"/>
  <c r="BB929" i="1"/>
  <c r="AR929" i="1"/>
  <c r="AD929" i="1"/>
  <c r="CP929" i="1" s="1"/>
  <c r="W929" i="1"/>
  <c r="M929" i="1"/>
  <c r="DA928" i="1"/>
  <c r="CZ928" i="1"/>
  <c r="CY928" i="1"/>
  <c r="CW928" i="1"/>
  <c r="CV928" i="1"/>
  <c r="CR928" i="1"/>
  <c r="CM928" i="1"/>
  <c r="CH928" i="1"/>
  <c r="CG928" i="1"/>
  <c r="CF928" i="1"/>
  <c r="CE928" i="1"/>
  <c r="CD928" i="1"/>
  <c r="CC928" i="1"/>
  <c r="CB928" i="1"/>
  <c r="CA928" i="1"/>
  <c r="CI928" i="1" s="1"/>
  <c r="BX928" i="1"/>
  <c r="BW928" i="1"/>
  <c r="BV928" i="1"/>
  <c r="BU928" i="1"/>
  <c r="BT928" i="1"/>
  <c r="BS928" i="1"/>
  <c r="BI928" i="1"/>
  <c r="BB928" i="1"/>
  <c r="AR928" i="1"/>
  <c r="AD928" i="1"/>
  <c r="CK928" i="1" s="1"/>
  <c r="W928" i="1"/>
  <c r="M928" i="1"/>
  <c r="DA927" i="1"/>
  <c r="CZ927" i="1"/>
  <c r="CY927" i="1"/>
  <c r="CW927" i="1"/>
  <c r="CV927" i="1"/>
  <c r="CH927" i="1"/>
  <c r="CG927" i="1"/>
  <c r="CF927" i="1"/>
  <c r="CE927" i="1"/>
  <c r="CD927" i="1"/>
  <c r="CC927" i="1"/>
  <c r="CB927" i="1"/>
  <c r="CA927" i="1"/>
  <c r="CI927" i="1" s="1"/>
  <c r="BW927" i="1"/>
  <c r="BV927" i="1"/>
  <c r="BU927" i="1"/>
  <c r="BT927" i="1"/>
  <c r="BS927" i="1"/>
  <c r="BI927" i="1"/>
  <c r="CO927" i="1" s="1"/>
  <c r="BB927" i="1"/>
  <c r="AR927" i="1"/>
  <c r="AD927" i="1"/>
  <c r="CM927" i="1" s="1"/>
  <c r="W927" i="1"/>
  <c r="M927" i="1"/>
  <c r="DA926" i="1"/>
  <c r="CY926" i="1"/>
  <c r="CW926" i="1"/>
  <c r="CV926" i="1"/>
  <c r="CG926" i="1"/>
  <c r="CF926" i="1"/>
  <c r="CE926" i="1"/>
  <c r="CB926" i="1"/>
  <c r="CA926" i="1"/>
  <c r="BW926" i="1"/>
  <c r="BV926" i="1"/>
  <c r="BU926" i="1"/>
  <c r="BT926" i="1"/>
  <c r="BP926" i="1"/>
  <c r="CZ926" i="1" s="1"/>
  <c r="BI926" i="1"/>
  <c r="BD926" i="1"/>
  <c r="CH926" i="1" s="1"/>
  <c r="BB926" i="1"/>
  <c r="AR926" i="1"/>
  <c r="AD926" i="1"/>
  <c r="CK926" i="1" s="1"/>
  <c r="W926" i="1"/>
  <c r="M926" i="1"/>
  <c r="DA925" i="1"/>
  <c r="CZ925" i="1"/>
  <c r="CY925" i="1"/>
  <c r="CH925" i="1"/>
  <c r="CG925" i="1"/>
  <c r="CF925" i="1"/>
  <c r="CE925" i="1"/>
  <c r="CD925" i="1"/>
  <c r="CC925" i="1"/>
  <c r="CB925" i="1"/>
  <c r="CA925" i="1"/>
  <c r="CI925" i="1" s="1"/>
  <c r="BW925" i="1"/>
  <c r="BV925" i="1"/>
  <c r="BU925" i="1"/>
  <c r="BT925" i="1"/>
  <c r="BS925" i="1"/>
  <c r="BM925" i="1"/>
  <c r="BL925" i="1"/>
  <c r="BI925" i="1"/>
  <c r="BB925" i="1"/>
  <c r="AR925" i="1"/>
  <c r="AG925" i="1"/>
  <c r="AH925" i="1" s="1"/>
  <c r="CW925" i="1" s="1"/>
  <c r="AD925" i="1"/>
  <c r="CP925" i="1" s="1"/>
  <c r="W925" i="1"/>
  <c r="M925" i="1"/>
  <c r="DA924" i="1"/>
  <c r="CZ924" i="1"/>
  <c r="CY924" i="1"/>
  <c r="CR924" i="1"/>
  <c r="CO924" i="1"/>
  <c r="CN924" i="1"/>
  <c r="CK924" i="1"/>
  <c r="CH924" i="1"/>
  <c r="CG924" i="1"/>
  <c r="CF924" i="1"/>
  <c r="CE924" i="1"/>
  <c r="CD924" i="1"/>
  <c r="CC924" i="1"/>
  <c r="CB924" i="1"/>
  <c r="CA924" i="1"/>
  <c r="CI924" i="1" s="1"/>
  <c r="BW924" i="1"/>
  <c r="BV924" i="1"/>
  <c r="BU924" i="1"/>
  <c r="BT924" i="1"/>
  <c r="BS924" i="1"/>
  <c r="BL924" i="1"/>
  <c r="BM924" i="1" s="1"/>
  <c r="BI924" i="1"/>
  <c r="BB924" i="1"/>
  <c r="AR924" i="1"/>
  <c r="AH924" i="1"/>
  <c r="AG924" i="1"/>
  <c r="CV924" i="1" s="1"/>
  <c r="AD924" i="1"/>
  <c r="CM924" i="1" s="1"/>
  <c r="W924" i="1"/>
  <c r="M924" i="1"/>
  <c r="DA923" i="1"/>
  <c r="CZ923" i="1"/>
  <c r="CY923" i="1"/>
  <c r="CW923" i="1"/>
  <c r="CV923" i="1"/>
  <c r="CR923" i="1"/>
  <c r="CQ923" i="1"/>
  <c r="CN923" i="1"/>
  <c r="CM923" i="1"/>
  <c r="CH923" i="1"/>
  <c r="CG923" i="1"/>
  <c r="CF923" i="1"/>
  <c r="CE923" i="1"/>
  <c r="CD923" i="1"/>
  <c r="CC923" i="1"/>
  <c r="CB923" i="1"/>
  <c r="CA923" i="1"/>
  <c r="CI923" i="1" s="1"/>
  <c r="BX923" i="1"/>
  <c r="BW923" i="1"/>
  <c r="BV923" i="1"/>
  <c r="BU923" i="1"/>
  <c r="BT923" i="1"/>
  <c r="BS923" i="1"/>
  <c r="BI923" i="1"/>
  <c r="CK923" i="1" s="1"/>
  <c r="BB923" i="1"/>
  <c r="AR923" i="1"/>
  <c r="AD923" i="1"/>
  <c r="CL923" i="1" s="1"/>
  <c r="W923" i="1"/>
  <c r="M923" i="1"/>
  <c r="DA922" i="1"/>
  <c r="CZ922" i="1"/>
  <c r="CY922" i="1"/>
  <c r="CW922" i="1"/>
  <c r="CV922" i="1"/>
  <c r="CM922" i="1"/>
  <c r="CL922" i="1"/>
  <c r="CH922" i="1"/>
  <c r="CG922" i="1"/>
  <c r="CF922" i="1"/>
  <c r="CE922" i="1"/>
  <c r="CD922" i="1"/>
  <c r="CC922" i="1"/>
  <c r="CB922" i="1"/>
  <c r="CA922" i="1"/>
  <c r="CI922" i="1" s="1"/>
  <c r="BW922" i="1"/>
  <c r="BV922" i="1"/>
  <c r="BU922" i="1"/>
  <c r="BT922" i="1"/>
  <c r="BS922" i="1"/>
  <c r="BI922" i="1"/>
  <c r="BB922" i="1"/>
  <c r="AR922" i="1"/>
  <c r="AD922" i="1"/>
  <c r="CQ922" i="1" s="1"/>
  <c r="W922" i="1"/>
  <c r="M922" i="1"/>
  <c r="DA921" i="1"/>
  <c r="CZ921" i="1"/>
  <c r="CY921" i="1"/>
  <c r="CW921" i="1"/>
  <c r="CV921" i="1"/>
  <c r="CH921" i="1"/>
  <c r="CG921" i="1"/>
  <c r="CF921" i="1"/>
  <c r="CE921" i="1"/>
  <c r="CD921" i="1"/>
  <c r="CC921" i="1"/>
  <c r="CB921" i="1"/>
  <c r="CA921" i="1"/>
  <c r="CI921" i="1" s="1"/>
  <c r="BW921" i="1"/>
  <c r="BV921" i="1"/>
  <c r="BU921" i="1"/>
  <c r="BT921" i="1"/>
  <c r="BS921" i="1"/>
  <c r="BI921" i="1"/>
  <c r="BB921" i="1"/>
  <c r="AR921" i="1"/>
  <c r="AD921" i="1"/>
  <c r="CL921" i="1" s="1"/>
  <c r="W921" i="1"/>
  <c r="M921" i="1"/>
  <c r="DA920" i="1"/>
  <c r="CZ920" i="1"/>
  <c r="CY920" i="1"/>
  <c r="CW920" i="1"/>
  <c r="CV920" i="1"/>
  <c r="CR920" i="1"/>
  <c r="CH920" i="1"/>
  <c r="CG920" i="1"/>
  <c r="CF920" i="1"/>
  <c r="CE920" i="1"/>
  <c r="CD920" i="1"/>
  <c r="CC920" i="1"/>
  <c r="CB920" i="1"/>
  <c r="CA920" i="1"/>
  <c r="CI920" i="1" s="1"/>
  <c r="BW920" i="1"/>
  <c r="BV920" i="1"/>
  <c r="BU920" i="1"/>
  <c r="BT920" i="1"/>
  <c r="BS920" i="1"/>
  <c r="BI920" i="1"/>
  <c r="CO920" i="1" s="1"/>
  <c r="BB920" i="1"/>
  <c r="AR920" i="1"/>
  <c r="AD920" i="1"/>
  <c r="CM920" i="1" s="1"/>
  <c r="W920" i="1"/>
  <c r="M920" i="1"/>
  <c r="DA919" i="1"/>
  <c r="CZ919" i="1"/>
  <c r="CY919" i="1"/>
  <c r="CW919" i="1"/>
  <c r="CV919" i="1"/>
  <c r="CR919" i="1"/>
  <c r="CQ919" i="1"/>
  <c r="CO919" i="1"/>
  <c r="CN919" i="1"/>
  <c r="CM919" i="1"/>
  <c r="CH919" i="1"/>
  <c r="CG919" i="1"/>
  <c r="CF919" i="1"/>
  <c r="CE919" i="1"/>
  <c r="CD919" i="1"/>
  <c r="CC919" i="1"/>
  <c r="CB919" i="1"/>
  <c r="CA919" i="1"/>
  <c r="CI919" i="1" s="1"/>
  <c r="BX919" i="1"/>
  <c r="BW919" i="1"/>
  <c r="BV919" i="1"/>
  <c r="BU919" i="1"/>
  <c r="BT919" i="1"/>
  <c r="BS919" i="1"/>
  <c r="BI919" i="1"/>
  <c r="CK919" i="1" s="1"/>
  <c r="BB919" i="1"/>
  <c r="AR919" i="1"/>
  <c r="AD919" i="1"/>
  <c r="CP919" i="1" s="1"/>
  <c r="W919" i="1"/>
  <c r="M919" i="1"/>
  <c r="DA918" i="1"/>
  <c r="CZ918" i="1"/>
  <c r="CY918" i="1"/>
  <c r="CW918" i="1"/>
  <c r="CV918" i="1"/>
  <c r="CH918" i="1"/>
  <c r="CG918" i="1"/>
  <c r="CF918" i="1"/>
  <c r="CE918" i="1"/>
  <c r="CD918" i="1"/>
  <c r="CC918" i="1"/>
  <c r="CB918" i="1"/>
  <c r="CA918" i="1"/>
  <c r="CI918" i="1" s="1"/>
  <c r="BW918" i="1"/>
  <c r="BV918" i="1"/>
  <c r="BU918" i="1"/>
  <c r="BT918" i="1"/>
  <c r="BS918" i="1"/>
  <c r="BI918" i="1"/>
  <c r="BB918" i="1"/>
  <c r="AR918" i="1"/>
  <c r="AD918" i="1"/>
  <c r="CM918" i="1" s="1"/>
  <c r="W918" i="1"/>
  <c r="M918" i="1"/>
  <c r="DA917" i="1"/>
  <c r="CZ917" i="1"/>
  <c r="CY917" i="1"/>
  <c r="CW917" i="1"/>
  <c r="CV917" i="1"/>
  <c r="CH917" i="1"/>
  <c r="CG917" i="1"/>
  <c r="CF917" i="1"/>
  <c r="CE917" i="1"/>
  <c r="CD917" i="1"/>
  <c r="CC917" i="1"/>
  <c r="CB917" i="1"/>
  <c r="CA917" i="1"/>
  <c r="CI917" i="1" s="1"/>
  <c r="BW917" i="1"/>
  <c r="BV917" i="1"/>
  <c r="BU917" i="1"/>
  <c r="BT917" i="1"/>
  <c r="BS917" i="1"/>
  <c r="BI917" i="1"/>
  <c r="CL917" i="1" s="1"/>
  <c r="BB917" i="1"/>
  <c r="AR917" i="1"/>
  <c r="AD917" i="1"/>
  <c r="CP917" i="1" s="1"/>
  <c r="W917" i="1"/>
  <c r="M917" i="1"/>
  <c r="DA916" i="1"/>
  <c r="CZ916" i="1"/>
  <c r="CY916" i="1"/>
  <c r="CR916" i="1"/>
  <c r="CP916" i="1"/>
  <c r="CO916" i="1"/>
  <c r="CN916" i="1"/>
  <c r="CK916" i="1"/>
  <c r="CH916" i="1"/>
  <c r="CG916" i="1"/>
  <c r="CF916" i="1"/>
  <c r="CE916" i="1"/>
  <c r="CD916" i="1"/>
  <c r="CC916" i="1"/>
  <c r="CB916" i="1"/>
  <c r="CA916" i="1"/>
  <c r="CI916" i="1" s="1"/>
  <c r="BW916" i="1"/>
  <c r="BV916" i="1"/>
  <c r="BU916" i="1"/>
  <c r="BT916" i="1"/>
  <c r="BS916" i="1"/>
  <c r="BM916" i="1"/>
  <c r="BL916" i="1"/>
  <c r="BI916" i="1"/>
  <c r="BB916" i="1"/>
  <c r="AR916" i="1"/>
  <c r="AH916" i="1"/>
  <c r="CW916" i="1" s="1"/>
  <c r="AG916" i="1"/>
  <c r="CV916" i="1" s="1"/>
  <c r="AD916" i="1"/>
  <c r="CQ916" i="1" s="1"/>
  <c r="W916" i="1"/>
  <c r="M916" i="1"/>
  <c r="DA915" i="1"/>
  <c r="CZ915" i="1"/>
  <c r="CY915" i="1"/>
  <c r="CW915" i="1"/>
  <c r="CV915" i="1"/>
  <c r="CR915" i="1"/>
  <c r="CQ915" i="1"/>
  <c r="CO915" i="1"/>
  <c r="CN915" i="1"/>
  <c r="CM915" i="1"/>
  <c r="CH915" i="1"/>
  <c r="CG915" i="1"/>
  <c r="CF915" i="1"/>
  <c r="CE915" i="1"/>
  <c r="CD915" i="1"/>
  <c r="CC915" i="1"/>
  <c r="CB915" i="1"/>
  <c r="CA915" i="1"/>
  <c r="CI915" i="1" s="1"/>
  <c r="BX915" i="1"/>
  <c r="BW915" i="1"/>
  <c r="BV915" i="1"/>
  <c r="BU915" i="1"/>
  <c r="BT915" i="1"/>
  <c r="BS915" i="1"/>
  <c r="BI915" i="1"/>
  <c r="BB915" i="1"/>
  <c r="AR915" i="1"/>
  <c r="AD915" i="1"/>
  <c r="CP915" i="1" s="1"/>
  <c r="W915" i="1"/>
  <c r="M915" i="1"/>
  <c r="DA914" i="1"/>
  <c r="CZ914" i="1"/>
  <c r="CY914" i="1"/>
  <c r="CW914" i="1"/>
  <c r="CV914" i="1"/>
  <c r="CR914" i="1"/>
  <c r="CQ914" i="1"/>
  <c r="CN914" i="1"/>
  <c r="CM914" i="1"/>
  <c r="CH914" i="1"/>
  <c r="CG914" i="1"/>
  <c r="CF914" i="1"/>
  <c r="CE914" i="1"/>
  <c r="CD914" i="1"/>
  <c r="CC914" i="1"/>
  <c r="CB914" i="1"/>
  <c r="CA914" i="1"/>
  <c r="CI914" i="1" s="1"/>
  <c r="BX914" i="1"/>
  <c r="BW914" i="1"/>
  <c r="BV914" i="1"/>
  <c r="BU914" i="1"/>
  <c r="BT914" i="1"/>
  <c r="BS914" i="1"/>
  <c r="BI914" i="1"/>
  <c r="CL914" i="1" s="1"/>
  <c r="BB914" i="1"/>
  <c r="AR914" i="1"/>
  <c r="AD914" i="1"/>
  <c r="CP914" i="1" s="1"/>
  <c r="W914" i="1"/>
  <c r="M914" i="1"/>
  <c r="DA913" i="1"/>
  <c r="CZ913" i="1"/>
  <c r="CY913" i="1"/>
  <c r="CW913" i="1"/>
  <c r="CV913" i="1"/>
  <c r="CH913" i="1"/>
  <c r="CG913" i="1"/>
  <c r="CF913" i="1"/>
  <c r="CE913" i="1"/>
  <c r="CD913" i="1"/>
  <c r="CC913" i="1"/>
  <c r="CB913" i="1"/>
  <c r="CA913" i="1"/>
  <c r="CI913" i="1" s="1"/>
  <c r="BW913" i="1"/>
  <c r="BV913" i="1"/>
  <c r="BU913" i="1"/>
  <c r="BT913" i="1"/>
  <c r="BS913" i="1"/>
  <c r="BI913" i="1"/>
  <c r="BB913" i="1"/>
  <c r="AR913" i="1"/>
  <c r="AH913" i="1"/>
  <c r="AG913" i="1"/>
  <c r="AD913" i="1"/>
  <c r="CR913" i="1" s="1"/>
  <c r="W913" i="1"/>
  <c r="M913" i="1"/>
  <c r="DA912" i="1"/>
  <c r="CZ912" i="1"/>
  <c r="CY912" i="1"/>
  <c r="CW912" i="1"/>
  <c r="CV912" i="1"/>
  <c r="CP912" i="1"/>
  <c r="CH912" i="1"/>
  <c r="CG912" i="1"/>
  <c r="CF912" i="1"/>
  <c r="CD912" i="1"/>
  <c r="CC912" i="1"/>
  <c r="CB912" i="1"/>
  <c r="BW912" i="1"/>
  <c r="BV912" i="1"/>
  <c r="BU912" i="1"/>
  <c r="BT912" i="1"/>
  <c r="BS912" i="1"/>
  <c r="BI912" i="1"/>
  <c r="CL912" i="1" s="1"/>
  <c r="BD912" i="1"/>
  <c r="CE912" i="1" s="1"/>
  <c r="BB912" i="1"/>
  <c r="AR912" i="1"/>
  <c r="AD912" i="1"/>
  <c r="CO912" i="1" s="1"/>
  <c r="W912" i="1"/>
  <c r="M912" i="1"/>
  <c r="DA911" i="1"/>
  <c r="CZ911" i="1"/>
  <c r="CY911" i="1"/>
  <c r="CW911" i="1"/>
  <c r="CV911" i="1"/>
  <c r="CH911" i="1"/>
  <c r="CG911" i="1"/>
  <c r="CD911" i="1"/>
  <c r="CC911" i="1"/>
  <c r="BW911" i="1"/>
  <c r="BV911" i="1"/>
  <c r="BU911" i="1"/>
  <c r="BT911" i="1"/>
  <c r="BS911" i="1"/>
  <c r="BD911" i="1"/>
  <c r="CB911" i="1" s="1"/>
  <c r="BB911" i="1"/>
  <c r="AR911" i="1"/>
  <c r="AD911" i="1"/>
  <c r="W911" i="1"/>
  <c r="M911" i="1"/>
  <c r="DA910" i="1"/>
  <c r="CZ910" i="1"/>
  <c r="CY910" i="1"/>
  <c r="CW910" i="1"/>
  <c r="CV910" i="1"/>
  <c r="BW910" i="1"/>
  <c r="BV910" i="1"/>
  <c r="BU910" i="1"/>
  <c r="BT910" i="1"/>
  <c r="BD910" i="1"/>
  <c r="CA910" i="1" s="1"/>
  <c r="BB910" i="1"/>
  <c r="AR910" i="1"/>
  <c r="AD910" i="1"/>
  <c r="W910" i="1"/>
  <c r="M910" i="1"/>
  <c r="DA909" i="1"/>
  <c r="CZ909" i="1"/>
  <c r="CY909" i="1"/>
  <c r="CW909" i="1"/>
  <c r="CV909" i="1"/>
  <c r="CH909" i="1"/>
  <c r="CG909" i="1"/>
  <c r="CF909" i="1"/>
  <c r="CE909" i="1"/>
  <c r="CD909" i="1"/>
  <c r="CC909" i="1"/>
  <c r="CB909" i="1"/>
  <c r="CA909" i="1"/>
  <c r="CI909" i="1" s="1"/>
  <c r="BW909" i="1"/>
  <c r="BV909" i="1"/>
  <c r="BU909" i="1"/>
  <c r="BS909" i="1"/>
  <c r="BF909" i="1"/>
  <c r="BE909" i="1"/>
  <c r="BT909" i="1" s="1"/>
  <c r="BB909" i="1"/>
  <c r="AR909" i="1"/>
  <c r="AD909" i="1"/>
  <c r="W909" i="1"/>
  <c r="M909" i="1"/>
  <c r="G909" i="1"/>
  <c r="F909" i="1"/>
  <c r="E909" i="1"/>
  <c r="DA908" i="1"/>
  <c r="CZ908" i="1"/>
  <c r="CY908" i="1"/>
  <c r="CH908" i="1"/>
  <c r="CG908" i="1"/>
  <c r="CF908" i="1"/>
  <c r="CE908" i="1"/>
  <c r="CD908" i="1"/>
  <c r="CC908" i="1"/>
  <c r="CB908" i="1"/>
  <c r="CA908" i="1"/>
  <c r="CI908" i="1" s="1"/>
  <c r="BW908" i="1"/>
  <c r="BV908" i="1"/>
  <c r="BU908" i="1"/>
  <c r="BT908" i="1"/>
  <c r="BS908" i="1"/>
  <c r="BM908" i="1"/>
  <c r="CW908" i="1" s="1"/>
  <c r="BL908" i="1"/>
  <c r="CV908" i="1" s="1"/>
  <c r="BI908" i="1"/>
  <c r="CN908" i="1" s="1"/>
  <c r="BF908" i="1"/>
  <c r="BE908" i="1"/>
  <c r="BB908" i="1"/>
  <c r="AR908" i="1"/>
  <c r="AD908" i="1"/>
  <c r="CL908" i="1" s="1"/>
  <c r="W908" i="1"/>
  <c r="M908" i="1"/>
  <c r="G908" i="1"/>
  <c r="F908" i="1"/>
  <c r="E908" i="1"/>
  <c r="DA907" i="1"/>
  <c r="CZ907" i="1"/>
  <c r="CY907" i="1"/>
  <c r="CW907" i="1"/>
  <c r="CV907" i="1"/>
  <c r="CH907" i="1"/>
  <c r="CG907" i="1"/>
  <c r="CF907" i="1"/>
  <c r="CE907" i="1"/>
  <c r="CD907" i="1"/>
  <c r="CC907" i="1"/>
  <c r="CB907" i="1"/>
  <c r="CA907" i="1"/>
  <c r="CI907" i="1" s="1"/>
  <c r="BW907" i="1"/>
  <c r="BV907" i="1"/>
  <c r="BU907" i="1"/>
  <c r="BT907" i="1"/>
  <c r="BS907" i="1"/>
  <c r="BI907" i="1"/>
  <c r="CM907" i="1" s="1"/>
  <c r="BB907" i="1"/>
  <c r="AR907" i="1"/>
  <c r="AD907" i="1"/>
  <c r="CP907" i="1" s="1"/>
  <c r="W907" i="1"/>
  <c r="M907" i="1"/>
  <c r="G907" i="1"/>
  <c r="F907" i="1"/>
  <c r="E907" i="1"/>
  <c r="DA906" i="1"/>
  <c r="CZ906" i="1"/>
  <c r="CY906" i="1"/>
  <c r="CQ906" i="1"/>
  <c r="CH906" i="1"/>
  <c r="CG906" i="1"/>
  <c r="CF906" i="1"/>
  <c r="CE906" i="1"/>
  <c r="CB906" i="1"/>
  <c r="CA906" i="1"/>
  <c r="BX906" i="1"/>
  <c r="BW906" i="1"/>
  <c r="BV906" i="1"/>
  <c r="BU906" i="1"/>
  <c r="BT906" i="1"/>
  <c r="BI906" i="1"/>
  <c r="CK906" i="1" s="1"/>
  <c r="BB906" i="1"/>
  <c r="AR906" i="1"/>
  <c r="AH906" i="1"/>
  <c r="CW906" i="1" s="1"/>
  <c r="AG906" i="1"/>
  <c r="CV906" i="1" s="1"/>
  <c r="AD906" i="1"/>
  <c r="CN906" i="1" s="1"/>
  <c r="Y906" i="1"/>
  <c r="CD906" i="1" s="1"/>
  <c r="W906" i="1"/>
  <c r="M906" i="1"/>
  <c r="DA905" i="1"/>
  <c r="CZ905" i="1"/>
  <c r="CY905" i="1"/>
  <c r="CW905" i="1"/>
  <c r="CV905" i="1"/>
  <c r="CP905" i="1"/>
  <c r="CH905" i="1"/>
  <c r="CG905" i="1"/>
  <c r="CF905" i="1"/>
  <c r="CE905" i="1"/>
  <c r="CD905" i="1"/>
  <c r="CC905" i="1"/>
  <c r="CB905" i="1"/>
  <c r="CA905" i="1"/>
  <c r="BW905" i="1"/>
  <c r="BV905" i="1"/>
  <c r="BU905" i="1"/>
  <c r="BT905" i="1"/>
  <c r="BS905" i="1"/>
  <c r="BI905" i="1"/>
  <c r="BB905" i="1"/>
  <c r="AR905" i="1"/>
  <c r="AD905" i="1"/>
  <c r="W905" i="1"/>
  <c r="M905" i="1"/>
  <c r="DA904" i="1"/>
  <c r="CZ904" i="1"/>
  <c r="CY904" i="1"/>
  <c r="CW904" i="1"/>
  <c r="CV904" i="1"/>
  <c r="CK904" i="1"/>
  <c r="CH904" i="1"/>
  <c r="CG904" i="1"/>
  <c r="CF904" i="1"/>
  <c r="CE904" i="1"/>
  <c r="CD904" i="1"/>
  <c r="CC904" i="1"/>
  <c r="CB904" i="1"/>
  <c r="CA904" i="1"/>
  <c r="CI904" i="1" s="1"/>
  <c r="BW904" i="1"/>
  <c r="BV904" i="1"/>
  <c r="BU904" i="1"/>
  <c r="BT904" i="1"/>
  <c r="BS904" i="1"/>
  <c r="BI904" i="1"/>
  <c r="BB904" i="1"/>
  <c r="AR904" i="1"/>
  <c r="AD904" i="1"/>
  <c r="CP904" i="1" s="1"/>
  <c r="W904" i="1"/>
  <c r="M904" i="1"/>
  <c r="DA903" i="1"/>
  <c r="CZ903" i="1"/>
  <c r="CY903" i="1"/>
  <c r="CW903" i="1"/>
  <c r="CV903" i="1"/>
  <c r="CG903" i="1"/>
  <c r="CF903" i="1"/>
  <c r="CE903" i="1"/>
  <c r="CD903" i="1"/>
  <c r="CC903" i="1"/>
  <c r="CB903" i="1"/>
  <c r="CA903" i="1"/>
  <c r="BW903" i="1"/>
  <c r="BV903" i="1"/>
  <c r="BU903" i="1"/>
  <c r="BT903" i="1"/>
  <c r="BS903" i="1"/>
  <c r="BL903" i="1"/>
  <c r="BI903" i="1"/>
  <c r="BD903" i="1"/>
  <c r="CH903" i="1" s="1"/>
  <c r="BB903" i="1"/>
  <c r="AR903" i="1"/>
  <c r="AD903" i="1"/>
  <c r="W903" i="1"/>
  <c r="M903" i="1"/>
  <c r="DA902" i="1"/>
  <c r="CZ902" i="1"/>
  <c r="CY902" i="1"/>
  <c r="CV902" i="1"/>
  <c r="CK902" i="1"/>
  <c r="CD902" i="1"/>
  <c r="CC902" i="1"/>
  <c r="CB902" i="1"/>
  <c r="BW902" i="1"/>
  <c r="BV902" i="1"/>
  <c r="BU902" i="1"/>
  <c r="BT902" i="1"/>
  <c r="BS902" i="1"/>
  <c r="BM902" i="1"/>
  <c r="BL902" i="1"/>
  <c r="BI902" i="1"/>
  <c r="BD902" i="1"/>
  <c r="BB902" i="1"/>
  <c r="AR902" i="1"/>
  <c r="AH902" i="1"/>
  <c r="CW902" i="1" s="1"/>
  <c r="AG902" i="1"/>
  <c r="AD902" i="1"/>
  <c r="Y902" i="1"/>
  <c r="CG902" i="1" s="1"/>
  <c r="W902" i="1"/>
  <c r="M902" i="1"/>
  <c r="DA901" i="1"/>
  <c r="CZ901" i="1"/>
  <c r="CY901" i="1"/>
  <c r="CO901" i="1"/>
  <c r="CN901" i="1"/>
  <c r="CM901" i="1"/>
  <c r="CF901" i="1"/>
  <c r="CE901" i="1"/>
  <c r="CD901" i="1"/>
  <c r="CC901" i="1"/>
  <c r="BW901" i="1"/>
  <c r="BV901" i="1"/>
  <c r="BU901" i="1"/>
  <c r="BT901" i="1"/>
  <c r="BS901" i="1"/>
  <c r="BM901" i="1"/>
  <c r="BL901" i="1"/>
  <c r="BI901" i="1"/>
  <c r="BB901" i="1"/>
  <c r="AR901" i="1"/>
  <c r="AH901" i="1"/>
  <c r="CW901" i="1" s="1"/>
  <c r="AG901" i="1"/>
  <c r="CV901" i="1" s="1"/>
  <c r="AD901" i="1"/>
  <c r="CR901" i="1" s="1"/>
  <c r="Y901" i="1"/>
  <c r="CA901" i="1" s="1"/>
  <c r="W901" i="1"/>
  <c r="M901" i="1"/>
  <c r="DA900" i="1"/>
  <c r="CZ900" i="1"/>
  <c r="CY900" i="1"/>
  <c r="CW900" i="1"/>
  <c r="CP900" i="1"/>
  <c r="CO900" i="1"/>
  <c r="CN900" i="1"/>
  <c r="CM900" i="1"/>
  <c r="CH900" i="1"/>
  <c r="CG900" i="1"/>
  <c r="CF900" i="1"/>
  <c r="CE900" i="1"/>
  <c r="CD900" i="1"/>
  <c r="CC900" i="1"/>
  <c r="CB900" i="1"/>
  <c r="CA900" i="1"/>
  <c r="BW900" i="1"/>
  <c r="BV900" i="1"/>
  <c r="BU900" i="1"/>
  <c r="BT900" i="1"/>
  <c r="BS900" i="1"/>
  <c r="BM900" i="1"/>
  <c r="BL900" i="1"/>
  <c r="BI900" i="1"/>
  <c r="BB900" i="1"/>
  <c r="AR900" i="1"/>
  <c r="AH900" i="1"/>
  <c r="AG900" i="1"/>
  <c r="CV900" i="1" s="1"/>
  <c r="AD900" i="1"/>
  <c r="CK900" i="1" s="1"/>
  <c r="W900" i="1"/>
  <c r="M900" i="1"/>
  <c r="DA899" i="1"/>
  <c r="CZ899" i="1"/>
  <c r="CY899" i="1"/>
  <c r="CW899" i="1"/>
  <c r="CV899" i="1"/>
  <c r="CE899" i="1"/>
  <c r="BW899" i="1"/>
  <c r="BV899" i="1"/>
  <c r="BU899" i="1"/>
  <c r="BT899" i="1"/>
  <c r="BM899" i="1"/>
  <c r="BL899" i="1"/>
  <c r="BD899" i="1"/>
  <c r="BB899" i="1"/>
  <c r="AR899" i="1"/>
  <c r="AH899" i="1"/>
  <c r="AG899" i="1"/>
  <c r="AD899" i="1"/>
  <c r="W899" i="1"/>
  <c r="M899" i="1"/>
  <c r="DA898" i="1"/>
  <c r="CZ898" i="1"/>
  <c r="CY898" i="1"/>
  <c r="CW898" i="1"/>
  <c r="CV898" i="1"/>
  <c r="CH898" i="1"/>
  <c r="CG898" i="1"/>
  <c r="CF898" i="1"/>
  <c r="CE898" i="1"/>
  <c r="CD898" i="1"/>
  <c r="CC898" i="1"/>
  <c r="CB898" i="1"/>
  <c r="CA898" i="1"/>
  <c r="BW898" i="1"/>
  <c r="BV898" i="1"/>
  <c r="BU898" i="1"/>
  <c r="BT898" i="1"/>
  <c r="BS898" i="1"/>
  <c r="BI898" i="1"/>
  <c r="BB898" i="1"/>
  <c r="AR898" i="1"/>
  <c r="AD898" i="1"/>
  <c r="W898" i="1"/>
  <c r="M898" i="1"/>
  <c r="DA897" i="1"/>
  <c r="CZ897" i="1"/>
  <c r="CY897" i="1"/>
  <c r="CW897" i="1"/>
  <c r="CV897" i="1"/>
  <c r="CR897" i="1"/>
  <c r="CQ897" i="1"/>
  <c r="CH897" i="1"/>
  <c r="CG897" i="1"/>
  <c r="CF897" i="1"/>
  <c r="CE897" i="1"/>
  <c r="CD897" i="1"/>
  <c r="CC897" i="1"/>
  <c r="CB897" i="1"/>
  <c r="CA897" i="1"/>
  <c r="CI897" i="1" s="1"/>
  <c r="BW897" i="1"/>
  <c r="BV897" i="1"/>
  <c r="BU897" i="1"/>
  <c r="BT897" i="1"/>
  <c r="BS897" i="1"/>
  <c r="BI897" i="1"/>
  <c r="CK897" i="1" s="1"/>
  <c r="BB897" i="1"/>
  <c r="AR897" i="1"/>
  <c r="AD897" i="1"/>
  <c r="CN897" i="1" s="1"/>
  <c r="W897" i="1"/>
  <c r="M897" i="1"/>
  <c r="DA896" i="1"/>
  <c r="CZ896" i="1"/>
  <c r="CY896" i="1"/>
  <c r="CW896" i="1"/>
  <c r="CV896" i="1"/>
  <c r="CO896" i="1"/>
  <c r="CN896" i="1"/>
  <c r="CM896" i="1"/>
  <c r="CL896" i="1"/>
  <c r="CH896" i="1"/>
  <c r="CG896" i="1"/>
  <c r="CF896" i="1"/>
  <c r="CE896" i="1"/>
  <c r="CD896" i="1"/>
  <c r="CC896" i="1"/>
  <c r="CB896" i="1"/>
  <c r="CA896" i="1"/>
  <c r="BW896" i="1"/>
  <c r="BV896" i="1"/>
  <c r="BU896" i="1"/>
  <c r="BT896" i="1"/>
  <c r="BS896" i="1"/>
  <c r="BI896" i="1"/>
  <c r="CR896" i="1" s="1"/>
  <c r="BB896" i="1"/>
  <c r="AR896" i="1"/>
  <c r="AD896" i="1"/>
  <c r="CP896" i="1" s="1"/>
  <c r="W896" i="1"/>
  <c r="M896" i="1"/>
  <c r="DA895" i="1"/>
  <c r="CZ895" i="1"/>
  <c r="CY895" i="1"/>
  <c r="CW895" i="1"/>
  <c r="CV895" i="1"/>
  <c r="CR895" i="1"/>
  <c r="CQ895" i="1"/>
  <c r="CH895" i="1"/>
  <c r="CG895" i="1"/>
  <c r="CF895" i="1"/>
  <c r="CE895" i="1"/>
  <c r="CD895" i="1"/>
  <c r="CC895" i="1"/>
  <c r="CB895" i="1"/>
  <c r="CA895" i="1"/>
  <c r="CI895" i="1" s="1"/>
  <c r="BX895" i="1"/>
  <c r="BW895" i="1"/>
  <c r="BV895" i="1"/>
  <c r="BU895" i="1"/>
  <c r="BT895" i="1"/>
  <c r="BS895" i="1"/>
  <c r="BI895" i="1"/>
  <c r="CK895" i="1" s="1"/>
  <c r="BB895" i="1"/>
  <c r="AR895" i="1"/>
  <c r="AD895" i="1"/>
  <c r="W895" i="1"/>
  <c r="M895" i="1"/>
  <c r="DA894" i="1"/>
  <c r="CZ894" i="1"/>
  <c r="CY894" i="1"/>
  <c r="CW894" i="1"/>
  <c r="CV894" i="1"/>
  <c r="CN894" i="1"/>
  <c r="CM894" i="1"/>
  <c r="CL894" i="1"/>
  <c r="CH894" i="1"/>
  <c r="CG894" i="1"/>
  <c r="CE894" i="1"/>
  <c r="CD894" i="1"/>
  <c r="CC894" i="1"/>
  <c r="CB894" i="1"/>
  <c r="CA894" i="1"/>
  <c r="BW894" i="1"/>
  <c r="BV894" i="1"/>
  <c r="BU894" i="1"/>
  <c r="BT894" i="1"/>
  <c r="BS894" i="1"/>
  <c r="BI894" i="1"/>
  <c r="CK894" i="1" s="1"/>
  <c r="BB894" i="1"/>
  <c r="AR894" i="1"/>
  <c r="AD894" i="1"/>
  <c r="CQ894" i="1" s="1"/>
  <c r="Y894" i="1"/>
  <c r="CF894" i="1" s="1"/>
  <c r="W894" i="1"/>
  <c r="M894" i="1"/>
  <c r="DA893" i="1"/>
  <c r="CZ893" i="1"/>
  <c r="CY893" i="1"/>
  <c r="CW893" i="1"/>
  <c r="CV893" i="1"/>
  <c r="CQ893" i="1"/>
  <c r="CK893" i="1"/>
  <c r="CH893" i="1"/>
  <c r="CF893" i="1"/>
  <c r="CB893" i="1"/>
  <c r="CA893" i="1"/>
  <c r="BW893" i="1"/>
  <c r="BV893" i="1"/>
  <c r="BI893" i="1"/>
  <c r="BF893" i="1"/>
  <c r="BU893" i="1" s="1"/>
  <c r="BE893" i="1"/>
  <c r="BT893" i="1" s="1"/>
  <c r="BD893" i="1"/>
  <c r="CE893" i="1" s="1"/>
  <c r="BB893" i="1"/>
  <c r="AR893" i="1"/>
  <c r="AD893" i="1"/>
  <c r="CM893" i="1" s="1"/>
  <c r="Y893" i="1"/>
  <c r="CC893" i="1" s="1"/>
  <c r="W893" i="1"/>
  <c r="M893" i="1"/>
  <c r="DA892" i="1"/>
  <c r="CZ892" i="1"/>
  <c r="CY892" i="1"/>
  <c r="CW892" i="1"/>
  <c r="CV892" i="1"/>
  <c r="CG892" i="1"/>
  <c r="CA892" i="1"/>
  <c r="BW892" i="1"/>
  <c r="BV892" i="1"/>
  <c r="BU892" i="1"/>
  <c r="BT892" i="1"/>
  <c r="BD892" i="1"/>
  <c r="BI892" i="1" s="1"/>
  <c r="BB892" i="1"/>
  <c r="AR892" i="1"/>
  <c r="Y892" i="1"/>
  <c r="CD892" i="1" s="1"/>
  <c r="W892" i="1"/>
  <c r="M892" i="1"/>
  <c r="DA891" i="1"/>
  <c r="CZ891" i="1"/>
  <c r="CY891" i="1"/>
  <c r="CW891" i="1"/>
  <c r="CV891" i="1"/>
  <c r="CO891" i="1"/>
  <c r="CN891" i="1"/>
  <c r="CM891" i="1"/>
  <c r="CH891" i="1"/>
  <c r="CG891" i="1"/>
  <c r="CF891" i="1"/>
  <c r="CE891" i="1"/>
  <c r="CD891" i="1"/>
  <c r="CC891" i="1"/>
  <c r="CB891" i="1"/>
  <c r="CA891" i="1"/>
  <c r="BW891" i="1"/>
  <c r="BV891" i="1"/>
  <c r="BU891" i="1"/>
  <c r="BT891" i="1"/>
  <c r="BS891" i="1"/>
  <c r="BI891" i="1"/>
  <c r="CR891" i="1" s="1"/>
  <c r="BB891" i="1"/>
  <c r="AR891" i="1"/>
  <c r="AD891" i="1"/>
  <c r="CP891" i="1" s="1"/>
  <c r="W891" i="1"/>
  <c r="M891" i="1"/>
  <c r="DA890" i="1"/>
  <c r="CZ890" i="1"/>
  <c r="CY890" i="1"/>
  <c r="CW890" i="1"/>
  <c r="CV890" i="1"/>
  <c r="CR890" i="1"/>
  <c r="CQ890" i="1"/>
  <c r="CH890" i="1"/>
  <c r="CG890" i="1"/>
  <c r="CF890" i="1"/>
  <c r="CE890" i="1"/>
  <c r="CD890" i="1"/>
  <c r="CC890" i="1"/>
  <c r="CB890" i="1"/>
  <c r="CA890" i="1"/>
  <c r="CI890" i="1" s="1"/>
  <c r="BX890" i="1"/>
  <c r="BW890" i="1"/>
  <c r="BV890" i="1"/>
  <c r="BU890" i="1"/>
  <c r="BT890" i="1"/>
  <c r="BS890" i="1"/>
  <c r="BI890" i="1"/>
  <c r="CO890" i="1" s="1"/>
  <c r="BB890" i="1"/>
  <c r="AR890" i="1"/>
  <c r="AD890" i="1"/>
  <c r="W890" i="1"/>
  <c r="M890" i="1"/>
  <c r="DA889" i="1"/>
  <c r="CZ889" i="1"/>
  <c r="CY889" i="1"/>
  <c r="CW889" i="1"/>
  <c r="CV889" i="1"/>
  <c r="CO889" i="1"/>
  <c r="CN889" i="1"/>
  <c r="CM889" i="1"/>
  <c r="CH889" i="1"/>
  <c r="CG889" i="1"/>
  <c r="CF889" i="1"/>
  <c r="CE889" i="1"/>
  <c r="CD889" i="1"/>
  <c r="CC889" i="1"/>
  <c r="CB889" i="1"/>
  <c r="CA889" i="1"/>
  <c r="BW889" i="1"/>
  <c r="BV889" i="1"/>
  <c r="BU889" i="1"/>
  <c r="BT889" i="1"/>
  <c r="BS889" i="1"/>
  <c r="BI889" i="1"/>
  <c r="CR889" i="1" s="1"/>
  <c r="BB889" i="1"/>
  <c r="AR889" i="1"/>
  <c r="AD889" i="1"/>
  <c r="CP889" i="1" s="1"/>
  <c r="W889" i="1"/>
  <c r="M889" i="1"/>
  <c r="DA888" i="1"/>
  <c r="CZ888" i="1"/>
  <c r="CY888" i="1"/>
  <c r="CW888" i="1"/>
  <c r="CV888" i="1"/>
  <c r="CR888" i="1"/>
  <c r="CQ888" i="1"/>
  <c r="CH888" i="1"/>
  <c r="CG888" i="1"/>
  <c r="CF888" i="1"/>
  <c r="CE888" i="1"/>
  <c r="CD888" i="1"/>
  <c r="CC888" i="1"/>
  <c r="CB888" i="1"/>
  <c r="CA888" i="1"/>
  <c r="CI888" i="1" s="1"/>
  <c r="BW888" i="1"/>
  <c r="BV888" i="1"/>
  <c r="BU888" i="1"/>
  <c r="BT888" i="1"/>
  <c r="BS888" i="1"/>
  <c r="BI888" i="1"/>
  <c r="CO888" i="1" s="1"/>
  <c r="BB888" i="1"/>
  <c r="AR888" i="1"/>
  <c r="AD888" i="1"/>
  <c r="W888" i="1"/>
  <c r="M888" i="1"/>
  <c r="DA887" i="1"/>
  <c r="CZ887" i="1"/>
  <c r="CY887" i="1"/>
  <c r="CW887" i="1"/>
  <c r="CV887" i="1"/>
  <c r="CR887" i="1"/>
  <c r="CN887" i="1"/>
  <c r="CM887" i="1"/>
  <c r="CL887" i="1"/>
  <c r="CH887" i="1"/>
  <c r="CG887" i="1"/>
  <c r="CF887" i="1"/>
  <c r="CE887" i="1"/>
  <c r="CD887" i="1"/>
  <c r="CC887" i="1"/>
  <c r="CB887" i="1"/>
  <c r="CA887" i="1"/>
  <c r="BW887" i="1"/>
  <c r="BV887" i="1"/>
  <c r="BU887" i="1"/>
  <c r="BT887" i="1"/>
  <c r="BS887" i="1"/>
  <c r="BI887" i="1"/>
  <c r="CQ887" i="1" s="1"/>
  <c r="BB887" i="1"/>
  <c r="AR887" i="1"/>
  <c r="AD887" i="1"/>
  <c r="CP887" i="1" s="1"/>
  <c r="W887" i="1"/>
  <c r="M887" i="1"/>
  <c r="DA886" i="1"/>
  <c r="CZ886" i="1"/>
  <c r="CY886" i="1"/>
  <c r="CW886" i="1"/>
  <c r="CV886" i="1"/>
  <c r="CQ886" i="1"/>
  <c r="CP886" i="1"/>
  <c r="CH886" i="1"/>
  <c r="CG886" i="1"/>
  <c r="CF886" i="1"/>
  <c r="CE886" i="1"/>
  <c r="CD886" i="1"/>
  <c r="CC886" i="1"/>
  <c r="CB886" i="1"/>
  <c r="CA886" i="1"/>
  <c r="CI886" i="1" s="1"/>
  <c r="BX886" i="1"/>
  <c r="BW886" i="1"/>
  <c r="BV886" i="1"/>
  <c r="BU886" i="1"/>
  <c r="BT886" i="1"/>
  <c r="BS886" i="1"/>
  <c r="BI886" i="1"/>
  <c r="BB886" i="1"/>
  <c r="AR886" i="1"/>
  <c r="AD886" i="1"/>
  <c r="W886" i="1"/>
  <c r="M886" i="1"/>
  <c r="DA885" i="1"/>
  <c r="CZ885" i="1"/>
  <c r="CY885" i="1"/>
  <c r="CW885" i="1"/>
  <c r="CV885" i="1"/>
  <c r="CR885" i="1"/>
  <c r="CN885" i="1"/>
  <c r="CM885" i="1"/>
  <c r="CL885" i="1"/>
  <c r="CH885" i="1"/>
  <c r="CG885" i="1"/>
  <c r="CF885" i="1"/>
  <c r="CE885" i="1"/>
  <c r="CD885" i="1"/>
  <c r="CC885" i="1"/>
  <c r="CB885" i="1"/>
  <c r="CA885" i="1"/>
  <c r="BW885" i="1"/>
  <c r="BV885" i="1"/>
  <c r="BU885" i="1"/>
  <c r="BT885" i="1"/>
  <c r="BS885" i="1"/>
  <c r="BI885" i="1"/>
  <c r="CQ885" i="1" s="1"/>
  <c r="BB885" i="1"/>
  <c r="AR885" i="1"/>
  <c r="AD885" i="1"/>
  <c r="CP885" i="1" s="1"/>
  <c r="W885" i="1"/>
  <c r="M885" i="1"/>
  <c r="CS884" i="1"/>
  <c r="CR884" i="1"/>
  <c r="CQ884" i="1"/>
  <c r="CO884" i="1"/>
  <c r="CK884" i="1"/>
  <c r="CZ884" i="1" s="1"/>
  <c r="CG884" i="1"/>
  <c r="CV884" i="1" s="1"/>
  <c r="CF884" i="1"/>
  <c r="CU884" i="1" s="1"/>
  <c r="CE884" i="1"/>
  <c r="CT884" i="1" s="1"/>
  <c r="CD884" i="1"/>
  <c r="CC884" i="1"/>
  <c r="CB884" i="1"/>
  <c r="CA884" i="1"/>
  <c r="BZ884" i="1"/>
  <c r="BY884" i="1"/>
  <c r="BW884" i="1"/>
  <c r="BV884" i="1"/>
  <c r="BU884" i="1"/>
  <c r="CJ884" i="1" s="1"/>
  <c r="CY884" i="1" s="1"/>
  <c r="BT884" i="1"/>
  <c r="CI884" i="1" s="1"/>
  <c r="CX884" i="1" s="1"/>
  <c r="BS884" i="1"/>
  <c r="CH884" i="1" s="1"/>
  <c r="BI884" i="1"/>
  <c r="CN884" i="1" s="1"/>
  <c r="BB884" i="1"/>
  <c r="AR884" i="1"/>
  <c r="AD884" i="1"/>
  <c r="CM884" i="1" s="1"/>
  <c r="W884" i="1"/>
  <c r="M884" i="1"/>
  <c r="CT883" i="1"/>
  <c r="CR883" i="1"/>
  <c r="CL883" i="1"/>
  <c r="DA883" i="1" s="1"/>
  <c r="CK883" i="1"/>
  <c r="CZ883" i="1" s="1"/>
  <c r="CH883" i="1"/>
  <c r="CG883" i="1"/>
  <c r="CV883" i="1" s="1"/>
  <c r="CF883" i="1"/>
  <c r="CU883" i="1" s="1"/>
  <c r="CE883" i="1"/>
  <c r="CD883" i="1"/>
  <c r="CS883" i="1" s="1"/>
  <c r="CC883" i="1"/>
  <c r="CB883" i="1"/>
  <c r="CA883" i="1"/>
  <c r="BZ883" i="1"/>
  <c r="BY883" i="1"/>
  <c r="BW883" i="1"/>
  <c r="BV883" i="1"/>
  <c r="BU883" i="1"/>
  <c r="CJ883" i="1" s="1"/>
  <c r="CY883" i="1" s="1"/>
  <c r="BT883" i="1"/>
  <c r="CI883" i="1" s="1"/>
  <c r="CX883" i="1" s="1"/>
  <c r="BS883" i="1"/>
  <c r="BI883" i="1"/>
  <c r="CO883" i="1" s="1"/>
  <c r="BB883" i="1"/>
  <c r="CW883" i="1" s="1"/>
  <c r="AR883" i="1"/>
  <c r="AD883" i="1"/>
  <c r="CM883" i="1" s="1"/>
  <c r="W883" i="1"/>
  <c r="M883" i="1"/>
  <c r="DA882" i="1"/>
  <c r="CZ882" i="1"/>
  <c r="CY882" i="1"/>
  <c r="CW882" i="1"/>
  <c r="CV882" i="1"/>
  <c r="CH882" i="1"/>
  <c r="CB882" i="1"/>
  <c r="CA882" i="1"/>
  <c r="BW882" i="1"/>
  <c r="BV882" i="1"/>
  <c r="BU882" i="1"/>
  <c r="BT882" i="1"/>
  <c r="BI882" i="1"/>
  <c r="BB882" i="1"/>
  <c r="AR882" i="1"/>
  <c r="Y882" i="1"/>
  <c r="CE882" i="1" s="1"/>
  <c r="W882" i="1"/>
  <c r="M882" i="1"/>
  <c r="DA881" i="1"/>
  <c r="CZ881" i="1"/>
  <c r="CY881" i="1"/>
  <c r="CW881" i="1"/>
  <c r="CV881" i="1"/>
  <c r="CN881" i="1"/>
  <c r="CG881" i="1"/>
  <c r="CF881" i="1"/>
  <c r="CE881" i="1"/>
  <c r="BW881" i="1"/>
  <c r="BV881" i="1"/>
  <c r="BU881" i="1"/>
  <c r="BT881" i="1"/>
  <c r="BI881" i="1"/>
  <c r="BB881" i="1"/>
  <c r="AR881" i="1"/>
  <c r="AD881" i="1"/>
  <c r="Y881" i="1"/>
  <c r="W881" i="1"/>
  <c r="M881" i="1"/>
  <c r="DA880" i="1"/>
  <c r="CZ880" i="1"/>
  <c r="CY880" i="1"/>
  <c r="CW880" i="1"/>
  <c r="CV880" i="1"/>
  <c r="CK880" i="1"/>
  <c r="CH880" i="1"/>
  <c r="CG880" i="1"/>
  <c r="CD880" i="1"/>
  <c r="CC880" i="1"/>
  <c r="CB880" i="1"/>
  <c r="CA880" i="1"/>
  <c r="BW880" i="1"/>
  <c r="BV880" i="1"/>
  <c r="BU880" i="1"/>
  <c r="BT880" i="1"/>
  <c r="BS880" i="1"/>
  <c r="BI880" i="1"/>
  <c r="BB880" i="1"/>
  <c r="AR880" i="1"/>
  <c r="AD880" i="1"/>
  <c r="Y880" i="1"/>
  <c r="CF880" i="1" s="1"/>
  <c r="W880" i="1"/>
  <c r="M880" i="1"/>
  <c r="DA879" i="1"/>
  <c r="CZ879" i="1"/>
  <c r="CY879" i="1"/>
  <c r="CW879" i="1"/>
  <c r="CV879" i="1"/>
  <c r="CQ879" i="1"/>
  <c r="CH879" i="1"/>
  <c r="CG879" i="1"/>
  <c r="CF879" i="1"/>
  <c r="CE879" i="1"/>
  <c r="CD879" i="1"/>
  <c r="CC879" i="1"/>
  <c r="CB879" i="1"/>
  <c r="CA879" i="1"/>
  <c r="CI879" i="1" s="1"/>
  <c r="BW879" i="1"/>
  <c r="BV879" i="1"/>
  <c r="BU879" i="1"/>
  <c r="BT879" i="1"/>
  <c r="BS879" i="1"/>
  <c r="BI879" i="1"/>
  <c r="BB879" i="1"/>
  <c r="AR879" i="1"/>
  <c r="AD879" i="1"/>
  <c r="W879" i="1"/>
  <c r="M879" i="1"/>
  <c r="DA878" i="1"/>
  <c r="CZ878" i="1"/>
  <c r="CY878" i="1"/>
  <c r="CW878" i="1"/>
  <c r="CV878" i="1"/>
  <c r="CR878" i="1"/>
  <c r="CN878" i="1"/>
  <c r="CM878" i="1"/>
  <c r="CL878" i="1"/>
  <c r="CH878" i="1"/>
  <c r="CG878" i="1"/>
  <c r="CF878" i="1"/>
  <c r="CE878" i="1"/>
  <c r="CD878" i="1"/>
  <c r="CC878" i="1"/>
  <c r="CB878" i="1"/>
  <c r="CA878" i="1"/>
  <c r="CI878" i="1" s="1"/>
  <c r="BW878" i="1"/>
  <c r="BV878" i="1"/>
  <c r="BU878" i="1"/>
  <c r="BT878" i="1"/>
  <c r="BS878" i="1"/>
  <c r="BI878" i="1"/>
  <c r="CQ878" i="1" s="1"/>
  <c r="BB878" i="1"/>
  <c r="AR878" i="1"/>
  <c r="AD878" i="1"/>
  <c r="CP878" i="1" s="1"/>
  <c r="W878" i="1"/>
  <c r="M878" i="1"/>
  <c r="DA877" i="1"/>
  <c r="CZ877" i="1"/>
  <c r="CY877" i="1"/>
  <c r="CW877" i="1"/>
  <c r="CV877" i="1"/>
  <c r="CR877" i="1"/>
  <c r="CQ877" i="1"/>
  <c r="CP877" i="1"/>
  <c r="CH877" i="1"/>
  <c r="CG877" i="1"/>
  <c r="CF877" i="1"/>
  <c r="CE877" i="1"/>
  <c r="CD877" i="1"/>
  <c r="CC877" i="1"/>
  <c r="CB877" i="1"/>
  <c r="CA877" i="1"/>
  <c r="CI877" i="1" s="1"/>
  <c r="BX877" i="1"/>
  <c r="BW877" i="1"/>
  <c r="BV877" i="1"/>
  <c r="BU877" i="1"/>
  <c r="BT877" i="1"/>
  <c r="BS877" i="1"/>
  <c r="BI877" i="1"/>
  <c r="BB877" i="1"/>
  <c r="AR877" i="1"/>
  <c r="AD877" i="1"/>
  <c r="W877" i="1"/>
  <c r="M877" i="1"/>
  <c r="DA876" i="1"/>
  <c r="CZ876" i="1"/>
  <c r="CY876" i="1"/>
  <c r="CW876" i="1"/>
  <c r="CV876" i="1"/>
  <c r="CL876" i="1"/>
  <c r="CH876" i="1"/>
  <c r="CG876" i="1"/>
  <c r="CF876" i="1"/>
  <c r="CE876" i="1"/>
  <c r="CD876" i="1"/>
  <c r="CC876" i="1"/>
  <c r="CB876" i="1"/>
  <c r="CA876" i="1"/>
  <c r="BW876" i="1"/>
  <c r="BV876" i="1"/>
  <c r="BU876" i="1"/>
  <c r="BT876" i="1"/>
  <c r="BS876" i="1"/>
  <c r="BI876" i="1"/>
  <c r="BB876" i="1"/>
  <c r="AR876" i="1"/>
  <c r="AD876" i="1"/>
  <c r="W876" i="1"/>
  <c r="M876" i="1"/>
  <c r="DA875" i="1"/>
  <c r="CZ875" i="1"/>
  <c r="CY875" i="1"/>
  <c r="CW875" i="1"/>
  <c r="CV875" i="1"/>
  <c r="CH875" i="1"/>
  <c r="CG875" i="1"/>
  <c r="CF875" i="1"/>
  <c r="CE875" i="1"/>
  <c r="CD875" i="1"/>
  <c r="CC875" i="1"/>
  <c r="CB875" i="1"/>
  <c r="CA875" i="1"/>
  <c r="BW875" i="1"/>
  <c r="BV875" i="1"/>
  <c r="BU875" i="1"/>
  <c r="BT875" i="1"/>
  <c r="BS875" i="1"/>
  <c r="BI875" i="1"/>
  <c r="BB875" i="1"/>
  <c r="AR875" i="1"/>
  <c r="AD875" i="1"/>
  <c r="W875" i="1"/>
  <c r="M875" i="1"/>
  <c r="DA874" i="1"/>
  <c r="CZ874" i="1"/>
  <c r="CY874" i="1"/>
  <c r="CW874" i="1"/>
  <c r="CV874" i="1"/>
  <c r="CQ874" i="1"/>
  <c r="CH874" i="1"/>
  <c r="CG874" i="1"/>
  <c r="CF874" i="1"/>
  <c r="CE874" i="1"/>
  <c r="CD874" i="1"/>
  <c r="CC874" i="1"/>
  <c r="CB874" i="1"/>
  <c r="CA874" i="1"/>
  <c r="CI874" i="1" s="1"/>
  <c r="BW874" i="1"/>
  <c r="BV874" i="1"/>
  <c r="BU874" i="1"/>
  <c r="BT874" i="1"/>
  <c r="BS874" i="1"/>
  <c r="BI874" i="1"/>
  <c r="CR874" i="1" s="1"/>
  <c r="BB874" i="1"/>
  <c r="AR874" i="1"/>
  <c r="AD874" i="1"/>
  <c r="CN874" i="1" s="1"/>
  <c r="W874" i="1"/>
  <c r="M874" i="1"/>
  <c r="DA873" i="1"/>
  <c r="CZ873" i="1"/>
  <c r="CY873" i="1"/>
  <c r="CW873" i="1"/>
  <c r="CV873" i="1"/>
  <c r="CO873" i="1"/>
  <c r="CN873" i="1"/>
  <c r="CM873" i="1"/>
  <c r="CH873" i="1"/>
  <c r="CG873" i="1"/>
  <c r="CF873" i="1"/>
  <c r="CE873" i="1"/>
  <c r="CD873" i="1"/>
  <c r="CC873" i="1"/>
  <c r="CB873" i="1"/>
  <c r="CA873" i="1"/>
  <c r="BW873" i="1"/>
  <c r="BV873" i="1"/>
  <c r="BU873" i="1"/>
  <c r="BT873" i="1"/>
  <c r="BS873" i="1"/>
  <c r="BI873" i="1"/>
  <c r="CR873" i="1" s="1"/>
  <c r="BB873" i="1"/>
  <c r="AR873" i="1"/>
  <c r="AD873" i="1"/>
  <c r="CP873" i="1" s="1"/>
  <c r="W873" i="1"/>
  <c r="M873" i="1"/>
  <c r="DA872" i="1"/>
  <c r="CZ872" i="1"/>
  <c r="CY872" i="1"/>
  <c r="CW872" i="1"/>
  <c r="CV872" i="1"/>
  <c r="CR872" i="1"/>
  <c r="CQ872" i="1"/>
  <c r="CH872" i="1"/>
  <c r="CG872" i="1"/>
  <c r="CF872" i="1"/>
  <c r="CE872" i="1"/>
  <c r="CD872" i="1"/>
  <c r="CC872" i="1"/>
  <c r="CB872" i="1"/>
  <c r="CA872" i="1"/>
  <c r="CI872" i="1" s="1"/>
  <c r="BX872" i="1"/>
  <c r="BW872" i="1"/>
  <c r="BV872" i="1"/>
  <c r="BU872" i="1"/>
  <c r="BT872" i="1"/>
  <c r="BS872" i="1"/>
  <c r="BI872" i="1"/>
  <c r="CO872" i="1" s="1"/>
  <c r="BB872" i="1"/>
  <c r="AR872" i="1"/>
  <c r="AD872" i="1"/>
  <c r="W872" i="1"/>
  <c r="M872" i="1"/>
  <c r="DA871" i="1"/>
  <c r="CZ871" i="1"/>
  <c r="CY871" i="1"/>
  <c r="CW871" i="1"/>
  <c r="CV871" i="1"/>
  <c r="CE871" i="1"/>
  <c r="BW871" i="1"/>
  <c r="BV871" i="1"/>
  <c r="BU871" i="1"/>
  <c r="BT871" i="1"/>
  <c r="BI871" i="1"/>
  <c r="BB871" i="1"/>
  <c r="AR871" i="1"/>
  <c r="AH871" i="1"/>
  <c r="AG871" i="1"/>
  <c r="AD871" i="1"/>
  <c r="CM871" i="1" s="1"/>
  <c r="Y871" i="1"/>
  <c r="BS871" i="1" s="1"/>
  <c r="W871" i="1"/>
  <c r="M871" i="1"/>
  <c r="DA870" i="1"/>
  <c r="CZ870" i="1"/>
  <c r="CY870" i="1"/>
  <c r="CW870" i="1"/>
  <c r="CV870" i="1"/>
  <c r="CH870" i="1"/>
  <c r="CG870" i="1"/>
  <c r="CF870" i="1"/>
  <c r="CE870" i="1"/>
  <c r="CD870" i="1"/>
  <c r="CC870" i="1"/>
  <c r="CB870" i="1"/>
  <c r="CA870" i="1"/>
  <c r="CI870" i="1" s="1"/>
  <c r="BW870" i="1"/>
  <c r="BV870" i="1"/>
  <c r="BU870" i="1"/>
  <c r="BT870" i="1"/>
  <c r="BS870" i="1"/>
  <c r="BI870" i="1"/>
  <c r="CR870" i="1" s="1"/>
  <c r="BB870" i="1"/>
  <c r="AR870" i="1"/>
  <c r="AD870" i="1"/>
  <c r="W870" i="1"/>
  <c r="M870" i="1"/>
  <c r="DA869" i="1"/>
  <c r="CZ869" i="1"/>
  <c r="CY869" i="1"/>
  <c r="CW869" i="1"/>
  <c r="CV869" i="1"/>
  <c r="CG869" i="1"/>
  <c r="CF869" i="1"/>
  <c r="CE869" i="1"/>
  <c r="CC869" i="1"/>
  <c r="BW869" i="1"/>
  <c r="BV869" i="1"/>
  <c r="BU869" i="1"/>
  <c r="BS869" i="1"/>
  <c r="BI869" i="1"/>
  <c r="BB869" i="1"/>
  <c r="AR869" i="1"/>
  <c r="AD869" i="1"/>
  <c r="CP869" i="1" s="1"/>
  <c r="AA869" i="1"/>
  <c r="Z869" i="1"/>
  <c r="BT869" i="1" s="1"/>
  <c r="Y869" i="1"/>
  <c r="CB869" i="1" s="1"/>
  <c r="W869" i="1"/>
  <c r="M869" i="1"/>
  <c r="DA868" i="1"/>
  <c r="CZ868" i="1"/>
  <c r="CY868" i="1"/>
  <c r="CW868" i="1"/>
  <c r="CV868" i="1"/>
  <c r="CR868" i="1"/>
  <c r="CN868" i="1"/>
  <c r="CM868" i="1"/>
  <c r="CL868" i="1"/>
  <c r="CH868" i="1"/>
  <c r="CG868" i="1"/>
  <c r="CF868" i="1"/>
  <c r="CE868" i="1"/>
  <c r="CD868" i="1"/>
  <c r="CC868" i="1"/>
  <c r="CB868" i="1"/>
  <c r="CA868" i="1"/>
  <c r="BW868" i="1"/>
  <c r="BV868" i="1"/>
  <c r="BU868" i="1"/>
  <c r="BT868" i="1"/>
  <c r="BS868" i="1"/>
  <c r="BI868" i="1"/>
  <c r="CQ868" i="1" s="1"/>
  <c r="BB868" i="1"/>
  <c r="AR868" i="1"/>
  <c r="AD868" i="1"/>
  <c r="CP868" i="1" s="1"/>
  <c r="W868" i="1"/>
  <c r="M868" i="1"/>
  <c r="DA867" i="1"/>
  <c r="CZ867" i="1"/>
  <c r="CY867" i="1"/>
  <c r="CW867" i="1"/>
  <c r="CV867" i="1"/>
  <c r="CO867" i="1"/>
  <c r="CH867" i="1"/>
  <c r="CG867" i="1"/>
  <c r="CF867" i="1"/>
  <c r="CE867" i="1"/>
  <c r="CD867" i="1"/>
  <c r="CC867" i="1"/>
  <c r="CB867" i="1"/>
  <c r="CA867" i="1"/>
  <c r="CI867" i="1" s="1"/>
  <c r="BX867" i="1"/>
  <c r="BW867" i="1"/>
  <c r="BV867" i="1"/>
  <c r="BU867" i="1"/>
  <c r="BT867" i="1"/>
  <c r="BS867" i="1"/>
  <c r="BI867" i="1"/>
  <c r="BB867" i="1"/>
  <c r="AR867" i="1"/>
  <c r="AD867" i="1"/>
  <c r="W867" i="1"/>
  <c r="M867" i="1"/>
  <c r="DA866" i="1"/>
  <c r="CZ866" i="1"/>
  <c r="CY866" i="1"/>
  <c r="CW866" i="1"/>
  <c r="CV866" i="1"/>
  <c r="CH866" i="1"/>
  <c r="CG866" i="1"/>
  <c r="CF866" i="1"/>
  <c r="CE866" i="1"/>
  <c r="CD866" i="1"/>
  <c r="CC866" i="1"/>
  <c r="CB866" i="1"/>
  <c r="CA866" i="1"/>
  <c r="CI866" i="1" s="1"/>
  <c r="BW866" i="1"/>
  <c r="BV866" i="1"/>
  <c r="BU866" i="1"/>
  <c r="BT866" i="1"/>
  <c r="BS866" i="1"/>
  <c r="BI866" i="1"/>
  <c r="CR866" i="1" s="1"/>
  <c r="BB866" i="1"/>
  <c r="AR866" i="1"/>
  <c r="AD866" i="1"/>
  <c r="W866" i="1"/>
  <c r="M866" i="1"/>
  <c r="DA865" i="1"/>
  <c r="CZ865" i="1"/>
  <c r="CY865" i="1"/>
  <c r="CW865" i="1"/>
  <c r="CV865" i="1"/>
  <c r="CO865" i="1"/>
  <c r="CN865" i="1"/>
  <c r="CM865" i="1"/>
  <c r="CH865" i="1"/>
  <c r="CG865" i="1"/>
  <c r="CF865" i="1"/>
  <c r="CE865" i="1"/>
  <c r="CD865" i="1"/>
  <c r="CC865" i="1"/>
  <c r="CB865" i="1"/>
  <c r="CA865" i="1"/>
  <c r="CI865" i="1" s="1"/>
  <c r="BW865" i="1"/>
  <c r="BV865" i="1"/>
  <c r="BU865" i="1"/>
  <c r="BT865" i="1"/>
  <c r="BS865" i="1"/>
  <c r="BI865" i="1"/>
  <c r="CR865" i="1" s="1"/>
  <c r="BB865" i="1"/>
  <c r="AR865" i="1"/>
  <c r="AD865" i="1"/>
  <c r="CP865" i="1" s="1"/>
  <c r="W865" i="1"/>
  <c r="M865" i="1"/>
  <c r="DA864" i="1"/>
  <c r="CZ864" i="1"/>
  <c r="CY864" i="1"/>
  <c r="CW864" i="1"/>
  <c r="CV864" i="1"/>
  <c r="CH864" i="1"/>
  <c r="CG864" i="1"/>
  <c r="CF864" i="1"/>
  <c r="CE864" i="1"/>
  <c r="CD864" i="1"/>
  <c r="CC864" i="1"/>
  <c r="CB864" i="1"/>
  <c r="CA864" i="1"/>
  <c r="CI864" i="1" s="1"/>
  <c r="BW864" i="1"/>
  <c r="BV864" i="1"/>
  <c r="BU864" i="1"/>
  <c r="BT864" i="1"/>
  <c r="BS864" i="1"/>
  <c r="BI864" i="1"/>
  <c r="CO864" i="1" s="1"/>
  <c r="BB864" i="1"/>
  <c r="AR864" i="1"/>
  <c r="AD864" i="1"/>
  <c r="W864" i="1"/>
  <c r="M864" i="1"/>
  <c r="DA863" i="1"/>
  <c r="CZ863" i="1"/>
  <c r="CY863" i="1"/>
  <c r="CW863" i="1"/>
  <c r="CV863" i="1"/>
  <c r="CC863" i="1"/>
  <c r="BW863" i="1"/>
  <c r="BV863" i="1"/>
  <c r="BU863" i="1"/>
  <c r="BT863" i="1"/>
  <c r="BD863" i="1"/>
  <c r="BI863" i="1" s="1"/>
  <c r="BB863" i="1"/>
  <c r="AR863" i="1"/>
  <c r="AH863" i="1"/>
  <c r="AG863" i="1"/>
  <c r="Y863" i="1"/>
  <c r="W863" i="1"/>
  <c r="M863" i="1"/>
  <c r="DA862" i="1"/>
  <c r="CZ862" i="1"/>
  <c r="CY862" i="1"/>
  <c r="CV862" i="1"/>
  <c r="CM862" i="1"/>
  <c r="CC862" i="1"/>
  <c r="BW862" i="1"/>
  <c r="BV862" i="1"/>
  <c r="BU862" i="1"/>
  <c r="BT862" i="1"/>
  <c r="BI862" i="1"/>
  <c r="BD862" i="1"/>
  <c r="BB862" i="1"/>
  <c r="AR862" i="1"/>
  <c r="AH862" i="1"/>
  <c r="CW862" i="1" s="1"/>
  <c r="AG862" i="1"/>
  <c r="AD862" i="1"/>
  <c r="CK862" i="1" s="1"/>
  <c r="Y862" i="1"/>
  <c r="CD862" i="1" s="1"/>
  <c r="W862" i="1"/>
  <c r="M862" i="1"/>
  <c r="DA861" i="1"/>
  <c r="CZ861" i="1"/>
  <c r="CY861" i="1"/>
  <c r="CV861" i="1"/>
  <c r="CB861" i="1"/>
  <c r="BW861" i="1"/>
  <c r="BV861" i="1"/>
  <c r="BU861" i="1"/>
  <c r="BT861" i="1"/>
  <c r="BM861" i="1"/>
  <c r="CW861" i="1" s="1"/>
  <c r="BD861" i="1"/>
  <c r="BI861" i="1" s="1"/>
  <c r="BB861" i="1"/>
  <c r="AR861" i="1"/>
  <c r="Y861" i="1"/>
  <c r="W861" i="1"/>
  <c r="M861" i="1"/>
  <c r="DA860" i="1"/>
  <c r="CZ860" i="1"/>
  <c r="CY860" i="1"/>
  <c r="CV860" i="1"/>
  <c r="CG860" i="1"/>
  <c r="CC860" i="1"/>
  <c r="CB860" i="1"/>
  <c r="CA860" i="1"/>
  <c r="BW860" i="1"/>
  <c r="BV860" i="1"/>
  <c r="BU860" i="1"/>
  <c r="BT860" i="1"/>
  <c r="BS860" i="1"/>
  <c r="BM860" i="1"/>
  <c r="CW860" i="1" s="1"/>
  <c r="BI860" i="1"/>
  <c r="CR860" i="1" s="1"/>
  <c r="BD860" i="1"/>
  <c r="CF860" i="1" s="1"/>
  <c r="BB860" i="1"/>
  <c r="AR860" i="1"/>
  <c r="AD860" i="1"/>
  <c r="Y860" i="1"/>
  <c r="CD860" i="1" s="1"/>
  <c r="W860" i="1"/>
  <c r="M860" i="1"/>
  <c r="DA859" i="1"/>
  <c r="CZ859" i="1"/>
  <c r="CY859" i="1"/>
  <c r="CW859" i="1"/>
  <c r="CV859" i="1"/>
  <c r="CR859" i="1"/>
  <c r="CQ859" i="1"/>
  <c r="CP859" i="1"/>
  <c r="CH859" i="1"/>
  <c r="CG859" i="1"/>
  <c r="CF859" i="1"/>
  <c r="CE859" i="1"/>
  <c r="CD859" i="1"/>
  <c r="CC859" i="1"/>
  <c r="CB859" i="1"/>
  <c r="CA859" i="1"/>
  <c r="CI859" i="1" s="1"/>
  <c r="BX859" i="1"/>
  <c r="BW859" i="1"/>
  <c r="BV859" i="1"/>
  <c r="BU859" i="1"/>
  <c r="BT859" i="1"/>
  <c r="BS859" i="1"/>
  <c r="BI859" i="1"/>
  <c r="BB859" i="1"/>
  <c r="AR859" i="1"/>
  <c r="AD859" i="1"/>
  <c r="W859" i="1"/>
  <c r="M859" i="1"/>
  <c r="DA858" i="1"/>
  <c r="CZ858" i="1"/>
  <c r="CY858" i="1"/>
  <c r="CW858" i="1"/>
  <c r="CV858" i="1"/>
  <c r="CH858" i="1"/>
  <c r="CG858" i="1"/>
  <c r="CD858" i="1"/>
  <c r="CC858" i="1"/>
  <c r="CB858" i="1"/>
  <c r="CA858" i="1"/>
  <c r="BW858" i="1"/>
  <c r="BV858" i="1"/>
  <c r="BU858" i="1"/>
  <c r="BT858" i="1"/>
  <c r="BS858" i="1"/>
  <c r="BI858" i="1"/>
  <c r="CM858" i="1" s="1"/>
  <c r="BB858" i="1"/>
  <c r="AR858" i="1"/>
  <c r="AD858" i="1"/>
  <c r="Y858" i="1"/>
  <c r="CF858" i="1" s="1"/>
  <c r="W858" i="1"/>
  <c r="M858" i="1"/>
  <c r="G858" i="1"/>
  <c r="F858" i="1"/>
  <c r="E858" i="1"/>
  <c r="DA857" i="1"/>
  <c r="CZ857" i="1"/>
  <c r="CY857" i="1"/>
  <c r="CW857" i="1"/>
  <c r="CV857" i="1"/>
  <c r="CH857" i="1"/>
  <c r="CG857" i="1"/>
  <c r="CF857" i="1"/>
  <c r="CE857" i="1"/>
  <c r="CD857" i="1"/>
  <c r="CC857" i="1"/>
  <c r="CB857" i="1"/>
  <c r="CA857" i="1"/>
  <c r="BW857" i="1"/>
  <c r="BV857" i="1"/>
  <c r="BU857" i="1"/>
  <c r="BT857" i="1"/>
  <c r="BS857" i="1"/>
  <c r="BI857" i="1"/>
  <c r="CL857" i="1" s="1"/>
  <c r="BB857" i="1"/>
  <c r="AR857" i="1"/>
  <c r="AD857" i="1"/>
  <c r="W857" i="1"/>
  <c r="M857" i="1"/>
  <c r="G857" i="1"/>
  <c r="F857" i="1"/>
  <c r="E857" i="1"/>
  <c r="DA856" i="1"/>
  <c r="CZ856" i="1"/>
  <c r="CY856" i="1"/>
  <c r="CW856" i="1"/>
  <c r="CV856" i="1"/>
  <c r="CH856" i="1"/>
  <c r="CG856" i="1"/>
  <c r="CB856" i="1"/>
  <c r="CA856" i="1"/>
  <c r="BW856" i="1"/>
  <c r="BV856" i="1"/>
  <c r="BU856" i="1"/>
  <c r="BT856" i="1"/>
  <c r="BI856" i="1"/>
  <c r="BB856" i="1"/>
  <c r="AR856" i="1"/>
  <c r="AD856" i="1"/>
  <c r="Y856" i="1"/>
  <c r="CE856" i="1" s="1"/>
  <c r="W856" i="1"/>
  <c r="M856" i="1"/>
  <c r="DA855" i="1"/>
  <c r="CZ855" i="1"/>
  <c r="CY855" i="1"/>
  <c r="CW855" i="1"/>
  <c r="CV855" i="1"/>
  <c r="CE855" i="1"/>
  <c r="CD855" i="1"/>
  <c r="CC855" i="1"/>
  <c r="CB855" i="1"/>
  <c r="BW855" i="1"/>
  <c r="BV855" i="1"/>
  <c r="BU855" i="1"/>
  <c r="BT855" i="1"/>
  <c r="BS855" i="1"/>
  <c r="BI855" i="1"/>
  <c r="BB855" i="1"/>
  <c r="AR855" i="1"/>
  <c r="Y855" i="1"/>
  <c r="W855" i="1"/>
  <c r="M855" i="1"/>
  <c r="DA854" i="1"/>
  <c r="CZ854" i="1"/>
  <c r="CY854" i="1"/>
  <c r="CW854" i="1"/>
  <c r="CV854" i="1"/>
  <c r="CG854" i="1"/>
  <c r="CF854" i="1"/>
  <c r="CB854" i="1"/>
  <c r="BW854" i="1"/>
  <c r="BV854" i="1"/>
  <c r="BU854" i="1"/>
  <c r="BT854" i="1"/>
  <c r="BI854" i="1"/>
  <c r="BB854" i="1"/>
  <c r="AR854" i="1"/>
  <c r="Y854" i="1"/>
  <c r="W854" i="1"/>
  <c r="M854" i="1"/>
  <c r="DA853" i="1"/>
  <c r="CZ853" i="1"/>
  <c r="CY853" i="1"/>
  <c r="CW853" i="1"/>
  <c r="CV853" i="1"/>
  <c r="CF853" i="1"/>
  <c r="CE853" i="1"/>
  <c r="CD853" i="1"/>
  <c r="CC853" i="1"/>
  <c r="CB853" i="1"/>
  <c r="BW853" i="1"/>
  <c r="BV853" i="1"/>
  <c r="BU853" i="1"/>
  <c r="BT853" i="1"/>
  <c r="BS853" i="1"/>
  <c r="BI853" i="1"/>
  <c r="BB853" i="1"/>
  <c r="AR853" i="1"/>
  <c r="Y853" i="1"/>
  <c r="W853" i="1"/>
  <c r="M853" i="1"/>
  <c r="DA852" i="1"/>
  <c r="CZ852" i="1"/>
  <c r="CY852" i="1"/>
  <c r="CW852" i="1"/>
  <c r="CV852" i="1"/>
  <c r="CR852" i="1"/>
  <c r="CQ852" i="1"/>
  <c r="CP852" i="1"/>
  <c r="CL852" i="1"/>
  <c r="CH852" i="1"/>
  <c r="CG852" i="1"/>
  <c r="CF852" i="1"/>
  <c r="CE852" i="1"/>
  <c r="CD852" i="1"/>
  <c r="CC852" i="1"/>
  <c r="CB852" i="1"/>
  <c r="CA852" i="1"/>
  <c r="CI852" i="1" s="1"/>
  <c r="BW852" i="1"/>
  <c r="BV852" i="1"/>
  <c r="BU852" i="1"/>
  <c r="BT852" i="1"/>
  <c r="BS852" i="1"/>
  <c r="BI852" i="1"/>
  <c r="BX852" i="1" s="1"/>
  <c r="BB852" i="1"/>
  <c r="AR852" i="1"/>
  <c r="AD852" i="1"/>
  <c r="W852" i="1"/>
  <c r="M852" i="1"/>
  <c r="DA851" i="1"/>
  <c r="CZ851" i="1"/>
  <c r="CY851" i="1"/>
  <c r="CW851" i="1"/>
  <c r="CV851" i="1"/>
  <c r="CP851" i="1"/>
  <c r="CO851" i="1"/>
  <c r="CN851" i="1"/>
  <c r="CH851" i="1"/>
  <c r="CG851" i="1"/>
  <c r="CF851" i="1"/>
  <c r="CE851" i="1"/>
  <c r="CD851" i="1"/>
  <c r="CC851" i="1"/>
  <c r="CB851" i="1"/>
  <c r="CA851" i="1"/>
  <c r="BW851" i="1"/>
  <c r="BV851" i="1"/>
  <c r="BU851" i="1"/>
  <c r="BT851" i="1"/>
  <c r="BS851" i="1"/>
  <c r="BI851" i="1"/>
  <c r="BB851" i="1"/>
  <c r="AR851" i="1"/>
  <c r="AD851" i="1"/>
  <c r="W851" i="1"/>
  <c r="M851" i="1"/>
  <c r="DA850" i="1"/>
  <c r="CZ850" i="1"/>
  <c r="CY850" i="1"/>
  <c r="CW850" i="1"/>
  <c r="CV850" i="1"/>
  <c r="CQ850" i="1"/>
  <c r="CP850" i="1"/>
  <c r="CL850" i="1"/>
  <c r="CH850" i="1"/>
  <c r="CG850" i="1"/>
  <c r="CF850" i="1"/>
  <c r="CE850" i="1"/>
  <c r="CD850" i="1"/>
  <c r="CC850" i="1"/>
  <c r="CB850" i="1"/>
  <c r="CA850" i="1"/>
  <c r="CI850" i="1" s="1"/>
  <c r="BX850" i="1"/>
  <c r="BW850" i="1"/>
  <c r="BV850" i="1"/>
  <c r="BU850" i="1"/>
  <c r="BT850" i="1"/>
  <c r="BS850" i="1"/>
  <c r="BI850" i="1"/>
  <c r="CK850" i="1" s="1"/>
  <c r="BB850" i="1"/>
  <c r="AR850" i="1"/>
  <c r="AD850" i="1"/>
  <c r="CR850" i="1" s="1"/>
  <c r="W850" i="1"/>
  <c r="M850" i="1"/>
  <c r="DA849" i="1"/>
  <c r="CZ849" i="1"/>
  <c r="CY849" i="1"/>
  <c r="CW849" i="1"/>
  <c r="CV849" i="1"/>
  <c r="CO849" i="1"/>
  <c r="CN849" i="1"/>
  <c r="CM849" i="1"/>
  <c r="CH849" i="1"/>
  <c r="CG849" i="1"/>
  <c r="CF849" i="1"/>
  <c r="CE849" i="1"/>
  <c r="CD849" i="1"/>
  <c r="CC849" i="1"/>
  <c r="CB849" i="1"/>
  <c r="CA849" i="1"/>
  <c r="BW849" i="1"/>
  <c r="BV849" i="1"/>
  <c r="BU849" i="1"/>
  <c r="BT849" i="1"/>
  <c r="BS849" i="1"/>
  <c r="BI849" i="1"/>
  <c r="BB849" i="1"/>
  <c r="AR849" i="1"/>
  <c r="AD849" i="1"/>
  <c r="W849" i="1"/>
  <c r="M849" i="1"/>
  <c r="DA848" i="1"/>
  <c r="CZ848" i="1"/>
  <c r="CY848" i="1"/>
  <c r="CW848" i="1"/>
  <c r="CV848" i="1"/>
  <c r="CF848" i="1"/>
  <c r="CB848" i="1"/>
  <c r="BW848" i="1"/>
  <c r="BV848" i="1"/>
  <c r="BU848" i="1"/>
  <c r="BT848" i="1"/>
  <c r="BI848" i="1"/>
  <c r="BB848" i="1"/>
  <c r="AR848" i="1"/>
  <c r="Y848" i="1"/>
  <c r="W848" i="1"/>
  <c r="M848" i="1"/>
  <c r="DA847" i="1"/>
  <c r="CZ847" i="1"/>
  <c r="CY847" i="1"/>
  <c r="CW847" i="1"/>
  <c r="CV847" i="1"/>
  <c r="CM847" i="1"/>
  <c r="CL847" i="1"/>
  <c r="CH847" i="1"/>
  <c r="CG847" i="1"/>
  <c r="CF847" i="1"/>
  <c r="CE847" i="1"/>
  <c r="CD847" i="1"/>
  <c r="CC847" i="1"/>
  <c r="CB847" i="1"/>
  <c r="CA847" i="1"/>
  <c r="CI847" i="1" s="1"/>
  <c r="BW847" i="1"/>
  <c r="BV847" i="1"/>
  <c r="BU847" i="1"/>
  <c r="BT847" i="1"/>
  <c r="BS847" i="1"/>
  <c r="BI847" i="1"/>
  <c r="BB847" i="1"/>
  <c r="AR847" i="1"/>
  <c r="AD847" i="1"/>
  <c r="W847" i="1"/>
  <c r="M847" i="1"/>
  <c r="DA846" i="1"/>
  <c r="CZ846" i="1"/>
  <c r="CY846" i="1"/>
  <c r="CW846" i="1"/>
  <c r="CV846" i="1"/>
  <c r="CB846" i="1"/>
  <c r="CA846" i="1"/>
  <c r="BW846" i="1"/>
  <c r="BV846" i="1"/>
  <c r="BU846" i="1"/>
  <c r="BT846" i="1"/>
  <c r="BI846" i="1"/>
  <c r="BB846" i="1"/>
  <c r="AR846" i="1"/>
  <c r="Y846" i="1"/>
  <c r="W846" i="1"/>
  <c r="M846" i="1"/>
  <c r="DA845" i="1"/>
  <c r="CZ845" i="1"/>
  <c r="CY845" i="1"/>
  <c r="CW845" i="1"/>
  <c r="CV845" i="1"/>
  <c r="CL845" i="1"/>
  <c r="CH845" i="1"/>
  <c r="CG845" i="1"/>
  <c r="CF845" i="1"/>
  <c r="CE845" i="1"/>
  <c r="CD845" i="1"/>
  <c r="CC845" i="1"/>
  <c r="CB845" i="1"/>
  <c r="CA845" i="1"/>
  <c r="CI845" i="1" s="1"/>
  <c r="BW845" i="1"/>
  <c r="BV845" i="1"/>
  <c r="BU845" i="1"/>
  <c r="BT845" i="1"/>
  <c r="BS845" i="1"/>
  <c r="BI845" i="1"/>
  <c r="BB845" i="1"/>
  <c r="AR845" i="1"/>
  <c r="AD845" i="1"/>
  <c r="CP845" i="1" s="1"/>
  <c r="W845" i="1"/>
  <c r="M845" i="1"/>
  <c r="DA844" i="1"/>
  <c r="CZ844" i="1"/>
  <c r="CY844" i="1"/>
  <c r="CW844" i="1"/>
  <c r="CV844" i="1"/>
  <c r="CP844" i="1"/>
  <c r="CO844" i="1"/>
  <c r="CH844" i="1"/>
  <c r="CG844" i="1"/>
  <c r="CF844" i="1"/>
  <c r="CE844" i="1"/>
  <c r="CD844" i="1"/>
  <c r="CC844" i="1"/>
  <c r="CB844" i="1"/>
  <c r="CA844" i="1"/>
  <c r="CI844" i="1" s="1"/>
  <c r="BX844" i="1"/>
  <c r="BW844" i="1"/>
  <c r="BV844" i="1"/>
  <c r="BU844" i="1"/>
  <c r="BT844" i="1"/>
  <c r="BS844" i="1"/>
  <c r="BI844" i="1"/>
  <c r="CQ844" i="1" s="1"/>
  <c r="BB844" i="1"/>
  <c r="AR844" i="1"/>
  <c r="AD844" i="1"/>
  <c r="CR844" i="1" s="1"/>
  <c r="W844" i="1"/>
  <c r="M844" i="1"/>
  <c r="DA843" i="1"/>
  <c r="CZ843" i="1"/>
  <c r="CY843" i="1"/>
  <c r="CW843" i="1"/>
  <c r="CV843" i="1"/>
  <c r="CR843" i="1"/>
  <c r="CK843" i="1"/>
  <c r="CH843" i="1"/>
  <c r="CG843" i="1"/>
  <c r="CF843" i="1"/>
  <c r="CE843" i="1"/>
  <c r="CD843" i="1"/>
  <c r="CC843" i="1"/>
  <c r="CB843" i="1"/>
  <c r="CA843" i="1"/>
  <c r="CI843" i="1" s="1"/>
  <c r="BW843" i="1"/>
  <c r="BV843" i="1"/>
  <c r="BU843" i="1"/>
  <c r="BT843" i="1"/>
  <c r="BS843" i="1"/>
  <c r="BI843" i="1"/>
  <c r="BB843" i="1"/>
  <c r="AR843" i="1"/>
  <c r="AD843" i="1"/>
  <c r="CP843" i="1" s="1"/>
  <c r="W843" i="1"/>
  <c r="M843" i="1"/>
  <c r="AD842" i="1"/>
  <c r="W842" i="1"/>
  <c r="M842" i="1"/>
  <c r="DA841" i="1"/>
  <c r="CZ841" i="1"/>
  <c r="CY841" i="1"/>
  <c r="CW841" i="1"/>
  <c r="CV841" i="1"/>
  <c r="CH841" i="1"/>
  <c r="CG841" i="1"/>
  <c r="CC841" i="1"/>
  <c r="CB841" i="1"/>
  <c r="BW841" i="1"/>
  <c r="BV841" i="1"/>
  <c r="BU841" i="1"/>
  <c r="BT841" i="1"/>
  <c r="BS841" i="1"/>
  <c r="BI841" i="1"/>
  <c r="AR841" i="1"/>
  <c r="Y841" i="1"/>
  <c r="M841" i="1"/>
  <c r="DA840" i="1"/>
  <c r="CZ840" i="1"/>
  <c r="CY840" i="1"/>
  <c r="CW840" i="1"/>
  <c r="CV840" i="1"/>
  <c r="CC840" i="1"/>
  <c r="CB840" i="1"/>
  <c r="BW840" i="1"/>
  <c r="BV840" i="1"/>
  <c r="BU840" i="1"/>
  <c r="BT840" i="1"/>
  <c r="BI840" i="1"/>
  <c r="BB840" i="1"/>
  <c r="AR840" i="1"/>
  <c r="Y840" i="1"/>
  <c r="M840" i="1"/>
  <c r="DA839" i="1"/>
  <c r="CZ839" i="1"/>
  <c r="CY839" i="1"/>
  <c r="CW839" i="1"/>
  <c r="CG839" i="1"/>
  <c r="BW839" i="1"/>
  <c r="BV839" i="1"/>
  <c r="BU839" i="1"/>
  <c r="BT839" i="1"/>
  <c r="BD839" i="1"/>
  <c r="BI839" i="1" s="1"/>
  <c r="AR839" i="1"/>
  <c r="AH839" i="1"/>
  <c r="AG839" i="1"/>
  <c r="CV839" i="1" s="1"/>
  <c r="AD839" i="1"/>
  <c r="CR839" i="1" s="1"/>
  <c r="Y839" i="1"/>
  <c r="CD839" i="1" s="1"/>
  <c r="M839" i="1"/>
  <c r="DA838" i="1"/>
  <c r="CZ838" i="1"/>
  <c r="CY838" i="1"/>
  <c r="CW838" i="1"/>
  <c r="CV838" i="1"/>
  <c r="CP838" i="1"/>
  <c r="CO838" i="1"/>
  <c r="CN838" i="1"/>
  <c r="CM838" i="1"/>
  <c r="CL838" i="1"/>
  <c r="CH838" i="1"/>
  <c r="CG838" i="1"/>
  <c r="CF838" i="1"/>
  <c r="CE838" i="1"/>
  <c r="CD838" i="1"/>
  <c r="CC838" i="1"/>
  <c r="CB838" i="1"/>
  <c r="CA838" i="1"/>
  <c r="BW838" i="1"/>
  <c r="BV838" i="1"/>
  <c r="BU838" i="1"/>
  <c r="BT838" i="1"/>
  <c r="BS838" i="1"/>
  <c r="BI838" i="1"/>
  <c r="BB838" i="1"/>
  <c r="AR838" i="1"/>
  <c r="AD838" i="1"/>
  <c r="M838" i="1"/>
  <c r="DA837" i="1"/>
  <c r="CZ837" i="1"/>
  <c r="CY837" i="1"/>
  <c r="CW837" i="1"/>
  <c r="CV837" i="1"/>
  <c r="CH837" i="1"/>
  <c r="CG837" i="1"/>
  <c r="CF837" i="1"/>
  <c r="CE837" i="1"/>
  <c r="CD837" i="1"/>
  <c r="CC837" i="1"/>
  <c r="CB837" i="1"/>
  <c r="CA837" i="1"/>
  <c r="CI837" i="1" s="1"/>
  <c r="BW837" i="1"/>
  <c r="BV837" i="1"/>
  <c r="BU837" i="1"/>
  <c r="BT837" i="1"/>
  <c r="BS837" i="1"/>
  <c r="BI837" i="1"/>
  <c r="BB837" i="1"/>
  <c r="AR837" i="1"/>
  <c r="AD837" i="1"/>
  <c r="CR837" i="1" s="1"/>
  <c r="W837" i="1"/>
  <c r="M837" i="1"/>
  <c r="DA836" i="1"/>
  <c r="CZ836" i="1"/>
  <c r="CY836" i="1"/>
  <c r="CW836" i="1"/>
  <c r="CV836" i="1"/>
  <c r="CQ836" i="1"/>
  <c r="CM836" i="1"/>
  <c r="CL836" i="1"/>
  <c r="CH836" i="1"/>
  <c r="CG836" i="1"/>
  <c r="CF836" i="1"/>
  <c r="CE836" i="1"/>
  <c r="CD836" i="1"/>
  <c r="CC836" i="1"/>
  <c r="CB836" i="1"/>
  <c r="CA836" i="1"/>
  <c r="CI836" i="1" s="1"/>
  <c r="BX836" i="1"/>
  <c r="BW836" i="1"/>
  <c r="BV836" i="1"/>
  <c r="BU836" i="1"/>
  <c r="BT836" i="1"/>
  <c r="BS836" i="1"/>
  <c r="BI836" i="1"/>
  <c r="CR836" i="1" s="1"/>
  <c r="BB836" i="1"/>
  <c r="AR836" i="1"/>
  <c r="AD836" i="1"/>
  <c r="W836" i="1"/>
  <c r="M836" i="1"/>
  <c r="DA835" i="1"/>
  <c r="CZ835" i="1"/>
  <c r="CY835" i="1"/>
  <c r="CW835" i="1"/>
  <c r="CV835" i="1"/>
  <c r="CO835" i="1"/>
  <c r="CN835" i="1"/>
  <c r="CM835" i="1"/>
  <c r="CH835" i="1"/>
  <c r="CG835" i="1"/>
  <c r="CF835" i="1"/>
  <c r="CE835" i="1"/>
  <c r="CD835" i="1"/>
  <c r="CC835" i="1"/>
  <c r="CB835" i="1"/>
  <c r="CA835" i="1"/>
  <c r="CI835" i="1" s="1"/>
  <c r="BX835" i="1"/>
  <c r="BW835" i="1"/>
  <c r="BV835" i="1"/>
  <c r="BU835" i="1"/>
  <c r="BT835" i="1"/>
  <c r="BS835" i="1"/>
  <c r="BP835" i="1"/>
  <c r="BI835" i="1"/>
  <c r="BB835" i="1"/>
  <c r="AR835" i="1"/>
  <c r="AK835" i="1"/>
  <c r="AD835" i="1"/>
  <c r="CP835" i="1" s="1"/>
  <c r="W835" i="1"/>
  <c r="M835" i="1"/>
  <c r="DA834" i="1"/>
  <c r="CZ834" i="1"/>
  <c r="CY834" i="1"/>
  <c r="CW834" i="1"/>
  <c r="CV834" i="1"/>
  <c r="BW834" i="1"/>
  <c r="BV834" i="1"/>
  <c r="BU834" i="1"/>
  <c r="BT834" i="1"/>
  <c r="BI834" i="1"/>
  <c r="BD834" i="1"/>
  <c r="BB834" i="1"/>
  <c r="AR834" i="1"/>
  <c r="Y834" i="1"/>
  <c r="CE834" i="1" s="1"/>
  <c r="W834" i="1"/>
  <c r="M834" i="1"/>
  <c r="DA833" i="1"/>
  <c r="CZ833" i="1"/>
  <c r="CY833" i="1"/>
  <c r="CW833" i="1"/>
  <c r="CV833" i="1"/>
  <c r="CH833" i="1"/>
  <c r="CG833" i="1"/>
  <c r="CC833" i="1"/>
  <c r="CB833" i="1"/>
  <c r="CA833" i="1"/>
  <c r="BW833" i="1"/>
  <c r="BV833" i="1"/>
  <c r="BU833" i="1"/>
  <c r="BT833" i="1"/>
  <c r="BS833" i="1"/>
  <c r="BI833" i="1"/>
  <c r="CL833" i="1" s="1"/>
  <c r="BB833" i="1"/>
  <c r="AR833" i="1"/>
  <c r="AD833" i="1"/>
  <c r="Y833" i="1"/>
  <c r="CF833" i="1" s="1"/>
  <c r="W833" i="1"/>
  <c r="M833" i="1"/>
  <c r="DA832" i="1"/>
  <c r="CZ832" i="1"/>
  <c r="CY832" i="1"/>
  <c r="CW832" i="1"/>
  <c r="CV832" i="1"/>
  <c r="CQ832" i="1"/>
  <c r="CP832" i="1"/>
  <c r="CO832" i="1"/>
  <c r="CN832" i="1"/>
  <c r="CM832" i="1"/>
  <c r="CH832" i="1"/>
  <c r="CG832" i="1"/>
  <c r="CF832" i="1"/>
  <c r="CE832" i="1"/>
  <c r="CD832" i="1"/>
  <c r="CC832" i="1"/>
  <c r="CB832" i="1"/>
  <c r="CA832" i="1"/>
  <c r="BX832" i="1"/>
  <c r="BW832" i="1"/>
  <c r="BV832" i="1"/>
  <c r="BU832" i="1"/>
  <c r="BT832" i="1"/>
  <c r="BS832" i="1"/>
  <c r="BI832" i="1"/>
  <c r="BB832" i="1"/>
  <c r="AR832" i="1"/>
  <c r="AD832" i="1"/>
  <c r="W832" i="1"/>
  <c r="M832" i="1"/>
  <c r="DA831" i="1"/>
  <c r="CZ831" i="1"/>
  <c r="CY831" i="1"/>
  <c r="CG831" i="1"/>
  <c r="CC831" i="1"/>
  <c r="BW831" i="1"/>
  <c r="BV831" i="1"/>
  <c r="BU831" i="1"/>
  <c r="BT831" i="1"/>
  <c r="BS831" i="1"/>
  <c r="BM831" i="1"/>
  <c r="CW831" i="1" s="1"/>
  <c r="BL831" i="1"/>
  <c r="BI831" i="1"/>
  <c r="BD831" i="1"/>
  <c r="BB831" i="1"/>
  <c r="AR831" i="1"/>
  <c r="AH831" i="1"/>
  <c r="AG831" i="1"/>
  <c r="CV831" i="1" s="1"/>
  <c r="Y831" i="1"/>
  <c r="W831" i="1"/>
  <c r="M831" i="1"/>
  <c r="G831" i="1"/>
  <c r="F831" i="1"/>
  <c r="E831" i="1"/>
  <c r="DA830" i="1"/>
  <c r="CZ830" i="1"/>
  <c r="CY830" i="1"/>
  <c r="CQ830" i="1"/>
  <c r="CP830" i="1"/>
  <c r="CG830" i="1"/>
  <c r="CF830" i="1"/>
  <c r="CD830" i="1"/>
  <c r="BW830" i="1"/>
  <c r="BV830" i="1"/>
  <c r="BU830" i="1"/>
  <c r="BT830" i="1"/>
  <c r="BS830" i="1"/>
  <c r="BM830" i="1"/>
  <c r="BL830" i="1"/>
  <c r="BI830" i="1"/>
  <c r="BB830" i="1"/>
  <c r="AR830" i="1"/>
  <c r="AH830" i="1"/>
  <c r="CW830" i="1" s="1"/>
  <c r="AG830" i="1"/>
  <c r="CV830" i="1" s="1"/>
  <c r="AD830" i="1"/>
  <c r="CR830" i="1" s="1"/>
  <c r="Y830" i="1"/>
  <c r="CA830" i="1" s="1"/>
  <c r="W830" i="1"/>
  <c r="M830" i="1"/>
  <c r="G830" i="1"/>
  <c r="F830" i="1"/>
  <c r="E830" i="1"/>
  <c r="DA829" i="1"/>
  <c r="CZ829" i="1"/>
  <c r="CY829" i="1"/>
  <c r="CR829" i="1"/>
  <c r="CQ829" i="1"/>
  <c r="CP829" i="1"/>
  <c r="CO829" i="1"/>
  <c r="CM829" i="1"/>
  <c r="CL829" i="1"/>
  <c r="CH829" i="1"/>
  <c r="CG829" i="1"/>
  <c r="CF829" i="1"/>
  <c r="CE829" i="1"/>
  <c r="CD829" i="1"/>
  <c r="CC829" i="1"/>
  <c r="CB829" i="1"/>
  <c r="CA829" i="1"/>
  <c r="CI829" i="1" s="1"/>
  <c r="BX829" i="1"/>
  <c r="BW829" i="1"/>
  <c r="BV829" i="1"/>
  <c r="BU829" i="1"/>
  <c r="BT829" i="1"/>
  <c r="BS829" i="1"/>
  <c r="BI829" i="1"/>
  <c r="CK829" i="1" s="1"/>
  <c r="CS829" i="1" s="1"/>
  <c r="CT829" i="1" s="1"/>
  <c r="BB829" i="1"/>
  <c r="AR829" i="1"/>
  <c r="AH829" i="1"/>
  <c r="CW829" i="1" s="1"/>
  <c r="AG829" i="1"/>
  <c r="CV829" i="1" s="1"/>
  <c r="AD829" i="1"/>
  <c r="CN829" i="1" s="1"/>
  <c r="W829" i="1"/>
  <c r="M829" i="1"/>
  <c r="G829" i="1"/>
  <c r="F829" i="1"/>
  <c r="E829" i="1"/>
  <c r="DA828" i="1"/>
  <c r="CZ828" i="1"/>
  <c r="CY828" i="1"/>
  <c r="CW828" i="1"/>
  <c r="CV828" i="1"/>
  <c r="CH828" i="1"/>
  <c r="CG828" i="1"/>
  <c r="CF828" i="1"/>
  <c r="CD828" i="1"/>
  <c r="CB828" i="1"/>
  <c r="BW828" i="1"/>
  <c r="BV828" i="1"/>
  <c r="BU828" i="1"/>
  <c r="BT828" i="1"/>
  <c r="BI828" i="1"/>
  <c r="BD828" i="1"/>
  <c r="CC828" i="1" s="1"/>
  <c r="BB828" i="1"/>
  <c r="AR828" i="1"/>
  <c r="AD828" i="1"/>
  <c r="Y828" i="1"/>
  <c r="CE828" i="1" s="1"/>
  <c r="W828" i="1"/>
  <c r="M828" i="1"/>
  <c r="G828" i="1"/>
  <c r="F828" i="1"/>
  <c r="E828" i="1"/>
  <c r="DA827" i="1"/>
  <c r="CZ827" i="1"/>
  <c r="CY827" i="1"/>
  <c r="CW827" i="1"/>
  <c r="CV827" i="1"/>
  <c r="CC827" i="1"/>
  <c r="CB827" i="1"/>
  <c r="BW827" i="1"/>
  <c r="BV827" i="1"/>
  <c r="BU827" i="1"/>
  <c r="BT827" i="1"/>
  <c r="BL827" i="1"/>
  <c r="BI827" i="1"/>
  <c r="BD827" i="1"/>
  <c r="BB827" i="1"/>
  <c r="AR827" i="1"/>
  <c r="AG827" i="1"/>
  <c r="Y827" i="1"/>
  <c r="BS827" i="1" s="1"/>
  <c r="W827" i="1"/>
  <c r="M827" i="1"/>
  <c r="G827" i="1"/>
  <c r="F827" i="1"/>
  <c r="E827" i="1"/>
  <c r="DA826" i="1"/>
  <c r="CZ826" i="1"/>
  <c r="CY826" i="1"/>
  <c r="CW826" i="1"/>
  <c r="CV826" i="1"/>
  <c r="CN826" i="1"/>
  <c r="CG826" i="1"/>
  <c r="CD826" i="1"/>
  <c r="CC826" i="1"/>
  <c r="BW826" i="1"/>
  <c r="BV826" i="1"/>
  <c r="BU826" i="1"/>
  <c r="BT826" i="1"/>
  <c r="BS826" i="1"/>
  <c r="BI826" i="1"/>
  <c r="BD826" i="1"/>
  <c r="CE826" i="1" s="1"/>
  <c r="BB826" i="1"/>
  <c r="AR826" i="1"/>
  <c r="AD826" i="1"/>
  <c r="Y826" i="1"/>
  <c r="W826" i="1"/>
  <c r="M826" i="1"/>
  <c r="G826" i="1"/>
  <c r="F826" i="1"/>
  <c r="E826" i="1"/>
  <c r="DA825" i="1"/>
  <c r="CZ825" i="1"/>
  <c r="CY825" i="1"/>
  <c r="CW825" i="1"/>
  <c r="CV825" i="1"/>
  <c r="CB825" i="1"/>
  <c r="BW825" i="1"/>
  <c r="BV825" i="1"/>
  <c r="BU825" i="1"/>
  <c r="BT825" i="1"/>
  <c r="BL825" i="1"/>
  <c r="BD825" i="1"/>
  <c r="BI825" i="1" s="1"/>
  <c r="BB825" i="1"/>
  <c r="AR825" i="1"/>
  <c r="AG825" i="1"/>
  <c r="Y825" i="1"/>
  <c r="CD825" i="1" s="1"/>
  <c r="W825" i="1"/>
  <c r="M825" i="1"/>
  <c r="G825" i="1"/>
  <c r="F825" i="1"/>
  <c r="E825" i="1"/>
  <c r="DA824" i="1"/>
  <c r="CZ824" i="1"/>
  <c r="CY824" i="1"/>
  <c r="CW824" i="1"/>
  <c r="CV824" i="1"/>
  <c r="CF824" i="1"/>
  <c r="CE824" i="1"/>
  <c r="CC824" i="1"/>
  <c r="BW824" i="1"/>
  <c r="BV824" i="1"/>
  <c r="BU824" i="1"/>
  <c r="BT824" i="1"/>
  <c r="BS824" i="1"/>
  <c r="BI824" i="1"/>
  <c r="BD824" i="1"/>
  <c r="BB824" i="1"/>
  <c r="AR824" i="1"/>
  <c r="AD824" i="1"/>
  <c r="CK824" i="1" s="1"/>
  <c r="Y824" i="1"/>
  <c r="CG824" i="1" s="1"/>
  <c r="W824" i="1"/>
  <c r="M824" i="1"/>
  <c r="G824" i="1"/>
  <c r="F824" i="1"/>
  <c r="E824" i="1"/>
  <c r="DA823" i="1"/>
  <c r="CZ823" i="1"/>
  <c r="CY823" i="1"/>
  <c r="CW823" i="1"/>
  <c r="CV823" i="1"/>
  <c r="CL823" i="1"/>
  <c r="CF823" i="1"/>
  <c r="CB823" i="1"/>
  <c r="CA823" i="1"/>
  <c r="BW823" i="1"/>
  <c r="BV823" i="1"/>
  <c r="BU823" i="1"/>
  <c r="BT823" i="1"/>
  <c r="BL823" i="1"/>
  <c r="BI823" i="1"/>
  <c r="CQ823" i="1" s="1"/>
  <c r="BD823" i="1"/>
  <c r="CG823" i="1" s="1"/>
  <c r="BB823" i="1"/>
  <c r="AR823" i="1"/>
  <c r="AG823" i="1"/>
  <c r="AD823" i="1"/>
  <c r="CM823" i="1" s="1"/>
  <c r="Y823" i="1"/>
  <c r="W823" i="1"/>
  <c r="M823" i="1"/>
  <c r="G823" i="1"/>
  <c r="F823" i="1"/>
  <c r="E823" i="1"/>
  <c r="DA822" i="1"/>
  <c r="CZ822" i="1"/>
  <c r="CY822" i="1"/>
  <c r="CW822" i="1"/>
  <c r="CV822" i="1"/>
  <c r="CK822" i="1"/>
  <c r="CH822" i="1"/>
  <c r="CG822" i="1"/>
  <c r="CF822" i="1"/>
  <c r="CE822" i="1"/>
  <c r="CD822" i="1"/>
  <c r="CC822" i="1"/>
  <c r="CB822" i="1"/>
  <c r="CA822" i="1"/>
  <c r="CI822" i="1" s="1"/>
  <c r="BW822" i="1"/>
  <c r="BV822" i="1"/>
  <c r="BU822" i="1"/>
  <c r="BT822" i="1"/>
  <c r="BS822" i="1"/>
  <c r="BI822" i="1"/>
  <c r="BB822" i="1"/>
  <c r="AR822" i="1"/>
  <c r="AD822" i="1"/>
  <c r="W822" i="1"/>
  <c r="M822" i="1"/>
  <c r="DA821" i="1"/>
  <c r="CZ821" i="1"/>
  <c r="CY821" i="1"/>
  <c r="CW821" i="1"/>
  <c r="CV821" i="1"/>
  <c r="CN821" i="1"/>
  <c r="CH821" i="1"/>
  <c r="CD821" i="1"/>
  <c r="BW821" i="1"/>
  <c r="BV821" i="1"/>
  <c r="BU821" i="1"/>
  <c r="BT821" i="1"/>
  <c r="BI821" i="1"/>
  <c r="BD821" i="1"/>
  <c r="CA821" i="1" s="1"/>
  <c r="BB821" i="1"/>
  <c r="AR821" i="1"/>
  <c r="AD821" i="1"/>
  <c r="W821" i="1"/>
  <c r="M821" i="1"/>
  <c r="DA820" i="1"/>
  <c r="CZ820" i="1"/>
  <c r="CY820" i="1"/>
  <c r="CW820" i="1"/>
  <c r="CV820" i="1"/>
  <c r="CR820" i="1"/>
  <c r="CM820" i="1"/>
  <c r="CL820" i="1"/>
  <c r="CH820" i="1"/>
  <c r="CG820" i="1"/>
  <c r="CF820" i="1"/>
  <c r="CE820" i="1"/>
  <c r="CD820" i="1"/>
  <c r="CC820" i="1"/>
  <c r="CB820" i="1"/>
  <c r="CA820" i="1"/>
  <c r="BX820" i="1"/>
  <c r="BW820" i="1"/>
  <c r="BV820" i="1"/>
  <c r="BU820" i="1"/>
  <c r="BT820" i="1"/>
  <c r="BS820" i="1"/>
  <c r="BI820" i="1"/>
  <c r="CQ820" i="1" s="1"/>
  <c r="BB820" i="1"/>
  <c r="AR820" i="1"/>
  <c r="AD820" i="1"/>
  <c r="W820" i="1"/>
  <c r="M820" i="1"/>
  <c r="DA819" i="1"/>
  <c r="CZ819" i="1"/>
  <c r="CY819" i="1"/>
  <c r="CW819" i="1"/>
  <c r="CV819" i="1"/>
  <c r="CP819" i="1"/>
  <c r="CO819" i="1"/>
  <c r="CK819" i="1"/>
  <c r="CF819" i="1"/>
  <c r="CE819" i="1"/>
  <c r="CD819" i="1"/>
  <c r="CA819" i="1"/>
  <c r="BW819" i="1"/>
  <c r="BV819" i="1"/>
  <c r="BU819" i="1"/>
  <c r="BT819" i="1"/>
  <c r="BI819" i="1"/>
  <c r="CM819" i="1" s="1"/>
  <c r="BD819" i="1"/>
  <c r="CH819" i="1" s="1"/>
  <c r="BB819" i="1"/>
  <c r="AR819" i="1"/>
  <c r="AD819" i="1"/>
  <c r="CQ819" i="1" s="1"/>
  <c r="W819" i="1"/>
  <c r="M819" i="1"/>
  <c r="DA818" i="1"/>
  <c r="CZ818" i="1"/>
  <c r="CY818" i="1"/>
  <c r="CW818" i="1"/>
  <c r="CV818" i="1"/>
  <c r="CO818" i="1"/>
  <c r="CH818" i="1"/>
  <c r="CG818" i="1"/>
  <c r="CF818" i="1"/>
  <c r="CE818" i="1"/>
  <c r="CD818" i="1"/>
  <c r="CC818" i="1"/>
  <c r="CB818" i="1"/>
  <c r="CA818" i="1"/>
  <c r="BW818" i="1"/>
  <c r="BV818" i="1"/>
  <c r="BU818" i="1"/>
  <c r="BT818" i="1"/>
  <c r="BS818" i="1"/>
  <c r="BI818" i="1"/>
  <c r="CL818" i="1" s="1"/>
  <c r="BB818" i="1"/>
  <c r="AR818" i="1"/>
  <c r="AD818" i="1"/>
  <c r="W818" i="1"/>
  <c r="M818" i="1"/>
  <c r="DA817" i="1"/>
  <c r="CY817" i="1"/>
  <c r="CW817" i="1"/>
  <c r="CV817" i="1"/>
  <c r="CP817" i="1"/>
  <c r="CL817" i="1"/>
  <c r="CH817" i="1"/>
  <c r="CG817" i="1"/>
  <c r="CF817" i="1"/>
  <c r="CE817" i="1"/>
  <c r="CD817" i="1"/>
  <c r="CC817" i="1"/>
  <c r="CB817" i="1"/>
  <c r="CA817" i="1"/>
  <c r="CI817" i="1" s="1"/>
  <c r="BW817" i="1"/>
  <c r="BV817" i="1"/>
  <c r="BU817" i="1"/>
  <c r="BT817" i="1"/>
  <c r="BS817" i="1"/>
  <c r="BP817" i="1"/>
  <c r="BI817" i="1"/>
  <c r="BB817" i="1"/>
  <c r="AR817" i="1"/>
  <c r="AK817" i="1"/>
  <c r="CZ817" i="1" s="1"/>
  <c r="AD817" i="1"/>
  <c r="CK817" i="1" s="1"/>
  <c r="W817" i="1"/>
  <c r="M817" i="1"/>
  <c r="DA816" i="1"/>
  <c r="CZ816" i="1"/>
  <c r="CY816" i="1"/>
  <c r="CW816" i="1"/>
  <c r="CV816" i="1"/>
  <c r="CN816" i="1"/>
  <c r="CH816" i="1"/>
  <c r="CG816" i="1"/>
  <c r="CF816" i="1"/>
  <c r="CE816" i="1"/>
  <c r="CD816" i="1"/>
  <c r="CC816" i="1"/>
  <c r="CB816" i="1"/>
  <c r="CA816" i="1"/>
  <c r="CI816" i="1" s="1"/>
  <c r="BW816" i="1"/>
  <c r="BV816" i="1"/>
  <c r="BU816" i="1"/>
  <c r="BT816" i="1"/>
  <c r="BS816" i="1"/>
  <c r="BB816" i="1"/>
  <c r="AR816" i="1"/>
  <c r="AD816" i="1"/>
  <c r="CP816" i="1" s="1"/>
  <c r="W816" i="1"/>
  <c r="M816" i="1"/>
  <c r="DA815" i="1"/>
  <c r="CZ815" i="1"/>
  <c r="CY815" i="1"/>
  <c r="CW815" i="1"/>
  <c r="CV815" i="1"/>
  <c r="CH815" i="1"/>
  <c r="CG815" i="1"/>
  <c r="CF815" i="1"/>
  <c r="CE815" i="1"/>
  <c r="CD815" i="1"/>
  <c r="CC815" i="1"/>
  <c r="CB815" i="1"/>
  <c r="CA815" i="1"/>
  <c r="BW815" i="1"/>
  <c r="BV815" i="1"/>
  <c r="BU815" i="1"/>
  <c r="BT815" i="1"/>
  <c r="BS815" i="1"/>
  <c r="BB815" i="1"/>
  <c r="AR815" i="1"/>
  <c r="AD815" i="1"/>
  <c r="W815" i="1"/>
  <c r="M815" i="1"/>
  <c r="DA814" i="1"/>
  <c r="CZ814" i="1"/>
  <c r="CY814" i="1"/>
  <c r="CW814" i="1"/>
  <c r="CV814" i="1"/>
  <c r="CH814" i="1"/>
  <c r="CG814" i="1"/>
  <c r="CF814" i="1"/>
  <c r="CE814" i="1"/>
  <c r="CD814" i="1"/>
  <c r="CC814" i="1"/>
  <c r="CB814" i="1"/>
  <c r="CA814" i="1"/>
  <c r="BW814" i="1"/>
  <c r="BV814" i="1"/>
  <c r="BU814" i="1"/>
  <c r="BT814" i="1"/>
  <c r="BS814" i="1"/>
  <c r="BI814" i="1"/>
  <c r="BB814" i="1"/>
  <c r="AR814" i="1"/>
  <c r="AD814" i="1"/>
  <c r="W814" i="1"/>
  <c r="M814" i="1"/>
  <c r="DA813" i="1"/>
  <c r="CZ813" i="1"/>
  <c r="CY813" i="1"/>
  <c r="CW813" i="1"/>
  <c r="CV813" i="1"/>
  <c r="BW813" i="1"/>
  <c r="BV813" i="1"/>
  <c r="BU813" i="1"/>
  <c r="BT813" i="1"/>
  <c r="BD813" i="1"/>
  <c r="BB813" i="1"/>
  <c r="AR813" i="1"/>
  <c r="AD813" i="1"/>
  <c r="W813" i="1"/>
  <c r="M813" i="1"/>
  <c r="DA812" i="1"/>
  <c r="CZ812" i="1"/>
  <c r="CY812" i="1"/>
  <c r="CW812" i="1"/>
  <c r="CV812" i="1"/>
  <c r="CO812" i="1"/>
  <c r="CN812" i="1"/>
  <c r="CH812" i="1"/>
  <c r="CE812" i="1"/>
  <c r="CC812" i="1"/>
  <c r="CB812" i="1"/>
  <c r="BX812" i="1"/>
  <c r="BW812" i="1"/>
  <c r="BV812" i="1"/>
  <c r="BU812" i="1"/>
  <c r="BT812" i="1"/>
  <c r="BS812" i="1"/>
  <c r="BI812" i="1"/>
  <c r="CK812" i="1" s="1"/>
  <c r="BD812" i="1"/>
  <c r="CD812" i="1" s="1"/>
  <c r="BB812" i="1"/>
  <c r="AR812" i="1"/>
  <c r="AD812" i="1"/>
  <c r="CP812" i="1" s="1"/>
  <c r="W812" i="1"/>
  <c r="M812" i="1"/>
  <c r="DA811" i="1"/>
  <c r="CZ811" i="1"/>
  <c r="CY811" i="1"/>
  <c r="CW811" i="1"/>
  <c r="CV811" i="1"/>
  <c r="CH811" i="1"/>
  <c r="CG811" i="1"/>
  <c r="CF811" i="1"/>
  <c r="CE811" i="1"/>
  <c r="CD811" i="1"/>
  <c r="CC811" i="1"/>
  <c r="CB811" i="1"/>
  <c r="CA811" i="1"/>
  <c r="BW811" i="1"/>
  <c r="BV811" i="1"/>
  <c r="BU811" i="1"/>
  <c r="BT811" i="1"/>
  <c r="BS811" i="1"/>
  <c r="BI811" i="1"/>
  <c r="BB811" i="1"/>
  <c r="AR811" i="1"/>
  <c r="AD811" i="1"/>
  <c r="W811" i="1"/>
  <c r="M811" i="1"/>
  <c r="DA810" i="1"/>
  <c r="CZ810" i="1"/>
  <c r="CY810" i="1"/>
  <c r="CW810" i="1"/>
  <c r="CV810" i="1"/>
  <c r="CA810" i="1"/>
  <c r="BW810" i="1"/>
  <c r="BV810" i="1"/>
  <c r="BU810" i="1"/>
  <c r="BT810" i="1"/>
  <c r="BD810" i="1"/>
  <c r="BB810" i="1"/>
  <c r="AR810" i="1"/>
  <c r="AD810" i="1"/>
  <c r="W810" i="1"/>
  <c r="M810" i="1"/>
  <c r="DA809" i="1"/>
  <c r="CZ809" i="1"/>
  <c r="CY809" i="1"/>
  <c r="CW809" i="1"/>
  <c r="CV809" i="1"/>
  <c r="CH809" i="1"/>
  <c r="CD809" i="1"/>
  <c r="BW809" i="1"/>
  <c r="BV809" i="1"/>
  <c r="BU809" i="1"/>
  <c r="BT809" i="1"/>
  <c r="BS809" i="1"/>
  <c r="BD809" i="1"/>
  <c r="CA809" i="1" s="1"/>
  <c r="BB809" i="1"/>
  <c r="AR809" i="1"/>
  <c r="AD809" i="1"/>
  <c r="W809" i="1"/>
  <c r="M809" i="1"/>
  <c r="DA808" i="1"/>
  <c r="CZ808" i="1"/>
  <c r="CY808" i="1"/>
  <c r="CW808" i="1"/>
  <c r="CV808" i="1"/>
  <c r="BW808" i="1"/>
  <c r="BV808" i="1"/>
  <c r="BU808" i="1"/>
  <c r="BT808" i="1"/>
  <c r="BD808" i="1"/>
  <c r="BI808" i="1" s="1"/>
  <c r="BB808" i="1"/>
  <c r="AR808" i="1"/>
  <c r="Y808" i="1"/>
  <c r="W808" i="1"/>
  <c r="M808" i="1"/>
  <c r="DA807" i="1"/>
  <c r="CZ807" i="1"/>
  <c r="CY807" i="1"/>
  <c r="CW807" i="1"/>
  <c r="CV807" i="1"/>
  <c r="CO807" i="1"/>
  <c r="CN807" i="1"/>
  <c r="CM807" i="1"/>
  <c r="CH807" i="1"/>
  <c r="CE807" i="1"/>
  <c r="CD807" i="1"/>
  <c r="CC807" i="1"/>
  <c r="CA807" i="1"/>
  <c r="BX807" i="1"/>
  <c r="BW807" i="1"/>
  <c r="BV807" i="1"/>
  <c r="BU807" i="1"/>
  <c r="BT807" i="1"/>
  <c r="BS807" i="1"/>
  <c r="BI807" i="1"/>
  <c r="BB807" i="1"/>
  <c r="AR807" i="1"/>
  <c r="AD807" i="1"/>
  <c r="CK807" i="1" s="1"/>
  <c r="Y807" i="1"/>
  <c r="CB807" i="1" s="1"/>
  <c r="W807" i="1"/>
  <c r="M807" i="1"/>
  <c r="DA806" i="1"/>
  <c r="CZ806" i="1"/>
  <c r="CY806" i="1"/>
  <c r="CW806" i="1"/>
  <c r="CV806" i="1"/>
  <c r="CR806" i="1"/>
  <c r="CN806" i="1"/>
  <c r="CH806" i="1"/>
  <c r="CC806" i="1"/>
  <c r="CB806" i="1"/>
  <c r="BW806" i="1"/>
  <c r="BV806" i="1"/>
  <c r="BU806" i="1"/>
  <c r="BT806" i="1"/>
  <c r="BS806" i="1"/>
  <c r="BI806" i="1"/>
  <c r="CL806" i="1" s="1"/>
  <c r="BD806" i="1"/>
  <c r="CG806" i="1" s="1"/>
  <c r="BB806" i="1"/>
  <c r="AR806" i="1"/>
  <c r="AD806" i="1"/>
  <c r="CP806" i="1" s="1"/>
  <c r="Y806" i="1"/>
  <c r="CE806" i="1" s="1"/>
  <c r="W806" i="1"/>
  <c r="M806" i="1"/>
  <c r="DA805" i="1"/>
  <c r="CZ805" i="1"/>
  <c r="CY805" i="1"/>
  <c r="CW805" i="1"/>
  <c r="CV805" i="1"/>
  <c r="BW805" i="1"/>
  <c r="BV805" i="1"/>
  <c r="BU805" i="1"/>
  <c r="BT805" i="1"/>
  <c r="BI805" i="1"/>
  <c r="BB805" i="1"/>
  <c r="AR805" i="1"/>
  <c r="Y805" i="1"/>
  <c r="W805" i="1"/>
  <c r="M805" i="1"/>
  <c r="DA804" i="1"/>
  <c r="CZ804" i="1"/>
  <c r="CY804" i="1"/>
  <c r="CW804" i="1"/>
  <c r="CV804" i="1"/>
  <c r="BW804" i="1"/>
  <c r="BV804" i="1"/>
  <c r="BU804" i="1"/>
  <c r="BT804" i="1"/>
  <c r="BD804" i="1"/>
  <c r="BI804" i="1" s="1"/>
  <c r="BB804" i="1"/>
  <c r="AR804" i="1"/>
  <c r="Y804" i="1"/>
  <c r="W804" i="1"/>
  <c r="M804" i="1"/>
  <c r="DA803" i="1"/>
  <c r="CZ803" i="1"/>
  <c r="CY803" i="1"/>
  <c r="CW803" i="1"/>
  <c r="CV803" i="1"/>
  <c r="CO803" i="1"/>
  <c r="CH803" i="1"/>
  <c r="CE803" i="1"/>
  <c r="BX803" i="1"/>
  <c r="BW803" i="1"/>
  <c r="BV803" i="1"/>
  <c r="BU803" i="1"/>
  <c r="BT803" i="1"/>
  <c r="BI803" i="1"/>
  <c r="BB803" i="1"/>
  <c r="AR803" i="1"/>
  <c r="AD803" i="1"/>
  <c r="CK803" i="1" s="1"/>
  <c r="Y803" i="1"/>
  <c r="CB803" i="1" s="1"/>
  <c r="W803" i="1"/>
  <c r="M803" i="1"/>
  <c r="DA802" i="1"/>
  <c r="CZ802" i="1"/>
  <c r="CY802" i="1"/>
  <c r="CW802" i="1"/>
  <c r="CV802" i="1"/>
  <c r="CM802" i="1"/>
  <c r="CH802" i="1"/>
  <c r="CG802" i="1"/>
  <c r="CF802" i="1"/>
  <c r="CE802" i="1"/>
  <c r="CD802" i="1"/>
  <c r="CC802" i="1"/>
  <c r="CB802" i="1"/>
  <c r="CA802" i="1"/>
  <c r="CI802" i="1" s="1"/>
  <c r="BW802" i="1"/>
  <c r="BV802" i="1"/>
  <c r="BU802" i="1"/>
  <c r="BT802" i="1"/>
  <c r="BS802" i="1"/>
  <c r="BI802" i="1"/>
  <c r="AR802" i="1"/>
  <c r="AD802" i="1"/>
  <c r="CP802" i="1" s="1"/>
  <c r="M802" i="1"/>
  <c r="DA801" i="1"/>
  <c r="CZ801" i="1"/>
  <c r="CY801" i="1"/>
  <c r="CW801" i="1"/>
  <c r="CV801" i="1"/>
  <c r="CR801" i="1"/>
  <c r="CM801" i="1"/>
  <c r="CH801" i="1"/>
  <c r="CG801" i="1"/>
  <c r="CF801" i="1"/>
  <c r="CE801" i="1"/>
  <c r="CD801" i="1"/>
  <c r="CC801" i="1"/>
  <c r="CB801" i="1"/>
  <c r="CA801" i="1"/>
  <c r="CI801" i="1" s="1"/>
  <c r="BW801" i="1"/>
  <c r="BV801" i="1"/>
  <c r="BU801" i="1"/>
  <c r="BT801" i="1"/>
  <c r="BS801" i="1"/>
  <c r="BI801" i="1"/>
  <c r="CP801" i="1" s="1"/>
  <c r="AR801" i="1"/>
  <c r="AD801" i="1"/>
  <c r="M801" i="1"/>
  <c r="DA800" i="1"/>
  <c r="CZ800" i="1"/>
  <c r="CY800" i="1"/>
  <c r="CW800" i="1"/>
  <c r="CV800" i="1"/>
  <c r="CO800" i="1"/>
  <c r="CK800" i="1"/>
  <c r="CH800" i="1"/>
  <c r="CG800" i="1"/>
  <c r="CF800" i="1"/>
  <c r="CE800" i="1"/>
  <c r="CD800" i="1"/>
  <c r="CC800" i="1"/>
  <c r="CB800" i="1"/>
  <c r="CA800" i="1"/>
  <c r="CI800" i="1" s="1"/>
  <c r="BW800" i="1"/>
  <c r="BV800" i="1"/>
  <c r="BU800" i="1"/>
  <c r="BT800" i="1"/>
  <c r="BS800" i="1"/>
  <c r="BI800" i="1"/>
  <c r="AR800" i="1"/>
  <c r="AD800" i="1"/>
  <c r="CR800" i="1" s="1"/>
  <c r="M800" i="1"/>
  <c r="DA799" i="1"/>
  <c r="CZ799" i="1"/>
  <c r="CY799" i="1"/>
  <c r="CW799" i="1"/>
  <c r="CV799" i="1"/>
  <c r="CO799" i="1"/>
  <c r="CH799" i="1"/>
  <c r="CG799" i="1"/>
  <c r="CF799" i="1"/>
  <c r="CE799" i="1"/>
  <c r="CD799" i="1"/>
  <c r="CC799" i="1"/>
  <c r="CB799" i="1"/>
  <c r="CA799" i="1"/>
  <c r="CI799" i="1" s="1"/>
  <c r="BW799" i="1"/>
  <c r="BV799" i="1"/>
  <c r="BU799" i="1"/>
  <c r="BT799" i="1"/>
  <c r="BS799" i="1"/>
  <c r="BI799" i="1"/>
  <c r="AR799" i="1"/>
  <c r="AD799" i="1"/>
  <c r="CL799" i="1" s="1"/>
  <c r="M799" i="1"/>
  <c r="DA798" i="1"/>
  <c r="CZ798" i="1"/>
  <c r="CY798" i="1"/>
  <c r="CW798" i="1"/>
  <c r="CV798" i="1"/>
  <c r="CK798" i="1"/>
  <c r="CH798" i="1"/>
  <c r="CG798" i="1"/>
  <c r="CF798" i="1"/>
  <c r="CE798" i="1"/>
  <c r="CD798" i="1"/>
  <c r="CC798" i="1"/>
  <c r="CB798" i="1"/>
  <c r="CA798" i="1"/>
  <c r="CI798" i="1" s="1"/>
  <c r="BW798" i="1"/>
  <c r="BV798" i="1"/>
  <c r="BU798" i="1"/>
  <c r="BT798" i="1"/>
  <c r="BS798" i="1"/>
  <c r="BI798" i="1"/>
  <c r="CP798" i="1" s="1"/>
  <c r="AR798" i="1"/>
  <c r="AD798" i="1"/>
  <c r="M798" i="1"/>
  <c r="DA797" i="1"/>
  <c r="CZ797" i="1"/>
  <c r="CY797" i="1"/>
  <c r="CW797" i="1"/>
  <c r="CV797" i="1"/>
  <c r="CQ797" i="1"/>
  <c r="CL797" i="1"/>
  <c r="CH797" i="1"/>
  <c r="CG797" i="1"/>
  <c r="CF797" i="1"/>
  <c r="CE797" i="1"/>
  <c r="CD797" i="1"/>
  <c r="CC797" i="1"/>
  <c r="CB797" i="1"/>
  <c r="CA797" i="1"/>
  <c r="CI797" i="1" s="1"/>
  <c r="BW797" i="1"/>
  <c r="BV797" i="1"/>
  <c r="BU797" i="1"/>
  <c r="BT797" i="1"/>
  <c r="BS797" i="1"/>
  <c r="BI797" i="1"/>
  <c r="CO797" i="1" s="1"/>
  <c r="AR797" i="1"/>
  <c r="AD797" i="1"/>
  <c r="CN797" i="1" s="1"/>
  <c r="M797" i="1"/>
  <c r="DA796" i="1"/>
  <c r="CZ796" i="1"/>
  <c r="CY796" i="1"/>
  <c r="CW796" i="1"/>
  <c r="CV796" i="1"/>
  <c r="CL796" i="1"/>
  <c r="CH796" i="1"/>
  <c r="CG796" i="1"/>
  <c r="CF796" i="1"/>
  <c r="CE796" i="1"/>
  <c r="CD796" i="1"/>
  <c r="CC796" i="1"/>
  <c r="CB796" i="1"/>
  <c r="CA796" i="1"/>
  <c r="CI796" i="1" s="1"/>
  <c r="BW796" i="1"/>
  <c r="BV796" i="1"/>
  <c r="BU796" i="1"/>
  <c r="BT796" i="1"/>
  <c r="BS796" i="1"/>
  <c r="BI796" i="1"/>
  <c r="AR796" i="1"/>
  <c r="AD796" i="1"/>
  <c r="M796" i="1"/>
  <c r="DA795" i="1"/>
  <c r="CZ795" i="1"/>
  <c r="CY795" i="1"/>
  <c r="CW795" i="1"/>
  <c r="CV795" i="1"/>
  <c r="CH795" i="1"/>
  <c r="CG795" i="1"/>
  <c r="CF795" i="1"/>
  <c r="CE795" i="1"/>
  <c r="CD795" i="1"/>
  <c r="CC795" i="1"/>
  <c r="CB795" i="1"/>
  <c r="CA795" i="1"/>
  <c r="BW795" i="1"/>
  <c r="BV795" i="1"/>
  <c r="BU795" i="1"/>
  <c r="BT795" i="1"/>
  <c r="BS795" i="1"/>
  <c r="BI795" i="1"/>
  <c r="AR795" i="1"/>
  <c r="AD795" i="1"/>
  <c r="M795" i="1"/>
  <c r="DA794" i="1"/>
  <c r="CZ794" i="1"/>
  <c r="CY794" i="1"/>
  <c r="CW794" i="1"/>
  <c r="CV794" i="1"/>
  <c r="CR794" i="1"/>
  <c r="CH794" i="1"/>
  <c r="CG794" i="1"/>
  <c r="CF794" i="1"/>
  <c r="CE794" i="1"/>
  <c r="CD794" i="1"/>
  <c r="CC794" i="1"/>
  <c r="CB794" i="1"/>
  <c r="CA794" i="1"/>
  <c r="CI794" i="1" s="1"/>
  <c r="BW794" i="1"/>
  <c r="BV794" i="1"/>
  <c r="BU794" i="1"/>
  <c r="BT794" i="1"/>
  <c r="BS794" i="1"/>
  <c r="BI794" i="1"/>
  <c r="AR794" i="1"/>
  <c r="AD794" i="1"/>
  <c r="M794" i="1"/>
  <c r="DA793" i="1"/>
  <c r="CZ793" i="1"/>
  <c r="CY793" i="1"/>
  <c r="CW793" i="1"/>
  <c r="CV793" i="1"/>
  <c r="CO793" i="1"/>
  <c r="CH793" i="1"/>
  <c r="CG793" i="1"/>
  <c r="CF793" i="1"/>
  <c r="CE793" i="1"/>
  <c r="CD793" i="1"/>
  <c r="CC793" i="1"/>
  <c r="CB793" i="1"/>
  <c r="CA793" i="1"/>
  <c r="CI793" i="1" s="1"/>
  <c r="BW793" i="1"/>
  <c r="BV793" i="1"/>
  <c r="BU793" i="1"/>
  <c r="BT793" i="1"/>
  <c r="BS793" i="1"/>
  <c r="BI793" i="1"/>
  <c r="AR793" i="1"/>
  <c r="AD793" i="1"/>
  <c r="CN793" i="1" s="1"/>
  <c r="M793" i="1"/>
  <c r="DA792" i="1"/>
  <c r="CZ792" i="1"/>
  <c r="CY792" i="1"/>
  <c r="CW792" i="1"/>
  <c r="CV792" i="1"/>
  <c r="CP792" i="1"/>
  <c r="CL792" i="1"/>
  <c r="CH792" i="1"/>
  <c r="CG792" i="1"/>
  <c r="CF792" i="1"/>
  <c r="CE792" i="1"/>
  <c r="CD792" i="1"/>
  <c r="CC792" i="1"/>
  <c r="CB792" i="1"/>
  <c r="CA792" i="1"/>
  <c r="BW792" i="1"/>
  <c r="BV792" i="1"/>
  <c r="BU792" i="1"/>
  <c r="BT792" i="1"/>
  <c r="BS792" i="1"/>
  <c r="BI792" i="1"/>
  <c r="CO792" i="1" s="1"/>
  <c r="AR792" i="1"/>
  <c r="AD792" i="1"/>
  <c r="CQ792" i="1" s="1"/>
  <c r="M792" i="1"/>
  <c r="DA791" i="1"/>
  <c r="CZ791" i="1"/>
  <c r="CY791" i="1"/>
  <c r="CW791" i="1"/>
  <c r="CV791" i="1"/>
  <c r="CR791" i="1"/>
  <c r="CN791" i="1"/>
  <c r="CM791" i="1"/>
  <c r="CL791" i="1"/>
  <c r="CH791" i="1"/>
  <c r="CG791" i="1"/>
  <c r="CF791" i="1"/>
  <c r="CE791" i="1"/>
  <c r="CD791" i="1"/>
  <c r="CC791" i="1"/>
  <c r="CB791" i="1"/>
  <c r="CA791" i="1"/>
  <c r="CI791" i="1" s="1"/>
  <c r="BW791" i="1"/>
  <c r="BV791" i="1"/>
  <c r="BU791" i="1"/>
  <c r="BT791" i="1"/>
  <c r="BS791" i="1"/>
  <c r="BI791" i="1"/>
  <c r="AR791" i="1"/>
  <c r="AD791" i="1"/>
  <c r="CK791" i="1" s="1"/>
  <c r="M791" i="1"/>
  <c r="DA790" i="1"/>
  <c r="CZ790" i="1"/>
  <c r="CY790" i="1"/>
  <c r="CW790" i="1"/>
  <c r="CV790" i="1"/>
  <c r="CP790" i="1"/>
  <c r="CO790" i="1"/>
  <c r="CN790" i="1"/>
  <c r="CL790" i="1"/>
  <c r="CH790" i="1"/>
  <c r="CG790" i="1"/>
  <c r="CF790" i="1"/>
  <c r="CE790" i="1"/>
  <c r="CD790" i="1"/>
  <c r="CC790" i="1"/>
  <c r="CB790" i="1"/>
  <c r="CA790" i="1"/>
  <c r="BW790" i="1"/>
  <c r="BV790" i="1"/>
  <c r="BU790" i="1"/>
  <c r="BT790" i="1"/>
  <c r="BS790" i="1"/>
  <c r="BI790" i="1"/>
  <c r="CM790" i="1" s="1"/>
  <c r="AR790" i="1"/>
  <c r="AD790" i="1"/>
  <c r="CQ790" i="1" s="1"/>
  <c r="M790" i="1"/>
  <c r="DA789" i="1"/>
  <c r="CZ789" i="1"/>
  <c r="CY789" i="1"/>
  <c r="CW789" i="1"/>
  <c r="CV789" i="1"/>
  <c r="CR789" i="1"/>
  <c r="CN789" i="1"/>
  <c r="CH789" i="1"/>
  <c r="CG789" i="1"/>
  <c r="CF789" i="1"/>
  <c r="CE789" i="1"/>
  <c r="CD789" i="1"/>
  <c r="CC789" i="1"/>
  <c r="CB789" i="1"/>
  <c r="CA789" i="1"/>
  <c r="CI789" i="1" s="1"/>
  <c r="BW789" i="1"/>
  <c r="BV789" i="1"/>
  <c r="BU789" i="1"/>
  <c r="BT789" i="1"/>
  <c r="BS789" i="1"/>
  <c r="BI789" i="1"/>
  <c r="AR789" i="1"/>
  <c r="AD789" i="1"/>
  <c r="CO789" i="1" s="1"/>
  <c r="M789" i="1"/>
  <c r="DA788" i="1"/>
  <c r="CZ788" i="1"/>
  <c r="CY788" i="1"/>
  <c r="CW788" i="1"/>
  <c r="CV788" i="1"/>
  <c r="CP788" i="1"/>
  <c r="CL788" i="1"/>
  <c r="CH788" i="1"/>
  <c r="CG788" i="1"/>
  <c r="CF788" i="1"/>
  <c r="CE788" i="1"/>
  <c r="CD788" i="1"/>
  <c r="CC788" i="1"/>
  <c r="CB788" i="1"/>
  <c r="CA788" i="1"/>
  <c r="BW788" i="1"/>
  <c r="BV788" i="1"/>
  <c r="BU788" i="1"/>
  <c r="BT788" i="1"/>
  <c r="BS788" i="1"/>
  <c r="BI788" i="1"/>
  <c r="CO788" i="1" s="1"/>
  <c r="AR788" i="1"/>
  <c r="AD788" i="1"/>
  <c r="CQ788" i="1" s="1"/>
  <c r="M788" i="1"/>
  <c r="DA787" i="1"/>
  <c r="CZ787" i="1"/>
  <c r="CY787" i="1"/>
  <c r="CW787" i="1"/>
  <c r="CV787" i="1"/>
  <c r="CR787" i="1"/>
  <c r="CN787" i="1"/>
  <c r="CM787" i="1"/>
  <c r="CL787" i="1"/>
  <c r="CH787" i="1"/>
  <c r="CG787" i="1"/>
  <c r="CF787" i="1"/>
  <c r="CE787" i="1"/>
  <c r="CD787" i="1"/>
  <c r="CC787" i="1"/>
  <c r="CB787" i="1"/>
  <c r="CA787" i="1"/>
  <c r="CI787" i="1" s="1"/>
  <c r="BW787" i="1"/>
  <c r="BV787" i="1"/>
  <c r="BU787" i="1"/>
  <c r="BT787" i="1"/>
  <c r="BS787" i="1"/>
  <c r="BI787" i="1"/>
  <c r="AR787" i="1"/>
  <c r="AD787" i="1"/>
  <c r="CK787" i="1" s="1"/>
  <c r="M787" i="1"/>
  <c r="DA786" i="1"/>
  <c r="CZ786" i="1"/>
  <c r="CY786" i="1"/>
  <c r="CW786" i="1"/>
  <c r="CV786" i="1"/>
  <c r="CH786" i="1"/>
  <c r="CG786" i="1"/>
  <c r="CF786" i="1"/>
  <c r="CE786" i="1"/>
  <c r="CD786" i="1"/>
  <c r="CC786" i="1"/>
  <c r="CB786" i="1"/>
  <c r="CA786" i="1"/>
  <c r="BW786" i="1"/>
  <c r="BV786" i="1"/>
  <c r="BU786" i="1"/>
  <c r="BT786" i="1"/>
  <c r="BS786" i="1"/>
  <c r="BI786" i="1"/>
  <c r="BB786" i="1"/>
  <c r="AR786" i="1"/>
  <c r="AD786" i="1"/>
  <c r="W786" i="1"/>
  <c r="M786" i="1"/>
  <c r="DA785" i="1"/>
  <c r="CZ785" i="1"/>
  <c r="CY785" i="1"/>
  <c r="CW785" i="1"/>
  <c r="CV785" i="1"/>
  <c r="CP785" i="1"/>
  <c r="CH785" i="1"/>
  <c r="CG785" i="1"/>
  <c r="CF785" i="1"/>
  <c r="CE785" i="1"/>
  <c r="CD785" i="1"/>
  <c r="CC785" i="1"/>
  <c r="CB785" i="1"/>
  <c r="CA785" i="1"/>
  <c r="BW785" i="1"/>
  <c r="BV785" i="1"/>
  <c r="BU785" i="1"/>
  <c r="BT785" i="1"/>
  <c r="BS785" i="1"/>
  <c r="BI785" i="1"/>
  <c r="BB785" i="1"/>
  <c r="AR785" i="1"/>
  <c r="AD785" i="1"/>
  <c r="W785" i="1"/>
  <c r="M785" i="1"/>
  <c r="DA784" i="1"/>
  <c r="CZ784" i="1"/>
  <c r="CY784" i="1"/>
  <c r="CW784" i="1"/>
  <c r="CV784" i="1"/>
  <c r="CH784" i="1"/>
  <c r="CG784" i="1"/>
  <c r="CF784" i="1"/>
  <c r="CE784" i="1"/>
  <c r="CD784" i="1"/>
  <c r="CC784" i="1"/>
  <c r="CB784" i="1"/>
  <c r="CA784" i="1"/>
  <c r="CI784" i="1" s="1"/>
  <c r="BW784" i="1"/>
  <c r="BV784" i="1"/>
  <c r="BU784" i="1"/>
  <c r="BT784" i="1"/>
  <c r="BS784" i="1"/>
  <c r="BI784" i="1"/>
  <c r="BB784" i="1"/>
  <c r="AR784" i="1"/>
  <c r="AD784" i="1"/>
  <c r="W784" i="1"/>
  <c r="M784" i="1"/>
  <c r="DA783" i="1"/>
  <c r="CZ783" i="1"/>
  <c r="CY783" i="1"/>
  <c r="CW783" i="1"/>
  <c r="CV783" i="1"/>
  <c r="CL783" i="1"/>
  <c r="CH783" i="1"/>
  <c r="CG783" i="1"/>
  <c r="CF783" i="1"/>
  <c r="CE783" i="1"/>
  <c r="CD783" i="1"/>
  <c r="CC783" i="1"/>
  <c r="CB783" i="1"/>
  <c r="CA783" i="1"/>
  <c r="CI783" i="1" s="1"/>
  <c r="BW783" i="1"/>
  <c r="BV783" i="1"/>
  <c r="BU783" i="1"/>
  <c r="BT783" i="1"/>
  <c r="BS783" i="1"/>
  <c r="BI783" i="1"/>
  <c r="BB783" i="1"/>
  <c r="AR783" i="1"/>
  <c r="AD783" i="1"/>
  <c r="CP783" i="1" s="1"/>
  <c r="W783" i="1"/>
  <c r="M783" i="1"/>
  <c r="DA782" i="1"/>
  <c r="CZ782" i="1"/>
  <c r="CY782" i="1"/>
  <c r="CW782" i="1"/>
  <c r="CV782" i="1"/>
  <c r="CP782" i="1"/>
  <c r="CL782" i="1"/>
  <c r="CH782" i="1"/>
  <c r="CG782" i="1"/>
  <c r="CF782" i="1"/>
  <c r="CE782" i="1"/>
  <c r="CD782" i="1"/>
  <c r="CC782" i="1"/>
  <c r="CB782" i="1"/>
  <c r="CA782" i="1"/>
  <c r="BW782" i="1"/>
  <c r="BV782" i="1"/>
  <c r="BU782" i="1"/>
  <c r="BT782" i="1"/>
  <c r="BS782" i="1"/>
  <c r="BI782" i="1"/>
  <c r="BB782" i="1"/>
  <c r="AR782" i="1"/>
  <c r="AD782" i="1"/>
  <c r="W782" i="1"/>
  <c r="M782" i="1"/>
  <c r="DA781" i="1"/>
  <c r="CZ781" i="1"/>
  <c r="CY781" i="1"/>
  <c r="CW781" i="1"/>
  <c r="CV781" i="1"/>
  <c r="CP781" i="1"/>
  <c r="CL781" i="1"/>
  <c r="CH781" i="1"/>
  <c r="CG781" i="1"/>
  <c r="CF781" i="1"/>
  <c r="CE781" i="1"/>
  <c r="CD781" i="1"/>
  <c r="CC781" i="1"/>
  <c r="CB781" i="1"/>
  <c r="CA781" i="1"/>
  <c r="BW781" i="1"/>
  <c r="BV781" i="1"/>
  <c r="BU781" i="1"/>
  <c r="BT781" i="1"/>
  <c r="BS781" i="1"/>
  <c r="BI781" i="1"/>
  <c r="BB781" i="1"/>
  <c r="AR781" i="1"/>
  <c r="AD781" i="1"/>
  <c r="W781" i="1"/>
  <c r="M781" i="1"/>
  <c r="DA780" i="1"/>
  <c r="CZ780" i="1"/>
  <c r="CY780" i="1"/>
  <c r="CW780" i="1"/>
  <c r="CV780" i="1"/>
  <c r="CH780" i="1"/>
  <c r="CG780" i="1"/>
  <c r="CF780" i="1"/>
  <c r="CE780" i="1"/>
  <c r="CD780" i="1"/>
  <c r="CC780" i="1"/>
  <c r="CB780" i="1"/>
  <c r="CA780" i="1"/>
  <c r="BW780" i="1"/>
  <c r="BV780" i="1"/>
  <c r="BU780" i="1"/>
  <c r="BT780" i="1"/>
  <c r="BS780" i="1"/>
  <c r="BI780" i="1"/>
  <c r="CO780" i="1" s="1"/>
  <c r="AR780" i="1"/>
  <c r="AD780" i="1"/>
  <c r="W780" i="1"/>
  <c r="M780" i="1"/>
  <c r="G780" i="1"/>
  <c r="F780" i="1"/>
  <c r="E780" i="1"/>
  <c r="DA779" i="1"/>
  <c r="CZ779" i="1"/>
  <c r="CY779" i="1"/>
  <c r="CK779" i="1"/>
  <c r="CH779" i="1"/>
  <c r="CG779" i="1"/>
  <c r="CF779" i="1"/>
  <c r="CE779" i="1"/>
  <c r="CC779" i="1"/>
  <c r="CB779" i="1"/>
  <c r="CA779" i="1"/>
  <c r="CI779" i="1" s="1"/>
  <c r="BW779" i="1"/>
  <c r="BV779" i="1"/>
  <c r="BU779" i="1"/>
  <c r="BT779" i="1"/>
  <c r="BS779" i="1"/>
  <c r="BI779" i="1"/>
  <c r="CO779" i="1" s="1"/>
  <c r="BB779" i="1"/>
  <c r="AR779" i="1"/>
  <c r="AH779" i="1"/>
  <c r="CW779" i="1" s="1"/>
  <c r="AG779" i="1"/>
  <c r="CV779" i="1" s="1"/>
  <c r="AD779" i="1"/>
  <c r="Y779" i="1"/>
  <c r="CD779" i="1" s="1"/>
  <c r="W779" i="1"/>
  <c r="M779" i="1"/>
  <c r="G779" i="1"/>
  <c r="F779" i="1"/>
  <c r="E779" i="1"/>
  <c r="DA778" i="1"/>
  <c r="CZ778" i="1"/>
  <c r="CY778" i="1"/>
  <c r="CW778" i="1"/>
  <c r="CV778" i="1"/>
  <c r="CR778" i="1"/>
  <c r="CN778" i="1"/>
  <c r="CH778" i="1"/>
  <c r="CG778" i="1"/>
  <c r="CF778" i="1"/>
  <c r="CE778" i="1"/>
  <c r="CD778" i="1"/>
  <c r="CC778" i="1"/>
  <c r="CB778" i="1"/>
  <c r="CA778" i="1"/>
  <c r="CI778" i="1" s="1"/>
  <c r="BW778" i="1"/>
  <c r="BV778" i="1"/>
  <c r="BU778" i="1"/>
  <c r="BT778" i="1"/>
  <c r="BS778" i="1"/>
  <c r="BI778" i="1"/>
  <c r="CM778" i="1" s="1"/>
  <c r="AR778" i="1"/>
  <c r="AD778" i="1"/>
  <c r="CQ778" i="1" s="1"/>
  <c r="W778" i="1"/>
  <c r="M778" i="1"/>
  <c r="G778" i="1"/>
  <c r="F778" i="1"/>
  <c r="E778" i="1"/>
  <c r="DA777" i="1"/>
  <c r="CZ777" i="1"/>
  <c r="CY777" i="1"/>
  <c r="CW777" i="1"/>
  <c r="CV777" i="1"/>
  <c r="CQ777" i="1"/>
  <c r="CP777" i="1"/>
  <c r="CO777" i="1"/>
  <c r="CH777" i="1"/>
  <c r="CG777" i="1"/>
  <c r="CF777" i="1"/>
  <c r="CE777" i="1"/>
  <c r="CD777" i="1"/>
  <c r="CC777" i="1"/>
  <c r="CB777" i="1"/>
  <c r="CA777" i="1"/>
  <c r="CI777" i="1" s="1"/>
  <c r="BW777" i="1"/>
  <c r="BV777" i="1"/>
  <c r="BU777" i="1"/>
  <c r="BT777" i="1"/>
  <c r="BS777" i="1"/>
  <c r="BI777" i="1"/>
  <c r="CK777" i="1" s="1"/>
  <c r="AR777" i="1"/>
  <c r="AD777" i="1"/>
  <c r="W777" i="1"/>
  <c r="M777" i="1"/>
  <c r="DA776" i="1"/>
  <c r="CZ776" i="1"/>
  <c r="CY776" i="1"/>
  <c r="CW776" i="1"/>
  <c r="CV776" i="1"/>
  <c r="CH776" i="1"/>
  <c r="CG776" i="1"/>
  <c r="CF776" i="1"/>
  <c r="CE776" i="1"/>
  <c r="CD776" i="1"/>
  <c r="CC776" i="1"/>
  <c r="CB776" i="1"/>
  <c r="CA776" i="1"/>
  <c r="CI776" i="1" s="1"/>
  <c r="BW776" i="1"/>
  <c r="BV776" i="1"/>
  <c r="BU776" i="1"/>
  <c r="BT776" i="1"/>
  <c r="BS776" i="1"/>
  <c r="BI776" i="1"/>
  <c r="AR776" i="1"/>
  <c r="AD776" i="1"/>
  <c r="W776" i="1"/>
  <c r="M776" i="1"/>
  <c r="DA775" i="1"/>
  <c r="CZ775" i="1"/>
  <c r="CY775" i="1"/>
  <c r="CW775" i="1"/>
  <c r="CV775" i="1"/>
  <c r="CH775" i="1"/>
  <c r="CG775" i="1"/>
  <c r="CF775" i="1"/>
  <c r="CE775" i="1"/>
  <c r="CD775" i="1"/>
  <c r="CC775" i="1"/>
  <c r="CB775" i="1"/>
  <c r="CA775" i="1"/>
  <c r="BW775" i="1"/>
  <c r="BV775" i="1"/>
  <c r="BU775" i="1"/>
  <c r="BT775" i="1"/>
  <c r="BS775" i="1"/>
  <c r="BI775" i="1"/>
  <c r="CR775" i="1" s="1"/>
  <c r="AR775" i="1"/>
  <c r="AD775" i="1"/>
  <c r="W775" i="1"/>
  <c r="M775" i="1"/>
  <c r="DA774" i="1"/>
  <c r="CZ774" i="1"/>
  <c r="CY774" i="1"/>
  <c r="CW774" i="1"/>
  <c r="CV774" i="1"/>
  <c r="CE774" i="1"/>
  <c r="CD774" i="1"/>
  <c r="BW774" i="1"/>
  <c r="BV774" i="1"/>
  <c r="BU774" i="1"/>
  <c r="BT774" i="1"/>
  <c r="BI774" i="1"/>
  <c r="BB774" i="1"/>
  <c r="AR774" i="1"/>
  <c r="AD774" i="1"/>
  <c r="Y774" i="1"/>
  <c r="CH774" i="1" s="1"/>
  <c r="W774" i="1"/>
  <c r="M774" i="1"/>
  <c r="DA773" i="1"/>
  <c r="CZ773" i="1"/>
  <c r="CY773" i="1"/>
  <c r="CW773" i="1"/>
  <c r="CV773" i="1"/>
  <c r="CD773" i="1"/>
  <c r="CC773" i="1"/>
  <c r="CB773" i="1"/>
  <c r="BW773" i="1"/>
  <c r="BV773" i="1"/>
  <c r="BU773" i="1"/>
  <c r="BT773" i="1"/>
  <c r="BS773" i="1"/>
  <c r="BI773" i="1"/>
  <c r="CP773" i="1" s="1"/>
  <c r="BD773" i="1"/>
  <c r="CH773" i="1" s="1"/>
  <c r="BB773" i="1"/>
  <c r="AR773" i="1"/>
  <c r="AD773" i="1"/>
  <c r="Y773" i="1"/>
  <c r="W773" i="1"/>
  <c r="M773" i="1"/>
  <c r="DA772" i="1"/>
  <c r="CZ772" i="1"/>
  <c r="CY772" i="1"/>
  <c r="CW772" i="1"/>
  <c r="CV772" i="1"/>
  <c r="CH772" i="1"/>
  <c r="CG772" i="1"/>
  <c r="BW772" i="1"/>
  <c r="BV772" i="1"/>
  <c r="BU772" i="1"/>
  <c r="BT772" i="1"/>
  <c r="BD772" i="1"/>
  <c r="BI772" i="1" s="1"/>
  <c r="BB772" i="1"/>
  <c r="AR772" i="1"/>
  <c r="Y772" i="1"/>
  <c r="W772" i="1"/>
  <c r="M772" i="1"/>
  <c r="DA771" i="1"/>
  <c r="CZ771" i="1"/>
  <c r="CY771" i="1"/>
  <c r="CW771" i="1"/>
  <c r="CV771" i="1"/>
  <c r="CN771" i="1"/>
  <c r="CM771" i="1"/>
  <c r="CL771" i="1"/>
  <c r="CK771" i="1"/>
  <c r="CF771" i="1"/>
  <c r="CE771" i="1"/>
  <c r="CD771" i="1"/>
  <c r="CC771" i="1"/>
  <c r="CB771" i="1"/>
  <c r="BW771" i="1"/>
  <c r="BV771" i="1"/>
  <c r="BU771" i="1"/>
  <c r="BT771" i="1"/>
  <c r="BS771" i="1"/>
  <c r="BM771" i="1"/>
  <c r="BL771" i="1"/>
  <c r="BI771" i="1"/>
  <c r="BD771" i="1"/>
  <c r="BB771" i="1"/>
  <c r="AR771" i="1"/>
  <c r="AH771" i="1"/>
  <c r="AG771" i="1"/>
  <c r="AD771" i="1"/>
  <c r="CO771" i="1" s="1"/>
  <c r="Y771" i="1"/>
  <c r="CA771" i="1" s="1"/>
  <c r="W771" i="1"/>
  <c r="M771" i="1"/>
  <c r="DA770" i="1"/>
  <c r="CZ770" i="1"/>
  <c r="CY770" i="1"/>
  <c r="CW770" i="1"/>
  <c r="CV770" i="1"/>
  <c r="BW770" i="1"/>
  <c r="BV770" i="1"/>
  <c r="BU770" i="1"/>
  <c r="BT770" i="1"/>
  <c r="BI770" i="1"/>
  <c r="BD770" i="1"/>
  <c r="BB770" i="1"/>
  <c r="AR770" i="1"/>
  <c r="Y770" i="1"/>
  <c r="W770" i="1"/>
  <c r="M770" i="1"/>
  <c r="DA769" i="1"/>
  <c r="CZ769" i="1"/>
  <c r="CY769" i="1"/>
  <c r="CW769" i="1"/>
  <c r="CV769" i="1"/>
  <c r="CE769" i="1"/>
  <c r="BW769" i="1"/>
  <c r="BV769" i="1"/>
  <c r="BU769" i="1"/>
  <c r="BT769" i="1"/>
  <c r="BS769" i="1"/>
  <c r="BI769" i="1"/>
  <c r="BD769" i="1"/>
  <c r="BB769" i="1"/>
  <c r="AR769" i="1"/>
  <c r="Y769" i="1"/>
  <c r="CF769" i="1" s="1"/>
  <c r="W769" i="1"/>
  <c r="M769" i="1"/>
  <c r="DA768" i="1"/>
  <c r="CZ768" i="1"/>
  <c r="CY768" i="1"/>
  <c r="CD768" i="1"/>
  <c r="CC768" i="1"/>
  <c r="CB768" i="1"/>
  <c r="BW768" i="1"/>
  <c r="BV768" i="1"/>
  <c r="BU768" i="1"/>
  <c r="BT768" i="1"/>
  <c r="BS768" i="1"/>
  <c r="BM768" i="1"/>
  <c r="BL768" i="1"/>
  <c r="BI768" i="1"/>
  <c r="BD768" i="1"/>
  <c r="BB768" i="1"/>
  <c r="AR768" i="1"/>
  <c r="AH768" i="1"/>
  <c r="AG768" i="1"/>
  <c r="CV768" i="1" s="1"/>
  <c r="AD768" i="1"/>
  <c r="Y768" i="1"/>
  <c r="CH768" i="1" s="1"/>
  <c r="W768" i="1"/>
  <c r="M768" i="1"/>
  <c r="DA767" i="1"/>
  <c r="CZ767" i="1"/>
  <c r="CY767" i="1"/>
  <c r="CW767" i="1"/>
  <c r="CV767" i="1"/>
  <c r="CF767" i="1"/>
  <c r="CE767" i="1"/>
  <c r="CD767" i="1"/>
  <c r="BW767" i="1"/>
  <c r="BV767" i="1"/>
  <c r="BU767" i="1"/>
  <c r="BT767" i="1"/>
  <c r="BS767" i="1"/>
  <c r="BI767" i="1"/>
  <c r="BB767" i="1"/>
  <c r="AR767" i="1"/>
  <c r="Y767" i="1"/>
  <c r="W767" i="1"/>
  <c r="M767" i="1"/>
  <c r="DA766" i="1"/>
  <c r="CZ766" i="1"/>
  <c r="CY766" i="1"/>
  <c r="CW766" i="1"/>
  <c r="CV766" i="1"/>
  <c r="CH766" i="1"/>
  <c r="CG766" i="1"/>
  <c r="CC766" i="1"/>
  <c r="CB766" i="1"/>
  <c r="CA766" i="1"/>
  <c r="BW766" i="1"/>
  <c r="BV766" i="1"/>
  <c r="BU766" i="1"/>
  <c r="BT766" i="1"/>
  <c r="BS766" i="1"/>
  <c r="BI766" i="1"/>
  <c r="CP766" i="1" s="1"/>
  <c r="BB766" i="1"/>
  <c r="AR766" i="1"/>
  <c r="AD766" i="1"/>
  <c r="Y766" i="1"/>
  <c r="CF766" i="1" s="1"/>
  <c r="W766" i="1"/>
  <c r="M766" i="1"/>
  <c r="DA765" i="1"/>
  <c r="CZ765" i="1"/>
  <c r="CY765" i="1"/>
  <c r="BW765" i="1"/>
  <c r="BV765" i="1"/>
  <c r="BU765" i="1"/>
  <c r="BT765" i="1"/>
  <c r="BI765" i="1"/>
  <c r="BB765" i="1"/>
  <c r="AR765" i="1"/>
  <c r="AH765" i="1"/>
  <c r="CW765" i="1" s="1"/>
  <c r="AG765" i="1"/>
  <c r="CV765" i="1" s="1"/>
  <c r="AD765" i="1"/>
  <c r="Y765" i="1"/>
  <c r="CG765" i="1" s="1"/>
  <c r="W765" i="1"/>
  <c r="M765" i="1"/>
  <c r="DA764" i="1"/>
  <c r="CZ764" i="1"/>
  <c r="CY764" i="1"/>
  <c r="CW764" i="1"/>
  <c r="CV764" i="1"/>
  <c r="CL764" i="1"/>
  <c r="CH764" i="1"/>
  <c r="CG764" i="1"/>
  <c r="CF764" i="1"/>
  <c r="CE764" i="1"/>
  <c r="CD764" i="1"/>
  <c r="CC764" i="1"/>
  <c r="CB764" i="1"/>
  <c r="CA764" i="1"/>
  <c r="BW764" i="1"/>
  <c r="BV764" i="1"/>
  <c r="BU764" i="1"/>
  <c r="BT764" i="1"/>
  <c r="BS764" i="1"/>
  <c r="BI764" i="1"/>
  <c r="BB764" i="1"/>
  <c r="AR764" i="1"/>
  <c r="AD764" i="1"/>
  <c r="W764" i="1"/>
  <c r="M764" i="1"/>
  <c r="DA763" i="1"/>
  <c r="CZ763" i="1"/>
  <c r="CY763" i="1"/>
  <c r="CW763" i="1"/>
  <c r="CV763" i="1"/>
  <c r="CH763" i="1"/>
  <c r="CG763" i="1"/>
  <c r="CF763" i="1"/>
  <c r="CE763" i="1"/>
  <c r="CD763" i="1"/>
  <c r="CC763" i="1"/>
  <c r="CB763" i="1"/>
  <c r="CA763" i="1"/>
  <c r="CI763" i="1" s="1"/>
  <c r="BW763" i="1"/>
  <c r="BV763" i="1"/>
  <c r="BU763" i="1"/>
  <c r="BT763" i="1"/>
  <c r="BS763" i="1"/>
  <c r="BI763" i="1"/>
  <c r="BB763" i="1"/>
  <c r="AR763" i="1"/>
  <c r="AD763" i="1"/>
  <c r="W763" i="1"/>
  <c r="M763" i="1"/>
  <c r="DA762" i="1"/>
  <c r="CZ762" i="1"/>
  <c r="CY762" i="1"/>
  <c r="CW762" i="1"/>
  <c r="CV762" i="1"/>
  <c r="CH762" i="1"/>
  <c r="CG762" i="1"/>
  <c r="CF762" i="1"/>
  <c r="CE762" i="1"/>
  <c r="CD762" i="1"/>
  <c r="CC762" i="1"/>
  <c r="CB762" i="1"/>
  <c r="CA762" i="1"/>
  <c r="BW762" i="1"/>
  <c r="BV762" i="1"/>
  <c r="BU762" i="1"/>
  <c r="BT762" i="1"/>
  <c r="BS762" i="1"/>
  <c r="BI762" i="1"/>
  <c r="BB762" i="1"/>
  <c r="AR762" i="1"/>
  <c r="AD762" i="1"/>
  <c r="W762" i="1"/>
  <c r="M762" i="1"/>
  <c r="DA761" i="1"/>
  <c r="CZ761" i="1"/>
  <c r="CY761" i="1"/>
  <c r="CW761" i="1"/>
  <c r="CV761" i="1"/>
  <c r="CR761" i="1"/>
  <c r="CH761" i="1"/>
  <c r="CG761" i="1"/>
  <c r="CF761" i="1"/>
  <c r="CE761" i="1"/>
  <c r="CD761" i="1"/>
  <c r="CC761" i="1"/>
  <c r="CB761" i="1"/>
  <c r="CA761" i="1"/>
  <c r="CI761" i="1" s="1"/>
  <c r="BX761" i="1"/>
  <c r="BW761" i="1"/>
  <c r="BV761" i="1"/>
  <c r="BU761" i="1"/>
  <c r="BT761" i="1"/>
  <c r="BS761" i="1"/>
  <c r="BI761" i="1"/>
  <c r="BB761" i="1"/>
  <c r="AR761" i="1"/>
  <c r="AD761" i="1"/>
  <c r="W761" i="1"/>
  <c r="M761" i="1"/>
  <c r="DA760" i="1"/>
  <c r="CZ760" i="1"/>
  <c r="CY760" i="1"/>
  <c r="CW760" i="1"/>
  <c r="CV760" i="1"/>
  <c r="CP760" i="1"/>
  <c r="CO760" i="1"/>
  <c r="CN760" i="1"/>
  <c r="CM760" i="1"/>
  <c r="CL760" i="1"/>
  <c r="CK760" i="1"/>
  <c r="CH760" i="1"/>
  <c r="CG760" i="1"/>
  <c r="CF760" i="1"/>
  <c r="CE760" i="1"/>
  <c r="CD760" i="1"/>
  <c r="CC760" i="1"/>
  <c r="CB760" i="1"/>
  <c r="CA760" i="1"/>
  <c r="BW760" i="1"/>
  <c r="BV760" i="1"/>
  <c r="BU760" i="1"/>
  <c r="BT760" i="1"/>
  <c r="BS760" i="1"/>
  <c r="AR760" i="1"/>
  <c r="AD760" i="1"/>
  <c r="CR760" i="1" s="1"/>
  <c r="W760" i="1"/>
  <c r="M760" i="1"/>
  <c r="DA759" i="1"/>
  <c r="CZ759" i="1"/>
  <c r="CY759" i="1"/>
  <c r="CW759" i="1"/>
  <c r="CV759" i="1"/>
  <c r="CP759" i="1"/>
  <c r="CO759" i="1"/>
  <c r="CN759" i="1"/>
  <c r="CH759" i="1"/>
  <c r="CG759" i="1"/>
  <c r="CF759" i="1"/>
  <c r="CE759" i="1"/>
  <c r="CD759" i="1"/>
  <c r="CC759" i="1"/>
  <c r="CB759" i="1"/>
  <c r="CA759" i="1"/>
  <c r="CI759" i="1" s="1"/>
  <c r="BW759" i="1"/>
  <c r="BV759" i="1"/>
  <c r="BU759" i="1"/>
  <c r="BT759" i="1"/>
  <c r="BS759" i="1"/>
  <c r="AR759" i="1"/>
  <c r="AD759" i="1"/>
  <c r="BX759" i="1" s="1"/>
  <c r="W759" i="1"/>
  <c r="M759" i="1"/>
  <c r="DA758" i="1"/>
  <c r="CZ758" i="1"/>
  <c r="CY758" i="1"/>
  <c r="CW758" i="1"/>
  <c r="CV758" i="1"/>
  <c r="CH758" i="1"/>
  <c r="CG758" i="1"/>
  <c r="CF758" i="1"/>
  <c r="CE758" i="1"/>
  <c r="CD758" i="1"/>
  <c r="CC758" i="1"/>
  <c r="CB758" i="1"/>
  <c r="CA758" i="1"/>
  <c r="CI758" i="1" s="1"/>
  <c r="BW758" i="1"/>
  <c r="BV758" i="1"/>
  <c r="BU758" i="1"/>
  <c r="BT758" i="1"/>
  <c r="BS758" i="1"/>
  <c r="AR758" i="1"/>
  <c r="AD758" i="1"/>
  <c r="W758" i="1"/>
  <c r="M758" i="1"/>
  <c r="DA757" i="1"/>
  <c r="CZ757" i="1"/>
  <c r="CY757" i="1"/>
  <c r="CW757" i="1"/>
  <c r="CV757" i="1"/>
  <c r="CR757" i="1"/>
  <c r="CK757" i="1"/>
  <c r="CH757" i="1"/>
  <c r="CG757" i="1"/>
  <c r="CF757" i="1"/>
  <c r="CE757" i="1"/>
  <c r="CD757" i="1"/>
  <c r="CC757" i="1"/>
  <c r="CB757" i="1"/>
  <c r="CA757" i="1"/>
  <c r="CI757" i="1" s="1"/>
  <c r="BW757" i="1"/>
  <c r="BV757" i="1"/>
  <c r="BU757" i="1"/>
  <c r="BT757" i="1"/>
  <c r="BS757" i="1"/>
  <c r="AD757" i="1"/>
  <c r="W757" i="1"/>
  <c r="M757" i="1"/>
  <c r="DA756" i="1"/>
  <c r="CZ756" i="1"/>
  <c r="CY756" i="1"/>
  <c r="CW756" i="1"/>
  <c r="CV756" i="1"/>
  <c r="CM756" i="1"/>
  <c r="CK756" i="1"/>
  <c r="CH756" i="1"/>
  <c r="CG756" i="1"/>
  <c r="CF756" i="1"/>
  <c r="CE756" i="1"/>
  <c r="CD756" i="1"/>
  <c r="CC756" i="1"/>
  <c r="CB756" i="1"/>
  <c r="CA756" i="1"/>
  <c r="CI756" i="1" s="1"/>
  <c r="BW756" i="1"/>
  <c r="BV756" i="1"/>
  <c r="BU756" i="1"/>
  <c r="BT756" i="1"/>
  <c r="BS756" i="1"/>
  <c r="BI756" i="1"/>
  <c r="BB756" i="1"/>
  <c r="AR756" i="1"/>
  <c r="AG756" i="1"/>
  <c r="W756" i="1"/>
  <c r="M756" i="1"/>
  <c r="G756" i="1"/>
  <c r="F756" i="1"/>
  <c r="E756" i="1"/>
  <c r="DA755" i="1"/>
  <c r="CZ755" i="1"/>
  <c r="CY755" i="1"/>
  <c r="CW755" i="1"/>
  <c r="CH755" i="1"/>
  <c r="CG755" i="1"/>
  <c r="CF755" i="1"/>
  <c r="CE755" i="1"/>
  <c r="CD755" i="1"/>
  <c r="CC755" i="1"/>
  <c r="CB755" i="1"/>
  <c r="CA755" i="1"/>
  <c r="CI755" i="1" s="1"/>
  <c r="BX755" i="1"/>
  <c r="BW755" i="1"/>
  <c r="BV755" i="1"/>
  <c r="BU755" i="1"/>
  <c r="BT755" i="1"/>
  <c r="BS755" i="1"/>
  <c r="BI755" i="1"/>
  <c r="BB755" i="1"/>
  <c r="AR755" i="1"/>
  <c r="AG755" i="1"/>
  <c r="CV755" i="1" s="1"/>
  <c r="W755" i="1"/>
  <c r="M755" i="1"/>
  <c r="G755" i="1"/>
  <c r="F755" i="1"/>
  <c r="E755" i="1"/>
  <c r="DA754" i="1"/>
  <c r="CZ754" i="1"/>
  <c r="CY754" i="1"/>
  <c r="BW754" i="1"/>
  <c r="BV754" i="1"/>
  <c r="BU754" i="1"/>
  <c r="BT754" i="1"/>
  <c r="AR754" i="1"/>
  <c r="AH754" i="1"/>
  <c r="CW754" i="1" s="1"/>
  <c r="AG754" i="1"/>
  <c r="CV754" i="1" s="1"/>
  <c r="AD754" i="1"/>
  <c r="CK754" i="1" s="1"/>
  <c r="Y754" i="1"/>
  <c r="W754" i="1"/>
  <c r="M754" i="1"/>
  <c r="G754" i="1"/>
  <c r="F754" i="1"/>
  <c r="E754" i="1"/>
  <c r="DA753" i="1"/>
  <c r="CY753" i="1"/>
  <c r="CW753" i="1"/>
  <c r="CE753" i="1"/>
  <c r="CA753" i="1"/>
  <c r="BW753" i="1"/>
  <c r="BV753" i="1"/>
  <c r="BU753" i="1"/>
  <c r="BT753" i="1"/>
  <c r="AR753" i="1"/>
  <c r="AK753" i="1"/>
  <c r="CZ753" i="1" s="1"/>
  <c r="AG753" i="1"/>
  <c r="CV753" i="1" s="1"/>
  <c r="AD753" i="1"/>
  <c r="Y753" i="1"/>
  <c r="CH753" i="1" s="1"/>
  <c r="W753" i="1"/>
  <c r="M753" i="1"/>
  <c r="G753" i="1"/>
  <c r="F753" i="1"/>
  <c r="E753" i="1"/>
  <c r="DA752" i="1"/>
  <c r="CZ752" i="1"/>
  <c r="CY752" i="1"/>
  <c r="CW752" i="1"/>
  <c r="CV752" i="1"/>
  <c r="CH752" i="1"/>
  <c r="CG752" i="1"/>
  <c r="CF752" i="1"/>
  <c r="CE752" i="1"/>
  <c r="CD752" i="1"/>
  <c r="BW752" i="1"/>
  <c r="BV752" i="1"/>
  <c r="BU752" i="1"/>
  <c r="BT752" i="1"/>
  <c r="BI752" i="1"/>
  <c r="BB752" i="1"/>
  <c r="AR752" i="1"/>
  <c r="Y752" i="1"/>
  <c r="W752" i="1"/>
  <c r="M752" i="1"/>
  <c r="DA751" i="1"/>
  <c r="CW751" i="1"/>
  <c r="CV751" i="1"/>
  <c r="BW751" i="1"/>
  <c r="BV751" i="1"/>
  <c r="BU751" i="1"/>
  <c r="BT751" i="1"/>
  <c r="BP751" i="1"/>
  <c r="BO751" i="1"/>
  <c r="BI751" i="1"/>
  <c r="BB751" i="1"/>
  <c r="AR751" i="1"/>
  <c r="AJ751" i="1"/>
  <c r="CY751" i="1" s="1"/>
  <c r="Y751" i="1"/>
  <c r="W751" i="1"/>
  <c r="M751" i="1"/>
  <c r="DA750" i="1"/>
  <c r="CZ750" i="1"/>
  <c r="CY750" i="1"/>
  <c r="CW750" i="1"/>
  <c r="CV750" i="1"/>
  <c r="CR750" i="1"/>
  <c r="CO750" i="1"/>
  <c r="CN750" i="1"/>
  <c r="CK750" i="1"/>
  <c r="CH750" i="1"/>
  <c r="CG750" i="1"/>
  <c r="CF750" i="1"/>
  <c r="CE750" i="1"/>
  <c r="CD750" i="1"/>
  <c r="CC750" i="1"/>
  <c r="CB750" i="1"/>
  <c r="CA750" i="1"/>
  <c r="CI750" i="1" s="1"/>
  <c r="BW750" i="1"/>
  <c r="BV750" i="1"/>
  <c r="BU750" i="1"/>
  <c r="BT750" i="1"/>
  <c r="BS750" i="1"/>
  <c r="BI750" i="1"/>
  <c r="CM750" i="1" s="1"/>
  <c r="BB750" i="1"/>
  <c r="AR750" i="1"/>
  <c r="AD750" i="1"/>
  <c r="CQ750" i="1" s="1"/>
  <c r="W750" i="1"/>
  <c r="M750" i="1"/>
  <c r="G750" i="1"/>
  <c r="F750" i="1"/>
  <c r="E750" i="1"/>
  <c r="DA749" i="1"/>
  <c r="CZ749" i="1"/>
  <c r="CY749" i="1"/>
  <c r="CW749" i="1"/>
  <c r="CV749" i="1"/>
  <c r="CH749" i="1"/>
  <c r="CG749" i="1"/>
  <c r="CF749" i="1"/>
  <c r="CE749" i="1"/>
  <c r="CD749" i="1"/>
  <c r="CC749" i="1"/>
  <c r="CB749" i="1"/>
  <c r="CA749" i="1"/>
  <c r="CI749" i="1" s="1"/>
  <c r="BX749" i="1"/>
  <c r="BW749" i="1"/>
  <c r="BV749" i="1"/>
  <c r="BU749" i="1"/>
  <c r="BT749" i="1"/>
  <c r="BS749" i="1"/>
  <c r="BI749" i="1"/>
  <c r="CQ749" i="1" s="1"/>
  <c r="BB749" i="1"/>
  <c r="AR749" i="1"/>
  <c r="AD749" i="1"/>
  <c r="CP749" i="1" s="1"/>
  <c r="W749" i="1"/>
  <c r="M749" i="1"/>
  <c r="DA748" i="1"/>
  <c r="CZ748" i="1"/>
  <c r="CY748" i="1"/>
  <c r="CW748" i="1"/>
  <c r="CV748" i="1"/>
  <c r="CK748" i="1"/>
  <c r="CH748" i="1"/>
  <c r="CG748" i="1"/>
  <c r="CF748" i="1"/>
  <c r="CE748" i="1"/>
  <c r="CD748" i="1"/>
  <c r="CC748" i="1"/>
  <c r="CB748" i="1"/>
  <c r="CA748" i="1"/>
  <c r="BW748" i="1"/>
  <c r="BV748" i="1"/>
  <c r="BU748" i="1"/>
  <c r="BT748" i="1"/>
  <c r="BS748" i="1"/>
  <c r="BI748" i="1"/>
  <c r="BB748" i="1"/>
  <c r="AR748" i="1"/>
  <c r="AD748" i="1"/>
  <c r="W748" i="1"/>
  <c r="M748" i="1"/>
  <c r="DA747" i="1"/>
  <c r="CZ747" i="1"/>
  <c r="CY747" i="1"/>
  <c r="CW747" i="1"/>
  <c r="CV747" i="1"/>
  <c r="BW747" i="1"/>
  <c r="BV747" i="1"/>
  <c r="BU747" i="1"/>
  <c r="BT747" i="1"/>
  <c r="BD747" i="1"/>
  <c r="CA747" i="1" s="1"/>
  <c r="BB747" i="1"/>
  <c r="AR747" i="1"/>
  <c r="Y747" i="1"/>
  <c r="W747" i="1"/>
  <c r="M747" i="1"/>
  <c r="DA746" i="1"/>
  <c r="CZ746" i="1"/>
  <c r="CY746" i="1"/>
  <c r="CW746" i="1"/>
  <c r="CV746" i="1"/>
  <c r="CC746" i="1"/>
  <c r="BW746" i="1"/>
  <c r="BV746" i="1"/>
  <c r="BU746" i="1"/>
  <c r="BT746" i="1"/>
  <c r="BP746" i="1"/>
  <c r="BM746" i="1"/>
  <c r="BL746" i="1"/>
  <c r="BI746" i="1"/>
  <c r="BD746" i="1"/>
  <c r="BB746" i="1"/>
  <c r="AR746" i="1"/>
  <c r="AK746" i="1"/>
  <c r="AH746" i="1"/>
  <c r="AG746" i="1"/>
  <c r="Y746" i="1"/>
  <c r="W746" i="1"/>
  <c r="M746" i="1"/>
  <c r="DA745" i="1"/>
  <c r="CZ745" i="1"/>
  <c r="CY745" i="1"/>
  <c r="CW745" i="1"/>
  <c r="CV745" i="1"/>
  <c r="CH745" i="1"/>
  <c r="CG745" i="1"/>
  <c r="CF745" i="1"/>
  <c r="BW745" i="1"/>
  <c r="BV745" i="1"/>
  <c r="BU745" i="1"/>
  <c r="BT745" i="1"/>
  <c r="BD745" i="1"/>
  <c r="CD745" i="1" s="1"/>
  <c r="BB745" i="1"/>
  <c r="AR745" i="1"/>
  <c r="AD745" i="1"/>
  <c r="Y745" i="1"/>
  <c r="CE745" i="1" s="1"/>
  <c r="W745" i="1"/>
  <c r="M745" i="1"/>
  <c r="DA744" i="1"/>
  <c r="CZ744" i="1"/>
  <c r="CY744" i="1"/>
  <c r="CW744" i="1"/>
  <c r="CV744" i="1"/>
  <c r="CH744" i="1"/>
  <c r="BW744" i="1"/>
  <c r="BV744" i="1"/>
  <c r="BU744" i="1"/>
  <c r="BT744" i="1"/>
  <c r="BP744" i="1"/>
  <c r="BM744" i="1"/>
  <c r="BL744" i="1"/>
  <c r="BI744" i="1"/>
  <c r="BD744" i="1"/>
  <c r="BB744" i="1"/>
  <c r="AR744" i="1"/>
  <c r="AK744" i="1"/>
  <c r="AH744" i="1"/>
  <c r="AG744" i="1"/>
  <c r="Y744" i="1"/>
  <c r="W744" i="1"/>
  <c r="M744" i="1"/>
  <c r="DA743" i="1"/>
  <c r="CZ743" i="1"/>
  <c r="CY743" i="1"/>
  <c r="CW743" i="1"/>
  <c r="CV743" i="1"/>
  <c r="CE743" i="1"/>
  <c r="BW743" i="1"/>
  <c r="BV743" i="1"/>
  <c r="BU743" i="1"/>
  <c r="BT743" i="1"/>
  <c r="BI743" i="1"/>
  <c r="BD743" i="1"/>
  <c r="BB743" i="1"/>
  <c r="AR743" i="1"/>
  <c r="Y743" i="1"/>
  <c r="W743" i="1"/>
  <c r="M743" i="1"/>
  <c r="DA742" i="1"/>
  <c r="CY742" i="1"/>
  <c r="CF742" i="1"/>
  <c r="BW742" i="1"/>
  <c r="BV742" i="1"/>
  <c r="BU742" i="1"/>
  <c r="BT742" i="1"/>
  <c r="BP742" i="1"/>
  <c r="BM742" i="1"/>
  <c r="BL742" i="1"/>
  <c r="BD742" i="1"/>
  <c r="CC742" i="1" s="1"/>
  <c r="BB742" i="1"/>
  <c r="AR742" i="1"/>
  <c r="AK742" i="1"/>
  <c r="CZ742" i="1" s="1"/>
  <c r="AH742" i="1"/>
  <c r="CW742" i="1" s="1"/>
  <c r="AG742" i="1"/>
  <c r="CV742" i="1" s="1"/>
  <c r="Y742" i="1"/>
  <c r="W742" i="1"/>
  <c r="M742" i="1"/>
  <c r="DA741" i="1"/>
  <c r="CZ741" i="1"/>
  <c r="CY741" i="1"/>
  <c r="CW741" i="1"/>
  <c r="CV741" i="1"/>
  <c r="CP741" i="1"/>
  <c r="CO741" i="1"/>
  <c r="CH741" i="1"/>
  <c r="CG741" i="1"/>
  <c r="CF741" i="1"/>
  <c r="CE741" i="1"/>
  <c r="CD741" i="1"/>
  <c r="CC741" i="1"/>
  <c r="CB741" i="1"/>
  <c r="CA741" i="1"/>
  <c r="BW741" i="1"/>
  <c r="BV741" i="1"/>
  <c r="BU741" i="1"/>
  <c r="BT741" i="1"/>
  <c r="BS741" i="1"/>
  <c r="BI741" i="1"/>
  <c r="CN741" i="1" s="1"/>
  <c r="BB741" i="1"/>
  <c r="AR741" i="1"/>
  <c r="AD741" i="1"/>
  <c r="W741" i="1"/>
  <c r="M741" i="1"/>
  <c r="DA740" i="1"/>
  <c r="CZ740" i="1"/>
  <c r="CY740" i="1"/>
  <c r="CW740" i="1"/>
  <c r="CV740" i="1"/>
  <c r="BW740" i="1"/>
  <c r="BV740" i="1"/>
  <c r="BU740" i="1"/>
  <c r="BT740" i="1"/>
  <c r="BD740" i="1"/>
  <c r="BI740" i="1" s="1"/>
  <c r="BB740" i="1"/>
  <c r="AR740" i="1"/>
  <c r="Y740" i="1"/>
  <c r="CG740" i="1" s="1"/>
  <c r="W740" i="1"/>
  <c r="M740" i="1"/>
  <c r="DA739" i="1"/>
  <c r="CY739" i="1"/>
  <c r="CC739" i="1"/>
  <c r="CB739" i="1"/>
  <c r="BW739" i="1"/>
  <c r="BV739" i="1"/>
  <c r="BU739" i="1"/>
  <c r="BT739" i="1"/>
  <c r="BP739" i="1"/>
  <c r="BM739" i="1"/>
  <c r="BL739" i="1"/>
  <c r="CV739" i="1" s="1"/>
  <c r="BD739" i="1"/>
  <c r="BI739" i="1" s="1"/>
  <c r="BX739" i="1" s="1"/>
  <c r="BB739" i="1"/>
  <c r="AR739" i="1"/>
  <c r="AK739" i="1"/>
  <c r="CZ739" i="1" s="1"/>
  <c r="AH739" i="1"/>
  <c r="CW739" i="1" s="1"/>
  <c r="AG739" i="1"/>
  <c r="AD739" i="1"/>
  <c r="CK739" i="1" s="1"/>
  <c r="Y739" i="1"/>
  <c r="CF739" i="1" s="1"/>
  <c r="W739" i="1"/>
  <c r="M739" i="1"/>
  <c r="DA738" i="1"/>
  <c r="CZ738" i="1"/>
  <c r="CY738" i="1"/>
  <c r="CW738" i="1"/>
  <c r="CV738" i="1"/>
  <c r="CL738" i="1"/>
  <c r="CH738" i="1"/>
  <c r="CF738" i="1"/>
  <c r="CD738" i="1"/>
  <c r="CC738" i="1"/>
  <c r="CB738" i="1"/>
  <c r="CA738" i="1"/>
  <c r="BW738" i="1"/>
  <c r="BV738" i="1"/>
  <c r="BU738" i="1"/>
  <c r="BT738" i="1"/>
  <c r="BS738" i="1"/>
  <c r="BI738" i="1"/>
  <c r="BB738" i="1"/>
  <c r="AR738" i="1"/>
  <c r="AD738" i="1"/>
  <c r="CQ738" i="1" s="1"/>
  <c r="Y738" i="1"/>
  <c r="CE738" i="1" s="1"/>
  <c r="W738" i="1"/>
  <c r="M738" i="1"/>
  <c r="DA737" i="1"/>
  <c r="CZ737" i="1"/>
  <c r="CY737" i="1"/>
  <c r="CG737" i="1"/>
  <c r="CA737" i="1"/>
  <c r="BW737" i="1"/>
  <c r="BV737" i="1"/>
  <c r="BU737" i="1"/>
  <c r="BT737" i="1"/>
  <c r="BP737" i="1"/>
  <c r="BM737" i="1"/>
  <c r="CW737" i="1" s="1"/>
  <c r="BL737" i="1"/>
  <c r="BI737" i="1"/>
  <c r="CP737" i="1" s="1"/>
  <c r="BB737" i="1"/>
  <c r="AR737" i="1"/>
  <c r="AK737" i="1"/>
  <c r="AH737" i="1"/>
  <c r="AG737" i="1"/>
  <c r="CV737" i="1" s="1"/>
  <c r="AD737" i="1"/>
  <c r="Y737" i="1"/>
  <c r="CF737" i="1" s="1"/>
  <c r="W737" i="1"/>
  <c r="M737" i="1"/>
  <c r="DA736" i="1"/>
  <c r="CY736" i="1"/>
  <c r="CV736" i="1"/>
  <c r="CH736" i="1"/>
  <c r="CG736" i="1"/>
  <c r="CF736" i="1"/>
  <c r="CE736" i="1"/>
  <c r="CD736" i="1"/>
  <c r="CC736" i="1"/>
  <c r="CB736" i="1"/>
  <c r="CA736" i="1"/>
  <c r="BW736" i="1"/>
  <c r="BV736" i="1"/>
  <c r="BU736" i="1"/>
  <c r="BT736" i="1"/>
  <c r="BS736" i="1"/>
  <c r="BP736" i="1"/>
  <c r="BM736" i="1"/>
  <c r="BL736" i="1"/>
  <c r="BI736" i="1"/>
  <c r="BB736" i="1"/>
  <c r="AR736" i="1"/>
  <c r="AK736" i="1"/>
  <c r="AH736" i="1"/>
  <c r="CW736" i="1" s="1"/>
  <c r="AD736" i="1"/>
  <c r="CK736" i="1" s="1"/>
  <c r="W736" i="1"/>
  <c r="M736" i="1"/>
  <c r="DA735" i="1"/>
  <c r="CZ735" i="1"/>
  <c r="CY735" i="1"/>
  <c r="CW735" i="1"/>
  <c r="CV735" i="1"/>
  <c r="CH735" i="1"/>
  <c r="CG735" i="1"/>
  <c r="CF735" i="1"/>
  <c r="CE735" i="1"/>
  <c r="CD735" i="1"/>
  <c r="CC735" i="1"/>
  <c r="CB735" i="1"/>
  <c r="CA735" i="1"/>
  <c r="BW735" i="1"/>
  <c r="BV735" i="1"/>
  <c r="BU735" i="1"/>
  <c r="BT735" i="1"/>
  <c r="BS735" i="1"/>
  <c r="BI735" i="1"/>
  <c r="CK735" i="1" s="1"/>
  <c r="BB735" i="1"/>
  <c r="AR735" i="1"/>
  <c r="AD735" i="1"/>
  <c r="CP735" i="1" s="1"/>
  <c r="W735" i="1"/>
  <c r="M735" i="1"/>
  <c r="G735" i="1"/>
  <c r="F735" i="1"/>
  <c r="E735" i="1"/>
  <c r="DA734" i="1"/>
  <c r="CZ734" i="1"/>
  <c r="CY734" i="1"/>
  <c r="CW734" i="1"/>
  <c r="CV734" i="1"/>
  <c r="CR734" i="1"/>
  <c r="CL734" i="1"/>
  <c r="CH734" i="1"/>
  <c r="CG734" i="1"/>
  <c r="CF734" i="1"/>
  <c r="CE734" i="1"/>
  <c r="CD734" i="1"/>
  <c r="CC734" i="1"/>
  <c r="CB734" i="1"/>
  <c r="CA734" i="1"/>
  <c r="CI734" i="1" s="1"/>
  <c r="BW734" i="1"/>
  <c r="BV734" i="1"/>
  <c r="BU734" i="1"/>
  <c r="BT734" i="1"/>
  <c r="BS734" i="1"/>
  <c r="BI734" i="1"/>
  <c r="CK734" i="1" s="1"/>
  <c r="BB734" i="1"/>
  <c r="AR734" i="1"/>
  <c r="AD734" i="1"/>
  <c r="CQ734" i="1" s="1"/>
  <c r="W734" i="1"/>
  <c r="M734" i="1"/>
  <c r="G734" i="1"/>
  <c r="F734" i="1"/>
  <c r="E734" i="1"/>
  <c r="DA733" i="1"/>
  <c r="CZ733" i="1"/>
  <c r="CY733" i="1"/>
  <c r="CW733" i="1"/>
  <c r="CV733" i="1"/>
  <c r="CG733" i="1"/>
  <c r="BW733" i="1"/>
  <c r="BV733" i="1"/>
  <c r="BU733" i="1"/>
  <c r="BT733" i="1"/>
  <c r="BD733" i="1"/>
  <c r="CA733" i="1" s="1"/>
  <c r="BB733" i="1"/>
  <c r="AR733" i="1"/>
  <c r="AD733" i="1"/>
  <c r="W733" i="1"/>
  <c r="M733" i="1"/>
  <c r="DA732" i="1"/>
  <c r="CZ732" i="1"/>
  <c r="CY732" i="1"/>
  <c r="CL732" i="1"/>
  <c r="CH732" i="1"/>
  <c r="CG732" i="1"/>
  <c r="CF732" i="1"/>
  <c r="CE732" i="1"/>
  <c r="CD732" i="1"/>
  <c r="CC732" i="1"/>
  <c r="CB732" i="1"/>
  <c r="CA732" i="1"/>
  <c r="BW732" i="1"/>
  <c r="BV732" i="1"/>
  <c r="BU732" i="1"/>
  <c r="BT732" i="1"/>
  <c r="BS732" i="1"/>
  <c r="BM732" i="1"/>
  <c r="BL732" i="1"/>
  <c r="BI732" i="1"/>
  <c r="BB732" i="1"/>
  <c r="AR732" i="1"/>
  <c r="AH732" i="1"/>
  <c r="CW732" i="1" s="1"/>
  <c r="AG732" i="1"/>
  <c r="CV732" i="1" s="1"/>
  <c r="AD732" i="1"/>
  <c r="CN732" i="1" s="1"/>
  <c r="W732" i="1"/>
  <c r="M732" i="1"/>
  <c r="DA731" i="1"/>
  <c r="CZ731" i="1"/>
  <c r="CY731" i="1"/>
  <c r="CW731" i="1"/>
  <c r="CV731" i="1"/>
  <c r="CH731" i="1"/>
  <c r="CE731" i="1"/>
  <c r="CD731" i="1"/>
  <c r="CC731" i="1"/>
  <c r="CB731" i="1"/>
  <c r="CA731" i="1"/>
  <c r="BW731" i="1"/>
  <c r="BV731" i="1"/>
  <c r="BU731" i="1"/>
  <c r="BT731" i="1"/>
  <c r="BS731" i="1"/>
  <c r="BI731" i="1"/>
  <c r="BB731" i="1"/>
  <c r="AR731" i="1"/>
  <c r="Y731" i="1"/>
  <c r="CG731" i="1" s="1"/>
  <c r="W731" i="1"/>
  <c r="M731" i="1"/>
  <c r="DA730" i="1"/>
  <c r="CZ730" i="1"/>
  <c r="CY730" i="1"/>
  <c r="CW730" i="1"/>
  <c r="CV730" i="1"/>
  <c r="CF730" i="1"/>
  <c r="BW730" i="1"/>
  <c r="BV730" i="1"/>
  <c r="BU730" i="1"/>
  <c r="BT730" i="1"/>
  <c r="BI730" i="1"/>
  <c r="BB730" i="1"/>
  <c r="AR730" i="1"/>
  <c r="Y730" i="1"/>
  <c r="W730" i="1"/>
  <c r="M730" i="1"/>
  <c r="DA729" i="1"/>
  <c r="CZ729" i="1"/>
  <c r="CY729" i="1"/>
  <c r="CW729" i="1"/>
  <c r="CV729" i="1"/>
  <c r="CH729" i="1"/>
  <c r="CE729" i="1"/>
  <c r="CD729" i="1"/>
  <c r="CC729" i="1"/>
  <c r="CB729" i="1"/>
  <c r="CA729" i="1"/>
  <c r="BW729" i="1"/>
  <c r="BV729" i="1"/>
  <c r="BU729" i="1"/>
  <c r="BT729" i="1"/>
  <c r="BS729" i="1"/>
  <c r="BI729" i="1"/>
  <c r="BB729" i="1"/>
  <c r="AR729" i="1"/>
  <c r="Y729" i="1"/>
  <c r="CG729" i="1" s="1"/>
  <c r="W729" i="1"/>
  <c r="M729" i="1"/>
  <c r="DA728" i="1"/>
  <c r="CZ728" i="1"/>
  <c r="CY728" i="1"/>
  <c r="CW728" i="1"/>
  <c r="CV728" i="1"/>
  <c r="CH728" i="1"/>
  <c r="CG728" i="1"/>
  <c r="CF728" i="1"/>
  <c r="BW728" i="1"/>
  <c r="BV728" i="1"/>
  <c r="BU728" i="1"/>
  <c r="BT728" i="1"/>
  <c r="BI728" i="1"/>
  <c r="BB728" i="1"/>
  <c r="AR728" i="1"/>
  <c r="AD728" i="1"/>
  <c r="CQ728" i="1" s="1"/>
  <c r="Y728" i="1"/>
  <c r="W728" i="1"/>
  <c r="M728" i="1"/>
  <c r="DA727" i="1"/>
  <c r="CZ727" i="1"/>
  <c r="CY727" i="1"/>
  <c r="CW727" i="1"/>
  <c r="CV727" i="1"/>
  <c r="CF727" i="1"/>
  <c r="CE727" i="1"/>
  <c r="CD727" i="1"/>
  <c r="CC727" i="1"/>
  <c r="BW727" i="1"/>
  <c r="BV727" i="1"/>
  <c r="BU727" i="1"/>
  <c r="BT727" i="1"/>
  <c r="BS727" i="1"/>
  <c r="BD727" i="1"/>
  <c r="CB727" i="1" s="1"/>
  <c r="BB727" i="1"/>
  <c r="AR727" i="1"/>
  <c r="AD727" i="1"/>
  <c r="W727" i="1"/>
  <c r="M727" i="1"/>
  <c r="DA726" i="1"/>
  <c r="CZ726" i="1"/>
  <c r="CY726" i="1"/>
  <c r="CW726" i="1"/>
  <c r="CV726" i="1"/>
  <c r="CG726" i="1"/>
  <c r="BW726" i="1"/>
  <c r="BV726" i="1"/>
  <c r="BU726" i="1"/>
  <c r="BT726" i="1"/>
  <c r="BD726" i="1"/>
  <c r="CA726" i="1" s="1"/>
  <c r="BB726" i="1"/>
  <c r="AR726" i="1"/>
  <c r="Y726" i="1"/>
  <c r="CF726" i="1" s="1"/>
  <c r="W726" i="1"/>
  <c r="M726" i="1"/>
  <c r="DA725" i="1"/>
  <c r="CY725" i="1"/>
  <c r="CW725" i="1"/>
  <c r="CV725" i="1"/>
  <c r="CF725" i="1"/>
  <c r="CE725" i="1"/>
  <c r="CD725" i="1"/>
  <c r="BW725" i="1"/>
  <c r="BV725" i="1"/>
  <c r="BU725" i="1"/>
  <c r="BT725" i="1"/>
  <c r="BP725" i="1"/>
  <c r="BO725" i="1"/>
  <c r="BD725" i="1"/>
  <c r="CC725" i="1" s="1"/>
  <c r="BB725" i="1"/>
  <c r="AR725" i="1"/>
  <c r="AK725" i="1"/>
  <c r="CZ725" i="1" s="1"/>
  <c r="AJ725" i="1"/>
  <c r="AD725" i="1"/>
  <c r="Y725" i="1"/>
  <c r="CA725" i="1" s="1"/>
  <c r="W725" i="1"/>
  <c r="M725" i="1"/>
  <c r="DA724" i="1"/>
  <c r="CZ724" i="1"/>
  <c r="CY724" i="1"/>
  <c r="CW724" i="1"/>
  <c r="CV724" i="1"/>
  <c r="CH724" i="1"/>
  <c r="CG724" i="1"/>
  <c r="CF724" i="1"/>
  <c r="BW724" i="1"/>
  <c r="BV724" i="1"/>
  <c r="BU724" i="1"/>
  <c r="BT724" i="1"/>
  <c r="BI724" i="1"/>
  <c r="BB724" i="1"/>
  <c r="AR724" i="1"/>
  <c r="Y724" i="1"/>
  <c r="AD724" i="1" s="1"/>
  <c r="W724" i="1"/>
  <c r="M724" i="1"/>
  <c r="DA723" i="1"/>
  <c r="CW723" i="1"/>
  <c r="CV723" i="1"/>
  <c r="CL723" i="1"/>
  <c r="CF723" i="1"/>
  <c r="CE723" i="1"/>
  <c r="CD723" i="1"/>
  <c r="CC723" i="1"/>
  <c r="CA723" i="1"/>
  <c r="BW723" i="1"/>
  <c r="BV723" i="1"/>
  <c r="BU723" i="1"/>
  <c r="BT723" i="1"/>
  <c r="BS723" i="1"/>
  <c r="BO723" i="1"/>
  <c r="BP723" i="1" s="1"/>
  <c r="BI723" i="1"/>
  <c r="BB723" i="1"/>
  <c r="AR723" i="1"/>
  <c r="AJ723" i="1"/>
  <c r="CY723" i="1" s="1"/>
  <c r="AD723" i="1"/>
  <c r="CN723" i="1" s="1"/>
  <c r="Y723" i="1"/>
  <c r="CB723" i="1" s="1"/>
  <c r="W723" i="1"/>
  <c r="M723" i="1"/>
  <c r="DA722" i="1"/>
  <c r="CZ722" i="1"/>
  <c r="CY722" i="1"/>
  <c r="CW722" i="1"/>
  <c r="CV722" i="1"/>
  <c r="CO722" i="1"/>
  <c r="CN722" i="1"/>
  <c r="CM722" i="1"/>
  <c r="CH722" i="1"/>
  <c r="CG722" i="1"/>
  <c r="CF722" i="1"/>
  <c r="CE722" i="1"/>
  <c r="CD722" i="1"/>
  <c r="CC722" i="1"/>
  <c r="CB722" i="1"/>
  <c r="CA722" i="1"/>
  <c r="CI722" i="1" s="1"/>
  <c r="BW722" i="1"/>
  <c r="BV722" i="1"/>
  <c r="BU722" i="1"/>
  <c r="BT722" i="1"/>
  <c r="BS722" i="1"/>
  <c r="BI722" i="1"/>
  <c r="BB722" i="1"/>
  <c r="AR722" i="1"/>
  <c r="AD722" i="1"/>
  <c r="CL722" i="1" s="1"/>
  <c r="W722" i="1"/>
  <c r="M722" i="1"/>
  <c r="DA721" i="1"/>
  <c r="CW721" i="1"/>
  <c r="CV721" i="1"/>
  <c r="CR721" i="1"/>
  <c r="CH721" i="1"/>
  <c r="CG721" i="1"/>
  <c r="CF721" i="1"/>
  <c r="CE721" i="1"/>
  <c r="CD721" i="1"/>
  <c r="CC721" i="1"/>
  <c r="CB721" i="1"/>
  <c r="CA721" i="1"/>
  <c r="CI721" i="1" s="1"/>
  <c r="BW721" i="1"/>
  <c r="BV721" i="1"/>
  <c r="BU721" i="1"/>
  <c r="BT721" i="1"/>
  <c r="BS721" i="1"/>
  <c r="BO721" i="1"/>
  <c r="CY721" i="1" s="1"/>
  <c r="BI721" i="1"/>
  <c r="BX721" i="1" s="1"/>
  <c r="BB721" i="1"/>
  <c r="AR721" i="1"/>
  <c r="AJ721" i="1"/>
  <c r="AK721" i="1" s="1"/>
  <c r="AD721" i="1"/>
  <c r="CP721" i="1" s="1"/>
  <c r="W721" i="1"/>
  <c r="M721" i="1"/>
  <c r="DA720" i="1"/>
  <c r="CZ720" i="1"/>
  <c r="CY720" i="1"/>
  <c r="CW720" i="1"/>
  <c r="CV720" i="1"/>
  <c r="BW720" i="1"/>
  <c r="BV720" i="1"/>
  <c r="BU720" i="1"/>
  <c r="BT720" i="1"/>
  <c r="BD720" i="1"/>
  <c r="CA720" i="1" s="1"/>
  <c r="BB720" i="1"/>
  <c r="AR720" i="1"/>
  <c r="AD720" i="1"/>
  <c r="W720" i="1"/>
  <c r="M720" i="1"/>
  <c r="DA719" i="1"/>
  <c r="CY719" i="1"/>
  <c r="CW719" i="1"/>
  <c r="CV719" i="1"/>
  <c r="CH719" i="1"/>
  <c r="CG719" i="1"/>
  <c r="CF719" i="1"/>
  <c r="CE719" i="1"/>
  <c r="CD719" i="1"/>
  <c r="CC719" i="1"/>
  <c r="BW719" i="1"/>
  <c r="BV719" i="1"/>
  <c r="BU719" i="1"/>
  <c r="BT719" i="1"/>
  <c r="BS719" i="1"/>
  <c r="BD719" i="1"/>
  <c r="CB719" i="1" s="1"/>
  <c r="BB719" i="1"/>
  <c r="AR719" i="1"/>
  <c r="AJ719" i="1"/>
  <c r="AK719" i="1" s="1"/>
  <c r="CZ719" i="1" s="1"/>
  <c r="AD719" i="1"/>
  <c r="W719" i="1"/>
  <c r="M719" i="1"/>
  <c r="DA718" i="1"/>
  <c r="CZ718" i="1"/>
  <c r="CY718" i="1"/>
  <c r="CW718" i="1"/>
  <c r="CV718" i="1"/>
  <c r="CO718" i="1"/>
  <c r="CN718" i="1"/>
  <c r="CM718" i="1"/>
  <c r="CH718" i="1"/>
  <c r="CG718" i="1"/>
  <c r="CF718" i="1"/>
  <c r="CE718" i="1"/>
  <c r="CD718" i="1"/>
  <c r="CC718" i="1"/>
  <c r="CB718" i="1"/>
  <c r="CA718" i="1"/>
  <c r="CI718" i="1" s="1"/>
  <c r="BW718" i="1"/>
  <c r="BV718" i="1"/>
  <c r="BU718" i="1"/>
  <c r="BT718" i="1"/>
  <c r="BS718" i="1"/>
  <c r="BI718" i="1"/>
  <c r="BB718" i="1"/>
  <c r="AR718" i="1"/>
  <c r="AD718" i="1"/>
  <c r="CL718" i="1" s="1"/>
  <c r="W718" i="1"/>
  <c r="M718" i="1"/>
  <c r="DA717" i="1"/>
  <c r="CZ717" i="1"/>
  <c r="CY717" i="1"/>
  <c r="CW717" i="1"/>
  <c r="CV717" i="1"/>
  <c r="CH717" i="1"/>
  <c r="CG717" i="1"/>
  <c r="CF717" i="1"/>
  <c r="CE717" i="1"/>
  <c r="CD717" i="1"/>
  <c r="CC717" i="1"/>
  <c r="CB717" i="1"/>
  <c r="CA717" i="1"/>
  <c r="CI717" i="1" s="1"/>
  <c r="BW717" i="1"/>
  <c r="BV717" i="1"/>
  <c r="BU717" i="1"/>
  <c r="BT717" i="1"/>
  <c r="BS717" i="1"/>
  <c r="BI717" i="1"/>
  <c r="BB717" i="1"/>
  <c r="AR717" i="1"/>
  <c r="AD717" i="1"/>
  <c r="CR717" i="1" s="1"/>
  <c r="W717" i="1"/>
  <c r="M717" i="1"/>
  <c r="DA716" i="1"/>
  <c r="CZ716" i="1"/>
  <c r="CY716" i="1"/>
  <c r="CW716" i="1"/>
  <c r="CV716" i="1"/>
  <c r="CR716" i="1"/>
  <c r="CO716" i="1"/>
  <c r="CN716" i="1"/>
  <c r="CM716" i="1"/>
  <c r="CL716" i="1"/>
  <c r="CH716" i="1"/>
  <c r="CG716" i="1"/>
  <c r="CF716" i="1"/>
  <c r="CE716" i="1"/>
  <c r="CD716" i="1"/>
  <c r="CC716" i="1"/>
  <c r="CB716" i="1"/>
  <c r="CA716" i="1"/>
  <c r="BW716" i="1"/>
  <c r="BV716" i="1"/>
  <c r="BU716" i="1"/>
  <c r="BT716" i="1"/>
  <c r="BS716" i="1"/>
  <c r="BI716" i="1"/>
  <c r="CK716" i="1" s="1"/>
  <c r="BB716" i="1"/>
  <c r="AR716" i="1"/>
  <c r="AD716" i="1"/>
  <c r="CP716" i="1" s="1"/>
  <c r="W716" i="1"/>
  <c r="M716" i="1"/>
  <c r="DA715" i="1"/>
  <c r="CZ715" i="1"/>
  <c r="CY715" i="1"/>
  <c r="CW715" i="1"/>
  <c r="CV715" i="1"/>
  <c r="CQ715" i="1"/>
  <c r="CP715" i="1"/>
  <c r="CO715" i="1"/>
  <c r="CH715" i="1"/>
  <c r="CG715" i="1"/>
  <c r="CF715" i="1"/>
  <c r="CE715" i="1"/>
  <c r="CD715" i="1"/>
  <c r="CC715" i="1"/>
  <c r="CB715" i="1"/>
  <c r="CA715" i="1"/>
  <c r="CI715" i="1" s="1"/>
  <c r="BW715" i="1"/>
  <c r="BV715" i="1"/>
  <c r="BU715" i="1"/>
  <c r="BS715" i="1"/>
  <c r="BI715" i="1"/>
  <c r="BB715" i="1"/>
  <c r="AR715" i="1"/>
  <c r="AD715" i="1"/>
  <c r="Z715" i="1"/>
  <c r="BT715" i="1" s="1"/>
  <c r="W715" i="1"/>
  <c r="M715" i="1"/>
  <c r="DA714" i="1"/>
  <c r="CZ714" i="1"/>
  <c r="CY714" i="1"/>
  <c r="CW714" i="1"/>
  <c r="CV714" i="1"/>
  <c r="CL714" i="1"/>
  <c r="CH714" i="1"/>
  <c r="CG714" i="1"/>
  <c r="CF714" i="1"/>
  <c r="CE714" i="1"/>
  <c r="CD714" i="1"/>
  <c r="CC714" i="1"/>
  <c r="CB714" i="1"/>
  <c r="CA714" i="1"/>
  <c r="BW714" i="1"/>
  <c r="BV714" i="1"/>
  <c r="BU714" i="1"/>
  <c r="BT714" i="1"/>
  <c r="BS714" i="1"/>
  <c r="BI714" i="1"/>
  <c r="CK714" i="1" s="1"/>
  <c r="BB714" i="1"/>
  <c r="AR714" i="1"/>
  <c r="AD714" i="1"/>
  <c r="W714" i="1"/>
  <c r="M714" i="1"/>
  <c r="DA713" i="1"/>
  <c r="CZ713" i="1"/>
  <c r="CY713" i="1"/>
  <c r="CW713" i="1"/>
  <c r="CV713" i="1"/>
  <c r="CH713" i="1"/>
  <c r="CG713" i="1"/>
  <c r="CF713" i="1"/>
  <c r="BW713" i="1"/>
  <c r="BV713" i="1"/>
  <c r="BU713" i="1"/>
  <c r="BT713" i="1"/>
  <c r="BD713" i="1"/>
  <c r="CE713" i="1" s="1"/>
  <c r="BB713" i="1"/>
  <c r="AR713" i="1"/>
  <c r="AD713" i="1"/>
  <c r="W713" i="1"/>
  <c r="M713" i="1"/>
  <c r="DA712" i="1"/>
  <c r="CZ712" i="1"/>
  <c r="CY712" i="1"/>
  <c r="CW712" i="1"/>
  <c r="CV712" i="1"/>
  <c r="CR712" i="1"/>
  <c r="CO712" i="1"/>
  <c r="CN712" i="1"/>
  <c r="CM712" i="1"/>
  <c r="CL712" i="1"/>
  <c r="CH712" i="1"/>
  <c r="CG712" i="1"/>
  <c r="CF712" i="1"/>
  <c r="CE712" i="1"/>
  <c r="CD712" i="1"/>
  <c r="CC712" i="1"/>
  <c r="CB712" i="1"/>
  <c r="CA712" i="1"/>
  <c r="BW712" i="1"/>
  <c r="BV712" i="1"/>
  <c r="BU712" i="1"/>
  <c r="BT712" i="1"/>
  <c r="BS712" i="1"/>
  <c r="BI712" i="1"/>
  <c r="CK712" i="1" s="1"/>
  <c r="BB712" i="1"/>
  <c r="AR712" i="1"/>
  <c r="AD712" i="1"/>
  <c r="CQ712" i="1" s="1"/>
  <c r="W712" i="1"/>
  <c r="M712" i="1"/>
  <c r="DA711" i="1"/>
  <c r="CZ711" i="1"/>
  <c r="CY711" i="1"/>
  <c r="CW711" i="1"/>
  <c r="CV711" i="1"/>
  <c r="CR711" i="1"/>
  <c r="CQ711" i="1"/>
  <c r="CP711" i="1"/>
  <c r="CH711" i="1"/>
  <c r="CG711" i="1"/>
  <c r="CF711" i="1"/>
  <c r="CE711" i="1"/>
  <c r="CD711" i="1"/>
  <c r="CC711" i="1"/>
  <c r="CB711" i="1"/>
  <c r="CA711" i="1"/>
  <c r="CI711" i="1" s="1"/>
  <c r="BX711" i="1"/>
  <c r="BW711" i="1"/>
  <c r="BV711" i="1"/>
  <c r="BU711" i="1"/>
  <c r="BT711" i="1"/>
  <c r="BS711" i="1"/>
  <c r="AD711" i="1"/>
  <c r="CO711" i="1" s="1"/>
  <c r="DA710" i="1"/>
  <c r="CZ710" i="1"/>
  <c r="CY710" i="1"/>
  <c r="CW710" i="1"/>
  <c r="CV710" i="1"/>
  <c r="CR710" i="1"/>
  <c r="CQ710" i="1"/>
  <c r="CP710" i="1"/>
  <c r="CO710" i="1"/>
  <c r="CN710" i="1"/>
  <c r="CM710" i="1"/>
  <c r="CL710" i="1"/>
  <c r="CH710" i="1"/>
  <c r="CG710" i="1"/>
  <c r="CF710" i="1"/>
  <c r="CE710" i="1"/>
  <c r="CD710" i="1"/>
  <c r="CC710" i="1"/>
  <c r="CB710" i="1"/>
  <c r="CA710" i="1"/>
  <c r="BX710" i="1"/>
  <c r="BW710" i="1"/>
  <c r="BV710" i="1"/>
  <c r="BU710" i="1"/>
  <c r="BT710" i="1"/>
  <c r="BS710" i="1"/>
  <c r="AD710" i="1"/>
  <c r="CK710" i="1" s="1"/>
  <c r="DA709" i="1"/>
  <c r="CZ709" i="1"/>
  <c r="CY709" i="1"/>
  <c r="CW709" i="1"/>
  <c r="CV709" i="1"/>
  <c r="CQ709" i="1"/>
  <c r="CP709" i="1"/>
  <c r="CO709" i="1"/>
  <c r="CN709" i="1"/>
  <c r="CM709" i="1"/>
  <c r="CL709" i="1"/>
  <c r="CH709" i="1"/>
  <c r="CG709" i="1"/>
  <c r="CF709" i="1"/>
  <c r="CE709" i="1"/>
  <c r="CD709" i="1"/>
  <c r="CC709" i="1"/>
  <c r="CB709" i="1"/>
  <c r="CA709" i="1"/>
  <c r="CI709" i="1" s="1"/>
  <c r="BX709" i="1"/>
  <c r="BW709" i="1"/>
  <c r="BV709" i="1"/>
  <c r="BU709" i="1"/>
  <c r="BT709" i="1"/>
  <c r="BS709" i="1"/>
  <c r="AD709" i="1"/>
  <c r="CK709" i="1" s="1"/>
  <c r="DA708" i="1"/>
  <c r="CZ708" i="1"/>
  <c r="CY708" i="1"/>
  <c r="CW708" i="1"/>
  <c r="CV708" i="1"/>
  <c r="CR708" i="1"/>
  <c r="CO708" i="1"/>
  <c r="CN708" i="1"/>
  <c r="CM708" i="1"/>
  <c r="CL708" i="1"/>
  <c r="CH708" i="1"/>
  <c r="CG708" i="1"/>
  <c r="CF708" i="1"/>
  <c r="CE708" i="1"/>
  <c r="CD708" i="1"/>
  <c r="CC708" i="1"/>
  <c r="CB708" i="1"/>
  <c r="CA708" i="1"/>
  <c r="BW708" i="1"/>
  <c r="BV708" i="1"/>
  <c r="BU708" i="1"/>
  <c r="BT708" i="1"/>
  <c r="BS708" i="1"/>
  <c r="BI708" i="1"/>
  <c r="CK708" i="1" s="1"/>
  <c r="BB708" i="1"/>
  <c r="AR708" i="1"/>
  <c r="AD708" i="1"/>
  <c r="CP708" i="1" s="1"/>
  <c r="W708" i="1"/>
  <c r="M708" i="1"/>
  <c r="DA707" i="1"/>
  <c r="CZ707" i="1"/>
  <c r="CY707" i="1"/>
  <c r="CW707" i="1"/>
  <c r="CV707" i="1"/>
  <c r="CP707" i="1"/>
  <c r="CH707" i="1"/>
  <c r="CG707" i="1"/>
  <c r="CF707" i="1"/>
  <c r="CE707" i="1"/>
  <c r="CD707" i="1"/>
  <c r="CC707" i="1"/>
  <c r="CB707" i="1"/>
  <c r="CA707" i="1"/>
  <c r="CI707" i="1" s="1"/>
  <c r="BX707" i="1"/>
  <c r="BW707" i="1"/>
  <c r="BV707" i="1"/>
  <c r="BU707" i="1"/>
  <c r="BT707" i="1"/>
  <c r="BS707" i="1"/>
  <c r="BI707" i="1"/>
  <c r="BB707" i="1"/>
  <c r="AR707" i="1"/>
  <c r="AD707" i="1"/>
  <c r="W707" i="1"/>
  <c r="M707" i="1"/>
  <c r="DA706" i="1"/>
  <c r="CZ706" i="1"/>
  <c r="CY706" i="1"/>
  <c r="CW706" i="1"/>
  <c r="CV706" i="1"/>
  <c r="BW706" i="1"/>
  <c r="BV706" i="1"/>
  <c r="BU706" i="1"/>
  <c r="BT706" i="1"/>
  <c r="BI706" i="1"/>
  <c r="BD706" i="1"/>
  <c r="BB706" i="1"/>
  <c r="AR706" i="1"/>
  <c r="AK706" i="1"/>
  <c r="Y706" i="1"/>
  <c r="BS706" i="1" s="1"/>
  <c r="W706" i="1"/>
  <c r="M706" i="1"/>
  <c r="DA705" i="1"/>
  <c r="CY705" i="1"/>
  <c r="CW705" i="1"/>
  <c r="CV705" i="1"/>
  <c r="CR705" i="1"/>
  <c r="CQ705" i="1"/>
  <c r="CH705" i="1"/>
  <c r="CA705" i="1"/>
  <c r="BX705" i="1"/>
  <c r="BW705" i="1"/>
  <c r="BV705" i="1"/>
  <c r="BU705" i="1"/>
  <c r="BT705" i="1"/>
  <c r="BI705" i="1"/>
  <c r="CK705" i="1" s="1"/>
  <c r="BD705" i="1"/>
  <c r="BB705" i="1"/>
  <c r="AR705" i="1"/>
  <c r="AK705" i="1"/>
  <c r="CZ705" i="1" s="1"/>
  <c r="AD705" i="1"/>
  <c r="CN705" i="1" s="1"/>
  <c r="Y705" i="1"/>
  <c r="W705" i="1"/>
  <c r="M705" i="1"/>
  <c r="DA704" i="1"/>
  <c r="CZ704" i="1"/>
  <c r="CY704" i="1"/>
  <c r="CW704" i="1"/>
  <c r="CV704" i="1"/>
  <c r="CQ704" i="1"/>
  <c r="CP704" i="1"/>
  <c r="CH704" i="1"/>
  <c r="CG704" i="1"/>
  <c r="CF704" i="1"/>
  <c r="CE704" i="1"/>
  <c r="CB704" i="1"/>
  <c r="CA704" i="1"/>
  <c r="BX704" i="1"/>
  <c r="BW704" i="1"/>
  <c r="BV704" i="1"/>
  <c r="BU704" i="1"/>
  <c r="BT704" i="1"/>
  <c r="BP704" i="1"/>
  <c r="BI704" i="1"/>
  <c r="CK704" i="1" s="1"/>
  <c r="BB704" i="1"/>
  <c r="AR704" i="1"/>
  <c r="AK704" i="1"/>
  <c r="AD704" i="1"/>
  <c r="CO704" i="1" s="1"/>
  <c r="Y704" i="1"/>
  <c r="CD704" i="1" s="1"/>
  <c r="W704" i="1"/>
  <c r="M704" i="1"/>
  <c r="DA703" i="1"/>
  <c r="CY703" i="1"/>
  <c r="CW703" i="1"/>
  <c r="CV703" i="1"/>
  <c r="CH703" i="1"/>
  <c r="CG703" i="1"/>
  <c r="CF703" i="1"/>
  <c r="CA703" i="1"/>
  <c r="BW703" i="1"/>
  <c r="BV703" i="1"/>
  <c r="BU703" i="1"/>
  <c r="BT703" i="1"/>
  <c r="BP703" i="1"/>
  <c r="BI703" i="1"/>
  <c r="BB703" i="1"/>
  <c r="AR703" i="1"/>
  <c r="AK703" i="1"/>
  <c r="CZ703" i="1" s="1"/>
  <c r="Y703" i="1"/>
  <c r="CE703" i="1" s="1"/>
  <c r="W703" i="1"/>
  <c r="M703" i="1"/>
  <c r="DA702" i="1"/>
  <c r="CY702" i="1"/>
  <c r="CW702" i="1"/>
  <c r="CV702" i="1"/>
  <c r="CF702" i="1"/>
  <c r="CE702" i="1"/>
  <c r="CD702" i="1"/>
  <c r="BW702" i="1"/>
  <c r="BV702" i="1"/>
  <c r="BU702" i="1"/>
  <c r="BT702" i="1"/>
  <c r="BP702" i="1"/>
  <c r="BI702" i="1"/>
  <c r="BB702" i="1"/>
  <c r="AR702" i="1"/>
  <c r="AK702" i="1"/>
  <c r="CZ702" i="1" s="1"/>
  <c r="AD702" i="1"/>
  <c r="CO702" i="1" s="1"/>
  <c r="Y702" i="1"/>
  <c r="W702" i="1"/>
  <c r="M702" i="1"/>
  <c r="DA701" i="1"/>
  <c r="CY701" i="1"/>
  <c r="CW701" i="1"/>
  <c r="CV701" i="1"/>
  <c r="CE701" i="1"/>
  <c r="CD701" i="1"/>
  <c r="CC701" i="1"/>
  <c r="BW701" i="1"/>
  <c r="BV701" i="1"/>
  <c r="BU701" i="1"/>
  <c r="BT701" i="1"/>
  <c r="BS701" i="1"/>
  <c r="BP701" i="1"/>
  <c r="BI701" i="1"/>
  <c r="BB701" i="1"/>
  <c r="AR701" i="1"/>
  <c r="AK701" i="1"/>
  <c r="CZ701" i="1" s="1"/>
  <c r="Y701" i="1"/>
  <c r="AD701" i="1" s="1"/>
  <c r="W701" i="1"/>
  <c r="M701" i="1"/>
  <c r="DA700" i="1"/>
  <c r="CY700" i="1"/>
  <c r="CW700" i="1"/>
  <c r="CV700" i="1"/>
  <c r="CM700" i="1"/>
  <c r="CL700" i="1"/>
  <c r="CK700" i="1"/>
  <c r="CH700" i="1"/>
  <c r="CG700" i="1"/>
  <c r="CF700" i="1"/>
  <c r="CE700" i="1"/>
  <c r="CD700" i="1"/>
  <c r="CC700" i="1"/>
  <c r="CB700" i="1"/>
  <c r="CA700" i="1"/>
  <c r="CI700" i="1" s="1"/>
  <c r="BW700" i="1"/>
  <c r="BV700" i="1"/>
  <c r="BU700" i="1"/>
  <c r="BT700" i="1"/>
  <c r="BS700" i="1"/>
  <c r="BP700" i="1"/>
  <c r="BI700" i="1"/>
  <c r="BB700" i="1"/>
  <c r="AR700" i="1"/>
  <c r="AK700" i="1"/>
  <c r="CZ700" i="1" s="1"/>
  <c r="AD700" i="1"/>
  <c r="CR700" i="1" s="1"/>
  <c r="W700" i="1"/>
  <c r="M700" i="1"/>
  <c r="DA699" i="1"/>
  <c r="CY699" i="1"/>
  <c r="CW699" i="1"/>
  <c r="CV699" i="1"/>
  <c r="CH699" i="1"/>
  <c r="CG699" i="1"/>
  <c r="CF699" i="1"/>
  <c r="CE699" i="1"/>
  <c r="CD699" i="1"/>
  <c r="CC699" i="1"/>
  <c r="CB699" i="1"/>
  <c r="CA699" i="1"/>
  <c r="CI699" i="1" s="1"/>
  <c r="BW699" i="1"/>
  <c r="BV699" i="1"/>
  <c r="BU699" i="1"/>
  <c r="BT699" i="1"/>
  <c r="BS699" i="1"/>
  <c r="BP699" i="1"/>
  <c r="BI699" i="1"/>
  <c r="BX699" i="1" s="1"/>
  <c r="BB699" i="1"/>
  <c r="AR699" i="1"/>
  <c r="AK699" i="1"/>
  <c r="CZ699" i="1" s="1"/>
  <c r="AD699" i="1"/>
  <c r="CN699" i="1" s="1"/>
  <c r="W699" i="1"/>
  <c r="M699" i="1"/>
  <c r="DA698" i="1"/>
  <c r="CZ698" i="1"/>
  <c r="CY698" i="1"/>
  <c r="CW698" i="1"/>
  <c r="CV698" i="1"/>
  <c r="CQ698" i="1"/>
  <c r="CP698" i="1"/>
  <c r="CO698" i="1"/>
  <c r="CH698" i="1"/>
  <c r="CG698" i="1"/>
  <c r="CF698" i="1"/>
  <c r="CE698" i="1"/>
  <c r="CD698" i="1"/>
  <c r="CC698" i="1"/>
  <c r="CB698" i="1"/>
  <c r="CA698" i="1"/>
  <c r="BX698" i="1"/>
  <c r="BW698" i="1"/>
  <c r="BV698" i="1"/>
  <c r="BU698" i="1"/>
  <c r="BT698" i="1"/>
  <c r="BS698" i="1"/>
  <c r="BP698" i="1"/>
  <c r="BI698" i="1"/>
  <c r="CM698" i="1" s="1"/>
  <c r="BB698" i="1"/>
  <c r="AR698" i="1"/>
  <c r="AK698" i="1"/>
  <c r="AD698" i="1"/>
  <c r="CN698" i="1" s="1"/>
  <c r="W698" i="1"/>
  <c r="M698" i="1"/>
  <c r="DA697" i="1"/>
  <c r="CZ697" i="1"/>
  <c r="CY697" i="1"/>
  <c r="CW697" i="1"/>
  <c r="CV697" i="1"/>
  <c r="CF697" i="1"/>
  <c r="CE697" i="1"/>
  <c r="CD697" i="1"/>
  <c r="CC697" i="1"/>
  <c r="BW697" i="1"/>
  <c r="BV697" i="1"/>
  <c r="BU697" i="1"/>
  <c r="BT697" i="1"/>
  <c r="BS697" i="1"/>
  <c r="BD697" i="1"/>
  <c r="CB697" i="1" s="1"/>
  <c r="BB697" i="1"/>
  <c r="AR697" i="1"/>
  <c r="AD697" i="1"/>
  <c r="W697" i="1"/>
  <c r="M697" i="1"/>
  <c r="DA696" i="1"/>
  <c r="CZ696" i="1"/>
  <c r="CY696" i="1"/>
  <c r="CW696" i="1"/>
  <c r="CV696" i="1"/>
  <c r="CH696" i="1"/>
  <c r="CC696" i="1"/>
  <c r="CB696" i="1"/>
  <c r="CA696" i="1"/>
  <c r="BW696" i="1"/>
  <c r="BV696" i="1"/>
  <c r="BU696" i="1"/>
  <c r="BT696" i="1"/>
  <c r="BS696" i="1"/>
  <c r="BI696" i="1"/>
  <c r="BB696" i="1"/>
  <c r="AR696" i="1"/>
  <c r="Y696" i="1"/>
  <c r="CG696" i="1" s="1"/>
  <c r="W696" i="1"/>
  <c r="M696" i="1"/>
  <c r="DA695" i="1"/>
  <c r="CZ695" i="1"/>
  <c r="CY695" i="1"/>
  <c r="CW695" i="1"/>
  <c r="CG695" i="1"/>
  <c r="CF695" i="1"/>
  <c r="CE695" i="1"/>
  <c r="BW695" i="1"/>
  <c r="BV695" i="1"/>
  <c r="BU695" i="1"/>
  <c r="BT695" i="1"/>
  <c r="BP695" i="1"/>
  <c r="BM695" i="1"/>
  <c r="BL695" i="1"/>
  <c r="CV695" i="1" s="1"/>
  <c r="BI695" i="1"/>
  <c r="BB695" i="1"/>
  <c r="AR695" i="1"/>
  <c r="AK695" i="1"/>
  <c r="AH695" i="1"/>
  <c r="AG695" i="1"/>
  <c r="Y695" i="1"/>
  <c r="CD695" i="1" s="1"/>
  <c r="W695" i="1"/>
  <c r="M695" i="1"/>
  <c r="DA694" i="1"/>
  <c r="CZ694" i="1"/>
  <c r="CY694" i="1"/>
  <c r="CW694" i="1"/>
  <c r="CV694" i="1"/>
  <c r="CR694" i="1"/>
  <c r="CQ694" i="1"/>
  <c r="CH694" i="1"/>
  <c r="CG694" i="1"/>
  <c r="CF694" i="1"/>
  <c r="CE694" i="1"/>
  <c r="CD694" i="1"/>
  <c r="CC694" i="1"/>
  <c r="CB694" i="1"/>
  <c r="CA694" i="1"/>
  <c r="CI694" i="1" s="1"/>
  <c r="BW694" i="1"/>
  <c r="BV694" i="1"/>
  <c r="BU694" i="1"/>
  <c r="BT694" i="1"/>
  <c r="BS694" i="1"/>
  <c r="BI694" i="1"/>
  <c r="BB694" i="1"/>
  <c r="AR694" i="1"/>
  <c r="AD694" i="1"/>
  <c r="CP694" i="1" s="1"/>
  <c r="W694" i="1"/>
  <c r="M694" i="1"/>
  <c r="DA693" i="1"/>
  <c r="CZ693" i="1"/>
  <c r="CY693" i="1"/>
  <c r="CW693" i="1"/>
  <c r="CV693" i="1"/>
  <c r="CH693" i="1"/>
  <c r="CE693" i="1"/>
  <c r="CD693" i="1"/>
  <c r="CC693" i="1"/>
  <c r="CB693" i="1"/>
  <c r="BW693" i="1"/>
  <c r="BV693" i="1"/>
  <c r="BU693" i="1"/>
  <c r="BT693" i="1"/>
  <c r="BS693" i="1"/>
  <c r="BI693" i="1"/>
  <c r="CM693" i="1" s="1"/>
  <c r="BD693" i="1"/>
  <c r="CA693" i="1" s="1"/>
  <c r="BB693" i="1"/>
  <c r="AR693" i="1"/>
  <c r="AD693" i="1"/>
  <c r="W693" i="1"/>
  <c r="M693" i="1"/>
  <c r="DA692" i="1"/>
  <c r="CZ692" i="1"/>
  <c r="CY692" i="1"/>
  <c r="CW692" i="1"/>
  <c r="CV692" i="1"/>
  <c r="CO692" i="1"/>
  <c r="CH692" i="1"/>
  <c r="CG692" i="1"/>
  <c r="CF692" i="1"/>
  <c r="CE692" i="1"/>
  <c r="CD692" i="1"/>
  <c r="CC692" i="1"/>
  <c r="CB692" i="1"/>
  <c r="CA692" i="1"/>
  <c r="CI692" i="1" s="1"/>
  <c r="BW692" i="1"/>
  <c r="BV692" i="1"/>
  <c r="BU692" i="1"/>
  <c r="BT692" i="1"/>
  <c r="BS692" i="1"/>
  <c r="BI692" i="1"/>
  <c r="BB692" i="1"/>
  <c r="AR692" i="1"/>
  <c r="AD692" i="1"/>
  <c r="W692" i="1"/>
  <c r="M692" i="1"/>
  <c r="DA691" i="1"/>
  <c r="CZ691" i="1"/>
  <c r="CY691" i="1"/>
  <c r="CW691" i="1"/>
  <c r="CV691" i="1"/>
  <c r="CL691" i="1"/>
  <c r="CK691" i="1"/>
  <c r="CC691" i="1"/>
  <c r="CA691" i="1"/>
  <c r="BW691" i="1"/>
  <c r="BV691" i="1"/>
  <c r="BU691" i="1"/>
  <c r="BT691" i="1"/>
  <c r="BS691" i="1"/>
  <c r="BI691" i="1"/>
  <c r="BD691" i="1"/>
  <c r="BB691" i="1"/>
  <c r="AR691" i="1"/>
  <c r="AD691" i="1"/>
  <c r="W691" i="1"/>
  <c r="M691" i="1"/>
  <c r="DA690" i="1"/>
  <c r="CZ690" i="1"/>
  <c r="CY690" i="1"/>
  <c r="CW690" i="1"/>
  <c r="CV690" i="1"/>
  <c r="CH690" i="1"/>
  <c r="BW690" i="1"/>
  <c r="BV690" i="1"/>
  <c r="BU690" i="1"/>
  <c r="BT690" i="1"/>
  <c r="BP690" i="1"/>
  <c r="BD690" i="1"/>
  <c r="CF690" i="1" s="1"/>
  <c r="BB690" i="1"/>
  <c r="AR690" i="1"/>
  <c r="AK690" i="1"/>
  <c r="AD690" i="1"/>
  <c r="W690" i="1"/>
  <c r="M690" i="1"/>
  <c r="DA689" i="1"/>
  <c r="CZ689" i="1"/>
  <c r="CY689" i="1"/>
  <c r="CW689" i="1"/>
  <c r="CV689" i="1"/>
  <c r="CO689" i="1"/>
  <c r="CH689" i="1"/>
  <c r="CG689" i="1"/>
  <c r="CF689" i="1"/>
  <c r="CE689" i="1"/>
  <c r="CD689" i="1"/>
  <c r="CC689" i="1"/>
  <c r="CB689" i="1"/>
  <c r="BW689" i="1"/>
  <c r="BV689" i="1"/>
  <c r="BU689" i="1"/>
  <c r="BT689" i="1"/>
  <c r="BS689" i="1"/>
  <c r="BI689" i="1"/>
  <c r="BD689" i="1"/>
  <c r="CA689" i="1" s="1"/>
  <c r="BB689" i="1"/>
  <c r="AR689" i="1"/>
  <c r="AD689" i="1"/>
  <c r="W689" i="1"/>
  <c r="M689" i="1"/>
  <c r="DA688" i="1"/>
  <c r="CZ688" i="1"/>
  <c r="CY688" i="1"/>
  <c r="CW688" i="1"/>
  <c r="CV688" i="1"/>
  <c r="CH688" i="1"/>
  <c r="CG688" i="1"/>
  <c r="CF688" i="1"/>
  <c r="CE688" i="1"/>
  <c r="CD688" i="1"/>
  <c r="CC688" i="1"/>
  <c r="CB688" i="1"/>
  <c r="CA688" i="1"/>
  <c r="CI688" i="1" s="1"/>
  <c r="BW688" i="1"/>
  <c r="BV688" i="1"/>
  <c r="BU688" i="1"/>
  <c r="BT688" i="1"/>
  <c r="BS688" i="1"/>
  <c r="BI688" i="1"/>
  <c r="CM688" i="1" s="1"/>
  <c r="BB688" i="1"/>
  <c r="AR688" i="1"/>
  <c r="AD688" i="1"/>
  <c r="W688" i="1"/>
  <c r="M688" i="1"/>
  <c r="DA687" i="1"/>
  <c r="CZ687" i="1"/>
  <c r="CY687" i="1"/>
  <c r="CW687" i="1"/>
  <c r="CV687" i="1"/>
  <c r="CO687" i="1"/>
  <c r="CN687" i="1"/>
  <c r="CM687" i="1"/>
  <c r="CH687" i="1"/>
  <c r="CG687" i="1"/>
  <c r="CF687" i="1"/>
  <c r="CE687" i="1"/>
  <c r="CD687" i="1"/>
  <c r="CC687" i="1"/>
  <c r="CB687" i="1"/>
  <c r="CA687" i="1"/>
  <c r="CI687" i="1" s="1"/>
  <c r="BW687" i="1"/>
  <c r="BV687" i="1"/>
  <c r="BU687" i="1"/>
  <c r="BT687" i="1"/>
  <c r="BS687" i="1"/>
  <c r="BI687" i="1"/>
  <c r="BB687" i="1"/>
  <c r="AR687" i="1"/>
  <c r="AD687" i="1"/>
  <c r="CL687" i="1" s="1"/>
  <c r="W687" i="1"/>
  <c r="M687" i="1"/>
  <c r="DA686" i="1"/>
  <c r="CZ686" i="1"/>
  <c r="CY686" i="1"/>
  <c r="CW686" i="1"/>
  <c r="CV686" i="1"/>
  <c r="CR686" i="1"/>
  <c r="CQ686" i="1"/>
  <c r="CH686" i="1"/>
  <c r="CG686" i="1"/>
  <c r="CF686" i="1"/>
  <c r="CE686" i="1"/>
  <c r="CD686" i="1"/>
  <c r="CC686" i="1"/>
  <c r="CB686" i="1"/>
  <c r="CA686" i="1"/>
  <c r="CI686" i="1" s="1"/>
  <c r="BX686" i="1"/>
  <c r="BW686" i="1"/>
  <c r="BV686" i="1"/>
  <c r="BU686" i="1"/>
  <c r="BT686" i="1"/>
  <c r="BS686" i="1"/>
  <c r="BI686" i="1"/>
  <c r="BB686" i="1"/>
  <c r="AR686" i="1"/>
  <c r="AD686" i="1"/>
  <c r="CP686" i="1" s="1"/>
  <c r="W686" i="1"/>
  <c r="M686" i="1"/>
  <c r="DA685" i="1"/>
  <c r="CZ685" i="1"/>
  <c r="CY685" i="1"/>
  <c r="CW685" i="1"/>
  <c r="CV685" i="1"/>
  <c r="CO685" i="1"/>
  <c r="CN685" i="1"/>
  <c r="CM685" i="1"/>
  <c r="CH685" i="1"/>
  <c r="CG685" i="1"/>
  <c r="CF685" i="1"/>
  <c r="CE685" i="1"/>
  <c r="CD685" i="1"/>
  <c r="CC685" i="1"/>
  <c r="CB685" i="1"/>
  <c r="CA685" i="1"/>
  <c r="CI685" i="1" s="1"/>
  <c r="BW685" i="1"/>
  <c r="BV685" i="1"/>
  <c r="BU685" i="1"/>
  <c r="BT685" i="1"/>
  <c r="BS685" i="1"/>
  <c r="BI685" i="1"/>
  <c r="BB685" i="1"/>
  <c r="AR685" i="1"/>
  <c r="AD685" i="1"/>
  <c r="CL685" i="1" s="1"/>
  <c r="W685" i="1"/>
  <c r="M685" i="1"/>
  <c r="DA684" i="1"/>
  <c r="CZ684" i="1"/>
  <c r="CY684" i="1"/>
  <c r="CW684" i="1"/>
  <c r="CV684" i="1"/>
  <c r="CH684" i="1"/>
  <c r="CG684" i="1"/>
  <c r="CF684" i="1"/>
  <c r="CE684" i="1"/>
  <c r="CD684" i="1"/>
  <c r="CC684" i="1"/>
  <c r="CB684" i="1"/>
  <c r="CA684" i="1"/>
  <c r="CI684" i="1" s="1"/>
  <c r="BW684" i="1"/>
  <c r="BV684" i="1"/>
  <c r="BU684" i="1"/>
  <c r="BT684" i="1"/>
  <c r="BS684" i="1"/>
  <c r="BI684" i="1"/>
  <c r="CQ684" i="1" s="1"/>
  <c r="BB684" i="1"/>
  <c r="AR684" i="1"/>
  <c r="AD684" i="1"/>
  <c r="W684" i="1"/>
  <c r="M684" i="1"/>
  <c r="DA683" i="1"/>
  <c r="CZ683" i="1"/>
  <c r="CY683" i="1"/>
  <c r="CW683" i="1"/>
  <c r="CV683" i="1"/>
  <c r="CR683" i="1"/>
  <c r="CO683" i="1"/>
  <c r="CN683" i="1"/>
  <c r="CM683" i="1"/>
  <c r="CL683" i="1"/>
  <c r="CH683" i="1"/>
  <c r="CG683" i="1"/>
  <c r="CF683" i="1"/>
  <c r="CE683" i="1"/>
  <c r="CD683" i="1"/>
  <c r="CC683" i="1"/>
  <c r="CB683" i="1"/>
  <c r="CA683" i="1"/>
  <c r="CI683" i="1" s="1"/>
  <c r="BW683" i="1"/>
  <c r="BV683" i="1"/>
  <c r="BU683" i="1"/>
  <c r="BT683" i="1"/>
  <c r="BS683" i="1"/>
  <c r="BI683" i="1"/>
  <c r="CK683" i="1" s="1"/>
  <c r="BB683" i="1"/>
  <c r="AR683" i="1"/>
  <c r="AD683" i="1"/>
  <c r="CP683" i="1" s="1"/>
  <c r="W683" i="1"/>
  <c r="M683" i="1"/>
  <c r="DA682" i="1"/>
  <c r="CZ682" i="1"/>
  <c r="CY682" i="1"/>
  <c r="CW682" i="1"/>
  <c r="CV682" i="1"/>
  <c r="CH682" i="1"/>
  <c r="CG682" i="1"/>
  <c r="CF682" i="1"/>
  <c r="CE682" i="1"/>
  <c r="CD682" i="1"/>
  <c r="CC682" i="1"/>
  <c r="CB682" i="1"/>
  <c r="CA682" i="1"/>
  <c r="CI682" i="1" s="1"/>
  <c r="BW682" i="1"/>
  <c r="BV682" i="1"/>
  <c r="BU682" i="1"/>
  <c r="BT682" i="1"/>
  <c r="BS682" i="1"/>
  <c r="BI682" i="1"/>
  <c r="BB682" i="1"/>
  <c r="AR682" i="1"/>
  <c r="AD682" i="1"/>
  <c r="CR682" i="1" s="1"/>
  <c r="W682" i="1"/>
  <c r="M682" i="1"/>
  <c r="DA681" i="1"/>
  <c r="CZ681" i="1"/>
  <c r="CY681" i="1"/>
  <c r="CW681" i="1"/>
  <c r="CV681" i="1"/>
  <c r="CE681" i="1"/>
  <c r="CD681" i="1"/>
  <c r="CB681" i="1"/>
  <c r="BW681" i="1"/>
  <c r="BV681" i="1"/>
  <c r="BU681" i="1"/>
  <c r="BT681" i="1"/>
  <c r="BS681" i="1"/>
  <c r="BI681" i="1"/>
  <c r="BD681" i="1"/>
  <c r="BB681" i="1"/>
  <c r="AR681" i="1"/>
  <c r="Y681" i="1"/>
  <c r="CC681" i="1" s="1"/>
  <c r="W681" i="1"/>
  <c r="M681" i="1"/>
  <c r="DA680" i="1"/>
  <c r="CZ680" i="1"/>
  <c r="CY680" i="1"/>
  <c r="CW680" i="1"/>
  <c r="CV680" i="1"/>
  <c r="CB680" i="1"/>
  <c r="BW680" i="1"/>
  <c r="BV680" i="1"/>
  <c r="BU680" i="1"/>
  <c r="BT680" i="1"/>
  <c r="BI680" i="1"/>
  <c r="CR680" i="1" s="1"/>
  <c r="BD680" i="1"/>
  <c r="BB680" i="1"/>
  <c r="AR680" i="1"/>
  <c r="AD680" i="1"/>
  <c r="Y680" i="1"/>
  <c r="W680" i="1"/>
  <c r="M680" i="1"/>
  <c r="DA679" i="1"/>
  <c r="CZ679" i="1"/>
  <c r="CY679" i="1"/>
  <c r="CW679" i="1"/>
  <c r="CV679" i="1"/>
  <c r="CQ679" i="1"/>
  <c r="CP679" i="1"/>
  <c r="CO679" i="1"/>
  <c r="CN679" i="1"/>
  <c r="CH679" i="1"/>
  <c r="CG679" i="1"/>
  <c r="CF679" i="1"/>
  <c r="CE679" i="1"/>
  <c r="CD679" i="1"/>
  <c r="CC679" i="1"/>
  <c r="CB679" i="1"/>
  <c r="CA679" i="1"/>
  <c r="BW679" i="1"/>
  <c r="BV679" i="1"/>
  <c r="BU679" i="1"/>
  <c r="BT679" i="1"/>
  <c r="BS679" i="1"/>
  <c r="BI679" i="1"/>
  <c r="BB679" i="1"/>
  <c r="AR679" i="1"/>
  <c r="AD679" i="1"/>
  <c r="BX679" i="1" s="1"/>
  <c r="W679" i="1"/>
  <c r="M679" i="1"/>
  <c r="DA678" i="1"/>
  <c r="CZ678" i="1"/>
  <c r="CY678" i="1"/>
  <c r="CW678" i="1"/>
  <c r="CV678" i="1"/>
  <c r="CR678" i="1"/>
  <c r="CQ678" i="1"/>
  <c r="CH678" i="1"/>
  <c r="CG678" i="1"/>
  <c r="CF678" i="1"/>
  <c r="CE678" i="1"/>
  <c r="CD678" i="1"/>
  <c r="CC678" i="1"/>
  <c r="CB678" i="1"/>
  <c r="CA678" i="1"/>
  <c r="CI678" i="1" s="1"/>
  <c r="BW678" i="1"/>
  <c r="BV678" i="1"/>
  <c r="BU678" i="1"/>
  <c r="BT678" i="1"/>
  <c r="BS678" i="1"/>
  <c r="BI678" i="1"/>
  <c r="CO678" i="1" s="1"/>
  <c r="BB678" i="1"/>
  <c r="AR678" i="1"/>
  <c r="AD678" i="1"/>
  <c r="CP678" i="1" s="1"/>
  <c r="W678" i="1"/>
  <c r="M678" i="1"/>
  <c r="DA677" i="1"/>
  <c r="CZ677" i="1"/>
  <c r="CY677" i="1"/>
  <c r="CW677" i="1"/>
  <c r="CV677" i="1"/>
  <c r="CD677" i="1"/>
  <c r="CA677" i="1"/>
  <c r="BW677" i="1"/>
  <c r="BV677" i="1"/>
  <c r="BU677" i="1"/>
  <c r="BT677" i="1"/>
  <c r="BS677" i="1"/>
  <c r="BD677" i="1"/>
  <c r="CC677" i="1" s="1"/>
  <c r="BB677" i="1"/>
  <c r="AR677" i="1"/>
  <c r="AD677" i="1"/>
  <c r="Y677" i="1"/>
  <c r="CE677" i="1" s="1"/>
  <c r="W677" i="1"/>
  <c r="M677" i="1"/>
  <c r="DA676" i="1"/>
  <c r="CZ676" i="1"/>
  <c r="CY676" i="1"/>
  <c r="CW676" i="1"/>
  <c r="CV676" i="1"/>
  <c r="CM676" i="1"/>
  <c r="CG676" i="1"/>
  <c r="CF676" i="1"/>
  <c r="CE676" i="1"/>
  <c r="CD676" i="1"/>
  <c r="BW676" i="1"/>
  <c r="BV676" i="1"/>
  <c r="BU676" i="1"/>
  <c r="BT676" i="1"/>
  <c r="BI676" i="1"/>
  <c r="BD676" i="1"/>
  <c r="BB676" i="1"/>
  <c r="AR676" i="1"/>
  <c r="AD676" i="1"/>
  <c r="CO676" i="1" s="1"/>
  <c r="Y676" i="1"/>
  <c r="W676" i="1"/>
  <c r="M676" i="1"/>
  <c r="DA675" i="1"/>
  <c r="CZ675" i="1"/>
  <c r="CY675" i="1"/>
  <c r="CW675" i="1"/>
  <c r="CV675" i="1"/>
  <c r="CL675" i="1"/>
  <c r="CK675" i="1"/>
  <c r="CH675" i="1"/>
  <c r="CG675" i="1"/>
  <c r="CE675" i="1"/>
  <c r="CD675" i="1"/>
  <c r="CC675" i="1"/>
  <c r="CB675" i="1"/>
  <c r="CA675" i="1"/>
  <c r="CI675" i="1" s="1"/>
  <c r="BW675" i="1"/>
  <c r="BV675" i="1"/>
  <c r="BU675" i="1"/>
  <c r="BT675" i="1"/>
  <c r="BS675" i="1"/>
  <c r="BI675" i="1"/>
  <c r="CM675" i="1" s="1"/>
  <c r="BB675" i="1"/>
  <c r="AR675" i="1"/>
  <c r="AD675" i="1"/>
  <c r="CP675" i="1" s="1"/>
  <c r="Y675" i="1"/>
  <c r="CF675" i="1" s="1"/>
  <c r="W675" i="1"/>
  <c r="M675" i="1"/>
  <c r="DA674" i="1"/>
  <c r="CZ674" i="1"/>
  <c r="CY674" i="1"/>
  <c r="CW674" i="1"/>
  <c r="CV674" i="1"/>
  <c r="CH674" i="1"/>
  <c r="CG674" i="1"/>
  <c r="CE674" i="1"/>
  <c r="CB674" i="1"/>
  <c r="CA674" i="1"/>
  <c r="BW674" i="1"/>
  <c r="BV674" i="1"/>
  <c r="BU674" i="1"/>
  <c r="BT674" i="1"/>
  <c r="BI674" i="1"/>
  <c r="CK674" i="1" s="1"/>
  <c r="BB674" i="1"/>
  <c r="AR674" i="1"/>
  <c r="AD674" i="1"/>
  <c r="CQ674" i="1" s="1"/>
  <c r="Y674" i="1"/>
  <c r="CF674" i="1" s="1"/>
  <c r="W674" i="1"/>
  <c r="M674" i="1"/>
  <c r="DA673" i="1"/>
  <c r="CZ673" i="1"/>
  <c r="CY673" i="1"/>
  <c r="CW673" i="1"/>
  <c r="CV673" i="1"/>
  <c r="CN673" i="1"/>
  <c r="CH673" i="1"/>
  <c r="CG673" i="1"/>
  <c r="CF673" i="1"/>
  <c r="CE673" i="1"/>
  <c r="CD673" i="1"/>
  <c r="CC673" i="1"/>
  <c r="CB673" i="1"/>
  <c r="CA673" i="1"/>
  <c r="CI673" i="1" s="1"/>
  <c r="BW673" i="1"/>
  <c r="BV673" i="1"/>
  <c r="BU673" i="1"/>
  <c r="BT673" i="1"/>
  <c r="BS673" i="1"/>
  <c r="BI673" i="1"/>
  <c r="BB673" i="1"/>
  <c r="AR673" i="1"/>
  <c r="AD673" i="1"/>
  <c r="W673" i="1"/>
  <c r="M673" i="1"/>
  <c r="DA672" i="1"/>
  <c r="CZ672" i="1"/>
  <c r="CY672" i="1"/>
  <c r="CW672" i="1"/>
  <c r="CV672" i="1"/>
  <c r="CQ672" i="1"/>
  <c r="CL672" i="1"/>
  <c r="CH672" i="1"/>
  <c r="CG672" i="1"/>
  <c r="CF672" i="1"/>
  <c r="CE672" i="1"/>
  <c r="CD672" i="1"/>
  <c r="CC672" i="1"/>
  <c r="CB672" i="1"/>
  <c r="CA672" i="1"/>
  <c r="CI672" i="1" s="1"/>
  <c r="BX672" i="1"/>
  <c r="BW672" i="1"/>
  <c r="BV672" i="1"/>
  <c r="BU672" i="1"/>
  <c r="BT672" i="1"/>
  <c r="BS672" i="1"/>
  <c r="BI672" i="1"/>
  <c r="CO672" i="1" s="1"/>
  <c r="BB672" i="1"/>
  <c r="AR672" i="1"/>
  <c r="AD672" i="1"/>
  <c r="CP672" i="1" s="1"/>
  <c r="W672" i="1"/>
  <c r="M672" i="1"/>
  <c r="DA671" i="1"/>
  <c r="CZ671" i="1"/>
  <c r="CY671" i="1"/>
  <c r="CW671" i="1"/>
  <c r="CV671" i="1"/>
  <c r="CH671" i="1"/>
  <c r="CG671" i="1"/>
  <c r="CF671" i="1"/>
  <c r="CE671" i="1"/>
  <c r="CD671" i="1"/>
  <c r="CC671" i="1"/>
  <c r="CB671" i="1"/>
  <c r="CA671" i="1"/>
  <c r="BW671" i="1"/>
  <c r="BV671" i="1"/>
  <c r="BU671" i="1"/>
  <c r="BT671" i="1"/>
  <c r="BS671" i="1"/>
  <c r="BI671" i="1"/>
  <c r="BB671" i="1"/>
  <c r="AR671" i="1"/>
  <c r="AD671" i="1"/>
  <c r="CP671" i="1" s="1"/>
  <c r="W671" i="1"/>
  <c r="M671" i="1"/>
  <c r="DA670" i="1"/>
  <c r="CZ670" i="1"/>
  <c r="CY670" i="1"/>
  <c r="CW670" i="1"/>
  <c r="CV670" i="1"/>
  <c r="CR670" i="1"/>
  <c r="CH670" i="1"/>
  <c r="CG670" i="1"/>
  <c r="CF670" i="1"/>
  <c r="CE670" i="1"/>
  <c r="CD670" i="1"/>
  <c r="CC670" i="1"/>
  <c r="CB670" i="1"/>
  <c r="CA670" i="1"/>
  <c r="CI670" i="1" s="1"/>
  <c r="BX670" i="1"/>
  <c r="BW670" i="1"/>
  <c r="BV670" i="1"/>
  <c r="BU670" i="1"/>
  <c r="BT670" i="1"/>
  <c r="BS670" i="1"/>
  <c r="BI670" i="1"/>
  <c r="CL670" i="1" s="1"/>
  <c r="BB670" i="1"/>
  <c r="AR670" i="1"/>
  <c r="AD670" i="1"/>
  <c r="CP670" i="1" s="1"/>
  <c r="W670" i="1"/>
  <c r="M670" i="1"/>
  <c r="DA669" i="1"/>
  <c r="CZ669" i="1"/>
  <c r="CY669" i="1"/>
  <c r="CW669" i="1"/>
  <c r="CV669" i="1"/>
  <c r="CP669" i="1"/>
  <c r="CO669" i="1"/>
  <c r="CM669" i="1"/>
  <c r="CK669" i="1"/>
  <c r="CH669" i="1"/>
  <c r="CG669" i="1"/>
  <c r="CF669" i="1"/>
  <c r="CE669" i="1"/>
  <c r="CD669" i="1"/>
  <c r="CC669" i="1"/>
  <c r="CB669" i="1"/>
  <c r="CA669" i="1"/>
  <c r="BW669" i="1"/>
  <c r="BV669" i="1"/>
  <c r="BU669" i="1"/>
  <c r="BT669" i="1"/>
  <c r="BS669" i="1"/>
  <c r="BI669" i="1"/>
  <c r="BB669" i="1"/>
  <c r="AR669" i="1"/>
  <c r="AD669" i="1"/>
  <c r="CN669" i="1" s="1"/>
  <c r="W669" i="1"/>
  <c r="M669" i="1"/>
  <c r="DA668" i="1"/>
  <c r="CZ668" i="1"/>
  <c r="CY668" i="1"/>
  <c r="CW668" i="1"/>
  <c r="CV668" i="1"/>
  <c r="CG668" i="1"/>
  <c r="CF668" i="1"/>
  <c r="CE668" i="1"/>
  <c r="CC668" i="1"/>
  <c r="BW668" i="1"/>
  <c r="BV668" i="1"/>
  <c r="BU668" i="1"/>
  <c r="BT668" i="1"/>
  <c r="BS668" i="1"/>
  <c r="BM668" i="1"/>
  <c r="BL668" i="1"/>
  <c r="BD668" i="1"/>
  <c r="CH668" i="1" s="1"/>
  <c r="BB668" i="1"/>
  <c r="AR668" i="1"/>
  <c r="AH668" i="1"/>
  <c r="AG668" i="1"/>
  <c r="AD668" i="1"/>
  <c r="Y668" i="1"/>
  <c r="CA668" i="1" s="1"/>
  <c r="W668" i="1"/>
  <c r="M668" i="1"/>
  <c r="DA667" i="1"/>
  <c r="CZ667" i="1"/>
  <c r="CY667" i="1"/>
  <c r="CW667" i="1"/>
  <c r="CH667" i="1"/>
  <c r="CG667" i="1"/>
  <c r="CF667" i="1"/>
  <c r="CE667" i="1"/>
  <c r="CB667" i="1"/>
  <c r="CA667" i="1"/>
  <c r="BW667" i="1"/>
  <c r="BV667" i="1"/>
  <c r="BU667" i="1"/>
  <c r="BT667" i="1"/>
  <c r="BI667" i="1"/>
  <c r="BB667" i="1"/>
  <c r="AR667" i="1"/>
  <c r="AH667" i="1"/>
  <c r="AG667" i="1"/>
  <c r="CV667" i="1" s="1"/>
  <c r="AD667" i="1"/>
  <c r="CR667" i="1" s="1"/>
  <c r="Y667" i="1"/>
  <c r="CD667" i="1" s="1"/>
  <c r="W667" i="1"/>
  <c r="M667" i="1"/>
  <c r="DA666" i="1"/>
  <c r="CZ666" i="1"/>
  <c r="CY666" i="1"/>
  <c r="CW666" i="1"/>
  <c r="CV666" i="1"/>
  <c r="CH666" i="1"/>
  <c r="BW666" i="1"/>
  <c r="BV666" i="1"/>
  <c r="BU666" i="1"/>
  <c r="BT666" i="1"/>
  <c r="BD666" i="1"/>
  <c r="CD666" i="1" s="1"/>
  <c r="BB666" i="1"/>
  <c r="AR666" i="1"/>
  <c r="AD666" i="1"/>
  <c r="W666" i="1"/>
  <c r="M666" i="1"/>
  <c r="DA665" i="1"/>
  <c r="CZ665" i="1"/>
  <c r="CY665" i="1"/>
  <c r="CW665" i="1"/>
  <c r="CV665" i="1"/>
  <c r="CH665" i="1"/>
  <c r="CG665" i="1"/>
  <c r="CF665" i="1"/>
  <c r="CE665" i="1"/>
  <c r="CD665" i="1"/>
  <c r="CC665" i="1"/>
  <c r="CB665" i="1"/>
  <c r="CA665" i="1"/>
  <c r="BX665" i="1"/>
  <c r="BW665" i="1"/>
  <c r="BV665" i="1"/>
  <c r="BU665" i="1"/>
  <c r="BT665" i="1"/>
  <c r="BS665" i="1"/>
  <c r="BI665" i="1"/>
  <c r="CR665" i="1" s="1"/>
  <c r="BB665" i="1"/>
  <c r="AR665" i="1"/>
  <c r="AD665" i="1"/>
  <c r="CP665" i="1" s="1"/>
  <c r="W665" i="1"/>
  <c r="M665" i="1"/>
  <c r="DA664" i="1"/>
  <c r="CZ664" i="1"/>
  <c r="CY664" i="1"/>
  <c r="CW664" i="1"/>
  <c r="CV664" i="1"/>
  <c r="CG664" i="1"/>
  <c r="CD664" i="1"/>
  <c r="BW664" i="1"/>
  <c r="BV664" i="1"/>
  <c r="BU664" i="1"/>
  <c r="BT664" i="1"/>
  <c r="BD664" i="1"/>
  <c r="CA664" i="1" s="1"/>
  <c r="BB664" i="1"/>
  <c r="AR664" i="1"/>
  <c r="AD664" i="1"/>
  <c r="W664" i="1"/>
  <c r="M664" i="1"/>
  <c r="DA663" i="1"/>
  <c r="CZ663" i="1"/>
  <c r="CY663" i="1"/>
  <c r="CW663" i="1"/>
  <c r="CV663" i="1"/>
  <c r="CH663" i="1"/>
  <c r="CG663" i="1"/>
  <c r="CF663" i="1"/>
  <c r="CE663" i="1"/>
  <c r="CD663" i="1"/>
  <c r="CC663" i="1"/>
  <c r="CB663" i="1"/>
  <c r="CA663" i="1"/>
  <c r="CI663" i="1" s="1"/>
  <c r="BW663" i="1"/>
  <c r="BV663" i="1"/>
  <c r="BU663" i="1"/>
  <c r="BT663" i="1"/>
  <c r="BS663" i="1"/>
  <c r="BI663" i="1"/>
  <c r="CL663" i="1" s="1"/>
  <c r="BB663" i="1"/>
  <c r="AR663" i="1"/>
  <c r="AD663" i="1"/>
  <c r="W663" i="1"/>
  <c r="M663" i="1"/>
  <c r="DA662" i="1"/>
  <c r="CZ662" i="1"/>
  <c r="CY662" i="1"/>
  <c r="CW662" i="1"/>
  <c r="CV662" i="1"/>
  <c r="CN662" i="1"/>
  <c r="CH662" i="1"/>
  <c r="CG662" i="1"/>
  <c r="CF662" i="1"/>
  <c r="CE662" i="1"/>
  <c r="CD662" i="1"/>
  <c r="CC662" i="1"/>
  <c r="CB662" i="1"/>
  <c r="CA662" i="1"/>
  <c r="CI662" i="1" s="1"/>
  <c r="BW662" i="1"/>
  <c r="BV662" i="1"/>
  <c r="BU662" i="1"/>
  <c r="BT662" i="1"/>
  <c r="BS662" i="1"/>
  <c r="BI662" i="1"/>
  <c r="CQ662" i="1" s="1"/>
  <c r="BB662" i="1"/>
  <c r="AR662" i="1"/>
  <c r="AD662" i="1"/>
  <c r="W662" i="1"/>
  <c r="M662" i="1"/>
  <c r="DA661" i="1"/>
  <c r="CZ661" i="1"/>
  <c r="CY661" i="1"/>
  <c r="CW661" i="1"/>
  <c r="CV661" i="1"/>
  <c r="CC661" i="1"/>
  <c r="CA661" i="1"/>
  <c r="BW661" i="1"/>
  <c r="BV661" i="1"/>
  <c r="BU661" i="1"/>
  <c r="BT661" i="1"/>
  <c r="BI661" i="1"/>
  <c r="CR661" i="1" s="1"/>
  <c r="BD661" i="1"/>
  <c r="BB661" i="1"/>
  <c r="AR661" i="1"/>
  <c r="AD661" i="1"/>
  <c r="W661" i="1"/>
  <c r="M661" i="1"/>
  <c r="DA660" i="1"/>
  <c r="CZ660" i="1"/>
  <c r="CY660" i="1"/>
  <c r="CW660" i="1"/>
  <c r="CV660" i="1"/>
  <c r="CP660" i="1"/>
  <c r="CO660" i="1"/>
  <c r="CL660" i="1"/>
  <c r="CH660" i="1"/>
  <c r="CG660" i="1"/>
  <c r="CF660" i="1"/>
  <c r="CE660" i="1"/>
  <c r="CD660" i="1"/>
  <c r="CC660" i="1"/>
  <c r="CB660" i="1"/>
  <c r="CA660" i="1"/>
  <c r="CI660" i="1" s="1"/>
  <c r="BW660" i="1"/>
  <c r="BV660" i="1"/>
  <c r="BU660" i="1"/>
  <c r="BT660" i="1"/>
  <c r="BS660" i="1"/>
  <c r="BI660" i="1"/>
  <c r="BB660" i="1"/>
  <c r="AR660" i="1"/>
  <c r="AD660" i="1"/>
  <c r="CQ660" i="1" s="1"/>
  <c r="W660" i="1"/>
  <c r="M660" i="1"/>
  <c r="DA659" i="1"/>
  <c r="CZ659" i="1"/>
  <c r="CY659" i="1"/>
  <c r="CW659" i="1"/>
  <c r="CV659" i="1"/>
  <c r="CP659" i="1"/>
  <c r="CO659" i="1"/>
  <c r="CN659" i="1"/>
  <c r="CH659" i="1"/>
  <c r="CG659" i="1"/>
  <c r="CF659" i="1"/>
  <c r="CE659" i="1"/>
  <c r="CD659" i="1"/>
  <c r="CC659" i="1"/>
  <c r="CB659" i="1"/>
  <c r="CA659" i="1"/>
  <c r="BW659" i="1"/>
  <c r="BV659" i="1"/>
  <c r="BU659" i="1"/>
  <c r="BT659" i="1"/>
  <c r="BS659" i="1"/>
  <c r="BI659" i="1"/>
  <c r="BB659" i="1"/>
  <c r="AR659" i="1"/>
  <c r="AD659" i="1"/>
  <c r="CM659" i="1" s="1"/>
  <c r="W659" i="1"/>
  <c r="M659" i="1"/>
  <c r="DA658" i="1"/>
  <c r="CZ658" i="1"/>
  <c r="CY658" i="1"/>
  <c r="CW658" i="1"/>
  <c r="CV658" i="1"/>
  <c r="CH658" i="1"/>
  <c r="CG658" i="1"/>
  <c r="CF658" i="1"/>
  <c r="CE658" i="1"/>
  <c r="CD658" i="1"/>
  <c r="CC658" i="1"/>
  <c r="CB658" i="1"/>
  <c r="CA658" i="1"/>
  <c r="CI658" i="1" s="1"/>
  <c r="BW658" i="1"/>
  <c r="BV658" i="1"/>
  <c r="BU658" i="1"/>
  <c r="BT658" i="1"/>
  <c r="BS658" i="1"/>
  <c r="BI658" i="1"/>
  <c r="BB658" i="1"/>
  <c r="AR658" i="1"/>
  <c r="AD658" i="1"/>
  <c r="CQ658" i="1" s="1"/>
  <c r="W658" i="1"/>
  <c r="M658" i="1"/>
  <c r="DA657" i="1"/>
  <c r="CZ657" i="1"/>
  <c r="CY657" i="1"/>
  <c r="CW657" i="1"/>
  <c r="CV657" i="1"/>
  <c r="CR657" i="1"/>
  <c r="CO657" i="1"/>
  <c r="CN657" i="1"/>
  <c r="CM657" i="1"/>
  <c r="CK657" i="1"/>
  <c r="CH657" i="1"/>
  <c r="CG657" i="1"/>
  <c r="CF657" i="1"/>
  <c r="CE657" i="1"/>
  <c r="CD657" i="1"/>
  <c r="CC657" i="1"/>
  <c r="CB657" i="1"/>
  <c r="CA657" i="1"/>
  <c r="CI657" i="1" s="1"/>
  <c r="BW657" i="1"/>
  <c r="BV657" i="1"/>
  <c r="BU657" i="1"/>
  <c r="BT657" i="1"/>
  <c r="BS657" i="1"/>
  <c r="BI657" i="1"/>
  <c r="BB657" i="1"/>
  <c r="AR657" i="1"/>
  <c r="AD657" i="1"/>
  <c r="CP657" i="1" s="1"/>
  <c r="W657" i="1"/>
  <c r="M657" i="1"/>
  <c r="DA656" i="1"/>
  <c r="CZ656" i="1"/>
  <c r="CY656" i="1"/>
  <c r="CW656" i="1"/>
  <c r="CV656" i="1"/>
  <c r="CH656" i="1"/>
  <c r="CG656" i="1"/>
  <c r="CF656" i="1"/>
  <c r="CE656" i="1"/>
  <c r="CD656" i="1"/>
  <c r="CC656" i="1"/>
  <c r="CB656" i="1"/>
  <c r="CA656" i="1"/>
  <c r="CI656" i="1" s="1"/>
  <c r="BW656" i="1"/>
  <c r="BV656" i="1"/>
  <c r="BU656" i="1"/>
  <c r="BT656" i="1"/>
  <c r="BS656" i="1"/>
  <c r="BI656" i="1"/>
  <c r="BB656" i="1"/>
  <c r="AR656" i="1"/>
  <c r="AD656" i="1"/>
  <c r="CQ656" i="1" s="1"/>
  <c r="W656" i="1"/>
  <c r="M656" i="1"/>
  <c r="DA655" i="1"/>
  <c r="CZ655" i="1"/>
  <c r="CY655" i="1"/>
  <c r="CW655" i="1"/>
  <c r="CV655" i="1"/>
  <c r="CF655" i="1"/>
  <c r="CE655" i="1"/>
  <c r="CD655" i="1"/>
  <c r="CA655" i="1"/>
  <c r="BW655" i="1"/>
  <c r="BV655" i="1"/>
  <c r="BU655" i="1"/>
  <c r="BT655" i="1"/>
  <c r="BS655" i="1"/>
  <c r="BD655" i="1"/>
  <c r="CC655" i="1" s="1"/>
  <c r="BB655" i="1"/>
  <c r="AR655" i="1"/>
  <c r="AD655" i="1"/>
  <c r="W655" i="1"/>
  <c r="M655" i="1"/>
  <c r="DA654" i="1"/>
  <c r="CZ654" i="1"/>
  <c r="CY654" i="1"/>
  <c r="CW654" i="1"/>
  <c r="CV654" i="1"/>
  <c r="CH654" i="1"/>
  <c r="CG654" i="1"/>
  <c r="CF654" i="1"/>
  <c r="CE654" i="1"/>
  <c r="CD654" i="1"/>
  <c r="CC654" i="1"/>
  <c r="CB654" i="1"/>
  <c r="CA654" i="1"/>
  <c r="CI654" i="1" s="1"/>
  <c r="BW654" i="1"/>
  <c r="BV654" i="1"/>
  <c r="BU654" i="1"/>
  <c r="BT654" i="1"/>
  <c r="BS654" i="1"/>
  <c r="BI654" i="1"/>
  <c r="BB654" i="1"/>
  <c r="AR654" i="1"/>
  <c r="AD654" i="1"/>
  <c r="CQ654" i="1" s="1"/>
  <c r="W654" i="1"/>
  <c r="M654" i="1"/>
  <c r="DA653" i="1"/>
  <c r="CZ653" i="1"/>
  <c r="CY653" i="1"/>
  <c r="CW653" i="1"/>
  <c r="CV653" i="1"/>
  <c r="CE653" i="1"/>
  <c r="BV653" i="1"/>
  <c r="BU653" i="1"/>
  <c r="BT653" i="1"/>
  <c r="BS653" i="1"/>
  <c r="BI653" i="1"/>
  <c r="BH653" i="1"/>
  <c r="BB653" i="1"/>
  <c r="AR653" i="1"/>
  <c r="AC653" i="1"/>
  <c r="BW653" i="1" s="1"/>
  <c r="Y653" i="1"/>
  <c r="CD653" i="1" s="1"/>
  <c r="W653" i="1"/>
  <c r="M653" i="1"/>
  <c r="DA652" i="1"/>
  <c r="CZ652" i="1"/>
  <c r="CY652" i="1"/>
  <c r="CW652" i="1"/>
  <c r="CV652" i="1"/>
  <c r="CH652" i="1"/>
  <c r="CE652" i="1"/>
  <c r="CC652" i="1"/>
  <c r="CB652" i="1"/>
  <c r="BV652" i="1"/>
  <c r="BU652" i="1"/>
  <c r="BT652" i="1"/>
  <c r="BH652" i="1"/>
  <c r="BI652" i="1" s="1"/>
  <c r="BD652" i="1"/>
  <c r="CD652" i="1" s="1"/>
  <c r="BB652" i="1"/>
  <c r="AR652" i="1"/>
  <c r="AD652" i="1"/>
  <c r="AC652" i="1"/>
  <c r="W652" i="1"/>
  <c r="M652" i="1"/>
  <c r="DA651" i="1"/>
  <c r="CZ651" i="1"/>
  <c r="CY651" i="1"/>
  <c r="CW651" i="1"/>
  <c r="CV651" i="1"/>
  <c r="CM651" i="1"/>
  <c r="CH651" i="1"/>
  <c r="CG651" i="1"/>
  <c r="CF651" i="1"/>
  <c r="CE651" i="1"/>
  <c r="CD651" i="1"/>
  <c r="CC651" i="1"/>
  <c r="CB651" i="1"/>
  <c r="CA651" i="1"/>
  <c r="CI651" i="1" s="1"/>
  <c r="BW651" i="1"/>
  <c r="BV651" i="1"/>
  <c r="BU651" i="1"/>
  <c r="BT651" i="1"/>
  <c r="BS651" i="1"/>
  <c r="BI651" i="1"/>
  <c r="CQ651" i="1" s="1"/>
  <c r="BB651" i="1"/>
  <c r="AR651" i="1"/>
  <c r="AD651" i="1"/>
  <c r="CP651" i="1" s="1"/>
  <c r="W651" i="1"/>
  <c r="M651" i="1"/>
  <c r="DA650" i="1"/>
  <c r="CZ650" i="1"/>
  <c r="CY650" i="1"/>
  <c r="CW650" i="1"/>
  <c r="CV650" i="1"/>
  <c r="CQ650" i="1"/>
  <c r="CO650" i="1"/>
  <c r="CN650" i="1"/>
  <c r="CM650" i="1"/>
  <c r="CL650" i="1"/>
  <c r="CH650" i="1"/>
  <c r="CG650" i="1"/>
  <c r="CF650" i="1"/>
  <c r="CE650" i="1"/>
  <c r="CD650" i="1"/>
  <c r="CC650" i="1"/>
  <c r="CB650" i="1"/>
  <c r="CA650" i="1"/>
  <c r="BW650" i="1"/>
  <c r="BV650" i="1"/>
  <c r="BU650" i="1"/>
  <c r="BT650" i="1"/>
  <c r="BS650" i="1"/>
  <c r="BI650" i="1"/>
  <c r="BB650" i="1"/>
  <c r="AR650" i="1"/>
  <c r="AD650" i="1"/>
  <c r="CP650" i="1" s="1"/>
  <c r="W650" i="1"/>
  <c r="M650" i="1"/>
  <c r="DA649" i="1"/>
  <c r="CZ649" i="1"/>
  <c r="CY649" i="1"/>
  <c r="CW649" i="1"/>
  <c r="CV649" i="1"/>
  <c r="CQ649" i="1"/>
  <c r="CP649" i="1"/>
  <c r="CM649" i="1"/>
  <c r="CL649" i="1"/>
  <c r="CH649" i="1"/>
  <c r="CG649" i="1"/>
  <c r="CF649" i="1"/>
  <c r="CE649" i="1"/>
  <c r="CD649" i="1"/>
  <c r="CC649" i="1"/>
  <c r="CB649" i="1"/>
  <c r="CA649" i="1"/>
  <c r="CI649" i="1" s="1"/>
  <c r="BX649" i="1"/>
  <c r="BW649" i="1"/>
  <c r="BV649" i="1"/>
  <c r="BU649" i="1"/>
  <c r="BT649" i="1"/>
  <c r="BS649" i="1"/>
  <c r="BI649" i="1"/>
  <c r="BB649" i="1"/>
  <c r="AR649" i="1"/>
  <c r="AD649" i="1"/>
  <c r="CK649" i="1" s="1"/>
  <c r="W649" i="1"/>
  <c r="M649" i="1"/>
  <c r="DA648" i="1"/>
  <c r="CZ648" i="1"/>
  <c r="CY648" i="1"/>
  <c r="CW648" i="1"/>
  <c r="CV648" i="1"/>
  <c r="CQ648" i="1"/>
  <c r="CP648" i="1"/>
  <c r="CO648" i="1"/>
  <c r="CN648" i="1"/>
  <c r="CL648" i="1"/>
  <c r="CH648" i="1"/>
  <c r="CG648" i="1"/>
  <c r="CF648" i="1"/>
  <c r="CE648" i="1"/>
  <c r="CD648" i="1"/>
  <c r="CC648" i="1"/>
  <c r="CB648" i="1"/>
  <c r="CA648" i="1"/>
  <c r="BX648" i="1"/>
  <c r="BW648" i="1"/>
  <c r="BV648" i="1"/>
  <c r="BU648" i="1"/>
  <c r="BT648" i="1"/>
  <c r="BS648" i="1"/>
  <c r="BI648" i="1"/>
  <c r="BB648" i="1"/>
  <c r="AR648" i="1"/>
  <c r="AD648" i="1"/>
  <c r="CM648" i="1" s="1"/>
  <c r="W648" i="1"/>
  <c r="M648" i="1"/>
  <c r="DA647" i="1"/>
  <c r="CZ647" i="1"/>
  <c r="CY647" i="1"/>
  <c r="CW647" i="1"/>
  <c r="CV647" i="1"/>
  <c r="CQ647" i="1"/>
  <c r="CH647" i="1"/>
  <c r="CG647" i="1"/>
  <c r="CF647" i="1"/>
  <c r="CE647" i="1"/>
  <c r="CD647" i="1"/>
  <c r="CC647" i="1"/>
  <c r="CB647" i="1"/>
  <c r="CA647" i="1"/>
  <c r="CI647" i="1" s="1"/>
  <c r="BX647" i="1"/>
  <c r="BW647" i="1"/>
  <c r="BV647" i="1"/>
  <c r="BU647" i="1"/>
  <c r="BT647" i="1"/>
  <c r="BS647" i="1"/>
  <c r="BI647" i="1"/>
  <c r="BB647" i="1"/>
  <c r="AR647" i="1"/>
  <c r="AD647" i="1"/>
  <c r="CP647" i="1" s="1"/>
  <c r="W647" i="1"/>
  <c r="M647" i="1"/>
  <c r="DA646" i="1"/>
  <c r="CZ646" i="1"/>
  <c r="CY646" i="1"/>
  <c r="CW646" i="1"/>
  <c r="CV646" i="1"/>
  <c r="CQ646" i="1"/>
  <c r="CH646" i="1"/>
  <c r="CG646" i="1"/>
  <c r="CF646" i="1"/>
  <c r="CE646" i="1"/>
  <c r="CD646" i="1"/>
  <c r="CC646" i="1"/>
  <c r="CB646" i="1"/>
  <c r="CA646" i="1"/>
  <c r="BX646" i="1"/>
  <c r="BW646" i="1"/>
  <c r="BV646" i="1"/>
  <c r="BU646" i="1"/>
  <c r="BT646" i="1"/>
  <c r="BS646" i="1"/>
  <c r="BI646" i="1"/>
  <c r="BB646" i="1"/>
  <c r="AR646" i="1"/>
  <c r="AD646" i="1"/>
  <c r="CP646" i="1" s="1"/>
  <c r="W646" i="1"/>
  <c r="M646" i="1"/>
  <c r="DA645" i="1"/>
  <c r="CZ645" i="1"/>
  <c r="CY645" i="1"/>
  <c r="CW645" i="1"/>
  <c r="CV645" i="1"/>
  <c r="CH645" i="1"/>
  <c r="CG645" i="1"/>
  <c r="CF645" i="1"/>
  <c r="CE645" i="1"/>
  <c r="CD645" i="1"/>
  <c r="CC645" i="1"/>
  <c r="CB645" i="1"/>
  <c r="CA645" i="1"/>
  <c r="CI645" i="1" s="1"/>
  <c r="BW645" i="1"/>
  <c r="BV645" i="1"/>
  <c r="BU645" i="1"/>
  <c r="BT645" i="1"/>
  <c r="BS645" i="1"/>
  <c r="BI645" i="1"/>
  <c r="CM645" i="1" s="1"/>
  <c r="BB645" i="1"/>
  <c r="AR645" i="1"/>
  <c r="AD645" i="1"/>
  <c r="CQ645" i="1" s="1"/>
  <c r="W645" i="1"/>
  <c r="M645" i="1"/>
  <c r="DA644" i="1"/>
  <c r="CZ644" i="1"/>
  <c r="CY644" i="1"/>
  <c r="CW644" i="1"/>
  <c r="CV644" i="1"/>
  <c r="CO644" i="1"/>
  <c r="CM644" i="1"/>
  <c r="CL644" i="1"/>
  <c r="CH644" i="1"/>
  <c r="CG644" i="1"/>
  <c r="CF644" i="1"/>
  <c r="CE644" i="1"/>
  <c r="CD644" i="1"/>
  <c r="CC644" i="1"/>
  <c r="CB644" i="1"/>
  <c r="CA644" i="1"/>
  <c r="BX644" i="1"/>
  <c r="BW644" i="1"/>
  <c r="BV644" i="1"/>
  <c r="BU644" i="1"/>
  <c r="BT644" i="1"/>
  <c r="BS644" i="1"/>
  <c r="BI644" i="1"/>
  <c r="BB644" i="1"/>
  <c r="AR644" i="1"/>
  <c r="AD644" i="1"/>
  <c r="CQ644" i="1" s="1"/>
  <c r="W644" i="1"/>
  <c r="M644" i="1"/>
  <c r="DA643" i="1"/>
  <c r="CZ643" i="1"/>
  <c r="CY643" i="1"/>
  <c r="CR643" i="1"/>
  <c r="CQ643" i="1"/>
  <c r="CP643" i="1"/>
  <c r="CO643" i="1"/>
  <c r="CK643" i="1"/>
  <c r="CH643" i="1"/>
  <c r="CG643" i="1"/>
  <c r="CF643" i="1"/>
  <c r="CE643" i="1"/>
  <c r="CD643" i="1"/>
  <c r="CC643" i="1"/>
  <c r="CB643" i="1"/>
  <c r="CA643" i="1"/>
  <c r="CI643" i="1" s="1"/>
  <c r="BW643" i="1"/>
  <c r="BV643" i="1"/>
  <c r="BU643" i="1"/>
  <c r="BT643" i="1"/>
  <c r="BS643" i="1"/>
  <c r="BM643" i="1"/>
  <c r="BL643" i="1"/>
  <c r="BI643" i="1"/>
  <c r="BX643" i="1" s="1"/>
  <c r="BB643" i="1"/>
  <c r="AR643" i="1"/>
  <c r="AH643" i="1"/>
  <c r="CW643" i="1" s="1"/>
  <c r="AG643" i="1"/>
  <c r="AD643" i="1"/>
  <c r="W643" i="1"/>
  <c r="M643" i="1"/>
  <c r="DA642" i="1"/>
  <c r="CZ642" i="1"/>
  <c r="CY642" i="1"/>
  <c r="CW642" i="1"/>
  <c r="CV642" i="1"/>
  <c r="CC642" i="1"/>
  <c r="BW642" i="1"/>
  <c r="BV642" i="1"/>
  <c r="BU642" i="1"/>
  <c r="BT642" i="1"/>
  <c r="BS642" i="1"/>
  <c r="BD642" i="1"/>
  <c r="BB642" i="1"/>
  <c r="AR642" i="1"/>
  <c r="AD642" i="1"/>
  <c r="W642" i="1"/>
  <c r="M642" i="1"/>
  <c r="DA641" i="1"/>
  <c r="CZ641" i="1"/>
  <c r="CY641" i="1"/>
  <c r="CW641" i="1"/>
  <c r="CV641" i="1"/>
  <c r="CQ641" i="1"/>
  <c r="CO641" i="1"/>
  <c r="CN641" i="1"/>
  <c r="CM641" i="1"/>
  <c r="CL641" i="1"/>
  <c r="CH641" i="1"/>
  <c r="CG641" i="1"/>
  <c r="CF641" i="1"/>
  <c r="CE641" i="1"/>
  <c r="CD641" i="1"/>
  <c r="CC641" i="1"/>
  <c r="CB641" i="1"/>
  <c r="CA641" i="1"/>
  <c r="BW641" i="1"/>
  <c r="BV641" i="1"/>
  <c r="BU641" i="1"/>
  <c r="BT641" i="1"/>
  <c r="BS641" i="1"/>
  <c r="BI641" i="1"/>
  <c r="BB641" i="1"/>
  <c r="AR641" i="1"/>
  <c r="AD641" i="1"/>
  <c r="CP641" i="1" s="1"/>
  <c r="W641" i="1"/>
  <c r="M641" i="1"/>
  <c r="DA640" i="1"/>
  <c r="CZ640" i="1"/>
  <c r="CY640" i="1"/>
  <c r="CW640" i="1"/>
  <c r="CV640" i="1"/>
  <c r="CQ640" i="1"/>
  <c r="CP640" i="1"/>
  <c r="CM640" i="1"/>
  <c r="CL640" i="1"/>
  <c r="CH640" i="1"/>
  <c r="CG640" i="1"/>
  <c r="CF640" i="1"/>
  <c r="CE640" i="1"/>
  <c r="CD640" i="1"/>
  <c r="CC640" i="1"/>
  <c r="CB640" i="1"/>
  <c r="CA640" i="1"/>
  <c r="CI640" i="1" s="1"/>
  <c r="BX640" i="1"/>
  <c r="BW640" i="1"/>
  <c r="BV640" i="1"/>
  <c r="BU640" i="1"/>
  <c r="BT640" i="1"/>
  <c r="BS640" i="1"/>
  <c r="BI640" i="1"/>
  <c r="BB640" i="1"/>
  <c r="AR640" i="1"/>
  <c r="AD640" i="1"/>
  <c r="CK640" i="1" s="1"/>
  <c r="W640" i="1"/>
  <c r="M640" i="1"/>
  <c r="DA639" i="1"/>
  <c r="CZ639" i="1"/>
  <c r="CY639" i="1"/>
  <c r="CW639" i="1"/>
  <c r="CV639" i="1"/>
  <c r="CQ639" i="1"/>
  <c r="CP639" i="1"/>
  <c r="CO639" i="1"/>
  <c r="CN639" i="1"/>
  <c r="CL639" i="1"/>
  <c r="CH639" i="1"/>
  <c r="CG639" i="1"/>
  <c r="CF639" i="1"/>
  <c r="CE639" i="1"/>
  <c r="CD639" i="1"/>
  <c r="CC639" i="1"/>
  <c r="CB639" i="1"/>
  <c r="CA639" i="1"/>
  <c r="BX639" i="1"/>
  <c r="BW639" i="1"/>
  <c r="BV639" i="1"/>
  <c r="BU639" i="1"/>
  <c r="BT639" i="1"/>
  <c r="BS639" i="1"/>
  <c r="BI639" i="1"/>
  <c r="BB639" i="1"/>
  <c r="AR639" i="1"/>
  <c r="AD639" i="1"/>
  <c r="CM639" i="1" s="1"/>
  <c r="W639" i="1"/>
  <c r="M639" i="1"/>
  <c r="DA638" i="1"/>
  <c r="CZ638" i="1"/>
  <c r="CY638" i="1"/>
  <c r="CW638" i="1"/>
  <c r="CV638" i="1"/>
  <c r="CQ638" i="1"/>
  <c r="CH638" i="1"/>
  <c r="CG638" i="1"/>
  <c r="CF638" i="1"/>
  <c r="CE638" i="1"/>
  <c r="CD638" i="1"/>
  <c r="CC638" i="1"/>
  <c r="CB638" i="1"/>
  <c r="CA638" i="1"/>
  <c r="CI638" i="1" s="1"/>
  <c r="BX638" i="1"/>
  <c r="BW638" i="1"/>
  <c r="BV638" i="1"/>
  <c r="BU638" i="1"/>
  <c r="BT638" i="1"/>
  <c r="BS638" i="1"/>
  <c r="BI638" i="1"/>
  <c r="BB638" i="1"/>
  <c r="AR638" i="1"/>
  <c r="AD638" i="1"/>
  <c r="CP638" i="1" s="1"/>
  <c r="W638" i="1"/>
  <c r="M638" i="1"/>
  <c r="DA637" i="1"/>
  <c r="CZ637" i="1"/>
  <c r="CY637" i="1"/>
  <c r="CW637" i="1"/>
  <c r="CV637" i="1"/>
  <c r="CP637" i="1"/>
  <c r="CO637" i="1"/>
  <c r="CN637" i="1"/>
  <c r="CL637" i="1"/>
  <c r="CK637" i="1"/>
  <c r="CH637" i="1"/>
  <c r="CG637" i="1"/>
  <c r="CF637" i="1"/>
  <c r="CE637" i="1"/>
  <c r="CD637" i="1"/>
  <c r="CC637" i="1"/>
  <c r="CB637" i="1"/>
  <c r="CA637" i="1"/>
  <c r="BW637" i="1"/>
  <c r="BV637" i="1"/>
  <c r="BU637" i="1"/>
  <c r="BT637" i="1"/>
  <c r="BS637" i="1"/>
  <c r="BI637" i="1"/>
  <c r="BB637" i="1"/>
  <c r="AR637" i="1"/>
  <c r="AD637" i="1"/>
  <c r="CM637" i="1" s="1"/>
  <c r="W637" i="1"/>
  <c r="M637" i="1"/>
  <c r="DA636" i="1"/>
  <c r="CZ636" i="1"/>
  <c r="CY636" i="1"/>
  <c r="CW636" i="1"/>
  <c r="CV636" i="1"/>
  <c r="CO636" i="1"/>
  <c r="CH636" i="1"/>
  <c r="CG636" i="1"/>
  <c r="CF636" i="1"/>
  <c r="CE636" i="1"/>
  <c r="CD636" i="1"/>
  <c r="CC636" i="1"/>
  <c r="CB636" i="1"/>
  <c r="CA636" i="1"/>
  <c r="CI636" i="1" s="1"/>
  <c r="BW636" i="1"/>
  <c r="BV636" i="1"/>
  <c r="BU636" i="1"/>
  <c r="BT636" i="1"/>
  <c r="BS636" i="1"/>
  <c r="BI636" i="1"/>
  <c r="CQ636" i="1" s="1"/>
  <c r="BB636" i="1"/>
  <c r="AR636" i="1"/>
  <c r="AD636" i="1"/>
  <c r="CP636" i="1" s="1"/>
  <c r="W636" i="1"/>
  <c r="M636" i="1"/>
  <c r="DA635" i="1"/>
  <c r="CZ635" i="1"/>
  <c r="CY635" i="1"/>
  <c r="CW635" i="1"/>
  <c r="CV635" i="1"/>
  <c r="CM635" i="1"/>
  <c r="CH635" i="1"/>
  <c r="CG635" i="1"/>
  <c r="CF635" i="1"/>
  <c r="CE635" i="1"/>
  <c r="CD635" i="1"/>
  <c r="CC635" i="1"/>
  <c r="CB635" i="1"/>
  <c r="CA635" i="1"/>
  <c r="CI635" i="1" s="1"/>
  <c r="BW635" i="1"/>
  <c r="BV635" i="1"/>
  <c r="BU635" i="1"/>
  <c r="BT635" i="1"/>
  <c r="BS635" i="1"/>
  <c r="BI635" i="1"/>
  <c r="CP635" i="1" s="1"/>
  <c r="BB635" i="1"/>
  <c r="AR635" i="1"/>
  <c r="AD635" i="1"/>
  <c r="CN635" i="1" s="1"/>
  <c r="W635" i="1"/>
  <c r="M635" i="1"/>
  <c r="DA634" i="1"/>
  <c r="CZ634" i="1"/>
  <c r="CY634" i="1"/>
  <c r="CW634" i="1"/>
  <c r="CV634" i="1"/>
  <c r="CN634" i="1"/>
  <c r="CH634" i="1"/>
  <c r="CG634" i="1"/>
  <c r="CF634" i="1"/>
  <c r="CE634" i="1"/>
  <c r="CD634" i="1"/>
  <c r="CC634" i="1"/>
  <c r="CB634" i="1"/>
  <c r="CA634" i="1"/>
  <c r="BW634" i="1"/>
  <c r="BV634" i="1"/>
  <c r="BU634" i="1"/>
  <c r="BT634" i="1"/>
  <c r="BS634" i="1"/>
  <c r="BI634" i="1"/>
  <c r="CP634" i="1" s="1"/>
  <c r="BB634" i="1"/>
  <c r="AR634" i="1"/>
  <c r="AD634" i="1"/>
  <c r="CO634" i="1" s="1"/>
  <c r="W634" i="1"/>
  <c r="M634" i="1"/>
  <c r="G634" i="1"/>
  <c r="E634" i="1"/>
  <c r="DA633" i="1"/>
  <c r="CZ633" i="1"/>
  <c r="CY633" i="1"/>
  <c r="CW633" i="1"/>
  <c r="CV633" i="1"/>
  <c r="CH633" i="1"/>
  <c r="CG633" i="1"/>
  <c r="CF633" i="1"/>
  <c r="CE633" i="1"/>
  <c r="CD633" i="1"/>
  <c r="CC633" i="1"/>
  <c r="CB633" i="1"/>
  <c r="CA633" i="1"/>
  <c r="CI633" i="1" s="1"/>
  <c r="BW633" i="1"/>
  <c r="BV633" i="1"/>
  <c r="BU633" i="1"/>
  <c r="BT633" i="1"/>
  <c r="BS633" i="1"/>
  <c r="BI633" i="1"/>
  <c r="BB633" i="1"/>
  <c r="AR633" i="1"/>
  <c r="AD633" i="1"/>
  <c r="CO633" i="1" s="1"/>
  <c r="W633" i="1"/>
  <c r="M633" i="1"/>
  <c r="G633" i="1"/>
  <c r="E633" i="1"/>
  <c r="DA632" i="1"/>
  <c r="CZ632" i="1"/>
  <c r="CY632" i="1"/>
  <c r="CW632" i="1"/>
  <c r="CV632" i="1"/>
  <c r="CN632" i="1"/>
  <c r="CL632" i="1"/>
  <c r="CH632" i="1"/>
  <c r="CG632" i="1"/>
  <c r="CF632" i="1"/>
  <c r="CE632" i="1"/>
  <c r="CD632" i="1"/>
  <c r="CC632" i="1"/>
  <c r="CB632" i="1"/>
  <c r="CA632" i="1"/>
  <c r="CI632" i="1" s="1"/>
  <c r="BW632" i="1"/>
  <c r="BV632" i="1"/>
  <c r="BU632" i="1"/>
  <c r="BT632" i="1"/>
  <c r="BS632" i="1"/>
  <c r="BI632" i="1"/>
  <c r="AD632" i="1"/>
  <c r="CM632" i="1" s="1"/>
  <c r="DA631" i="1"/>
  <c r="CZ631" i="1"/>
  <c r="CY631" i="1"/>
  <c r="CW631" i="1"/>
  <c r="CV631" i="1"/>
  <c r="CM631" i="1"/>
  <c r="CL631" i="1"/>
  <c r="CH631" i="1"/>
  <c r="CG631" i="1"/>
  <c r="CF631" i="1"/>
  <c r="CE631" i="1"/>
  <c r="CD631" i="1"/>
  <c r="CC631" i="1"/>
  <c r="CB631" i="1"/>
  <c r="CA631" i="1"/>
  <c r="CI631" i="1" s="1"/>
  <c r="BW631" i="1"/>
  <c r="BV631" i="1"/>
  <c r="BU631" i="1"/>
  <c r="BT631" i="1"/>
  <c r="BS631" i="1"/>
  <c r="BI631" i="1"/>
  <c r="AD631" i="1"/>
  <c r="CP631" i="1" s="1"/>
  <c r="DA630" i="1"/>
  <c r="CZ630" i="1"/>
  <c r="CY630" i="1"/>
  <c r="CW630" i="1"/>
  <c r="CV630" i="1"/>
  <c r="CL630" i="1"/>
  <c r="CH630" i="1"/>
  <c r="CG630" i="1"/>
  <c r="CF630" i="1"/>
  <c r="CE630" i="1"/>
  <c r="CD630" i="1"/>
  <c r="CC630" i="1"/>
  <c r="CB630" i="1"/>
  <c r="CA630" i="1"/>
  <c r="CI630" i="1" s="1"/>
  <c r="BW630" i="1"/>
  <c r="BV630" i="1"/>
  <c r="BU630" i="1"/>
  <c r="BT630" i="1"/>
  <c r="BS630" i="1"/>
  <c r="BI630" i="1"/>
  <c r="CK630" i="1" s="1"/>
  <c r="BB630" i="1"/>
  <c r="AR630" i="1"/>
  <c r="AD630" i="1"/>
  <c r="CO630" i="1" s="1"/>
  <c r="W630" i="1"/>
  <c r="M630" i="1"/>
  <c r="DA629" i="1"/>
  <c r="CZ629" i="1"/>
  <c r="CY629" i="1"/>
  <c r="CW629" i="1"/>
  <c r="CV629" i="1"/>
  <c r="CO629" i="1"/>
  <c r="CN629" i="1"/>
  <c r="CM629" i="1"/>
  <c r="CL629" i="1"/>
  <c r="CH629" i="1"/>
  <c r="CG629" i="1"/>
  <c r="CF629" i="1"/>
  <c r="CE629" i="1"/>
  <c r="CD629" i="1"/>
  <c r="CC629" i="1"/>
  <c r="CB629" i="1"/>
  <c r="CA629" i="1"/>
  <c r="CI629" i="1" s="1"/>
  <c r="BW629" i="1"/>
  <c r="BV629" i="1"/>
  <c r="BU629" i="1"/>
  <c r="BT629" i="1"/>
  <c r="BS629" i="1"/>
  <c r="BI629" i="1"/>
  <c r="CR629" i="1" s="1"/>
  <c r="BB629" i="1"/>
  <c r="AR629" i="1"/>
  <c r="AD629" i="1"/>
  <c r="CP629" i="1" s="1"/>
  <c r="W629" i="1"/>
  <c r="M629" i="1"/>
  <c r="DA628" i="1"/>
  <c r="CZ628" i="1"/>
  <c r="CY628" i="1"/>
  <c r="CW628" i="1"/>
  <c r="CV628" i="1"/>
  <c r="CR628" i="1"/>
  <c r="CH628" i="1"/>
  <c r="CF628" i="1"/>
  <c r="CA628" i="1"/>
  <c r="BW628" i="1"/>
  <c r="BV628" i="1"/>
  <c r="BU628" i="1"/>
  <c r="BT628" i="1"/>
  <c r="BI628" i="1"/>
  <c r="AR628" i="1"/>
  <c r="AD628" i="1"/>
  <c r="CM628" i="1" s="1"/>
  <c r="Y628" i="1"/>
  <c r="CD628" i="1" s="1"/>
  <c r="M628" i="1"/>
  <c r="DA627" i="1"/>
  <c r="CZ627" i="1"/>
  <c r="CY627" i="1"/>
  <c r="CW627" i="1"/>
  <c r="CV627" i="1"/>
  <c r="CM627" i="1"/>
  <c r="CL627" i="1"/>
  <c r="CH627" i="1"/>
  <c r="CG627" i="1"/>
  <c r="CF627" i="1"/>
  <c r="CE627" i="1"/>
  <c r="CD627" i="1"/>
  <c r="CC627" i="1"/>
  <c r="CB627" i="1"/>
  <c r="CA627" i="1"/>
  <c r="CI627" i="1" s="1"/>
  <c r="BW627" i="1"/>
  <c r="BV627" i="1"/>
  <c r="BU627" i="1"/>
  <c r="BT627" i="1"/>
  <c r="BS627" i="1"/>
  <c r="BI627" i="1"/>
  <c r="AD627" i="1"/>
  <c r="CP627" i="1" s="1"/>
  <c r="M627" i="1"/>
  <c r="DA626" i="1"/>
  <c r="CZ626" i="1"/>
  <c r="CY626" i="1"/>
  <c r="CW626" i="1"/>
  <c r="CV626" i="1"/>
  <c r="CM626" i="1"/>
  <c r="CL626" i="1"/>
  <c r="CH626" i="1"/>
  <c r="CG626" i="1"/>
  <c r="CF626" i="1"/>
  <c r="CE626" i="1"/>
  <c r="CD626" i="1"/>
  <c r="CC626" i="1"/>
  <c r="CB626" i="1"/>
  <c r="CA626" i="1"/>
  <c r="CI626" i="1" s="1"/>
  <c r="BW626" i="1"/>
  <c r="BV626" i="1"/>
  <c r="BU626" i="1"/>
  <c r="BT626" i="1"/>
  <c r="BS626" i="1"/>
  <c r="BI626" i="1"/>
  <c r="AD626" i="1"/>
  <c r="CP626" i="1" s="1"/>
  <c r="M626" i="1"/>
  <c r="DA625" i="1"/>
  <c r="CZ625" i="1"/>
  <c r="CY625" i="1"/>
  <c r="CW625" i="1"/>
  <c r="CV625" i="1"/>
  <c r="CN625" i="1"/>
  <c r="CM625" i="1"/>
  <c r="CH625" i="1"/>
  <c r="CG625" i="1"/>
  <c r="CF625" i="1"/>
  <c r="CE625" i="1"/>
  <c r="CD625" i="1"/>
  <c r="CC625" i="1"/>
  <c r="CB625" i="1"/>
  <c r="CA625" i="1"/>
  <c r="CI625" i="1" s="1"/>
  <c r="BW625" i="1"/>
  <c r="BV625" i="1"/>
  <c r="BU625" i="1"/>
  <c r="BT625" i="1"/>
  <c r="BS625" i="1"/>
  <c r="BI625" i="1"/>
  <c r="CL625" i="1" s="1"/>
  <c r="BB625" i="1"/>
  <c r="AR625" i="1"/>
  <c r="AD625" i="1"/>
  <c r="CQ625" i="1" s="1"/>
  <c r="W625" i="1"/>
  <c r="M625" i="1"/>
  <c r="DA624" i="1"/>
  <c r="CZ624" i="1"/>
  <c r="CY624" i="1"/>
  <c r="CW624" i="1"/>
  <c r="CV624" i="1"/>
  <c r="CR624" i="1"/>
  <c r="CQ624" i="1"/>
  <c r="CO624" i="1"/>
  <c r="CH624" i="1"/>
  <c r="CG624" i="1"/>
  <c r="CF624" i="1"/>
  <c r="CE624" i="1"/>
  <c r="CD624" i="1"/>
  <c r="CC624" i="1"/>
  <c r="CB624" i="1"/>
  <c r="CA624" i="1"/>
  <c r="CI624" i="1" s="1"/>
  <c r="BX624" i="1"/>
  <c r="BW624" i="1"/>
  <c r="BV624" i="1"/>
  <c r="BU624" i="1"/>
  <c r="BT624" i="1"/>
  <c r="BS624" i="1"/>
  <c r="BI624" i="1"/>
  <c r="BB624" i="1"/>
  <c r="AR624" i="1"/>
  <c r="AD624" i="1"/>
  <c r="CM624" i="1" s="1"/>
  <c r="W624" i="1"/>
  <c r="M624" i="1"/>
  <c r="DA623" i="1"/>
  <c r="CZ623" i="1"/>
  <c r="CY623" i="1"/>
  <c r="CW623" i="1"/>
  <c r="CV623" i="1"/>
  <c r="CN623" i="1"/>
  <c r="CM623" i="1"/>
  <c r="CH623" i="1"/>
  <c r="CG623" i="1"/>
  <c r="CF623" i="1"/>
  <c r="CE623" i="1"/>
  <c r="CD623" i="1"/>
  <c r="CC623" i="1"/>
  <c r="CB623" i="1"/>
  <c r="CA623" i="1"/>
  <c r="CI623" i="1" s="1"/>
  <c r="BW623" i="1"/>
  <c r="BV623" i="1"/>
  <c r="BU623" i="1"/>
  <c r="BT623" i="1"/>
  <c r="BS623" i="1"/>
  <c r="BI623" i="1"/>
  <c r="CL623" i="1" s="1"/>
  <c r="BB623" i="1"/>
  <c r="AR623" i="1"/>
  <c r="AD623" i="1"/>
  <c r="CQ623" i="1" s="1"/>
  <c r="W623" i="1"/>
  <c r="M623" i="1"/>
  <c r="DA622" i="1"/>
  <c r="CZ622" i="1"/>
  <c r="CY622" i="1"/>
  <c r="CW622" i="1"/>
  <c r="CV622" i="1"/>
  <c r="CR622" i="1"/>
  <c r="CQ622" i="1"/>
  <c r="CO622" i="1"/>
  <c r="CH622" i="1"/>
  <c r="CG622" i="1"/>
  <c r="CF622" i="1"/>
  <c r="CE622" i="1"/>
  <c r="CD622" i="1"/>
  <c r="CC622" i="1"/>
  <c r="CB622" i="1"/>
  <c r="CA622" i="1"/>
  <c r="CI622" i="1" s="1"/>
  <c r="BX622" i="1"/>
  <c r="BW622" i="1"/>
  <c r="BV622" i="1"/>
  <c r="BU622" i="1"/>
  <c r="BT622" i="1"/>
  <c r="BS622" i="1"/>
  <c r="BI622" i="1"/>
  <c r="BB622" i="1"/>
  <c r="AR622" i="1"/>
  <c r="AD622" i="1"/>
  <c r="CM622" i="1" s="1"/>
  <c r="W622" i="1"/>
  <c r="M622" i="1"/>
  <c r="DA621" i="1"/>
  <c r="CZ621" i="1"/>
  <c r="CY621" i="1"/>
  <c r="CW621" i="1"/>
  <c r="CV621" i="1"/>
  <c r="CN621" i="1"/>
  <c r="CM621" i="1"/>
  <c r="CH621" i="1"/>
  <c r="CG621" i="1"/>
  <c r="CF621" i="1"/>
  <c r="CE621" i="1"/>
  <c r="CD621" i="1"/>
  <c r="CC621" i="1"/>
  <c r="CB621" i="1"/>
  <c r="CA621" i="1"/>
  <c r="CI621" i="1" s="1"/>
  <c r="BW621" i="1"/>
  <c r="BV621" i="1"/>
  <c r="BU621" i="1"/>
  <c r="BT621" i="1"/>
  <c r="BS621" i="1"/>
  <c r="BI621" i="1"/>
  <c r="CL621" i="1" s="1"/>
  <c r="BB621" i="1"/>
  <c r="AR621" i="1"/>
  <c r="AD621" i="1"/>
  <c r="CQ621" i="1" s="1"/>
  <c r="W621" i="1"/>
  <c r="M621" i="1"/>
  <c r="DA620" i="1"/>
  <c r="CZ620" i="1"/>
  <c r="CY620" i="1"/>
  <c r="CW620" i="1"/>
  <c r="CV620" i="1"/>
  <c r="CR620" i="1"/>
  <c r="CQ620" i="1"/>
  <c r="CO620" i="1"/>
  <c r="CH620" i="1"/>
  <c r="CG620" i="1"/>
  <c r="CF620" i="1"/>
  <c r="CE620" i="1"/>
  <c r="CD620" i="1"/>
  <c r="CC620" i="1"/>
  <c r="CB620" i="1"/>
  <c r="CA620" i="1"/>
  <c r="CI620" i="1" s="1"/>
  <c r="BX620" i="1"/>
  <c r="BW620" i="1"/>
  <c r="BV620" i="1"/>
  <c r="BU620" i="1"/>
  <c r="BT620" i="1"/>
  <c r="BS620" i="1"/>
  <c r="BI620" i="1"/>
  <c r="BB620" i="1"/>
  <c r="AR620" i="1"/>
  <c r="AD620" i="1"/>
  <c r="CM620" i="1" s="1"/>
  <c r="W620" i="1"/>
  <c r="M620" i="1"/>
  <c r="DA619" i="1"/>
  <c r="CZ619" i="1"/>
  <c r="CY619" i="1"/>
  <c r="CW619" i="1"/>
  <c r="CV619" i="1"/>
  <c r="CN619" i="1"/>
  <c r="CM619" i="1"/>
  <c r="CH619" i="1"/>
  <c r="CG619" i="1"/>
  <c r="CF619" i="1"/>
  <c r="CE619" i="1"/>
  <c r="CD619" i="1"/>
  <c r="CC619" i="1"/>
  <c r="CB619" i="1"/>
  <c r="CA619" i="1"/>
  <c r="CI619" i="1" s="1"/>
  <c r="BW619" i="1"/>
  <c r="BV619" i="1"/>
  <c r="BU619" i="1"/>
  <c r="BT619" i="1"/>
  <c r="BS619" i="1"/>
  <c r="BI619" i="1"/>
  <c r="CL619" i="1" s="1"/>
  <c r="BB619" i="1"/>
  <c r="AR619" i="1"/>
  <c r="AD619" i="1"/>
  <c r="CQ619" i="1" s="1"/>
  <c r="W619" i="1"/>
  <c r="M619" i="1"/>
  <c r="DA618" i="1"/>
  <c r="CZ618" i="1"/>
  <c r="CY618" i="1"/>
  <c r="CW618" i="1"/>
  <c r="CV618" i="1"/>
  <c r="CQ618" i="1"/>
  <c r="CH618" i="1"/>
  <c r="CG618" i="1"/>
  <c r="CE618" i="1"/>
  <c r="BX618" i="1"/>
  <c r="BW618" i="1"/>
  <c r="BV618" i="1"/>
  <c r="BU618" i="1"/>
  <c r="BT618" i="1"/>
  <c r="BI618" i="1"/>
  <c r="BB618" i="1"/>
  <c r="AR618" i="1"/>
  <c r="AD618" i="1"/>
  <c r="CL618" i="1" s="1"/>
  <c r="Y618" i="1"/>
  <c r="CC618" i="1" s="1"/>
  <c r="W618" i="1"/>
  <c r="M618" i="1"/>
  <c r="DA617" i="1"/>
  <c r="CZ617" i="1"/>
  <c r="CY617" i="1"/>
  <c r="CW617" i="1"/>
  <c r="CV617" i="1"/>
  <c r="CN617" i="1"/>
  <c r="CM617" i="1"/>
  <c r="CH617" i="1"/>
  <c r="CG617" i="1"/>
  <c r="CF617" i="1"/>
  <c r="CE617" i="1"/>
  <c r="CD617" i="1"/>
  <c r="CC617" i="1"/>
  <c r="CB617" i="1"/>
  <c r="CA617" i="1"/>
  <c r="CI617" i="1" s="1"/>
  <c r="BW617" i="1"/>
  <c r="BV617" i="1"/>
  <c r="BU617" i="1"/>
  <c r="BT617" i="1"/>
  <c r="BS617" i="1"/>
  <c r="BI617" i="1"/>
  <c r="CL617" i="1" s="1"/>
  <c r="BB617" i="1"/>
  <c r="AR617" i="1"/>
  <c r="AD617" i="1"/>
  <c r="CQ617" i="1" s="1"/>
  <c r="W617" i="1"/>
  <c r="M617" i="1"/>
  <c r="DA616" i="1"/>
  <c r="CZ616" i="1"/>
  <c r="CY616" i="1"/>
  <c r="CW616" i="1"/>
  <c r="CV616" i="1"/>
  <c r="CQ616" i="1"/>
  <c r="CH616" i="1"/>
  <c r="CG616" i="1"/>
  <c r="CF616" i="1"/>
  <c r="CE616" i="1"/>
  <c r="CD616" i="1"/>
  <c r="CC616" i="1"/>
  <c r="CB616" i="1"/>
  <c r="CA616" i="1"/>
  <c r="CI616" i="1" s="1"/>
  <c r="BX616" i="1"/>
  <c r="BW616" i="1"/>
  <c r="BV616" i="1"/>
  <c r="BU616" i="1"/>
  <c r="BT616" i="1"/>
  <c r="BS616" i="1"/>
  <c r="BI616" i="1"/>
  <c r="BB616" i="1"/>
  <c r="AR616" i="1"/>
  <c r="AD616" i="1"/>
  <c r="CL616" i="1" s="1"/>
  <c r="W616" i="1"/>
  <c r="M616" i="1"/>
  <c r="DA615" i="1"/>
  <c r="CZ615" i="1"/>
  <c r="CY615" i="1"/>
  <c r="CW615" i="1"/>
  <c r="CV615" i="1"/>
  <c r="CL615" i="1"/>
  <c r="CH615" i="1"/>
  <c r="CG615" i="1"/>
  <c r="CF615" i="1"/>
  <c r="CE615" i="1"/>
  <c r="CD615" i="1"/>
  <c r="CC615" i="1"/>
  <c r="CB615" i="1"/>
  <c r="CA615" i="1"/>
  <c r="CI615" i="1" s="1"/>
  <c r="BW615" i="1"/>
  <c r="BV615" i="1"/>
  <c r="BU615" i="1"/>
  <c r="BT615" i="1"/>
  <c r="BS615" i="1"/>
  <c r="BI615" i="1"/>
  <c r="CK615" i="1" s="1"/>
  <c r="BB615" i="1"/>
  <c r="AR615" i="1"/>
  <c r="AD615" i="1"/>
  <c r="CO615" i="1" s="1"/>
  <c r="W615" i="1"/>
  <c r="M615" i="1"/>
  <c r="G615" i="1"/>
  <c r="F615" i="1"/>
  <c r="E615" i="1"/>
  <c r="DA614" i="1"/>
  <c r="CZ614" i="1"/>
  <c r="CY614" i="1"/>
  <c r="CW614" i="1"/>
  <c r="CV614" i="1"/>
  <c r="CH614" i="1"/>
  <c r="CG614" i="1"/>
  <c r="CF614" i="1"/>
  <c r="CE614" i="1"/>
  <c r="CD614" i="1"/>
  <c r="CC614" i="1"/>
  <c r="CB614" i="1"/>
  <c r="CA614" i="1"/>
  <c r="CI614" i="1" s="1"/>
  <c r="BW614" i="1"/>
  <c r="BV614" i="1"/>
  <c r="BU614" i="1"/>
  <c r="BT614" i="1"/>
  <c r="BS614" i="1"/>
  <c r="BI614" i="1"/>
  <c r="CK614" i="1" s="1"/>
  <c r="BB614" i="1"/>
  <c r="AR614" i="1"/>
  <c r="AD614" i="1"/>
  <c r="CN614" i="1" s="1"/>
  <c r="W614" i="1"/>
  <c r="M614" i="1"/>
  <c r="G614" i="1"/>
  <c r="F614" i="1"/>
  <c r="E614" i="1"/>
  <c r="DA613" i="1"/>
  <c r="CZ613" i="1"/>
  <c r="CY613" i="1"/>
  <c r="CQ613" i="1"/>
  <c r="CP613" i="1"/>
  <c r="CH613" i="1"/>
  <c r="CG613" i="1"/>
  <c r="CF613" i="1"/>
  <c r="CE613" i="1"/>
  <c r="CD613" i="1"/>
  <c r="CC613" i="1"/>
  <c r="CB613" i="1"/>
  <c r="CA613" i="1"/>
  <c r="CI613" i="1" s="1"/>
  <c r="BX613" i="1"/>
  <c r="BW613" i="1"/>
  <c r="BV613" i="1"/>
  <c r="BU613" i="1"/>
  <c r="BT613" i="1"/>
  <c r="BS613" i="1"/>
  <c r="BI613" i="1"/>
  <c r="BB613" i="1"/>
  <c r="AR613" i="1"/>
  <c r="AH613" i="1"/>
  <c r="CW613" i="1" s="1"/>
  <c r="AG613" i="1"/>
  <c r="CV613" i="1" s="1"/>
  <c r="AD613" i="1"/>
  <c r="CL613" i="1" s="1"/>
  <c r="W613" i="1"/>
  <c r="M613" i="1"/>
  <c r="G613" i="1"/>
  <c r="F613" i="1"/>
  <c r="E613" i="1"/>
  <c r="DA612" i="1"/>
  <c r="CZ612" i="1"/>
  <c r="CY612" i="1"/>
  <c r="CW612" i="1"/>
  <c r="CV612" i="1"/>
  <c r="CR612" i="1"/>
  <c r="CQ612" i="1"/>
  <c r="CH612" i="1"/>
  <c r="CG612" i="1"/>
  <c r="CF612" i="1"/>
  <c r="CE612" i="1"/>
  <c r="CD612" i="1"/>
  <c r="CC612" i="1"/>
  <c r="CB612" i="1"/>
  <c r="CA612" i="1"/>
  <c r="CI612" i="1" s="1"/>
  <c r="BX612" i="1"/>
  <c r="BW612" i="1"/>
  <c r="BV612" i="1"/>
  <c r="BU612" i="1"/>
  <c r="BT612" i="1"/>
  <c r="BS612" i="1"/>
  <c r="BI612" i="1"/>
  <c r="CL612" i="1" s="1"/>
  <c r="BB612" i="1"/>
  <c r="AR612" i="1"/>
  <c r="AD612" i="1"/>
  <c r="CM612" i="1" s="1"/>
  <c r="W612" i="1"/>
  <c r="M612" i="1"/>
  <c r="G612" i="1"/>
  <c r="F612" i="1"/>
  <c r="E612" i="1"/>
  <c r="DA611" i="1"/>
  <c r="CZ611" i="1"/>
  <c r="CY611" i="1"/>
  <c r="CW611" i="1"/>
  <c r="CV611" i="1"/>
  <c r="CH611" i="1"/>
  <c r="CG611" i="1"/>
  <c r="CF611" i="1"/>
  <c r="CE611" i="1"/>
  <c r="CD611" i="1"/>
  <c r="CC611" i="1"/>
  <c r="CB611" i="1"/>
  <c r="CA611" i="1"/>
  <c r="CI611" i="1" s="1"/>
  <c r="BW611" i="1"/>
  <c r="BV611" i="1"/>
  <c r="BU611" i="1"/>
  <c r="BT611" i="1"/>
  <c r="BS611" i="1"/>
  <c r="BI611" i="1"/>
  <c r="BB611" i="1"/>
  <c r="AR611" i="1"/>
  <c r="AD611" i="1"/>
  <c r="CK611" i="1" s="1"/>
  <c r="W611" i="1"/>
  <c r="M611" i="1"/>
  <c r="G611" i="1"/>
  <c r="F611" i="1"/>
  <c r="E611" i="1"/>
  <c r="DA610" i="1"/>
  <c r="CZ610" i="1"/>
  <c r="CY610" i="1"/>
  <c r="CW610" i="1"/>
  <c r="CV610" i="1"/>
  <c r="CO610" i="1"/>
  <c r="CN610" i="1"/>
  <c r="CH610" i="1"/>
  <c r="CG610" i="1"/>
  <c r="CF610" i="1"/>
  <c r="CE610" i="1"/>
  <c r="CD610" i="1"/>
  <c r="CC610" i="1"/>
  <c r="CB610" i="1"/>
  <c r="CA610" i="1"/>
  <c r="CI610" i="1" s="1"/>
  <c r="BW610" i="1"/>
  <c r="BV610" i="1"/>
  <c r="BU610" i="1"/>
  <c r="BT610" i="1"/>
  <c r="BS610" i="1"/>
  <c r="BI610" i="1"/>
  <c r="BB610" i="1"/>
  <c r="AR610" i="1"/>
  <c r="AD610" i="1"/>
  <c r="CR610" i="1" s="1"/>
  <c r="W610" i="1"/>
  <c r="M610" i="1"/>
  <c r="G610" i="1"/>
  <c r="F610" i="1"/>
  <c r="E610" i="1"/>
  <c r="DA609" i="1"/>
  <c r="CZ609" i="1"/>
  <c r="CY609" i="1"/>
  <c r="CW609" i="1"/>
  <c r="CV609" i="1"/>
  <c r="CR609" i="1"/>
  <c r="CQ609" i="1"/>
  <c r="CO609" i="1"/>
  <c r="CN609" i="1"/>
  <c r="CM609" i="1"/>
  <c r="CL609" i="1"/>
  <c r="CH609" i="1"/>
  <c r="CG609" i="1"/>
  <c r="CF609" i="1"/>
  <c r="CE609" i="1"/>
  <c r="CD609" i="1"/>
  <c r="CC609" i="1"/>
  <c r="CB609" i="1"/>
  <c r="CA609" i="1"/>
  <c r="CI609" i="1" s="1"/>
  <c r="BX609" i="1"/>
  <c r="BW609" i="1"/>
  <c r="BV609" i="1"/>
  <c r="BU609" i="1"/>
  <c r="BT609" i="1"/>
  <c r="BS609" i="1"/>
  <c r="BI609" i="1"/>
  <c r="CK609" i="1" s="1"/>
  <c r="BB609" i="1"/>
  <c r="AR609" i="1"/>
  <c r="AD609" i="1"/>
  <c r="CP609" i="1" s="1"/>
  <c r="W609" i="1"/>
  <c r="M609" i="1"/>
  <c r="G609" i="1"/>
  <c r="F609" i="1"/>
  <c r="E609" i="1"/>
  <c r="DA608" i="1"/>
  <c r="CZ608" i="1"/>
  <c r="CY608" i="1"/>
  <c r="CW608" i="1"/>
  <c r="CV608" i="1"/>
  <c r="CL608" i="1"/>
  <c r="CH608" i="1"/>
  <c r="CG608" i="1"/>
  <c r="CF608" i="1"/>
  <c r="CE608" i="1"/>
  <c r="CD608" i="1"/>
  <c r="CC608" i="1"/>
  <c r="CB608" i="1"/>
  <c r="CA608" i="1"/>
  <c r="CI608" i="1" s="1"/>
  <c r="BW608" i="1"/>
  <c r="BV608" i="1"/>
  <c r="BU608" i="1"/>
  <c r="BT608" i="1"/>
  <c r="BS608" i="1"/>
  <c r="BI608" i="1"/>
  <c r="CM608" i="1" s="1"/>
  <c r="BB608" i="1"/>
  <c r="AR608" i="1"/>
  <c r="AD608" i="1"/>
  <c r="CO608" i="1" s="1"/>
  <c r="W608" i="1"/>
  <c r="M608" i="1"/>
  <c r="G608" i="1"/>
  <c r="F608" i="1"/>
  <c r="E608" i="1"/>
  <c r="DA607" i="1"/>
  <c r="CZ607" i="1"/>
  <c r="CY607" i="1"/>
  <c r="CW607" i="1"/>
  <c r="CV607" i="1"/>
  <c r="CR607" i="1"/>
  <c r="CQ607" i="1"/>
  <c r="CH607" i="1"/>
  <c r="CG607" i="1"/>
  <c r="CF607" i="1"/>
  <c r="CE607" i="1"/>
  <c r="CD607" i="1"/>
  <c r="CC607" i="1"/>
  <c r="CB607" i="1"/>
  <c r="CA607" i="1"/>
  <c r="CI607" i="1" s="1"/>
  <c r="BX607" i="1"/>
  <c r="BW607" i="1"/>
  <c r="BV607" i="1"/>
  <c r="BU607" i="1"/>
  <c r="BT607" i="1"/>
  <c r="BS607" i="1"/>
  <c r="BI607" i="1"/>
  <c r="CK607" i="1" s="1"/>
  <c r="BB607" i="1"/>
  <c r="AR607" i="1"/>
  <c r="AD607" i="1"/>
  <c r="CM607" i="1" s="1"/>
  <c r="W607" i="1"/>
  <c r="M607" i="1"/>
  <c r="G607" i="1"/>
  <c r="F607" i="1"/>
  <c r="E607" i="1"/>
  <c r="DA606" i="1"/>
  <c r="CZ606" i="1"/>
  <c r="CY606" i="1"/>
  <c r="CW606" i="1"/>
  <c r="CV606" i="1"/>
  <c r="CQ606" i="1"/>
  <c r="CH606" i="1"/>
  <c r="CG606" i="1"/>
  <c r="CF606" i="1"/>
  <c r="CE606" i="1"/>
  <c r="CD606" i="1"/>
  <c r="CC606" i="1"/>
  <c r="CB606" i="1"/>
  <c r="CA606" i="1"/>
  <c r="CI606" i="1" s="1"/>
  <c r="BX606" i="1"/>
  <c r="BW606" i="1"/>
  <c r="BV606" i="1"/>
  <c r="BU606" i="1"/>
  <c r="BT606" i="1"/>
  <c r="BS606" i="1"/>
  <c r="BI606" i="1"/>
  <c r="BB606" i="1"/>
  <c r="AR606" i="1"/>
  <c r="AD606" i="1"/>
  <c r="CL606" i="1" s="1"/>
  <c r="W606" i="1"/>
  <c r="M606" i="1"/>
  <c r="G606" i="1"/>
  <c r="F606" i="1"/>
  <c r="E606" i="1"/>
  <c r="DA605" i="1"/>
  <c r="CZ605" i="1"/>
  <c r="CY605" i="1"/>
  <c r="CW605" i="1"/>
  <c r="CV605" i="1"/>
  <c r="BW605" i="1"/>
  <c r="BV605" i="1"/>
  <c r="BU605" i="1"/>
  <c r="BT605" i="1"/>
  <c r="BI605" i="1"/>
  <c r="BB605" i="1"/>
  <c r="AR605" i="1"/>
  <c r="Y605" i="1"/>
  <c r="CA605" i="1" s="1"/>
  <c r="W605" i="1"/>
  <c r="M605" i="1"/>
  <c r="G605" i="1"/>
  <c r="F605" i="1"/>
  <c r="E605" i="1"/>
  <c r="DA604" i="1"/>
  <c r="CZ604" i="1"/>
  <c r="CY604" i="1"/>
  <c r="CW604" i="1"/>
  <c r="CV604" i="1"/>
  <c r="CO604" i="1"/>
  <c r="CN604" i="1"/>
  <c r="CH604" i="1"/>
  <c r="CG604" i="1"/>
  <c r="CF604" i="1"/>
  <c r="CE604" i="1"/>
  <c r="CD604" i="1"/>
  <c r="CC604" i="1"/>
  <c r="CB604" i="1"/>
  <c r="CA604" i="1"/>
  <c r="CI604" i="1" s="1"/>
  <c r="BW604" i="1"/>
  <c r="BV604" i="1"/>
  <c r="BU604" i="1"/>
  <c r="BT604" i="1"/>
  <c r="BS604" i="1"/>
  <c r="BI604" i="1"/>
  <c r="BB604" i="1"/>
  <c r="AR604" i="1"/>
  <c r="AD604" i="1"/>
  <c r="CR604" i="1" s="1"/>
  <c r="W604" i="1"/>
  <c r="M604" i="1"/>
  <c r="G604" i="1"/>
  <c r="F604" i="1"/>
  <c r="E604" i="1"/>
  <c r="DA603" i="1"/>
  <c r="CZ603" i="1"/>
  <c r="CY603" i="1"/>
  <c r="CW603" i="1"/>
  <c r="CV603" i="1"/>
  <c r="CR603" i="1"/>
  <c r="CN603" i="1"/>
  <c r="CM603" i="1"/>
  <c r="CH603" i="1"/>
  <c r="CG603" i="1"/>
  <c r="CF603" i="1"/>
  <c r="CE603" i="1"/>
  <c r="CD603" i="1"/>
  <c r="CC603" i="1"/>
  <c r="CB603" i="1"/>
  <c r="CA603" i="1"/>
  <c r="CI603" i="1" s="1"/>
  <c r="BW603" i="1"/>
  <c r="BV603" i="1"/>
  <c r="BU603" i="1"/>
  <c r="BT603" i="1"/>
  <c r="BS603" i="1"/>
  <c r="BI603" i="1"/>
  <c r="CQ603" i="1" s="1"/>
  <c r="BB603" i="1"/>
  <c r="AR603" i="1"/>
  <c r="AD603" i="1"/>
  <c r="CP603" i="1" s="1"/>
  <c r="W603" i="1"/>
  <c r="M603" i="1"/>
  <c r="DA602" i="1"/>
  <c r="CZ602" i="1"/>
  <c r="CY602" i="1"/>
  <c r="CW602" i="1"/>
  <c r="CV602" i="1"/>
  <c r="CR602" i="1"/>
  <c r="CQ602" i="1"/>
  <c r="CO602" i="1"/>
  <c r="CN602" i="1"/>
  <c r="CH602" i="1"/>
  <c r="CG602" i="1"/>
  <c r="CF602" i="1"/>
  <c r="CE602" i="1"/>
  <c r="CD602" i="1"/>
  <c r="CC602" i="1"/>
  <c r="CB602" i="1"/>
  <c r="CA602" i="1"/>
  <c r="CI602" i="1" s="1"/>
  <c r="BX602" i="1"/>
  <c r="BW602" i="1"/>
  <c r="BV602" i="1"/>
  <c r="BU602" i="1"/>
  <c r="BT602" i="1"/>
  <c r="BS602" i="1"/>
  <c r="BI602" i="1"/>
  <c r="CM602" i="1" s="1"/>
  <c r="BB602" i="1"/>
  <c r="AR602" i="1"/>
  <c r="AD602" i="1"/>
  <c r="CP602" i="1" s="1"/>
  <c r="W602" i="1"/>
  <c r="M602" i="1"/>
  <c r="DA601" i="1"/>
  <c r="CZ601" i="1"/>
  <c r="CY601" i="1"/>
  <c r="CW601" i="1"/>
  <c r="CV601" i="1"/>
  <c r="CE601" i="1"/>
  <c r="CD601" i="1"/>
  <c r="BW601" i="1"/>
  <c r="BV601" i="1"/>
  <c r="BU601" i="1"/>
  <c r="BT601" i="1"/>
  <c r="BD601" i="1"/>
  <c r="CH601" i="1" s="1"/>
  <c r="BB601" i="1"/>
  <c r="AR601" i="1"/>
  <c r="AD601" i="1"/>
  <c r="W601" i="1"/>
  <c r="M601" i="1"/>
  <c r="DA600" i="1"/>
  <c r="CZ600" i="1"/>
  <c r="CY600" i="1"/>
  <c r="CW600" i="1"/>
  <c r="CV600" i="1"/>
  <c r="CB600" i="1"/>
  <c r="BW600" i="1"/>
  <c r="BV600" i="1"/>
  <c r="BU600" i="1"/>
  <c r="BT600" i="1"/>
  <c r="BI600" i="1"/>
  <c r="CR600" i="1" s="1"/>
  <c r="BD600" i="1"/>
  <c r="CE600" i="1" s="1"/>
  <c r="BB600" i="1"/>
  <c r="AR600" i="1"/>
  <c r="AD600" i="1"/>
  <c r="W600" i="1"/>
  <c r="M600" i="1"/>
  <c r="CQ599" i="1"/>
  <c r="CH599" i="1"/>
  <c r="CG599" i="1"/>
  <c r="CF599" i="1"/>
  <c r="CD599" i="1"/>
  <c r="CC599" i="1"/>
  <c r="CB599" i="1"/>
  <c r="BW599" i="1"/>
  <c r="BV599" i="1"/>
  <c r="BU599" i="1"/>
  <c r="BT599" i="1"/>
  <c r="BS599" i="1"/>
  <c r="BI599" i="1"/>
  <c r="BD599" i="1"/>
  <c r="CA599" i="1" s="1"/>
  <c r="BB599" i="1"/>
  <c r="AR599" i="1"/>
  <c r="AD599" i="1"/>
  <c r="CL599" i="1" s="1"/>
  <c r="Y599" i="1"/>
  <c r="CE599" i="1" s="1"/>
  <c r="W599" i="1"/>
  <c r="M599" i="1"/>
  <c r="DA598" i="1"/>
  <c r="CZ598" i="1"/>
  <c r="CY598" i="1"/>
  <c r="CW598" i="1"/>
  <c r="CV598" i="1"/>
  <c r="BW598" i="1"/>
  <c r="BV598" i="1"/>
  <c r="BU598" i="1"/>
  <c r="BT598" i="1"/>
  <c r="BD598" i="1"/>
  <c r="BI598" i="1" s="1"/>
  <c r="BB598" i="1"/>
  <c r="AR598" i="1"/>
  <c r="Y598" i="1"/>
  <c r="W598" i="1"/>
  <c r="M598" i="1"/>
  <c r="DA597" i="1"/>
  <c r="CZ597" i="1"/>
  <c r="CY597" i="1"/>
  <c r="CW597" i="1"/>
  <c r="CV597" i="1"/>
  <c r="CL597" i="1"/>
  <c r="CH597" i="1"/>
  <c r="CG597" i="1"/>
  <c r="CF597" i="1"/>
  <c r="CD597" i="1"/>
  <c r="CC597" i="1"/>
  <c r="CB597" i="1"/>
  <c r="BW597" i="1"/>
  <c r="BV597" i="1"/>
  <c r="BU597" i="1"/>
  <c r="BT597" i="1"/>
  <c r="BS597" i="1"/>
  <c r="BI597" i="1"/>
  <c r="CM597" i="1" s="1"/>
  <c r="BD597" i="1"/>
  <c r="BB597" i="1"/>
  <c r="AR597" i="1"/>
  <c r="AD597" i="1"/>
  <c r="CO597" i="1" s="1"/>
  <c r="Y597" i="1"/>
  <c r="CE597" i="1" s="1"/>
  <c r="W597" i="1"/>
  <c r="M597" i="1"/>
  <c r="DA596" i="1"/>
  <c r="CZ596" i="1"/>
  <c r="CY596" i="1"/>
  <c r="CW596" i="1"/>
  <c r="CV596" i="1"/>
  <c r="CA596" i="1"/>
  <c r="BW596" i="1"/>
  <c r="BV596" i="1"/>
  <c r="BU596" i="1"/>
  <c r="BT596" i="1"/>
  <c r="BD596" i="1"/>
  <c r="BB596" i="1"/>
  <c r="AR596" i="1"/>
  <c r="Y596" i="1"/>
  <c r="CD596" i="1" s="1"/>
  <c r="W596" i="1"/>
  <c r="M596" i="1"/>
  <c r="DA595" i="1"/>
  <c r="CZ595" i="1"/>
  <c r="CY595" i="1"/>
  <c r="CW595" i="1"/>
  <c r="CV595" i="1"/>
  <c r="CP595" i="1"/>
  <c r="CH595" i="1"/>
  <c r="CG595" i="1"/>
  <c r="CF595" i="1"/>
  <c r="CD595" i="1"/>
  <c r="CC595" i="1"/>
  <c r="CB595" i="1"/>
  <c r="BW595" i="1"/>
  <c r="BV595" i="1"/>
  <c r="BU595" i="1"/>
  <c r="BT595" i="1"/>
  <c r="BS595" i="1"/>
  <c r="BI595" i="1"/>
  <c r="BD595" i="1"/>
  <c r="CA595" i="1" s="1"/>
  <c r="BB595" i="1"/>
  <c r="AR595" i="1"/>
  <c r="AD595" i="1"/>
  <c r="CK595" i="1" s="1"/>
  <c r="Y595" i="1"/>
  <c r="CE595" i="1" s="1"/>
  <c r="W595" i="1"/>
  <c r="M595" i="1"/>
  <c r="DA594" i="1"/>
  <c r="CZ594" i="1"/>
  <c r="CY594" i="1"/>
  <c r="CW594" i="1"/>
  <c r="CV594" i="1"/>
  <c r="BW594" i="1"/>
  <c r="BV594" i="1"/>
  <c r="BU594" i="1"/>
  <c r="BT594" i="1"/>
  <c r="BD594" i="1"/>
  <c r="BI594" i="1" s="1"/>
  <c r="BB594" i="1"/>
  <c r="AR594" i="1"/>
  <c r="Y594" i="1"/>
  <c r="W594" i="1"/>
  <c r="M594" i="1"/>
  <c r="DA593" i="1"/>
  <c r="CZ593" i="1"/>
  <c r="CY593" i="1"/>
  <c r="CW593" i="1"/>
  <c r="CV593" i="1"/>
  <c r="CL593" i="1"/>
  <c r="CH593" i="1"/>
  <c r="CG593" i="1"/>
  <c r="CF593" i="1"/>
  <c r="CD593" i="1"/>
  <c r="CC593" i="1"/>
  <c r="CB593" i="1"/>
  <c r="BW593" i="1"/>
  <c r="BV593" i="1"/>
  <c r="BU593" i="1"/>
  <c r="BT593" i="1"/>
  <c r="BS593" i="1"/>
  <c r="BI593" i="1"/>
  <c r="CK593" i="1" s="1"/>
  <c r="BD593" i="1"/>
  <c r="BB593" i="1"/>
  <c r="AR593" i="1"/>
  <c r="AD593" i="1"/>
  <c r="CO593" i="1" s="1"/>
  <c r="Y593" i="1"/>
  <c r="CE593" i="1" s="1"/>
  <c r="W593" i="1"/>
  <c r="M593" i="1"/>
  <c r="DA592" i="1"/>
  <c r="CZ592" i="1"/>
  <c r="CY592" i="1"/>
  <c r="CW592" i="1"/>
  <c r="BW592" i="1"/>
  <c r="BV592" i="1"/>
  <c r="BU592" i="1"/>
  <c r="BT592" i="1"/>
  <c r="BM592" i="1"/>
  <c r="BL592" i="1"/>
  <c r="CV592" i="1" s="1"/>
  <c r="BI592" i="1"/>
  <c r="BD592" i="1"/>
  <c r="BB592" i="1"/>
  <c r="AR592" i="1"/>
  <c r="AH592" i="1"/>
  <c r="AG592" i="1"/>
  <c r="Y592" i="1"/>
  <c r="W592" i="1"/>
  <c r="M592" i="1"/>
  <c r="DA591" i="1"/>
  <c r="CZ591" i="1"/>
  <c r="CY591" i="1"/>
  <c r="CW591" i="1"/>
  <c r="CV591" i="1"/>
  <c r="CH591" i="1"/>
  <c r="CG591" i="1"/>
  <c r="CF591" i="1"/>
  <c r="CE591" i="1"/>
  <c r="CD591" i="1"/>
  <c r="CC591" i="1"/>
  <c r="CB591" i="1"/>
  <c r="CA591" i="1"/>
  <c r="CI591" i="1" s="1"/>
  <c r="BW591" i="1"/>
  <c r="BV591" i="1"/>
  <c r="BU591" i="1"/>
  <c r="BT591" i="1"/>
  <c r="BS591" i="1"/>
  <c r="BI591" i="1"/>
  <c r="BB591" i="1"/>
  <c r="AR591" i="1"/>
  <c r="AD591" i="1"/>
  <c r="W591" i="1"/>
  <c r="M591" i="1"/>
  <c r="DA590" i="1"/>
  <c r="CZ590" i="1"/>
  <c r="CY590" i="1"/>
  <c r="CW590" i="1"/>
  <c r="CV590" i="1"/>
  <c r="CO590" i="1"/>
  <c r="CN590" i="1"/>
  <c r="CH590" i="1"/>
  <c r="CG590" i="1"/>
  <c r="CF590" i="1"/>
  <c r="CE590" i="1"/>
  <c r="CD590" i="1"/>
  <c r="CC590" i="1"/>
  <c r="CB590" i="1"/>
  <c r="CA590" i="1"/>
  <c r="BW590" i="1"/>
  <c r="BV590" i="1"/>
  <c r="BU590" i="1"/>
  <c r="BT590" i="1"/>
  <c r="BS590" i="1"/>
  <c r="BI590" i="1"/>
  <c r="CL590" i="1" s="1"/>
  <c r="BB590" i="1"/>
  <c r="AR590" i="1"/>
  <c r="AD590" i="1"/>
  <c r="CR590" i="1" s="1"/>
  <c r="W590" i="1"/>
  <c r="M590" i="1"/>
  <c r="DA589" i="1"/>
  <c r="CZ589" i="1"/>
  <c r="CY589" i="1"/>
  <c r="CW589" i="1"/>
  <c r="CV589" i="1"/>
  <c r="CK589" i="1"/>
  <c r="CH589" i="1"/>
  <c r="CG589" i="1"/>
  <c r="CF589" i="1"/>
  <c r="CE589" i="1"/>
  <c r="CD589" i="1"/>
  <c r="CC589" i="1"/>
  <c r="CB589" i="1"/>
  <c r="CA589" i="1"/>
  <c r="CI589" i="1" s="1"/>
  <c r="BW589" i="1"/>
  <c r="BV589" i="1"/>
  <c r="BU589" i="1"/>
  <c r="BT589" i="1"/>
  <c r="BS589" i="1"/>
  <c r="BI589" i="1"/>
  <c r="BB589" i="1"/>
  <c r="AR589" i="1"/>
  <c r="AD589" i="1"/>
  <c r="CN589" i="1" s="1"/>
  <c r="W589" i="1"/>
  <c r="M589" i="1"/>
  <c r="DA588" i="1"/>
  <c r="CZ588" i="1"/>
  <c r="CY588" i="1"/>
  <c r="CW588" i="1"/>
  <c r="CV588" i="1"/>
  <c r="CR588" i="1"/>
  <c r="CN588" i="1"/>
  <c r="CM588" i="1"/>
  <c r="CH588" i="1"/>
  <c r="CG588" i="1"/>
  <c r="CF588" i="1"/>
  <c r="CE588" i="1"/>
  <c r="CD588" i="1"/>
  <c r="CC588" i="1"/>
  <c r="CB588" i="1"/>
  <c r="CA588" i="1"/>
  <c r="CI588" i="1" s="1"/>
  <c r="BW588" i="1"/>
  <c r="BV588" i="1"/>
  <c r="BU588" i="1"/>
  <c r="BT588" i="1"/>
  <c r="BS588" i="1"/>
  <c r="BI588" i="1"/>
  <c r="CQ588" i="1" s="1"/>
  <c r="BB588" i="1"/>
  <c r="AR588" i="1"/>
  <c r="AD588" i="1"/>
  <c r="CP588" i="1" s="1"/>
  <c r="W588" i="1"/>
  <c r="M588" i="1"/>
  <c r="DA587" i="1"/>
  <c r="CZ587" i="1"/>
  <c r="CY587" i="1"/>
  <c r="CW587" i="1"/>
  <c r="CV587" i="1"/>
  <c r="CQ587" i="1"/>
  <c r="CH587" i="1"/>
  <c r="CG587" i="1"/>
  <c r="CF587" i="1"/>
  <c r="CE587" i="1"/>
  <c r="CD587" i="1"/>
  <c r="CC587" i="1"/>
  <c r="CB587" i="1"/>
  <c r="CA587" i="1"/>
  <c r="BX587" i="1"/>
  <c r="BW587" i="1"/>
  <c r="BV587" i="1"/>
  <c r="BU587" i="1"/>
  <c r="BT587" i="1"/>
  <c r="BS587" i="1"/>
  <c r="BI587" i="1"/>
  <c r="BB587" i="1"/>
  <c r="AR587" i="1"/>
  <c r="AD587" i="1"/>
  <c r="CL587" i="1" s="1"/>
  <c r="W587" i="1"/>
  <c r="M587" i="1"/>
  <c r="DA586" i="1"/>
  <c r="CZ586" i="1"/>
  <c r="CY586" i="1"/>
  <c r="CW586" i="1"/>
  <c r="CV586" i="1"/>
  <c r="CR586" i="1"/>
  <c r="CQ586" i="1"/>
  <c r="CM586" i="1"/>
  <c r="CL586" i="1"/>
  <c r="CH586" i="1"/>
  <c r="CG586" i="1"/>
  <c r="CF586" i="1"/>
  <c r="CE586" i="1"/>
  <c r="CD586" i="1"/>
  <c r="CC586" i="1"/>
  <c r="CB586" i="1"/>
  <c r="CA586" i="1"/>
  <c r="CI586" i="1" s="1"/>
  <c r="BX586" i="1"/>
  <c r="BW586" i="1"/>
  <c r="BV586" i="1"/>
  <c r="BU586" i="1"/>
  <c r="BT586" i="1"/>
  <c r="BS586" i="1"/>
  <c r="BI586" i="1"/>
  <c r="BB586" i="1"/>
  <c r="AR586" i="1"/>
  <c r="AD586" i="1"/>
  <c r="CP586" i="1" s="1"/>
  <c r="W586" i="1"/>
  <c r="M586" i="1"/>
  <c r="DA585" i="1"/>
  <c r="CZ585" i="1"/>
  <c r="CY585" i="1"/>
  <c r="CW585" i="1"/>
  <c r="CV585" i="1"/>
  <c r="CQ585" i="1"/>
  <c r="CH585" i="1"/>
  <c r="CG585" i="1"/>
  <c r="CF585" i="1"/>
  <c r="CE585" i="1"/>
  <c r="CD585" i="1"/>
  <c r="CC585" i="1"/>
  <c r="CB585" i="1"/>
  <c r="CA585" i="1"/>
  <c r="CI585" i="1" s="1"/>
  <c r="BX585" i="1"/>
  <c r="BW585" i="1"/>
  <c r="BV585" i="1"/>
  <c r="BU585" i="1"/>
  <c r="BT585" i="1"/>
  <c r="BS585" i="1"/>
  <c r="BI585" i="1"/>
  <c r="BB585" i="1"/>
  <c r="AR585" i="1"/>
  <c r="AD585" i="1"/>
  <c r="CL585" i="1" s="1"/>
  <c r="W585" i="1"/>
  <c r="M585" i="1"/>
  <c r="DA584" i="1"/>
  <c r="CZ584" i="1"/>
  <c r="CY584" i="1"/>
  <c r="CW584" i="1"/>
  <c r="CV584" i="1"/>
  <c r="CQ584" i="1"/>
  <c r="CM584" i="1"/>
  <c r="CL584" i="1"/>
  <c r="CH584" i="1"/>
  <c r="CG584" i="1"/>
  <c r="CF584" i="1"/>
  <c r="CE584" i="1"/>
  <c r="CD584" i="1"/>
  <c r="CC584" i="1"/>
  <c r="CB584" i="1"/>
  <c r="CA584" i="1"/>
  <c r="CI584" i="1" s="1"/>
  <c r="BX584" i="1"/>
  <c r="BW584" i="1"/>
  <c r="BV584" i="1"/>
  <c r="BU584" i="1"/>
  <c r="BT584" i="1"/>
  <c r="BS584" i="1"/>
  <c r="BM584" i="1"/>
  <c r="BI584" i="1"/>
  <c r="CP584" i="1" s="1"/>
  <c r="BB584" i="1"/>
  <c r="AR584" i="1"/>
  <c r="AD584" i="1"/>
  <c r="CO584" i="1" s="1"/>
  <c r="W584" i="1"/>
  <c r="M584" i="1"/>
  <c r="DA583" i="1"/>
  <c r="CZ583" i="1"/>
  <c r="CY583" i="1"/>
  <c r="CW583" i="1"/>
  <c r="CV583" i="1"/>
  <c r="CR583" i="1"/>
  <c r="CQ583" i="1"/>
  <c r="CO583" i="1"/>
  <c r="CN583" i="1"/>
  <c r="CH583" i="1"/>
  <c r="CG583" i="1"/>
  <c r="CF583" i="1"/>
  <c r="CE583" i="1"/>
  <c r="CD583" i="1"/>
  <c r="CC583" i="1"/>
  <c r="CB583" i="1"/>
  <c r="CA583" i="1"/>
  <c r="CI583" i="1" s="1"/>
  <c r="BX583" i="1"/>
  <c r="BW583" i="1"/>
  <c r="BV583" i="1"/>
  <c r="BU583" i="1"/>
  <c r="BT583" i="1"/>
  <c r="BS583" i="1"/>
  <c r="BI583" i="1"/>
  <c r="CM583" i="1" s="1"/>
  <c r="BB583" i="1"/>
  <c r="AR583" i="1"/>
  <c r="AD583" i="1"/>
  <c r="CP583" i="1" s="1"/>
  <c r="W583" i="1"/>
  <c r="M583" i="1"/>
  <c r="DA582" i="1"/>
  <c r="CZ582" i="1"/>
  <c r="CY582" i="1"/>
  <c r="CW582" i="1"/>
  <c r="CV582" i="1"/>
  <c r="CR582" i="1"/>
  <c r="CN582" i="1"/>
  <c r="CM582" i="1"/>
  <c r="CH582" i="1"/>
  <c r="CG582" i="1"/>
  <c r="CF582" i="1"/>
  <c r="CE582" i="1"/>
  <c r="CD582" i="1"/>
  <c r="CC582" i="1"/>
  <c r="CB582" i="1"/>
  <c r="CA582" i="1"/>
  <c r="BW582" i="1"/>
  <c r="BV582" i="1"/>
  <c r="BU582" i="1"/>
  <c r="BT582" i="1"/>
  <c r="BS582" i="1"/>
  <c r="BI582" i="1"/>
  <c r="CQ582" i="1" s="1"/>
  <c r="BB582" i="1"/>
  <c r="AR582" i="1"/>
  <c r="AD582" i="1"/>
  <c r="CP582" i="1" s="1"/>
  <c r="W582" i="1"/>
  <c r="M582" i="1"/>
  <c r="DA581" i="1"/>
  <c r="CZ581" i="1"/>
  <c r="CY581" i="1"/>
  <c r="CW581" i="1"/>
  <c r="CV581" i="1"/>
  <c r="CR581" i="1"/>
  <c r="CQ581" i="1"/>
  <c r="CO581" i="1"/>
  <c r="CN581" i="1"/>
  <c r="CH581" i="1"/>
  <c r="CG581" i="1"/>
  <c r="CF581" i="1"/>
  <c r="CE581" i="1"/>
  <c r="CD581" i="1"/>
  <c r="CC581" i="1"/>
  <c r="CB581" i="1"/>
  <c r="CA581" i="1"/>
  <c r="CI581" i="1" s="1"/>
  <c r="BX581" i="1"/>
  <c r="BW581" i="1"/>
  <c r="BV581" i="1"/>
  <c r="BU581" i="1"/>
  <c r="BT581" i="1"/>
  <c r="BS581" i="1"/>
  <c r="BI581" i="1"/>
  <c r="CM581" i="1" s="1"/>
  <c r="BB581" i="1"/>
  <c r="AR581" i="1"/>
  <c r="AD581" i="1"/>
  <c r="CP581" i="1" s="1"/>
  <c r="W581" i="1"/>
  <c r="M581" i="1"/>
  <c r="DA580" i="1"/>
  <c r="CZ580" i="1"/>
  <c r="CY580" i="1"/>
  <c r="CW580" i="1"/>
  <c r="CV580" i="1"/>
  <c r="CR580" i="1"/>
  <c r="CN580" i="1"/>
  <c r="CM580" i="1"/>
  <c r="CH580" i="1"/>
  <c r="CG580" i="1"/>
  <c r="CF580" i="1"/>
  <c r="CE580" i="1"/>
  <c r="CD580" i="1"/>
  <c r="CC580" i="1"/>
  <c r="CB580" i="1"/>
  <c r="CA580" i="1"/>
  <c r="CI580" i="1" s="1"/>
  <c r="BW580" i="1"/>
  <c r="BV580" i="1"/>
  <c r="BU580" i="1"/>
  <c r="BT580" i="1"/>
  <c r="BS580" i="1"/>
  <c r="BI580" i="1"/>
  <c r="CQ580" i="1" s="1"/>
  <c r="BB580" i="1"/>
  <c r="AR580" i="1"/>
  <c r="AD580" i="1"/>
  <c r="CP580" i="1" s="1"/>
  <c r="W580" i="1"/>
  <c r="M580" i="1"/>
  <c r="DA579" i="1"/>
  <c r="CZ579" i="1"/>
  <c r="CY579" i="1"/>
  <c r="CW579" i="1"/>
  <c r="CV579" i="1"/>
  <c r="CR579" i="1"/>
  <c r="CQ579" i="1"/>
  <c r="CO579" i="1"/>
  <c r="CN579" i="1"/>
  <c r="CH579" i="1"/>
  <c r="CG579" i="1"/>
  <c r="CF579" i="1"/>
  <c r="CE579" i="1"/>
  <c r="CD579" i="1"/>
  <c r="CC579" i="1"/>
  <c r="CB579" i="1"/>
  <c r="CA579" i="1"/>
  <c r="CI579" i="1" s="1"/>
  <c r="BX579" i="1"/>
  <c r="BW579" i="1"/>
  <c r="BV579" i="1"/>
  <c r="BU579" i="1"/>
  <c r="BT579" i="1"/>
  <c r="BS579" i="1"/>
  <c r="BI579" i="1"/>
  <c r="CM579" i="1" s="1"/>
  <c r="BB579" i="1"/>
  <c r="AR579" i="1"/>
  <c r="AD579" i="1"/>
  <c r="CP579" i="1" s="1"/>
  <c r="W579" i="1"/>
  <c r="M579" i="1"/>
  <c r="DA578" i="1"/>
  <c r="CZ578" i="1"/>
  <c r="CY578" i="1"/>
  <c r="CV578" i="1"/>
  <c r="CD578" i="1"/>
  <c r="CC578" i="1"/>
  <c r="BW578" i="1"/>
  <c r="BV578" i="1"/>
  <c r="BT578" i="1"/>
  <c r="BS578" i="1"/>
  <c r="BM578" i="1"/>
  <c r="BL578" i="1"/>
  <c r="BI578" i="1"/>
  <c r="BD578" i="1"/>
  <c r="BB578" i="1"/>
  <c r="AR578" i="1"/>
  <c r="AH578" i="1"/>
  <c r="CW578" i="1" s="1"/>
  <c r="AG578" i="1"/>
  <c r="AA578" i="1"/>
  <c r="BU578" i="1" s="1"/>
  <c r="Y578" i="1"/>
  <c r="CG578" i="1" s="1"/>
  <c r="W578" i="1"/>
  <c r="M578" i="1"/>
  <c r="G578" i="1"/>
  <c r="F578" i="1"/>
  <c r="E578" i="1"/>
  <c r="DA577" i="1"/>
  <c r="CZ577" i="1"/>
  <c r="CY577" i="1"/>
  <c r="CW577" i="1"/>
  <c r="CV577" i="1"/>
  <c r="CH577" i="1"/>
  <c r="CE577" i="1"/>
  <c r="CB577" i="1"/>
  <c r="CA577" i="1"/>
  <c r="BW577" i="1"/>
  <c r="BV577" i="1"/>
  <c r="BU577" i="1"/>
  <c r="BT577" i="1"/>
  <c r="BI577" i="1"/>
  <c r="BB577" i="1"/>
  <c r="AR577" i="1"/>
  <c r="Y577" i="1"/>
  <c r="CD577" i="1" s="1"/>
  <c r="W577" i="1"/>
  <c r="M577" i="1"/>
  <c r="DA576" i="1"/>
  <c r="CZ576" i="1"/>
  <c r="CY576" i="1"/>
  <c r="CW576" i="1"/>
  <c r="CV576" i="1"/>
  <c r="BW576" i="1"/>
  <c r="BV576" i="1"/>
  <c r="BU576" i="1"/>
  <c r="BT576" i="1"/>
  <c r="BI576" i="1"/>
  <c r="BB576" i="1"/>
  <c r="AR576" i="1"/>
  <c r="Y576" i="1"/>
  <c r="W576" i="1"/>
  <c r="M576" i="1"/>
  <c r="DA575" i="1"/>
  <c r="CZ575" i="1"/>
  <c r="CY575" i="1"/>
  <c r="CW575" i="1"/>
  <c r="CV575" i="1"/>
  <c r="CL575" i="1"/>
  <c r="CH575" i="1"/>
  <c r="CG575" i="1"/>
  <c r="CF575" i="1"/>
  <c r="CE575" i="1"/>
  <c r="CD575" i="1"/>
  <c r="CC575" i="1"/>
  <c r="CB575" i="1"/>
  <c r="CA575" i="1"/>
  <c r="BW575" i="1"/>
  <c r="BV575" i="1"/>
  <c r="BU575" i="1"/>
  <c r="BT575" i="1"/>
  <c r="BS575" i="1"/>
  <c r="BI575" i="1"/>
  <c r="CK575" i="1" s="1"/>
  <c r="BB575" i="1"/>
  <c r="AR575" i="1"/>
  <c r="AD575" i="1"/>
  <c r="CO575" i="1" s="1"/>
  <c r="W575" i="1"/>
  <c r="M575" i="1"/>
  <c r="DA574" i="1"/>
  <c r="CZ574" i="1"/>
  <c r="CY574" i="1"/>
  <c r="CW574" i="1"/>
  <c r="CV574" i="1"/>
  <c r="CO574" i="1"/>
  <c r="CN574" i="1"/>
  <c r="CH574" i="1"/>
  <c r="CG574" i="1"/>
  <c r="CF574" i="1"/>
  <c r="CE574" i="1"/>
  <c r="CD574" i="1"/>
  <c r="CC574" i="1"/>
  <c r="CB574" i="1"/>
  <c r="CA574" i="1"/>
  <c r="BW574" i="1"/>
  <c r="BV574" i="1"/>
  <c r="BU574" i="1"/>
  <c r="BT574" i="1"/>
  <c r="BS574" i="1"/>
  <c r="BI574" i="1"/>
  <c r="CK574" i="1" s="1"/>
  <c r="BB574" i="1"/>
  <c r="AR574" i="1"/>
  <c r="AD574" i="1"/>
  <c r="CR574" i="1" s="1"/>
  <c r="W574" i="1"/>
  <c r="M574" i="1"/>
  <c r="G574" i="1"/>
  <c r="F574" i="1"/>
  <c r="E574" i="1"/>
  <c r="DA573" i="1"/>
  <c r="CZ573" i="1"/>
  <c r="CY573" i="1"/>
  <c r="CW573" i="1"/>
  <c r="CV573" i="1"/>
  <c r="CR573" i="1"/>
  <c r="CQ573" i="1"/>
  <c r="CN573" i="1"/>
  <c r="CM573" i="1"/>
  <c r="CL573" i="1"/>
  <c r="CH573" i="1"/>
  <c r="CG573" i="1"/>
  <c r="CF573" i="1"/>
  <c r="CE573" i="1"/>
  <c r="CD573" i="1"/>
  <c r="CC573" i="1"/>
  <c r="CB573" i="1"/>
  <c r="CA573" i="1"/>
  <c r="CI573" i="1" s="1"/>
  <c r="BX573" i="1"/>
  <c r="BW573" i="1"/>
  <c r="BV573" i="1"/>
  <c r="BU573" i="1"/>
  <c r="BT573" i="1"/>
  <c r="BS573" i="1"/>
  <c r="BI573" i="1"/>
  <c r="BB573" i="1"/>
  <c r="AR573" i="1"/>
  <c r="AD573" i="1"/>
  <c r="CP573" i="1" s="1"/>
  <c r="W573" i="1"/>
  <c r="M573" i="1"/>
  <c r="G573" i="1"/>
  <c r="F573" i="1"/>
  <c r="E573" i="1"/>
  <c r="DA572" i="1"/>
  <c r="CZ572" i="1"/>
  <c r="CY572" i="1"/>
  <c r="CW572" i="1"/>
  <c r="CV572" i="1"/>
  <c r="CH572" i="1"/>
  <c r="CG572" i="1"/>
  <c r="CF572" i="1"/>
  <c r="CE572" i="1"/>
  <c r="CD572" i="1"/>
  <c r="CC572" i="1"/>
  <c r="CB572" i="1"/>
  <c r="CA572" i="1"/>
  <c r="CI572" i="1" s="1"/>
  <c r="BW572" i="1"/>
  <c r="BV572" i="1"/>
  <c r="BU572" i="1"/>
  <c r="BT572" i="1"/>
  <c r="BS572" i="1"/>
  <c r="BI572" i="1"/>
  <c r="CO572" i="1" s="1"/>
  <c r="BB572" i="1"/>
  <c r="AR572" i="1"/>
  <c r="AD572" i="1"/>
  <c r="W572" i="1"/>
  <c r="M572" i="1"/>
  <c r="DA571" i="1"/>
  <c r="CY571" i="1"/>
  <c r="CW571" i="1"/>
  <c r="CV571" i="1"/>
  <c r="CH571" i="1"/>
  <c r="CG571" i="1"/>
  <c r="CF571" i="1"/>
  <c r="CE571" i="1"/>
  <c r="CD571" i="1"/>
  <c r="CC571" i="1"/>
  <c r="CB571" i="1"/>
  <c r="CA571" i="1"/>
  <c r="BW571" i="1"/>
  <c r="BV571" i="1"/>
  <c r="BU571" i="1"/>
  <c r="BT571" i="1"/>
  <c r="BS571" i="1"/>
  <c r="BP571" i="1"/>
  <c r="CZ571" i="1" s="1"/>
  <c r="BO571" i="1"/>
  <c r="BI571" i="1"/>
  <c r="AR571" i="1"/>
  <c r="AD571" i="1"/>
  <c r="W571" i="1"/>
  <c r="M571" i="1"/>
  <c r="DA570" i="1"/>
  <c r="CZ570" i="1"/>
  <c r="CY570" i="1"/>
  <c r="CW570" i="1"/>
  <c r="CV570" i="1"/>
  <c r="CR570" i="1"/>
  <c r="CQ570" i="1"/>
  <c r="CN570" i="1"/>
  <c r="CM570" i="1"/>
  <c r="CL570" i="1"/>
  <c r="CH570" i="1"/>
  <c r="CG570" i="1"/>
  <c r="CF570" i="1"/>
  <c r="CE570" i="1"/>
  <c r="CD570" i="1"/>
  <c r="CC570" i="1"/>
  <c r="CB570" i="1"/>
  <c r="CA570" i="1"/>
  <c r="BX570" i="1"/>
  <c r="BW570" i="1"/>
  <c r="BV570" i="1"/>
  <c r="BU570" i="1"/>
  <c r="BT570" i="1"/>
  <c r="BS570" i="1"/>
  <c r="BI570" i="1"/>
  <c r="BB570" i="1"/>
  <c r="AR570" i="1"/>
  <c r="AD570" i="1"/>
  <c r="CP570" i="1" s="1"/>
  <c r="W570" i="1"/>
  <c r="M570" i="1"/>
  <c r="DA569" i="1"/>
  <c r="CZ569" i="1"/>
  <c r="CY569" i="1"/>
  <c r="CW569" i="1"/>
  <c r="CV569" i="1"/>
  <c r="CH569" i="1"/>
  <c r="CG569" i="1"/>
  <c r="CF569" i="1"/>
  <c r="CE569" i="1"/>
  <c r="CD569" i="1"/>
  <c r="CC569" i="1"/>
  <c r="CB569" i="1"/>
  <c r="CA569" i="1"/>
  <c r="BW569" i="1"/>
  <c r="BV569" i="1"/>
  <c r="BU569" i="1"/>
  <c r="BT569" i="1"/>
  <c r="BS569" i="1"/>
  <c r="BI569" i="1"/>
  <c r="BB569" i="1"/>
  <c r="AR569" i="1"/>
  <c r="AD569" i="1"/>
  <c r="W569" i="1"/>
  <c r="M569" i="1"/>
  <c r="DA568" i="1"/>
  <c r="CZ568" i="1"/>
  <c r="CY568" i="1"/>
  <c r="CW568" i="1"/>
  <c r="CV568" i="1"/>
  <c r="CK568" i="1"/>
  <c r="CH568" i="1"/>
  <c r="CG568" i="1"/>
  <c r="CF568" i="1"/>
  <c r="CE568" i="1"/>
  <c r="CD568" i="1"/>
  <c r="CC568" i="1"/>
  <c r="CB568" i="1"/>
  <c r="CA568" i="1"/>
  <c r="CI568" i="1" s="1"/>
  <c r="BW568" i="1"/>
  <c r="BV568" i="1"/>
  <c r="BU568" i="1"/>
  <c r="BT568" i="1"/>
  <c r="BS568" i="1"/>
  <c r="BI568" i="1"/>
  <c r="CO568" i="1" s="1"/>
  <c r="BB568" i="1"/>
  <c r="AR568" i="1"/>
  <c r="AD568" i="1"/>
  <c r="CN568" i="1" s="1"/>
  <c r="W568" i="1"/>
  <c r="M568" i="1"/>
  <c r="DA567" i="1"/>
  <c r="CZ567" i="1"/>
  <c r="CY567" i="1"/>
  <c r="CW567" i="1"/>
  <c r="CV567" i="1"/>
  <c r="CR567" i="1"/>
  <c r="CN567" i="1"/>
  <c r="CM567" i="1"/>
  <c r="CH567" i="1"/>
  <c r="CG567" i="1"/>
  <c r="CF567" i="1"/>
  <c r="CE567" i="1"/>
  <c r="CD567" i="1"/>
  <c r="CC567" i="1"/>
  <c r="CB567" i="1"/>
  <c r="CA567" i="1"/>
  <c r="CI567" i="1" s="1"/>
  <c r="BW567" i="1"/>
  <c r="BV567" i="1"/>
  <c r="BU567" i="1"/>
  <c r="BT567" i="1"/>
  <c r="BS567" i="1"/>
  <c r="BI567" i="1"/>
  <c r="CQ567" i="1" s="1"/>
  <c r="BB567" i="1"/>
  <c r="AR567" i="1"/>
  <c r="AD567" i="1"/>
  <c r="CP567" i="1" s="1"/>
  <c r="W567" i="1"/>
  <c r="M567" i="1"/>
  <c r="DA566" i="1"/>
  <c r="CZ566" i="1"/>
  <c r="CY566" i="1"/>
  <c r="CW566" i="1"/>
  <c r="CV566" i="1"/>
  <c r="CH566" i="1"/>
  <c r="CG566" i="1"/>
  <c r="CF566" i="1"/>
  <c r="CE566" i="1"/>
  <c r="CD566" i="1"/>
  <c r="CC566" i="1"/>
  <c r="CB566" i="1"/>
  <c r="CA566" i="1"/>
  <c r="CI566" i="1" s="1"/>
  <c r="BW566" i="1"/>
  <c r="BV566" i="1"/>
  <c r="BU566" i="1"/>
  <c r="BT566" i="1"/>
  <c r="BS566" i="1"/>
  <c r="BI566" i="1"/>
  <c r="BB566" i="1"/>
  <c r="AD566" i="1"/>
  <c r="W566" i="1"/>
  <c r="M566" i="1"/>
  <c r="DA565" i="1"/>
  <c r="CZ565" i="1"/>
  <c r="CY565" i="1"/>
  <c r="CW565" i="1"/>
  <c r="CV565" i="1"/>
  <c r="CM565" i="1"/>
  <c r="CL565" i="1"/>
  <c r="CH565" i="1"/>
  <c r="CG565" i="1"/>
  <c r="CF565" i="1"/>
  <c r="CE565" i="1"/>
  <c r="CD565" i="1"/>
  <c r="CC565" i="1"/>
  <c r="CB565" i="1"/>
  <c r="CA565" i="1"/>
  <c r="CI565" i="1" s="1"/>
  <c r="BW565" i="1"/>
  <c r="BV565" i="1"/>
  <c r="BU565" i="1"/>
  <c r="BT565" i="1"/>
  <c r="BS565" i="1"/>
  <c r="BI565" i="1"/>
  <c r="BB565" i="1"/>
  <c r="AD565" i="1"/>
  <c r="CP565" i="1" s="1"/>
  <c r="W565" i="1"/>
  <c r="M565" i="1"/>
  <c r="DA564" i="1"/>
  <c r="CZ564" i="1"/>
  <c r="CY564" i="1"/>
  <c r="CW564" i="1"/>
  <c r="CV564" i="1"/>
  <c r="CP564" i="1"/>
  <c r="CO564" i="1"/>
  <c r="CM564" i="1"/>
  <c r="CL564" i="1"/>
  <c r="CH564" i="1"/>
  <c r="CG564" i="1"/>
  <c r="CF564" i="1"/>
  <c r="CE564" i="1"/>
  <c r="CD564" i="1"/>
  <c r="CC564" i="1"/>
  <c r="CB564" i="1"/>
  <c r="CA564" i="1"/>
  <c r="BW564" i="1"/>
  <c r="BV564" i="1"/>
  <c r="BU564" i="1"/>
  <c r="BT564" i="1"/>
  <c r="BS564" i="1"/>
  <c r="BI564" i="1"/>
  <c r="BB564" i="1"/>
  <c r="AD564" i="1"/>
  <c r="CK564" i="1" s="1"/>
  <c r="W564" i="1"/>
  <c r="M564" i="1"/>
  <c r="DA563" i="1"/>
  <c r="CZ563" i="1"/>
  <c r="CY563" i="1"/>
  <c r="CW563" i="1"/>
  <c r="CV563" i="1"/>
  <c r="CR563" i="1"/>
  <c r="CQ563" i="1"/>
  <c r="CO563" i="1"/>
  <c r="CN563" i="1"/>
  <c r="CH563" i="1"/>
  <c r="CG563" i="1"/>
  <c r="CF563" i="1"/>
  <c r="CE563" i="1"/>
  <c r="CD563" i="1"/>
  <c r="CC563" i="1"/>
  <c r="CB563" i="1"/>
  <c r="CA563" i="1"/>
  <c r="CI563" i="1" s="1"/>
  <c r="BX563" i="1"/>
  <c r="BW563" i="1"/>
  <c r="BV563" i="1"/>
  <c r="BU563" i="1"/>
  <c r="BT563" i="1"/>
  <c r="BS563" i="1"/>
  <c r="BI563" i="1"/>
  <c r="CM563" i="1" s="1"/>
  <c r="BB563" i="1"/>
  <c r="AR563" i="1"/>
  <c r="AD563" i="1"/>
  <c r="CL563" i="1" s="1"/>
  <c r="W563" i="1"/>
  <c r="M563" i="1"/>
  <c r="DA562" i="1"/>
  <c r="CZ562" i="1"/>
  <c r="CY562" i="1"/>
  <c r="CW562" i="1"/>
  <c r="CV562" i="1"/>
  <c r="CR562" i="1"/>
  <c r="CN562" i="1"/>
  <c r="CM562" i="1"/>
  <c r="CH562" i="1"/>
  <c r="CG562" i="1"/>
  <c r="CF562" i="1"/>
  <c r="CE562" i="1"/>
  <c r="CD562" i="1"/>
  <c r="CC562" i="1"/>
  <c r="CB562" i="1"/>
  <c r="CA562" i="1"/>
  <c r="CI562" i="1" s="1"/>
  <c r="BW562" i="1"/>
  <c r="BV562" i="1"/>
  <c r="BU562" i="1"/>
  <c r="BT562" i="1"/>
  <c r="BS562" i="1"/>
  <c r="BI562" i="1"/>
  <c r="CO562" i="1" s="1"/>
  <c r="BB562" i="1"/>
  <c r="AD562" i="1"/>
  <c r="CQ562" i="1" s="1"/>
  <c r="W562" i="1"/>
  <c r="M562" i="1"/>
  <c r="DA561" i="1"/>
  <c r="CZ561" i="1"/>
  <c r="CY561" i="1"/>
  <c r="CW561" i="1"/>
  <c r="CV561" i="1"/>
  <c r="CH561" i="1"/>
  <c r="CG561" i="1"/>
  <c r="CF561" i="1"/>
  <c r="CE561" i="1"/>
  <c r="CD561" i="1"/>
  <c r="CC561" i="1"/>
  <c r="CB561" i="1"/>
  <c r="CA561" i="1"/>
  <c r="BW561" i="1"/>
  <c r="BV561" i="1"/>
  <c r="BU561" i="1"/>
  <c r="BT561" i="1"/>
  <c r="BS561" i="1"/>
  <c r="BI561" i="1"/>
  <c r="BB561" i="1"/>
  <c r="AD561" i="1"/>
  <c r="W561" i="1"/>
  <c r="M561" i="1"/>
  <c r="DA560" i="1"/>
  <c r="CZ560" i="1"/>
  <c r="CY560" i="1"/>
  <c r="CW560" i="1"/>
  <c r="CV560" i="1"/>
  <c r="CH560" i="1"/>
  <c r="CG560" i="1"/>
  <c r="CF560" i="1"/>
  <c r="CE560" i="1"/>
  <c r="CD560" i="1"/>
  <c r="CC560" i="1"/>
  <c r="CB560" i="1"/>
  <c r="CA560" i="1"/>
  <c r="BW560" i="1"/>
  <c r="BV560" i="1"/>
  <c r="BU560" i="1"/>
  <c r="BT560" i="1"/>
  <c r="BS560" i="1"/>
  <c r="BI560" i="1"/>
  <c r="CP560" i="1" s="1"/>
  <c r="BB560" i="1"/>
  <c r="AD560" i="1"/>
  <c r="W560" i="1"/>
  <c r="M560" i="1"/>
  <c r="DA559" i="1"/>
  <c r="CZ559" i="1"/>
  <c r="CY559" i="1"/>
  <c r="CW559" i="1"/>
  <c r="CV559" i="1"/>
  <c r="CH559" i="1"/>
  <c r="CG559" i="1"/>
  <c r="CF559" i="1"/>
  <c r="CE559" i="1"/>
  <c r="CD559" i="1"/>
  <c r="CC559" i="1"/>
  <c r="CB559" i="1"/>
  <c r="CA559" i="1"/>
  <c r="BW559" i="1"/>
  <c r="BV559" i="1"/>
  <c r="BU559" i="1"/>
  <c r="BT559" i="1"/>
  <c r="BS559" i="1"/>
  <c r="BI559" i="1"/>
  <c r="CN559" i="1" s="1"/>
  <c r="BB559" i="1"/>
  <c r="AD559" i="1"/>
  <c r="W559" i="1"/>
  <c r="M559" i="1"/>
  <c r="DA558" i="1"/>
  <c r="CZ558" i="1"/>
  <c r="CY558" i="1"/>
  <c r="CW558" i="1"/>
  <c r="CV558" i="1"/>
  <c r="CH558" i="1"/>
  <c r="CG558" i="1"/>
  <c r="CF558" i="1"/>
  <c r="CE558" i="1"/>
  <c r="CD558" i="1"/>
  <c r="CC558" i="1"/>
  <c r="CB558" i="1"/>
  <c r="CA558" i="1"/>
  <c r="BW558" i="1"/>
  <c r="BV558" i="1"/>
  <c r="BU558" i="1"/>
  <c r="BT558" i="1"/>
  <c r="BS558" i="1"/>
  <c r="BI558" i="1"/>
  <c r="BB558" i="1"/>
  <c r="AR558" i="1"/>
  <c r="AD558" i="1"/>
  <c r="W558" i="1"/>
  <c r="M558" i="1"/>
  <c r="DA557" i="1"/>
  <c r="CZ557" i="1"/>
  <c r="CY557" i="1"/>
  <c r="CW557" i="1"/>
  <c r="CV557" i="1"/>
  <c r="CL557" i="1"/>
  <c r="CH557" i="1"/>
  <c r="CG557" i="1"/>
  <c r="CF557" i="1"/>
  <c r="CE557" i="1"/>
  <c r="CD557" i="1"/>
  <c r="CC557" i="1"/>
  <c r="CB557" i="1"/>
  <c r="CA557" i="1"/>
  <c r="CI557" i="1" s="1"/>
  <c r="BW557" i="1"/>
  <c r="BV557" i="1"/>
  <c r="BU557" i="1"/>
  <c r="BT557" i="1"/>
  <c r="BS557" i="1"/>
  <c r="BI557" i="1"/>
  <c r="BB557" i="1"/>
  <c r="AD557" i="1"/>
  <c r="CQ557" i="1" s="1"/>
  <c r="W557" i="1"/>
  <c r="M557" i="1"/>
  <c r="DA556" i="1"/>
  <c r="CZ556" i="1"/>
  <c r="CY556" i="1"/>
  <c r="CW556" i="1"/>
  <c r="CV556" i="1"/>
  <c r="CP556" i="1"/>
  <c r="CO556" i="1"/>
  <c r="CM556" i="1"/>
  <c r="CL556" i="1"/>
  <c r="CH556" i="1"/>
  <c r="CG556" i="1"/>
  <c r="CF556" i="1"/>
  <c r="CE556" i="1"/>
  <c r="CD556" i="1"/>
  <c r="CC556" i="1"/>
  <c r="CB556" i="1"/>
  <c r="CA556" i="1"/>
  <c r="BW556" i="1"/>
  <c r="BV556" i="1"/>
  <c r="BU556" i="1"/>
  <c r="BT556" i="1"/>
  <c r="BS556" i="1"/>
  <c r="BI556" i="1"/>
  <c r="BB556" i="1"/>
  <c r="AD556" i="1"/>
  <c r="CK556" i="1" s="1"/>
  <c r="W556" i="1"/>
  <c r="M556" i="1"/>
  <c r="DA555" i="1"/>
  <c r="CZ555" i="1"/>
  <c r="CY555" i="1"/>
  <c r="CW555" i="1"/>
  <c r="CV555" i="1"/>
  <c r="CR555" i="1"/>
  <c r="CK555" i="1"/>
  <c r="CH555" i="1"/>
  <c r="CG555" i="1"/>
  <c r="CF555" i="1"/>
  <c r="CE555" i="1"/>
  <c r="CD555" i="1"/>
  <c r="CC555" i="1"/>
  <c r="CB555" i="1"/>
  <c r="CA555" i="1"/>
  <c r="CI555" i="1" s="1"/>
  <c r="BW555" i="1"/>
  <c r="BV555" i="1"/>
  <c r="BU555" i="1"/>
  <c r="BT555" i="1"/>
  <c r="BS555" i="1"/>
  <c r="BI555" i="1"/>
  <c r="BB555" i="1"/>
  <c r="AD555" i="1"/>
  <c r="CM555" i="1" s="1"/>
  <c r="W555" i="1"/>
  <c r="M555" i="1"/>
  <c r="DA554" i="1"/>
  <c r="CZ554" i="1"/>
  <c r="CY554" i="1"/>
  <c r="CW554" i="1"/>
  <c r="CV554" i="1"/>
  <c r="CR554" i="1"/>
  <c r="CN554" i="1"/>
  <c r="CM554" i="1"/>
  <c r="CH554" i="1"/>
  <c r="CG554" i="1"/>
  <c r="CF554" i="1"/>
  <c r="CE554" i="1"/>
  <c r="CD554" i="1"/>
  <c r="CC554" i="1"/>
  <c r="CB554" i="1"/>
  <c r="CA554" i="1"/>
  <c r="CI554" i="1" s="1"/>
  <c r="BW554" i="1"/>
  <c r="BV554" i="1"/>
  <c r="BU554" i="1"/>
  <c r="BT554" i="1"/>
  <c r="BS554" i="1"/>
  <c r="BI554" i="1"/>
  <c r="CO554" i="1" s="1"/>
  <c r="BB554" i="1"/>
  <c r="AD554" i="1"/>
  <c r="CQ554" i="1" s="1"/>
  <c r="W554" i="1"/>
  <c r="M554" i="1"/>
  <c r="DA553" i="1"/>
  <c r="CZ553" i="1"/>
  <c r="CY553" i="1"/>
  <c r="CW553" i="1"/>
  <c r="CV553" i="1"/>
  <c r="CQ553" i="1"/>
  <c r="CP553" i="1"/>
  <c r="CM553" i="1"/>
  <c r="CH553" i="1"/>
  <c r="CG553" i="1"/>
  <c r="CF553" i="1"/>
  <c r="CE553" i="1"/>
  <c r="CD553" i="1"/>
  <c r="CC553" i="1"/>
  <c r="CB553" i="1"/>
  <c r="CA553" i="1"/>
  <c r="BW553" i="1"/>
  <c r="BV553" i="1"/>
  <c r="BU553" i="1"/>
  <c r="BT553" i="1"/>
  <c r="BS553" i="1"/>
  <c r="BI553" i="1"/>
  <c r="BB553" i="1"/>
  <c r="AD553" i="1"/>
  <c r="W553" i="1"/>
  <c r="M553" i="1"/>
  <c r="DA552" i="1"/>
  <c r="CZ552" i="1"/>
  <c r="CY552" i="1"/>
  <c r="CW552" i="1"/>
  <c r="CV552" i="1"/>
  <c r="CK552" i="1"/>
  <c r="CH552" i="1"/>
  <c r="CG552" i="1"/>
  <c r="CF552" i="1"/>
  <c r="CE552" i="1"/>
  <c r="CD552" i="1"/>
  <c r="CC552" i="1"/>
  <c r="CB552" i="1"/>
  <c r="CA552" i="1"/>
  <c r="CI552" i="1" s="1"/>
  <c r="BW552" i="1"/>
  <c r="BV552" i="1"/>
  <c r="BU552" i="1"/>
  <c r="BT552" i="1"/>
  <c r="BS552" i="1"/>
  <c r="BI552" i="1"/>
  <c r="CR552" i="1" s="1"/>
  <c r="BB552" i="1"/>
  <c r="AR552" i="1"/>
  <c r="AD552" i="1"/>
  <c r="W552" i="1"/>
  <c r="M552" i="1"/>
  <c r="DA551" i="1"/>
  <c r="CZ551" i="1"/>
  <c r="CY551" i="1"/>
  <c r="CW551" i="1"/>
  <c r="CV551" i="1"/>
  <c r="CH551" i="1"/>
  <c r="CG551" i="1"/>
  <c r="CF551" i="1"/>
  <c r="CE551" i="1"/>
  <c r="CD551" i="1"/>
  <c r="CC551" i="1"/>
  <c r="CB551" i="1"/>
  <c r="CA551" i="1"/>
  <c r="BW551" i="1"/>
  <c r="BV551" i="1"/>
  <c r="BU551" i="1"/>
  <c r="BT551" i="1"/>
  <c r="BS551" i="1"/>
  <c r="BI551" i="1"/>
  <c r="CL551" i="1" s="1"/>
  <c r="BB551" i="1"/>
  <c r="AR551" i="1"/>
  <c r="AD551" i="1"/>
  <c r="W551" i="1"/>
  <c r="M551" i="1"/>
  <c r="DA550" i="1"/>
  <c r="CZ550" i="1"/>
  <c r="CY550" i="1"/>
  <c r="CW550" i="1"/>
  <c r="CV550" i="1"/>
  <c r="CR550" i="1"/>
  <c r="CQ550" i="1"/>
  <c r="CN550" i="1"/>
  <c r="CH550" i="1"/>
  <c r="CG550" i="1"/>
  <c r="CF550" i="1"/>
  <c r="CE550" i="1"/>
  <c r="CD550" i="1"/>
  <c r="CC550" i="1"/>
  <c r="CB550" i="1"/>
  <c r="CA550" i="1"/>
  <c r="CI550" i="1" s="1"/>
  <c r="BX550" i="1"/>
  <c r="BW550" i="1"/>
  <c r="BV550" i="1"/>
  <c r="BU550" i="1"/>
  <c r="BT550" i="1"/>
  <c r="BS550" i="1"/>
  <c r="BI550" i="1"/>
  <c r="CM550" i="1" s="1"/>
  <c r="BB550" i="1"/>
  <c r="AR550" i="1"/>
  <c r="AD550" i="1"/>
  <c r="CL550" i="1" s="1"/>
  <c r="W550" i="1"/>
  <c r="M550" i="1"/>
  <c r="DA549" i="1"/>
  <c r="CZ549" i="1"/>
  <c r="CY549" i="1"/>
  <c r="CW549" i="1"/>
  <c r="CV549" i="1"/>
  <c r="CR549" i="1"/>
  <c r="CN549" i="1"/>
  <c r="CM549" i="1"/>
  <c r="CH549" i="1"/>
  <c r="CG549" i="1"/>
  <c r="CF549" i="1"/>
  <c r="CE549" i="1"/>
  <c r="CD549" i="1"/>
  <c r="CC549" i="1"/>
  <c r="CB549" i="1"/>
  <c r="CA549" i="1"/>
  <c r="CI549" i="1" s="1"/>
  <c r="BW549" i="1"/>
  <c r="BV549" i="1"/>
  <c r="BU549" i="1"/>
  <c r="BT549" i="1"/>
  <c r="BS549" i="1"/>
  <c r="BI549" i="1"/>
  <c r="CQ549" i="1" s="1"/>
  <c r="BB549" i="1"/>
  <c r="AR549" i="1"/>
  <c r="AD549" i="1"/>
  <c r="CP549" i="1" s="1"/>
  <c r="W549" i="1"/>
  <c r="M549" i="1"/>
  <c r="DA548" i="1"/>
  <c r="CZ548" i="1"/>
  <c r="CY548" i="1"/>
  <c r="CW548" i="1"/>
  <c r="CV548" i="1"/>
  <c r="CQ548" i="1"/>
  <c r="CM548" i="1"/>
  <c r="CH548" i="1"/>
  <c r="CG548" i="1"/>
  <c r="CF548" i="1"/>
  <c r="CE548" i="1"/>
  <c r="CD548" i="1"/>
  <c r="CC548" i="1"/>
  <c r="CB548" i="1"/>
  <c r="CA548" i="1"/>
  <c r="CI548" i="1" s="1"/>
  <c r="BW548" i="1"/>
  <c r="BV548" i="1"/>
  <c r="BU548" i="1"/>
  <c r="BT548" i="1"/>
  <c r="BS548" i="1"/>
  <c r="BI548" i="1"/>
  <c r="BB548" i="1"/>
  <c r="AR548" i="1"/>
  <c r="AD548" i="1"/>
  <c r="W548" i="1"/>
  <c r="M548" i="1"/>
  <c r="DA547" i="1"/>
  <c r="CZ547" i="1"/>
  <c r="CY547" i="1"/>
  <c r="CW547" i="1"/>
  <c r="CV547" i="1"/>
  <c r="CR547" i="1"/>
  <c r="CQ547" i="1"/>
  <c r="CN547" i="1"/>
  <c r="CM547" i="1"/>
  <c r="CL547" i="1"/>
  <c r="CH547" i="1"/>
  <c r="CG547" i="1"/>
  <c r="CF547" i="1"/>
  <c r="CE547" i="1"/>
  <c r="CD547" i="1"/>
  <c r="CC547" i="1"/>
  <c r="CB547" i="1"/>
  <c r="CA547" i="1"/>
  <c r="BX547" i="1"/>
  <c r="BW547" i="1"/>
  <c r="BV547" i="1"/>
  <c r="BU547" i="1"/>
  <c r="BT547" i="1"/>
  <c r="BS547" i="1"/>
  <c r="BI547" i="1"/>
  <c r="BB547" i="1"/>
  <c r="AR547" i="1"/>
  <c r="AD547" i="1"/>
  <c r="CP547" i="1" s="1"/>
  <c r="W547" i="1"/>
  <c r="M547" i="1"/>
  <c r="DA546" i="1"/>
  <c r="CZ546" i="1"/>
  <c r="CY546" i="1"/>
  <c r="CW546" i="1"/>
  <c r="CV546" i="1"/>
  <c r="CQ546" i="1"/>
  <c r="CP546" i="1"/>
  <c r="CO546" i="1"/>
  <c r="CL546" i="1"/>
  <c r="CH546" i="1"/>
  <c r="CG546" i="1"/>
  <c r="CF546" i="1"/>
  <c r="CE546" i="1"/>
  <c r="CD546" i="1"/>
  <c r="CC546" i="1"/>
  <c r="CB546" i="1"/>
  <c r="CA546" i="1"/>
  <c r="BX546" i="1"/>
  <c r="BW546" i="1"/>
  <c r="BV546" i="1"/>
  <c r="BU546" i="1"/>
  <c r="BT546" i="1"/>
  <c r="BS546" i="1"/>
  <c r="BI546" i="1"/>
  <c r="BB546" i="1"/>
  <c r="AR546" i="1"/>
  <c r="AD546" i="1"/>
  <c r="W546" i="1"/>
  <c r="M546" i="1"/>
  <c r="DA545" i="1"/>
  <c r="CZ545" i="1"/>
  <c r="CY545" i="1"/>
  <c r="CW545" i="1"/>
  <c r="CV545" i="1"/>
  <c r="CQ545" i="1"/>
  <c r="CP545" i="1"/>
  <c r="CM545" i="1"/>
  <c r="CK545" i="1"/>
  <c r="CH545" i="1"/>
  <c r="CG545" i="1"/>
  <c r="CF545" i="1"/>
  <c r="CE545" i="1"/>
  <c r="CD545" i="1"/>
  <c r="CC545" i="1"/>
  <c r="CB545" i="1"/>
  <c r="CA545" i="1"/>
  <c r="BX545" i="1"/>
  <c r="BW545" i="1"/>
  <c r="BV545" i="1"/>
  <c r="BU545" i="1"/>
  <c r="BT545" i="1"/>
  <c r="BS545" i="1"/>
  <c r="BI545" i="1"/>
  <c r="BB545" i="1"/>
  <c r="AR545" i="1"/>
  <c r="AD545" i="1"/>
  <c r="W545" i="1"/>
  <c r="M545" i="1"/>
  <c r="DA544" i="1"/>
  <c r="CZ544" i="1"/>
  <c r="CY544" i="1"/>
  <c r="CW544" i="1"/>
  <c r="CV544" i="1"/>
  <c r="CP544" i="1"/>
  <c r="CH544" i="1"/>
  <c r="CG544" i="1"/>
  <c r="CF544" i="1"/>
  <c r="CE544" i="1"/>
  <c r="CD544" i="1"/>
  <c r="CC544" i="1"/>
  <c r="CB544" i="1"/>
  <c r="CA544" i="1"/>
  <c r="BW544" i="1"/>
  <c r="BV544" i="1"/>
  <c r="BU544" i="1"/>
  <c r="BT544" i="1"/>
  <c r="BS544" i="1"/>
  <c r="BI544" i="1"/>
  <c r="BB544" i="1"/>
  <c r="AR544" i="1"/>
  <c r="AD544" i="1"/>
  <c r="CQ544" i="1" s="1"/>
  <c r="W544" i="1"/>
  <c r="M544" i="1"/>
  <c r="DA543" i="1"/>
  <c r="CZ543" i="1"/>
  <c r="CY543" i="1"/>
  <c r="CW543" i="1"/>
  <c r="CV543" i="1"/>
  <c r="CP543" i="1"/>
  <c r="CH543" i="1"/>
  <c r="CG543" i="1"/>
  <c r="CF543" i="1"/>
  <c r="CE543" i="1"/>
  <c r="CD543" i="1"/>
  <c r="CC543" i="1"/>
  <c r="CB543" i="1"/>
  <c r="CA543" i="1"/>
  <c r="BW543" i="1"/>
  <c r="BV543" i="1"/>
  <c r="BU543" i="1"/>
  <c r="BT543" i="1"/>
  <c r="BS543" i="1"/>
  <c r="BI543" i="1"/>
  <c r="BB543" i="1"/>
  <c r="AR543" i="1"/>
  <c r="AD543" i="1"/>
  <c r="CQ543" i="1" s="1"/>
  <c r="W543" i="1"/>
  <c r="M543" i="1"/>
  <c r="DA542" i="1"/>
  <c r="CZ542" i="1"/>
  <c r="CY542" i="1"/>
  <c r="CW542" i="1"/>
  <c r="CV542" i="1"/>
  <c r="CO542" i="1"/>
  <c r="CL542" i="1"/>
  <c r="CH542" i="1"/>
  <c r="CG542" i="1"/>
  <c r="CF542" i="1"/>
  <c r="CE542" i="1"/>
  <c r="CD542" i="1"/>
  <c r="CC542" i="1"/>
  <c r="CB542" i="1"/>
  <c r="CA542" i="1"/>
  <c r="BW542" i="1"/>
  <c r="BV542" i="1"/>
  <c r="BU542" i="1"/>
  <c r="BT542" i="1"/>
  <c r="BS542" i="1"/>
  <c r="BI542" i="1"/>
  <c r="BB542" i="1"/>
  <c r="AR542" i="1"/>
  <c r="AD542" i="1"/>
  <c r="CQ542" i="1" s="1"/>
  <c r="W542" i="1"/>
  <c r="M542" i="1"/>
  <c r="BI541" i="1"/>
  <c r="AR541" i="1"/>
  <c r="AD541" i="1"/>
  <c r="M541" i="1"/>
  <c r="DA540" i="1"/>
  <c r="CZ540" i="1"/>
  <c r="CY540" i="1"/>
  <c r="CW540" i="1"/>
  <c r="CV540" i="1"/>
  <c r="CO540" i="1"/>
  <c r="CL540" i="1"/>
  <c r="CH540" i="1"/>
  <c r="CG540" i="1"/>
  <c r="CF540" i="1"/>
  <c r="CE540" i="1"/>
  <c r="CD540" i="1"/>
  <c r="CC540" i="1"/>
  <c r="CB540" i="1"/>
  <c r="CA540" i="1"/>
  <c r="BW540" i="1"/>
  <c r="BV540" i="1"/>
  <c r="BU540" i="1"/>
  <c r="BT540" i="1"/>
  <c r="BS540" i="1"/>
  <c r="BI540" i="1"/>
  <c r="BB540" i="1"/>
  <c r="AR540" i="1"/>
  <c r="AD540" i="1"/>
  <c r="CP540" i="1" s="1"/>
  <c r="W540" i="1"/>
  <c r="M540" i="1"/>
  <c r="DA539" i="1"/>
  <c r="CZ539" i="1"/>
  <c r="CY539" i="1"/>
  <c r="CW539" i="1"/>
  <c r="CV539" i="1"/>
  <c r="CO539" i="1"/>
  <c r="CH539" i="1"/>
  <c r="CG539" i="1"/>
  <c r="CF539" i="1"/>
  <c r="CE539" i="1"/>
  <c r="CD539" i="1"/>
  <c r="CC539" i="1"/>
  <c r="CB539" i="1"/>
  <c r="CA539" i="1"/>
  <c r="CI539" i="1" s="1"/>
  <c r="BW539" i="1"/>
  <c r="BV539" i="1"/>
  <c r="BU539" i="1"/>
  <c r="BT539" i="1"/>
  <c r="BS539" i="1"/>
  <c r="BI539" i="1"/>
  <c r="BB539" i="1"/>
  <c r="AR539" i="1"/>
  <c r="AD539" i="1"/>
  <c r="CR539" i="1" s="1"/>
  <c r="W539" i="1"/>
  <c r="M539" i="1"/>
  <c r="DA538" i="1"/>
  <c r="CZ538" i="1"/>
  <c r="CY538" i="1"/>
  <c r="CW538" i="1"/>
  <c r="CV538" i="1"/>
  <c r="CH538" i="1"/>
  <c r="CG538" i="1"/>
  <c r="CF538" i="1"/>
  <c r="CE538" i="1"/>
  <c r="CD538" i="1"/>
  <c r="CC538" i="1"/>
  <c r="CB538" i="1"/>
  <c r="CA538" i="1"/>
  <c r="CI538" i="1" s="1"/>
  <c r="BW538" i="1"/>
  <c r="BV538" i="1"/>
  <c r="BU538" i="1"/>
  <c r="BT538" i="1"/>
  <c r="BS538" i="1"/>
  <c r="BI538" i="1"/>
  <c r="BX538" i="1" s="1"/>
  <c r="BB538" i="1"/>
  <c r="AR538" i="1"/>
  <c r="AL538" i="1"/>
  <c r="AD538" i="1"/>
  <c r="CN538" i="1" s="1"/>
  <c r="W538" i="1"/>
  <c r="M538" i="1"/>
  <c r="DA537" i="1"/>
  <c r="CZ537" i="1"/>
  <c r="CY537" i="1"/>
  <c r="CW537" i="1"/>
  <c r="CV537" i="1"/>
  <c r="CO537" i="1"/>
  <c r="CH537" i="1"/>
  <c r="CG537" i="1"/>
  <c r="CF537" i="1"/>
  <c r="CE537" i="1"/>
  <c r="CD537" i="1"/>
  <c r="CC537" i="1"/>
  <c r="CB537" i="1"/>
  <c r="CA537" i="1"/>
  <c r="CI537" i="1" s="1"/>
  <c r="BW537" i="1"/>
  <c r="BV537" i="1"/>
  <c r="BU537" i="1"/>
  <c r="BT537" i="1"/>
  <c r="BS537" i="1"/>
  <c r="BI537" i="1"/>
  <c r="BB537" i="1"/>
  <c r="AR537" i="1"/>
  <c r="AD537" i="1"/>
  <c r="CR537" i="1" s="1"/>
  <c r="W537" i="1"/>
  <c r="M537" i="1"/>
  <c r="DA536" i="1"/>
  <c r="CZ536" i="1"/>
  <c r="CY536" i="1"/>
  <c r="CW536" i="1"/>
  <c r="CV536" i="1"/>
  <c r="CP536" i="1"/>
  <c r="CN536" i="1"/>
  <c r="CK536" i="1"/>
  <c r="CH536" i="1"/>
  <c r="CG536" i="1"/>
  <c r="CF536" i="1"/>
  <c r="CE536" i="1"/>
  <c r="CD536" i="1"/>
  <c r="CC536" i="1"/>
  <c r="CB536" i="1"/>
  <c r="CA536" i="1"/>
  <c r="CI536" i="1" s="1"/>
  <c r="BW536" i="1"/>
  <c r="BV536" i="1"/>
  <c r="BU536" i="1"/>
  <c r="BT536" i="1"/>
  <c r="BS536" i="1"/>
  <c r="BI536" i="1"/>
  <c r="BB536" i="1"/>
  <c r="AR536" i="1"/>
  <c r="AD536" i="1"/>
  <c r="CR536" i="1" s="1"/>
  <c r="W536" i="1"/>
  <c r="M536" i="1"/>
  <c r="DA535" i="1"/>
  <c r="CZ535" i="1"/>
  <c r="CY535" i="1"/>
  <c r="CW535" i="1"/>
  <c r="CV535" i="1"/>
  <c r="CR535" i="1"/>
  <c r="CO535" i="1"/>
  <c r="CK535" i="1"/>
  <c r="CH535" i="1"/>
  <c r="CG535" i="1"/>
  <c r="CF535" i="1"/>
  <c r="CE535" i="1"/>
  <c r="CD535" i="1"/>
  <c r="CC535" i="1"/>
  <c r="CB535" i="1"/>
  <c r="CA535" i="1"/>
  <c r="CI535" i="1" s="1"/>
  <c r="BW535" i="1"/>
  <c r="BV535" i="1"/>
  <c r="BU535" i="1"/>
  <c r="BT535" i="1"/>
  <c r="BS535" i="1"/>
  <c r="BI535" i="1"/>
  <c r="CP535" i="1" s="1"/>
  <c r="BB535" i="1"/>
  <c r="AR535" i="1"/>
  <c r="AD535" i="1"/>
  <c r="W535" i="1"/>
  <c r="M535" i="1"/>
  <c r="DA534" i="1"/>
  <c r="CZ534" i="1"/>
  <c r="CY534" i="1"/>
  <c r="CW534" i="1"/>
  <c r="CV534" i="1"/>
  <c r="CH534" i="1"/>
  <c r="CG534" i="1"/>
  <c r="CF534" i="1"/>
  <c r="CE534" i="1"/>
  <c r="CD534" i="1"/>
  <c r="CC534" i="1"/>
  <c r="CB534" i="1"/>
  <c r="CA534" i="1"/>
  <c r="CI534" i="1" s="1"/>
  <c r="BW534" i="1"/>
  <c r="BV534" i="1"/>
  <c r="BU534" i="1"/>
  <c r="BT534" i="1"/>
  <c r="BS534" i="1"/>
  <c r="BI534" i="1"/>
  <c r="BB534" i="1"/>
  <c r="AR534" i="1"/>
  <c r="AD534" i="1"/>
  <c r="W534" i="1"/>
  <c r="M534" i="1"/>
  <c r="DA533" i="1"/>
  <c r="CZ533" i="1"/>
  <c r="CY533" i="1"/>
  <c r="CW533" i="1"/>
  <c r="CV533" i="1"/>
  <c r="CR533" i="1"/>
  <c r="CO533" i="1"/>
  <c r="CN533" i="1"/>
  <c r="CH533" i="1"/>
  <c r="CG533" i="1"/>
  <c r="CF533" i="1"/>
  <c r="CE533" i="1"/>
  <c r="CD533" i="1"/>
  <c r="CC533" i="1"/>
  <c r="CB533" i="1"/>
  <c r="CA533" i="1"/>
  <c r="CI533" i="1" s="1"/>
  <c r="BW533" i="1"/>
  <c r="BV533" i="1"/>
  <c r="BU533" i="1"/>
  <c r="BT533" i="1"/>
  <c r="BS533" i="1"/>
  <c r="BI533" i="1"/>
  <c r="CL533" i="1" s="1"/>
  <c r="BB533" i="1"/>
  <c r="AR533" i="1"/>
  <c r="AD533" i="1"/>
  <c r="CP533" i="1" s="1"/>
  <c r="W533" i="1"/>
  <c r="M533" i="1"/>
  <c r="DA532" i="1"/>
  <c r="CZ532" i="1"/>
  <c r="CY532" i="1"/>
  <c r="CW532" i="1"/>
  <c r="CV532" i="1"/>
  <c r="CE532" i="1"/>
  <c r="BW532" i="1"/>
  <c r="BV532" i="1"/>
  <c r="BU532" i="1"/>
  <c r="BT532" i="1"/>
  <c r="BD532" i="1"/>
  <c r="BI532" i="1" s="1"/>
  <c r="CQ532" i="1" s="1"/>
  <c r="BB532" i="1"/>
  <c r="AR532" i="1"/>
  <c r="AD532" i="1"/>
  <c r="CR532" i="1" s="1"/>
  <c r="Y532" i="1"/>
  <c r="CF532" i="1" s="1"/>
  <c r="W532" i="1"/>
  <c r="M532" i="1"/>
  <c r="DA531" i="1"/>
  <c r="CZ531" i="1"/>
  <c r="CY531" i="1"/>
  <c r="CW531" i="1"/>
  <c r="CV531" i="1"/>
  <c r="CQ531" i="1"/>
  <c r="CF531" i="1"/>
  <c r="CC531" i="1"/>
  <c r="BW531" i="1"/>
  <c r="BV531" i="1"/>
  <c r="BU531" i="1"/>
  <c r="BT531" i="1"/>
  <c r="BI531" i="1"/>
  <c r="BB531" i="1"/>
  <c r="AR531" i="1"/>
  <c r="AD531" i="1"/>
  <c r="Y531" i="1"/>
  <c r="CG531" i="1" s="1"/>
  <c r="W531" i="1"/>
  <c r="M531" i="1"/>
  <c r="DA530" i="1"/>
  <c r="CZ530" i="1"/>
  <c r="CY530" i="1"/>
  <c r="CW530" i="1"/>
  <c r="CV530" i="1"/>
  <c r="CQ530" i="1"/>
  <c r="CP530" i="1"/>
  <c r="CN530" i="1"/>
  <c r="CL530" i="1"/>
  <c r="CH530" i="1"/>
  <c r="CG530" i="1"/>
  <c r="CF530" i="1"/>
  <c r="CE530" i="1"/>
  <c r="CD530" i="1"/>
  <c r="CC530" i="1"/>
  <c r="CB530" i="1"/>
  <c r="CA530" i="1"/>
  <c r="CI530" i="1" s="1"/>
  <c r="BX530" i="1"/>
  <c r="BW530" i="1"/>
  <c r="BV530" i="1"/>
  <c r="BU530" i="1"/>
  <c r="BT530" i="1"/>
  <c r="BS530" i="1"/>
  <c r="BI530" i="1"/>
  <c r="BB530" i="1"/>
  <c r="AR530" i="1"/>
  <c r="AD530" i="1"/>
  <c r="W530" i="1"/>
  <c r="M530" i="1"/>
  <c r="DA529" i="1"/>
  <c r="CZ529" i="1"/>
  <c r="CY529" i="1"/>
  <c r="CW529" i="1"/>
  <c r="CV529" i="1"/>
  <c r="CO529" i="1"/>
  <c r="CH529" i="1"/>
  <c r="CG529" i="1"/>
  <c r="CF529" i="1"/>
  <c r="CE529" i="1"/>
  <c r="CD529" i="1"/>
  <c r="CC529" i="1"/>
  <c r="CB529" i="1"/>
  <c r="CA529" i="1"/>
  <c r="BW529" i="1"/>
  <c r="BV529" i="1"/>
  <c r="BU529" i="1"/>
  <c r="BT529" i="1"/>
  <c r="BS529" i="1"/>
  <c r="BI529" i="1"/>
  <c r="BB529" i="1"/>
  <c r="AR529" i="1"/>
  <c r="AD529" i="1"/>
  <c r="CQ529" i="1" s="1"/>
  <c r="W529" i="1"/>
  <c r="M529" i="1"/>
  <c r="G529" i="1"/>
  <c r="DA528" i="1"/>
  <c r="CZ528" i="1"/>
  <c r="CY528" i="1"/>
  <c r="CW528" i="1"/>
  <c r="CV528" i="1"/>
  <c r="CQ528" i="1"/>
  <c r="CM528" i="1"/>
  <c r="CK528" i="1"/>
  <c r="CH528" i="1"/>
  <c r="CG528" i="1"/>
  <c r="CF528" i="1"/>
  <c r="CE528" i="1"/>
  <c r="CD528" i="1"/>
  <c r="CC528" i="1"/>
  <c r="CB528" i="1"/>
  <c r="CA528" i="1"/>
  <c r="BW528" i="1"/>
  <c r="BV528" i="1"/>
  <c r="BU528" i="1"/>
  <c r="BT528" i="1"/>
  <c r="BS528" i="1"/>
  <c r="BI528" i="1"/>
  <c r="BB528" i="1"/>
  <c r="AR528" i="1"/>
  <c r="AD528" i="1"/>
  <c r="CP528" i="1" s="1"/>
  <c r="W528" i="1"/>
  <c r="M528" i="1"/>
  <c r="G528" i="1"/>
  <c r="DA527" i="1"/>
  <c r="CZ527" i="1"/>
  <c r="CY527" i="1"/>
  <c r="CW527" i="1"/>
  <c r="CV527" i="1"/>
  <c r="CQ527" i="1"/>
  <c r="CP527" i="1"/>
  <c r="CM527" i="1"/>
  <c r="CH527" i="1"/>
  <c r="CG527" i="1"/>
  <c r="CF527" i="1"/>
  <c r="CE527" i="1"/>
  <c r="CD527" i="1"/>
  <c r="CC527" i="1"/>
  <c r="CB527" i="1"/>
  <c r="CA527" i="1"/>
  <c r="CI527" i="1" s="1"/>
  <c r="BX527" i="1"/>
  <c r="BW527" i="1"/>
  <c r="BV527" i="1"/>
  <c r="BU527" i="1"/>
  <c r="BT527" i="1"/>
  <c r="BS527" i="1"/>
  <c r="BI527" i="1"/>
  <c r="BB527" i="1"/>
  <c r="AR527" i="1"/>
  <c r="AD527" i="1"/>
  <c r="W527" i="1"/>
  <c r="M527" i="1"/>
  <c r="DA526" i="1"/>
  <c r="CZ526" i="1"/>
  <c r="CY526" i="1"/>
  <c r="CW526" i="1"/>
  <c r="CV526" i="1"/>
  <c r="CQ526" i="1"/>
  <c r="CH526" i="1"/>
  <c r="CG526" i="1"/>
  <c r="CF526" i="1"/>
  <c r="CE526" i="1"/>
  <c r="CD526" i="1"/>
  <c r="CC526" i="1"/>
  <c r="CB526" i="1"/>
  <c r="CA526" i="1"/>
  <c r="CI526" i="1" s="1"/>
  <c r="BW526" i="1"/>
  <c r="BV526" i="1"/>
  <c r="BU526" i="1"/>
  <c r="BT526" i="1"/>
  <c r="BS526" i="1"/>
  <c r="BI526" i="1"/>
  <c r="BB526" i="1"/>
  <c r="AR526" i="1"/>
  <c r="AD526" i="1"/>
  <c r="W526" i="1"/>
  <c r="M526" i="1"/>
  <c r="DA525" i="1"/>
  <c r="CZ525" i="1"/>
  <c r="CY525" i="1"/>
  <c r="CW525" i="1"/>
  <c r="CV525" i="1"/>
  <c r="CH525" i="1"/>
  <c r="CG525" i="1"/>
  <c r="CE525" i="1"/>
  <c r="CD525" i="1"/>
  <c r="CA525" i="1"/>
  <c r="BW525" i="1"/>
  <c r="BV525" i="1"/>
  <c r="BU525" i="1"/>
  <c r="BT525" i="1"/>
  <c r="BS525" i="1"/>
  <c r="BD525" i="1"/>
  <c r="BB525" i="1"/>
  <c r="AR525" i="1"/>
  <c r="AD525" i="1"/>
  <c r="W525" i="1"/>
  <c r="M525" i="1"/>
  <c r="DA524" i="1"/>
  <c r="CZ524" i="1"/>
  <c r="CY524" i="1"/>
  <c r="CW524" i="1"/>
  <c r="CV524" i="1"/>
  <c r="CH524" i="1"/>
  <c r="CF524" i="1"/>
  <c r="CE524" i="1"/>
  <c r="BW524" i="1"/>
  <c r="BV524" i="1"/>
  <c r="BU524" i="1"/>
  <c r="BT524" i="1"/>
  <c r="BD524" i="1"/>
  <c r="CA524" i="1" s="1"/>
  <c r="BB524" i="1"/>
  <c r="AR524" i="1"/>
  <c r="AD524" i="1"/>
  <c r="W524" i="1"/>
  <c r="M524" i="1"/>
  <c r="DA523" i="1"/>
  <c r="CZ523" i="1"/>
  <c r="CY523" i="1"/>
  <c r="CW523" i="1"/>
  <c r="CV523" i="1"/>
  <c r="CH523" i="1"/>
  <c r="CG523" i="1"/>
  <c r="CF523" i="1"/>
  <c r="CE523" i="1"/>
  <c r="CD523" i="1"/>
  <c r="CC523" i="1"/>
  <c r="CB523" i="1"/>
  <c r="CA523" i="1"/>
  <c r="CI523" i="1" s="1"/>
  <c r="BV523" i="1"/>
  <c r="BU523" i="1"/>
  <c r="BT523" i="1"/>
  <c r="BS523" i="1"/>
  <c r="BH523" i="1"/>
  <c r="BI523" i="1" s="1"/>
  <c r="BB523" i="1"/>
  <c r="AR523" i="1"/>
  <c r="AC523" i="1"/>
  <c r="BW523" i="1" s="1"/>
  <c r="W523" i="1"/>
  <c r="M523" i="1"/>
  <c r="DA522" i="1"/>
  <c r="CZ522" i="1"/>
  <c r="CY522" i="1"/>
  <c r="CW522" i="1"/>
  <c r="CV522" i="1"/>
  <c r="CM522" i="1"/>
  <c r="CH522" i="1"/>
  <c r="CG522" i="1"/>
  <c r="CF522" i="1"/>
  <c r="CE522" i="1"/>
  <c r="CD522" i="1"/>
  <c r="CC522" i="1"/>
  <c r="CB522" i="1"/>
  <c r="CA522" i="1"/>
  <c r="CI522" i="1" s="1"/>
  <c r="BX522" i="1"/>
  <c r="BV522" i="1"/>
  <c r="BU522" i="1"/>
  <c r="BT522" i="1"/>
  <c r="BS522" i="1"/>
  <c r="BH522" i="1"/>
  <c r="BI522" i="1" s="1"/>
  <c r="CQ522" i="1" s="1"/>
  <c r="BB522" i="1"/>
  <c r="AR522" i="1"/>
  <c r="AC522" i="1"/>
  <c r="AD522" i="1" s="1"/>
  <c r="CP522" i="1" s="1"/>
  <c r="W522" i="1"/>
  <c r="M522" i="1"/>
  <c r="DA521" i="1"/>
  <c r="CZ521" i="1"/>
  <c r="CY521" i="1"/>
  <c r="CW521" i="1"/>
  <c r="CV521" i="1"/>
  <c r="CK521" i="1"/>
  <c r="CH521" i="1"/>
  <c r="CG521" i="1"/>
  <c r="CF521" i="1"/>
  <c r="CE521" i="1"/>
  <c r="CD521" i="1"/>
  <c r="CC521" i="1"/>
  <c r="CB521" i="1"/>
  <c r="CA521" i="1"/>
  <c r="CI521" i="1" s="1"/>
  <c r="BW521" i="1"/>
  <c r="BV521" i="1"/>
  <c r="BU521" i="1"/>
  <c r="BT521" i="1"/>
  <c r="BS521" i="1"/>
  <c r="BI521" i="1"/>
  <c r="CO521" i="1" s="1"/>
  <c r="BB521" i="1"/>
  <c r="AR521" i="1"/>
  <c r="AD521" i="1"/>
  <c r="CR521" i="1" s="1"/>
  <c r="W521" i="1"/>
  <c r="M521" i="1"/>
  <c r="DA520" i="1"/>
  <c r="CZ520" i="1"/>
  <c r="CY520" i="1"/>
  <c r="CW520" i="1"/>
  <c r="CV520" i="1"/>
  <c r="CD520" i="1"/>
  <c r="CC520" i="1"/>
  <c r="CB520" i="1"/>
  <c r="CA520" i="1"/>
  <c r="BW520" i="1"/>
  <c r="BV520" i="1"/>
  <c r="BU520" i="1"/>
  <c r="BT520" i="1"/>
  <c r="BS520" i="1"/>
  <c r="BI520" i="1"/>
  <c r="BB520" i="1"/>
  <c r="AR520" i="1"/>
  <c r="Y520" i="1"/>
  <c r="CF520" i="1" s="1"/>
  <c r="W520" i="1"/>
  <c r="M520" i="1"/>
  <c r="DA519" i="1"/>
  <c r="CZ519" i="1"/>
  <c r="CY519" i="1"/>
  <c r="CW519" i="1"/>
  <c r="CV519" i="1"/>
  <c r="CO519" i="1"/>
  <c r="CN519" i="1"/>
  <c r="CH519" i="1"/>
  <c r="CG519" i="1"/>
  <c r="CF519" i="1"/>
  <c r="CE519" i="1"/>
  <c r="CD519" i="1"/>
  <c r="CC519" i="1"/>
  <c r="CB519" i="1"/>
  <c r="CA519" i="1"/>
  <c r="CI519" i="1" s="1"/>
  <c r="BW519" i="1"/>
  <c r="BV519" i="1"/>
  <c r="BU519" i="1"/>
  <c r="BT519" i="1"/>
  <c r="BS519" i="1"/>
  <c r="BI519" i="1"/>
  <c r="BB519" i="1"/>
  <c r="AR519" i="1"/>
  <c r="AD519" i="1"/>
  <c r="CM519" i="1" s="1"/>
  <c r="W519" i="1"/>
  <c r="M519" i="1"/>
  <c r="DA518" i="1"/>
  <c r="CZ518" i="1"/>
  <c r="CY518" i="1"/>
  <c r="CW518" i="1"/>
  <c r="CV518" i="1"/>
  <c r="CR518" i="1"/>
  <c r="CQ518" i="1"/>
  <c r="CO518" i="1"/>
  <c r="CN518" i="1"/>
  <c r="CL518" i="1"/>
  <c r="CH518" i="1"/>
  <c r="CG518" i="1"/>
  <c r="CF518" i="1"/>
  <c r="CE518" i="1"/>
  <c r="CD518" i="1"/>
  <c r="CC518" i="1"/>
  <c r="CB518" i="1"/>
  <c r="CA518" i="1"/>
  <c r="CI518" i="1" s="1"/>
  <c r="BX518" i="1"/>
  <c r="BW518" i="1"/>
  <c r="BV518" i="1"/>
  <c r="BU518" i="1"/>
  <c r="BT518" i="1"/>
  <c r="BS518" i="1"/>
  <c r="BI518" i="1"/>
  <c r="CM518" i="1" s="1"/>
  <c r="BB518" i="1"/>
  <c r="AR518" i="1"/>
  <c r="AD518" i="1"/>
  <c r="CP518" i="1" s="1"/>
  <c r="W518" i="1"/>
  <c r="M518" i="1"/>
  <c r="DA517" i="1"/>
  <c r="CZ517" i="1"/>
  <c r="CY517" i="1"/>
  <c r="CW517" i="1"/>
  <c r="CV517" i="1"/>
  <c r="CP517" i="1"/>
  <c r="CO517" i="1"/>
  <c r="CH517" i="1"/>
  <c r="CF517" i="1"/>
  <c r="CE517" i="1"/>
  <c r="BW517" i="1"/>
  <c r="BV517" i="1"/>
  <c r="BU517" i="1"/>
  <c r="BT517" i="1"/>
  <c r="BI517" i="1"/>
  <c r="BB517" i="1"/>
  <c r="AR517" i="1"/>
  <c r="AD517" i="1"/>
  <c r="CK517" i="1" s="1"/>
  <c r="Y517" i="1"/>
  <c r="CB517" i="1" s="1"/>
  <c r="W517" i="1"/>
  <c r="M517" i="1"/>
  <c r="DA516" i="1"/>
  <c r="CZ516" i="1"/>
  <c r="CY516" i="1"/>
  <c r="CW516" i="1"/>
  <c r="CV516" i="1"/>
  <c r="CR516" i="1"/>
  <c r="CL516" i="1"/>
  <c r="CH516" i="1"/>
  <c r="CG516" i="1"/>
  <c r="CF516" i="1"/>
  <c r="CE516" i="1"/>
  <c r="CD516" i="1"/>
  <c r="CC516" i="1"/>
  <c r="CB516" i="1"/>
  <c r="CA516" i="1"/>
  <c r="CI516" i="1" s="1"/>
  <c r="BX516" i="1"/>
  <c r="BW516" i="1"/>
  <c r="BV516" i="1"/>
  <c r="BU516" i="1"/>
  <c r="BT516" i="1"/>
  <c r="BS516" i="1"/>
  <c r="BI516" i="1"/>
  <c r="CQ516" i="1" s="1"/>
  <c r="BB516" i="1"/>
  <c r="AR516" i="1"/>
  <c r="AD516" i="1"/>
  <c r="W516" i="1"/>
  <c r="M516" i="1"/>
  <c r="DA515" i="1"/>
  <c r="CZ515" i="1"/>
  <c r="CY515" i="1"/>
  <c r="CW515" i="1"/>
  <c r="CV515" i="1"/>
  <c r="CR515" i="1"/>
  <c r="CP515" i="1"/>
  <c r="CO515" i="1"/>
  <c r="CN515" i="1"/>
  <c r="CM515" i="1"/>
  <c r="CL515" i="1"/>
  <c r="CH515" i="1"/>
  <c r="CG515" i="1"/>
  <c r="CF515" i="1"/>
  <c r="CE515" i="1"/>
  <c r="CD515" i="1"/>
  <c r="CC515" i="1"/>
  <c r="CB515" i="1"/>
  <c r="CA515" i="1"/>
  <c r="CI515" i="1" s="1"/>
  <c r="BX515" i="1"/>
  <c r="BW515" i="1"/>
  <c r="BV515" i="1"/>
  <c r="BU515" i="1"/>
  <c r="BT515" i="1"/>
  <c r="BS515" i="1"/>
  <c r="BI515" i="1"/>
  <c r="BB515" i="1"/>
  <c r="AR515" i="1"/>
  <c r="AD515" i="1"/>
  <c r="CK515" i="1" s="1"/>
  <c r="W515" i="1"/>
  <c r="M515" i="1"/>
  <c r="DA514" i="1"/>
  <c r="CZ514" i="1"/>
  <c r="CY514" i="1"/>
  <c r="CW514" i="1"/>
  <c r="CV514" i="1"/>
  <c r="CH514" i="1"/>
  <c r="CG514" i="1"/>
  <c r="CF514" i="1"/>
  <c r="CE514" i="1"/>
  <c r="CD514" i="1"/>
  <c r="CC514" i="1"/>
  <c r="CB514" i="1"/>
  <c r="CA514" i="1"/>
  <c r="CI514" i="1" s="1"/>
  <c r="BW514" i="1"/>
  <c r="BV514" i="1"/>
  <c r="BU514" i="1"/>
  <c r="BT514" i="1"/>
  <c r="BS514" i="1"/>
  <c r="BI514" i="1"/>
  <c r="CO514" i="1" s="1"/>
  <c r="BB514" i="1"/>
  <c r="AR514" i="1"/>
  <c r="AD514" i="1"/>
  <c r="CP514" i="1" s="1"/>
  <c r="W514" i="1"/>
  <c r="M514" i="1"/>
  <c r="DA513" i="1"/>
  <c r="CZ513" i="1"/>
  <c r="CY513" i="1"/>
  <c r="CW513" i="1"/>
  <c r="CV513" i="1"/>
  <c r="CN513" i="1"/>
  <c r="CM513" i="1"/>
  <c r="CH513" i="1"/>
  <c r="CG513" i="1"/>
  <c r="CF513" i="1"/>
  <c r="CE513" i="1"/>
  <c r="CD513" i="1"/>
  <c r="CC513" i="1"/>
  <c r="CB513" i="1"/>
  <c r="CA513" i="1"/>
  <c r="CI513" i="1" s="1"/>
  <c r="BW513" i="1"/>
  <c r="BV513" i="1"/>
  <c r="BU513" i="1"/>
  <c r="BT513" i="1"/>
  <c r="BS513" i="1"/>
  <c r="BI513" i="1"/>
  <c r="BB513" i="1"/>
  <c r="AR513" i="1"/>
  <c r="AD513" i="1"/>
  <c r="CL513" i="1" s="1"/>
  <c r="W513" i="1"/>
  <c r="M513" i="1"/>
  <c r="DA512" i="1"/>
  <c r="CZ512" i="1"/>
  <c r="CY512" i="1"/>
  <c r="CW512" i="1"/>
  <c r="CV512" i="1"/>
  <c r="CH512" i="1"/>
  <c r="CG512" i="1"/>
  <c r="CF512" i="1"/>
  <c r="CE512" i="1"/>
  <c r="CD512" i="1"/>
  <c r="CC512" i="1"/>
  <c r="CB512" i="1"/>
  <c r="CA512" i="1"/>
  <c r="CI512" i="1" s="1"/>
  <c r="BW512" i="1"/>
  <c r="BV512" i="1"/>
  <c r="BU512" i="1"/>
  <c r="BT512" i="1"/>
  <c r="BS512" i="1"/>
  <c r="BI512" i="1"/>
  <c r="BB512" i="1"/>
  <c r="AR512" i="1"/>
  <c r="AD512" i="1"/>
  <c r="CO512" i="1" s="1"/>
  <c r="W512" i="1"/>
  <c r="M512" i="1"/>
  <c r="DA511" i="1"/>
  <c r="CZ511" i="1"/>
  <c r="CY511" i="1"/>
  <c r="CW511" i="1"/>
  <c r="CV511" i="1"/>
  <c r="CO511" i="1"/>
  <c r="CM511" i="1"/>
  <c r="CL511" i="1"/>
  <c r="CH511" i="1"/>
  <c r="CG511" i="1"/>
  <c r="CF511" i="1"/>
  <c r="CE511" i="1"/>
  <c r="CD511" i="1"/>
  <c r="CC511" i="1"/>
  <c r="CB511" i="1"/>
  <c r="CA511" i="1"/>
  <c r="CI511" i="1" s="1"/>
  <c r="BW511" i="1"/>
  <c r="BV511" i="1"/>
  <c r="BU511" i="1"/>
  <c r="BT511" i="1"/>
  <c r="BS511" i="1"/>
  <c r="BI511" i="1"/>
  <c r="BB511" i="1"/>
  <c r="AR511" i="1"/>
  <c r="AD511" i="1"/>
  <c r="CK511" i="1" s="1"/>
  <c r="W511" i="1"/>
  <c r="M511" i="1"/>
  <c r="DA510" i="1"/>
  <c r="CZ510" i="1"/>
  <c r="CY510" i="1"/>
  <c r="CW510" i="1"/>
  <c r="CV510" i="1"/>
  <c r="CH510" i="1"/>
  <c r="CG510" i="1"/>
  <c r="CF510" i="1"/>
  <c r="CE510" i="1"/>
  <c r="CD510" i="1"/>
  <c r="CC510" i="1"/>
  <c r="CB510" i="1"/>
  <c r="CA510" i="1"/>
  <c r="CI510" i="1" s="1"/>
  <c r="BW510" i="1"/>
  <c r="BV510" i="1"/>
  <c r="BU510" i="1"/>
  <c r="BT510" i="1"/>
  <c r="BS510" i="1"/>
  <c r="BI510" i="1"/>
  <c r="BB510" i="1"/>
  <c r="AR510" i="1"/>
  <c r="AD510" i="1"/>
  <c r="CO510" i="1" s="1"/>
  <c r="W510" i="1"/>
  <c r="M510" i="1"/>
  <c r="DA509" i="1"/>
  <c r="CZ509" i="1"/>
  <c r="CY509" i="1"/>
  <c r="CW509" i="1"/>
  <c r="CV509" i="1"/>
  <c r="CO509" i="1"/>
  <c r="CN509" i="1"/>
  <c r="CM509" i="1"/>
  <c r="CL509" i="1"/>
  <c r="CH509" i="1"/>
  <c r="CG509" i="1"/>
  <c r="CF509" i="1"/>
  <c r="CE509" i="1"/>
  <c r="CD509" i="1"/>
  <c r="CC509" i="1"/>
  <c r="CB509" i="1"/>
  <c r="CA509" i="1"/>
  <c r="CI509" i="1" s="1"/>
  <c r="BW509" i="1"/>
  <c r="BV509" i="1"/>
  <c r="BU509" i="1"/>
  <c r="BT509" i="1"/>
  <c r="BS509" i="1"/>
  <c r="BI509" i="1"/>
  <c r="BB509" i="1"/>
  <c r="AR509" i="1"/>
  <c r="AD509" i="1"/>
  <c r="CK509" i="1" s="1"/>
  <c r="W509" i="1"/>
  <c r="M509" i="1"/>
  <c r="DA508" i="1"/>
  <c r="CZ508" i="1"/>
  <c r="CY508" i="1"/>
  <c r="CW508" i="1"/>
  <c r="CV508" i="1"/>
  <c r="CH508" i="1"/>
  <c r="CG508" i="1"/>
  <c r="CF508" i="1"/>
  <c r="CE508" i="1"/>
  <c r="CD508" i="1"/>
  <c r="CC508" i="1"/>
  <c r="CB508" i="1"/>
  <c r="CA508" i="1"/>
  <c r="CI508" i="1" s="1"/>
  <c r="BW508" i="1"/>
  <c r="BV508" i="1"/>
  <c r="BU508" i="1"/>
  <c r="BT508" i="1"/>
  <c r="BS508" i="1"/>
  <c r="BI508" i="1"/>
  <c r="BB508" i="1"/>
  <c r="AR508" i="1"/>
  <c r="AD508" i="1"/>
  <c r="CO508" i="1" s="1"/>
  <c r="W508" i="1"/>
  <c r="M508" i="1"/>
  <c r="DA507" i="1"/>
  <c r="CZ507" i="1"/>
  <c r="CY507" i="1"/>
  <c r="CW507" i="1"/>
  <c r="CV507" i="1"/>
  <c r="CR507" i="1"/>
  <c r="CO507" i="1"/>
  <c r="CN507" i="1"/>
  <c r="CM507" i="1"/>
  <c r="CL507" i="1"/>
  <c r="CH507" i="1"/>
  <c r="CG507" i="1"/>
  <c r="CF507" i="1"/>
  <c r="CE507" i="1"/>
  <c r="CD507" i="1"/>
  <c r="CC507" i="1"/>
  <c r="CB507" i="1"/>
  <c r="CA507" i="1"/>
  <c r="CI507" i="1" s="1"/>
  <c r="BW507" i="1"/>
  <c r="BV507" i="1"/>
  <c r="BU507" i="1"/>
  <c r="BT507" i="1"/>
  <c r="BS507" i="1"/>
  <c r="BI507" i="1"/>
  <c r="BB507" i="1"/>
  <c r="AR507" i="1"/>
  <c r="AD507" i="1"/>
  <c r="CK507" i="1" s="1"/>
  <c r="W507" i="1"/>
  <c r="M507" i="1"/>
  <c r="DA506" i="1"/>
  <c r="CZ506" i="1"/>
  <c r="CY506" i="1"/>
  <c r="CW506" i="1"/>
  <c r="CV506" i="1"/>
  <c r="CH506" i="1"/>
  <c r="CG506" i="1"/>
  <c r="CF506" i="1"/>
  <c r="CE506" i="1"/>
  <c r="CD506" i="1"/>
  <c r="CC506" i="1"/>
  <c r="CB506" i="1"/>
  <c r="CA506" i="1"/>
  <c r="CI506" i="1" s="1"/>
  <c r="BW506" i="1"/>
  <c r="BV506" i="1"/>
  <c r="BU506" i="1"/>
  <c r="BT506" i="1"/>
  <c r="BS506" i="1"/>
  <c r="BI506" i="1"/>
  <c r="BB506" i="1"/>
  <c r="AR506" i="1"/>
  <c r="AD506" i="1"/>
  <c r="CO506" i="1" s="1"/>
  <c r="W506" i="1"/>
  <c r="M506" i="1"/>
  <c r="DA505" i="1"/>
  <c r="CZ505" i="1"/>
  <c r="CY505" i="1"/>
  <c r="CW505" i="1"/>
  <c r="CV505" i="1"/>
  <c r="CR505" i="1"/>
  <c r="CO505" i="1"/>
  <c r="CN505" i="1"/>
  <c r="CM505" i="1"/>
  <c r="CL505" i="1"/>
  <c r="CH505" i="1"/>
  <c r="CG505" i="1"/>
  <c r="CF505" i="1"/>
  <c r="CE505" i="1"/>
  <c r="CD505" i="1"/>
  <c r="CC505" i="1"/>
  <c r="CB505" i="1"/>
  <c r="CA505" i="1"/>
  <c r="CI505" i="1" s="1"/>
  <c r="BW505" i="1"/>
  <c r="BV505" i="1"/>
  <c r="BU505" i="1"/>
  <c r="BT505" i="1"/>
  <c r="BS505" i="1"/>
  <c r="BI505" i="1"/>
  <c r="BB505" i="1"/>
  <c r="AR505" i="1"/>
  <c r="AD505" i="1"/>
  <c r="CK505" i="1" s="1"/>
  <c r="W505" i="1"/>
  <c r="M505" i="1"/>
  <c r="DA504" i="1"/>
  <c r="CZ504" i="1"/>
  <c r="CY504" i="1"/>
  <c r="CW504" i="1"/>
  <c r="CV504" i="1"/>
  <c r="CH504" i="1"/>
  <c r="CG504" i="1"/>
  <c r="CF504" i="1"/>
  <c r="CE504" i="1"/>
  <c r="CD504" i="1"/>
  <c r="CC504" i="1"/>
  <c r="CB504" i="1"/>
  <c r="CA504" i="1"/>
  <c r="CI504" i="1" s="1"/>
  <c r="BW504" i="1"/>
  <c r="BV504" i="1"/>
  <c r="BU504" i="1"/>
  <c r="BT504" i="1"/>
  <c r="BS504" i="1"/>
  <c r="BI504" i="1"/>
  <c r="BB504" i="1"/>
  <c r="AR504" i="1"/>
  <c r="AD504" i="1"/>
  <c r="CO504" i="1" s="1"/>
  <c r="W504" i="1"/>
  <c r="M504" i="1"/>
  <c r="DA503" i="1"/>
  <c r="CZ503" i="1"/>
  <c r="CY503" i="1"/>
  <c r="CW503" i="1"/>
  <c r="CV503" i="1"/>
  <c r="CH503" i="1"/>
  <c r="CG503" i="1"/>
  <c r="CF503" i="1"/>
  <c r="CE503" i="1"/>
  <c r="CD503" i="1"/>
  <c r="CC503" i="1"/>
  <c r="CB503" i="1"/>
  <c r="CA503" i="1"/>
  <c r="CI503" i="1" s="1"/>
  <c r="BW503" i="1"/>
  <c r="BV503" i="1"/>
  <c r="BU503" i="1"/>
  <c r="BT503" i="1"/>
  <c r="BS503" i="1"/>
  <c r="BI503" i="1"/>
  <c r="CQ503" i="1" s="1"/>
  <c r="BB503" i="1"/>
  <c r="AR503" i="1"/>
  <c r="AD503" i="1"/>
  <c r="CR503" i="1" s="1"/>
  <c r="W503" i="1"/>
  <c r="M503" i="1"/>
  <c r="DA502" i="1"/>
  <c r="CZ502" i="1"/>
  <c r="CY502" i="1"/>
  <c r="CW502" i="1"/>
  <c r="CV502" i="1"/>
  <c r="CO502" i="1"/>
  <c r="CH502" i="1"/>
  <c r="CG502" i="1"/>
  <c r="CF502" i="1"/>
  <c r="CE502" i="1"/>
  <c r="CD502" i="1"/>
  <c r="CC502" i="1"/>
  <c r="CB502" i="1"/>
  <c r="CA502" i="1"/>
  <c r="CI502" i="1" s="1"/>
  <c r="BW502" i="1"/>
  <c r="BV502" i="1"/>
  <c r="BU502" i="1"/>
  <c r="BT502" i="1"/>
  <c r="BS502" i="1"/>
  <c r="BI502" i="1"/>
  <c r="BB502" i="1"/>
  <c r="AR502" i="1"/>
  <c r="AD502" i="1"/>
  <c r="CN502" i="1" s="1"/>
  <c r="W502" i="1"/>
  <c r="M502" i="1"/>
  <c r="DA501" i="1"/>
  <c r="CZ501" i="1"/>
  <c r="CY501" i="1"/>
  <c r="CW501" i="1"/>
  <c r="CV501" i="1"/>
  <c r="CR501" i="1"/>
  <c r="CH501" i="1"/>
  <c r="CG501" i="1"/>
  <c r="CF501" i="1"/>
  <c r="CE501" i="1"/>
  <c r="CD501" i="1"/>
  <c r="CC501" i="1"/>
  <c r="CB501" i="1"/>
  <c r="CA501" i="1"/>
  <c r="CI501" i="1" s="1"/>
  <c r="BW501" i="1"/>
  <c r="BV501" i="1"/>
  <c r="BU501" i="1"/>
  <c r="BT501" i="1"/>
  <c r="BS501" i="1"/>
  <c r="BI501" i="1"/>
  <c r="CM501" i="1" s="1"/>
  <c r="BB501" i="1"/>
  <c r="AR501" i="1"/>
  <c r="AD501" i="1"/>
  <c r="CQ501" i="1" s="1"/>
  <c r="W501" i="1"/>
  <c r="M501" i="1"/>
  <c r="DA500" i="1"/>
  <c r="CZ500" i="1"/>
  <c r="CY500" i="1"/>
  <c r="CW500" i="1"/>
  <c r="CV500" i="1"/>
  <c r="CQ500" i="1"/>
  <c r="CO500" i="1"/>
  <c r="CN500" i="1"/>
  <c r="CH500" i="1"/>
  <c r="CG500" i="1"/>
  <c r="CF500" i="1"/>
  <c r="CE500" i="1"/>
  <c r="CD500" i="1"/>
  <c r="CC500" i="1"/>
  <c r="CB500" i="1"/>
  <c r="CA500" i="1"/>
  <c r="CI500" i="1" s="1"/>
  <c r="BX500" i="1"/>
  <c r="BW500" i="1"/>
  <c r="BV500" i="1"/>
  <c r="BU500" i="1"/>
  <c r="BT500" i="1"/>
  <c r="BS500" i="1"/>
  <c r="BI500" i="1"/>
  <c r="BB500" i="1"/>
  <c r="AR500" i="1"/>
  <c r="AD500" i="1"/>
  <c r="CM500" i="1" s="1"/>
  <c r="W500" i="1"/>
  <c r="M500" i="1"/>
  <c r="DA499" i="1"/>
  <c r="CZ499" i="1"/>
  <c r="CY499" i="1"/>
  <c r="CW499" i="1"/>
  <c r="CV499" i="1"/>
  <c r="CR499" i="1"/>
  <c r="CH499" i="1"/>
  <c r="CG499" i="1"/>
  <c r="CF499" i="1"/>
  <c r="CE499" i="1"/>
  <c r="CD499" i="1"/>
  <c r="CC499" i="1"/>
  <c r="CB499" i="1"/>
  <c r="CA499" i="1"/>
  <c r="CI499" i="1" s="1"/>
  <c r="BW499" i="1"/>
  <c r="BV499" i="1"/>
  <c r="BU499" i="1"/>
  <c r="BT499" i="1"/>
  <c r="BS499" i="1"/>
  <c r="BI499" i="1"/>
  <c r="CM499" i="1" s="1"/>
  <c r="BB499" i="1"/>
  <c r="AR499" i="1"/>
  <c r="AD499" i="1"/>
  <c r="CQ499" i="1" s="1"/>
  <c r="W499" i="1"/>
  <c r="M499" i="1"/>
  <c r="DA498" i="1"/>
  <c r="CZ498" i="1"/>
  <c r="CY498" i="1"/>
  <c r="CW498" i="1"/>
  <c r="CV498" i="1"/>
  <c r="CQ498" i="1"/>
  <c r="CO498" i="1"/>
  <c r="CN498" i="1"/>
  <c r="CH498" i="1"/>
  <c r="CG498" i="1"/>
  <c r="CF498" i="1"/>
  <c r="CE498" i="1"/>
  <c r="CD498" i="1"/>
  <c r="CC498" i="1"/>
  <c r="CB498" i="1"/>
  <c r="CA498" i="1"/>
  <c r="CI498" i="1" s="1"/>
  <c r="BX498" i="1"/>
  <c r="BW498" i="1"/>
  <c r="BV498" i="1"/>
  <c r="BU498" i="1"/>
  <c r="BT498" i="1"/>
  <c r="BS498" i="1"/>
  <c r="BI498" i="1"/>
  <c r="BB498" i="1"/>
  <c r="AR498" i="1"/>
  <c r="AD498" i="1"/>
  <c r="CM498" i="1" s="1"/>
  <c r="W498" i="1"/>
  <c r="M498" i="1"/>
  <c r="DA497" i="1"/>
  <c r="CZ497" i="1"/>
  <c r="CY497" i="1"/>
  <c r="CW497" i="1"/>
  <c r="CV497" i="1"/>
  <c r="CR497" i="1"/>
  <c r="CH497" i="1"/>
  <c r="CG497" i="1"/>
  <c r="CF497" i="1"/>
  <c r="CE497" i="1"/>
  <c r="CD497" i="1"/>
  <c r="CC497" i="1"/>
  <c r="CB497" i="1"/>
  <c r="CA497" i="1"/>
  <c r="CI497" i="1" s="1"/>
  <c r="BW497" i="1"/>
  <c r="BV497" i="1"/>
  <c r="BU497" i="1"/>
  <c r="BT497" i="1"/>
  <c r="BS497" i="1"/>
  <c r="BI497" i="1"/>
  <c r="CM497" i="1" s="1"/>
  <c r="BB497" i="1"/>
  <c r="AR497" i="1"/>
  <c r="AD497" i="1"/>
  <c r="CQ497" i="1" s="1"/>
  <c r="W497" i="1"/>
  <c r="M497" i="1"/>
  <c r="DA496" i="1"/>
  <c r="CZ496" i="1"/>
  <c r="CY496" i="1"/>
  <c r="CW496" i="1"/>
  <c r="CV496" i="1"/>
  <c r="CQ496" i="1"/>
  <c r="CO496" i="1"/>
  <c r="CN496" i="1"/>
  <c r="CH496" i="1"/>
  <c r="CG496" i="1"/>
  <c r="CF496" i="1"/>
  <c r="CE496" i="1"/>
  <c r="CD496" i="1"/>
  <c r="CC496" i="1"/>
  <c r="CB496" i="1"/>
  <c r="CA496" i="1"/>
  <c r="CI496" i="1" s="1"/>
  <c r="BX496" i="1"/>
  <c r="BW496" i="1"/>
  <c r="BV496" i="1"/>
  <c r="BU496" i="1"/>
  <c r="BT496" i="1"/>
  <c r="BS496" i="1"/>
  <c r="BI496" i="1"/>
  <c r="BB496" i="1"/>
  <c r="AR496" i="1"/>
  <c r="AD496" i="1"/>
  <c r="CM496" i="1" s="1"/>
  <c r="W496" i="1"/>
  <c r="M496" i="1"/>
  <c r="DA495" i="1"/>
  <c r="CZ495" i="1"/>
  <c r="CY495" i="1"/>
  <c r="CW495" i="1"/>
  <c r="CV495" i="1"/>
  <c r="CR495" i="1"/>
  <c r="CQ495" i="1"/>
  <c r="CM495" i="1"/>
  <c r="CL495" i="1"/>
  <c r="CH495" i="1"/>
  <c r="CG495" i="1"/>
  <c r="CF495" i="1"/>
  <c r="CE495" i="1"/>
  <c r="CD495" i="1"/>
  <c r="CC495" i="1"/>
  <c r="CB495" i="1"/>
  <c r="CA495" i="1"/>
  <c r="CI495" i="1" s="1"/>
  <c r="BX495" i="1"/>
  <c r="BW495" i="1"/>
  <c r="BV495" i="1"/>
  <c r="BU495" i="1"/>
  <c r="BT495" i="1"/>
  <c r="BS495" i="1"/>
  <c r="BI495" i="1"/>
  <c r="CO495" i="1" s="1"/>
  <c r="BB495" i="1"/>
  <c r="AR495" i="1"/>
  <c r="AD495" i="1"/>
  <c r="CP495" i="1" s="1"/>
  <c r="W495" i="1"/>
  <c r="M495" i="1"/>
  <c r="G495" i="1"/>
  <c r="F495" i="1"/>
  <c r="E495" i="1"/>
  <c r="DA494" i="1"/>
  <c r="CZ494" i="1"/>
  <c r="CY494" i="1"/>
  <c r="CW494" i="1"/>
  <c r="CV494" i="1"/>
  <c r="CO494" i="1"/>
  <c r="CH494" i="1"/>
  <c r="CG494" i="1"/>
  <c r="CF494" i="1"/>
  <c r="CE494" i="1"/>
  <c r="CD494" i="1"/>
  <c r="CC494" i="1"/>
  <c r="CB494" i="1"/>
  <c r="CA494" i="1"/>
  <c r="CI494" i="1" s="1"/>
  <c r="BW494" i="1"/>
  <c r="BV494" i="1"/>
  <c r="BU494" i="1"/>
  <c r="BT494" i="1"/>
  <c r="BS494" i="1"/>
  <c r="BI494" i="1"/>
  <c r="BB494" i="1"/>
  <c r="AR494" i="1"/>
  <c r="AD494" i="1"/>
  <c r="CN494" i="1" s="1"/>
  <c r="W494" i="1"/>
  <c r="M494" i="1"/>
  <c r="G494" i="1"/>
  <c r="F494" i="1"/>
  <c r="E494" i="1"/>
  <c r="DA493" i="1"/>
  <c r="CZ493" i="1"/>
  <c r="CY493" i="1"/>
  <c r="CW493" i="1"/>
  <c r="CV493" i="1"/>
  <c r="CQ493" i="1"/>
  <c r="CN493" i="1"/>
  <c r="CM493" i="1"/>
  <c r="CH493" i="1"/>
  <c r="CG493" i="1"/>
  <c r="CF493" i="1"/>
  <c r="CE493" i="1"/>
  <c r="CD493" i="1"/>
  <c r="CC493" i="1"/>
  <c r="CB493" i="1"/>
  <c r="CA493" i="1"/>
  <c r="CI493" i="1" s="1"/>
  <c r="BX493" i="1"/>
  <c r="BW493" i="1"/>
  <c r="BV493" i="1"/>
  <c r="BU493" i="1"/>
  <c r="BT493" i="1"/>
  <c r="BS493" i="1"/>
  <c r="BI493" i="1"/>
  <c r="BB493" i="1"/>
  <c r="AR493" i="1"/>
  <c r="AD493" i="1"/>
  <c r="CL493" i="1" s="1"/>
  <c r="W493" i="1"/>
  <c r="M493" i="1"/>
  <c r="G493" i="1"/>
  <c r="F493" i="1"/>
  <c r="E493" i="1"/>
  <c r="DA492" i="1"/>
  <c r="CZ492" i="1"/>
  <c r="CY492" i="1"/>
  <c r="CW492" i="1"/>
  <c r="CV492" i="1"/>
  <c r="CH492" i="1"/>
  <c r="CG492" i="1"/>
  <c r="CF492" i="1"/>
  <c r="CE492" i="1"/>
  <c r="CD492" i="1"/>
  <c r="CC492" i="1"/>
  <c r="CB492" i="1"/>
  <c r="CA492" i="1"/>
  <c r="CI492" i="1" s="1"/>
  <c r="BW492" i="1"/>
  <c r="BV492" i="1"/>
  <c r="BU492" i="1"/>
  <c r="BT492" i="1"/>
  <c r="BS492" i="1"/>
  <c r="BI492" i="1"/>
  <c r="CQ492" i="1" s="1"/>
  <c r="BB492" i="1"/>
  <c r="AR492" i="1"/>
  <c r="AD492" i="1"/>
  <c r="CR492" i="1" s="1"/>
  <c r="W492" i="1"/>
  <c r="M492" i="1"/>
  <c r="G492" i="1"/>
  <c r="F492" i="1"/>
  <c r="E492" i="1"/>
  <c r="DA491" i="1"/>
  <c r="CZ491" i="1"/>
  <c r="CY491" i="1"/>
  <c r="CW491" i="1"/>
  <c r="CV491" i="1"/>
  <c r="CR491" i="1"/>
  <c r="CH491" i="1"/>
  <c r="CG491" i="1"/>
  <c r="CF491" i="1"/>
  <c r="CE491" i="1"/>
  <c r="CD491" i="1"/>
  <c r="CC491" i="1"/>
  <c r="CB491" i="1"/>
  <c r="CA491" i="1"/>
  <c r="CI491" i="1" s="1"/>
  <c r="BW491" i="1"/>
  <c r="BV491" i="1"/>
  <c r="BU491" i="1"/>
  <c r="BT491" i="1"/>
  <c r="BS491" i="1"/>
  <c r="BI491" i="1"/>
  <c r="CL491" i="1" s="1"/>
  <c r="BB491" i="1"/>
  <c r="AR491" i="1"/>
  <c r="AD491" i="1"/>
  <c r="CQ491" i="1" s="1"/>
  <c r="W491" i="1"/>
  <c r="M491" i="1"/>
  <c r="G491" i="1"/>
  <c r="F491" i="1"/>
  <c r="E491" i="1"/>
  <c r="DA490" i="1"/>
  <c r="CZ490" i="1"/>
  <c r="CY490" i="1"/>
  <c r="CW490" i="1"/>
  <c r="CV490" i="1"/>
  <c r="CR490" i="1"/>
  <c r="CQ490" i="1"/>
  <c r="CH490" i="1"/>
  <c r="CG490" i="1"/>
  <c r="CF490" i="1"/>
  <c r="CE490" i="1"/>
  <c r="CD490" i="1"/>
  <c r="CC490" i="1"/>
  <c r="CB490" i="1"/>
  <c r="CA490" i="1"/>
  <c r="CI490" i="1" s="1"/>
  <c r="BX490" i="1"/>
  <c r="BW490" i="1"/>
  <c r="BV490" i="1"/>
  <c r="BU490" i="1"/>
  <c r="BT490" i="1"/>
  <c r="BS490" i="1"/>
  <c r="BI490" i="1"/>
  <c r="CO490" i="1" s="1"/>
  <c r="BB490" i="1"/>
  <c r="AR490" i="1"/>
  <c r="AD490" i="1"/>
  <c r="CP490" i="1" s="1"/>
  <c r="W490" i="1"/>
  <c r="M490" i="1"/>
  <c r="G490" i="1"/>
  <c r="F490" i="1"/>
  <c r="E490" i="1"/>
  <c r="DA489" i="1"/>
  <c r="CZ489" i="1"/>
  <c r="CY489" i="1"/>
  <c r="CW489" i="1"/>
  <c r="CV489" i="1"/>
  <c r="CH489" i="1"/>
  <c r="CG489" i="1"/>
  <c r="CF489" i="1"/>
  <c r="CE489" i="1"/>
  <c r="CD489" i="1"/>
  <c r="CC489" i="1"/>
  <c r="CB489" i="1"/>
  <c r="CA489" i="1"/>
  <c r="CI489" i="1" s="1"/>
  <c r="BW489" i="1"/>
  <c r="BV489" i="1"/>
  <c r="BU489" i="1"/>
  <c r="BT489" i="1"/>
  <c r="BS489" i="1"/>
  <c r="BI489" i="1"/>
  <c r="BB489" i="1"/>
  <c r="AR489" i="1"/>
  <c r="AD489" i="1"/>
  <c r="CO489" i="1" s="1"/>
  <c r="W489" i="1"/>
  <c r="M489" i="1"/>
  <c r="G489" i="1"/>
  <c r="F489" i="1"/>
  <c r="E489" i="1"/>
  <c r="DA488" i="1"/>
  <c r="CZ488" i="1"/>
  <c r="CY488" i="1"/>
  <c r="CW488" i="1"/>
  <c r="CV488" i="1"/>
  <c r="CO488" i="1"/>
  <c r="CH488" i="1"/>
  <c r="CG488" i="1"/>
  <c r="CF488" i="1"/>
  <c r="CE488" i="1"/>
  <c r="CD488" i="1"/>
  <c r="CC488" i="1"/>
  <c r="CB488" i="1"/>
  <c r="CA488" i="1"/>
  <c r="CI488" i="1" s="1"/>
  <c r="BW488" i="1"/>
  <c r="BV488" i="1"/>
  <c r="BU488" i="1"/>
  <c r="BT488" i="1"/>
  <c r="BS488" i="1"/>
  <c r="BI488" i="1"/>
  <c r="BB488" i="1"/>
  <c r="AR488" i="1"/>
  <c r="AD488" i="1"/>
  <c r="CN488" i="1" s="1"/>
  <c r="W488" i="1"/>
  <c r="M488" i="1"/>
  <c r="G488" i="1"/>
  <c r="F488" i="1"/>
  <c r="E488" i="1"/>
  <c r="DA487" i="1"/>
  <c r="CZ487" i="1"/>
  <c r="CY487" i="1"/>
  <c r="CW487" i="1"/>
  <c r="CV487" i="1"/>
  <c r="CO487" i="1"/>
  <c r="CN487" i="1"/>
  <c r="CH487" i="1"/>
  <c r="CG487" i="1"/>
  <c r="CF487" i="1"/>
  <c r="CE487" i="1"/>
  <c r="CD487" i="1"/>
  <c r="CC487" i="1"/>
  <c r="CB487" i="1"/>
  <c r="CA487" i="1"/>
  <c r="CI487" i="1" s="1"/>
  <c r="BW487" i="1"/>
  <c r="BV487" i="1"/>
  <c r="BU487" i="1"/>
  <c r="BT487" i="1"/>
  <c r="BS487" i="1"/>
  <c r="BI487" i="1"/>
  <c r="BB487" i="1"/>
  <c r="AR487" i="1"/>
  <c r="AD487" i="1"/>
  <c r="CM487" i="1" s="1"/>
  <c r="W487" i="1"/>
  <c r="M487" i="1"/>
  <c r="G487" i="1"/>
  <c r="F487" i="1"/>
  <c r="E487" i="1"/>
  <c r="DA486" i="1"/>
  <c r="CZ486" i="1"/>
  <c r="CY486" i="1"/>
  <c r="CW486" i="1"/>
  <c r="CV486" i="1"/>
  <c r="CQ486" i="1"/>
  <c r="CO486" i="1"/>
  <c r="CN486" i="1"/>
  <c r="CM486" i="1"/>
  <c r="CH486" i="1"/>
  <c r="CG486" i="1"/>
  <c r="CF486" i="1"/>
  <c r="CE486" i="1"/>
  <c r="CD486" i="1"/>
  <c r="CC486" i="1"/>
  <c r="CB486" i="1"/>
  <c r="CA486" i="1"/>
  <c r="CI486" i="1" s="1"/>
  <c r="BX486" i="1"/>
  <c r="BW486" i="1"/>
  <c r="BV486" i="1"/>
  <c r="BU486" i="1"/>
  <c r="BT486" i="1"/>
  <c r="BS486" i="1"/>
  <c r="BI486" i="1"/>
  <c r="CK486" i="1" s="1"/>
  <c r="BB486" i="1"/>
  <c r="AR486" i="1"/>
  <c r="AD486" i="1"/>
  <c r="CL486" i="1" s="1"/>
  <c r="W486" i="1"/>
  <c r="M486" i="1"/>
  <c r="G486" i="1"/>
  <c r="F486" i="1"/>
  <c r="E486" i="1"/>
  <c r="DA485" i="1"/>
  <c r="CZ485" i="1"/>
  <c r="CY485" i="1"/>
  <c r="CW485" i="1"/>
  <c r="CV485" i="1"/>
  <c r="CH485" i="1"/>
  <c r="CG485" i="1"/>
  <c r="CF485" i="1"/>
  <c r="CE485" i="1"/>
  <c r="CD485" i="1"/>
  <c r="CC485" i="1"/>
  <c r="CB485" i="1"/>
  <c r="CA485" i="1"/>
  <c r="CI485" i="1" s="1"/>
  <c r="BW485" i="1"/>
  <c r="BV485" i="1"/>
  <c r="BU485" i="1"/>
  <c r="BT485" i="1"/>
  <c r="BS485" i="1"/>
  <c r="BI485" i="1"/>
  <c r="CQ485" i="1" s="1"/>
  <c r="BB485" i="1"/>
  <c r="AR485" i="1"/>
  <c r="AD485" i="1"/>
  <c r="CR485" i="1" s="1"/>
  <c r="W485" i="1"/>
  <c r="M485" i="1"/>
  <c r="G485" i="1"/>
  <c r="F485" i="1"/>
  <c r="E485" i="1"/>
  <c r="DA484" i="1"/>
  <c r="CZ484" i="1"/>
  <c r="CY484" i="1"/>
  <c r="CW484" i="1"/>
  <c r="CV484" i="1"/>
  <c r="BW484" i="1"/>
  <c r="BV484" i="1"/>
  <c r="BU484" i="1"/>
  <c r="BT484" i="1"/>
  <c r="BD484" i="1"/>
  <c r="CH484" i="1" s="1"/>
  <c r="BB484" i="1"/>
  <c r="AR484" i="1"/>
  <c r="AD484" i="1"/>
  <c r="W484" i="1"/>
  <c r="M484" i="1"/>
  <c r="G484" i="1"/>
  <c r="F484" i="1"/>
  <c r="E484" i="1"/>
  <c r="DA483" i="1"/>
  <c r="CZ483" i="1"/>
  <c r="CY483" i="1"/>
  <c r="CW483" i="1"/>
  <c r="CV483" i="1"/>
  <c r="BW483" i="1"/>
  <c r="BV483" i="1"/>
  <c r="BU483" i="1"/>
  <c r="BT483" i="1"/>
  <c r="BD483" i="1"/>
  <c r="CH483" i="1" s="1"/>
  <c r="BB483" i="1"/>
  <c r="AR483" i="1"/>
  <c r="AD483" i="1"/>
  <c r="W483" i="1"/>
  <c r="M483" i="1"/>
  <c r="G483" i="1"/>
  <c r="F483" i="1"/>
  <c r="E483" i="1"/>
  <c r="DA482" i="1"/>
  <c r="CZ482" i="1"/>
  <c r="CY482" i="1"/>
  <c r="CW482" i="1"/>
  <c r="CV482" i="1"/>
  <c r="CR482" i="1"/>
  <c r="CG482" i="1"/>
  <c r="CE482" i="1"/>
  <c r="CD482" i="1"/>
  <c r="CC482" i="1"/>
  <c r="CB482" i="1"/>
  <c r="CA482" i="1"/>
  <c r="BW482" i="1"/>
  <c r="BV482" i="1"/>
  <c r="BU482" i="1"/>
  <c r="BT482" i="1"/>
  <c r="BS482" i="1"/>
  <c r="BI482" i="1"/>
  <c r="CN482" i="1" s="1"/>
  <c r="BB482" i="1"/>
  <c r="AR482" i="1"/>
  <c r="AD482" i="1"/>
  <c r="CQ482" i="1" s="1"/>
  <c r="Y482" i="1"/>
  <c r="CH482" i="1" s="1"/>
  <c r="W482" i="1"/>
  <c r="M482" i="1"/>
  <c r="G482" i="1"/>
  <c r="F482" i="1"/>
  <c r="E482" i="1"/>
  <c r="DA481" i="1"/>
  <c r="CZ481" i="1"/>
  <c r="CY481" i="1"/>
  <c r="CW481" i="1"/>
  <c r="CG481" i="1"/>
  <c r="CE481" i="1"/>
  <c r="CC481" i="1"/>
  <c r="CB481" i="1"/>
  <c r="CA481" i="1"/>
  <c r="BW481" i="1"/>
  <c r="BV481" i="1"/>
  <c r="BU481" i="1"/>
  <c r="BT481" i="1"/>
  <c r="BS481" i="1"/>
  <c r="BL481" i="1"/>
  <c r="CV481" i="1" s="1"/>
  <c r="BI481" i="1"/>
  <c r="CL481" i="1" s="1"/>
  <c r="BB481" i="1"/>
  <c r="AR481" i="1"/>
  <c r="AG481" i="1"/>
  <c r="AD481" i="1"/>
  <c r="CQ481" i="1" s="1"/>
  <c r="Y481" i="1"/>
  <c r="CH481" i="1" s="1"/>
  <c r="W481" i="1"/>
  <c r="M481" i="1"/>
  <c r="G481" i="1"/>
  <c r="F481" i="1"/>
  <c r="E481" i="1"/>
  <c r="DA480" i="1"/>
  <c r="CZ480" i="1"/>
  <c r="CY480" i="1"/>
  <c r="CW480" i="1"/>
  <c r="CV480" i="1"/>
  <c r="CR480" i="1"/>
  <c r="CN480" i="1"/>
  <c r="CM480" i="1"/>
  <c r="CL480" i="1"/>
  <c r="CH480" i="1"/>
  <c r="CG480" i="1"/>
  <c r="CF480" i="1"/>
  <c r="CE480" i="1"/>
  <c r="CD480" i="1"/>
  <c r="CC480" i="1"/>
  <c r="CB480" i="1"/>
  <c r="CA480" i="1"/>
  <c r="CI480" i="1" s="1"/>
  <c r="BW480" i="1"/>
  <c r="BV480" i="1"/>
  <c r="BU480" i="1"/>
  <c r="BT480" i="1"/>
  <c r="BS480" i="1"/>
  <c r="BI480" i="1"/>
  <c r="BB480" i="1"/>
  <c r="AR480" i="1"/>
  <c r="AD480" i="1"/>
  <c r="CK480" i="1" s="1"/>
  <c r="W480" i="1"/>
  <c r="M480" i="1"/>
  <c r="G480" i="1"/>
  <c r="F480" i="1"/>
  <c r="E480" i="1"/>
  <c r="DA479" i="1"/>
  <c r="CZ479" i="1"/>
  <c r="CY479" i="1"/>
  <c r="CW479" i="1"/>
  <c r="CV479" i="1"/>
  <c r="CH479" i="1"/>
  <c r="CG479" i="1"/>
  <c r="CF479" i="1"/>
  <c r="CE479" i="1"/>
  <c r="CD479" i="1"/>
  <c r="CC479" i="1"/>
  <c r="CB479" i="1"/>
  <c r="CA479" i="1"/>
  <c r="CI479" i="1" s="1"/>
  <c r="BW479" i="1"/>
  <c r="BV479" i="1"/>
  <c r="BU479" i="1"/>
  <c r="BT479" i="1"/>
  <c r="BS479" i="1"/>
  <c r="BI479" i="1"/>
  <c r="CR479" i="1" s="1"/>
  <c r="BB479" i="1"/>
  <c r="AR479" i="1"/>
  <c r="AG479" i="1"/>
  <c r="AD479" i="1"/>
  <c r="CP479" i="1" s="1"/>
  <c r="W479" i="1"/>
  <c r="M479" i="1"/>
  <c r="G479" i="1"/>
  <c r="F479" i="1"/>
  <c r="E479" i="1"/>
  <c r="DA478" i="1"/>
  <c r="CZ478" i="1"/>
  <c r="CY478" i="1"/>
  <c r="CW478" i="1"/>
  <c r="CV478" i="1"/>
  <c r="CC478" i="1"/>
  <c r="CB478" i="1"/>
  <c r="BW478" i="1"/>
  <c r="BV478" i="1"/>
  <c r="BU478" i="1"/>
  <c r="BT478" i="1"/>
  <c r="BS478" i="1"/>
  <c r="BI478" i="1"/>
  <c r="BB478" i="1"/>
  <c r="AR478" i="1"/>
  <c r="AH478" i="1"/>
  <c r="AG478" i="1"/>
  <c r="Y478" i="1"/>
  <c r="CA478" i="1" s="1"/>
  <c r="W478" i="1"/>
  <c r="M478" i="1"/>
  <c r="G478" i="1"/>
  <c r="F478" i="1"/>
  <c r="E478" i="1"/>
  <c r="DA477" i="1"/>
  <c r="CZ477" i="1"/>
  <c r="CY477" i="1"/>
  <c r="CW477" i="1"/>
  <c r="CV477" i="1"/>
  <c r="CO477" i="1"/>
  <c r="CN477" i="1"/>
  <c r="CM477" i="1"/>
  <c r="CL477" i="1"/>
  <c r="CH477" i="1"/>
  <c r="CG477" i="1"/>
  <c r="CF477" i="1"/>
  <c r="CE477" i="1"/>
  <c r="CD477" i="1"/>
  <c r="CC477" i="1"/>
  <c r="CB477" i="1"/>
  <c r="CA477" i="1"/>
  <c r="CI477" i="1" s="1"/>
  <c r="BW477" i="1"/>
  <c r="BV477" i="1"/>
  <c r="BU477" i="1"/>
  <c r="BT477" i="1"/>
  <c r="BS477" i="1"/>
  <c r="BI477" i="1"/>
  <c r="CK477" i="1" s="1"/>
  <c r="BB477" i="1"/>
  <c r="AR477" i="1"/>
  <c r="AD477" i="1"/>
  <c r="CR477" i="1" s="1"/>
  <c r="W477" i="1"/>
  <c r="M477" i="1"/>
  <c r="G477" i="1"/>
  <c r="F477" i="1"/>
  <c r="E477" i="1"/>
  <c r="DA476" i="1"/>
  <c r="CZ476" i="1"/>
  <c r="CW476" i="1"/>
  <c r="CV476" i="1"/>
  <c r="CB476" i="1"/>
  <c r="BW476" i="1"/>
  <c r="BV476" i="1"/>
  <c r="BU476" i="1"/>
  <c r="BT476" i="1"/>
  <c r="BO476" i="1"/>
  <c r="CY476" i="1" s="1"/>
  <c r="BI476" i="1"/>
  <c r="BD476" i="1"/>
  <c r="BB476" i="1"/>
  <c r="AR476" i="1"/>
  <c r="AJ476" i="1"/>
  <c r="Y476" i="1"/>
  <c r="CA476" i="1" s="1"/>
  <c r="W476" i="1"/>
  <c r="M476" i="1"/>
  <c r="G476" i="1"/>
  <c r="F476" i="1"/>
  <c r="E476" i="1"/>
  <c r="DA475" i="1"/>
  <c r="CZ475" i="1"/>
  <c r="CY475" i="1"/>
  <c r="CW475" i="1"/>
  <c r="CV475" i="1"/>
  <c r="CP475" i="1"/>
  <c r="CO475" i="1"/>
  <c r="CN475" i="1"/>
  <c r="CM475" i="1"/>
  <c r="CL475" i="1"/>
  <c r="CG475" i="1"/>
  <c r="CF475" i="1"/>
  <c r="CE475" i="1"/>
  <c r="CD475" i="1"/>
  <c r="CC475" i="1"/>
  <c r="CA475" i="1"/>
  <c r="BW475" i="1"/>
  <c r="BV475" i="1"/>
  <c r="BU475" i="1"/>
  <c r="BT475" i="1"/>
  <c r="BS475" i="1"/>
  <c r="AJ475" i="1"/>
  <c r="AD475" i="1"/>
  <c r="CK475" i="1" s="1"/>
  <c r="Y475" i="1"/>
  <c r="CB475" i="1" s="1"/>
  <c r="W475" i="1"/>
  <c r="M475" i="1"/>
  <c r="G475" i="1"/>
  <c r="F475" i="1"/>
  <c r="E475" i="1"/>
  <c r="DA474" i="1"/>
  <c r="CZ474" i="1"/>
  <c r="CW474" i="1"/>
  <c r="CV474" i="1"/>
  <c r="BW474" i="1"/>
  <c r="BV474" i="1"/>
  <c r="BU474" i="1"/>
  <c r="BT474" i="1"/>
  <c r="BO474" i="1"/>
  <c r="BI474" i="1"/>
  <c r="BD474" i="1"/>
  <c r="BB474" i="1"/>
  <c r="AR474" i="1"/>
  <c r="AJ474" i="1"/>
  <c r="CY474" i="1" s="1"/>
  <c r="Y474" i="1"/>
  <c r="CB474" i="1" s="1"/>
  <c r="W474" i="1"/>
  <c r="M474" i="1"/>
  <c r="G474" i="1"/>
  <c r="F474" i="1"/>
  <c r="E474" i="1"/>
  <c r="DA473" i="1"/>
  <c r="CZ473" i="1"/>
  <c r="CY473" i="1"/>
  <c r="CW473" i="1"/>
  <c r="CV473" i="1"/>
  <c r="CO473" i="1"/>
  <c r="CN473" i="1"/>
  <c r="CM473" i="1"/>
  <c r="CL473" i="1"/>
  <c r="CH473" i="1"/>
  <c r="CG473" i="1"/>
  <c r="CF473" i="1"/>
  <c r="CE473" i="1"/>
  <c r="CD473" i="1"/>
  <c r="CC473" i="1"/>
  <c r="CB473" i="1"/>
  <c r="CA473" i="1"/>
  <c r="CI473" i="1" s="1"/>
  <c r="BW473" i="1"/>
  <c r="BV473" i="1"/>
  <c r="BU473" i="1"/>
  <c r="BT473" i="1"/>
  <c r="BS473" i="1"/>
  <c r="BI473" i="1"/>
  <c r="BB473" i="1"/>
  <c r="AR473" i="1"/>
  <c r="AD473" i="1"/>
  <c r="CK473" i="1" s="1"/>
  <c r="W473" i="1"/>
  <c r="M473" i="1"/>
  <c r="G473" i="1"/>
  <c r="F473" i="1"/>
  <c r="E473" i="1"/>
  <c r="DA472" i="1"/>
  <c r="CZ472" i="1"/>
  <c r="CY472" i="1"/>
  <c r="CW472" i="1"/>
  <c r="CV472" i="1"/>
  <c r="CD472" i="1"/>
  <c r="BW472" i="1"/>
  <c r="BV472" i="1"/>
  <c r="BU472" i="1"/>
  <c r="BT472" i="1"/>
  <c r="BI472" i="1"/>
  <c r="BB472" i="1"/>
  <c r="AR472" i="1"/>
  <c r="AJ472" i="1"/>
  <c r="Y472" i="1"/>
  <c r="CC472" i="1" s="1"/>
  <c r="W472" i="1"/>
  <c r="M472" i="1"/>
  <c r="G472" i="1"/>
  <c r="F472" i="1"/>
  <c r="E472" i="1"/>
  <c r="DA471" i="1"/>
  <c r="CZ471" i="1"/>
  <c r="CY471" i="1"/>
  <c r="CW471" i="1"/>
  <c r="CV471" i="1"/>
  <c r="CN471" i="1"/>
  <c r="CM471" i="1"/>
  <c r="CH471" i="1"/>
  <c r="CG471" i="1"/>
  <c r="CF471" i="1"/>
  <c r="CE471" i="1"/>
  <c r="CD471" i="1"/>
  <c r="CC471" i="1"/>
  <c r="CB471" i="1"/>
  <c r="CA471" i="1"/>
  <c r="CI471" i="1" s="1"/>
  <c r="BW471" i="1"/>
  <c r="BV471" i="1"/>
  <c r="BU471" i="1"/>
  <c r="BT471" i="1"/>
  <c r="BS471" i="1"/>
  <c r="BI471" i="1"/>
  <c r="CL471" i="1" s="1"/>
  <c r="BB471" i="1"/>
  <c r="AR471" i="1"/>
  <c r="AD471" i="1"/>
  <c r="CP471" i="1" s="1"/>
  <c r="W471" i="1"/>
  <c r="M471" i="1"/>
  <c r="G471" i="1"/>
  <c r="F471" i="1"/>
  <c r="E471" i="1"/>
  <c r="DA470" i="1"/>
  <c r="CZ470" i="1"/>
  <c r="CY470" i="1"/>
  <c r="CW470" i="1"/>
  <c r="CV470" i="1"/>
  <c r="CH470" i="1"/>
  <c r="CG470" i="1"/>
  <c r="CF470" i="1"/>
  <c r="CE470" i="1"/>
  <c r="CD470" i="1"/>
  <c r="CC470" i="1"/>
  <c r="CB470" i="1"/>
  <c r="CA470" i="1"/>
  <c r="CI470" i="1" s="1"/>
  <c r="BW470" i="1"/>
  <c r="BV470" i="1"/>
  <c r="BU470" i="1"/>
  <c r="BT470" i="1"/>
  <c r="BS470" i="1"/>
  <c r="BI470" i="1"/>
  <c r="CR470" i="1" s="1"/>
  <c r="BB470" i="1"/>
  <c r="AR470" i="1"/>
  <c r="AD470" i="1"/>
  <c r="CP470" i="1" s="1"/>
  <c r="W470" i="1"/>
  <c r="M470" i="1"/>
  <c r="G470" i="1"/>
  <c r="F470" i="1"/>
  <c r="E470" i="1"/>
  <c r="DA469" i="1"/>
  <c r="CZ469" i="1"/>
  <c r="CY469" i="1"/>
  <c r="CW469" i="1"/>
  <c r="CV469" i="1"/>
  <c r="CH469" i="1"/>
  <c r="CG469" i="1"/>
  <c r="CF469" i="1"/>
  <c r="CE469" i="1"/>
  <c r="CD469" i="1"/>
  <c r="CC469" i="1"/>
  <c r="CB469" i="1"/>
  <c r="CA469" i="1"/>
  <c r="CI469" i="1" s="1"/>
  <c r="BV469" i="1"/>
  <c r="BU469" i="1"/>
  <c r="BT469" i="1"/>
  <c r="BS469" i="1"/>
  <c r="BI469" i="1"/>
  <c r="BB469" i="1"/>
  <c r="AR469" i="1"/>
  <c r="AC469" i="1"/>
  <c r="BW469" i="1" s="1"/>
  <c r="W469" i="1"/>
  <c r="M469" i="1"/>
  <c r="G469" i="1"/>
  <c r="F469" i="1"/>
  <c r="E469" i="1"/>
  <c r="DA468" i="1"/>
  <c r="CZ468" i="1"/>
  <c r="CY468" i="1"/>
  <c r="CW468" i="1"/>
  <c r="CV468" i="1"/>
  <c r="CH468" i="1"/>
  <c r="CG468" i="1"/>
  <c r="CF468" i="1"/>
  <c r="CE468" i="1"/>
  <c r="CA468" i="1"/>
  <c r="BW468" i="1"/>
  <c r="BU468" i="1"/>
  <c r="BI468" i="1"/>
  <c r="BB468" i="1"/>
  <c r="AR468" i="1"/>
  <c r="AD468" i="1"/>
  <c r="CO468" i="1" s="1"/>
  <c r="AC468" i="1"/>
  <c r="AB468" i="1"/>
  <c r="BV468" i="1" s="1"/>
  <c r="AA468" i="1"/>
  <c r="Z468" i="1"/>
  <c r="BT468" i="1" s="1"/>
  <c r="Y468" i="1"/>
  <c r="CD468" i="1" s="1"/>
  <c r="W468" i="1"/>
  <c r="M468" i="1"/>
  <c r="G468" i="1"/>
  <c r="F468" i="1"/>
  <c r="E468" i="1"/>
  <c r="DA467" i="1"/>
  <c r="CZ467" i="1"/>
  <c r="CY467" i="1"/>
  <c r="CW467" i="1"/>
  <c r="CV467" i="1"/>
  <c r="CH467" i="1"/>
  <c r="CG467" i="1"/>
  <c r="CF467" i="1"/>
  <c r="CE467" i="1"/>
  <c r="CD467" i="1"/>
  <c r="CC467" i="1"/>
  <c r="CB467" i="1"/>
  <c r="CA467" i="1"/>
  <c r="CI467" i="1" s="1"/>
  <c r="BW467" i="1"/>
  <c r="BV467" i="1"/>
  <c r="BU467" i="1"/>
  <c r="BT467" i="1"/>
  <c r="BS467" i="1"/>
  <c r="BI467" i="1"/>
  <c r="CR467" i="1" s="1"/>
  <c r="BB467" i="1"/>
  <c r="AR467" i="1"/>
  <c r="AD467" i="1"/>
  <c r="CP467" i="1" s="1"/>
  <c r="W467" i="1"/>
  <c r="M467" i="1"/>
  <c r="G467" i="1"/>
  <c r="F467" i="1"/>
  <c r="E467" i="1"/>
  <c r="DA466" i="1"/>
  <c r="CZ466" i="1"/>
  <c r="CY466" i="1"/>
  <c r="CW466" i="1"/>
  <c r="CV466" i="1"/>
  <c r="CR466" i="1"/>
  <c r="CH466" i="1"/>
  <c r="CG466" i="1"/>
  <c r="CF466" i="1"/>
  <c r="CE466" i="1"/>
  <c r="CD466" i="1"/>
  <c r="CC466" i="1"/>
  <c r="CB466" i="1"/>
  <c r="CA466" i="1"/>
  <c r="CI466" i="1" s="1"/>
  <c r="BW466" i="1"/>
  <c r="BV466" i="1"/>
  <c r="BU466" i="1"/>
  <c r="BT466" i="1"/>
  <c r="BS466" i="1"/>
  <c r="BI466" i="1"/>
  <c r="CL466" i="1" s="1"/>
  <c r="BB466" i="1"/>
  <c r="AR466" i="1"/>
  <c r="AD466" i="1"/>
  <c r="CQ466" i="1" s="1"/>
  <c r="W466" i="1"/>
  <c r="M466" i="1"/>
  <c r="G466" i="1"/>
  <c r="F466" i="1"/>
  <c r="E466" i="1"/>
  <c r="DA465" i="1"/>
  <c r="CZ465" i="1"/>
  <c r="CY465" i="1"/>
  <c r="CW465" i="1"/>
  <c r="CV465" i="1"/>
  <c r="CR465" i="1"/>
  <c r="CQ465" i="1"/>
  <c r="CH465" i="1"/>
  <c r="CG465" i="1"/>
  <c r="CF465" i="1"/>
  <c r="CE465" i="1"/>
  <c r="CD465" i="1"/>
  <c r="CC465" i="1"/>
  <c r="CB465" i="1"/>
  <c r="CA465" i="1"/>
  <c r="CI465" i="1" s="1"/>
  <c r="BX465" i="1"/>
  <c r="BW465" i="1"/>
  <c r="BV465" i="1"/>
  <c r="BU465" i="1"/>
  <c r="BT465" i="1"/>
  <c r="BS465" i="1"/>
  <c r="BI465" i="1"/>
  <c r="CO465" i="1" s="1"/>
  <c r="BB465" i="1"/>
  <c r="AR465" i="1"/>
  <c r="AD465" i="1"/>
  <c r="CP465" i="1" s="1"/>
  <c r="W465" i="1"/>
  <c r="M465" i="1"/>
  <c r="G465" i="1"/>
  <c r="F465" i="1"/>
  <c r="E465" i="1"/>
  <c r="DA464" i="1"/>
  <c r="CZ464" i="1"/>
  <c r="CY464" i="1"/>
  <c r="CW464" i="1"/>
  <c r="CV464" i="1"/>
  <c r="CO464" i="1"/>
  <c r="CH464" i="1"/>
  <c r="CG464" i="1"/>
  <c r="CF464" i="1"/>
  <c r="CE464" i="1"/>
  <c r="CD464" i="1"/>
  <c r="CC464" i="1"/>
  <c r="CB464" i="1"/>
  <c r="CA464" i="1"/>
  <c r="BW464" i="1"/>
  <c r="BV464" i="1"/>
  <c r="BU464" i="1"/>
  <c r="BT464" i="1"/>
  <c r="BS464" i="1"/>
  <c r="BI464" i="1"/>
  <c r="BB464" i="1"/>
  <c r="AR464" i="1"/>
  <c r="AD464" i="1"/>
  <c r="CN464" i="1" s="1"/>
  <c r="W464" i="1"/>
  <c r="M464" i="1"/>
  <c r="G464" i="1"/>
  <c r="F464" i="1"/>
  <c r="E464" i="1"/>
  <c r="DA463" i="1"/>
  <c r="CZ463" i="1"/>
  <c r="CY463" i="1"/>
  <c r="CW463" i="1"/>
  <c r="CV463" i="1"/>
  <c r="CO463" i="1"/>
  <c r="CN463" i="1"/>
  <c r="CM463" i="1"/>
  <c r="CH463" i="1"/>
  <c r="CG463" i="1"/>
  <c r="CF463" i="1"/>
  <c r="CE463" i="1"/>
  <c r="CD463" i="1"/>
  <c r="CC463" i="1"/>
  <c r="CB463" i="1"/>
  <c r="CA463" i="1"/>
  <c r="BW463" i="1"/>
  <c r="BV463" i="1"/>
  <c r="BU463" i="1"/>
  <c r="BT463" i="1"/>
  <c r="BS463" i="1"/>
  <c r="BI463" i="1"/>
  <c r="CL463" i="1" s="1"/>
  <c r="BB463" i="1"/>
  <c r="AR463" i="1"/>
  <c r="AD463" i="1"/>
  <c r="CR463" i="1" s="1"/>
  <c r="W463" i="1"/>
  <c r="M463" i="1"/>
  <c r="G463" i="1"/>
  <c r="F463" i="1"/>
  <c r="E463" i="1"/>
  <c r="DA462" i="1"/>
  <c r="CZ462" i="1"/>
  <c r="CY462" i="1"/>
  <c r="CW462" i="1"/>
  <c r="CV462" i="1"/>
  <c r="CR462" i="1"/>
  <c r="CN462" i="1"/>
  <c r="CM462" i="1"/>
  <c r="CL462" i="1"/>
  <c r="CH462" i="1"/>
  <c r="CG462" i="1"/>
  <c r="CF462" i="1"/>
  <c r="CE462" i="1"/>
  <c r="CD462" i="1"/>
  <c r="CC462" i="1"/>
  <c r="CB462" i="1"/>
  <c r="CA462" i="1"/>
  <c r="BW462" i="1"/>
  <c r="BV462" i="1"/>
  <c r="BU462" i="1"/>
  <c r="BT462" i="1"/>
  <c r="BS462" i="1"/>
  <c r="BI462" i="1"/>
  <c r="CK462" i="1" s="1"/>
  <c r="BB462" i="1"/>
  <c r="AR462" i="1"/>
  <c r="AD462" i="1"/>
  <c r="CQ462" i="1" s="1"/>
  <c r="W462" i="1"/>
  <c r="M462" i="1"/>
  <c r="G462" i="1"/>
  <c r="F462" i="1"/>
  <c r="E462" i="1"/>
  <c r="DA461" i="1"/>
  <c r="CZ461" i="1"/>
  <c r="CY461" i="1"/>
  <c r="CW461" i="1"/>
  <c r="CV461" i="1"/>
  <c r="CK461" i="1"/>
  <c r="CH461" i="1"/>
  <c r="CG461" i="1"/>
  <c r="CF461" i="1"/>
  <c r="CE461" i="1"/>
  <c r="CD461" i="1"/>
  <c r="CC461" i="1"/>
  <c r="CB461" i="1"/>
  <c r="CA461" i="1"/>
  <c r="BW461" i="1"/>
  <c r="BV461" i="1"/>
  <c r="BU461" i="1"/>
  <c r="BT461" i="1"/>
  <c r="BS461" i="1"/>
  <c r="BI461" i="1"/>
  <c r="BB461" i="1"/>
  <c r="AR461" i="1"/>
  <c r="AD461" i="1"/>
  <c r="CP461" i="1" s="1"/>
  <c r="W461" i="1"/>
  <c r="M461" i="1"/>
  <c r="G461" i="1"/>
  <c r="F461" i="1"/>
  <c r="E461" i="1"/>
  <c r="DA460" i="1"/>
  <c r="CZ460" i="1"/>
  <c r="CY460" i="1"/>
  <c r="CW460" i="1"/>
  <c r="CV460" i="1"/>
  <c r="CR460" i="1"/>
  <c r="CQ460" i="1"/>
  <c r="CH460" i="1"/>
  <c r="CG460" i="1"/>
  <c r="CF460" i="1"/>
  <c r="CE460" i="1"/>
  <c r="CD460" i="1"/>
  <c r="CC460" i="1"/>
  <c r="CB460" i="1"/>
  <c r="CA460" i="1"/>
  <c r="BX460" i="1"/>
  <c r="BW460" i="1"/>
  <c r="BV460" i="1"/>
  <c r="BU460" i="1"/>
  <c r="BT460" i="1"/>
  <c r="BS460" i="1"/>
  <c r="BI460" i="1"/>
  <c r="CO460" i="1" s="1"/>
  <c r="BB460" i="1"/>
  <c r="AR460" i="1"/>
  <c r="AD460" i="1"/>
  <c r="CP460" i="1" s="1"/>
  <c r="W460" i="1"/>
  <c r="M460" i="1"/>
  <c r="G460" i="1"/>
  <c r="F460" i="1"/>
  <c r="E460" i="1"/>
  <c r="DA459" i="1"/>
  <c r="CZ459" i="1"/>
  <c r="CY459" i="1"/>
  <c r="CW459" i="1"/>
  <c r="CV459" i="1"/>
  <c r="CQ459" i="1"/>
  <c r="CO459" i="1"/>
  <c r="CH459" i="1"/>
  <c r="CG459" i="1"/>
  <c r="CF459" i="1"/>
  <c r="CE459" i="1"/>
  <c r="CD459" i="1"/>
  <c r="CC459" i="1"/>
  <c r="CB459" i="1"/>
  <c r="CA459" i="1"/>
  <c r="BX459" i="1"/>
  <c r="BW459" i="1"/>
  <c r="BV459" i="1"/>
  <c r="BU459" i="1"/>
  <c r="BT459" i="1"/>
  <c r="BS459" i="1"/>
  <c r="BI459" i="1"/>
  <c r="BB459" i="1"/>
  <c r="AR459" i="1"/>
  <c r="AD459" i="1"/>
  <c r="CN459" i="1" s="1"/>
  <c r="W459" i="1"/>
  <c r="M459" i="1"/>
  <c r="G459" i="1"/>
  <c r="F459" i="1"/>
  <c r="E459" i="1"/>
  <c r="DA458" i="1"/>
  <c r="CZ458" i="1"/>
  <c r="CY458" i="1"/>
  <c r="CW458" i="1"/>
  <c r="CV458" i="1"/>
  <c r="CO458" i="1"/>
  <c r="CN458" i="1"/>
  <c r="CM458" i="1"/>
  <c r="CH458" i="1"/>
  <c r="CG458" i="1"/>
  <c r="CF458" i="1"/>
  <c r="CE458" i="1"/>
  <c r="CD458" i="1"/>
  <c r="CC458" i="1"/>
  <c r="CB458" i="1"/>
  <c r="CA458" i="1"/>
  <c r="BW458" i="1"/>
  <c r="BV458" i="1"/>
  <c r="BU458" i="1"/>
  <c r="BT458" i="1"/>
  <c r="BS458" i="1"/>
  <c r="BI458" i="1"/>
  <c r="CL458" i="1" s="1"/>
  <c r="BB458" i="1"/>
  <c r="AR458" i="1"/>
  <c r="AD458" i="1"/>
  <c r="CR458" i="1" s="1"/>
  <c r="W458" i="1"/>
  <c r="M458" i="1"/>
  <c r="G458" i="1"/>
  <c r="F458" i="1"/>
  <c r="E458" i="1"/>
  <c r="DA457" i="1"/>
  <c r="CZ457" i="1"/>
  <c r="CY457" i="1"/>
  <c r="CW457" i="1"/>
  <c r="CV457" i="1"/>
  <c r="CH457" i="1"/>
  <c r="CG457" i="1"/>
  <c r="CF457" i="1"/>
  <c r="CE457" i="1"/>
  <c r="CD457" i="1"/>
  <c r="CC457" i="1"/>
  <c r="CB457" i="1"/>
  <c r="CA457" i="1"/>
  <c r="BW457" i="1"/>
  <c r="BV457" i="1"/>
  <c r="BU457" i="1"/>
  <c r="BT457" i="1"/>
  <c r="BS457" i="1"/>
  <c r="BI457" i="1"/>
  <c r="BB457" i="1"/>
  <c r="AR457" i="1"/>
  <c r="AD457" i="1"/>
  <c r="W457" i="1"/>
  <c r="M457" i="1"/>
  <c r="G457" i="1"/>
  <c r="F457" i="1"/>
  <c r="E457" i="1"/>
  <c r="DA456" i="1"/>
  <c r="CZ456" i="1"/>
  <c r="CY456" i="1"/>
  <c r="CW456" i="1"/>
  <c r="CV456" i="1"/>
  <c r="CQ456" i="1"/>
  <c r="CH456" i="1"/>
  <c r="CG456" i="1"/>
  <c r="CF456" i="1"/>
  <c r="CE456" i="1"/>
  <c r="CD456" i="1"/>
  <c r="CC456" i="1"/>
  <c r="CB456" i="1"/>
  <c r="CA456" i="1"/>
  <c r="BX456" i="1"/>
  <c r="BW456" i="1"/>
  <c r="BV456" i="1"/>
  <c r="BU456" i="1"/>
  <c r="BT456" i="1"/>
  <c r="BS456" i="1"/>
  <c r="BI456" i="1"/>
  <c r="CO456" i="1" s="1"/>
  <c r="BB456" i="1"/>
  <c r="AR456" i="1"/>
  <c r="AD456" i="1"/>
  <c r="CP456" i="1" s="1"/>
  <c r="W456" i="1"/>
  <c r="M456" i="1"/>
  <c r="G456" i="1"/>
  <c r="F456" i="1"/>
  <c r="E456" i="1"/>
  <c r="DA455" i="1"/>
  <c r="CZ455" i="1"/>
  <c r="CY455" i="1"/>
  <c r="CW455" i="1"/>
  <c r="CV455" i="1"/>
  <c r="CQ455" i="1"/>
  <c r="CP455" i="1"/>
  <c r="CO455" i="1"/>
  <c r="CN455" i="1"/>
  <c r="CM455" i="1"/>
  <c r="CH455" i="1"/>
  <c r="CG455" i="1"/>
  <c r="CF455" i="1"/>
  <c r="CE455" i="1"/>
  <c r="CD455" i="1"/>
  <c r="CC455" i="1"/>
  <c r="CB455" i="1"/>
  <c r="CA455" i="1"/>
  <c r="CI455" i="1" s="1"/>
  <c r="BX455" i="1"/>
  <c r="BW455" i="1"/>
  <c r="BV455" i="1"/>
  <c r="BU455" i="1"/>
  <c r="BT455" i="1"/>
  <c r="BS455" i="1"/>
  <c r="AD455" i="1"/>
  <c r="CL455" i="1" s="1"/>
  <c r="W455" i="1"/>
  <c r="M455" i="1"/>
  <c r="G455" i="1"/>
  <c r="F455" i="1"/>
  <c r="E455" i="1"/>
  <c r="DA454" i="1"/>
  <c r="CZ454" i="1"/>
  <c r="CY454" i="1"/>
  <c r="CW454" i="1"/>
  <c r="CV454" i="1"/>
  <c r="CR454" i="1"/>
  <c r="CH454" i="1"/>
  <c r="CG454" i="1"/>
  <c r="CF454" i="1"/>
  <c r="CE454" i="1"/>
  <c r="CD454" i="1"/>
  <c r="CC454" i="1"/>
  <c r="CB454" i="1"/>
  <c r="CA454" i="1"/>
  <c r="CI454" i="1" s="1"/>
  <c r="BW454" i="1"/>
  <c r="BV454" i="1"/>
  <c r="BU454" i="1"/>
  <c r="BT454" i="1"/>
  <c r="BS454" i="1"/>
  <c r="BI454" i="1"/>
  <c r="CL454" i="1" s="1"/>
  <c r="BB454" i="1"/>
  <c r="AR454" i="1"/>
  <c r="AD454" i="1"/>
  <c r="CQ454" i="1" s="1"/>
  <c r="W454" i="1"/>
  <c r="M454" i="1"/>
  <c r="G454" i="1"/>
  <c r="F454" i="1"/>
  <c r="E454" i="1"/>
  <c r="DA453" i="1"/>
  <c r="CZ453" i="1"/>
  <c r="CY453" i="1"/>
  <c r="CW453" i="1"/>
  <c r="CV453" i="1"/>
  <c r="CH453" i="1"/>
  <c r="CG453" i="1"/>
  <c r="CF453" i="1"/>
  <c r="CE453" i="1"/>
  <c r="CD453" i="1"/>
  <c r="CC453" i="1"/>
  <c r="CB453" i="1"/>
  <c r="CA453" i="1"/>
  <c r="BW453" i="1"/>
  <c r="BV453" i="1"/>
  <c r="BU453" i="1"/>
  <c r="BT453" i="1"/>
  <c r="BS453" i="1"/>
  <c r="BI453" i="1"/>
  <c r="BB453" i="1"/>
  <c r="AR453" i="1"/>
  <c r="AD453" i="1"/>
  <c r="W453" i="1"/>
  <c r="M453" i="1"/>
  <c r="G453" i="1"/>
  <c r="F453" i="1"/>
  <c r="E453" i="1"/>
  <c r="DA452" i="1"/>
  <c r="CZ452" i="1"/>
  <c r="CY452" i="1"/>
  <c r="CW452" i="1"/>
  <c r="CV452" i="1"/>
  <c r="CN452" i="1"/>
  <c r="CH452" i="1"/>
  <c r="CG452" i="1"/>
  <c r="CF452" i="1"/>
  <c r="CE452" i="1"/>
  <c r="CD452" i="1"/>
  <c r="CC452" i="1"/>
  <c r="CB452" i="1"/>
  <c r="CA452" i="1"/>
  <c r="CI452" i="1" s="1"/>
  <c r="BW452" i="1"/>
  <c r="BV452" i="1"/>
  <c r="BU452" i="1"/>
  <c r="BT452" i="1"/>
  <c r="BS452" i="1"/>
  <c r="BI452" i="1"/>
  <c r="BB452" i="1"/>
  <c r="AR452" i="1"/>
  <c r="AD452" i="1"/>
  <c r="CM452" i="1" s="1"/>
  <c r="W452" i="1"/>
  <c r="M452" i="1"/>
  <c r="G452" i="1"/>
  <c r="F452" i="1"/>
  <c r="E452" i="1"/>
  <c r="DA451" i="1"/>
  <c r="CZ451" i="1"/>
  <c r="CY451" i="1"/>
  <c r="CW451" i="1"/>
  <c r="CV451" i="1"/>
  <c r="CL451" i="1"/>
  <c r="CE451" i="1"/>
  <c r="CC451" i="1"/>
  <c r="BW451" i="1"/>
  <c r="BV451" i="1"/>
  <c r="BU451" i="1"/>
  <c r="BT451" i="1"/>
  <c r="BS451" i="1"/>
  <c r="BI451" i="1"/>
  <c r="BB451" i="1"/>
  <c r="AR451" i="1"/>
  <c r="AH451" i="1"/>
  <c r="AG451" i="1"/>
  <c r="AD451" i="1"/>
  <c r="CK451" i="1" s="1"/>
  <c r="Y451" i="1"/>
  <c r="CB451" i="1" s="1"/>
  <c r="W451" i="1"/>
  <c r="M451" i="1"/>
  <c r="G451" i="1"/>
  <c r="F451" i="1"/>
  <c r="E451" i="1"/>
  <c r="DA450" i="1"/>
  <c r="CZ450" i="1"/>
  <c r="CY450" i="1"/>
  <c r="CV450" i="1"/>
  <c r="CO450" i="1"/>
  <c r="CN450" i="1"/>
  <c r="CM450" i="1"/>
  <c r="CH450" i="1"/>
  <c r="CF450" i="1"/>
  <c r="CE450" i="1"/>
  <c r="CD450" i="1"/>
  <c r="CC450" i="1"/>
  <c r="CB450" i="1"/>
  <c r="BW450" i="1"/>
  <c r="BV450" i="1"/>
  <c r="BU450" i="1"/>
  <c r="BT450" i="1"/>
  <c r="BS450" i="1"/>
  <c r="BM450" i="1"/>
  <c r="BL450" i="1"/>
  <c r="BI450" i="1"/>
  <c r="BD450" i="1"/>
  <c r="CG450" i="1" s="1"/>
  <c r="BB450" i="1"/>
  <c r="AR450" i="1"/>
  <c r="AH450" i="1"/>
  <c r="CW450" i="1" s="1"/>
  <c r="AG450" i="1"/>
  <c r="AD450" i="1"/>
  <c r="CL450" i="1" s="1"/>
  <c r="Y450" i="1"/>
  <c r="CA450" i="1" s="1"/>
  <c r="W450" i="1"/>
  <c r="M450" i="1"/>
  <c r="G450" i="1"/>
  <c r="F450" i="1"/>
  <c r="E450" i="1"/>
  <c r="DA449" i="1"/>
  <c r="CZ449" i="1"/>
  <c r="CY449" i="1"/>
  <c r="CW449" i="1"/>
  <c r="CV449" i="1"/>
  <c r="CR449" i="1"/>
  <c r="CL449" i="1"/>
  <c r="CH449" i="1"/>
  <c r="CG449" i="1"/>
  <c r="CF449" i="1"/>
  <c r="CE449" i="1"/>
  <c r="CD449" i="1"/>
  <c r="CC449" i="1"/>
  <c r="CB449" i="1"/>
  <c r="CA449" i="1"/>
  <c r="CI449" i="1" s="1"/>
  <c r="BW449" i="1"/>
  <c r="BV449" i="1"/>
  <c r="BU449" i="1"/>
  <c r="BT449" i="1"/>
  <c r="BS449" i="1"/>
  <c r="AD449" i="1"/>
  <c r="CQ449" i="1" s="1"/>
  <c r="W449" i="1"/>
  <c r="M449" i="1"/>
  <c r="G449" i="1"/>
  <c r="F449" i="1"/>
  <c r="E449" i="1"/>
  <c r="DA448" i="1"/>
  <c r="CZ448" i="1"/>
  <c r="CY448" i="1"/>
  <c r="CW448" i="1"/>
  <c r="CG448" i="1"/>
  <c r="CF448" i="1"/>
  <c r="CE448" i="1"/>
  <c r="CC448" i="1"/>
  <c r="CA448" i="1"/>
  <c r="BW448" i="1"/>
  <c r="BV448" i="1"/>
  <c r="BU448" i="1"/>
  <c r="BT448" i="1"/>
  <c r="BS448" i="1"/>
  <c r="BI448" i="1"/>
  <c r="BB448" i="1"/>
  <c r="AR448" i="1"/>
  <c r="AH448" i="1"/>
  <c r="AG448" i="1"/>
  <c r="CV448" i="1" s="1"/>
  <c r="AD448" i="1"/>
  <c r="Y448" i="1"/>
  <c r="CD448" i="1" s="1"/>
  <c r="W448" i="1"/>
  <c r="M448" i="1"/>
  <c r="G448" i="1"/>
  <c r="F448" i="1"/>
  <c r="E448" i="1"/>
  <c r="DA447" i="1"/>
  <c r="CZ447" i="1"/>
  <c r="CY447" i="1"/>
  <c r="CH447" i="1"/>
  <c r="CG447" i="1"/>
  <c r="CF447" i="1"/>
  <c r="BW447" i="1"/>
  <c r="BV447" i="1"/>
  <c r="BU447" i="1"/>
  <c r="BT447" i="1"/>
  <c r="BI447" i="1"/>
  <c r="BB447" i="1"/>
  <c r="AR447" i="1"/>
  <c r="AH447" i="1"/>
  <c r="CW447" i="1" s="1"/>
  <c r="AG447" i="1"/>
  <c r="CV447" i="1" s="1"/>
  <c r="Y447" i="1"/>
  <c r="CE447" i="1" s="1"/>
  <c r="W447" i="1"/>
  <c r="M447" i="1"/>
  <c r="G447" i="1"/>
  <c r="F447" i="1"/>
  <c r="E447" i="1"/>
  <c r="DA446" i="1"/>
  <c r="CZ446" i="1"/>
  <c r="CY446" i="1"/>
  <c r="CW446" i="1"/>
  <c r="CV446" i="1"/>
  <c r="CH446" i="1"/>
  <c r="CG446" i="1"/>
  <c r="CF446" i="1"/>
  <c r="CE446" i="1"/>
  <c r="CD446" i="1"/>
  <c r="CC446" i="1"/>
  <c r="CB446" i="1"/>
  <c r="CA446" i="1"/>
  <c r="BW446" i="1"/>
  <c r="BV446" i="1"/>
  <c r="BU446" i="1"/>
  <c r="BT446" i="1"/>
  <c r="BS446" i="1"/>
  <c r="BI446" i="1"/>
  <c r="BB446" i="1"/>
  <c r="AR446" i="1"/>
  <c r="AD446" i="1"/>
  <c r="W446" i="1"/>
  <c r="M446" i="1"/>
  <c r="G446" i="1"/>
  <c r="F446" i="1"/>
  <c r="E446" i="1"/>
  <c r="DA445" i="1"/>
  <c r="CZ445" i="1"/>
  <c r="CY445" i="1"/>
  <c r="CW445" i="1"/>
  <c r="CV445" i="1"/>
  <c r="CN445" i="1"/>
  <c r="CH445" i="1"/>
  <c r="CG445" i="1"/>
  <c r="CF445" i="1"/>
  <c r="CE445" i="1"/>
  <c r="CD445" i="1"/>
  <c r="CC445" i="1"/>
  <c r="CB445" i="1"/>
  <c r="CA445" i="1"/>
  <c r="BW445" i="1"/>
  <c r="BV445" i="1"/>
  <c r="BU445" i="1"/>
  <c r="BT445" i="1"/>
  <c r="BS445" i="1"/>
  <c r="BI445" i="1"/>
  <c r="BB445" i="1"/>
  <c r="AR445" i="1"/>
  <c r="AD445" i="1"/>
  <c r="CM445" i="1" s="1"/>
  <c r="W445" i="1"/>
  <c r="M445" i="1"/>
  <c r="G445" i="1"/>
  <c r="F445" i="1"/>
  <c r="E445" i="1"/>
  <c r="DA444" i="1"/>
  <c r="CZ444" i="1"/>
  <c r="CY444" i="1"/>
  <c r="CW444" i="1"/>
  <c r="CV444" i="1"/>
  <c r="CO444" i="1"/>
  <c r="CM444" i="1"/>
  <c r="CH444" i="1"/>
  <c r="CG444" i="1"/>
  <c r="CF444" i="1"/>
  <c r="CE444" i="1"/>
  <c r="CD444" i="1"/>
  <c r="CC444" i="1"/>
  <c r="CB444" i="1"/>
  <c r="CA444" i="1"/>
  <c r="CI444" i="1" s="1"/>
  <c r="BW444" i="1"/>
  <c r="BV444" i="1"/>
  <c r="BU444" i="1"/>
  <c r="BT444" i="1"/>
  <c r="BS444" i="1"/>
  <c r="BI444" i="1"/>
  <c r="BB444" i="1"/>
  <c r="AR444" i="1"/>
  <c r="AH444" i="1"/>
  <c r="AG444" i="1"/>
  <c r="AD444" i="1"/>
  <c r="CL444" i="1" s="1"/>
  <c r="W444" i="1"/>
  <c r="M444" i="1"/>
  <c r="G444" i="1"/>
  <c r="F444" i="1"/>
  <c r="E444" i="1"/>
  <c r="DA443" i="1"/>
  <c r="CZ443" i="1"/>
  <c r="CY443" i="1"/>
  <c r="CW443" i="1"/>
  <c r="CV443" i="1"/>
  <c r="CN443" i="1"/>
  <c r="CH443" i="1"/>
  <c r="CG443" i="1"/>
  <c r="CF443" i="1"/>
  <c r="CE443" i="1"/>
  <c r="CD443" i="1"/>
  <c r="CC443" i="1"/>
  <c r="CB443" i="1"/>
  <c r="CA443" i="1"/>
  <c r="BW443" i="1"/>
  <c r="BV443" i="1"/>
  <c r="BU443" i="1"/>
  <c r="BT443" i="1"/>
  <c r="BS443" i="1"/>
  <c r="BI443" i="1"/>
  <c r="BB443" i="1"/>
  <c r="AR443" i="1"/>
  <c r="AD443" i="1"/>
  <c r="CM443" i="1" s="1"/>
  <c r="W443" i="1"/>
  <c r="M443" i="1"/>
  <c r="G443" i="1"/>
  <c r="F443" i="1"/>
  <c r="E443" i="1"/>
  <c r="DA442" i="1"/>
  <c r="CZ442" i="1"/>
  <c r="CY442" i="1"/>
  <c r="CW442" i="1"/>
  <c r="CV442" i="1"/>
  <c r="CL442" i="1"/>
  <c r="CH442" i="1"/>
  <c r="CG442" i="1"/>
  <c r="CF442" i="1"/>
  <c r="CE442" i="1"/>
  <c r="CD442" i="1"/>
  <c r="CC442" i="1"/>
  <c r="CB442" i="1"/>
  <c r="CA442" i="1"/>
  <c r="BW442" i="1"/>
  <c r="BV442" i="1"/>
  <c r="BU442" i="1"/>
  <c r="BT442" i="1"/>
  <c r="BS442" i="1"/>
  <c r="BI442" i="1"/>
  <c r="BB442" i="1"/>
  <c r="AR442" i="1"/>
  <c r="AH442" i="1"/>
  <c r="AG442" i="1"/>
  <c r="AD442" i="1"/>
  <c r="CK442" i="1" s="1"/>
  <c r="W442" i="1"/>
  <c r="M442" i="1"/>
  <c r="G442" i="1"/>
  <c r="F442" i="1"/>
  <c r="E442" i="1"/>
  <c r="DA441" i="1"/>
  <c r="CZ441" i="1"/>
  <c r="CY441" i="1"/>
  <c r="CW441" i="1"/>
  <c r="CV441" i="1"/>
  <c r="CO441" i="1"/>
  <c r="CN441" i="1"/>
  <c r="CM441" i="1"/>
  <c r="CH441" i="1"/>
  <c r="CG441" i="1"/>
  <c r="CF441" i="1"/>
  <c r="CE441" i="1"/>
  <c r="CD441" i="1"/>
  <c r="CC441" i="1"/>
  <c r="CB441" i="1"/>
  <c r="CA441" i="1"/>
  <c r="BW441" i="1"/>
  <c r="BV441" i="1"/>
  <c r="BU441" i="1"/>
  <c r="BT441" i="1"/>
  <c r="BS441" i="1"/>
  <c r="BI441" i="1"/>
  <c r="CL441" i="1" s="1"/>
  <c r="BB441" i="1"/>
  <c r="AR441" i="1"/>
  <c r="AD441" i="1"/>
  <c r="CR441" i="1" s="1"/>
  <c r="W441" i="1"/>
  <c r="M441" i="1"/>
  <c r="G441" i="1"/>
  <c r="F441" i="1"/>
  <c r="E441" i="1"/>
  <c r="DA440" i="1"/>
  <c r="CZ440" i="1"/>
  <c r="CY440" i="1"/>
  <c r="CW440" i="1"/>
  <c r="CV440" i="1"/>
  <c r="CH440" i="1"/>
  <c r="CG440" i="1"/>
  <c r="CF440" i="1"/>
  <c r="CE440" i="1"/>
  <c r="CD440" i="1"/>
  <c r="CC440" i="1"/>
  <c r="CB440" i="1"/>
  <c r="CA440" i="1"/>
  <c r="BW440" i="1"/>
  <c r="BV440" i="1"/>
  <c r="BU440" i="1"/>
  <c r="BT440" i="1"/>
  <c r="BS440" i="1"/>
  <c r="BI440" i="1"/>
  <c r="BB440" i="1"/>
  <c r="AR440" i="1"/>
  <c r="AD440" i="1"/>
  <c r="W440" i="1"/>
  <c r="M440" i="1"/>
  <c r="G440" i="1"/>
  <c r="F440" i="1"/>
  <c r="E440" i="1"/>
  <c r="DA439" i="1"/>
  <c r="CZ439" i="1"/>
  <c r="CY439" i="1"/>
  <c r="CW439" i="1"/>
  <c r="CV439" i="1"/>
  <c r="CQ439" i="1"/>
  <c r="CH439" i="1"/>
  <c r="CG439" i="1"/>
  <c r="CF439" i="1"/>
  <c r="CE439" i="1"/>
  <c r="CD439" i="1"/>
  <c r="CC439" i="1"/>
  <c r="CB439" i="1"/>
  <c r="CA439" i="1"/>
  <c r="BX439" i="1"/>
  <c r="BW439" i="1"/>
  <c r="BV439" i="1"/>
  <c r="BU439" i="1"/>
  <c r="BT439" i="1"/>
  <c r="BS439" i="1"/>
  <c r="BI439" i="1"/>
  <c r="CO439" i="1" s="1"/>
  <c r="BB439" i="1"/>
  <c r="AR439" i="1"/>
  <c r="AD439" i="1"/>
  <c r="CP439" i="1" s="1"/>
  <c r="W439" i="1"/>
  <c r="M439" i="1"/>
  <c r="G439" i="1"/>
  <c r="F439" i="1"/>
  <c r="E439" i="1"/>
  <c r="DA438" i="1"/>
  <c r="CZ438" i="1"/>
  <c r="CY438" i="1"/>
  <c r="CW438" i="1"/>
  <c r="CV438" i="1"/>
  <c r="CQ438" i="1"/>
  <c r="CO438" i="1"/>
  <c r="CH438" i="1"/>
  <c r="CG438" i="1"/>
  <c r="CF438" i="1"/>
  <c r="CE438" i="1"/>
  <c r="CD438" i="1"/>
  <c r="CC438" i="1"/>
  <c r="CB438" i="1"/>
  <c r="CA438" i="1"/>
  <c r="BX438" i="1"/>
  <c r="BW438" i="1"/>
  <c r="BV438" i="1"/>
  <c r="BU438" i="1"/>
  <c r="BT438" i="1"/>
  <c r="BS438" i="1"/>
  <c r="BI438" i="1"/>
  <c r="BB438" i="1"/>
  <c r="AR438" i="1"/>
  <c r="AD438" i="1"/>
  <c r="CN438" i="1" s="1"/>
  <c r="W438" i="1"/>
  <c r="M438" i="1"/>
  <c r="G438" i="1"/>
  <c r="F438" i="1"/>
  <c r="E438" i="1"/>
  <c r="DA437" i="1"/>
  <c r="CZ437" i="1"/>
  <c r="CY437" i="1"/>
  <c r="CW437" i="1"/>
  <c r="CV437" i="1"/>
  <c r="CO437" i="1"/>
  <c r="CN437" i="1"/>
  <c r="CM437" i="1"/>
  <c r="CH437" i="1"/>
  <c r="CG437" i="1"/>
  <c r="CF437" i="1"/>
  <c r="CE437" i="1"/>
  <c r="CD437" i="1"/>
  <c r="CC437" i="1"/>
  <c r="CB437" i="1"/>
  <c r="CA437" i="1"/>
  <c r="BW437" i="1"/>
  <c r="BV437" i="1"/>
  <c r="BU437" i="1"/>
  <c r="BT437" i="1"/>
  <c r="BS437" i="1"/>
  <c r="BI437" i="1"/>
  <c r="CL437" i="1" s="1"/>
  <c r="BB437" i="1"/>
  <c r="AR437" i="1"/>
  <c r="AD437" i="1"/>
  <c r="CR437" i="1" s="1"/>
  <c r="W437" i="1"/>
  <c r="M437" i="1"/>
  <c r="G437" i="1"/>
  <c r="F437" i="1"/>
  <c r="E437" i="1"/>
  <c r="DA436" i="1"/>
  <c r="CZ436" i="1"/>
  <c r="CY436" i="1"/>
  <c r="CW436" i="1"/>
  <c r="CV436" i="1"/>
  <c r="CR436" i="1"/>
  <c r="CN436" i="1"/>
  <c r="CM436" i="1"/>
  <c r="CL436" i="1"/>
  <c r="CH436" i="1"/>
  <c r="CG436" i="1"/>
  <c r="CF436" i="1"/>
  <c r="CE436" i="1"/>
  <c r="CD436" i="1"/>
  <c r="CC436" i="1"/>
  <c r="CB436" i="1"/>
  <c r="CA436" i="1"/>
  <c r="CI436" i="1" s="1"/>
  <c r="BW436" i="1"/>
  <c r="BV436" i="1"/>
  <c r="BU436" i="1"/>
  <c r="BT436" i="1"/>
  <c r="BS436" i="1"/>
  <c r="BI436" i="1"/>
  <c r="BB436" i="1"/>
  <c r="AR436" i="1"/>
  <c r="AD436" i="1"/>
  <c r="CK436" i="1" s="1"/>
  <c r="W436" i="1"/>
  <c r="M436" i="1"/>
  <c r="G436" i="1"/>
  <c r="F436" i="1"/>
  <c r="E436" i="1"/>
  <c r="DA435" i="1"/>
  <c r="CZ435" i="1"/>
  <c r="CY435" i="1"/>
  <c r="CW435" i="1"/>
  <c r="CV435" i="1"/>
  <c r="CR435" i="1"/>
  <c r="CL435" i="1"/>
  <c r="CH435" i="1"/>
  <c r="CG435" i="1"/>
  <c r="CF435" i="1"/>
  <c r="CE435" i="1"/>
  <c r="CD435" i="1"/>
  <c r="CC435" i="1"/>
  <c r="CB435" i="1"/>
  <c r="CA435" i="1"/>
  <c r="CI435" i="1" s="1"/>
  <c r="BW435" i="1"/>
  <c r="BV435" i="1"/>
  <c r="BU435" i="1"/>
  <c r="BT435" i="1"/>
  <c r="BS435" i="1"/>
  <c r="BI435" i="1"/>
  <c r="CK435" i="1" s="1"/>
  <c r="BB435" i="1"/>
  <c r="AR435" i="1"/>
  <c r="AD435" i="1"/>
  <c r="CQ435" i="1" s="1"/>
  <c r="W435" i="1"/>
  <c r="M435" i="1"/>
  <c r="G435" i="1"/>
  <c r="F435" i="1"/>
  <c r="E435" i="1"/>
  <c r="DA434" i="1"/>
  <c r="CZ434" i="1"/>
  <c r="CY434" i="1"/>
  <c r="CW434" i="1"/>
  <c r="CV434" i="1"/>
  <c r="CQ434" i="1"/>
  <c r="CH434" i="1"/>
  <c r="CG434" i="1"/>
  <c r="CF434" i="1"/>
  <c r="CE434" i="1"/>
  <c r="CD434" i="1"/>
  <c r="CC434" i="1"/>
  <c r="CB434" i="1"/>
  <c r="CA434" i="1"/>
  <c r="CI434" i="1" s="1"/>
  <c r="BX434" i="1"/>
  <c r="BW434" i="1"/>
  <c r="BV434" i="1"/>
  <c r="BU434" i="1"/>
  <c r="BT434" i="1"/>
  <c r="BS434" i="1"/>
  <c r="BI434" i="1"/>
  <c r="CO434" i="1" s="1"/>
  <c r="BB434" i="1"/>
  <c r="AR434" i="1"/>
  <c r="AD434" i="1"/>
  <c r="CP434" i="1" s="1"/>
  <c r="W434" i="1"/>
  <c r="M434" i="1"/>
  <c r="G434" i="1"/>
  <c r="F434" i="1"/>
  <c r="E434" i="1"/>
  <c r="DA433" i="1"/>
  <c r="CZ433" i="1"/>
  <c r="CY433" i="1"/>
  <c r="CW433" i="1"/>
  <c r="CV433" i="1"/>
  <c r="CQ433" i="1"/>
  <c r="CO433" i="1"/>
  <c r="CH433" i="1"/>
  <c r="CG433" i="1"/>
  <c r="CF433" i="1"/>
  <c r="CE433" i="1"/>
  <c r="CD433" i="1"/>
  <c r="CC433" i="1"/>
  <c r="CB433" i="1"/>
  <c r="CA433" i="1"/>
  <c r="BX433" i="1"/>
  <c r="BW433" i="1"/>
  <c r="BV433" i="1"/>
  <c r="BU433" i="1"/>
  <c r="BT433" i="1"/>
  <c r="BS433" i="1"/>
  <c r="BI433" i="1"/>
  <c r="BB433" i="1"/>
  <c r="AR433" i="1"/>
  <c r="AD433" i="1"/>
  <c r="CN433" i="1" s="1"/>
  <c r="W433" i="1"/>
  <c r="M433" i="1"/>
  <c r="G433" i="1"/>
  <c r="F433" i="1"/>
  <c r="E433" i="1"/>
  <c r="DA432" i="1"/>
  <c r="CZ432" i="1"/>
  <c r="CY432" i="1"/>
  <c r="CW432" i="1"/>
  <c r="CV432" i="1"/>
  <c r="BW432" i="1"/>
  <c r="BV432" i="1"/>
  <c r="BU432" i="1"/>
  <c r="BT432" i="1"/>
  <c r="BI432" i="1"/>
  <c r="BB432" i="1"/>
  <c r="AR432" i="1"/>
  <c r="AH432" i="1"/>
  <c r="AG432" i="1"/>
  <c r="Y432" i="1"/>
  <c r="W432" i="1"/>
  <c r="M432" i="1"/>
  <c r="G432" i="1"/>
  <c r="F432" i="1"/>
  <c r="E432" i="1"/>
  <c r="DA431" i="1"/>
  <c r="CZ431" i="1"/>
  <c r="CY431" i="1"/>
  <c r="CW431" i="1"/>
  <c r="CG431" i="1"/>
  <c r="CF431" i="1"/>
  <c r="CE431" i="1"/>
  <c r="CC431" i="1"/>
  <c r="CA431" i="1"/>
  <c r="BW431" i="1"/>
  <c r="BV431" i="1"/>
  <c r="BU431" i="1"/>
  <c r="BT431" i="1"/>
  <c r="BS431" i="1"/>
  <c r="BI431" i="1"/>
  <c r="BB431" i="1"/>
  <c r="AR431" i="1"/>
  <c r="AH431" i="1"/>
  <c r="AG431" i="1"/>
  <c r="CV431" i="1" s="1"/>
  <c r="AD431" i="1"/>
  <c r="Y431" i="1"/>
  <c r="CD431" i="1" s="1"/>
  <c r="W431" i="1"/>
  <c r="M431" i="1"/>
  <c r="G431" i="1"/>
  <c r="F431" i="1"/>
  <c r="E431" i="1"/>
  <c r="DA430" i="1"/>
  <c r="CZ430" i="1"/>
  <c r="CY430" i="1"/>
  <c r="CW430" i="1"/>
  <c r="CV430" i="1"/>
  <c r="CH430" i="1"/>
  <c r="CG430" i="1"/>
  <c r="CF430" i="1"/>
  <c r="CE430" i="1"/>
  <c r="CD430" i="1"/>
  <c r="CC430" i="1"/>
  <c r="CB430" i="1"/>
  <c r="CA430" i="1"/>
  <c r="BW430" i="1"/>
  <c r="BV430" i="1"/>
  <c r="BU430" i="1"/>
  <c r="BT430" i="1"/>
  <c r="BS430" i="1"/>
  <c r="BI430" i="1"/>
  <c r="BB430" i="1"/>
  <c r="AR430" i="1"/>
  <c r="AD430" i="1"/>
  <c r="W430" i="1"/>
  <c r="M430" i="1"/>
  <c r="G430" i="1"/>
  <c r="F430" i="1"/>
  <c r="E430" i="1"/>
  <c r="DA429" i="1"/>
  <c r="CZ429" i="1"/>
  <c r="CY429" i="1"/>
  <c r="CW429" i="1"/>
  <c r="CV429" i="1"/>
  <c r="CQ429" i="1"/>
  <c r="CO429" i="1"/>
  <c r="CH429" i="1"/>
  <c r="CG429" i="1"/>
  <c r="CF429" i="1"/>
  <c r="CE429" i="1"/>
  <c r="CD429" i="1"/>
  <c r="CC429" i="1"/>
  <c r="CB429" i="1"/>
  <c r="CA429" i="1"/>
  <c r="BX429" i="1"/>
  <c r="BW429" i="1"/>
  <c r="BV429" i="1"/>
  <c r="BU429" i="1"/>
  <c r="BT429" i="1"/>
  <c r="BS429" i="1"/>
  <c r="BI429" i="1"/>
  <c r="BB429" i="1"/>
  <c r="AR429" i="1"/>
  <c r="AD429" i="1"/>
  <c r="CN429" i="1" s="1"/>
  <c r="W429" i="1"/>
  <c r="M429" i="1"/>
  <c r="G429" i="1"/>
  <c r="F429" i="1"/>
  <c r="E429" i="1"/>
  <c r="DA428" i="1"/>
  <c r="CZ428" i="1"/>
  <c r="CY428" i="1"/>
  <c r="CW428" i="1"/>
  <c r="CV428" i="1"/>
  <c r="CN428" i="1"/>
  <c r="CH428" i="1"/>
  <c r="CG428" i="1"/>
  <c r="CF428" i="1"/>
  <c r="CE428" i="1"/>
  <c r="CD428" i="1"/>
  <c r="CC428" i="1"/>
  <c r="CB428" i="1"/>
  <c r="CA428" i="1"/>
  <c r="CI428" i="1" s="1"/>
  <c r="BW428" i="1"/>
  <c r="BV428" i="1"/>
  <c r="BU428" i="1"/>
  <c r="BT428" i="1"/>
  <c r="BS428" i="1"/>
  <c r="BI428" i="1"/>
  <c r="BB428" i="1"/>
  <c r="AR428" i="1"/>
  <c r="AD428" i="1"/>
  <c r="CM428" i="1" s="1"/>
  <c r="W428" i="1"/>
  <c r="M428" i="1"/>
  <c r="G428" i="1"/>
  <c r="F428" i="1"/>
  <c r="E428" i="1"/>
  <c r="DA427" i="1"/>
  <c r="CZ427" i="1"/>
  <c r="CY427" i="1"/>
  <c r="CV427" i="1"/>
  <c r="CB427" i="1"/>
  <c r="BW427" i="1"/>
  <c r="BV427" i="1"/>
  <c r="BU427" i="1"/>
  <c r="BT427" i="1"/>
  <c r="BI427" i="1"/>
  <c r="BB427" i="1"/>
  <c r="AR427" i="1"/>
  <c r="AH427" i="1"/>
  <c r="AG427" i="1"/>
  <c r="Y427" i="1"/>
  <c r="CA427" i="1" s="1"/>
  <c r="W427" i="1"/>
  <c r="M427" i="1"/>
  <c r="G427" i="1"/>
  <c r="F427" i="1"/>
  <c r="E427" i="1"/>
  <c r="DA426" i="1"/>
  <c r="CZ426" i="1"/>
  <c r="CY426" i="1"/>
  <c r="CW426" i="1"/>
  <c r="CV426" i="1"/>
  <c r="CO426" i="1"/>
  <c r="CM426" i="1"/>
  <c r="CH426" i="1"/>
  <c r="CG426" i="1"/>
  <c r="CF426" i="1"/>
  <c r="CE426" i="1"/>
  <c r="CD426" i="1"/>
  <c r="CC426" i="1"/>
  <c r="CB426" i="1"/>
  <c r="CA426" i="1"/>
  <c r="BW426" i="1"/>
  <c r="BV426" i="1"/>
  <c r="BU426" i="1"/>
  <c r="BT426" i="1"/>
  <c r="BS426" i="1"/>
  <c r="BI426" i="1"/>
  <c r="CL426" i="1" s="1"/>
  <c r="BB426" i="1"/>
  <c r="AR426" i="1"/>
  <c r="AD426" i="1"/>
  <c r="CR426" i="1" s="1"/>
  <c r="W426" i="1"/>
  <c r="M426" i="1"/>
  <c r="G426" i="1"/>
  <c r="F426" i="1"/>
  <c r="E426" i="1"/>
  <c r="DA425" i="1"/>
  <c r="CZ425" i="1"/>
  <c r="CY425" i="1"/>
  <c r="CW425" i="1"/>
  <c r="CV425" i="1"/>
  <c r="CH425" i="1"/>
  <c r="CG425" i="1"/>
  <c r="CF425" i="1"/>
  <c r="CE425" i="1"/>
  <c r="CD425" i="1"/>
  <c r="CC425" i="1"/>
  <c r="CB425" i="1"/>
  <c r="CA425" i="1"/>
  <c r="BW425" i="1"/>
  <c r="BV425" i="1"/>
  <c r="BU425" i="1"/>
  <c r="BT425" i="1"/>
  <c r="BS425" i="1"/>
  <c r="BI425" i="1"/>
  <c r="BB425" i="1"/>
  <c r="AR425" i="1"/>
  <c r="AH425" i="1"/>
  <c r="AG425" i="1"/>
  <c r="AD425" i="1"/>
  <c r="W425" i="1"/>
  <c r="M425" i="1"/>
  <c r="G425" i="1"/>
  <c r="F425" i="1"/>
  <c r="E425" i="1"/>
  <c r="DA424" i="1"/>
  <c r="CZ424" i="1"/>
  <c r="CY424" i="1"/>
  <c r="CW424" i="1"/>
  <c r="CV424" i="1"/>
  <c r="CB424" i="1"/>
  <c r="BW424" i="1"/>
  <c r="BV424" i="1"/>
  <c r="BU424" i="1"/>
  <c r="BT424" i="1"/>
  <c r="BI424" i="1"/>
  <c r="BB424" i="1"/>
  <c r="AR424" i="1"/>
  <c r="AH424" i="1"/>
  <c r="AG424" i="1"/>
  <c r="Y424" i="1"/>
  <c r="CA424" i="1" s="1"/>
  <c r="W424" i="1"/>
  <c r="M424" i="1"/>
  <c r="G424" i="1"/>
  <c r="F424" i="1"/>
  <c r="E424" i="1"/>
  <c r="DA423" i="1"/>
  <c r="CZ423" i="1"/>
  <c r="CY423" i="1"/>
  <c r="CW423" i="1"/>
  <c r="CV423" i="1"/>
  <c r="CM423" i="1"/>
  <c r="CH423" i="1"/>
  <c r="CG423" i="1"/>
  <c r="CF423" i="1"/>
  <c r="CE423" i="1"/>
  <c r="CD423" i="1"/>
  <c r="CC423" i="1"/>
  <c r="CB423" i="1"/>
  <c r="CA423" i="1"/>
  <c r="CI423" i="1" s="1"/>
  <c r="BW423" i="1"/>
  <c r="BV423" i="1"/>
  <c r="BU423" i="1"/>
  <c r="BT423" i="1"/>
  <c r="BS423" i="1"/>
  <c r="BI423" i="1"/>
  <c r="CL423" i="1" s="1"/>
  <c r="BB423" i="1"/>
  <c r="AR423" i="1"/>
  <c r="AD423" i="1"/>
  <c r="CR423" i="1" s="1"/>
  <c r="W423" i="1"/>
  <c r="M423" i="1"/>
  <c r="G423" i="1"/>
  <c r="F423" i="1"/>
  <c r="E423" i="1"/>
  <c r="DA422" i="1"/>
  <c r="CZ422" i="1"/>
  <c r="CY422" i="1"/>
  <c r="CW422" i="1"/>
  <c r="CV422" i="1"/>
  <c r="CK422" i="1"/>
  <c r="CH422" i="1"/>
  <c r="CG422" i="1"/>
  <c r="CF422" i="1"/>
  <c r="CE422" i="1"/>
  <c r="CD422" i="1"/>
  <c r="CC422" i="1"/>
  <c r="CB422" i="1"/>
  <c r="CA422" i="1"/>
  <c r="CI422" i="1" s="1"/>
  <c r="BW422" i="1"/>
  <c r="BV422" i="1"/>
  <c r="BU422" i="1"/>
  <c r="BT422" i="1"/>
  <c r="BS422" i="1"/>
  <c r="BI422" i="1"/>
  <c r="BB422" i="1"/>
  <c r="AR422" i="1"/>
  <c r="AD422" i="1"/>
  <c r="CP422" i="1" s="1"/>
  <c r="W422" i="1"/>
  <c r="M422" i="1"/>
  <c r="G422" i="1"/>
  <c r="F422" i="1"/>
  <c r="E422" i="1"/>
  <c r="DA421" i="1"/>
  <c r="CZ421" i="1"/>
  <c r="CY421" i="1"/>
  <c r="CW421" i="1"/>
  <c r="CV421" i="1"/>
  <c r="CR421" i="1"/>
  <c r="CH421" i="1"/>
  <c r="CG421" i="1"/>
  <c r="CE421" i="1"/>
  <c r="CD421" i="1"/>
  <c r="CC421" i="1"/>
  <c r="CB421" i="1"/>
  <c r="CA421" i="1"/>
  <c r="BW421" i="1"/>
  <c r="BV421" i="1"/>
  <c r="BU421" i="1"/>
  <c r="BT421" i="1"/>
  <c r="BS421" i="1"/>
  <c r="BI421" i="1"/>
  <c r="BB421" i="1"/>
  <c r="AR421" i="1"/>
  <c r="AD421" i="1"/>
  <c r="CQ421" i="1" s="1"/>
  <c r="Y421" i="1"/>
  <c r="CF421" i="1" s="1"/>
  <c r="CI421" i="1" s="1"/>
  <c r="W421" i="1"/>
  <c r="M421" i="1"/>
  <c r="G421" i="1"/>
  <c r="F421" i="1"/>
  <c r="E421" i="1"/>
  <c r="DA420" i="1"/>
  <c r="CZ420" i="1"/>
  <c r="CY420" i="1"/>
  <c r="CW420" i="1"/>
  <c r="CV420" i="1"/>
  <c r="CR420" i="1"/>
  <c r="CL420" i="1"/>
  <c r="CH420" i="1"/>
  <c r="CG420" i="1"/>
  <c r="CF420" i="1"/>
  <c r="CE420" i="1"/>
  <c r="CD420" i="1"/>
  <c r="CC420" i="1"/>
  <c r="CB420" i="1"/>
  <c r="CA420" i="1"/>
  <c r="CI420" i="1" s="1"/>
  <c r="BW420" i="1"/>
  <c r="BV420" i="1"/>
  <c r="BU420" i="1"/>
  <c r="BT420" i="1"/>
  <c r="BS420" i="1"/>
  <c r="BI420" i="1"/>
  <c r="BB420" i="1"/>
  <c r="AR420" i="1"/>
  <c r="AD420" i="1"/>
  <c r="CQ420" i="1" s="1"/>
  <c r="W420" i="1"/>
  <c r="M420" i="1"/>
  <c r="G420" i="1"/>
  <c r="F420" i="1"/>
  <c r="E420" i="1"/>
  <c r="DA419" i="1"/>
  <c r="CZ419" i="1"/>
  <c r="CY419" i="1"/>
  <c r="CW419" i="1"/>
  <c r="CV419" i="1"/>
  <c r="CH419" i="1"/>
  <c r="CG419" i="1"/>
  <c r="CF419" i="1"/>
  <c r="CE419" i="1"/>
  <c r="CD419" i="1"/>
  <c r="CC419" i="1"/>
  <c r="CB419" i="1"/>
  <c r="CA419" i="1"/>
  <c r="BW419" i="1"/>
  <c r="BV419" i="1"/>
  <c r="BU419" i="1"/>
  <c r="BT419" i="1"/>
  <c r="BS419" i="1"/>
  <c r="BI419" i="1"/>
  <c r="BB419" i="1"/>
  <c r="AR419" i="1"/>
  <c r="AD419" i="1"/>
  <c r="W419" i="1"/>
  <c r="M419" i="1"/>
  <c r="G419" i="1"/>
  <c r="F419" i="1"/>
  <c r="E419" i="1"/>
  <c r="DA418" i="1"/>
  <c r="CZ418" i="1"/>
  <c r="CY418" i="1"/>
  <c r="CW418" i="1"/>
  <c r="CV418" i="1"/>
  <c r="CQ418" i="1"/>
  <c r="CO418" i="1"/>
  <c r="CM418" i="1"/>
  <c r="CH418" i="1"/>
  <c r="CG418" i="1"/>
  <c r="CF418" i="1"/>
  <c r="CE418" i="1"/>
  <c r="CD418" i="1"/>
  <c r="CC418" i="1"/>
  <c r="CB418" i="1"/>
  <c r="CA418" i="1"/>
  <c r="BX418" i="1"/>
  <c r="BW418" i="1"/>
  <c r="BV418" i="1"/>
  <c r="BU418" i="1"/>
  <c r="BT418" i="1"/>
  <c r="BS418" i="1"/>
  <c r="BI418" i="1"/>
  <c r="BB418" i="1"/>
  <c r="AR418" i="1"/>
  <c r="AD418" i="1"/>
  <c r="CN418" i="1" s="1"/>
  <c r="W418" i="1"/>
  <c r="M418" i="1"/>
  <c r="G418" i="1"/>
  <c r="F418" i="1"/>
  <c r="E418" i="1"/>
  <c r="DA417" i="1"/>
  <c r="CZ417" i="1"/>
  <c r="CY417" i="1"/>
  <c r="CW417" i="1"/>
  <c r="CV417" i="1"/>
  <c r="CM417" i="1"/>
  <c r="CH417" i="1"/>
  <c r="CG417" i="1"/>
  <c r="CF417" i="1"/>
  <c r="CE417" i="1"/>
  <c r="CD417" i="1"/>
  <c r="CC417" i="1"/>
  <c r="CB417" i="1"/>
  <c r="CA417" i="1"/>
  <c r="BW417" i="1"/>
  <c r="BV417" i="1"/>
  <c r="BU417" i="1"/>
  <c r="BT417" i="1"/>
  <c r="BS417" i="1"/>
  <c r="BI417" i="1"/>
  <c r="CL417" i="1" s="1"/>
  <c r="BB417" i="1"/>
  <c r="AR417" i="1"/>
  <c r="AD417" i="1"/>
  <c r="CR417" i="1" s="1"/>
  <c r="W417" i="1"/>
  <c r="M417" i="1"/>
  <c r="G417" i="1"/>
  <c r="F417" i="1"/>
  <c r="E417" i="1"/>
  <c r="DA416" i="1"/>
  <c r="CZ416" i="1"/>
  <c r="CY416" i="1"/>
  <c r="CW416" i="1"/>
  <c r="CV416" i="1"/>
  <c r="CK416" i="1"/>
  <c r="CH416" i="1"/>
  <c r="CG416" i="1"/>
  <c r="CF416" i="1"/>
  <c r="CE416" i="1"/>
  <c r="CD416" i="1"/>
  <c r="CC416" i="1"/>
  <c r="CB416" i="1"/>
  <c r="CA416" i="1"/>
  <c r="CI416" i="1" s="1"/>
  <c r="BW416" i="1"/>
  <c r="BV416" i="1"/>
  <c r="BU416" i="1"/>
  <c r="BT416" i="1"/>
  <c r="BS416" i="1"/>
  <c r="BI416" i="1"/>
  <c r="BB416" i="1"/>
  <c r="AR416" i="1"/>
  <c r="AD416" i="1"/>
  <c r="W416" i="1"/>
  <c r="M416" i="1"/>
  <c r="G416" i="1"/>
  <c r="F416" i="1"/>
  <c r="E416" i="1"/>
  <c r="DA415" i="1"/>
  <c r="CZ415" i="1"/>
  <c r="CY415" i="1"/>
  <c r="CW415" i="1"/>
  <c r="CV415" i="1"/>
  <c r="CR415" i="1"/>
  <c r="CH415" i="1"/>
  <c r="CG415" i="1"/>
  <c r="CF415" i="1"/>
  <c r="CE415" i="1"/>
  <c r="CD415" i="1"/>
  <c r="CC415" i="1"/>
  <c r="CB415" i="1"/>
  <c r="CA415" i="1"/>
  <c r="CI415" i="1" s="1"/>
  <c r="BW415" i="1"/>
  <c r="BV415" i="1"/>
  <c r="BU415" i="1"/>
  <c r="BT415" i="1"/>
  <c r="BS415" i="1"/>
  <c r="BI415" i="1"/>
  <c r="BB415" i="1"/>
  <c r="AR415" i="1"/>
  <c r="AD415" i="1"/>
  <c r="CQ415" i="1" s="1"/>
  <c r="W415" i="1"/>
  <c r="M415" i="1"/>
  <c r="G415" i="1"/>
  <c r="F415" i="1"/>
  <c r="E415" i="1"/>
  <c r="DA414" i="1"/>
  <c r="CZ414" i="1"/>
  <c r="CY414" i="1"/>
  <c r="CR414" i="1"/>
  <c r="CP414" i="1"/>
  <c r="CN414" i="1"/>
  <c r="CH414" i="1"/>
  <c r="CG414" i="1"/>
  <c r="CF414" i="1"/>
  <c r="CE414" i="1"/>
  <c r="CD414" i="1"/>
  <c r="CC414" i="1"/>
  <c r="CB414" i="1"/>
  <c r="CA414" i="1"/>
  <c r="BW414" i="1"/>
  <c r="BV414" i="1"/>
  <c r="BU414" i="1"/>
  <c r="BT414" i="1"/>
  <c r="BS414" i="1"/>
  <c r="BM414" i="1"/>
  <c r="BL414" i="1"/>
  <c r="BI414" i="1"/>
  <c r="CQ414" i="1" s="1"/>
  <c r="BB414" i="1"/>
  <c r="AR414" i="1"/>
  <c r="AH414" i="1"/>
  <c r="CW414" i="1" s="1"/>
  <c r="AG414" i="1"/>
  <c r="CV414" i="1" s="1"/>
  <c r="AD414" i="1"/>
  <c r="CO414" i="1" s="1"/>
  <c r="W414" i="1"/>
  <c r="M414" i="1"/>
  <c r="G414" i="1"/>
  <c r="F414" i="1"/>
  <c r="E414" i="1"/>
  <c r="DA413" i="1"/>
  <c r="CZ413" i="1"/>
  <c r="CY413" i="1"/>
  <c r="CM413" i="1"/>
  <c r="CK413" i="1"/>
  <c r="CH413" i="1"/>
  <c r="CG413" i="1"/>
  <c r="CF413" i="1"/>
  <c r="CE413" i="1"/>
  <c r="CD413" i="1"/>
  <c r="CC413" i="1"/>
  <c r="CB413" i="1"/>
  <c r="CA413" i="1"/>
  <c r="BW413" i="1"/>
  <c r="BV413" i="1"/>
  <c r="BU413" i="1"/>
  <c r="BT413" i="1"/>
  <c r="BS413" i="1"/>
  <c r="BM413" i="1"/>
  <c r="BL413" i="1"/>
  <c r="BI413" i="1"/>
  <c r="CQ413" i="1" s="1"/>
  <c r="BB413" i="1"/>
  <c r="AR413" i="1"/>
  <c r="AH413" i="1"/>
  <c r="AG413" i="1"/>
  <c r="CV413" i="1" s="1"/>
  <c r="AD413" i="1"/>
  <c r="CR413" i="1" s="1"/>
  <c r="W413" i="1"/>
  <c r="M413" i="1"/>
  <c r="G413" i="1"/>
  <c r="F413" i="1"/>
  <c r="E413" i="1"/>
  <c r="DA412" i="1"/>
  <c r="CZ412" i="1"/>
  <c r="CY412" i="1"/>
  <c r="CW412" i="1"/>
  <c r="CV412" i="1"/>
  <c r="CN412" i="1"/>
  <c r="CL412" i="1"/>
  <c r="CH412" i="1"/>
  <c r="CG412" i="1"/>
  <c r="CF412" i="1"/>
  <c r="CE412" i="1"/>
  <c r="CD412" i="1"/>
  <c r="CC412" i="1"/>
  <c r="CB412" i="1"/>
  <c r="CA412" i="1"/>
  <c r="BW412" i="1"/>
  <c r="BV412" i="1"/>
  <c r="BU412" i="1"/>
  <c r="BT412" i="1"/>
  <c r="BS412" i="1"/>
  <c r="BI412" i="1"/>
  <c r="BB412" i="1"/>
  <c r="AR412" i="1"/>
  <c r="AD412" i="1"/>
  <c r="CM412" i="1" s="1"/>
  <c r="W412" i="1"/>
  <c r="M412" i="1"/>
  <c r="G412" i="1"/>
  <c r="F412" i="1"/>
  <c r="E412" i="1"/>
  <c r="DA411" i="1"/>
  <c r="CZ411" i="1"/>
  <c r="CY411" i="1"/>
  <c r="CW411" i="1"/>
  <c r="CV411" i="1"/>
  <c r="CM411" i="1"/>
  <c r="CH411" i="1"/>
  <c r="CG411" i="1"/>
  <c r="CF411" i="1"/>
  <c r="CE411" i="1"/>
  <c r="CD411" i="1"/>
  <c r="CC411" i="1"/>
  <c r="CB411" i="1"/>
  <c r="CA411" i="1"/>
  <c r="CI411" i="1" s="1"/>
  <c r="BW411" i="1"/>
  <c r="BV411" i="1"/>
  <c r="BU411" i="1"/>
  <c r="BT411" i="1"/>
  <c r="BS411" i="1"/>
  <c r="BI411" i="1"/>
  <c r="CL411" i="1" s="1"/>
  <c r="BB411" i="1"/>
  <c r="AR411" i="1"/>
  <c r="AD411" i="1"/>
  <c r="CR411" i="1" s="1"/>
  <c r="W411" i="1"/>
  <c r="M411" i="1"/>
  <c r="G411" i="1"/>
  <c r="F411" i="1"/>
  <c r="E411" i="1"/>
  <c r="DA410" i="1"/>
  <c r="CZ410" i="1"/>
  <c r="CY410" i="1"/>
  <c r="CW410" i="1"/>
  <c r="CV410" i="1"/>
  <c r="CR410" i="1"/>
  <c r="CN410" i="1"/>
  <c r="CM410" i="1"/>
  <c r="CL410" i="1"/>
  <c r="CH410" i="1"/>
  <c r="CG410" i="1"/>
  <c r="CF410" i="1"/>
  <c r="CE410" i="1"/>
  <c r="CD410" i="1"/>
  <c r="CC410" i="1"/>
  <c r="CB410" i="1"/>
  <c r="CA410" i="1"/>
  <c r="CI410" i="1" s="1"/>
  <c r="BW410" i="1"/>
  <c r="BV410" i="1"/>
  <c r="BU410" i="1"/>
  <c r="BT410" i="1"/>
  <c r="BS410" i="1"/>
  <c r="BI410" i="1"/>
  <c r="CK410" i="1" s="1"/>
  <c r="BB410" i="1"/>
  <c r="AR410" i="1"/>
  <c r="AD410" i="1"/>
  <c r="CQ410" i="1" s="1"/>
  <c r="W410" i="1"/>
  <c r="M410" i="1"/>
  <c r="G410" i="1"/>
  <c r="F410" i="1"/>
  <c r="E410" i="1"/>
  <c r="DA409" i="1"/>
  <c r="CZ409" i="1"/>
  <c r="CY409" i="1"/>
  <c r="CW409" i="1"/>
  <c r="CV409" i="1"/>
  <c r="CK409" i="1"/>
  <c r="CH409" i="1"/>
  <c r="CG409" i="1"/>
  <c r="CF409" i="1"/>
  <c r="CE409" i="1"/>
  <c r="CD409" i="1"/>
  <c r="CC409" i="1"/>
  <c r="CB409" i="1"/>
  <c r="CA409" i="1"/>
  <c r="BW409" i="1"/>
  <c r="BV409" i="1"/>
  <c r="BU409" i="1"/>
  <c r="BT409" i="1"/>
  <c r="BS409" i="1"/>
  <c r="BI409" i="1"/>
  <c r="BB409" i="1"/>
  <c r="AR409" i="1"/>
  <c r="AD409" i="1"/>
  <c r="CP409" i="1" s="1"/>
  <c r="W409" i="1"/>
  <c r="M409" i="1"/>
  <c r="G409" i="1"/>
  <c r="F409" i="1"/>
  <c r="E409" i="1"/>
  <c r="DA408" i="1"/>
  <c r="CZ408" i="1"/>
  <c r="CY408" i="1"/>
  <c r="CW408" i="1"/>
  <c r="CV408" i="1"/>
  <c r="CR408" i="1"/>
  <c r="CL408" i="1"/>
  <c r="CH408" i="1"/>
  <c r="CG408" i="1"/>
  <c r="CF408" i="1"/>
  <c r="CE408" i="1"/>
  <c r="CD408" i="1"/>
  <c r="CC408" i="1"/>
  <c r="CB408" i="1"/>
  <c r="CA408" i="1"/>
  <c r="CI408" i="1" s="1"/>
  <c r="BW408" i="1"/>
  <c r="BV408" i="1"/>
  <c r="BU408" i="1"/>
  <c r="BT408" i="1"/>
  <c r="BS408" i="1"/>
  <c r="BI408" i="1"/>
  <c r="BB408" i="1"/>
  <c r="AR408" i="1"/>
  <c r="AD408" i="1"/>
  <c r="CQ408" i="1" s="1"/>
  <c r="W408" i="1"/>
  <c r="M408" i="1"/>
  <c r="G408" i="1"/>
  <c r="F408" i="1"/>
  <c r="E408" i="1"/>
  <c r="DA407" i="1"/>
  <c r="CZ407" i="1"/>
  <c r="CY407" i="1"/>
  <c r="CW407" i="1"/>
  <c r="CV407" i="1"/>
  <c r="CH407" i="1"/>
  <c r="CG407" i="1"/>
  <c r="CF407" i="1"/>
  <c r="CE407" i="1"/>
  <c r="CD407" i="1"/>
  <c r="CC407" i="1"/>
  <c r="CB407" i="1"/>
  <c r="CA407" i="1"/>
  <c r="CI407" i="1" s="1"/>
  <c r="BW407" i="1"/>
  <c r="BV407" i="1"/>
  <c r="BU407" i="1"/>
  <c r="BT407" i="1"/>
  <c r="BS407" i="1"/>
  <c r="BI407" i="1"/>
  <c r="BB407" i="1"/>
  <c r="AR407" i="1"/>
  <c r="AD407" i="1"/>
  <c r="W407" i="1"/>
  <c r="M407" i="1"/>
  <c r="G407" i="1"/>
  <c r="F407" i="1"/>
  <c r="E407" i="1"/>
  <c r="DA406" i="1"/>
  <c r="CZ406" i="1"/>
  <c r="CY406" i="1"/>
  <c r="CW406" i="1"/>
  <c r="CV406" i="1"/>
  <c r="CN406" i="1"/>
  <c r="CH406" i="1"/>
  <c r="CG406" i="1"/>
  <c r="CF406" i="1"/>
  <c r="CE406" i="1"/>
  <c r="CD406" i="1"/>
  <c r="CC406" i="1"/>
  <c r="CB406" i="1"/>
  <c r="CA406" i="1"/>
  <c r="BW406" i="1"/>
  <c r="BV406" i="1"/>
  <c r="BU406" i="1"/>
  <c r="BT406" i="1"/>
  <c r="BS406" i="1"/>
  <c r="BI406" i="1"/>
  <c r="BB406" i="1"/>
  <c r="AR406" i="1"/>
  <c r="AD406" i="1"/>
  <c r="CM406" i="1" s="1"/>
  <c r="W406" i="1"/>
  <c r="M406" i="1"/>
  <c r="G406" i="1"/>
  <c r="F406" i="1"/>
  <c r="E406" i="1"/>
  <c r="DA405" i="1"/>
  <c r="CZ405" i="1"/>
  <c r="CY405" i="1"/>
  <c r="CW405" i="1"/>
  <c r="CV405" i="1"/>
  <c r="CR405" i="1"/>
  <c r="CN405" i="1"/>
  <c r="CM405" i="1"/>
  <c r="CL405" i="1"/>
  <c r="CH405" i="1"/>
  <c r="CG405" i="1"/>
  <c r="CF405" i="1"/>
  <c r="CE405" i="1"/>
  <c r="CD405" i="1"/>
  <c r="CC405" i="1"/>
  <c r="CB405" i="1"/>
  <c r="CA405" i="1"/>
  <c r="BW405" i="1"/>
  <c r="BV405" i="1"/>
  <c r="BU405" i="1"/>
  <c r="BT405" i="1"/>
  <c r="BS405" i="1"/>
  <c r="BI405" i="1"/>
  <c r="CK405" i="1" s="1"/>
  <c r="BB405" i="1"/>
  <c r="AR405" i="1"/>
  <c r="AD405" i="1"/>
  <c r="CQ405" i="1" s="1"/>
  <c r="W405" i="1"/>
  <c r="M405" i="1"/>
  <c r="G405" i="1"/>
  <c r="F405" i="1"/>
  <c r="E405" i="1"/>
  <c r="DA404" i="1"/>
  <c r="CZ404" i="1"/>
  <c r="CY404" i="1"/>
  <c r="CW404" i="1"/>
  <c r="CV404" i="1"/>
  <c r="CR404" i="1"/>
  <c r="CL404" i="1"/>
  <c r="CH404" i="1"/>
  <c r="CG404" i="1"/>
  <c r="CF404" i="1"/>
  <c r="CE404" i="1"/>
  <c r="CD404" i="1"/>
  <c r="CC404" i="1"/>
  <c r="CB404" i="1"/>
  <c r="CA404" i="1"/>
  <c r="CI404" i="1" s="1"/>
  <c r="BW404" i="1"/>
  <c r="BV404" i="1"/>
  <c r="BU404" i="1"/>
  <c r="BT404" i="1"/>
  <c r="BS404" i="1"/>
  <c r="BI404" i="1"/>
  <c r="BB404" i="1"/>
  <c r="AR404" i="1"/>
  <c r="AD404" i="1"/>
  <c r="CQ404" i="1" s="1"/>
  <c r="W404" i="1"/>
  <c r="M404" i="1"/>
  <c r="G404" i="1"/>
  <c r="F404" i="1"/>
  <c r="E404" i="1"/>
  <c r="DA403" i="1"/>
  <c r="CZ403" i="1"/>
  <c r="CY403" i="1"/>
  <c r="CW403" i="1"/>
  <c r="CV403" i="1"/>
  <c r="CR403" i="1"/>
  <c r="CQ403" i="1"/>
  <c r="CP403" i="1"/>
  <c r="CO403" i="1"/>
  <c r="CN403" i="1"/>
  <c r="CL403" i="1"/>
  <c r="CH403" i="1"/>
  <c r="CG403" i="1"/>
  <c r="CF403" i="1"/>
  <c r="CE403" i="1"/>
  <c r="CD403" i="1"/>
  <c r="CC403" i="1"/>
  <c r="CB403" i="1"/>
  <c r="CA403" i="1"/>
  <c r="BX403" i="1"/>
  <c r="BW403" i="1"/>
  <c r="BV403" i="1"/>
  <c r="BU403" i="1"/>
  <c r="BT403" i="1"/>
  <c r="BS403" i="1"/>
  <c r="AD403" i="1"/>
  <c r="CM403" i="1" s="1"/>
  <c r="W403" i="1"/>
  <c r="M403" i="1"/>
  <c r="G403" i="1"/>
  <c r="F403" i="1"/>
  <c r="E403" i="1"/>
  <c r="DA402" i="1"/>
  <c r="CZ402" i="1"/>
  <c r="CY402" i="1"/>
  <c r="CW402" i="1"/>
  <c r="CV402" i="1"/>
  <c r="CR402" i="1"/>
  <c r="CN402" i="1"/>
  <c r="CM402" i="1"/>
  <c r="CL402" i="1"/>
  <c r="CH402" i="1"/>
  <c r="CG402" i="1"/>
  <c r="CF402" i="1"/>
  <c r="CE402" i="1"/>
  <c r="CD402" i="1"/>
  <c r="CC402" i="1"/>
  <c r="CB402" i="1"/>
  <c r="CA402" i="1"/>
  <c r="BW402" i="1"/>
  <c r="BV402" i="1"/>
  <c r="BU402" i="1"/>
  <c r="BT402" i="1"/>
  <c r="BS402" i="1"/>
  <c r="AD402" i="1"/>
  <c r="CK402" i="1" s="1"/>
  <c r="W402" i="1"/>
  <c r="M402" i="1"/>
  <c r="G402" i="1"/>
  <c r="F402" i="1"/>
  <c r="E402" i="1"/>
  <c r="DA401" i="1"/>
  <c r="CZ401" i="1"/>
  <c r="CY401" i="1"/>
  <c r="CW401" i="1"/>
  <c r="CV401" i="1"/>
  <c r="CH401" i="1"/>
  <c r="CG401" i="1"/>
  <c r="CF401" i="1"/>
  <c r="CE401" i="1"/>
  <c r="CD401" i="1"/>
  <c r="CC401" i="1"/>
  <c r="CB401" i="1"/>
  <c r="CA401" i="1"/>
  <c r="CI401" i="1" s="1"/>
  <c r="BW401" i="1"/>
  <c r="BV401" i="1"/>
  <c r="BU401" i="1"/>
  <c r="BT401" i="1"/>
  <c r="BS401" i="1"/>
  <c r="BI401" i="1"/>
  <c r="BB401" i="1"/>
  <c r="AR401" i="1"/>
  <c r="AD401" i="1"/>
  <c r="W401" i="1"/>
  <c r="M401" i="1"/>
  <c r="G401" i="1"/>
  <c r="F401" i="1"/>
  <c r="E401" i="1"/>
  <c r="DA400" i="1"/>
  <c r="CZ400" i="1"/>
  <c r="CY400" i="1"/>
  <c r="CW400" i="1"/>
  <c r="CV400" i="1"/>
  <c r="CQ400" i="1"/>
  <c r="CO400" i="1"/>
  <c r="CM400" i="1"/>
  <c r="CH400" i="1"/>
  <c r="CG400" i="1"/>
  <c r="CF400" i="1"/>
  <c r="CE400" i="1"/>
  <c r="CD400" i="1"/>
  <c r="CC400" i="1"/>
  <c r="CB400" i="1"/>
  <c r="CA400" i="1"/>
  <c r="BX400" i="1"/>
  <c r="BW400" i="1"/>
  <c r="BV400" i="1"/>
  <c r="BU400" i="1"/>
  <c r="BT400" i="1"/>
  <c r="BS400" i="1"/>
  <c r="BI400" i="1"/>
  <c r="BB400" i="1"/>
  <c r="AR400" i="1"/>
  <c r="AD400" i="1"/>
  <c r="CN400" i="1" s="1"/>
  <c r="W400" i="1"/>
  <c r="M400" i="1"/>
  <c r="G400" i="1"/>
  <c r="F400" i="1"/>
  <c r="E400" i="1"/>
  <c r="DA399" i="1"/>
  <c r="CZ399" i="1"/>
  <c r="CY399" i="1"/>
  <c r="CW399" i="1"/>
  <c r="CV399" i="1"/>
  <c r="CH399" i="1"/>
  <c r="CG399" i="1"/>
  <c r="CF399" i="1"/>
  <c r="CE399" i="1"/>
  <c r="CD399" i="1"/>
  <c r="CC399" i="1"/>
  <c r="CB399" i="1"/>
  <c r="CA399" i="1"/>
  <c r="BW399" i="1"/>
  <c r="BV399" i="1"/>
  <c r="BU399" i="1"/>
  <c r="BT399" i="1"/>
  <c r="BS399" i="1"/>
  <c r="BI399" i="1"/>
  <c r="BB399" i="1"/>
  <c r="AR399" i="1"/>
  <c r="AD399" i="1"/>
  <c r="W399" i="1"/>
  <c r="M399" i="1"/>
  <c r="G399" i="1"/>
  <c r="F399" i="1"/>
  <c r="E399" i="1"/>
  <c r="DA398" i="1"/>
  <c r="CZ398" i="1"/>
  <c r="CY398" i="1"/>
  <c r="CW398" i="1"/>
  <c r="CV398" i="1"/>
  <c r="CH398" i="1"/>
  <c r="CF398" i="1"/>
  <c r="CE398" i="1"/>
  <c r="CD398" i="1"/>
  <c r="CC398" i="1"/>
  <c r="CB398" i="1"/>
  <c r="BW398" i="1"/>
  <c r="BV398" i="1"/>
  <c r="BU398" i="1"/>
  <c r="BT398" i="1"/>
  <c r="BS398" i="1"/>
  <c r="BI398" i="1"/>
  <c r="CO398" i="1" s="1"/>
  <c r="BD398" i="1"/>
  <c r="CA398" i="1" s="1"/>
  <c r="BB398" i="1"/>
  <c r="AR398" i="1"/>
  <c r="AD398" i="1"/>
  <c r="W398" i="1"/>
  <c r="M398" i="1"/>
  <c r="G398" i="1"/>
  <c r="F398" i="1"/>
  <c r="E398" i="1"/>
  <c r="DA397" i="1"/>
  <c r="CZ397" i="1"/>
  <c r="CY397" i="1"/>
  <c r="CW397" i="1"/>
  <c r="CC397" i="1"/>
  <c r="CA397" i="1"/>
  <c r="BW397" i="1"/>
  <c r="BV397" i="1"/>
  <c r="BU397" i="1"/>
  <c r="BT397" i="1"/>
  <c r="BD397" i="1"/>
  <c r="BI397" i="1" s="1"/>
  <c r="BB397" i="1"/>
  <c r="AR397" i="1"/>
  <c r="AH397" i="1"/>
  <c r="AG397" i="1"/>
  <c r="CV397" i="1" s="1"/>
  <c r="Y397" i="1"/>
  <c r="BS397" i="1" s="1"/>
  <c r="W397" i="1"/>
  <c r="M397" i="1"/>
  <c r="G397" i="1"/>
  <c r="F397" i="1"/>
  <c r="E397" i="1"/>
  <c r="DA396" i="1"/>
  <c r="CZ396" i="1"/>
  <c r="CY396" i="1"/>
  <c r="CW396" i="1"/>
  <c r="CV396" i="1"/>
  <c r="CF396" i="1"/>
  <c r="CD396" i="1"/>
  <c r="BW396" i="1"/>
  <c r="BV396" i="1"/>
  <c r="BU396" i="1"/>
  <c r="BT396" i="1"/>
  <c r="BI396" i="1"/>
  <c r="BB396" i="1"/>
  <c r="AR396" i="1"/>
  <c r="Y396" i="1"/>
  <c r="W396" i="1"/>
  <c r="M396" i="1"/>
  <c r="G396" i="1"/>
  <c r="F396" i="1"/>
  <c r="E396" i="1"/>
  <c r="DA395" i="1"/>
  <c r="CZ395" i="1"/>
  <c r="CY395" i="1"/>
  <c r="CW395" i="1"/>
  <c r="CV395" i="1"/>
  <c r="CQ395" i="1"/>
  <c r="CO395" i="1"/>
  <c r="CN395" i="1"/>
  <c r="CM395" i="1"/>
  <c r="CK395" i="1"/>
  <c r="CH395" i="1"/>
  <c r="CG395" i="1"/>
  <c r="CF395" i="1"/>
  <c r="CE395" i="1"/>
  <c r="CD395" i="1"/>
  <c r="CC395" i="1"/>
  <c r="CB395" i="1"/>
  <c r="CA395" i="1"/>
  <c r="BX395" i="1"/>
  <c r="BW395" i="1"/>
  <c r="BV395" i="1"/>
  <c r="BU395" i="1"/>
  <c r="BT395" i="1"/>
  <c r="BS395" i="1"/>
  <c r="BI395" i="1"/>
  <c r="CL395" i="1" s="1"/>
  <c r="BB395" i="1"/>
  <c r="AR395" i="1"/>
  <c r="AD395" i="1"/>
  <c r="CR395" i="1" s="1"/>
  <c r="W395" i="1"/>
  <c r="M395" i="1"/>
  <c r="G395" i="1"/>
  <c r="F395" i="1"/>
  <c r="E395" i="1"/>
  <c r="DA394" i="1"/>
  <c r="CZ394" i="1"/>
  <c r="CY394" i="1"/>
  <c r="CW394" i="1"/>
  <c r="CV394" i="1"/>
  <c r="CH394" i="1"/>
  <c r="CG394" i="1"/>
  <c r="CF394" i="1"/>
  <c r="CE394" i="1"/>
  <c r="CD394" i="1"/>
  <c r="CC394" i="1"/>
  <c r="CB394" i="1"/>
  <c r="CA394" i="1"/>
  <c r="CI394" i="1" s="1"/>
  <c r="BW394" i="1"/>
  <c r="BV394" i="1"/>
  <c r="BU394" i="1"/>
  <c r="BT394" i="1"/>
  <c r="BS394" i="1"/>
  <c r="BI394" i="1"/>
  <c r="CR394" i="1" s="1"/>
  <c r="BB394" i="1"/>
  <c r="AR394" i="1"/>
  <c r="AD394" i="1"/>
  <c r="W394" i="1"/>
  <c r="M394" i="1"/>
  <c r="G394" i="1"/>
  <c r="F394" i="1"/>
  <c r="E394" i="1"/>
  <c r="DA393" i="1"/>
  <c r="CZ393" i="1"/>
  <c r="CY393" i="1"/>
  <c r="CW393" i="1"/>
  <c r="CV393" i="1"/>
  <c r="CH393" i="1"/>
  <c r="CG393" i="1"/>
  <c r="CF393" i="1"/>
  <c r="CE393" i="1"/>
  <c r="CD393" i="1"/>
  <c r="CC393" i="1"/>
  <c r="CB393" i="1"/>
  <c r="CA393" i="1"/>
  <c r="CI393" i="1" s="1"/>
  <c r="BW393" i="1"/>
  <c r="BV393" i="1"/>
  <c r="BU393" i="1"/>
  <c r="BT393" i="1"/>
  <c r="BS393" i="1"/>
  <c r="BI393" i="1"/>
  <c r="CP393" i="1" s="1"/>
  <c r="BB393" i="1"/>
  <c r="AR393" i="1"/>
  <c r="AD393" i="1"/>
  <c r="CQ393" i="1" s="1"/>
  <c r="W393" i="1"/>
  <c r="M393" i="1"/>
  <c r="G393" i="1"/>
  <c r="F393" i="1"/>
  <c r="E393" i="1"/>
  <c r="DA392" i="1"/>
  <c r="CZ392" i="1"/>
  <c r="CY392" i="1"/>
  <c r="CW392" i="1"/>
  <c r="CV392" i="1"/>
  <c r="CP392" i="1"/>
  <c r="CO392" i="1"/>
  <c r="CH392" i="1"/>
  <c r="CG392" i="1"/>
  <c r="CF392" i="1"/>
  <c r="CE392" i="1"/>
  <c r="CD392" i="1"/>
  <c r="CC392" i="1"/>
  <c r="CB392" i="1"/>
  <c r="CA392" i="1"/>
  <c r="CI392" i="1" s="1"/>
  <c r="BW392" i="1"/>
  <c r="BV392" i="1"/>
  <c r="BU392" i="1"/>
  <c r="BT392" i="1"/>
  <c r="BS392" i="1"/>
  <c r="BI392" i="1"/>
  <c r="BB392" i="1"/>
  <c r="AR392" i="1"/>
  <c r="AD392" i="1"/>
  <c r="CL392" i="1" s="1"/>
  <c r="W392" i="1"/>
  <c r="M392" i="1"/>
  <c r="G392" i="1"/>
  <c r="F392" i="1"/>
  <c r="E392" i="1"/>
  <c r="DA391" i="1"/>
  <c r="CZ391" i="1"/>
  <c r="CY391" i="1"/>
  <c r="CW391" i="1"/>
  <c r="CV391" i="1"/>
  <c r="CR391" i="1"/>
  <c r="CQ391" i="1"/>
  <c r="CP391" i="1"/>
  <c r="CO391" i="1"/>
  <c r="CN391" i="1"/>
  <c r="CM391" i="1"/>
  <c r="CL391" i="1"/>
  <c r="CH391" i="1"/>
  <c r="CG391" i="1"/>
  <c r="CF391" i="1"/>
  <c r="CE391" i="1"/>
  <c r="CD391" i="1"/>
  <c r="CC391" i="1"/>
  <c r="CB391" i="1"/>
  <c r="CA391" i="1"/>
  <c r="CI391" i="1" s="1"/>
  <c r="BX391" i="1"/>
  <c r="BW391" i="1"/>
  <c r="BV391" i="1"/>
  <c r="BU391" i="1"/>
  <c r="BT391" i="1"/>
  <c r="BS391" i="1"/>
  <c r="BI391" i="1"/>
  <c r="CK391" i="1" s="1"/>
  <c r="CS391" i="1" s="1"/>
  <c r="CT391" i="1" s="1"/>
  <c r="BB391" i="1"/>
  <c r="AR391" i="1"/>
  <c r="AD391" i="1"/>
  <c r="CM394" i="1" s="1"/>
  <c r="W391" i="1"/>
  <c r="M391" i="1"/>
  <c r="G391" i="1"/>
  <c r="F391" i="1"/>
  <c r="E391" i="1"/>
  <c r="DA390" i="1"/>
  <c r="CZ390" i="1"/>
  <c r="CY390" i="1"/>
  <c r="CW390" i="1"/>
  <c r="CV390" i="1"/>
  <c r="CR390" i="1"/>
  <c r="CH390" i="1"/>
  <c r="CG390" i="1"/>
  <c r="CF390" i="1"/>
  <c r="CE390" i="1"/>
  <c r="CD390" i="1"/>
  <c r="CC390" i="1"/>
  <c r="CB390" i="1"/>
  <c r="CA390" i="1"/>
  <c r="CI390" i="1" s="1"/>
  <c r="BW390" i="1"/>
  <c r="BV390" i="1"/>
  <c r="BU390" i="1"/>
  <c r="BT390" i="1"/>
  <c r="BS390" i="1"/>
  <c r="BI390" i="1"/>
  <c r="CQ390" i="1" s="1"/>
  <c r="BB390" i="1"/>
  <c r="AR390" i="1"/>
  <c r="AD390" i="1"/>
  <c r="CP390" i="1" s="1"/>
  <c r="W390" i="1"/>
  <c r="M390" i="1"/>
  <c r="G390" i="1"/>
  <c r="F390" i="1"/>
  <c r="E390" i="1"/>
  <c r="DA389" i="1"/>
  <c r="CZ389" i="1"/>
  <c r="CY389" i="1"/>
  <c r="CW389" i="1"/>
  <c r="CV389" i="1"/>
  <c r="CH389" i="1"/>
  <c r="CG389" i="1"/>
  <c r="CF389" i="1"/>
  <c r="CE389" i="1"/>
  <c r="CD389" i="1"/>
  <c r="CC389" i="1"/>
  <c r="CB389" i="1"/>
  <c r="CA389" i="1"/>
  <c r="CI389" i="1" s="1"/>
  <c r="BW389" i="1"/>
  <c r="BV389" i="1"/>
  <c r="BU389" i="1"/>
  <c r="BT389" i="1"/>
  <c r="BS389" i="1"/>
  <c r="BI389" i="1"/>
  <c r="BB389" i="1"/>
  <c r="AR389" i="1"/>
  <c r="AD389" i="1"/>
  <c r="CO389" i="1" s="1"/>
  <c r="W389" i="1"/>
  <c r="M389" i="1"/>
  <c r="G389" i="1"/>
  <c r="F389" i="1"/>
  <c r="E389" i="1"/>
  <c r="DA388" i="1"/>
  <c r="CZ388" i="1"/>
  <c r="CY388" i="1"/>
  <c r="CW388" i="1"/>
  <c r="CV388" i="1"/>
  <c r="CO388" i="1"/>
  <c r="CN388" i="1"/>
  <c r="CH388" i="1"/>
  <c r="CG388" i="1"/>
  <c r="CF388" i="1"/>
  <c r="CE388" i="1"/>
  <c r="CD388" i="1"/>
  <c r="CC388" i="1"/>
  <c r="CB388" i="1"/>
  <c r="CA388" i="1"/>
  <c r="CI388" i="1" s="1"/>
  <c r="BW388" i="1"/>
  <c r="BV388" i="1"/>
  <c r="BU388" i="1"/>
  <c r="BT388" i="1"/>
  <c r="BS388" i="1"/>
  <c r="BI388" i="1"/>
  <c r="BB388" i="1"/>
  <c r="AR388" i="1"/>
  <c r="AD388" i="1"/>
  <c r="CM388" i="1" s="1"/>
  <c r="W388" i="1"/>
  <c r="M388" i="1"/>
  <c r="G388" i="1"/>
  <c r="F388" i="1"/>
  <c r="E388" i="1"/>
  <c r="DA387" i="1"/>
  <c r="CZ387" i="1"/>
  <c r="CY387" i="1"/>
  <c r="CW387" i="1"/>
  <c r="CV387" i="1"/>
  <c r="CR387" i="1"/>
  <c r="CO387" i="1"/>
  <c r="CN387" i="1"/>
  <c r="CM387" i="1"/>
  <c r="CH387" i="1"/>
  <c r="CG387" i="1"/>
  <c r="CF387" i="1"/>
  <c r="CE387" i="1"/>
  <c r="CD387" i="1"/>
  <c r="CC387" i="1"/>
  <c r="CB387" i="1"/>
  <c r="CA387" i="1"/>
  <c r="CI387" i="1" s="1"/>
  <c r="BW387" i="1"/>
  <c r="BV387" i="1"/>
  <c r="BU387" i="1"/>
  <c r="BT387" i="1"/>
  <c r="BS387" i="1"/>
  <c r="BI387" i="1"/>
  <c r="BB387" i="1"/>
  <c r="AR387" i="1"/>
  <c r="AD387" i="1"/>
  <c r="CL387" i="1" s="1"/>
  <c r="W387" i="1"/>
  <c r="M387" i="1"/>
  <c r="G387" i="1"/>
  <c r="F387" i="1"/>
  <c r="E387" i="1"/>
  <c r="DA386" i="1"/>
  <c r="CZ386" i="1"/>
  <c r="CY386" i="1"/>
  <c r="CW386" i="1"/>
  <c r="CV386" i="1"/>
  <c r="CH386" i="1"/>
  <c r="CG386" i="1"/>
  <c r="CF386" i="1"/>
  <c r="CE386" i="1"/>
  <c r="CD386" i="1"/>
  <c r="CC386" i="1"/>
  <c r="CB386" i="1"/>
  <c r="CA386" i="1"/>
  <c r="CI386" i="1" s="1"/>
  <c r="BW386" i="1"/>
  <c r="BV386" i="1"/>
  <c r="BU386" i="1"/>
  <c r="BT386" i="1"/>
  <c r="BS386" i="1"/>
  <c r="BI386" i="1"/>
  <c r="CL386" i="1" s="1"/>
  <c r="BB386" i="1"/>
  <c r="AR386" i="1"/>
  <c r="AD386" i="1"/>
  <c r="CR386" i="1" s="1"/>
  <c r="W386" i="1"/>
  <c r="M386" i="1"/>
  <c r="G386" i="1"/>
  <c r="F386" i="1"/>
  <c r="E386" i="1"/>
  <c r="DA385" i="1"/>
  <c r="CZ385" i="1"/>
  <c r="CY385" i="1"/>
  <c r="CW385" i="1"/>
  <c r="CV385" i="1"/>
  <c r="CR385" i="1"/>
  <c r="CQ385" i="1"/>
  <c r="CH385" i="1"/>
  <c r="CG385" i="1"/>
  <c r="CE385" i="1"/>
  <c r="CC385" i="1"/>
  <c r="CB385" i="1"/>
  <c r="CA385" i="1"/>
  <c r="BX385" i="1"/>
  <c r="BW385" i="1"/>
  <c r="BV385" i="1"/>
  <c r="BU385" i="1"/>
  <c r="BT385" i="1"/>
  <c r="BS385" i="1"/>
  <c r="BI385" i="1"/>
  <c r="CN385" i="1" s="1"/>
  <c r="BB385" i="1"/>
  <c r="AR385" i="1"/>
  <c r="AD385" i="1"/>
  <c r="CP385" i="1" s="1"/>
  <c r="Y385" i="1"/>
  <c r="CF385" i="1" s="1"/>
  <c r="W385" i="1"/>
  <c r="M385" i="1"/>
  <c r="G385" i="1"/>
  <c r="F385" i="1"/>
  <c r="E385" i="1"/>
  <c r="DA384" i="1"/>
  <c r="CZ384" i="1"/>
  <c r="CY384" i="1"/>
  <c r="CW384" i="1"/>
  <c r="CV384" i="1"/>
  <c r="CH384" i="1"/>
  <c r="CG384" i="1"/>
  <c r="CD384" i="1"/>
  <c r="CB384" i="1"/>
  <c r="CA384" i="1"/>
  <c r="BW384" i="1"/>
  <c r="BV384" i="1"/>
  <c r="BU384" i="1"/>
  <c r="BT384" i="1"/>
  <c r="BI384" i="1"/>
  <c r="BB384" i="1"/>
  <c r="AR384" i="1"/>
  <c r="AD384" i="1"/>
  <c r="CO384" i="1" s="1"/>
  <c r="Y384" i="1"/>
  <c r="CF384" i="1" s="1"/>
  <c r="W384" i="1"/>
  <c r="M384" i="1"/>
  <c r="G384" i="1"/>
  <c r="F384" i="1"/>
  <c r="E384" i="1"/>
  <c r="DA383" i="1"/>
  <c r="CZ383" i="1"/>
  <c r="CY383" i="1"/>
  <c r="CW383" i="1"/>
  <c r="CV383" i="1"/>
  <c r="BW383" i="1"/>
  <c r="BV383" i="1"/>
  <c r="BU383" i="1"/>
  <c r="BT383" i="1"/>
  <c r="BI383" i="1"/>
  <c r="BB383" i="1"/>
  <c r="AR383" i="1"/>
  <c r="Y383" i="1"/>
  <c r="CE383" i="1" s="1"/>
  <c r="W383" i="1"/>
  <c r="M383" i="1"/>
  <c r="G383" i="1"/>
  <c r="F383" i="1"/>
  <c r="E383" i="1"/>
  <c r="DA382" i="1"/>
  <c r="CZ382" i="1"/>
  <c r="CY382" i="1"/>
  <c r="CW382" i="1"/>
  <c r="CV382" i="1"/>
  <c r="CE382" i="1"/>
  <c r="BW382" i="1"/>
  <c r="BV382" i="1"/>
  <c r="BU382" i="1"/>
  <c r="BT382" i="1"/>
  <c r="BI382" i="1"/>
  <c r="BB382" i="1"/>
  <c r="AR382" i="1"/>
  <c r="Y382" i="1"/>
  <c r="CD382" i="1" s="1"/>
  <c r="W382" i="1"/>
  <c r="M382" i="1"/>
  <c r="G382" i="1"/>
  <c r="F382" i="1"/>
  <c r="E382" i="1"/>
  <c r="DA381" i="1"/>
  <c r="CZ381" i="1"/>
  <c r="CY381" i="1"/>
  <c r="CW381" i="1"/>
  <c r="CV381" i="1"/>
  <c r="CE381" i="1"/>
  <c r="CD381" i="1"/>
  <c r="BW381" i="1"/>
  <c r="BV381" i="1"/>
  <c r="BU381" i="1"/>
  <c r="BT381" i="1"/>
  <c r="BI381" i="1"/>
  <c r="BB381" i="1"/>
  <c r="AR381" i="1"/>
  <c r="Y381" i="1"/>
  <c r="CC381" i="1" s="1"/>
  <c r="W381" i="1"/>
  <c r="M381" i="1"/>
  <c r="G381" i="1"/>
  <c r="F381" i="1"/>
  <c r="E381" i="1"/>
  <c r="DA380" i="1"/>
  <c r="CZ380" i="1"/>
  <c r="CY380" i="1"/>
  <c r="CW380" i="1"/>
  <c r="CV380" i="1"/>
  <c r="CH380" i="1"/>
  <c r="CE380" i="1"/>
  <c r="CD380" i="1"/>
  <c r="CC380" i="1"/>
  <c r="BW380" i="1"/>
  <c r="BV380" i="1"/>
  <c r="BU380" i="1"/>
  <c r="BT380" i="1"/>
  <c r="BS380" i="1"/>
  <c r="BI380" i="1"/>
  <c r="BB380" i="1"/>
  <c r="AR380" i="1"/>
  <c r="Y380" i="1"/>
  <c r="CB380" i="1" s="1"/>
  <c r="W380" i="1"/>
  <c r="M380" i="1"/>
  <c r="G380" i="1"/>
  <c r="F380" i="1"/>
  <c r="E380" i="1"/>
  <c r="DA379" i="1"/>
  <c r="CZ379" i="1"/>
  <c r="CY379" i="1"/>
  <c r="CW379" i="1"/>
  <c r="CV379" i="1"/>
  <c r="CH379" i="1"/>
  <c r="CE379" i="1"/>
  <c r="CD379" i="1"/>
  <c r="CC379" i="1"/>
  <c r="BW379" i="1"/>
  <c r="BV379" i="1"/>
  <c r="BU379" i="1"/>
  <c r="BT379" i="1"/>
  <c r="BS379" i="1"/>
  <c r="BI379" i="1"/>
  <c r="BB379" i="1"/>
  <c r="AR379" i="1"/>
  <c r="Y379" i="1"/>
  <c r="CB379" i="1" s="1"/>
  <c r="W379" i="1"/>
  <c r="M379" i="1"/>
  <c r="G379" i="1"/>
  <c r="F379" i="1"/>
  <c r="E379" i="1"/>
  <c r="DA378" i="1"/>
  <c r="CZ378" i="1"/>
  <c r="CY378" i="1"/>
  <c r="CW378" i="1"/>
  <c r="CV378" i="1"/>
  <c r="CH378" i="1"/>
  <c r="CE378" i="1"/>
  <c r="CD378" i="1"/>
  <c r="CC378" i="1"/>
  <c r="CB378" i="1"/>
  <c r="CA378" i="1"/>
  <c r="BW378" i="1"/>
  <c r="BV378" i="1"/>
  <c r="BU378" i="1"/>
  <c r="BT378" i="1"/>
  <c r="BS378" i="1"/>
  <c r="BI378" i="1"/>
  <c r="BB378" i="1"/>
  <c r="AR378" i="1"/>
  <c r="Y378" i="1"/>
  <c r="CG378" i="1" s="1"/>
  <c r="W378" i="1"/>
  <c r="M378" i="1"/>
  <c r="G378" i="1"/>
  <c r="F378" i="1"/>
  <c r="E378" i="1"/>
  <c r="DA377" i="1"/>
  <c r="CZ377" i="1"/>
  <c r="CY377" i="1"/>
  <c r="CW377" i="1"/>
  <c r="CV377" i="1"/>
  <c r="CH377" i="1"/>
  <c r="CE377" i="1"/>
  <c r="CD377" i="1"/>
  <c r="CC377" i="1"/>
  <c r="CB377" i="1"/>
  <c r="CA377" i="1"/>
  <c r="BW377" i="1"/>
  <c r="BV377" i="1"/>
  <c r="BU377" i="1"/>
  <c r="BT377" i="1"/>
  <c r="BS377" i="1"/>
  <c r="BI377" i="1"/>
  <c r="BB377" i="1"/>
  <c r="AR377" i="1"/>
  <c r="Y377" i="1"/>
  <c r="CG377" i="1" s="1"/>
  <c r="W377" i="1"/>
  <c r="M377" i="1"/>
  <c r="G377" i="1"/>
  <c r="F377" i="1"/>
  <c r="E377" i="1"/>
  <c r="DA376" i="1"/>
  <c r="CZ376" i="1"/>
  <c r="CY376" i="1"/>
  <c r="CW376" i="1"/>
  <c r="CV376" i="1"/>
  <c r="CH376" i="1"/>
  <c r="CG376" i="1"/>
  <c r="CF376" i="1"/>
  <c r="CE376" i="1"/>
  <c r="CD376" i="1"/>
  <c r="CC376" i="1"/>
  <c r="CB376" i="1"/>
  <c r="CA376" i="1"/>
  <c r="CI376" i="1" s="1"/>
  <c r="BW376" i="1"/>
  <c r="BV376" i="1"/>
  <c r="BU376" i="1"/>
  <c r="BT376" i="1"/>
  <c r="BS376" i="1"/>
  <c r="BI376" i="1"/>
  <c r="CR376" i="1" s="1"/>
  <c r="BB376" i="1"/>
  <c r="AR376" i="1"/>
  <c r="AD376" i="1"/>
  <c r="CP376" i="1" s="1"/>
  <c r="W376" i="1"/>
  <c r="M376" i="1"/>
  <c r="G376" i="1"/>
  <c r="F376" i="1"/>
  <c r="E376" i="1"/>
  <c r="DA375" i="1"/>
  <c r="CZ375" i="1"/>
  <c r="CY375" i="1"/>
  <c r="CW375" i="1"/>
  <c r="CV375" i="1"/>
  <c r="CQ375" i="1"/>
  <c r="CO375" i="1"/>
  <c r="CH375" i="1"/>
  <c r="CG375" i="1"/>
  <c r="CF375" i="1"/>
  <c r="CE375" i="1"/>
  <c r="CD375" i="1"/>
  <c r="CC375" i="1"/>
  <c r="CB375" i="1"/>
  <c r="CA375" i="1"/>
  <c r="CI375" i="1" s="1"/>
  <c r="BX375" i="1"/>
  <c r="BW375" i="1"/>
  <c r="BV375" i="1"/>
  <c r="BU375" i="1"/>
  <c r="BT375" i="1"/>
  <c r="BS375" i="1"/>
  <c r="BI375" i="1"/>
  <c r="BB375" i="1"/>
  <c r="AR375" i="1"/>
  <c r="AD375" i="1"/>
  <c r="CP375" i="1" s="1"/>
  <c r="W375" i="1"/>
  <c r="M375" i="1"/>
  <c r="G375" i="1"/>
  <c r="F375" i="1"/>
  <c r="E375" i="1"/>
  <c r="DA374" i="1"/>
  <c r="CZ374" i="1"/>
  <c r="CY374" i="1"/>
  <c r="CW374" i="1"/>
  <c r="CV374" i="1"/>
  <c r="CQ374" i="1"/>
  <c r="CO374" i="1"/>
  <c r="CN374" i="1"/>
  <c r="CM374" i="1"/>
  <c r="CH374" i="1"/>
  <c r="CG374" i="1"/>
  <c r="CF374" i="1"/>
  <c r="CE374" i="1"/>
  <c r="CD374" i="1"/>
  <c r="CC374" i="1"/>
  <c r="CB374" i="1"/>
  <c r="CA374" i="1"/>
  <c r="CI374" i="1" s="1"/>
  <c r="BX374" i="1"/>
  <c r="BW374" i="1"/>
  <c r="BV374" i="1"/>
  <c r="BU374" i="1"/>
  <c r="BT374" i="1"/>
  <c r="BS374" i="1"/>
  <c r="BI374" i="1"/>
  <c r="BB374" i="1"/>
  <c r="AR374" i="1"/>
  <c r="AD374" i="1"/>
  <c r="CL374" i="1" s="1"/>
  <c r="W374" i="1"/>
  <c r="M374" i="1"/>
  <c r="G374" i="1"/>
  <c r="F374" i="1"/>
  <c r="E374" i="1"/>
  <c r="DA373" i="1"/>
  <c r="CZ373" i="1"/>
  <c r="CY373" i="1"/>
  <c r="CW373" i="1"/>
  <c r="CV373" i="1"/>
  <c r="CM373" i="1"/>
  <c r="CH373" i="1"/>
  <c r="CG373" i="1"/>
  <c r="CF373" i="1"/>
  <c r="CE373" i="1"/>
  <c r="CD373" i="1"/>
  <c r="CC373" i="1"/>
  <c r="CB373" i="1"/>
  <c r="CA373" i="1"/>
  <c r="CI373" i="1" s="1"/>
  <c r="BW373" i="1"/>
  <c r="BV373" i="1"/>
  <c r="BU373" i="1"/>
  <c r="BT373" i="1"/>
  <c r="BS373" i="1"/>
  <c r="BI373" i="1"/>
  <c r="CL373" i="1" s="1"/>
  <c r="BB373" i="1"/>
  <c r="AR373" i="1"/>
  <c r="AD373" i="1"/>
  <c r="CQ373" i="1" s="1"/>
  <c r="W373" i="1"/>
  <c r="M373" i="1"/>
  <c r="G373" i="1"/>
  <c r="F373" i="1"/>
  <c r="E373" i="1"/>
  <c r="DA372" i="1"/>
  <c r="CZ372" i="1"/>
  <c r="CY372" i="1"/>
  <c r="CW372" i="1"/>
  <c r="CV372" i="1"/>
  <c r="CH372" i="1"/>
  <c r="CG372" i="1"/>
  <c r="CF372" i="1"/>
  <c r="CE372" i="1"/>
  <c r="CD372" i="1"/>
  <c r="CC372" i="1"/>
  <c r="CB372" i="1"/>
  <c r="CA372" i="1"/>
  <c r="CI372" i="1" s="1"/>
  <c r="BW372" i="1"/>
  <c r="BV372" i="1"/>
  <c r="BU372" i="1"/>
  <c r="BT372" i="1"/>
  <c r="BS372" i="1"/>
  <c r="BI372" i="1"/>
  <c r="CR372" i="1" s="1"/>
  <c r="BB372" i="1"/>
  <c r="AR372" i="1"/>
  <c r="AD372" i="1"/>
  <c r="CP372" i="1" s="1"/>
  <c r="W372" i="1"/>
  <c r="M372" i="1"/>
  <c r="G372" i="1"/>
  <c r="F372" i="1"/>
  <c r="E372" i="1"/>
  <c r="DA371" i="1"/>
  <c r="CZ371" i="1"/>
  <c r="CY371" i="1"/>
  <c r="CW371" i="1"/>
  <c r="CV371" i="1"/>
  <c r="CQ371" i="1"/>
  <c r="CO371" i="1"/>
  <c r="CH371" i="1"/>
  <c r="CG371" i="1"/>
  <c r="CF371" i="1"/>
  <c r="CE371" i="1"/>
  <c r="CD371" i="1"/>
  <c r="CC371" i="1"/>
  <c r="CB371" i="1"/>
  <c r="CA371" i="1"/>
  <c r="CI371" i="1" s="1"/>
  <c r="BX371" i="1"/>
  <c r="BW371" i="1"/>
  <c r="BV371" i="1"/>
  <c r="BU371" i="1"/>
  <c r="BT371" i="1"/>
  <c r="BS371" i="1"/>
  <c r="BI371" i="1"/>
  <c r="BB371" i="1"/>
  <c r="AR371" i="1"/>
  <c r="AD371" i="1"/>
  <c r="CP371" i="1" s="1"/>
  <c r="W371" i="1"/>
  <c r="M371" i="1"/>
  <c r="G371" i="1"/>
  <c r="F371" i="1"/>
  <c r="E371" i="1"/>
  <c r="DA370" i="1"/>
  <c r="CZ370" i="1"/>
  <c r="CY370" i="1"/>
  <c r="CW370" i="1"/>
  <c r="CV370" i="1"/>
  <c r="CQ370" i="1"/>
  <c r="CO370" i="1"/>
  <c r="CN370" i="1"/>
  <c r="CM370" i="1"/>
  <c r="CH370" i="1"/>
  <c r="CG370" i="1"/>
  <c r="CF370" i="1"/>
  <c r="CE370" i="1"/>
  <c r="CD370" i="1"/>
  <c r="CC370" i="1"/>
  <c r="CB370" i="1"/>
  <c r="CA370" i="1"/>
  <c r="CI370" i="1" s="1"/>
  <c r="BX370" i="1"/>
  <c r="BW370" i="1"/>
  <c r="BV370" i="1"/>
  <c r="BU370" i="1"/>
  <c r="BT370" i="1"/>
  <c r="BS370" i="1"/>
  <c r="BI370" i="1"/>
  <c r="BB370" i="1"/>
  <c r="AR370" i="1"/>
  <c r="AD370" i="1"/>
  <c r="CL370" i="1" s="1"/>
  <c r="W370" i="1"/>
  <c r="M370" i="1"/>
  <c r="G370" i="1"/>
  <c r="F370" i="1"/>
  <c r="E370" i="1"/>
  <c r="DA369" i="1"/>
  <c r="CZ369" i="1"/>
  <c r="CY369" i="1"/>
  <c r="CW369" i="1"/>
  <c r="CV369" i="1"/>
  <c r="CN369" i="1"/>
  <c r="CL369" i="1"/>
  <c r="CH369" i="1"/>
  <c r="CG369" i="1"/>
  <c r="CF369" i="1"/>
  <c r="CE369" i="1"/>
  <c r="CD369" i="1"/>
  <c r="CC369" i="1"/>
  <c r="CB369" i="1"/>
  <c r="CA369" i="1"/>
  <c r="CI369" i="1" s="1"/>
  <c r="BW369" i="1"/>
  <c r="BV369" i="1"/>
  <c r="BU369" i="1"/>
  <c r="BT369" i="1"/>
  <c r="BS369" i="1"/>
  <c r="BI369" i="1"/>
  <c r="BB369" i="1"/>
  <c r="AR369" i="1"/>
  <c r="AD369" i="1"/>
  <c r="CM369" i="1" s="1"/>
  <c r="W369" i="1"/>
  <c r="M369" i="1"/>
  <c r="G369" i="1"/>
  <c r="F369" i="1"/>
  <c r="E369" i="1"/>
  <c r="DA368" i="1"/>
  <c r="CZ368" i="1"/>
  <c r="CY368" i="1"/>
  <c r="CW368" i="1"/>
  <c r="CV368" i="1"/>
  <c r="CD368" i="1"/>
  <c r="CC368" i="1"/>
  <c r="CB368" i="1"/>
  <c r="BW368" i="1"/>
  <c r="BV368" i="1"/>
  <c r="BU368" i="1"/>
  <c r="BT368" i="1"/>
  <c r="BS368" i="1"/>
  <c r="BI368" i="1"/>
  <c r="BB368" i="1"/>
  <c r="AR368" i="1"/>
  <c r="Y368" i="1"/>
  <c r="CA368" i="1" s="1"/>
  <c r="W368" i="1"/>
  <c r="M368" i="1"/>
  <c r="G368" i="1"/>
  <c r="F368" i="1"/>
  <c r="E368" i="1"/>
  <c r="DA367" i="1"/>
  <c r="CZ367" i="1"/>
  <c r="CY367" i="1"/>
  <c r="CW367" i="1"/>
  <c r="CV367" i="1"/>
  <c r="CR367" i="1"/>
  <c r="CL367" i="1"/>
  <c r="CH367" i="1"/>
  <c r="CG367" i="1"/>
  <c r="CF367" i="1"/>
  <c r="CE367" i="1"/>
  <c r="CD367" i="1"/>
  <c r="CC367" i="1"/>
  <c r="CB367" i="1"/>
  <c r="CA367" i="1"/>
  <c r="CI367" i="1" s="1"/>
  <c r="BW367" i="1"/>
  <c r="BV367" i="1"/>
  <c r="BU367" i="1"/>
  <c r="BT367" i="1"/>
  <c r="BS367" i="1"/>
  <c r="BI367" i="1"/>
  <c r="CK367" i="1" s="1"/>
  <c r="BB367" i="1"/>
  <c r="AR367" i="1"/>
  <c r="AD367" i="1"/>
  <c r="CP367" i="1" s="1"/>
  <c r="W367" i="1"/>
  <c r="M367" i="1"/>
  <c r="G367" i="1"/>
  <c r="F367" i="1"/>
  <c r="E367" i="1"/>
  <c r="DA366" i="1"/>
  <c r="CZ366" i="1"/>
  <c r="CY366" i="1"/>
  <c r="CW366" i="1"/>
  <c r="CV366" i="1"/>
  <c r="CH366" i="1"/>
  <c r="CG366" i="1"/>
  <c r="CF366" i="1"/>
  <c r="CE366" i="1"/>
  <c r="CD366" i="1"/>
  <c r="CC366" i="1"/>
  <c r="CB366" i="1"/>
  <c r="CA366" i="1"/>
  <c r="CI366" i="1" s="1"/>
  <c r="BW366" i="1"/>
  <c r="BV366" i="1"/>
  <c r="BU366" i="1"/>
  <c r="BT366" i="1"/>
  <c r="BS366" i="1"/>
  <c r="BI366" i="1"/>
  <c r="CR366" i="1" s="1"/>
  <c r="BB366" i="1"/>
  <c r="AR366" i="1"/>
  <c r="AD366" i="1"/>
  <c r="CP366" i="1" s="1"/>
  <c r="W366" i="1"/>
  <c r="M366" i="1"/>
  <c r="G366" i="1"/>
  <c r="F366" i="1"/>
  <c r="E366" i="1"/>
  <c r="DA365" i="1"/>
  <c r="CZ365" i="1"/>
  <c r="CY365" i="1"/>
  <c r="CW365" i="1"/>
  <c r="CV365" i="1"/>
  <c r="CR365" i="1"/>
  <c r="CH365" i="1"/>
  <c r="CG365" i="1"/>
  <c r="CF365" i="1"/>
  <c r="CE365" i="1"/>
  <c r="CD365" i="1"/>
  <c r="CC365" i="1"/>
  <c r="CB365" i="1"/>
  <c r="CA365" i="1"/>
  <c r="CI365" i="1" s="1"/>
  <c r="BW365" i="1"/>
  <c r="BV365" i="1"/>
  <c r="BU365" i="1"/>
  <c r="BT365" i="1"/>
  <c r="BS365" i="1"/>
  <c r="BI365" i="1"/>
  <c r="BB365" i="1"/>
  <c r="AR365" i="1"/>
  <c r="AD365" i="1"/>
  <c r="CQ365" i="1" s="1"/>
  <c r="W365" i="1"/>
  <c r="M365" i="1"/>
  <c r="G365" i="1"/>
  <c r="F365" i="1"/>
  <c r="E365" i="1"/>
  <c r="DA364" i="1"/>
  <c r="CZ364" i="1"/>
  <c r="CY364" i="1"/>
  <c r="CW364" i="1"/>
  <c r="CV364" i="1"/>
  <c r="CQ364" i="1"/>
  <c r="CO364" i="1"/>
  <c r="CH364" i="1"/>
  <c r="CG364" i="1"/>
  <c r="CF364" i="1"/>
  <c r="CE364" i="1"/>
  <c r="CD364" i="1"/>
  <c r="CC364" i="1"/>
  <c r="CB364" i="1"/>
  <c r="CA364" i="1"/>
  <c r="CI364" i="1" s="1"/>
  <c r="BX364" i="1"/>
  <c r="BW364" i="1"/>
  <c r="BV364" i="1"/>
  <c r="BU364" i="1"/>
  <c r="BT364" i="1"/>
  <c r="BS364" i="1"/>
  <c r="BI364" i="1"/>
  <c r="BB364" i="1"/>
  <c r="AR364" i="1"/>
  <c r="AD364" i="1"/>
  <c r="CP364" i="1" s="1"/>
  <c r="W364" i="1"/>
  <c r="M364" i="1"/>
  <c r="G364" i="1"/>
  <c r="F364" i="1"/>
  <c r="E364" i="1"/>
  <c r="DA363" i="1"/>
  <c r="CZ363" i="1"/>
  <c r="CY363" i="1"/>
  <c r="CW363" i="1"/>
  <c r="CG363" i="1"/>
  <c r="CE363" i="1"/>
  <c r="BW363" i="1"/>
  <c r="BV363" i="1"/>
  <c r="BU363" i="1"/>
  <c r="BT363" i="1"/>
  <c r="BD363" i="1"/>
  <c r="CF363" i="1" s="1"/>
  <c r="BB363" i="1"/>
  <c r="AR363" i="1"/>
  <c r="AH363" i="1"/>
  <c r="AG363" i="1"/>
  <c r="CV363" i="1" s="1"/>
  <c r="AD363" i="1"/>
  <c r="Y363" i="1"/>
  <c r="CC363" i="1" s="1"/>
  <c r="W363" i="1"/>
  <c r="M363" i="1"/>
  <c r="G363" i="1"/>
  <c r="F363" i="1"/>
  <c r="E363" i="1"/>
  <c r="DA362" i="1"/>
  <c r="CZ362" i="1"/>
  <c r="CY362" i="1"/>
  <c r="CW362" i="1"/>
  <c r="CV362" i="1"/>
  <c r="CH362" i="1"/>
  <c r="CG362" i="1"/>
  <c r="CE362" i="1"/>
  <c r="CD362" i="1"/>
  <c r="CC362" i="1"/>
  <c r="CB362" i="1"/>
  <c r="CA362" i="1"/>
  <c r="CI362" i="1" s="1"/>
  <c r="BW362" i="1"/>
  <c r="BV362" i="1"/>
  <c r="BU362" i="1"/>
  <c r="BT362" i="1"/>
  <c r="BS362" i="1"/>
  <c r="BI362" i="1"/>
  <c r="CR362" i="1" s="1"/>
  <c r="BB362" i="1"/>
  <c r="AR362" i="1"/>
  <c r="AD362" i="1"/>
  <c r="CP362" i="1" s="1"/>
  <c r="Y362" i="1"/>
  <c r="CF362" i="1" s="1"/>
  <c r="W362" i="1"/>
  <c r="M362" i="1"/>
  <c r="G362" i="1"/>
  <c r="F362" i="1"/>
  <c r="E362" i="1"/>
  <c r="DA361" i="1"/>
  <c r="CZ361" i="1"/>
  <c r="CY361" i="1"/>
  <c r="CW361" i="1"/>
  <c r="CV361" i="1"/>
  <c r="CR361" i="1"/>
  <c r="CH361" i="1"/>
  <c r="CG361" i="1"/>
  <c r="CF361" i="1"/>
  <c r="CE361" i="1"/>
  <c r="CD361" i="1"/>
  <c r="CC361" i="1"/>
  <c r="CB361" i="1"/>
  <c r="CA361" i="1"/>
  <c r="CI361" i="1" s="1"/>
  <c r="BW361" i="1"/>
  <c r="BV361" i="1"/>
  <c r="BU361" i="1"/>
  <c r="BT361" i="1"/>
  <c r="BS361" i="1"/>
  <c r="BI361" i="1"/>
  <c r="BB361" i="1"/>
  <c r="AR361" i="1"/>
  <c r="AD361" i="1"/>
  <c r="CQ361" i="1" s="1"/>
  <c r="W361" i="1"/>
  <c r="M361" i="1"/>
  <c r="G361" i="1"/>
  <c r="F361" i="1"/>
  <c r="E361" i="1"/>
  <c r="DA360" i="1"/>
  <c r="CZ360" i="1"/>
  <c r="CY360" i="1"/>
  <c r="CW360" i="1"/>
  <c r="CV360" i="1"/>
  <c r="CQ360" i="1"/>
  <c r="CH360" i="1"/>
  <c r="CG360" i="1"/>
  <c r="CF360" i="1"/>
  <c r="CE360" i="1"/>
  <c r="CD360" i="1"/>
  <c r="CC360" i="1"/>
  <c r="CB360" i="1"/>
  <c r="CA360" i="1"/>
  <c r="CI360" i="1" s="1"/>
  <c r="BX360" i="1"/>
  <c r="BW360" i="1"/>
  <c r="BV360" i="1"/>
  <c r="BU360" i="1"/>
  <c r="BT360" i="1"/>
  <c r="BS360" i="1"/>
  <c r="BI360" i="1"/>
  <c r="CO360" i="1" s="1"/>
  <c r="BB360" i="1"/>
  <c r="AR360" i="1"/>
  <c r="AD360" i="1"/>
  <c r="CP360" i="1" s="1"/>
  <c r="W360" i="1"/>
  <c r="M360" i="1"/>
  <c r="G360" i="1"/>
  <c r="F360" i="1"/>
  <c r="E360" i="1"/>
  <c r="DA359" i="1"/>
  <c r="CZ359" i="1"/>
  <c r="CY359" i="1"/>
  <c r="CW359" i="1"/>
  <c r="CV359" i="1"/>
  <c r="CO359" i="1"/>
  <c r="CH359" i="1"/>
  <c r="CF359" i="1"/>
  <c r="CD359" i="1"/>
  <c r="BW359" i="1"/>
  <c r="BV359" i="1"/>
  <c r="BU359" i="1"/>
  <c r="BT359" i="1"/>
  <c r="BI359" i="1"/>
  <c r="BB359" i="1"/>
  <c r="AR359" i="1"/>
  <c r="AD359" i="1"/>
  <c r="CN359" i="1" s="1"/>
  <c r="Y359" i="1"/>
  <c r="CE359" i="1" s="1"/>
  <c r="W359" i="1"/>
  <c r="M359" i="1"/>
  <c r="G359" i="1"/>
  <c r="F359" i="1"/>
  <c r="E359" i="1"/>
  <c r="DA358" i="1"/>
  <c r="CZ358" i="1"/>
  <c r="CY358" i="1"/>
  <c r="CW358" i="1"/>
  <c r="CV358" i="1"/>
  <c r="CN358" i="1"/>
  <c r="CH358" i="1"/>
  <c r="CG358" i="1"/>
  <c r="CF358" i="1"/>
  <c r="CE358" i="1"/>
  <c r="CD358" i="1"/>
  <c r="CC358" i="1"/>
  <c r="CB358" i="1"/>
  <c r="CA358" i="1"/>
  <c r="CI358" i="1" s="1"/>
  <c r="BW358" i="1"/>
  <c r="BV358" i="1"/>
  <c r="BU358" i="1"/>
  <c r="BT358" i="1"/>
  <c r="BS358" i="1"/>
  <c r="BI358" i="1"/>
  <c r="BB358" i="1"/>
  <c r="AR358" i="1"/>
  <c r="AD358" i="1"/>
  <c r="CM358" i="1" s="1"/>
  <c r="W358" i="1"/>
  <c r="M358" i="1"/>
  <c r="G358" i="1"/>
  <c r="F358" i="1"/>
  <c r="E358" i="1"/>
  <c r="DA357" i="1"/>
  <c r="CZ357" i="1"/>
  <c r="CY357" i="1"/>
  <c r="CW357" i="1"/>
  <c r="CV357" i="1"/>
  <c r="CR357" i="1"/>
  <c r="CN357" i="1"/>
  <c r="CL357" i="1"/>
  <c r="CH357" i="1"/>
  <c r="CG357" i="1"/>
  <c r="CF357" i="1"/>
  <c r="CE357" i="1"/>
  <c r="CD357" i="1"/>
  <c r="CC357" i="1"/>
  <c r="CB357" i="1"/>
  <c r="CA357" i="1"/>
  <c r="CI357" i="1" s="1"/>
  <c r="BW357" i="1"/>
  <c r="BV357" i="1"/>
  <c r="BU357" i="1"/>
  <c r="BT357" i="1"/>
  <c r="BS357" i="1"/>
  <c r="BI357" i="1"/>
  <c r="CK357" i="1" s="1"/>
  <c r="BB357" i="1"/>
  <c r="AR357" i="1"/>
  <c r="AD357" i="1"/>
  <c r="CP357" i="1" s="1"/>
  <c r="W357" i="1"/>
  <c r="M357" i="1"/>
  <c r="G357" i="1"/>
  <c r="F357" i="1"/>
  <c r="E357" i="1"/>
  <c r="DA356" i="1"/>
  <c r="CZ356" i="1"/>
  <c r="CY356" i="1"/>
  <c r="CW356" i="1"/>
  <c r="CV356" i="1"/>
  <c r="CR356" i="1"/>
  <c r="CH356" i="1"/>
  <c r="CG356" i="1"/>
  <c r="CF356" i="1"/>
  <c r="CE356" i="1"/>
  <c r="CD356" i="1"/>
  <c r="CC356" i="1"/>
  <c r="CB356" i="1"/>
  <c r="CA356" i="1"/>
  <c r="CI356" i="1" s="1"/>
  <c r="BW356" i="1"/>
  <c r="BV356" i="1"/>
  <c r="BU356" i="1"/>
  <c r="BT356" i="1"/>
  <c r="BS356" i="1"/>
  <c r="BI356" i="1"/>
  <c r="BB356" i="1"/>
  <c r="AR356" i="1"/>
  <c r="AD356" i="1"/>
  <c r="CQ356" i="1" s="1"/>
  <c r="W356" i="1"/>
  <c r="M356" i="1"/>
  <c r="G356" i="1"/>
  <c r="F356" i="1"/>
  <c r="E356" i="1"/>
  <c r="DA355" i="1"/>
  <c r="CZ355" i="1"/>
  <c r="CY355" i="1"/>
  <c r="CW355" i="1"/>
  <c r="CV355" i="1"/>
  <c r="CH355" i="1"/>
  <c r="CG355" i="1"/>
  <c r="CF355" i="1"/>
  <c r="CE355" i="1"/>
  <c r="CD355" i="1"/>
  <c r="CC355" i="1"/>
  <c r="CB355" i="1"/>
  <c r="CA355" i="1"/>
  <c r="CI355" i="1" s="1"/>
  <c r="BW355" i="1"/>
  <c r="BV355" i="1"/>
  <c r="BU355" i="1"/>
  <c r="BT355" i="1"/>
  <c r="BS355" i="1"/>
  <c r="BI355" i="1"/>
  <c r="BB355" i="1"/>
  <c r="AR355" i="1"/>
  <c r="AD355" i="1"/>
  <c r="CO355" i="1" s="1"/>
  <c r="W355" i="1"/>
  <c r="M355" i="1"/>
  <c r="G355" i="1"/>
  <c r="F355" i="1"/>
  <c r="E355" i="1"/>
  <c r="DA354" i="1"/>
  <c r="CZ354" i="1"/>
  <c r="CY354" i="1"/>
  <c r="CW354" i="1"/>
  <c r="CV354" i="1"/>
  <c r="CN354" i="1"/>
  <c r="CL354" i="1"/>
  <c r="CH354" i="1"/>
  <c r="CG354" i="1"/>
  <c r="CF354" i="1"/>
  <c r="CE354" i="1"/>
  <c r="CD354" i="1"/>
  <c r="CC354" i="1"/>
  <c r="CB354" i="1"/>
  <c r="CA354" i="1"/>
  <c r="CI354" i="1" s="1"/>
  <c r="BW354" i="1"/>
  <c r="BV354" i="1"/>
  <c r="BU354" i="1"/>
  <c r="BT354" i="1"/>
  <c r="BS354" i="1"/>
  <c r="BI354" i="1"/>
  <c r="BB354" i="1"/>
  <c r="AR354" i="1"/>
  <c r="AD354" i="1"/>
  <c r="CM354" i="1" s="1"/>
  <c r="W354" i="1"/>
  <c r="M354" i="1"/>
  <c r="G354" i="1"/>
  <c r="F354" i="1"/>
  <c r="E354" i="1"/>
  <c r="DA353" i="1"/>
  <c r="CZ353" i="1"/>
  <c r="CY353" i="1"/>
  <c r="CW353" i="1"/>
  <c r="CV353" i="1"/>
  <c r="CM353" i="1"/>
  <c r="CH353" i="1"/>
  <c r="CG353" i="1"/>
  <c r="CF353" i="1"/>
  <c r="CE353" i="1"/>
  <c r="CD353" i="1"/>
  <c r="CC353" i="1"/>
  <c r="CB353" i="1"/>
  <c r="CA353" i="1"/>
  <c r="CI353" i="1" s="1"/>
  <c r="BW353" i="1"/>
  <c r="BV353" i="1"/>
  <c r="BU353" i="1"/>
  <c r="BT353" i="1"/>
  <c r="BS353" i="1"/>
  <c r="BI353" i="1"/>
  <c r="CL353" i="1" s="1"/>
  <c r="BB353" i="1"/>
  <c r="AR353" i="1"/>
  <c r="AD353" i="1"/>
  <c r="CP353" i="1" s="1"/>
  <c r="W353" i="1"/>
  <c r="M353" i="1"/>
  <c r="G353" i="1"/>
  <c r="F353" i="1"/>
  <c r="E353" i="1"/>
  <c r="DA352" i="1"/>
  <c r="CZ352" i="1"/>
  <c r="CY352" i="1"/>
  <c r="CW352" i="1"/>
  <c r="CV352" i="1"/>
  <c r="CR352" i="1"/>
  <c r="CN352" i="1"/>
  <c r="CL352" i="1"/>
  <c r="CH352" i="1"/>
  <c r="CG352" i="1"/>
  <c r="CF352" i="1"/>
  <c r="CE352" i="1"/>
  <c r="CD352" i="1"/>
  <c r="CC352" i="1"/>
  <c r="CB352" i="1"/>
  <c r="CA352" i="1"/>
  <c r="CI352" i="1" s="1"/>
  <c r="BW352" i="1"/>
  <c r="BV352" i="1"/>
  <c r="BU352" i="1"/>
  <c r="BT352" i="1"/>
  <c r="BS352" i="1"/>
  <c r="BI352" i="1"/>
  <c r="CK352" i="1" s="1"/>
  <c r="BB352" i="1"/>
  <c r="AR352" i="1"/>
  <c r="AD352" i="1"/>
  <c r="CP352" i="1" s="1"/>
  <c r="W352" i="1"/>
  <c r="M352" i="1"/>
  <c r="G352" i="1"/>
  <c r="F352" i="1"/>
  <c r="E352" i="1"/>
  <c r="DA351" i="1"/>
  <c r="CZ351" i="1"/>
  <c r="CY351" i="1"/>
  <c r="CW351" i="1"/>
  <c r="CV351" i="1"/>
  <c r="CR351" i="1"/>
  <c r="CH351" i="1"/>
  <c r="CG351" i="1"/>
  <c r="CC351" i="1"/>
  <c r="CB351" i="1"/>
  <c r="CA351" i="1"/>
  <c r="BW351" i="1"/>
  <c r="BV351" i="1"/>
  <c r="BU351" i="1"/>
  <c r="BT351" i="1"/>
  <c r="BS351" i="1"/>
  <c r="BI351" i="1"/>
  <c r="BB351" i="1"/>
  <c r="AR351" i="1"/>
  <c r="AD351" i="1"/>
  <c r="CQ351" i="1" s="1"/>
  <c r="Y351" i="1"/>
  <c r="CF351" i="1" s="1"/>
  <c r="W351" i="1"/>
  <c r="M351" i="1"/>
  <c r="G351" i="1"/>
  <c r="E351" i="1"/>
  <c r="DA350" i="1"/>
  <c r="CZ350" i="1"/>
  <c r="CY350" i="1"/>
  <c r="CW350" i="1"/>
  <c r="CV350" i="1"/>
  <c r="CQ350" i="1"/>
  <c r="CH350" i="1"/>
  <c r="CG350" i="1"/>
  <c r="CF350" i="1"/>
  <c r="CE350" i="1"/>
  <c r="CD350" i="1"/>
  <c r="CC350" i="1"/>
  <c r="CB350" i="1"/>
  <c r="CA350" i="1"/>
  <c r="CI350" i="1" s="1"/>
  <c r="BX350" i="1"/>
  <c r="BW350" i="1"/>
  <c r="BV350" i="1"/>
  <c r="BU350" i="1"/>
  <c r="BT350" i="1"/>
  <c r="BS350" i="1"/>
  <c r="BI350" i="1"/>
  <c r="CO350" i="1" s="1"/>
  <c r="BB350" i="1"/>
  <c r="AR350" i="1"/>
  <c r="AD350" i="1"/>
  <c r="CP350" i="1" s="1"/>
  <c r="W350" i="1"/>
  <c r="M350" i="1"/>
  <c r="G350" i="1"/>
  <c r="E350" i="1"/>
  <c r="DA349" i="1"/>
  <c r="CZ349" i="1"/>
  <c r="CY349" i="1"/>
  <c r="CW349" i="1"/>
  <c r="CV349" i="1"/>
  <c r="BW349" i="1"/>
  <c r="BV349" i="1"/>
  <c r="BU349" i="1"/>
  <c r="BT349" i="1"/>
  <c r="BI349" i="1"/>
  <c r="BB349" i="1"/>
  <c r="AR349" i="1"/>
  <c r="Y349" i="1"/>
  <c r="CE349" i="1" s="1"/>
  <c r="W349" i="1"/>
  <c r="M349" i="1"/>
  <c r="G349" i="1"/>
  <c r="F349" i="1"/>
  <c r="E349" i="1"/>
  <c r="DA348" i="1"/>
  <c r="CZ348" i="1"/>
  <c r="CY348" i="1"/>
  <c r="CW348" i="1"/>
  <c r="CV348" i="1"/>
  <c r="BW348" i="1"/>
  <c r="BV348" i="1"/>
  <c r="BU348" i="1"/>
  <c r="BT348" i="1"/>
  <c r="BI348" i="1"/>
  <c r="BB348" i="1"/>
  <c r="AR348" i="1"/>
  <c r="Y348" i="1"/>
  <c r="CE348" i="1" s="1"/>
  <c r="W348" i="1"/>
  <c r="M348" i="1"/>
  <c r="G348" i="1"/>
  <c r="F348" i="1"/>
  <c r="E348" i="1"/>
  <c r="DA347" i="1"/>
  <c r="CZ347" i="1"/>
  <c r="CY347" i="1"/>
  <c r="CW347" i="1"/>
  <c r="CV347" i="1"/>
  <c r="BW347" i="1"/>
  <c r="BV347" i="1"/>
  <c r="BU347" i="1"/>
  <c r="BT347" i="1"/>
  <c r="BI347" i="1"/>
  <c r="BB347" i="1"/>
  <c r="AR347" i="1"/>
  <c r="Y347" i="1"/>
  <c r="CE347" i="1" s="1"/>
  <c r="W347" i="1"/>
  <c r="M347" i="1"/>
  <c r="G347" i="1"/>
  <c r="F347" i="1"/>
  <c r="E347" i="1"/>
  <c r="DA346" i="1"/>
  <c r="CZ346" i="1"/>
  <c r="CY346" i="1"/>
  <c r="CW346" i="1"/>
  <c r="CV346" i="1"/>
  <c r="BW346" i="1"/>
  <c r="BV346" i="1"/>
  <c r="BU346" i="1"/>
  <c r="BT346" i="1"/>
  <c r="BI346" i="1"/>
  <c r="BB346" i="1"/>
  <c r="AR346" i="1"/>
  <c r="Y346" i="1"/>
  <c r="CE346" i="1" s="1"/>
  <c r="W346" i="1"/>
  <c r="M346" i="1"/>
  <c r="G346" i="1"/>
  <c r="F346" i="1"/>
  <c r="E346" i="1"/>
  <c r="DA345" i="1"/>
  <c r="CZ345" i="1"/>
  <c r="CY345" i="1"/>
  <c r="CW345" i="1"/>
  <c r="CV345" i="1"/>
  <c r="CB345" i="1"/>
  <c r="BW345" i="1"/>
  <c r="BV345" i="1"/>
  <c r="BU345" i="1"/>
  <c r="BT345" i="1"/>
  <c r="BI345" i="1"/>
  <c r="BB345" i="1"/>
  <c r="AR345" i="1"/>
  <c r="Y345" i="1"/>
  <c r="CE345" i="1" s="1"/>
  <c r="W345" i="1"/>
  <c r="M345" i="1"/>
  <c r="G345" i="1"/>
  <c r="F345" i="1"/>
  <c r="E345" i="1"/>
  <c r="DA344" i="1"/>
  <c r="CZ344" i="1"/>
  <c r="CY344" i="1"/>
  <c r="CW344" i="1"/>
  <c r="CV344" i="1"/>
  <c r="CC344" i="1"/>
  <c r="CB344" i="1"/>
  <c r="CA344" i="1"/>
  <c r="BW344" i="1"/>
  <c r="BV344" i="1"/>
  <c r="BU344" i="1"/>
  <c r="BT344" i="1"/>
  <c r="BS344" i="1"/>
  <c r="BI344" i="1"/>
  <c r="BB344" i="1"/>
  <c r="AR344" i="1"/>
  <c r="Y344" i="1"/>
  <c r="CE344" i="1" s="1"/>
  <c r="W344" i="1"/>
  <c r="M344" i="1"/>
  <c r="G344" i="1"/>
  <c r="F344" i="1"/>
  <c r="E344" i="1"/>
  <c r="DA343" i="1"/>
  <c r="CZ343" i="1"/>
  <c r="CY343" i="1"/>
  <c r="CW343" i="1"/>
  <c r="CV343" i="1"/>
  <c r="CC343" i="1"/>
  <c r="CB343" i="1"/>
  <c r="CA343" i="1"/>
  <c r="BW343" i="1"/>
  <c r="BV343" i="1"/>
  <c r="BU343" i="1"/>
  <c r="BT343" i="1"/>
  <c r="BS343" i="1"/>
  <c r="BI343" i="1"/>
  <c r="BB343" i="1"/>
  <c r="AR343" i="1"/>
  <c r="Y343" i="1"/>
  <c r="CE343" i="1" s="1"/>
  <c r="W343" i="1"/>
  <c r="M343" i="1"/>
  <c r="G343" i="1"/>
  <c r="F343" i="1"/>
  <c r="E343" i="1"/>
  <c r="DA342" i="1"/>
  <c r="CZ342" i="1"/>
  <c r="CY342" i="1"/>
  <c r="CW342" i="1"/>
  <c r="CV342" i="1"/>
  <c r="CC342" i="1"/>
  <c r="CB342" i="1"/>
  <c r="CA342" i="1"/>
  <c r="BW342" i="1"/>
  <c r="BV342" i="1"/>
  <c r="BU342" i="1"/>
  <c r="BT342" i="1"/>
  <c r="BS342" i="1"/>
  <c r="BI342" i="1"/>
  <c r="BB342" i="1"/>
  <c r="AR342" i="1"/>
  <c r="Y342" i="1"/>
  <c r="CE342" i="1" s="1"/>
  <c r="W342" i="1"/>
  <c r="M342" i="1"/>
  <c r="G342" i="1"/>
  <c r="F342" i="1"/>
  <c r="E342" i="1"/>
  <c r="DA341" i="1"/>
  <c r="CZ341" i="1"/>
  <c r="CY341" i="1"/>
  <c r="CW341" i="1"/>
  <c r="CV341" i="1"/>
  <c r="CC341" i="1"/>
  <c r="CB341" i="1"/>
  <c r="CA341" i="1"/>
  <c r="BW341" i="1"/>
  <c r="BV341" i="1"/>
  <c r="BU341" i="1"/>
  <c r="BT341" i="1"/>
  <c r="BS341" i="1"/>
  <c r="BI341" i="1"/>
  <c r="BB341" i="1"/>
  <c r="AR341" i="1"/>
  <c r="Y341" i="1"/>
  <c r="CE341" i="1" s="1"/>
  <c r="W341" i="1"/>
  <c r="M341" i="1"/>
  <c r="G341" i="1"/>
  <c r="F341" i="1"/>
  <c r="E341" i="1"/>
  <c r="DA340" i="1"/>
  <c r="CZ340" i="1"/>
  <c r="CY340" i="1"/>
  <c r="CW340" i="1"/>
  <c r="CV340" i="1"/>
  <c r="CC340" i="1"/>
  <c r="CB340" i="1"/>
  <c r="CA340" i="1"/>
  <c r="BW340" i="1"/>
  <c r="BV340" i="1"/>
  <c r="BU340" i="1"/>
  <c r="BT340" i="1"/>
  <c r="BS340" i="1"/>
  <c r="BI340" i="1"/>
  <c r="BB340" i="1"/>
  <c r="AR340" i="1"/>
  <c r="Y340" i="1"/>
  <c r="CE340" i="1" s="1"/>
  <c r="W340" i="1"/>
  <c r="M340" i="1"/>
  <c r="G340" i="1"/>
  <c r="F340" i="1"/>
  <c r="E340" i="1"/>
  <c r="DA339" i="1"/>
  <c r="CZ339" i="1"/>
  <c r="CY339" i="1"/>
  <c r="CW339" i="1"/>
  <c r="CV339" i="1"/>
  <c r="CC339" i="1"/>
  <c r="CB339" i="1"/>
  <c r="CA339" i="1"/>
  <c r="BW339" i="1"/>
  <c r="BV339" i="1"/>
  <c r="BU339" i="1"/>
  <c r="BT339" i="1"/>
  <c r="BS339" i="1"/>
  <c r="BI339" i="1"/>
  <c r="BB339" i="1"/>
  <c r="AR339" i="1"/>
  <c r="Y339" i="1"/>
  <c r="CE339" i="1" s="1"/>
  <c r="W339" i="1"/>
  <c r="M339" i="1"/>
  <c r="G339" i="1"/>
  <c r="F339" i="1"/>
  <c r="E339" i="1"/>
  <c r="DA338" i="1"/>
  <c r="CZ338" i="1"/>
  <c r="CY338" i="1"/>
  <c r="BW338" i="1"/>
  <c r="BV338" i="1"/>
  <c r="BU338" i="1"/>
  <c r="BT338" i="1"/>
  <c r="BM338" i="1"/>
  <c r="BL338" i="1"/>
  <c r="BI338" i="1"/>
  <c r="BB338" i="1"/>
  <c r="AR338" i="1"/>
  <c r="AH338" i="1"/>
  <c r="CW338" i="1" s="1"/>
  <c r="AG338" i="1"/>
  <c r="CV338" i="1" s="1"/>
  <c r="Y338" i="1"/>
  <c r="CE338" i="1" s="1"/>
  <c r="W338" i="1"/>
  <c r="M338" i="1"/>
  <c r="G338" i="1"/>
  <c r="F338" i="1"/>
  <c r="E338" i="1"/>
  <c r="DA337" i="1"/>
  <c r="CZ337" i="1"/>
  <c r="CY337" i="1"/>
  <c r="CW337" i="1"/>
  <c r="CV337" i="1"/>
  <c r="CO337" i="1"/>
  <c r="CH337" i="1"/>
  <c r="CG337" i="1"/>
  <c r="CF337" i="1"/>
  <c r="CE337" i="1"/>
  <c r="CD337" i="1"/>
  <c r="CC337" i="1"/>
  <c r="CB337" i="1"/>
  <c r="CA337" i="1"/>
  <c r="CI337" i="1" s="1"/>
  <c r="BW337" i="1"/>
  <c r="BV337" i="1"/>
  <c r="BU337" i="1"/>
  <c r="BT337" i="1"/>
  <c r="BS337" i="1"/>
  <c r="BI337" i="1"/>
  <c r="BB337" i="1"/>
  <c r="AR337" i="1"/>
  <c r="AD337" i="1"/>
  <c r="CR337" i="1" s="1"/>
  <c r="W337" i="1"/>
  <c r="M337" i="1"/>
  <c r="G337" i="1"/>
  <c r="F337" i="1"/>
  <c r="E337" i="1"/>
  <c r="DA336" i="1"/>
  <c r="CZ336" i="1"/>
  <c r="CY336" i="1"/>
  <c r="CW336" i="1"/>
  <c r="CV336" i="1"/>
  <c r="CR336" i="1"/>
  <c r="CO336" i="1"/>
  <c r="CN336" i="1"/>
  <c r="CM336" i="1"/>
  <c r="CL336" i="1"/>
  <c r="CH336" i="1"/>
  <c r="CG336" i="1"/>
  <c r="CF336" i="1"/>
  <c r="CE336" i="1"/>
  <c r="CD336" i="1"/>
  <c r="CC336" i="1"/>
  <c r="CB336" i="1"/>
  <c r="CA336" i="1"/>
  <c r="CI336" i="1" s="1"/>
  <c r="BW336" i="1"/>
  <c r="BV336" i="1"/>
  <c r="BU336" i="1"/>
  <c r="BT336" i="1"/>
  <c r="BS336" i="1"/>
  <c r="BI336" i="1"/>
  <c r="CK336" i="1" s="1"/>
  <c r="BB336" i="1"/>
  <c r="AR336" i="1"/>
  <c r="AD336" i="1"/>
  <c r="CQ336" i="1" s="1"/>
  <c r="W336" i="1"/>
  <c r="M336" i="1"/>
  <c r="G336" i="1"/>
  <c r="F336" i="1"/>
  <c r="E336" i="1"/>
  <c r="DA335" i="1"/>
  <c r="CZ335" i="1"/>
  <c r="CY335" i="1"/>
  <c r="CW335" i="1"/>
  <c r="CV335" i="1"/>
  <c r="CQ335" i="1"/>
  <c r="CN335" i="1"/>
  <c r="CM335" i="1"/>
  <c r="CL335" i="1"/>
  <c r="CH335" i="1"/>
  <c r="CG335" i="1"/>
  <c r="CF335" i="1"/>
  <c r="CE335" i="1"/>
  <c r="CD335" i="1"/>
  <c r="CC335" i="1"/>
  <c r="CB335" i="1"/>
  <c r="CA335" i="1"/>
  <c r="CI335" i="1" s="1"/>
  <c r="BX335" i="1"/>
  <c r="BW335" i="1"/>
  <c r="BV335" i="1"/>
  <c r="BU335" i="1"/>
  <c r="BT335" i="1"/>
  <c r="BS335" i="1"/>
  <c r="BI335" i="1"/>
  <c r="CO335" i="1" s="1"/>
  <c r="BB335" i="1"/>
  <c r="AR335" i="1"/>
  <c r="AD335" i="1"/>
  <c r="CP335" i="1" s="1"/>
  <c r="W335" i="1"/>
  <c r="M335" i="1"/>
  <c r="G335" i="1"/>
  <c r="F335" i="1"/>
  <c r="E335" i="1"/>
  <c r="DA334" i="1"/>
  <c r="CZ334" i="1"/>
  <c r="CY334" i="1"/>
  <c r="CW334" i="1"/>
  <c r="CV334" i="1"/>
  <c r="CH334" i="1"/>
  <c r="CG334" i="1"/>
  <c r="CF334" i="1"/>
  <c r="CE334" i="1"/>
  <c r="CD334" i="1"/>
  <c r="CC334" i="1"/>
  <c r="CB334" i="1"/>
  <c r="CA334" i="1"/>
  <c r="CI334" i="1" s="1"/>
  <c r="BW334" i="1"/>
  <c r="BV334" i="1"/>
  <c r="BU334" i="1"/>
  <c r="BT334" i="1"/>
  <c r="BS334" i="1"/>
  <c r="BI334" i="1"/>
  <c r="CM334" i="1" s="1"/>
  <c r="BB334" i="1"/>
  <c r="AR334" i="1"/>
  <c r="AD334" i="1"/>
  <c r="CO334" i="1" s="1"/>
  <c r="W334" i="1"/>
  <c r="M334" i="1"/>
  <c r="G334" i="1"/>
  <c r="F334" i="1"/>
  <c r="E334" i="1"/>
  <c r="DA333" i="1"/>
  <c r="CZ333" i="1"/>
  <c r="CY333" i="1"/>
  <c r="CW333" i="1"/>
  <c r="CV333" i="1"/>
  <c r="CR333" i="1"/>
  <c r="CH333" i="1"/>
  <c r="CG333" i="1"/>
  <c r="CF333" i="1"/>
  <c r="CE333" i="1"/>
  <c r="CD333" i="1"/>
  <c r="CC333" i="1"/>
  <c r="CB333" i="1"/>
  <c r="CA333" i="1"/>
  <c r="CI333" i="1" s="1"/>
  <c r="BW333" i="1"/>
  <c r="BV333" i="1"/>
  <c r="BU333" i="1"/>
  <c r="BT333" i="1"/>
  <c r="BS333" i="1"/>
  <c r="BI333" i="1"/>
  <c r="CL333" i="1" s="1"/>
  <c r="BB333" i="1"/>
  <c r="AR333" i="1"/>
  <c r="AD333" i="1"/>
  <c r="CN333" i="1" s="1"/>
  <c r="W333" i="1"/>
  <c r="M333" i="1"/>
  <c r="G333" i="1"/>
  <c r="F333" i="1"/>
  <c r="E333" i="1"/>
  <c r="DA332" i="1"/>
  <c r="CZ332" i="1"/>
  <c r="CY332" i="1"/>
  <c r="CW332" i="1"/>
  <c r="CV332" i="1"/>
  <c r="CR332" i="1"/>
  <c r="CQ332" i="1"/>
  <c r="CH332" i="1"/>
  <c r="CG332" i="1"/>
  <c r="CF332" i="1"/>
  <c r="CE332" i="1"/>
  <c r="CD332" i="1"/>
  <c r="CC332" i="1"/>
  <c r="CB332" i="1"/>
  <c r="CA332" i="1"/>
  <c r="CI332" i="1" s="1"/>
  <c r="BX332" i="1"/>
  <c r="BW332" i="1"/>
  <c r="BV332" i="1"/>
  <c r="BU332" i="1"/>
  <c r="BT332" i="1"/>
  <c r="BS332" i="1"/>
  <c r="BI332" i="1"/>
  <c r="CK332" i="1" s="1"/>
  <c r="BB332" i="1"/>
  <c r="AR332" i="1"/>
  <c r="AD332" i="1"/>
  <c r="CM332" i="1" s="1"/>
  <c r="W332" i="1"/>
  <c r="M332" i="1"/>
  <c r="G332" i="1"/>
  <c r="F332" i="1"/>
  <c r="E332" i="1"/>
  <c r="DA331" i="1"/>
  <c r="CZ331" i="1"/>
  <c r="CY331" i="1"/>
  <c r="CW331" i="1"/>
  <c r="CV331" i="1"/>
  <c r="CQ331" i="1"/>
  <c r="CH331" i="1"/>
  <c r="CG331" i="1"/>
  <c r="CF331" i="1"/>
  <c r="CE331" i="1"/>
  <c r="CD331" i="1"/>
  <c r="CC331" i="1"/>
  <c r="CB331" i="1"/>
  <c r="CA331" i="1"/>
  <c r="CI331" i="1" s="1"/>
  <c r="BX331" i="1"/>
  <c r="BW331" i="1"/>
  <c r="BV331" i="1"/>
  <c r="BU331" i="1"/>
  <c r="BT331" i="1"/>
  <c r="BS331" i="1"/>
  <c r="BI331" i="1"/>
  <c r="BB331" i="1"/>
  <c r="AR331" i="1"/>
  <c r="AD331" i="1"/>
  <c r="CL331" i="1" s="1"/>
  <c r="W331" i="1"/>
  <c r="M331" i="1"/>
  <c r="G331" i="1"/>
  <c r="F331" i="1"/>
  <c r="E331" i="1"/>
  <c r="DA330" i="1"/>
  <c r="CZ330" i="1"/>
  <c r="CY330" i="1"/>
  <c r="CW330" i="1"/>
  <c r="CV330" i="1"/>
  <c r="CH330" i="1"/>
  <c r="CG330" i="1"/>
  <c r="CF330" i="1"/>
  <c r="CE330" i="1"/>
  <c r="CD330" i="1"/>
  <c r="CC330" i="1"/>
  <c r="CB330" i="1"/>
  <c r="CA330" i="1"/>
  <c r="CI330" i="1" s="1"/>
  <c r="BW330" i="1"/>
  <c r="BV330" i="1"/>
  <c r="BU330" i="1"/>
  <c r="BT330" i="1"/>
  <c r="BS330" i="1"/>
  <c r="BI330" i="1"/>
  <c r="BB330" i="1"/>
  <c r="AR330" i="1"/>
  <c r="AD330" i="1"/>
  <c r="CK330" i="1" s="1"/>
  <c r="W330" i="1"/>
  <c r="M330" i="1"/>
  <c r="G330" i="1"/>
  <c r="F330" i="1"/>
  <c r="E330" i="1"/>
  <c r="DA329" i="1"/>
  <c r="CZ329" i="1"/>
  <c r="CY329" i="1"/>
  <c r="CW329" i="1"/>
  <c r="CV329" i="1"/>
  <c r="CO329" i="1"/>
  <c r="CN329" i="1"/>
  <c r="CH329" i="1"/>
  <c r="CG329" i="1"/>
  <c r="CF329" i="1"/>
  <c r="CE329" i="1"/>
  <c r="CD329" i="1"/>
  <c r="CC329" i="1"/>
  <c r="CB329" i="1"/>
  <c r="CA329" i="1"/>
  <c r="CI329" i="1" s="1"/>
  <c r="BW329" i="1"/>
  <c r="BV329" i="1"/>
  <c r="BU329" i="1"/>
  <c r="BT329" i="1"/>
  <c r="BS329" i="1"/>
  <c r="BI329" i="1"/>
  <c r="BB329" i="1"/>
  <c r="AR329" i="1"/>
  <c r="AD329" i="1"/>
  <c r="CR329" i="1" s="1"/>
  <c r="W329" i="1"/>
  <c r="M329" i="1"/>
  <c r="G329" i="1"/>
  <c r="F329" i="1"/>
  <c r="E329" i="1"/>
  <c r="DA328" i="1"/>
  <c r="CZ328" i="1"/>
  <c r="CY328" i="1"/>
  <c r="CW328" i="1"/>
  <c r="CV328" i="1"/>
  <c r="CR328" i="1"/>
  <c r="CO328" i="1"/>
  <c r="CN328" i="1"/>
  <c r="CM328" i="1"/>
  <c r="CL328" i="1"/>
  <c r="CH328" i="1"/>
  <c r="CG328" i="1"/>
  <c r="CF328" i="1"/>
  <c r="CE328" i="1"/>
  <c r="CD328" i="1"/>
  <c r="CC328" i="1"/>
  <c r="CB328" i="1"/>
  <c r="CA328" i="1"/>
  <c r="CI328" i="1" s="1"/>
  <c r="BW328" i="1"/>
  <c r="BV328" i="1"/>
  <c r="BU328" i="1"/>
  <c r="BT328" i="1"/>
  <c r="BS328" i="1"/>
  <c r="BI328" i="1"/>
  <c r="BB328" i="1"/>
  <c r="AR328" i="1"/>
  <c r="AD328" i="1"/>
  <c r="CQ328" i="1" s="1"/>
  <c r="W328" i="1"/>
  <c r="M328" i="1"/>
  <c r="G328" i="1"/>
  <c r="F328" i="1"/>
  <c r="E328" i="1"/>
  <c r="DA327" i="1"/>
  <c r="CZ327" i="1"/>
  <c r="CY327" i="1"/>
  <c r="CW327" i="1"/>
  <c r="CV327" i="1"/>
  <c r="CQ327" i="1"/>
  <c r="CN327" i="1"/>
  <c r="CM327" i="1"/>
  <c r="CL327" i="1"/>
  <c r="CH327" i="1"/>
  <c r="CG327" i="1"/>
  <c r="CF327" i="1"/>
  <c r="CE327" i="1"/>
  <c r="CD327" i="1"/>
  <c r="CC327" i="1"/>
  <c r="CB327" i="1"/>
  <c r="CA327" i="1"/>
  <c r="CI327" i="1" s="1"/>
  <c r="BX327" i="1"/>
  <c r="BW327" i="1"/>
  <c r="BV327" i="1"/>
  <c r="BU327" i="1"/>
  <c r="BT327" i="1"/>
  <c r="BS327" i="1"/>
  <c r="BI327" i="1"/>
  <c r="CO327" i="1" s="1"/>
  <c r="BB327" i="1"/>
  <c r="AR327" i="1"/>
  <c r="AD327" i="1"/>
  <c r="CP327" i="1" s="1"/>
  <c r="W327" i="1"/>
  <c r="M327" i="1"/>
  <c r="G327" i="1"/>
  <c r="F327" i="1"/>
  <c r="E327" i="1"/>
  <c r="DA326" i="1"/>
  <c r="CZ326" i="1"/>
  <c r="CY326" i="1"/>
  <c r="CV326" i="1"/>
  <c r="CH326" i="1"/>
  <c r="CG326" i="1"/>
  <c r="CF326" i="1"/>
  <c r="CE326" i="1"/>
  <c r="CD326" i="1"/>
  <c r="CC326" i="1"/>
  <c r="CB326" i="1"/>
  <c r="CA326" i="1"/>
  <c r="CI326" i="1" s="1"/>
  <c r="BW326" i="1"/>
  <c r="BV326" i="1"/>
  <c r="BU326" i="1"/>
  <c r="BT326" i="1"/>
  <c r="BS326" i="1"/>
  <c r="BI326" i="1"/>
  <c r="CM326" i="1" s="1"/>
  <c r="BB326" i="1"/>
  <c r="AR326" i="1"/>
  <c r="AH326" i="1"/>
  <c r="CW326" i="1" s="1"/>
  <c r="AG326" i="1"/>
  <c r="AD326" i="1"/>
  <c r="CO326" i="1" s="1"/>
  <c r="W326" i="1"/>
  <c r="M326" i="1"/>
  <c r="G326" i="1"/>
  <c r="F326" i="1"/>
  <c r="E326" i="1"/>
  <c r="DA325" i="1"/>
  <c r="CZ325" i="1"/>
  <c r="CY325" i="1"/>
  <c r="CW325" i="1"/>
  <c r="CV325" i="1"/>
  <c r="CN325" i="1"/>
  <c r="CM325" i="1"/>
  <c r="CL325" i="1"/>
  <c r="CH325" i="1"/>
  <c r="CG325" i="1"/>
  <c r="CF325" i="1"/>
  <c r="CE325" i="1"/>
  <c r="CD325" i="1"/>
  <c r="CC325" i="1"/>
  <c r="CB325" i="1"/>
  <c r="CA325" i="1"/>
  <c r="CI325" i="1" s="1"/>
  <c r="BW325" i="1"/>
  <c r="BV325" i="1"/>
  <c r="BU325" i="1"/>
  <c r="BT325" i="1"/>
  <c r="BS325" i="1"/>
  <c r="BI325" i="1"/>
  <c r="CO325" i="1" s="1"/>
  <c r="BB325" i="1"/>
  <c r="AR325" i="1"/>
  <c r="AD325" i="1"/>
  <c r="CP325" i="1" s="1"/>
  <c r="W325" i="1"/>
  <c r="M325" i="1"/>
  <c r="G325" i="1"/>
  <c r="F325" i="1"/>
  <c r="E325" i="1"/>
  <c r="DA324" i="1"/>
  <c r="CZ324" i="1"/>
  <c r="CY324" i="1"/>
  <c r="CW324" i="1"/>
  <c r="CV324" i="1"/>
  <c r="CH324" i="1"/>
  <c r="CG324" i="1"/>
  <c r="CF324" i="1"/>
  <c r="CE324" i="1"/>
  <c r="CD324" i="1"/>
  <c r="CC324" i="1"/>
  <c r="CB324" i="1"/>
  <c r="CA324" i="1"/>
  <c r="CI324" i="1" s="1"/>
  <c r="BW324" i="1"/>
  <c r="BV324" i="1"/>
  <c r="BU324" i="1"/>
  <c r="BT324" i="1"/>
  <c r="BS324" i="1"/>
  <c r="BI324" i="1"/>
  <c r="CM324" i="1" s="1"/>
  <c r="BB324" i="1"/>
  <c r="AR324" i="1"/>
  <c r="AD324" i="1"/>
  <c r="CO324" i="1" s="1"/>
  <c r="W324" i="1"/>
  <c r="M324" i="1"/>
  <c r="G324" i="1"/>
  <c r="F324" i="1"/>
  <c r="E324" i="1"/>
  <c r="DA323" i="1"/>
  <c r="CZ323" i="1"/>
  <c r="CY323" i="1"/>
  <c r="CW323" i="1"/>
  <c r="CV323" i="1"/>
  <c r="CR323" i="1"/>
  <c r="CH323" i="1"/>
  <c r="CG323" i="1"/>
  <c r="CF323" i="1"/>
  <c r="CE323" i="1"/>
  <c r="CD323" i="1"/>
  <c r="CC323" i="1"/>
  <c r="CB323" i="1"/>
  <c r="CA323" i="1"/>
  <c r="CI323" i="1" s="1"/>
  <c r="BW323" i="1"/>
  <c r="BV323" i="1"/>
  <c r="BU323" i="1"/>
  <c r="BT323" i="1"/>
  <c r="BS323" i="1"/>
  <c r="BI323" i="1"/>
  <c r="CL323" i="1" s="1"/>
  <c r="BB323" i="1"/>
  <c r="AR323" i="1"/>
  <c r="AD323" i="1"/>
  <c r="CN323" i="1" s="1"/>
  <c r="W323" i="1"/>
  <c r="M323" i="1"/>
  <c r="G323" i="1"/>
  <c r="F323" i="1"/>
  <c r="E323" i="1"/>
  <c r="DA322" i="1"/>
  <c r="CZ322" i="1"/>
  <c r="CY322" i="1"/>
  <c r="CW322" i="1"/>
  <c r="CV322" i="1"/>
  <c r="CR322" i="1"/>
  <c r="CQ322" i="1"/>
  <c r="CH322" i="1"/>
  <c r="CG322" i="1"/>
  <c r="CF322" i="1"/>
  <c r="CE322" i="1"/>
  <c r="CD322" i="1"/>
  <c r="CC322" i="1"/>
  <c r="CB322" i="1"/>
  <c r="CA322" i="1"/>
  <c r="CI322" i="1" s="1"/>
  <c r="BX322" i="1"/>
  <c r="BW322" i="1"/>
  <c r="BV322" i="1"/>
  <c r="BU322" i="1"/>
  <c r="BT322" i="1"/>
  <c r="BS322" i="1"/>
  <c r="BI322" i="1"/>
  <c r="CK322" i="1" s="1"/>
  <c r="BB322" i="1"/>
  <c r="AR322" i="1"/>
  <c r="AD322" i="1"/>
  <c r="CM322" i="1" s="1"/>
  <c r="W322" i="1"/>
  <c r="M322" i="1"/>
  <c r="G322" i="1"/>
  <c r="F322" i="1"/>
  <c r="E322" i="1"/>
  <c r="DA321" i="1"/>
  <c r="CZ321" i="1"/>
  <c r="CY321" i="1"/>
  <c r="CW321" i="1"/>
  <c r="CV321" i="1"/>
  <c r="CH321" i="1"/>
  <c r="CG321" i="1"/>
  <c r="CF321" i="1"/>
  <c r="CE321" i="1"/>
  <c r="CD321" i="1"/>
  <c r="CC321" i="1"/>
  <c r="CB321" i="1"/>
  <c r="CA321" i="1"/>
  <c r="CI321" i="1" s="1"/>
  <c r="BW321" i="1"/>
  <c r="BV321" i="1"/>
  <c r="BU321" i="1"/>
  <c r="BT321" i="1"/>
  <c r="BS321" i="1"/>
  <c r="BI321" i="1"/>
  <c r="BB321" i="1"/>
  <c r="AR321" i="1"/>
  <c r="AD321" i="1"/>
  <c r="CL321" i="1" s="1"/>
  <c r="W321" i="1"/>
  <c r="M321" i="1"/>
  <c r="G321" i="1"/>
  <c r="F321" i="1"/>
  <c r="E321" i="1"/>
  <c r="DA320" i="1"/>
  <c r="CZ320" i="1"/>
  <c r="CY320" i="1"/>
  <c r="CW320" i="1"/>
  <c r="CV320" i="1"/>
  <c r="CO320" i="1"/>
  <c r="CH320" i="1"/>
  <c r="CG320" i="1"/>
  <c r="CF320" i="1"/>
  <c r="CE320" i="1"/>
  <c r="CD320" i="1"/>
  <c r="CC320" i="1"/>
  <c r="CB320" i="1"/>
  <c r="CA320" i="1"/>
  <c r="CI320" i="1" s="1"/>
  <c r="BW320" i="1"/>
  <c r="BV320" i="1"/>
  <c r="BU320" i="1"/>
  <c r="BT320" i="1"/>
  <c r="BS320" i="1"/>
  <c r="BI320" i="1"/>
  <c r="BB320" i="1"/>
  <c r="AR320" i="1"/>
  <c r="AD320" i="1"/>
  <c r="CK320" i="1" s="1"/>
  <c r="W320" i="1"/>
  <c r="M320" i="1"/>
  <c r="G320" i="1"/>
  <c r="F320" i="1"/>
  <c r="E320" i="1"/>
  <c r="DA319" i="1"/>
  <c r="CZ319" i="1"/>
  <c r="CY319" i="1"/>
  <c r="CW319" i="1"/>
  <c r="CV319" i="1"/>
  <c r="CO319" i="1"/>
  <c r="CN319" i="1"/>
  <c r="CH319" i="1"/>
  <c r="CG319" i="1"/>
  <c r="CF319" i="1"/>
  <c r="CE319" i="1"/>
  <c r="CD319" i="1"/>
  <c r="CC319" i="1"/>
  <c r="CB319" i="1"/>
  <c r="CA319" i="1"/>
  <c r="CI319" i="1" s="1"/>
  <c r="BW319" i="1"/>
  <c r="BV319" i="1"/>
  <c r="BU319" i="1"/>
  <c r="BT319" i="1"/>
  <c r="BS319" i="1"/>
  <c r="BI319" i="1"/>
  <c r="BB319" i="1"/>
  <c r="AR319" i="1"/>
  <c r="AD319" i="1"/>
  <c r="CR319" i="1" s="1"/>
  <c r="W319" i="1"/>
  <c r="M319" i="1"/>
  <c r="G319" i="1"/>
  <c r="F319" i="1"/>
  <c r="E319" i="1"/>
  <c r="DA318" i="1"/>
  <c r="CZ318" i="1"/>
  <c r="CY318" i="1"/>
  <c r="CW318" i="1"/>
  <c r="CV318" i="1"/>
  <c r="CR318" i="1"/>
  <c r="CO318" i="1"/>
  <c r="CN318" i="1"/>
  <c r="CM318" i="1"/>
  <c r="CL318" i="1"/>
  <c r="CH318" i="1"/>
  <c r="CG318" i="1"/>
  <c r="CF318" i="1"/>
  <c r="CE318" i="1"/>
  <c r="CD318" i="1"/>
  <c r="CC318" i="1"/>
  <c r="CB318" i="1"/>
  <c r="CA318" i="1"/>
  <c r="CI318" i="1" s="1"/>
  <c r="BW318" i="1"/>
  <c r="BV318" i="1"/>
  <c r="BU318" i="1"/>
  <c r="BT318" i="1"/>
  <c r="BS318" i="1"/>
  <c r="BI318" i="1"/>
  <c r="CK318" i="1" s="1"/>
  <c r="BB318" i="1"/>
  <c r="AR318" i="1"/>
  <c r="AD318" i="1"/>
  <c r="CQ318" i="1" s="1"/>
  <c r="W318" i="1"/>
  <c r="M318" i="1"/>
  <c r="G318" i="1"/>
  <c r="F318" i="1"/>
  <c r="E318" i="1"/>
  <c r="DA317" i="1"/>
  <c r="CZ317" i="1"/>
  <c r="CY317" i="1"/>
  <c r="CW317" i="1"/>
  <c r="CV317" i="1"/>
  <c r="CN317" i="1"/>
  <c r="CM317" i="1"/>
  <c r="CL317" i="1"/>
  <c r="CH317" i="1"/>
  <c r="CG317" i="1"/>
  <c r="CF317" i="1"/>
  <c r="CE317" i="1"/>
  <c r="CD317" i="1"/>
  <c r="CC317" i="1"/>
  <c r="CB317" i="1"/>
  <c r="CA317" i="1"/>
  <c r="CI317" i="1" s="1"/>
  <c r="BW317" i="1"/>
  <c r="BV317" i="1"/>
  <c r="BU317" i="1"/>
  <c r="BT317" i="1"/>
  <c r="BS317" i="1"/>
  <c r="BI317" i="1"/>
  <c r="CO317" i="1" s="1"/>
  <c r="BB317" i="1"/>
  <c r="AR317" i="1"/>
  <c r="AD317" i="1"/>
  <c r="CP317" i="1" s="1"/>
  <c r="W317" i="1"/>
  <c r="M317" i="1"/>
  <c r="G317" i="1"/>
  <c r="F317" i="1"/>
  <c r="E317" i="1"/>
  <c r="DA316" i="1"/>
  <c r="CZ316" i="1"/>
  <c r="CY316" i="1"/>
  <c r="CW316" i="1"/>
  <c r="CV316" i="1"/>
  <c r="CH316" i="1"/>
  <c r="CG316" i="1"/>
  <c r="CF316" i="1"/>
  <c r="CE316" i="1"/>
  <c r="CD316" i="1"/>
  <c r="CC316" i="1"/>
  <c r="CB316" i="1"/>
  <c r="CA316" i="1"/>
  <c r="CI316" i="1" s="1"/>
  <c r="BW316" i="1"/>
  <c r="BV316" i="1"/>
  <c r="BU316" i="1"/>
  <c r="BT316" i="1"/>
  <c r="BS316" i="1"/>
  <c r="BI316" i="1"/>
  <c r="CM316" i="1" s="1"/>
  <c r="BB316" i="1"/>
  <c r="AR316" i="1"/>
  <c r="AD316" i="1"/>
  <c r="CO316" i="1" s="1"/>
  <c r="W316" i="1"/>
  <c r="M316" i="1"/>
  <c r="G316" i="1"/>
  <c r="F316" i="1"/>
  <c r="E316" i="1"/>
  <c r="DA315" i="1"/>
  <c r="CZ315" i="1"/>
  <c r="CY315" i="1"/>
  <c r="CW315" i="1"/>
  <c r="CV315" i="1"/>
  <c r="CR315" i="1"/>
  <c r="CH315" i="1"/>
  <c r="CG315" i="1"/>
  <c r="CF315" i="1"/>
  <c r="CE315" i="1"/>
  <c r="CD315" i="1"/>
  <c r="CC315" i="1"/>
  <c r="CB315" i="1"/>
  <c r="CA315" i="1"/>
  <c r="CI315" i="1" s="1"/>
  <c r="BW315" i="1"/>
  <c r="BV315" i="1"/>
  <c r="BU315" i="1"/>
  <c r="BT315" i="1"/>
  <c r="BS315" i="1"/>
  <c r="BI315" i="1"/>
  <c r="CL315" i="1" s="1"/>
  <c r="BB315" i="1"/>
  <c r="AR315" i="1"/>
  <c r="AD315" i="1"/>
  <c r="CN315" i="1" s="1"/>
  <c r="W315" i="1"/>
  <c r="M315" i="1"/>
  <c r="G315" i="1"/>
  <c r="F315" i="1"/>
  <c r="E315" i="1"/>
  <c r="DA314" i="1"/>
  <c r="CZ314" i="1"/>
  <c r="CY314" i="1"/>
  <c r="CW314" i="1"/>
  <c r="CV314" i="1"/>
  <c r="CR314" i="1"/>
  <c r="CQ314" i="1"/>
  <c r="CH314" i="1"/>
  <c r="CG314" i="1"/>
  <c r="CF314" i="1"/>
  <c r="CE314" i="1"/>
  <c r="CD314" i="1"/>
  <c r="CC314" i="1"/>
  <c r="CB314" i="1"/>
  <c r="CA314" i="1"/>
  <c r="CI314" i="1" s="1"/>
  <c r="BX314" i="1"/>
  <c r="BW314" i="1"/>
  <c r="BV314" i="1"/>
  <c r="BU314" i="1"/>
  <c r="BT314" i="1"/>
  <c r="BS314" i="1"/>
  <c r="BI314" i="1"/>
  <c r="CK314" i="1" s="1"/>
  <c r="BB314" i="1"/>
  <c r="AR314" i="1"/>
  <c r="AD314" i="1"/>
  <c r="CM314" i="1" s="1"/>
  <c r="W314" i="1"/>
  <c r="M314" i="1"/>
  <c r="G314" i="1"/>
  <c r="F314" i="1"/>
  <c r="E314" i="1"/>
  <c r="DA313" i="1"/>
  <c r="CZ313" i="1"/>
  <c r="CY313" i="1"/>
  <c r="CW313" i="1"/>
  <c r="CV313" i="1"/>
  <c r="CO313" i="1"/>
  <c r="CH313" i="1"/>
  <c r="CG313" i="1"/>
  <c r="CF313" i="1"/>
  <c r="CE313" i="1"/>
  <c r="CD313" i="1"/>
  <c r="CC313" i="1"/>
  <c r="CB313" i="1"/>
  <c r="CA313" i="1"/>
  <c r="CI313" i="1" s="1"/>
  <c r="BW313" i="1"/>
  <c r="BV313" i="1"/>
  <c r="BU313" i="1"/>
  <c r="BT313" i="1"/>
  <c r="BS313" i="1"/>
  <c r="BI313" i="1"/>
  <c r="BB313" i="1"/>
  <c r="AR313" i="1"/>
  <c r="AD313" i="1"/>
  <c r="CK313" i="1" s="1"/>
  <c r="W313" i="1"/>
  <c r="M313" i="1"/>
  <c r="G313" i="1"/>
  <c r="F313" i="1"/>
  <c r="E313" i="1"/>
  <c r="DA312" i="1"/>
  <c r="CZ312" i="1"/>
  <c r="CY312" i="1"/>
  <c r="CW312" i="1"/>
  <c r="CV312" i="1"/>
  <c r="CO312" i="1"/>
  <c r="CN312" i="1"/>
  <c r="CH312" i="1"/>
  <c r="CG312" i="1"/>
  <c r="CF312" i="1"/>
  <c r="CE312" i="1"/>
  <c r="CD312" i="1"/>
  <c r="CC312" i="1"/>
  <c r="CB312" i="1"/>
  <c r="CA312" i="1"/>
  <c r="CI312" i="1" s="1"/>
  <c r="BW312" i="1"/>
  <c r="BV312" i="1"/>
  <c r="BU312" i="1"/>
  <c r="BT312" i="1"/>
  <c r="BS312" i="1"/>
  <c r="BI312" i="1"/>
  <c r="BB312" i="1"/>
  <c r="AR312" i="1"/>
  <c r="AD312" i="1"/>
  <c r="CR312" i="1" s="1"/>
  <c r="W312" i="1"/>
  <c r="M312" i="1"/>
  <c r="G312" i="1"/>
  <c r="F312" i="1"/>
  <c r="E312" i="1"/>
  <c r="DA311" i="1"/>
  <c r="CZ311" i="1"/>
  <c r="CY311" i="1"/>
  <c r="CW311" i="1"/>
  <c r="CV311" i="1"/>
  <c r="CN311" i="1"/>
  <c r="CM311" i="1"/>
  <c r="CL311" i="1"/>
  <c r="CH311" i="1"/>
  <c r="CG311" i="1"/>
  <c r="CF311" i="1"/>
  <c r="CE311" i="1"/>
  <c r="CD311" i="1"/>
  <c r="CC311" i="1"/>
  <c r="CB311" i="1"/>
  <c r="CA311" i="1"/>
  <c r="CI311" i="1" s="1"/>
  <c r="BW311" i="1"/>
  <c r="BV311" i="1"/>
  <c r="BU311" i="1"/>
  <c r="BT311" i="1"/>
  <c r="BS311" i="1"/>
  <c r="BI311" i="1"/>
  <c r="CO311" i="1" s="1"/>
  <c r="BB311" i="1"/>
  <c r="AR311" i="1"/>
  <c r="AD311" i="1"/>
  <c r="CP311" i="1" s="1"/>
  <c r="W311" i="1"/>
  <c r="M311" i="1"/>
  <c r="G311" i="1"/>
  <c r="F311" i="1"/>
  <c r="E311" i="1"/>
  <c r="DA310" i="1"/>
  <c r="CZ310" i="1"/>
  <c r="CY310" i="1"/>
  <c r="CW310" i="1"/>
  <c r="CV310" i="1"/>
  <c r="CD310" i="1"/>
  <c r="CC310" i="1"/>
  <c r="CB310" i="1"/>
  <c r="BW310" i="1"/>
  <c r="BV310" i="1"/>
  <c r="BU310" i="1"/>
  <c r="BT310" i="1"/>
  <c r="BS310" i="1"/>
  <c r="BI310" i="1"/>
  <c r="BD310" i="1"/>
  <c r="CA310" i="1" s="1"/>
  <c r="BB310" i="1"/>
  <c r="AR310" i="1"/>
  <c r="Y310" i="1"/>
  <c r="CF310" i="1" s="1"/>
  <c r="W310" i="1"/>
  <c r="M310" i="1"/>
  <c r="G310" i="1"/>
  <c r="F310" i="1"/>
  <c r="E310" i="1"/>
  <c r="DA309" i="1"/>
  <c r="CZ309" i="1"/>
  <c r="CY309" i="1"/>
  <c r="CV309" i="1"/>
  <c r="CN309" i="1"/>
  <c r="CM309" i="1"/>
  <c r="CL309" i="1"/>
  <c r="CH309" i="1"/>
  <c r="CE309" i="1"/>
  <c r="CD309" i="1"/>
  <c r="CC309" i="1"/>
  <c r="CB309" i="1"/>
  <c r="BW309" i="1"/>
  <c r="BV309" i="1"/>
  <c r="BU309" i="1"/>
  <c r="BT309" i="1"/>
  <c r="BS309" i="1"/>
  <c r="BM309" i="1"/>
  <c r="BL309" i="1"/>
  <c r="BI309" i="1"/>
  <c r="BD309" i="1"/>
  <c r="BB309" i="1"/>
  <c r="AR309" i="1"/>
  <c r="AH309" i="1"/>
  <c r="CW309" i="1" s="1"/>
  <c r="AG309" i="1"/>
  <c r="AD309" i="1"/>
  <c r="CP309" i="1" s="1"/>
  <c r="Y309" i="1"/>
  <c r="CG309" i="1" s="1"/>
  <c r="W309" i="1"/>
  <c r="M309" i="1"/>
  <c r="G309" i="1"/>
  <c r="F309" i="1"/>
  <c r="E309" i="1"/>
  <c r="DA308" i="1"/>
  <c r="CZ308" i="1"/>
  <c r="CY308" i="1"/>
  <c r="CW308" i="1"/>
  <c r="CV308" i="1"/>
  <c r="BW308" i="1"/>
  <c r="BV308" i="1"/>
  <c r="BU308" i="1"/>
  <c r="BT308" i="1"/>
  <c r="BD308" i="1"/>
  <c r="CH308" i="1" s="1"/>
  <c r="BB308" i="1"/>
  <c r="AR308" i="1"/>
  <c r="Y308" i="1"/>
  <c r="CD308" i="1" s="1"/>
  <c r="W308" i="1"/>
  <c r="M308" i="1"/>
  <c r="G308" i="1"/>
  <c r="F308" i="1"/>
  <c r="E308" i="1"/>
  <c r="DA307" i="1"/>
  <c r="CZ307" i="1"/>
  <c r="CY307" i="1"/>
  <c r="CB307" i="1"/>
  <c r="BW307" i="1"/>
  <c r="BV307" i="1"/>
  <c r="BU307" i="1"/>
  <c r="BT307" i="1"/>
  <c r="BM307" i="1"/>
  <c r="BL307" i="1"/>
  <c r="BI307" i="1"/>
  <c r="BD307" i="1"/>
  <c r="BB307" i="1"/>
  <c r="AR307" i="1"/>
  <c r="AH307" i="1"/>
  <c r="CW307" i="1" s="1"/>
  <c r="AG307" i="1"/>
  <c r="Y307" i="1"/>
  <c r="CA307" i="1" s="1"/>
  <c r="W307" i="1"/>
  <c r="M307" i="1"/>
  <c r="G307" i="1"/>
  <c r="F307" i="1"/>
  <c r="E307" i="1"/>
  <c r="DA306" i="1"/>
  <c r="CZ306" i="1"/>
  <c r="CY306" i="1"/>
  <c r="CW306" i="1"/>
  <c r="CV306" i="1"/>
  <c r="CO306" i="1"/>
  <c r="CN306" i="1"/>
  <c r="CH306" i="1"/>
  <c r="CG306" i="1"/>
  <c r="CF306" i="1"/>
  <c r="CE306" i="1"/>
  <c r="CD306" i="1"/>
  <c r="CC306" i="1"/>
  <c r="CB306" i="1"/>
  <c r="CA306" i="1"/>
  <c r="BW306" i="1"/>
  <c r="BV306" i="1"/>
  <c r="BU306" i="1"/>
  <c r="BT306" i="1"/>
  <c r="BS306" i="1"/>
  <c r="BI306" i="1"/>
  <c r="BB306" i="1"/>
  <c r="AR306" i="1"/>
  <c r="AD306" i="1"/>
  <c r="CR306" i="1" s="1"/>
  <c r="W306" i="1"/>
  <c r="M306" i="1"/>
  <c r="G306" i="1"/>
  <c r="F306" i="1"/>
  <c r="E306" i="1"/>
  <c r="DA305" i="1"/>
  <c r="CZ305" i="1"/>
  <c r="CY305" i="1"/>
  <c r="CW305" i="1"/>
  <c r="CV305" i="1"/>
  <c r="CH305" i="1"/>
  <c r="CE305" i="1"/>
  <c r="CD305" i="1"/>
  <c r="CC305" i="1"/>
  <c r="CB305" i="1"/>
  <c r="CA305" i="1"/>
  <c r="BW305" i="1"/>
  <c r="BV305" i="1"/>
  <c r="BU305" i="1"/>
  <c r="BT305" i="1"/>
  <c r="BS305" i="1"/>
  <c r="BI305" i="1"/>
  <c r="BB305" i="1"/>
  <c r="AR305" i="1"/>
  <c r="Y305" i="1"/>
  <c r="CG305" i="1" s="1"/>
  <c r="W305" i="1"/>
  <c r="M305" i="1"/>
  <c r="G305" i="1"/>
  <c r="F305" i="1"/>
  <c r="E305" i="1"/>
  <c r="DA304" i="1"/>
  <c r="CZ304" i="1"/>
  <c r="CY304" i="1"/>
  <c r="CW304" i="1"/>
  <c r="CV304" i="1"/>
  <c r="CL304" i="1"/>
  <c r="CH304" i="1"/>
  <c r="CG304" i="1"/>
  <c r="CE304" i="1"/>
  <c r="CD304" i="1"/>
  <c r="CC304" i="1"/>
  <c r="CB304" i="1"/>
  <c r="CA304" i="1"/>
  <c r="CI304" i="1" s="1"/>
  <c r="BW304" i="1"/>
  <c r="BV304" i="1"/>
  <c r="BU304" i="1"/>
  <c r="BT304" i="1"/>
  <c r="BS304" i="1"/>
  <c r="BI304" i="1"/>
  <c r="CK304" i="1" s="1"/>
  <c r="BB304" i="1"/>
  <c r="AR304" i="1"/>
  <c r="AD304" i="1"/>
  <c r="Y304" i="1"/>
  <c r="CF304" i="1" s="1"/>
  <c r="W304" i="1"/>
  <c r="M304" i="1"/>
  <c r="G304" i="1"/>
  <c r="F304" i="1"/>
  <c r="E304" i="1"/>
  <c r="DA303" i="1"/>
  <c r="CZ303" i="1"/>
  <c r="CY303" i="1"/>
  <c r="CW303" i="1"/>
  <c r="CV303" i="1"/>
  <c r="CH303" i="1"/>
  <c r="CG303" i="1"/>
  <c r="CF303" i="1"/>
  <c r="CE303" i="1"/>
  <c r="CD303" i="1"/>
  <c r="CC303" i="1"/>
  <c r="CB303" i="1"/>
  <c r="CA303" i="1"/>
  <c r="CI303" i="1" s="1"/>
  <c r="BW303" i="1"/>
  <c r="BV303" i="1"/>
  <c r="BU303" i="1"/>
  <c r="BT303" i="1"/>
  <c r="BS303" i="1"/>
  <c r="BI303" i="1"/>
  <c r="CK303" i="1" s="1"/>
  <c r="BB303" i="1"/>
  <c r="AR303" i="1"/>
  <c r="AD303" i="1"/>
  <c r="W303" i="1"/>
  <c r="M303" i="1"/>
  <c r="G303" i="1"/>
  <c r="F303" i="1"/>
  <c r="E303" i="1"/>
  <c r="DA302" i="1"/>
  <c r="CZ302" i="1"/>
  <c r="CY302" i="1"/>
  <c r="CR302" i="1"/>
  <c r="CQ302" i="1"/>
  <c r="CH302" i="1"/>
  <c r="CG302" i="1"/>
  <c r="CF302" i="1"/>
  <c r="CE302" i="1"/>
  <c r="CC302" i="1"/>
  <c r="CB302" i="1"/>
  <c r="CA302" i="1"/>
  <c r="CI302" i="1" s="1"/>
  <c r="BX302" i="1"/>
  <c r="BW302" i="1"/>
  <c r="BV302" i="1"/>
  <c r="BU302" i="1"/>
  <c r="BT302" i="1"/>
  <c r="BS302" i="1"/>
  <c r="BI302" i="1"/>
  <c r="CK302" i="1" s="1"/>
  <c r="BB302" i="1"/>
  <c r="AR302" i="1"/>
  <c r="AH302" i="1"/>
  <c r="CW302" i="1" s="1"/>
  <c r="AG302" i="1"/>
  <c r="CV302" i="1" s="1"/>
  <c r="AD302" i="1"/>
  <c r="CM302" i="1" s="1"/>
  <c r="Y302" i="1"/>
  <c r="CD302" i="1" s="1"/>
  <c r="W302" i="1"/>
  <c r="M302" i="1"/>
  <c r="G302" i="1"/>
  <c r="F302" i="1"/>
  <c r="E302" i="1"/>
  <c r="DA301" i="1"/>
  <c r="CZ301" i="1"/>
  <c r="CY301" i="1"/>
  <c r="CV301" i="1"/>
  <c r="CC301" i="1"/>
  <c r="CB301" i="1"/>
  <c r="BW301" i="1"/>
  <c r="BV301" i="1"/>
  <c r="BU301" i="1"/>
  <c r="BT301" i="1"/>
  <c r="BS301" i="1"/>
  <c r="BI301" i="1"/>
  <c r="BB301" i="1"/>
  <c r="AR301" i="1"/>
  <c r="AH301" i="1"/>
  <c r="CW301" i="1" s="1"/>
  <c r="AG301" i="1"/>
  <c r="Y301" i="1"/>
  <c r="CF301" i="1" s="1"/>
  <c r="W301" i="1"/>
  <c r="M301" i="1"/>
  <c r="G301" i="1"/>
  <c r="F301" i="1"/>
  <c r="E301" i="1"/>
  <c r="DA300" i="1"/>
  <c r="CZ300" i="1"/>
  <c r="CY300" i="1"/>
  <c r="CW300" i="1"/>
  <c r="CV300" i="1"/>
  <c r="CE300" i="1"/>
  <c r="CD300" i="1"/>
  <c r="BW300" i="1"/>
  <c r="BV300" i="1"/>
  <c r="BU300" i="1"/>
  <c r="BT300" i="1"/>
  <c r="BI300" i="1"/>
  <c r="BB300" i="1"/>
  <c r="AR300" i="1"/>
  <c r="Y300" i="1"/>
  <c r="CH300" i="1" s="1"/>
  <c r="W300" i="1"/>
  <c r="M300" i="1"/>
  <c r="G300" i="1"/>
  <c r="F300" i="1"/>
  <c r="E300" i="1"/>
  <c r="DA299" i="1"/>
  <c r="CZ299" i="1"/>
  <c r="CY299" i="1"/>
  <c r="CW299" i="1"/>
  <c r="CV299" i="1"/>
  <c r="CN299" i="1"/>
  <c r="CM299" i="1"/>
  <c r="CD299" i="1"/>
  <c r="BW299" i="1"/>
  <c r="BV299" i="1"/>
  <c r="BU299" i="1"/>
  <c r="BT299" i="1"/>
  <c r="BI299" i="1"/>
  <c r="BB299" i="1"/>
  <c r="AR299" i="1"/>
  <c r="AH299" i="1"/>
  <c r="AG299" i="1"/>
  <c r="AD299" i="1"/>
  <c r="Y299" i="1"/>
  <c r="CE299" i="1" s="1"/>
  <c r="W299" i="1"/>
  <c r="M299" i="1"/>
  <c r="G299" i="1"/>
  <c r="F299" i="1"/>
  <c r="E299" i="1"/>
  <c r="DA298" i="1"/>
  <c r="CZ298" i="1"/>
  <c r="CY298" i="1"/>
  <c r="CW298" i="1"/>
  <c r="CV298" i="1"/>
  <c r="CP298" i="1"/>
  <c r="CO298" i="1"/>
  <c r="CN298" i="1"/>
  <c r="CM298" i="1"/>
  <c r="CH298" i="1"/>
  <c r="CG298" i="1"/>
  <c r="CF298" i="1"/>
  <c r="CE298" i="1"/>
  <c r="CD298" i="1"/>
  <c r="CC298" i="1"/>
  <c r="CB298" i="1"/>
  <c r="CA298" i="1"/>
  <c r="BW298" i="1"/>
  <c r="BV298" i="1"/>
  <c r="BU298" i="1"/>
  <c r="BT298" i="1"/>
  <c r="BS298" i="1"/>
  <c r="BI298" i="1"/>
  <c r="CR298" i="1" s="1"/>
  <c r="BB298" i="1"/>
  <c r="AR298" i="1"/>
  <c r="G298" i="1"/>
  <c r="F298" i="1"/>
  <c r="E298" i="1"/>
  <c r="DA297" i="1"/>
  <c r="CZ297" i="1"/>
  <c r="CY297" i="1"/>
  <c r="CW297" i="1"/>
  <c r="CV297" i="1"/>
  <c r="CR297" i="1"/>
  <c r="CQ297" i="1"/>
  <c r="CH297" i="1"/>
  <c r="CG297" i="1"/>
  <c r="CF297" i="1"/>
  <c r="CE297" i="1"/>
  <c r="CD297" i="1"/>
  <c r="CC297" i="1"/>
  <c r="CB297" i="1"/>
  <c r="CA297" i="1"/>
  <c r="CI297" i="1" s="1"/>
  <c r="BX297" i="1"/>
  <c r="BW297" i="1"/>
  <c r="BV297" i="1"/>
  <c r="BU297" i="1"/>
  <c r="BT297" i="1"/>
  <c r="BS297" i="1"/>
  <c r="BI297" i="1"/>
  <c r="CK297" i="1" s="1"/>
  <c r="BB297" i="1"/>
  <c r="AR297" i="1"/>
  <c r="AD297" i="1"/>
  <c r="CM297" i="1" s="1"/>
  <c r="W297" i="1"/>
  <c r="M297" i="1"/>
  <c r="G297" i="1"/>
  <c r="F297" i="1"/>
  <c r="E297" i="1"/>
  <c r="DA296" i="1"/>
  <c r="CZ296" i="1"/>
  <c r="CY296" i="1"/>
  <c r="CW296" i="1"/>
  <c r="CV296" i="1"/>
  <c r="CP296" i="1"/>
  <c r="CH296" i="1"/>
  <c r="CG296" i="1"/>
  <c r="CF296" i="1"/>
  <c r="CE296" i="1"/>
  <c r="CD296" i="1"/>
  <c r="CC296" i="1"/>
  <c r="CB296" i="1"/>
  <c r="CA296" i="1"/>
  <c r="BW296" i="1"/>
  <c r="BV296" i="1"/>
  <c r="BU296" i="1"/>
  <c r="BT296" i="1"/>
  <c r="BS296" i="1"/>
  <c r="BI296" i="1"/>
  <c r="BB296" i="1"/>
  <c r="AR296" i="1"/>
  <c r="AD296" i="1"/>
  <c r="W296" i="1"/>
  <c r="M296" i="1"/>
  <c r="G296" i="1"/>
  <c r="F296" i="1"/>
  <c r="E296" i="1"/>
  <c r="DA295" i="1"/>
  <c r="CZ295" i="1"/>
  <c r="CY295" i="1"/>
  <c r="CW295" i="1"/>
  <c r="CV295" i="1"/>
  <c r="CR295" i="1"/>
  <c r="CO295" i="1"/>
  <c r="CN295" i="1"/>
  <c r="CM295" i="1"/>
  <c r="CL295" i="1"/>
  <c r="CH295" i="1"/>
  <c r="CG295" i="1"/>
  <c r="CF295" i="1"/>
  <c r="CE295" i="1"/>
  <c r="CD295" i="1"/>
  <c r="CC295" i="1"/>
  <c r="CB295" i="1"/>
  <c r="CA295" i="1"/>
  <c r="BW295" i="1"/>
  <c r="BV295" i="1"/>
  <c r="BU295" i="1"/>
  <c r="BT295" i="1"/>
  <c r="BS295" i="1"/>
  <c r="BI295" i="1"/>
  <c r="CK295" i="1" s="1"/>
  <c r="BB295" i="1"/>
  <c r="AR295" i="1"/>
  <c r="AD295" i="1"/>
  <c r="CQ295" i="1" s="1"/>
  <c r="W295" i="1"/>
  <c r="M295" i="1"/>
  <c r="G295" i="1"/>
  <c r="F295" i="1"/>
  <c r="E295" i="1"/>
  <c r="DA294" i="1"/>
  <c r="CZ294" i="1"/>
  <c r="CY294" i="1"/>
  <c r="CW294" i="1"/>
  <c r="CV294" i="1"/>
  <c r="CN294" i="1"/>
  <c r="CM294" i="1"/>
  <c r="CL294" i="1"/>
  <c r="CH294" i="1"/>
  <c r="CG294" i="1"/>
  <c r="CF294" i="1"/>
  <c r="CE294" i="1"/>
  <c r="CD294" i="1"/>
  <c r="CC294" i="1"/>
  <c r="CB294" i="1"/>
  <c r="CA294" i="1"/>
  <c r="BW294" i="1"/>
  <c r="BV294" i="1"/>
  <c r="BU294" i="1"/>
  <c r="BT294" i="1"/>
  <c r="BS294" i="1"/>
  <c r="BI294" i="1"/>
  <c r="CO294" i="1" s="1"/>
  <c r="BB294" i="1"/>
  <c r="AR294" i="1"/>
  <c r="AD294" i="1"/>
  <c r="CP294" i="1" s="1"/>
  <c r="W294" i="1"/>
  <c r="M294" i="1"/>
  <c r="G294" i="1"/>
  <c r="F294" i="1"/>
  <c r="E294" i="1"/>
  <c r="DA293" i="1"/>
  <c r="CZ293" i="1"/>
  <c r="CY293" i="1"/>
  <c r="CW293" i="1"/>
  <c r="CV293" i="1"/>
  <c r="CH293" i="1"/>
  <c r="CG293" i="1"/>
  <c r="CF293" i="1"/>
  <c r="CE293" i="1"/>
  <c r="CD293" i="1"/>
  <c r="CC293" i="1"/>
  <c r="CB293" i="1"/>
  <c r="CA293" i="1"/>
  <c r="BW293" i="1"/>
  <c r="BV293" i="1"/>
  <c r="BU293" i="1"/>
  <c r="BT293" i="1"/>
  <c r="BS293" i="1"/>
  <c r="BI293" i="1"/>
  <c r="CL293" i="1" s="1"/>
  <c r="BB293" i="1"/>
  <c r="AR293" i="1"/>
  <c r="AD293" i="1"/>
  <c r="W293" i="1"/>
  <c r="M293" i="1"/>
  <c r="G293" i="1"/>
  <c r="F293" i="1"/>
  <c r="E293" i="1"/>
  <c r="DA292" i="1"/>
  <c r="CZ292" i="1"/>
  <c r="CY292" i="1"/>
  <c r="CW292" i="1"/>
  <c r="CV292" i="1"/>
  <c r="CR292" i="1"/>
  <c r="CH292" i="1"/>
  <c r="CG292" i="1"/>
  <c r="CF292" i="1"/>
  <c r="CE292" i="1"/>
  <c r="CD292" i="1"/>
  <c r="CC292" i="1"/>
  <c r="CB292" i="1"/>
  <c r="CA292" i="1"/>
  <c r="CI292" i="1" s="1"/>
  <c r="BW292" i="1"/>
  <c r="BV292" i="1"/>
  <c r="BU292" i="1"/>
  <c r="BT292" i="1"/>
  <c r="BS292" i="1"/>
  <c r="BI292" i="1"/>
  <c r="CK292" i="1" s="1"/>
  <c r="BB292" i="1"/>
  <c r="AR292" i="1"/>
  <c r="AD292" i="1"/>
  <c r="W292" i="1"/>
  <c r="M292" i="1"/>
  <c r="G292" i="1"/>
  <c r="F292" i="1"/>
  <c r="E292" i="1"/>
  <c r="DA291" i="1"/>
  <c r="CZ291" i="1"/>
  <c r="CY291" i="1"/>
  <c r="CW291" i="1"/>
  <c r="CV291" i="1"/>
  <c r="CR291" i="1"/>
  <c r="CQ291" i="1"/>
  <c r="CH291" i="1"/>
  <c r="CG291" i="1"/>
  <c r="CF291" i="1"/>
  <c r="CE291" i="1"/>
  <c r="CD291" i="1"/>
  <c r="CC291" i="1"/>
  <c r="CB291" i="1"/>
  <c r="CA291" i="1"/>
  <c r="CI291" i="1" s="1"/>
  <c r="BW291" i="1"/>
  <c r="BV291" i="1"/>
  <c r="BU291" i="1"/>
  <c r="BT291" i="1"/>
  <c r="BS291" i="1"/>
  <c r="BI291" i="1"/>
  <c r="CK291" i="1" s="1"/>
  <c r="BB291" i="1"/>
  <c r="AR291" i="1"/>
  <c r="AD291" i="1"/>
  <c r="CM291" i="1" s="1"/>
  <c r="W291" i="1"/>
  <c r="M291" i="1"/>
  <c r="G291" i="1"/>
  <c r="F291" i="1"/>
  <c r="E291" i="1"/>
  <c r="DA290" i="1"/>
  <c r="CZ290" i="1"/>
  <c r="CY290" i="1"/>
  <c r="CW290" i="1"/>
  <c r="CV290" i="1"/>
  <c r="CQ290" i="1"/>
  <c r="CP290" i="1"/>
  <c r="CO290" i="1"/>
  <c r="CH290" i="1"/>
  <c r="CG290" i="1"/>
  <c r="CF290" i="1"/>
  <c r="CE290" i="1"/>
  <c r="CD290" i="1"/>
  <c r="CC290" i="1"/>
  <c r="CB290" i="1"/>
  <c r="CA290" i="1"/>
  <c r="BX290" i="1"/>
  <c r="BW290" i="1"/>
  <c r="BV290" i="1"/>
  <c r="BU290" i="1"/>
  <c r="BT290" i="1"/>
  <c r="BS290" i="1"/>
  <c r="BI290" i="1"/>
  <c r="BB290" i="1"/>
  <c r="AR290" i="1"/>
  <c r="AD290" i="1"/>
  <c r="W290" i="1"/>
  <c r="M290" i="1"/>
  <c r="G290" i="1"/>
  <c r="F290" i="1"/>
  <c r="E290" i="1"/>
  <c r="DA289" i="1"/>
  <c r="CZ289" i="1"/>
  <c r="CY289" i="1"/>
  <c r="CW289" i="1"/>
  <c r="CV289" i="1"/>
  <c r="CR289" i="1"/>
  <c r="CO289" i="1"/>
  <c r="CN289" i="1"/>
  <c r="CM289" i="1"/>
  <c r="CL289" i="1"/>
  <c r="CH289" i="1"/>
  <c r="CG289" i="1"/>
  <c r="CF289" i="1"/>
  <c r="CE289" i="1"/>
  <c r="CD289" i="1"/>
  <c r="CC289" i="1"/>
  <c r="CB289" i="1"/>
  <c r="CA289" i="1"/>
  <c r="CI289" i="1" s="1"/>
  <c r="BW289" i="1"/>
  <c r="BV289" i="1"/>
  <c r="BU289" i="1"/>
  <c r="BT289" i="1"/>
  <c r="BS289" i="1"/>
  <c r="BI289" i="1"/>
  <c r="CK289" i="1" s="1"/>
  <c r="BB289" i="1"/>
  <c r="AR289" i="1"/>
  <c r="AD289" i="1"/>
  <c r="CQ289" i="1" s="1"/>
  <c r="W289" i="1"/>
  <c r="M289" i="1"/>
  <c r="G289" i="1"/>
  <c r="F289" i="1"/>
  <c r="E289" i="1"/>
  <c r="DA288" i="1"/>
  <c r="CZ288" i="1"/>
  <c r="CY288" i="1"/>
  <c r="CW288" i="1"/>
  <c r="CV288" i="1"/>
  <c r="CR288" i="1"/>
  <c r="CH288" i="1"/>
  <c r="CG288" i="1"/>
  <c r="CF288" i="1"/>
  <c r="CE288" i="1"/>
  <c r="CD288" i="1"/>
  <c r="CC288" i="1"/>
  <c r="CB288" i="1"/>
  <c r="CA288" i="1"/>
  <c r="CI288" i="1" s="1"/>
  <c r="BW288" i="1"/>
  <c r="BV288" i="1"/>
  <c r="BU288" i="1"/>
  <c r="BT288" i="1"/>
  <c r="BS288" i="1"/>
  <c r="BI288" i="1"/>
  <c r="CK288" i="1" s="1"/>
  <c r="BB288" i="1"/>
  <c r="AR288" i="1"/>
  <c r="AD288" i="1"/>
  <c r="W288" i="1"/>
  <c r="M288" i="1"/>
  <c r="G288" i="1"/>
  <c r="F288" i="1"/>
  <c r="E288" i="1"/>
  <c r="DA287" i="1"/>
  <c r="CZ287" i="1"/>
  <c r="CY287" i="1"/>
  <c r="CW287" i="1"/>
  <c r="CV287" i="1"/>
  <c r="CR287" i="1"/>
  <c r="CQ287" i="1"/>
  <c r="CL287" i="1"/>
  <c r="CH287" i="1"/>
  <c r="CG287" i="1"/>
  <c r="CF287" i="1"/>
  <c r="CE287" i="1"/>
  <c r="CD287" i="1"/>
  <c r="CC287" i="1"/>
  <c r="CB287" i="1"/>
  <c r="CA287" i="1"/>
  <c r="CI287" i="1" s="1"/>
  <c r="BX287" i="1"/>
  <c r="BW287" i="1"/>
  <c r="BV287" i="1"/>
  <c r="BU287" i="1"/>
  <c r="BT287" i="1"/>
  <c r="BS287" i="1"/>
  <c r="BI287" i="1"/>
  <c r="CK287" i="1" s="1"/>
  <c r="BB287" i="1"/>
  <c r="AR287" i="1"/>
  <c r="AD287" i="1"/>
  <c r="CN287" i="1" s="1"/>
  <c r="W287" i="1"/>
  <c r="M287" i="1"/>
  <c r="G287" i="1"/>
  <c r="F287" i="1"/>
  <c r="E287" i="1"/>
  <c r="DA286" i="1"/>
  <c r="CZ286" i="1"/>
  <c r="CY286" i="1"/>
  <c r="CW286" i="1"/>
  <c r="CV286" i="1"/>
  <c r="CR286" i="1"/>
  <c r="CQ286" i="1"/>
  <c r="CP286" i="1"/>
  <c r="CO286" i="1"/>
  <c r="CH286" i="1"/>
  <c r="CG286" i="1"/>
  <c r="CF286" i="1"/>
  <c r="CE286" i="1"/>
  <c r="CD286" i="1"/>
  <c r="CC286" i="1"/>
  <c r="CB286" i="1"/>
  <c r="CA286" i="1"/>
  <c r="CI286" i="1" s="1"/>
  <c r="BW286" i="1"/>
  <c r="BV286" i="1"/>
  <c r="BU286" i="1"/>
  <c r="BT286" i="1"/>
  <c r="BS286" i="1"/>
  <c r="BI286" i="1"/>
  <c r="BB286" i="1"/>
  <c r="AR286" i="1"/>
  <c r="AD286" i="1"/>
  <c r="W286" i="1"/>
  <c r="M286" i="1"/>
  <c r="G286" i="1"/>
  <c r="F286" i="1"/>
  <c r="E286" i="1"/>
  <c r="DA285" i="1"/>
  <c r="CZ285" i="1"/>
  <c r="CY285" i="1"/>
  <c r="CW285" i="1"/>
  <c r="CV285" i="1"/>
  <c r="CQ285" i="1"/>
  <c r="CP285" i="1"/>
  <c r="CO285" i="1"/>
  <c r="CN285" i="1"/>
  <c r="CH285" i="1"/>
  <c r="CG285" i="1"/>
  <c r="CF285" i="1"/>
  <c r="CE285" i="1"/>
  <c r="CD285" i="1"/>
  <c r="CC285" i="1"/>
  <c r="CB285" i="1"/>
  <c r="CA285" i="1"/>
  <c r="BW285" i="1"/>
  <c r="BV285" i="1"/>
  <c r="BU285" i="1"/>
  <c r="BT285" i="1"/>
  <c r="BS285" i="1"/>
  <c r="BI285" i="1"/>
  <c r="BB285" i="1"/>
  <c r="AR285" i="1"/>
  <c r="AD285" i="1"/>
  <c r="W285" i="1"/>
  <c r="M285" i="1"/>
  <c r="G285" i="1"/>
  <c r="F285" i="1"/>
  <c r="E285" i="1"/>
  <c r="DA284" i="1"/>
  <c r="CZ284" i="1"/>
  <c r="CY284" i="1"/>
  <c r="CW284" i="1"/>
  <c r="CV284" i="1"/>
  <c r="CR284" i="1"/>
  <c r="CO284" i="1"/>
  <c r="CN284" i="1"/>
  <c r="CM284" i="1"/>
  <c r="CL284" i="1"/>
  <c r="CH284" i="1"/>
  <c r="CG284" i="1"/>
  <c r="CF284" i="1"/>
  <c r="CE284" i="1"/>
  <c r="CD284" i="1"/>
  <c r="CC284" i="1"/>
  <c r="CB284" i="1"/>
  <c r="CA284" i="1"/>
  <c r="CI284" i="1" s="1"/>
  <c r="BW284" i="1"/>
  <c r="BV284" i="1"/>
  <c r="BU284" i="1"/>
  <c r="BT284" i="1"/>
  <c r="BS284" i="1"/>
  <c r="BI284" i="1"/>
  <c r="CK284" i="1" s="1"/>
  <c r="BB284" i="1"/>
  <c r="AR284" i="1"/>
  <c r="AD284" i="1"/>
  <c r="CQ284" i="1" s="1"/>
  <c r="W284" i="1"/>
  <c r="M284" i="1"/>
  <c r="G284" i="1"/>
  <c r="F284" i="1"/>
  <c r="E284" i="1"/>
  <c r="DA283" i="1"/>
  <c r="CZ283" i="1"/>
  <c r="CY283" i="1"/>
  <c r="CW283" i="1"/>
  <c r="CV283" i="1"/>
  <c r="CH283" i="1"/>
  <c r="CG283" i="1"/>
  <c r="CF283" i="1"/>
  <c r="CE283" i="1"/>
  <c r="CD283" i="1"/>
  <c r="CC283" i="1"/>
  <c r="CB283" i="1"/>
  <c r="CA283" i="1"/>
  <c r="CI283" i="1" s="1"/>
  <c r="BW283" i="1"/>
  <c r="BV283" i="1"/>
  <c r="BU283" i="1"/>
  <c r="BT283" i="1"/>
  <c r="BS283" i="1"/>
  <c r="BI283" i="1"/>
  <c r="BX283" i="1" s="1"/>
  <c r="BB283" i="1"/>
  <c r="AR283" i="1"/>
  <c r="AD283" i="1"/>
  <c r="CO283" i="1" s="1"/>
  <c r="W283" i="1"/>
  <c r="M283" i="1"/>
  <c r="G283" i="1"/>
  <c r="F283" i="1"/>
  <c r="E283" i="1"/>
  <c r="DA282" i="1"/>
  <c r="CZ282" i="1"/>
  <c r="CY282" i="1"/>
  <c r="CW282" i="1"/>
  <c r="CV282" i="1"/>
  <c r="CH282" i="1"/>
  <c r="CG282" i="1"/>
  <c r="CF282" i="1"/>
  <c r="CE282" i="1"/>
  <c r="CD282" i="1"/>
  <c r="CC282" i="1"/>
  <c r="CB282" i="1"/>
  <c r="CA282" i="1"/>
  <c r="CI282" i="1" s="1"/>
  <c r="BW282" i="1"/>
  <c r="BV282" i="1"/>
  <c r="BU282" i="1"/>
  <c r="BT282" i="1"/>
  <c r="BS282" i="1"/>
  <c r="BI282" i="1"/>
  <c r="CQ282" i="1" s="1"/>
  <c r="BB282" i="1"/>
  <c r="AR282" i="1"/>
  <c r="AD282" i="1"/>
  <c r="W282" i="1"/>
  <c r="M282" i="1"/>
  <c r="G282" i="1"/>
  <c r="F282" i="1"/>
  <c r="E282" i="1"/>
  <c r="DA281" i="1"/>
  <c r="CZ281" i="1"/>
  <c r="CY281" i="1"/>
  <c r="CW281" i="1"/>
  <c r="CV281" i="1"/>
  <c r="CH281" i="1"/>
  <c r="CG281" i="1"/>
  <c r="CF281" i="1"/>
  <c r="CE281" i="1"/>
  <c r="CD281" i="1"/>
  <c r="CC281" i="1"/>
  <c r="CB281" i="1"/>
  <c r="CA281" i="1"/>
  <c r="CI281" i="1" s="1"/>
  <c r="BW281" i="1"/>
  <c r="BV281" i="1"/>
  <c r="BU281" i="1"/>
  <c r="BT281" i="1"/>
  <c r="BS281" i="1"/>
  <c r="BI281" i="1"/>
  <c r="BB281" i="1"/>
  <c r="AR281" i="1"/>
  <c r="AD281" i="1"/>
  <c r="CR281" i="1" s="1"/>
  <c r="W281" i="1"/>
  <c r="M281" i="1"/>
  <c r="G281" i="1"/>
  <c r="F281" i="1"/>
  <c r="E281" i="1"/>
  <c r="DA280" i="1"/>
  <c r="CZ280" i="1"/>
  <c r="CY280" i="1"/>
  <c r="CW280" i="1"/>
  <c r="CV280" i="1"/>
  <c r="CN280" i="1"/>
  <c r="CF280" i="1"/>
  <c r="CD280" i="1"/>
  <c r="BW280" i="1"/>
  <c r="BV280" i="1"/>
  <c r="BU280" i="1"/>
  <c r="BT280" i="1"/>
  <c r="BI280" i="1"/>
  <c r="BB280" i="1"/>
  <c r="AR280" i="1"/>
  <c r="AD280" i="1"/>
  <c r="Y280" i="1"/>
  <c r="CG280" i="1" s="1"/>
  <c r="W280" i="1"/>
  <c r="M280" i="1"/>
  <c r="G280" i="1"/>
  <c r="F280" i="1"/>
  <c r="E280" i="1"/>
  <c r="DA279" i="1"/>
  <c r="CZ279" i="1"/>
  <c r="CY279" i="1"/>
  <c r="CW279" i="1"/>
  <c r="CV279" i="1"/>
  <c r="CH279" i="1"/>
  <c r="CG279" i="1"/>
  <c r="CF279" i="1"/>
  <c r="CE279" i="1"/>
  <c r="CD279" i="1"/>
  <c r="CC279" i="1"/>
  <c r="CB279" i="1"/>
  <c r="CA279" i="1"/>
  <c r="BW279" i="1"/>
  <c r="BV279" i="1"/>
  <c r="BU279" i="1"/>
  <c r="BT279" i="1"/>
  <c r="BS279" i="1"/>
  <c r="BI279" i="1"/>
  <c r="BB279" i="1"/>
  <c r="AR279" i="1"/>
  <c r="AD279" i="1"/>
  <c r="W279" i="1"/>
  <c r="M279" i="1"/>
  <c r="G279" i="1"/>
  <c r="F279" i="1"/>
  <c r="E279" i="1"/>
  <c r="DA278" i="1"/>
  <c r="CZ278" i="1"/>
  <c r="CY278" i="1"/>
  <c r="CW278" i="1"/>
  <c r="CV278" i="1"/>
  <c r="CL278" i="1"/>
  <c r="CH278" i="1"/>
  <c r="CG278" i="1"/>
  <c r="CF278" i="1"/>
  <c r="CE278" i="1"/>
  <c r="CD278" i="1"/>
  <c r="CC278" i="1"/>
  <c r="CB278" i="1"/>
  <c r="CA278" i="1"/>
  <c r="BW278" i="1"/>
  <c r="BV278" i="1"/>
  <c r="BU278" i="1"/>
  <c r="BT278" i="1"/>
  <c r="BS278" i="1"/>
  <c r="BI278" i="1"/>
  <c r="CK278" i="1" s="1"/>
  <c r="BB278" i="1"/>
  <c r="AR278" i="1"/>
  <c r="AD278" i="1"/>
  <c r="W278" i="1"/>
  <c r="M278" i="1"/>
  <c r="G278" i="1"/>
  <c r="F278" i="1"/>
  <c r="E278" i="1"/>
  <c r="DA277" i="1"/>
  <c r="CZ277" i="1"/>
  <c r="CY277" i="1"/>
  <c r="CW277" i="1"/>
  <c r="CV277" i="1"/>
  <c r="CH277" i="1"/>
  <c r="CG277" i="1"/>
  <c r="CF277" i="1"/>
  <c r="CE277" i="1"/>
  <c r="CD277" i="1"/>
  <c r="CC277" i="1"/>
  <c r="CB277" i="1"/>
  <c r="CA277" i="1"/>
  <c r="CI277" i="1" s="1"/>
  <c r="BW277" i="1"/>
  <c r="BV277" i="1"/>
  <c r="BU277" i="1"/>
  <c r="BT277" i="1"/>
  <c r="BS277" i="1"/>
  <c r="BI277" i="1"/>
  <c r="CO277" i="1" s="1"/>
  <c r="BB277" i="1"/>
  <c r="AR277" i="1"/>
  <c r="AD277" i="1"/>
  <c r="CN277" i="1" s="1"/>
  <c r="W277" i="1"/>
  <c r="M277" i="1"/>
  <c r="G277" i="1"/>
  <c r="F277" i="1"/>
  <c r="E277" i="1"/>
  <c r="DA276" i="1"/>
  <c r="CZ276" i="1"/>
  <c r="CY276" i="1"/>
  <c r="CW276" i="1"/>
  <c r="CV276" i="1"/>
  <c r="CQ276" i="1"/>
  <c r="CH276" i="1"/>
  <c r="CG276" i="1"/>
  <c r="CF276" i="1"/>
  <c r="CE276" i="1"/>
  <c r="CD276" i="1"/>
  <c r="CC276" i="1"/>
  <c r="CB276" i="1"/>
  <c r="CA276" i="1"/>
  <c r="CI276" i="1" s="1"/>
  <c r="BW276" i="1"/>
  <c r="BV276" i="1"/>
  <c r="BU276" i="1"/>
  <c r="BT276" i="1"/>
  <c r="BS276" i="1"/>
  <c r="BI276" i="1"/>
  <c r="CP276" i="1" s="1"/>
  <c r="BB276" i="1"/>
  <c r="AR276" i="1"/>
  <c r="AD276" i="1"/>
  <c r="W276" i="1"/>
  <c r="M276" i="1"/>
  <c r="G276" i="1"/>
  <c r="F276" i="1"/>
  <c r="E276" i="1"/>
  <c r="DA275" i="1"/>
  <c r="CZ275" i="1"/>
  <c r="CY275" i="1"/>
  <c r="CW275" i="1"/>
  <c r="CV275" i="1"/>
  <c r="CR275" i="1"/>
  <c r="CQ275" i="1"/>
  <c r="CP275" i="1"/>
  <c r="CO275" i="1"/>
  <c r="CH275" i="1"/>
  <c r="CG275" i="1"/>
  <c r="CF275" i="1"/>
  <c r="CE275" i="1"/>
  <c r="CD275" i="1"/>
  <c r="CC275" i="1"/>
  <c r="CB275" i="1"/>
  <c r="CA275" i="1"/>
  <c r="CI275" i="1" s="1"/>
  <c r="BW275" i="1"/>
  <c r="BV275" i="1"/>
  <c r="BU275" i="1"/>
  <c r="BT275" i="1"/>
  <c r="BS275" i="1"/>
  <c r="BI275" i="1"/>
  <c r="BB275" i="1"/>
  <c r="AR275" i="1"/>
  <c r="AD275" i="1"/>
  <c r="W275" i="1"/>
  <c r="M275" i="1"/>
  <c r="G275" i="1"/>
  <c r="F275" i="1"/>
  <c r="E275" i="1"/>
  <c r="DA274" i="1"/>
  <c r="CZ274" i="1"/>
  <c r="CY274" i="1"/>
  <c r="CW274" i="1"/>
  <c r="CV274" i="1"/>
  <c r="CN274" i="1"/>
  <c r="CM274" i="1"/>
  <c r="CH274" i="1"/>
  <c r="CG274" i="1"/>
  <c r="CF274" i="1"/>
  <c r="CE274" i="1"/>
  <c r="CD274" i="1"/>
  <c r="CC274" i="1"/>
  <c r="CB274" i="1"/>
  <c r="CA274" i="1"/>
  <c r="BW274" i="1"/>
  <c r="BV274" i="1"/>
  <c r="BU274" i="1"/>
  <c r="BT274" i="1"/>
  <c r="BS274" i="1"/>
  <c r="BI274" i="1"/>
  <c r="BB274" i="1"/>
  <c r="AR274" i="1"/>
  <c r="AD274" i="1"/>
  <c r="CP274" i="1" s="1"/>
  <c r="W274" i="1"/>
  <c r="M274" i="1"/>
  <c r="G274" i="1"/>
  <c r="F274" i="1"/>
  <c r="E274" i="1"/>
  <c r="DA273" i="1"/>
  <c r="CZ273" i="1"/>
  <c r="CY273" i="1"/>
  <c r="CW273" i="1"/>
  <c r="CV273" i="1"/>
  <c r="CR273" i="1"/>
  <c r="CO273" i="1"/>
  <c r="CN273" i="1"/>
  <c r="CM273" i="1"/>
  <c r="CL273" i="1"/>
  <c r="CH273" i="1"/>
  <c r="CG273" i="1"/>
  <c r="CF273" i="1"/>
  <c r="CE273" i="1"/>
  <c r="CD273" i="1"/>
  <c r="CC273" i="1"/>
  <c r="CB273" i="1"/>
  <c r="CA273" i="1"/>
  <c r="BW273" i="1"/>
  <c r="BV273" i="1"/>
  <c r="BU273" i="1"/>
  <c r="BT273" i="1"/>
  <c r="BS273" i="1"/>
  <c r="BI273" i="1"/>
  <c r="CK273" i="1" s="1"/>
  <c r="BB273" i="1"/>
  <c r="AR273" i="1"/>
  <c r="AD273" i="1"/>
  <c r="CQ273" i="1" s="1"/>
  <c r="W273" i="1"/>
  <c r="M273" i="1"/>
  <c r="G273" i="1"/>
  <c r="F273" i="1"/>
  <c r="E273" i="1"/>
  <c r="DA272" i="1"/>
  <c r="CZ272" i="1"/>
  <c r="CY272" i="1"/>
  <c r="CW272" i="1"/>
  <c r="CV272" i="1"/>
  <c r="CH272" i="1"/>
  <c r="CG272" i="1"/>
  <c r="CF272" i="1"/>
  <c r="CE272" i="1"/>
  <c r="CD272" i="1"/>
  <c r="CC272" i="1"/>
  <c r="CB272" i="1"/>
  <c r="CA272" i="1"/>
  <c r="BW272" i="1"/>
  <c r="BV272" i="1"/>
  <c r="BU272" i="1"/>
  <c r="BT272" i="1"/>
  <c r="BS272" i="1"/>
  <c r="BI272" i="1"/>
  <c r="BB272" i="1"/>
  <c r="AR272" i="1"/>
  <c r="AD272" i="1"/>
  <c r="CP272" i="1" s="1"/>
  <c r="W272" i="1"/>
  <c r="M272" i="1"/>
  <c r="G272" i="1"/>
  <c r="F272" i="1"/>
  <c r="E272" i="1"/>
  <c r="DA271" i="1"/>
  <c r="CZ271" i="1"/>
  <c r="CY271" i="1"/>
  <c r="CW271" i="1"/>
  <c r="CV271" i="1"/>
  <c r="CR271" i="1"/>
  <c r="CK271" i="1"/>
  <c r="CH271" i="1"/>
  <c r="CG271" i="1"/>
  <c r="CF271" i="1"/>
  <c r="CE271" i="1"/>
  <c r="CD271" i="1"/>
  <c r="CC271" i="1"/>
  <c r="CB271" i="1"/>
  <c r="CA271" i="1"/>
  <c r="CI271" i="1" s="1"/>
  <c r="BW271" i="1"/>
  <c r="BV271" i="1"/>
  <c r="BU271" i="1"/>
  <c r="BT271" i="1"/>
  <c r="BS271" i="1"/>
  <c r="BI271" i="1"/>
  <c r="BB271" i="1"/>
  <c r="AR271" i="1"/>
  <c r="AD271" i="1"/>
  <c r="W271" i="1"/>
  <c r="M271" i="1"/>
  <c r="G271" i="1"/>
  <c r="F271" i="1"/>
  <c r="E271" i="1"/>
  <c r="DA270" i="1"/>
  <c r="CZ270" i="1"/>
  <c r="CY270" i="1"/>
  <c r="CW270" i="1"/>
  <c r="CV270" i="1"/>
  <c r="CR270" i="1"/>
  <c r="CQ270" i="1"/>
  <c r="CH270" i="1"/>
  <c r="CG270" i="1"/>
  <c r="CF270" i="1"/>
  <c r="CE270" i="1"/>
  <c r="CD270" i="1"/>
  <c r="CC270" i="1"/>
  <c r="CB270" i="1"/>
  <c r="CA270" i="1"/>
  <c r="CI270" i="1" s="1"/>
  <c r="BX270" i="1"/>
  <c r="BW270" i="1"/>
  <c r="BV270" i="1"/>
  <c r="BU270" i="1"/>
  <c r="BT270" i="1"/>
  <c r="BS270" i="1"/>
  <c r="BI270" i="1"/>
  <c r="CL270" i="1" s="1"/>
  <c r="BB270" i="1"/>
  <c r="AR270" i="1"/>
  <c r="AD270" i="1"/>
  <c r="CN270" i="1" s="1"/>
  <c r="W270" i="1"/>
  <c r="M270" i="1"/>
  <c r="G270" i="1"/>
  <c r="F270" i="1"/>
  <c r="E270" i="1"/>
  <c r="DA269" i="1"/>
  <c r="CZ269" i="1"/>
  <c r="CY269" i="1"/>
  <c r="CW269" i="1"/>
  <c r="CV269" i="1"/>
  <c r="CH269" i="1"/>
  <c r="CG269" i="1"/>
  <c r="CF269" i="1"/>
  <c r="CE269" i="1"/>
  <c r="CD269" i="1"/>
  <c r="CC269" i="1"/>
  <c r="CB269" i="1"/>
  <c r="CA269" i="1"/>
  <c r="CI269" i="1" s="1"/>
  <c r="BW269" i="1"/>
  <c r="BV269" i="1"/>
  <c r="BU269" i="1"/>
  <c r="BT269" i="1"/>
  <c r="BS269" i="1"/>
  <c r="BI269" i="1"/>
  <c r="BB269" i="1"/>
  <c r="AR269" i="1"/>
  <c r="AD269" i="1"/>
  <c r="CR269" i="1" s="1"/>
  <c r="W269" i="1"/>
  <c r="M269" i="1"/>
  <c r="G269" i="1"/>
  <c r="F269" i="1"/>
  <c r="E269" i="1"/>
  <c r="DA268" i="1"/>
  <c r="CZ268" i="1"/>
  <c r="CY268" i="1"/>
  <c r="CW268" i="1"/>
  <c r="CV268" i="1"/>
  <c r="CO268" i="1"/>
  <c r="CH268" i="1"/>
  <c r="CG268" i="1"/>
  <c r="CF268" i="1"/>
  <c r="CE268" i="1"/>
  <c r="CD268" i="1"/>
  <c r="CC268" i="1"/>
  <c r="CB268" i="1"/>
  <c r="CA268" i="1"/>
  <c r="CI268" i="1" s="1"/>
  <c r="BW268" i="1"/>
  <c r="BV268" i="1"/>
  <c r="BU268" i="1"/>
  <c r="BT268" i="1"/>
  <c r="BS268" i="1"/>
  <c r="BI268" i="1"/>
  <c r="BB268" i="1"/>
  <c r="AR268" i="1"/>
  <c r="AD268" i="1"/>
  <c r="CR268" i="1" s="1"/>
  <c r="W268" i="1"/>
  <c r="M268" i="1"/>
  <c r="G268" i="1"/>
  <c r="F268" i="1"/>
  <c r="E268" i="1"/>
  <c r="DA267" i="1"/>
  <c r="CZ267" i="1"/>
  <c r="CY267" i="1"/>
  <c r="CW267" i="1"/>
  <c r="CV267" i="1"/>
  <c r="CE267" i="1"/>
  <c r="BW267" i="1"/>
  <c r="BV267" i="1"/>
  <c r="BU267" i="1"/>
  <c r="BT267" i="1"/>
  <c r="BI267" i="1"/>
  <c r="BD267" i="1"/>
  <c r="BB267" i="1"/>
  <c r="AR267" i="1"/>
  <c r="Y267" i="1"/>
  <c r="CG267" i="1" s="1"/>
  <c r="W267" i="1"/>
  <c r="M267" i="1"/>
  <c r="G267" i="1"/>
  <c r="F267" i="1"/>
  <c r="E267" i="1"/>
  <c r="DA266" i="1"/>
  <c r="CZ266" i="1"/>
  <c r="CY266" i="1"/>
  <c r="CW266" i="1"/>
  <c r="CV266" i="1"/>
  <c r="CG266" i="1"/>
  <c r="BW266" i="1"/>
  <c r="BV266" i="1"/>
  <c r="BU266" i="1"/>
  <c r="BT266" i="1"/>
  <c r="BD266" i="1"/>
  <c r="BI266" i="1" s="1"/>
  <c r="BB266" i="1"/>
  <c r="AR266" i="1"/>
  <c r="Y266" i="1"/>
  <c r="W266" i="1"/>
  <c r="M266" i="1"/>
  <c r="G266" i="1"/>
  <c r="F266" i="1"/>
  <c r="E266" i="1"/>
  <c r="DA265" i="1"/>
  <c r="CZ265" i="1"/>
  <c r="CY265" i="1"/>
  <c r="CW265" i="1"/>
  <c r="CV265" i="1"/>
  <c r="BW265" i="1"/>
  <c r="BV265" i="1"/>
  <c r="BU265" i="1"/>
  <c r="BT265" i="1"/>
  <c r="BD265" i="1"/>
  <c r="BI265" i="1" s="1"/>
  <c r="BB265" i="1"/>
  <c r="AR265" i="1"/>
  <c r="Y265" i="1"/>
  <c r="W265" i="1"/>
  <c r="M265" i="1"/>
  <c r="G265" i="1"/>
  <c r="F265" i="1"/>
  <c r="E265" i="1"/>
  <c r="DA264" i="1"/>
  <c r="CY264" i="1"/>
  <c r="CW264" i="1"/>
  <c r="CH264" i="1"/>
  <c r="BW264" i="1"/>
  <c r="BV264" i="1"/>
  <c r="BU264" i="1"/>
  <c r="BT264" i="1"/>
  <c r="BP264" i="1"/>
  <c r="BD264" i="1"/>
  <c r="CE264" i="1" s="1"/>
  <c r="BB264" i="1"/>
  <c r="AR264" i="1"/>
  <c r="AK264" i="1"/>
  <c r="CZ264" i="1" s="1"/>
  <c r="AH264" i="1"/>
  <c r="AG264" i="1"/>
  <c r="CV264" i="1" s="1"/>
  <c r="Y264" i="1"/>
  <c r="W264" i="1"/>
  <c r="M264" i="1"/>
  <c r="G264" i="1"/>
  <c r="F264" i="1"/>
  <c r="E264" i="1"/>
  <c r="DA263" i="1"/>
  <c r="CZ263" i="1"/>
  <c r="CY263" i="1"/>
  <c r="CW263" i="1"/>
  <c r="CV263" i="1"/>
  <c r="CF263" i="1"/>
  <c r="CE263" i="1"/>
  <c r="CC263" i="1"/>
  <c r="CB263" i="1"/>
  <c r="BW263" i="1"/>
  <c r="BV263" i="1"/>
  <c r="BU263" i="1"/>
  <c r="BT263" i="1"/>
  <c r="BS263" i="1"/>
  <c r="BI263" i="1"/>
  <c r="BD263" i="1"/>
  <c r="BB263" i="1"/>
  <c r="AR263" i="1"/>
  <c r="Y263" i="1"/>
  <c r="W263" i="1"/>
  <c r="M263" i="1"/>
  <c r="G263" i="1"/>
  <c r="F263" i="1"/>
  <c r="E263" i="1"/>
  <c r="DA262" i="1"/>
  <c r="CY262" i="1"/>
  <c r="CW262" i="1"/>
  <c r="CV262" i="1"/>
  <c r="BW262" i="1"/>
  <c r="BV262" i="1"/>
  <c r="BU262" i="1"/>
  <c r="BT262" i="1"/>
  <c r="BP262" i="1"/>
  <c r="BI262" i="1"/>
  <c r="BD262" i="1"/>
  <c r="BB262" i="1"/>
  <c r="AR262" i="1"/>
  <c r="AK262" i="1"/>
  <c r="CZ262" i="1" s="1"/>
  <c r="Y262" i="1"/>
  <c r="W262" i="1"/>
  <c r="M262" i="1"/>
  <c r="G262" i="1"/>
  <c r="F262" i="1"/>
  <c r="E262" i="1"/>
  <c r="DA261" i="1"/>
  <c r="CZ261" i="1"/>
  <c r="CY261" i="1"/>
  <c r="CW261" i="1"/>
  <c r="CV261" i="1"/>
  <c r="CH261" i="1"/>
  <c r="CG261" i="1"/>
  <c r="BW261" i="1"/>
  <c r="BV261" i="1"/>
  <c r="BU261" i="1"/>
  <c r="BT261" i="1"/>
  <c r="BD261" i="1"/>
  <c r="CD261" i="1" s="1"/>
  <c r="BB261" i="1"/>
  <c r="AR261" i="1"/>
  <c r="AD261" i="1"/>
  <c r="Y261" i="1"/>
  <c r="CC261" i="1" s="1"/>
  <c r="W261" i="1"/>
  <c r="M261" i="1"/>
  <c r="G261" i="1"/>
  <c r="F261" i="1"/>
  <c r="E261" i="1"/>
  <c r="DA260" i="1"/>
  <c r="CZ260" i="1"/>
  <c r="CY260" i="1"/>
  <c r="CW260" i="1"/>
  <c r="CV260" i="1"/>
  <c r="CB260" i="1"/>
  <c r="CA260" i="1"/>
  <c r="BW260" i="1"/>
  <c r="BV260" i="1"/>
  <c r="BU260" i="1"/>
  <c r="BT260" i="1"/>
  <c r="BP260" i="1"/>
  <c r="BI260" i="1"/>
  <c r="BD260" i="1"/>
  <c r="BB260" i="1"/>
  <c r="AR260" i="1"/>
  <c r="AK260" i="1"/>
  <c r="Y260" i="1"/>
  <c r="CC260" i="1" s="1"/>
  <c r="W260" i="1"/>
  <c r="M260" i="1"/>
  <c r="G260" i="1"/>
  <c r="F260" i="1"/>
  <c r="E260" i="1"/>
  <c r="DA259" i="1"/>
  <c r="CZ259" i="1"/>
  <c r="CY259" i="1"/>
  <c r="CW259" i="1"/>
  <c r="CV259" i="1"/>
  <c r="CO259" i="1"/>
  <c r="CN259" i="1"/>
  <c r="CL259" i="1"/>
  <c r="CK259" i="1"/>
  <c r="CH259" i="1"/>
  <c r="CG259" i="1"/>
  <c r="CF259" i="1"/>
  <c r="CE259" i="1"/>
  <c r="CD259" i="1"/>
  <c r="CC259" i="1"/>
  <c r="CB259" i="1"/>
  <c r="CA259" i="1"/>
  <c r="BW259" i="1"/>
  <c r="BV259" i="1"/>
  <c r="BU259" i="1"/>
  <c r="BT259" i="1"/>
  <c r="BS259" i="1"/>
  <c r="BI259" i="1"/>
  <c r="BB259" i="1"/>
  <c r="AR259" i="1"/>
  <c r="AD259" i="1"/>
  <c r="CP259" i="1" s="1"/>
  <c r="W259" i="1"/>
  <c r="M259" i="1"/>
  <c r="G259" i="1"/>
  <c r="F259" i="1"/>
  <c r="E259" i="1"/>
  <c r="DA258" i="1"/>
  <c r="CY258" i="1"/>
  <c r="CV258" i="1"/>
  <c r="CR258" i="1"/>
  <c r="CH258" i="1"/>
  <c r="CG258" i="1"/>
  <c r="CF258" i="1"/>
  <c r="CE258" i="1"/>
  <c r="CD258" i="1"/>
  <c r="CC258" i="1"/>
  <c r="CB258" i="1"/>
  <c r="CA258" i="1"/>
  <c r="CI258" i="1" s="1"/>
  <c r="BW258" i="1"/>
  <c r="BV258" i="1"/>
  <c r="BU258" i="1"/>
  <c r="BT258" i="1"/>
  <c r="BS258" i="1"/>
  <c r="BP258" i="1"/>
  <c r="CZ258" i="1" s="1"/>
  <c r="BI258" i="1"/>
  <c r="CK258" i="1" s="1"/>
  <c r="BB258" i="1"/>
  <c r="AR258" i="1"/>
  <c r="AK258" i="1"/>
  <c r="AH258" i="1"/>
  <c r="CW258" i="1" s="1"/>
  <c r="AG258" i="1"/>
  <c r="AD258" i="1"/>
  <c r="CL258" i="1" s="1"/>
  <c r="W258" i="1"/>
  <c r="M258" i="1"/>
  <c r="G258" i="1"/>
  <c r="F258" i="1"/>
  <c r="E258" i="1"/>
  <c r="DA257" i="1"/>
  <c r="CZ257" i="1"/>
  <c r="CY257" i="1"/>
  <c r="CW257" i="1"/>
  <c r="CV257" i="1"/>
  <c r="CG257" i="1"/>
  <c r="CD257" i="1"/>
  <c r="BW257" i="1"/>
  <c r="BV257" i="1"/>
  <c r="BU257" i="1"/>
  <c r="BT257" i="1"/>
  <c r="BI257" i="1"/>
  <c r="BD257" i="1"/>
  <c r="BB257" i="1"/>
  <c r="AR257" i="1"/>
  <c r="Y257" i="1"/>
  <c r="W257" i="1"/>
  <c r="M257" i="1"/>
  <c r="G257" i="1"/>
  <c r="F257" i="1"/>
  <c r="E257" i="1"/>
  <c r="DA256" i="1"/>
  <c r="CZ256" i="1"/>
  <c r="CY256" i="1"/>
  <c r="CW256" i="1"/>
  <c r="BW256" i="1"/>
  <c r="BV256" i="1"/>
  <c r="BU256" i="1"/>
  <c r="BT256" i="1"/>
  <c r="BP256" i="1"/>
  <c r="BM256" i="1"/>
  <c r="BL256" i="1"/>
  <c r="BI256" i="1"/>
  <c r="BD256" i="1"/>
  <c r="BB256" i="1"/>
  <c r="AR256" i="1"/>
  <c r="AK256" i="1"/>
  <c r="AH256" i="1"/>
  <c r="AG256" i="1"/>
  <c r="Y256" i="1"/>
  <c r="W256" i="1"/>
  <c r="M256" i="1"/>
  <c r="G256" i="1"/>
  <c r="F256" i="1"/>
  <c r="E256" i="1"/>
  <c r="DA255" i="1"/>
  <c r="CZ255" i="1"/>
  <c r="CY255" i="1"/>
  <c r="CW255" i="1"/>
  <c r="CV255" i="1"/>
  <c r="CH255" i="1"/>
  <c r="CG255" i="1"/>
  <c r="CF255" i="1"/>
  <c r="CE255" i="1"/>
  <c r="CD255" i="1"/>
  <c r="CC255" i="1"/>
  <c r="CB255" i="1"/>
  <c r="CA255" i="1"/>
  <c r="BW255" i="1"/>
  <c r="BV255" i="1"/>
  <c r="BU255" i="1"/>
  <c r="BT255" i="1"/>
  <c r="BS255" i="1"/>
  <c r="BI255" i="1"/>
  <c r="CM255" i="1" s="1"/>
  <c r="BB255" i="1"/>
  <c r="AR255" i="1"/>
  <c r="AD255" i="1"/>
  <c r="CQ255" i="1" s="1"/>
  <c r="W255" i="1"/>
  <c r="M255" i="1"/>
  <c r="G255" i="1"/>
  <c r="F255" i="1"/>
  <c r="E255" i="1"/>
  <c r="DA254" i="1"/>
  <c r="CY254" i="1"/>
  <c r="CW254" i="1"/>
  <c r="CV254" i="1"/>
  <c r="CH254" i="1"/>
  <c r="CG254" i="1"/>
  <c r="CF254" i="1"/>
  <c r="CE254" i="1"/>
  <c r="CD254" i="1"/>
  <c r="CC254" i="1"/>
  <c r="CB254" i="1"/>
  <c r="CA254" i="1"/>
  <c r="CI254" i="1" s="1"/>
  <c r="BW254" i="1"/>
  <c r="BV254" i="1"/>
  <c r="BU254" i="1"/>
  <c r="BT254" i="1"/>
  <c r="BS254" i="1"/>
  <c r="BP254" i="1"/>
  <c r="BI254" i="1"/>
  <c r="BB254" i="1"/>
  <c r="AR254" i="1"/>
  <c r="AK254" i="1"/>
  <c r="CZ254" i="1" s="1"/>
  <c r="AD254" i="1"/>
  <c r="W254" i="1"/>
  <c r="M254" i="1"/>
  <c r="G254" i="1"/>
  <c r="F254" i="1"/>
  <c r="E254" i="1"/>
  <c r="DA253" i="1"/>
  <c r="CZ253" i="1"/>
  <c r="CY253" i="1"/>
  <c r="CW253" i="1"/>
  <c r="CV253" i="1"/>
  <c r="CH253" i="1"/>
  <c r="CG253" i="1"/>
  <c r="CB253" i="1"/>
  <c r="BW253" i="1"/>
  <c r="BV253" i="1"/>
  <c r="BU253" i="1"/>
  <c r="BT253" i="1"/>
  <c r="BI253" i="1"/>
  <c r="BB253" i="1"/>
  <c r="AR253" i="1"/>
  <c r="AD253" i="1"/>
  <c r="Y253" i="1"/>
  <c r="CF253" i="1" s="1"/>
  <c r="W253" i="1"/>
  <c r="M253" i="1"/>
  <c r="G253" i="1"/>
  <c r="F253" i="1"/>
  <c r="E253" i="1"/>
  <c r="DA252" i="1"/>
  <c r="CZ252" i="1"/>
  <c r="CY252" i="1"/>
  <c r="CV252" i="1"/>
  <c r="CH252" i="1"/>
  <c r="CD252" i="1"/>
  <c r="CB252" i="1"/>
  <c r="BW252" i="1"/>
  <c r="BV252" i="1"/>
  <c r="BU252" i="1"/>
  <c r="BT252" i="1"/>
  <c r="BP252" i="1"/>
  <c r="BI252" i="1"/>
  <c r="BB252" i="1"/>
  <c r="AR252" i="1"/>
  <c r="AK252" i="1"/>
  <c r="AH252" i="1"/>
  <c r="CW252" i="1" s="1"/>
  <c r="AG252" i="1"/>
  <c r="Y252" i="1"/>
  <c r="CE252" i="1" s="1"/>
  <c r="W252" i="1"/>
  <c r="M252" i="1"/>
  <c r="G252" i="1"/>
  <c r="F252" i="1"/>
  <c r="E252" i="1"/>
  <c r="DA251" i="1"/>
  <c r="CZ251" i="1"/>
  <c r="CY251" i="1"/>
  <c r="CW251" i="1"/>
  <c r="CV251" i="1"/>
  <c r="BW251" i="1"/>
  <c r="BV251" i="1"/>
  <c r="BU251" i="1"/>
  <c r="BT251" i="1"/>
  <c r="BI251" i="1"/>
  <c r="BB251" i="1"/>
  <c r="AR251" i="1"/>
  <c r="Y251" i="1"/>
  <c r="W251" i="1"/>
  <c r="M251" i="1"/>
  <c r="G251" i="1"/>
  <c r="F251" i="1"/>
  <c r="E251" i="1"/>
  <c r="DA250" i="1"/>
  <c r="CZ250" i="1"/>
  <c r="CY250" i="1"/>
  <c r="CF250" i="1"/>
  <c r="BW250" i="1"/>
  <c r="BV250" i="1"/>
  <c r="BU250" i="1"/>
  <c r="BT250" i="1"/>
  <c r="BD250" i="1"/>
  <c r="CH250" i="1" s="1"/>
  <c r="BB250" i="1"/>
  <c r="AR250" i="1"/>
  <c r="AH250" i="1"/>
  <c r="CW250" i="1" s="1"/>
  <c r="AG250" i="1"/>
  <c r="CV250" i="1" s="1"/>
  <c r="Y250" i="1"/>
  <c r="W250" i="1"/>
  <c r="M250" i="1"/>
  <c r="G250" i="1"/>
  <c r="F250" i="1"/>
  <c r="E250" i="1"/>
  <c r="DA249" i="1"/>
  <c r="CZ249" i="1"/>
  <c r="CY249" i="1"/>
  <c r="CW249" i="1"/>
  <c r="CV249" i="1"/>
  <c r="CF249" i="1"/>
  <c r="CE249" i="1"/>
  <c r="CA249" i="1"/>
  <c r="BW249" i="1"/>
  <c r="BV249" i="1"/>
  <c r="BU249" i="1"/>
  <c r="BT249" i="1"/>
  <c r="BI249" i="1"/>
  <c r="BB249" i="1"/>
  <c r="AR249" i="1"/>
  <c r="Y249" i="1"/>
  <c r="CD249" i="1" s="1"/>
  <c r="W249" i="1"/>
  <c r="M249" i="1"/>
  <c r="G249" i="1"/>
  <c r="F249" i="1"/>
  <c r="E249" i="1"/>
  <c r="DA248" i="1"/>
  <c r="CZ248" i="1"/>
  <c r="CY248" i="1"/>
  <c r="CW248" i="1"/>
  <c r="CV248" i="1"/>
  <c r="CF248" i="1"/>
  <c r="CE248" i="1"/>
  <c r="CD248" i="1"/>
  <c r="CC248" i="1"/>
  <c r="CB248" i="1"/>
  <c r="BW248" i="1"/>
  <c r="BV248" i="1"/>
  <c r="BU248" i="1"/>
  <c r="BT248" i="1"/>
  <c r="BS248" i="1"/>
  <c r="BI248" i="1"/>
  <c r="BB248" i="1"/>
  <c r="AR248" i="1"/>
  <c r="Y248" i="1"/>
  <c r="W248" i="1"/>
  <c r="M248" i="1"/>
  <c r="G248" i="1"/>
  <c r="F248" i="1"/>
  <c r="E248" i="1"/>
  <c r="DA247" i="1"/>
  <c r="CY247" i="1"/>
  <c r="CW247" i="1"/>
  <c r="CV247" i="1"/>
  <c r="CH247" i="1"/>
  <c r="CF247" i="1"/>
  <c r="CB247" i="1"/>
  <c r="CA247" i="1"/>
  <c r="BW247" i="1"/>
  <c r="BV247" i="1"/>
  <c r="BU247" i="1"/>
  <c r="BT247" i="1"/>
  <c r="BP247" i="1"/>
  <c r="BI247" i="1"/>
  <c r="BB247" i="1"/>
  <c r="AR247" i="1"/>
  <c r="AK247" i="1"/>
  <c r="CZ247" i="1" s="1"/>
  <c r="Y247" i="1"/>
  <c r="CG247" i="1" s="1"/>
  <c r="W247" i="1"/>
  <c r="M247" i="1"/>
  <c r="G247" i="1"/>
  <c r="F247" i="1"/>
  <c r="E247" i="1"/>
  <c r="DA246" i="1"/>
  <c r="CZ246" i="1"/>
  <c r="CY246" i="1"/>
  <c r="CW246" i="1"/>
  <c r="CV246" i="1"/>
  <c r="CP246" i="1"/>
  <c r="CO246" i="1"/>
  <c r="CK246" i="1"/>
  <c r="CH246" i="1"/>
  <c r="CG246" i="1"/>
  <c r="CF246" i="1"/>
  <c r="CE246" i="1"/>
  <c r="CD246" i="1"/>
  <c r="CC246" i="1"/>
  <c r="CB246" i="1"/>
  <c r="CA246" i="1"/>
  <c r="CI246" i="1" s="1"/>
  <c r="BW246" i="1"/>
  <c r="BV246" i="1"/>
  <c r="BU246" i="1"/>
  <c r="BT246" i="1"/>
  <c r="BS246" i="1"/>
  <c r="BI246" i="1"/>
  <c r="BB246" i="1"/>
  <c r="AR246" i="1"/>
  <c r="AD246" i="1"/>
  <c r="CN246" i="1" s="1"/>
  <c r="W246" i="1"/>
  <c r="M246" i="1"/>
  <c r="G246" i="1"/>
  <c r="F246" i="1"/>
  <c r="E246" i="1"/>
  <c r="DA245" i="1"/>
  <c r="CZ245" i="1"/>
  <c r="CY245" i="1"/>
  <c r="CW245" i="1"/>
  <c r="CV245" i="1"/>
  <c r="CN245" i="1"/>
  <c r="CM245" i="1"/>
  <c r="CH245" i="1"/>
  <c r="CG245" i="1"/>
  <c r="CF245" i="1"/>
  <c r="CE245" i="1"/>
  <c r="CD245" i="1"/>
  <c r="CC245" i="1"/>
  <c r="CB245" i="1"/>
  <c r="CA245" i="1"/>
  <c r="CI245" i="1" s="1"/>
  <c r="BW245" i="1"/>
  <c r="BV245" i="1"/>
  <c r="BU245" i="1"/>
  <c r="BT245" i="1"/>
  <c r="BS245" i="1"/>
  <c r="BI245" i="1"/>
  <c r="CK245" i="1" s="1"/>
  <c r="BB245" i="1"/>
  <c r="AR245" i="1"/>
  <c r="AD245" i="1"/>
  <c r="CP245" i="1" s="1"/>
  <c r="W245" i="1"/>
  <c r="M245" i="1"/>
  <c r="G245" i="1"/>
  <c r="F245" i="1"/>
  <c r="E245" i="1"/>
  <c r="DA244" i="1"/>
  <c r="CZ244" i="1"/>
  <c r="CY244" i="1"/>
  <c r="CW244" i="1"/>
  <c r="CV244" i="1"/>
  <c r="CR244" i="1"/>
  <c r="CP244" i="1"/>
  <c r="CO244" i="1"/>
  <c r="CH244" i="1"/>
  <c r="CG244" i="1"/>
  <c r="CF244" i="1"/>
  <c r="CE244" i="1"/>
  <c r="CD244" i="1"/>
  <c r="CC244" i="1"/>
  <c r="CB244" i="1"/>
  <c r="CA244" i="1"/>
  <c r="CI244" i="1" s="1"/>
  <c r="BX244" i="1"/>
  <c r="BW244" i="1"/>
  <c r="BV244" i="1"/>
  <c r="BU244" i="1"/>
  <c r="BT244" i="1"/>
  <c r="BS244" i="1"/>
  <c r="BI244" i="1"/>
  <c r="BB244" i="1"/>
  <c r="AR244" i="1"/>
  <c r="AD244" i="1"/>
  <c r="CM244" i="1" s="1"/>
  <c r="W244" i="1"/>
  <c r="M244" i="1"/>
  <c r="G244" i="1"/>
  <c r="F244" i="1"/>
  <c r="E244" i="1"/>
  <c r="DA243" i="1"/>
  <c r="CZ243" i="1"/>
  <c r="CY243" i="1"/>
  <c r="CW243" i="1"/>
  <c r="CV243" i="1"/>
  <c r="CR243" i="1"/>
  <c r="CP243" i="1"/>
  <c r="CO243" i="1"/>
  <c r="CN243" i="1"/>
  <c r="CM243" i="1"/>
  <c r="CL243" i="1"/>
  <c r="CH243" i="1"/>
  <c r="CG243" i="1"/>
  <c r="CF243" i="1"/>
  <c r="CE243" i="1"/>
  <c r="CD243" i="1"/>
  <c r="CC243" i="1"/>
  <c r="CB243" i="1"/>
  <c r="CA243" i="1"/>
  <c r="CI243" i="1" s="1"/>
  <c r="BX243" i="1"/>
  <c r="BW243" i="1"/>
  <c r="BV243" i="1"/>
  <c r="BU243" i="1"/>
  <c r="BT243" i="1"/>
  <c r="BS243" i="1"/>
  <c r="BI243" i="1"/>
  <c r="BB243" i="1"/>
  <c r="AR243" i="1"/>
  <c r="AD243" i="1"/>
  <c r="CK243" i="1" s="1"/>
  <c r="W243" i="1"/>
  <c r="M243" i="1"/>
  <c r="G243" i="1"/>
  <c r="F243" i="1"/>
  <c r="E243" i="1"/>
  <c r="DA242" i="1"/>
  <c r="CZ242" i="1"/>
  <c r="CY242" i="1"/>
  <c r="CW242" i="1"/>
  <c r="CV242" i="1"/>
  <c r="CH242" i="1"/>
  <c r="CG242" i="1"/>
  <c r="CF242" i="1"/>
  <c r="CE242" i="1"/>
  <c r="CD242" i="1"/>
  <c r="CC242" i="1"/>
  <c r="CB242" i="1"/>
  <c r="CA242" i="1"/>
  <c r="CI242" i="1" s="1"/>
  <c r="BW242" i="1"/>
  <c r="BV242" i="1"/>
  <c r="BU242" i="1"/>
  <c r="BT242" i="1"/>
  <c r="BS242" i="1"/>
  <c r="BI242" i="1"/>
  <c r="BB242" i="1"/>
  <c r="AR242" i="1"/>
  <c r="AD242" i="1"/>
  <c r="W242" i="1"/>
  <c r="M242" i="1"/>
  <c r="G242" i="1"/>
  <c r="F242" i="1"/>
  <c r="E242" i="1"/>
  <c r="DA241" i="1"/>
  <c r="CZ241" i="1"/>
  <c r="CY241" i="1"/>
  <c r="CW241" i="1"/>
  <c r="CV241" i="1"/>
  <c r="CR241" i="1"/>
  <c r="CP241" i="1"/>
  <c r="CM241" i="1"/>
  <c r="CL241" i="1"/>
  <c r="CH241" i="1"/>
  <c r="CG241" i="1"/>
  <c r="CF241" i="1"/>
  <c r="CE241" i="1"/>
  <c r="CD241" i="1"/>
  <c r="CC241" i="1"/>
  <c r="CB241" i="1"/>
  <c r="CA241" i="1"/>
  <c r="CI241" i="1" s="1"/>
  <c r="BX241" i="1"/>
  <c r="BW241" i="1"/>
  <c r="BV241" i="1"/>
  <c r="BU241" i="1"/>
  <c r="BT241" i="1"/>
  <c r="BS241" i="1"/>
  <c r="BI241" i="1"/>
  <c r="CK241" i="1" s="1"/>
  <c r="BB241" i="1"/>
  <c r="AR241" i="1"/>
  <c r="AD241" i="1"/>
  <c r="W241" i="1"/>
  <c r="M241" i="1"/>
  <c r="G241" i="1"/>
  <c r="F241" i="1"/>
  <c r="E241" i="1"/>
  <c r="DA240" i="1"/>
  <c r="CZ240" i="1"/>
  <c r="CY240" i="1"/>
  <c r="CW240" i="1"/>
  <c r="CV240" i="1"/>
  <c r="BW240" i="1"/>
  <c r="BV240" i="1"/>
  <c r="BU240" i="1"/>
  <c r="BT240" i="1"/>
  <c r="BI240" i="1"/>
  <c r="BB240" i="1"/>
  <c r="AR240" i="1"/>
  <c r="Y240" i="1"/>
  <c r="CD240" i="1" s="1"/>
  <c r="W240" i="1"/>
  <c r="M240" i="1"/>
  <c r="G240" i="1"/>
  <c r="F240" i="1"/>
  <c r="E240" i="1"/>
  <c r="DA239" i="1"/>
  <c r="CZ239" i="1"/>
  <c r="CY239" i="1"/>
  <c r="CW239" i="1"/>
  <c r="CV239" i="1"/>
  <c r="CG239" i="1"/>
  <c r="CB239" i="1"/>
  <c r="CA239" i="1"/>
  <c r="BW239" i="1"/>
  <c r="BV239" i="1"/>
  <c r="BU239" i="1"/>
  <c r="BT239" i="1"/>
  <c r="BI239" i="1"/>
  <c r="BB239" i="1"/>
  <c r="AR239" i="1"/>
  <c r="Y239" i="1"/>
  <c r="CF239" i="1" s="1"/>
  <c r="W239" i="1"/>
  <c r="M239" i="1"/>
  <c r="G239" i="1"/>
  <c r="F239" i="1"/>
  <c r="E239" i="1"/>
  <c r="DA238" i="1"/>
  <c r="CZ238" i="1"/>
  <c r="CY238" i="1"/>
  <c r="CW238" i="1"/>
  <c r="CV238" i="1"/>
  <c r="CO238" i="1"/>
  <c r="CN238" i="1"/>
  <c r="CL238" i="1"/>
  <c r="CH238" i="1"/>
  <c r="CG238" i="1"/>
  <c r="CF238" i="1"/>
  <c r="CE238" i="1"/>
  <c r="CD238" i="1"/>
  <c r="CC238" i="1"/>
  <c r="CB238" i="1"/>
  <c r="CA238" i="1"/>
  <c r="CI238" i="1" s="1"/>
  <c r="BW238" i="1"/>
  <c r="BV238" i="1"/>
  <c r="BU238" i="1"/>
  <c r="BT238" i="1"/>
  <c r="BS238" i="1"/>
  <c r="BI238" i="1"/>
  <c r="BB238" i="1"/>
  <c r="AR238" i="1"/>
  <c r="AD238" i="1"/>
  <c r="CK238" i="1" s="1"/>
  <c r="W238" i="1"/>
  <c r="M238" i="1"/>
  <c r="G238" i="1"/>
  <c r="F238" i="1"/>
  <c r="E238" i="1"/>
  <c r="DA237" i="1"/>
  <c r="CZ237" i="1"/>
  <c r="CY237" i="1"/>
  <c r="CW237" i="1"/>
  <c r="CV237" i="1"/>
  <c r="CP237" i="1"/>
  <c r="CK237" i="1"/>
  <c r="CH237" i="1"/>
  <c r="CG237" i="1"/>
  <c r="CF237" i="1"/>
  <c r="CE237" i="1"/>
  <c r="CD237" i="1"/>
  <c r="CC237" i="1"/>
  <c r="CB237" i="1"/>
  <c r="CA237" i="1"/>
  <c r="CI237" i="1" s="1"/>
  <c r="BW237" i="1"/>
  <c r="BV237" i="1"/>
  <c r="BU237" i="1"/>
  <c r="BT237" i="1"/>
  <c r="BS237" i="1"/>
  <c r="BI237" i="1"/>
  <c r="CL237" i="1" s="1"/>
  <c r="BB237" i="1"/>
  <c r="AR237" i="1"/>
  <c r="AD237" i="1"/>
  <c r="CO237" i="1" s="1"/>
  <c r="W237" i="1"/>
  <c r="M237" i="1"/>
  <c r="G237" i="1"/>
  <c r="F237" i="1"/>
  <c r="E237" i="1"/>
  <c r="DA236" i="1"/>
  <c r="CZ236" i="1"/>
  <c r="CY236" i="1"/>
  <c r="CW236" i="1"/>
  <c r="CV236" i="1"/>
  <c r="CR236" i="1"/>
  <c r="CQ236" i="1"/>
  <c r="CO236" i="1"/>
  <c r="CN236" i="1"/>
  <c r="CL236" i="1"/>
  <c r="CH236" i="1"/>
  <c r="CG236" i="1"/>
  <c r="CF236" i="1"/>
  <c r="CE236" i="1"/>
  <c r="CD236" i="1"/>
  <c r="CC236" i="1"/>
  <c r="CB236" i="1"/>
  <c r="CA236" i="1"/>
  <c r="CI236" i="1" s="1"/>
  <c r="BX236" i="1"/>
  <c r="BW236" i="1"/>
  <c r="BV236" i="1"/>
  <c r="BU236" i="1"/>
  <c r="BT236" i="1"/>
  <c r="BS236" i="1"/>
  <c r="BI236" i="1"/>
  <c r="BB236" i="1"/>
  <c r="AR236" i="1"/>
  <c r="AD236" i="1"/>
  <c r="CP236" i="1" s="1"/>
  <c r="W236" i="1"/>
  <c r="M236" i="1"/>
  <c r="G236" i="1"/>
  <c r="F236" i="1"/>
  <c r="E236" i="1"/>
  <c r="DA235" i="1"/>
  <c r="CZ235" i="1"/>
  <c r="CY235" i="1"/>
  <c r="CW235" i="1"/>
  <c r="CV235" i="1"/>
  <c r="CH235" i="1"/>
  <c r="CG235" i="1"/>
  <c r="CF235" i="1"/>
  <c r="CE235" i="1"/>
  <c r="CD235" i="1"/>
  <c r="CC235" i="1"/>
  <c r="CB235" i="1"/>
  <c r="CA235" i="1"/>
  <c r="CI235" i="1" s="1"/>
  <c r="BW235" i="1"/>
  <c r="BV235" i="1"/>
  <c r="BU235" i="1"/>
  <c r="BT235" i="1"/>
  <c r="BS235" i="1"/>
  <c r="BI235" i="1"/>
  <c r="BB235" i="1"/>
  <c r="AR235" i="1"/>
  <c r="AD235" i="1"/>
  <c r="CO235" i="1" s="1"/>
  <c r="W235" i="1"/>
  <c r="M235" i="1"/>
  <c r="G235" i="1"/>
  <c r="F235" i="1"/>
  <c r="E235" i="1"/>
  <c r="DA234" i="1"/>
  <c r="CZ234" i="1"/>
  <c r="CY234" i="1"/>
  <c r="CW234" i="1"/>
  <c r="CV234" i="1"/>
  <c r="CF234" i="1"/>
  <c r="CC234" i="1"/>
  <c r="BW234" i="1"/>
  <c r="BV234" i="1"/>
  <c r="BU234" i="1"/>
  <c r="BT234" i="1"/>
  <c r="BS234" i="1"/>
  <c r="BP234" i="1"/>
  <c r="BO234" i="1"/>
  <c r="BD234" i="1"/>
  <c r="BI234" i="1" s="1"/>
  <c r="BB234" i="1"/>
  <c r="AR234" i="1"/>
  <c r="AK234" i="1"/>
  <c r="AJ234" i="1"/>
  <c r="Y234" i="1"/>
  <c r="CE234" i="1" s="1"/>
  <c r="W234" i="1"/>
  <c r="M234" i="1"/>
  <c r="G234" i="1"/>
  <c r="F234" i="1"/>
  <c r="E234" i="1"/>
  <c r="DA233" i="1"/>
  <c r="CZ233" i="1"/>
  <c r="CY233" i="1"/>
  <c r="CW233" i="1"/>
  <c r="CV233" i="1"/>
  <c r="CR233" i="1"/>
  <c r="CQ233" i="1"/>
  <c r="CP233" i="1"/>
  <c r="CO233" i="1"/>
  <c r="CN233" i="1"/>
  <c r="CM233" i="1"/>
  <c r="CL233" i="1"/>
  <c r="CK233" i="1"/>
  <c r="CS233" i="1" s="1"/>
  <c r="CT233" i="1" s="1"/>
  <c r="CH233" i="1"/>
  <c r="CG233" i="1"/>
  <c r="CF233" i="1"/>
  <c r="CE233" i="1"/>
  <c r="CD233" i="1"/>
  <c r="CC233" i="1"/>
  <c r="CB233" i="1"/>
  <c r="CA233" i="1"/>
  <c r="CI233" i="1" s="1"/>
  <c r="BX233" i="1"/>
  <c r="BW233" i="1"/>
  <c r="BV233" i="1"/>
  <c r="BU233" i="1"/>
  <c r="BT233" i="1"/>
  <c r="BS233" i="1"/>
  <c r="BB233" i="1"/>
  <c r="AR233" i="1"/>
  <c r="W233" i="1"/>
  <c r="M233" i="1"/>
  <c r="G233" i="1"/>
  <c r="F233" i="1"/>
  <c r="E233" i="1"/>
  <c r="DA232" i="1"/>
  <c r="CZ232" i="1"/>
  <c r="CY232" i="1"/>
  <c r="CW232" i="1"/>
  <c r="CV232" i="1"/>
  <c r="CR232" i="1"/>
  <c r="CQ232" i="1"/>
  <c r="CP232" i="1"/>
  <c r="CO232" i="1"/>
  <c r="CN232" i="1"/>
  <c r="CM232" i="1"/>
  <c r="CL232" i="1"/>
  <c r="CK232" i="1"/>
  <c r="CS232" i="1" s="1"/>
  <c r="CT232" i="1" s="1"/>
  <c r="CH232" i="1"/>
  <c r="CG232" i="1"/>
  <c r="CF232" i="1"/>
  <c r="CE232" i="1"/>
  <c r="CD232" i="1"/>
  <c r="CC232" i="1"/>
  <c r="CB232" i="1"/>
  <c r="CA232" i="1"/>
  <c r="CI232" i="1" s="1"/>
  <c r="BX232" i="1"/>
  <c r="BW232" i="1"/>
  <c r="BV232" i="1"/>
  <c r="BU232" i="1"/>
  <c r="BT232" i="1"/>
  <c r="BS232" i="1"/>
  <c r="W232" i="1"/>
  <c r="M232" i="1"/>
  <c r="G232" i="1"/>
  <c r="F232" i="1"/>
  <c r="E232" i="1"/>
  <c r="DA231" i="1"/>
  <c r="CZ231" i="1"/>
  <c r="CY231" i="1"/>
  <c r="CV231" i="1"/>
  <c r="CP231" i="1"/>
  <c r="CL231" i="1"/>
  <c r="CK231" i="1"/>
  <c r="CH231" i="1"/>
  <c r="CG231" i="1"/>
  <c r="CF231" i="1"/>
  <c r="CE231" i="1"/>
  <c r="CD231" i="1"/>
  <c r="CC231" i="1"/>
  <c r="CB231" i="1"/>
  <c r="CA231" i="1"/>
  <c r="CI231" i="1" s="1"/>
  <c r="BW231" i="1"/>
  <c r="BV231" i="1"/>
  <c r="BU231" i="1"/>
  <c r="BT231" i="1"/>
  <c r="BS231" i="1"/>
  <c r="BM231" i="1"/>
  <c r="CW231" i="1" s="1"/>
  <c r="BI231" i="1"/>
  <c r="BB231" i="1"/>
  <c r="AR231" i="1"/>
  <c r="AH231" i="1"/>
  <c r="AD231" i="1"/>
  <c r="CR231" i="1" s="1"/>
  <c r="W231" i="1"/>
  <c r="M231" i="1"/>
  <c r="G231" i="1"/>
  <c r="F231" i="1"/>
  <c r="E231" i="1"/>
  <c r="DA230" i="1"/>
  <c r="CZ230" i="1"/>
  <c r="CY230" i="1"/>
  <c r="CW230" i="1"/>
  <c r="CV230" i="1"/>
  <c r="CH230" i="1"/>
  <c r="CG230" i="1"/>
  <c r="CF230" i="1"/>
  <c r="CE230" i="1"/>
  <c r="CD230" i="1"/>
  <c r="CC230" i="1"/>
  <c r="CB230" i="1"/>
  <c r="CA230" i="1"/>
  <c r="CI230" i="1" s="1"/>
  <c r="BW230" i="1"/>
  <c r="BV230" i="1"/>
  <c r="BU230" i="1"/>
  <c r="BT230" i="1"/>
  <c r="BS230" i="1"/>
  <c r="BI230" i="1"/>
  <c r="CK230" i="1" s="1"/>
  <c r="BB230" i="1"/>
  <c r="AR230" i="1"/>
  <c r="AD230" i="1"/>
  <c r="CR230" i="1" s="1"/>
  <c r="W230" i="1"/>
  <c r="M230" i="1"/>
  <c r="G230" i="1"/>
  <c r="F230" i="1"/>
  <c r="E230" i="1"/>
  <c r="DA229" i="1"/>
  <c r="CZ229" i="1"/>
  <c r="CY229" i="1"/>
  <c r="CW229" i="1"/>
  <c r="CV229" i="1"/>
  <c r="CQ229" i="1"/>
  <c r="CH229" i="1"/>
  <c r="CG229" i="1"/>
  <c r="CF229" i="1"/>
  <c r="CE229" i="1"/>
  <c r="CD229" i="1"/>
  <c r="CC229" i="1"/>
  <c r="CB229" i="1"/>
  <c r="CA229" i="1"/>
  <c r="CI229" i="1" s="1"/>
  <c r="BX229" i="1"/>
  <c r="BW229" i="1"/>
  <c r="BV229" i="1"/>
  <c r="BU229" i="1"/>
  <c r="BT229" i="1"/>
  <c r="BS229" i="1"/>
  <c r="BM229" i="1"/>
  <c r="BI229" i="1"/>
  <c r="CR229" i="1" s="1"/>
  <c r="BB229" i="1"/>
  <c r="AR229" i="1"/>
  <c r="AH229" i="1"/>
  <c r="AD229" i="1"/>
  <c r="CP229" i="1" s="1"/>
  <c r="W229" i="1"/>
  <c r="M229" i="1"/>
  <c r="G229" i="1"/>
  <c r="F229" i="1"/>
  <c r="E229" i="1"/>
  <c r="DA228" i="1"/>
  <c r="CZ228" i="1"/>
  <c r="CY228" i="1"/>
  <c r="CV228" i="1"/>
  <c r="BW228" i="1"/>
  <c r="BV228" i="1"/>
  <c r="BU228" i="1"/>
  <c r="BT228" i="1"/>
  <c r="BM228" i="1"/>
  <c r="BD228" i="1"/>
  <c r="CG228" i="1" s="1"/>
  <c r="BB228" i="1"/>
  <c r="AR228" i="1"/>
  <c r="AH228" i="1"/>
  <c r="CW228" i="1" s="1"/>
  <c r="Y228" i="1"/>
  <c r="CF228" i="1" s="1"/>
  <c r="W228" i="1"/>
  <c r="M228" i="1"/>
  <c r="G228" i="1"/>
  <c r="F228" i="1"/>
  <c r="E228" i="1"/>
  <c r="DA227" i="1"/>
  <c r="CZ227" i="1"/>
  <c r="CY227" i="1"/>
  <c r="CV227" i="1"/>
  <c r="CC227" i="1"/>
  <c r="BW227" i="1"/>
  <c r="BV227" i="1"/>
  <c r="BU227" i="1"/>
  <c r="BT227" i="1"/>
  <c r="BS227" i="1"/>
  <c r="BM227" i="1"/>
  <c r="CW227" i="1" s="1"/>
  <c r="BI227" i="1"/>
  <c r="BB227" i="1"/>
  <c r="AR227" i="1"/>
  <c r="AH227" i="1"/>
  <c r="Y227" i="1"/>
  <c r="CB227" i="1" s="1"/>
  <c r="W227" i="1"/>
  <c r="M227" i="1"/>
  <c r="G227" i="1"/>
  <c r="F227" i="1"/>
  <c r="E227" i="1"/>
  <c r="DA226" i="1"/>
  <c r="CZ226" i="1"/>
  <c r="CY226" i="1"/>
  <c r="CW226" i="1"/>
  <c r="CV226" i="1"/>
  <c r="CQ226" i="1"/>
  <c r="CP226" i="1"/>
  <c r="CO226" i="1"/>
  <c r="CN226" i="1"/>
  <c r="CM226" i="1"/>
  <c r="CL226" i="1"/>
  <c r="CK226" i="1"/>
  <c r="CH226" i="1"/>
  <c r="CG226" i="1"/>
  <c r="CF226" i="1"/>
  <c r="CE226" i="1"/>
  <c r="CD226" i="1"/>
  <c r="CC226" i="1"/>
  <c r="CB226" i="1"/>
  <c r="CA226" i="1"/>
  <c r="CI226" i="1" s="1"/>
  <c r="BX226" i="1"/>
  <c r="BW226" i="1"/>
  <c r="BV226" i="1"/>
  <c r="BU226" i="1"/>
  <c r="BT226" i="1"/>
  <c r="BS226" i="1"/>
  <c r="AH226" i="1"/>
  <c r="AD226" i="1"/>
  <c r="CR226" i="1" s="1"/>
  <c r="W226" i="1"/>
  <c r="M226" i="1"/>
  <c r="G226" i="1"/>
  <c r="F226" i="1"/>
  <c r="E226" i="1"/>
  <c r="DA225" i="1"/>
  <c r="CZ225" i="1"/>
  <c r="CY225" i="1"/>
  <c r="CV225" i="1"/>
  <c r="CL225" i="1"/>
  <c r="CK225" i="1"/>
  <c r="CH225" i="1"/>
  <c r="CG225" i="1"/>
  <c r="CF225" i="1"/>
  <c r="CE225" i="1"/>
  <c r="CD225" i="1"/>
  <c r="CC225" i="1"/>
  <c r="CB225" i="1"/>
  <c r="CA225" i="1"/>
  <c r="CI225" i="1" s="1"/>
  <c r="BW225" i="1"/>
  <c r="BV225" i="1"/>
  <c r="BU225" i="1"/>
  <c r="BT225" i="1"/>
  <c r="BS225" i="1"/>
  <c r="BM225" i="1"/>
  <c r="CW225" i="1" s="1"/>
  <c r="BI225" i="1"/>
  <c r="CR225" i="1" s="1"/>
  <c r="BB225" i="1"/>
  <c r="AR225" i="1"/>
  <c r="AH225" i="1"/>
  <c r="AD225" i="1"/>
  <c r="CO225" i="1" s="1"/>
  <c r="W225" i="1"/>
  <c r="M225" i="1"/>
  <c r="G225" i="1"/>
  <c r="F225" i="1"/>
  <c r="E225" i="1"/>
  <c r="DA224" i="1"/>
  <c r="CZ224" i="1"/>
  <c r="CY224" i="1"/>
  <c r="CV224" i="1"/>
  <c r="CM224" i="1"/>
  <c r="CL224" i="1"/>
  <c r="CK224" i="1"/>
  <c r="CH224" i="1"/>
  <c r="CG224" i="1"/>
  <c r="CF224" i="1"/>
  <c r="CE224" i="1"/>
  <c r="CD224" i="1"/>
  <c r="CC224" i="1"/>
  <c r="CB224" i="1"/>
  <c r="CA224" i="1"/>
  <c r="CI224" i="1" s="1"/>
  <c r="BW224" i="1"/>
  <c r="BV224" i="1"/>
  <c r="BU224" i="1"/>
  <c r="BT224" i="1"/>
  <c r="BS224" i="1"/>
  <c r="BM224" i="1"/>
  <c r="CW224" i="1" s="1"/>
  <c r="BI224" i="1"/>
  <c r="CR224" i="1" s="1"/>
  <c r="BB224" i="1"/>
  <c r="AR224" i="1"/>
  <c r="AH224" i="1"/>
  <c r="AD224" i="1"/>
  <c r="CP224" i="1" s="1"/>
  <c r="W224" i="1"/>
  <c r="M224" i="1"/>
  <c r="G224" i="1"/>
  <c r="F224" i="1"/>
  <c r="E224" i="1"/>
  <c r="DA223" i="1"/>
  <c r="CZ223" i="1"/>
  <c r="CY223" i="1"/>
  <c r="CV223" i="1"/>
  <c r="CL223" i="1"/>
  <c r="CK223" i="1"/>
  <c r="CH223" i="1"/>
  <c r="CG223" i="1"/>
  <c r="CF223" i="1"/>
  <c r="CE223" i="1"/>
  <c r="CD223" i="1"/>
  <c r="CC223" i="1"/>
  <c r="CB223" i="1"/>
  <c r="CA223" i="1"/>
  <c r="CI223" i="1" s="1"/>
  <c r="BW223" i="1"/>
  <c r="BV223" i="1"/>
  <c r="BU223" i="1"/>
  <c r="BT223" i="1"/>
  <c r="BS223" i="1"/>
  <c r="BM223" i="1"/>
  <c r="CW223" i="1" s="1"/>
  <c r="BI223" i="1"/>
  <c r="CR223" i="1" s="1"/>
  <c r="BB223" i="1"/>
  <c r="AR223" i="1"/>
  <c r="AH223" i="1"/>
  <c r="AD223" i="1"/>
  <c r="CP223" i="1" s="1"/>
  <c r="W223" i="1"/>
  <c r="M223" i="1"/>
  <c r="G223" i="1"/>
  <c r="F223" i="1"/>
  <c r="E223" i="1"/>
  <c r="DA222" i="1"/>
  <c r="CZ222" i="1"/>
  <c r="CY222" i="1"/>
  <c r="CV222" i="1"/>
  <c r="CM222" i="1"/>
  <c r="CL222" i="1"/>
  <c r="CK222" i="1"/>
  <c r="CH222" i="1"/>
  <c r="CG222" i="1"/>
  <c r="CF222" i="1"/>
  <c r="CE222" i="1"/>
  <c r="CD222" i="1"/>
  <c r="CC222" i="1"/>
  <c r="CB222" i="1"/>
  <c r="CA222" i="1"/>
  <c r="CI222" i="1" s="1"/>
  <c r="BW222" i="1"/>
  <c r="BV222" i="1"/>
  <c r="BU222" i="1"/>
  <c r="BT222" i="1"/>
  <c r="BS222" i="1"/>
  <c r="BM222" i="1"/>
  <c r="CW222" i="1" s="1"/>
  <c r="BI222" i="1"/>
  <c r="CR222" i="1" s="1"/>
  <c r="BB222" i="1"/>
  <c r="AR222" i="1"/>
  <c r="AH222" i="1"/>
  <c r="AD222" i="1"/>
  <c r="CQ222" i="1" s="1"/>
  <c r="W222" i="1"/>
  <c r="M222" i="1"/>
  <c r="G222" i="1"/>
  <c r="F222" i="1"/>
  <c r="E222" i="1"/>
  <c r="DA221" i="1"/>
  <c r="CZ221" i="1"/>
  <c r="CY221" i="1"/>
  <c r="CW221" i="1"/>
  <c r="CV221" i="1"/>
  <c r="CM221" i="1"/>
  <c r="CH221" i="1"/>
  <c r="CG221" i="1"/>
  <c r="CF221" i="1"/>
  <c r="CE221" i="1"/>
  <c r="CD221" i="1"/>
  <c r="CC221" i="1"/>
  <c r="CB221" i="1"/>
  <c r="CA221" i="1"/>
  <c r="CI221" i="1" s="1"/>
  <c r="BW221" i="1"/>
  <c r="BV221" i="1"/>
  <c r="BU221" i="1"/>
  <c r="BT221" i="1"/>
  <c r="BS221" i="1"/>
  <c r="BI221" i="1"/>
  <c r="CL221" i="1" s="1"/>
  <c r="BB221" i="1"/>
  <c r="AR221" i="1"/>
  <c r="AD221" i="1"/>
  <c r="CP221" i="1" s="1"/>
  <c r="W221" i="1"/>
  <c r="M221" i="1"/>
  <c r="G221" i="1"/>
  <c r="E221" i="1"/>
  <c r="DA220" i="1"/>
  <c r="CZ220" i="1"/>
  <c r="CY220" i="1"/>
  <c r="CW220" i="1"/>
  <c r="CV220" i="1"/>
  <c r="CR220" i="1"/>
  <c r="CQ220" i="1"/>
  <c r="CH220" i="1"/>
  <c r="CG220" i="1"/>
  <c r="CF220" i="1"/>
  <c r="CE220" i="1"/>
  <c r="CD220" i="1"/>
  <c r="CC220" i="1"/>
  <c r="CB220" i="1"/>
  <c r="CA220" i="1"/>
  <c r="CI220" i="1" s="1"/>
  <c r="BX220" i="1"/>
  <c r="BW220" i="1"/>
  <c r="BV220" i="1"/>
  <c r="BU220" i="1"/>
  <c r="BT220" i="1"/>
  <c r="BS220" i="1"/>
  <c r="BI220" i="1"/>
  <c r="BB220" i="1"/>
  <c r="AR220" i="1"/>
  <c r="AD220" i="1"/>
  <c r="CP220" i="1" s="1"/>
  <c r="W220" i="1"/>
  <c r="M220" i="1"/>
  <c r="G220" i="1"/>
  <c r="E220" i="1"/>
  <c r="DA219" i="1"/>
  <c r="CZ219" i="1"/>
  <c r="CY219" i="1"/>
  <c r="CW219" i="1"/>
  <c r="CV219" i="1"/>
  <c r="CH219" i="1"/>
  <c r="CG219" i="1"/>
  <c r="CF219" i="1"/>
  <c r="CE219" i="1"/>
  <c r="CD219" i="1"/>
  <c r="CC219" i="1"/>
  <c r="CB219" i="1"/>
  <c r="CA219" i="1"/>
  <c r="CI219" i="1" s="1"/>
  <c r="BW219" i="1"/>
  <c r="BV219" i="1"/>
  <c r="BU219" i="1"/>
  <c r="BT219" i="1"/>
  <c r="BS219" i="1"/>
  <c r="BI219" i="1"/>
  <c r="BB219" i="1"/>
  <c r="AR219" i="1"/>
  <c r="AD219" i="1"/>
  <c r="CO219" i="1" s="1"/>
  <c r="W219" i="1"/>
  <c r="M219" i="1"/>
  <c r="G219" i="1"/>
  <c r="E219" i="1"/>
  <c r="DA218" i="1"/>
  <c r="CZ218" i="1"/>
  <c r="CY218" i="1"/>
  <c r="CW218" i="1"/>
  <c r="CV218" i="1"/>
  <c r="CN218" i="1"/>
  <c r="CM218" i="1"/>
  <c r="CH218" i="1"/>
  <c r="CG218" i="1"/>
  <c r="CF218" i="1"/>
  <c r="CE218" i="1"/>
  <c r="CD218" i="1"/>
  <c r="CC218" i="1"/>
  <c r="CB218" i="1"/>
  <c r="CA218" i="1"/>
  <c r="CI218" i="1" s="1"/>
  <c r="BW218" i="1"/>
  <c r="BV218" i="1"/>
  <c r="BU218" i="1"/>
  <c r="BT218" i="1"/>
  <c r="BS218" i="1"/>
  <c r="BI218" i="1"/>
  <c r="CL218" i="1" s="1"/>
  <c r="BB218" i="1"/>
  <c r="AR218" i="1"/>
  <c r="AD218" i="1"/>
  <c r="CR218" i="1" s="1"/>
  <c r="W218" i="1"/>
  <c r="M218" i="1"/>
  <c r="G218" i="1"/>
  <c r="E218" i="1"/>
  <c r="DA217" i="1"/>
  <c r="CZ217" i="1"/>
  <c r="CY217" i="1"/>
  <c r="CW217" i="1"/>
  <c r="CV217" i="1"/>
  <c r="CL217" i="1"/>
  <c r="CH217" i="1"/>
  <c r="CG217" i="1"/>
  <c r="CE217" i="1"/>
  <c r="CD217" i="1"/>
  <c r="CC217" i="1"/>
  <c r="CB217" i="1"/>
  <c r="CA217" i="1"/>
  <c r="CI217" i="1" s="1"/>
  <c r="BW217" i="1"/>
  <c r="BV217" i="1"/>
  <c r="BU217" i="1"/>
  <c r="BT217" i="1"/>
  <c r="BS217" i="1"/>
  <c r="BI217" i="1"/>
  <c r="CK217" i="1" s="1"/>
  <c r="BB217" i="1"/>
  <c r="AR217" i="1"/>
  <c r="AD217" i="1"/>
  <c r="CP217" i="1" s="1"/>
  <c r="Y217" i="1"/>
  <c r="CF217" i="1" s="1"/>
  <c r="W217" i="1"/>
  <c r="M217" i="1"/>
  <c r="G217" i="1"/>
  <c r="F217" i="1"/>
  <c r="E217" i="1"/>
  <c r="DA216" i="1"/>
  <c r="CZ216" i="1"/>
  <c r="CY216" i="1"/>
  <c r="CW216" i="1"/>
  <c r="CV216" i="1"/>
  <c r="CL216" i="1"/>
  <c r="CH216" i="1"/>
  <c r="CG216" i="1"/>
  <c r="CE216" i="1"/>
  <c r="CD216" i="1"/>
  <c r="CC216" i="1"/>
  <c r="CB216" i="1"/>
  <c r="CA216" i="1"/>
  <c r="BW216" i="1"/>
  <c r="BV216" i="1"/>
  <c r="BU216" i="1"/>
  <c r="BT216" i="1"/>
  <c r="BS216" i="1"/>
  <c r="BI216" i="1"/>
  <c r="CK216" i="1" s="1"/>
  <c r="BB216" i="1"/>
  <c r="AR216" i="1"/>
  <c r="AD216" i="1"/>
  <c r="CP216" i="1" s="1"/>
  <c r="Y216" i="1"/>
  <c r="CF216" i="1" s="1"/>
  <c r="W216" i="1"/>
  <c r="M216" i="1"/>
  <c r="G216" i="1"/>
  <c r="F216" i="1"/>
  <c r="E216" i="1"/>
  <c r="DA215" i="1"/>
  <c r="CZ215" i="1"/>
  <c r="CY215" i="1"/>
  <c r="CW215" i="1"/>
  <c r="CV215" i="1"/>
  <c r="CL215" i="1"/>
  <c r="CH215" i="1"/>
  <c r="CG215" i="1"/>
  <c r="CF215" i="1"/>
  <c r="CE215" i="1"/>
  <c r="CD215" i="1"/>
  <c r="CC215" i="1"/>
  <c r="CB215" i="1"/>
  <c r="CA215" i="1"/>
  <c r="CI215" i="1" s="1"/>
  <c r="BW215" i="1"/>
  <c r="BV215" i="1"/>
  <c r="BU215" i="1"/>
  <c r="BT215" i="1"/>
  <c r="BS215" i="1"/>
  <c r="BI215" i="1"/>
  <c r="CK215" i="1" s="1"/>
  <c r="BB215" i="1"/>
  <c r="AR215" i="1"/>
  <c r="AD215" i="1"/>
  <c r="CP215" i="1" s="1"/>
  <c r="W215" i="1"/>
  <c r="M215" i="1"/>
  <c r="G215" i="1"/>
  <c r="F215" i="1"/>
  <c r="E215" i="1"/>
  <c r="DA214" i="1"/>
  <c r="CZ214" i="1"/>
  <c r="CY214" i="1"/>
  <c r="CW214" i="1"/>
  <c r="CV214" i="1"/>
  <c r="CH214" i="1"/>
  <c r="CG214" i="1"/>
  <c r="CF214" i="1"/>
  <c r="CE214" i="1"/>
  <c r="CD214" i="1"/>
  <c r="CC214" i="1"/>
  <c r="CB214" i="1"/>
  <c r="CA214" i="1"/>
  <c r="CI214" i="1" s="1"/>
  <c r="BW214" i="1"/>
  <c r="BV214" i="1"/>
  <c r="BU214" i="1"/>
  <c r="BT214" i="1"/>
  <c r="BS214" i="1"/>
  <c r="BI214" i="1"/>
  <c r="CR214" i="1" s="1"/>
  <c r="BB214" i="1"/>
  <c r="AR214" i="1"/>
  <c r="AD214" i="1"/>
  <c r="CP214" i="1" s="1"/>
  <c r="W214" i="1"/>
  <c r="M214" i="1"/>
  <c r="G214" i="1"/>
  <c r="F214" i="1"/>
  <c r="E214" i="1"/>
  <c r="DA213" i="1"/>
  <c r="CZ213" i="1"/>
  <c r="CY213" i="1"/>
  <c r="CW213" i="1"/>
  <c r="CV213" i="1"/>
  <c r="CR213" i="1"/>
  <c r="CQ213" i="1"/>
  <c r="CH213" i="1"/>
  <c r="CG213" i="1"/>
  <c r="CF213" i="1"/>
  <c r="CE213" i="1"/>
  <c r="CD213" i="1"/>
  <c r="CC213" i="1"/>
  <c r="CB213" i="1"/>
  <c r="CA213" i="1"/>
  <c r="CI213" i="1" s="1"/>
  <c r="BX213" i="1"/>
  <c r="BW213" i="1"/>
  <c r="BV213" i="1"/>
  <c r="BU213" i="1"/>
  <c r="BT213" i="1"/>
  <c r="BS213" i="1"/>
  <c r="BI213" i="1"/>
  <c r="BB213" i="1"/>
  <c r="AR213" i="1"/>
  <c r="AD213" i="1"/>
  <c r="CP213" i="1" s="1"/>
  <c r="W213" i="1"/>
  <c r="M213" i="1"/>
  <c r="G213" i="1"/>
  <c r="F213" i="1"/>
  <c r="E213" i="1"/>
  <c r="DA212" i="1"/>
  <c r="CZ212" i="1"/>
  <c r="CY212" i="1"/>
  <c r="CW212" i="1"/>
  <c r="CV212" i="1"/>
  <c r="CQ212" i="1"/>
  <c r="CH212" i="1"/>
  <c r="CG212" i="1"/>
  <c r="CF212" i="1"/>
  <c r="CE212" i="1"/>
  <c r="CD212" i="1"/>
  <c r="CC212" i="1"/>
  <c r="CB212" i="1"/>
  <c r="CA212" i="1"/>
  <c r="CI212" i="1" s="1"/>
  <c r="BX212" i="1"/>
  <c r="BW212" i="1"/>
  <c r="BV212" i="1"/>
  <c r="BU212" i="1"/>
  <c r="BT212" i="1"/>
  <c r="BS212" i="1"/>
  <c r="BI212" i="1"/>
  <c r="BB212" i="1"/>
  <c r="AR212" i="1"/>
  <c r="AD212" i="1"/>
  <c r="CP212" i="1" s="1"/>
  <c r="W212" i="1"/>
  <c r="M212" i="1"/>
  <c r="G212" i="1"/>
  <c r="F212" i="1"/>
  <c r="E212" i="1"/>
  <c r="DA211" i="1"/>
  <c r="CZ211" i="1"/>
  <c r="CY211" i="1"/>
  <c r="CW211" i="1"/>
  <c r="CV211" i="1"/>
  <c r="CO211" i="1"/>
  <c r="CN211" i="1"/>
  <c r="CM211" i="1"/>
  <c r="CH211" i="1"/>
  <c r="CG211" i="1"/>
  <c r="CF211" i="1"/>
  <c r="CE211" i="1"/>
  <c r="CD211" i="1"/>
  <c r="CC211" i="1"/>
  <c r="CB211" i="1"/>
  <c r="CA211" i="1"/>
  <c r="CI211" i="1" s="1"/>
  <c r="BW211" i="1"/>
  <c r="BV211" i="1"/>
  <c r="BU211" i="1"/>
  <c r="BT211" i="1"/>
  <c r="BS211" i="1"/>
  <c r="BI211" i="1"/>
  <c r="BB211" i="1"/>
  <c r="AR211" i="1"/>
  <c r="AD211" i="1"/>
  <c r="CL211" i="1" s="1"/>
  <c r="W211" i="1"/>
  <c r="M211" i="1"/>
  <c r="G211" i="1"/>
  <c r="F211" i="1"/>
  <c r="E211" i="1"/>
  <c r="DA210" i="1"/>
  <c r="CZ210" i="1"/>
  <c r="CY210" i="1"/>
  <c r="CW210" i="1"/>
  <c r="CV210" i="1"/>
  <c r="CM210" i="1"/>
  <c r="CL210" i="1"/>
  <c r="CH210" i="1"/>
  <c r="CG210" i="1"/>
  <c r="CF210" i="1"/>
  <c r="CE210" i="1"/>
  <c r="CD210" i="1"/>
  <c r="CC210" i="1"/>
  <c r="CB210" i="1"/>
  <c r="CA210" i="1"/>
  <c r="CI210" i="1" s="1"/>
  <c r="BW210" i="1"/>
  <c r="BV210" i="1"/>
  <c r="BU210" i="1"/>
  <c r="BT210" i="1"/>
  <c r="BS210" i="1"/>
  <c r="BI210" i="1"/>
  <c r="CK210" i="1" s="1"/>
  <c r="BB210" i="1"/>
  <c r="AR210" i="1"/>
  <c r="AD210" i="1"/>
  <c r="CP210" i="1" s="1"/>
  <c r="W210" i="1"/>
  <c r="M210" i="1"/>
  <c r="G210" i="1"/>
  <c r="F210" i="1"/>
  <c r="E210" i="1"/>
  <c r="DA209" i="1"/>
  <c r="CZ209" i="1"/>
  <c r="CY209" i="1"/>
  <c r="CW209" i="1"/>
  <c r="CV209" i="1"/>
  <c r="CH209" i="1"/>
  <c r="CG209" i="1"/>
  <c r="CF209" i="1"/>
  <c r="CE209" i="1"/>
  <c r="CD209" i="1"/>
  <c r="CC209" i="1"/>
  <c r="CB209" i="1"/>
  <c r="CA209" i="1"/>
  <c r="CI209" i="1" s="1"/>
  <c r="BW209" i="1"/>
  <c r="BV209" i="1"/>
  <c r="BU209" i="1"/>
  <c r="BT209" i="1"/>
  <c r="BS209" i="1"/>
  <c r="BI209" i="1"/>
  <c r="CR209" i="1" s="1"/>
  <c r="BB209" i="1"/>
  <c r="AR209" i="1"/>
  <c r="AD209" i="1"/>
  <c r="CP209" i="1" s="1"/>
  <c r="W209" i="1"/>
  <c r="M209" i="1"/>
  <c r="G209" i="1"/>
  <c r="F209" i="1"/>
  <c r="E209" i="1"/>
  <c r="DA208" i="1"/>
  <c r="CZ208" i="1"/>
  <c r="CY208" i="1"/>
  <c r="CW208" i="1"/>
  <c r="CV208" i="1"/>
  <c r="CR208" i="1"/>
  <c r="CQ208" i="1"/>
  <c r="CH208" i="1"/>
  <c r="CG208" i="1"/>
  <c r="CF208" i="1"/>
  <c r="CE208" i="1"/>
  <c r="CD208" i="1"/>
  <c r="CC208" i="1"/>
  <c r="CB208" i="1"/>
  <c r="CA208" i="1"/>
  <c r="CI208" i="1" s="1"/>
  <c r="BX208" i="1"/>
  <c r="BW208" i="1"/>
  <c r="BV208" i="1"/>
  <c r="BU208" i="1"/>
  <c r="BT208" i="1"/>
  <c r="BS208" i="1"/>
  <c r="BI208" i="1"/>
  <c r="BB208" i="1"/>
  <c r="AR208" i="1"/>
  <c r="AD208" i="1"/>
  <c r="CP208" i="1" s="1"/>
  <c r="W208" i="1"/>
  <c r="M208" i="1"/>
  <c r="G208" i="1"/>
  <c r="F208" i="1"/>
  <c r="E208" i="1"/>
  <c r="DA207" i="1"/>
  <c r="CZ207" i="1"/>
  <c r="CY207" i="1"/>
  <c r="CW207" i="1"/>
  <c r="CV207" i="1"/>
  <c r="CQ207" i="1"/>
  <c r="CH207" i="1"/>
  <c r="CG207" i="1"/>
  <c r="CF207" i="1"/>
  <c r="CE207" i="1"/>
  <c r="CD207" i="1"/>
  <c r="CC207" i="1"/>
  <c r="CB207" i="1"/>
  <c r="CA207" i="1"/>
  <c r="CI207" i="1" s="1"/>
  <c r="BX207" i="1"/>
  <c r="BW207" i="1"/>
  <c r="BV207" i="1"/>
  <c r="BU207" i="1"/>
  <c r="BT207" i="1"/>
  <c r="BS207" i="1"/>
  <c r="BI207" i="1"/>
  <c r="BB207" i="1"/>
  <c r="AR207" i="1"/>
  <c r="AD207" i="1"/>
  <c r="CP207" i="1" s="1"/>
  <c r="W207" i="1"/>
  <c r="M207" i="1"/>
  <c r="G207" i="1"/>
  <c r="F207" i="1"/>
  <c r="E207" i="1"/>
  <c r="DA206" i="1"/>
  <c r="CZ206" i="1"/>
  <c r="CY206" i="1"/>
  <c r="CW206" i="1"/>
  <c r="CV206" i="1"/>
  <c r="CH206" i="1"/>
  <c r="CG206" i="1"/>
  <c r="CF206" i="1"/>
  <c r="CE206" i="1"/>
  <c r="CD206" i="1"/>
  <c r="CC206" i="1"/>
  <c r="CB206" i="1"/>
  <c r="CA206" i="1"/>
  <c r="CI206" i="1" s="1"/>
  <c r="BW206" i="1"/>
  <c r="BV206" i="1"/>
  <c r="BU206" i="1"/>
  <c r="BT206" i="1"/>
  <c r="BS206" i="1"/>
  <c r="BI206" i="1"/>
  <c r="BB206" i="1"/>
  <c r="AR206" i="1"/>
  <c r="AD206" i="1"/>
  <c r="CO206" i="1" s="1"/>
  <c r="W206" i="1"/>
  <c r="M206" i="1"/>
  <c r="G206" i="1"/>
  <c r="F206" i="1"/>
  <c r="E206" i="1"/>
  <c r="DA205" i="1"/>
  <c r="CY205" i="1"/>
  <c r="CV205" i="1"/>
  <c r="CO205" i="1"/>
  <c r="CN205" i="1"/>
  <c r="CH205" i="1"/>
  <c r="CG205" i="1"/>
  <c r="CF205" i="1"/>
  <c r="CE205" i="1"/>
  <c r="CD205" i="1"/>
  <c r="CC205" i="1"/>
  <c r="CB205" i="1"/>
  <c r="CA205" i="1"/>
  <c r="CI205" i="1" s="1"/>
  <c r="BW205" i="1"/>
  <c r="BV205" i="1"/>
  <c r="BU205" i="1"/>
  <c r="BT205" i="1"/>
  <c r="BS205" i="1"/>
  <c r="BM205" i="1"/>
  <c r="BI205" i="1"/>
  <c r="BB205" i="1"/>
  <c r="AR205" i="1"/>
  <c r="AK205" i="1"/>
  <c r="CZ205" i="1" s="1"/>
  <c r="AH205" i="1"/>
  <c r="CW205" i="1" s="1"/>
  <c r="AD205" i="1"/>
  <c r="CM205" i="1" s="1"/>
  <c r="W205" i="1"/>
  <c r="M205" i="1"/>
  <c r="G205" i="1"/>
  <c r="F205" i="1"/>
  <c r="E205" i="1"/>
  <c r="DA204" i="1"/>
  <c r="CZ204" i="1"/>
  <c r="CY204" i="1"/>
  <c r="CW204" i="1"/>
  <c r="CV204" i="1"/>
  <c r="CH204" i="1"/>
  <c r="CG204" i="1"/>
  <c r="CF204" i="1"/>
  <c r="CE204" i="1"/>
  <c r="CD204" i="1"/>
  <c r="CC204" i="1"/>
  <c r="CB204" i="1"/>
  <c r="CA204" i="1"/>
  <c r="CI204" i="1" s="1"/>
  <c r="BW204" i="1"/>
  <c r="BV204" i="1"/>
  <c r="BU204" i="1"/>
  <c r="BT204" i="1"/>
  <c r="BS204" i="1"/>
  <c r="BI204" i="1"/>
  <c r="BB204" i="1"/>
  <c r="AR204" i="1"/>
  <c r="AD204" i="1"/>
  <c r="CO204" i="1" s="1"/>
  <c r="W204" i="1"/>
  <c r="M204" i="1"/>
  <c r="G204" i="1"/>
  <c r="F204" i="1"/>
  <c r="E204" i="1"/>
  <c r="DA203" i="1"/>
  <c r="CZ203" i="1"/>
  <c r="CY203" i="1"/>
  <c r="CW203" i="1"/>
  <c r="CV203" i="1"/>
  <c r="CN203" i="1"/>
  <c r="CM203" i="1"/>
  <c r="CL203" i="1"/>
  <c r="CH203" i="1"/>
  <c r="CG203" i="1"/>
  <c r="CF203" i="1"/>
  <c r="CE203" i="1"/>
  <c r="CD203" i="1"/>
  <c r="CC203" i="1"/>
  <c r="CB203" i="1"/>
  <c r="CA203" i="1"/>
  <c r="CI203" i="1" s="1"/>
  <c r="BW203" i="1"/>
  <c r="BV203" i="1"/>
  <c r="BU203" i="1"/>
  <c r="BT203" i="1"/>
  <c r="BS203" i="1"/>
  <c r="BI203" i="1"/>
  <c r="BB203" i="1"/>
  <c r="AR203" i="1"/>
  <c r="AD203" i="1"/>
  <c r="CK203" i="1" s="1"/>
  <c r="W203" i="1"/>
  <c r="M203" i="1"/>
  <c r="G203" i="1"/>
  <c r="F203" i="1"/>
  <c r="E203" i="1"/>
  <c r="DA202" i="1"/>
  <c r="CZ202" i="1"/>
  <c r="CY202" i="1"/>
  <c r="CW202" i="1"/>
  <c r="CV202" i="1"/>
  <c r="CM202" i="1"/>
  <c r="CL202" i="1"/>
  <c r="CH202" i="1"/>
  <c r="CG202" i="1"/>
  <c r="CF202" i="1"/>
  <c r="CE202" i="1"/>
  <c r="CD202" i="1"/>
  <c r="CC202" i="1"/>
  <c r="CB202" i="1"/>
  <c r="CA202" i="1"/>
  <c r="CI202" i="1" s="1"/>
  <c r="BW202" i="1"/>
  <c r="BV202" i="1"/>
  <c r="BU202" i="1"/>
  <c r="BT202" i="1"/>
  <c r="BS202" i="1"/>
  <c r="BI202" i="1"/>
  <c r="CK202" i="1" s="1"/>
  <c r="BB202" i="1"/>
  <c r="AR202" i="1"/>
  <c r="AD202" i="1"/>
  <c r="CQ202" i="1" s="1"/>
  <c r="W202" i="1"/>
  <c r="M202" i="1"/>
  <c r="G202" i="1"/>
  <c r="F202" i="1"/>
  <c r="E202" i="1"/>
  <c r="DA201" i="1"/>
  <c r="CZ201" i="1"/>
  <c r="CY201" i="1"/>
  <c r="CW201" i="1"/>
  <c r="CV201" i="1"/>
  <c r="CL201" i="1"/>
  <c r="CH201" i="1"/>
  <c r="CG201" i="1"/>
  <c r="CF201" i="1"/>
  <c r="CE201" i="1"/>
  <c r="CD201" i="1"/>
  <c r="CC201" i="1"/>
  <c r="CB201" i="1"/>
  <c r="CA201" i="1"/>
  <c r="CI201" i="1" s="1"/>
  <c r="BW201" i="1"/>
  <c r="BV201" i="1"/>
  <c r="BU201" i="1"/>
  <c r="BT201" i="1"/>
  <c r="BS201" i="1"/>
  <c r="BI201" i="1"/>
  <c r="CK201" i="1" s="1"/>
  <c r="BB201" i="1"/>
  <c r="AR201" i="1"/>
  <c r="AD201" i="1"/>
  <c r="CP201" i="1" s="1"/>
  <c r="W201" i="1"/>
  <c r="M201" i="1"/>
  <c r="G201" i="1"/>
  <c r="F201" i="1"/>
  <c r="E201" i="1"/>
  <c r="DA200" i="1"/>
  <c r="CZ200" i="1"/>
  <c r="CY200" i="1"/>
  <c r="CA200" i="1"/>
  <c r="BW200" i="1"/>
  <c r="BV200" i="1"/>
  <c r="BF200" i="1"/>
  <c r="BE200" i="1"/>
  <c r="BI200" i="1" s="1"/>
  <c r="BB200" i="1"/>
  <c r="AR200" i="1"/>
  <c r="AH200" i="1"/>
  <c r="CW200" i="1" s="1"/>
  <c r="AG200" i="1"/>
  <c r="CV200" i="1" s="1"/>
  <c r="AA200" i="1"/>
  <c r="BU200" i="1" s="1"/>
  <c r="Z200" i="1"/>
  <c r="BT200" i="1" s="1"/>
  <c r="Y200" i="1"/>
  <c r="CH200" i="1" s="1"/>
  <c r="W200" i="1"/>
  <c r="M200" i="1"/>
  <c r="G200" i="1"/>
  <c r="F200" i="1"/>
  <c r="E200" i="1"/>
  <c r="DA199" i="1"/>
  <c r="CZ199" i="1"/>
  <c r="CY199" i="1"/>
  <c r="CW199" i="1"/>
  <c r="CV199" i="1"/>
  <c r="CP199" i="1"/>
  <c r="CO199" i="1"/>
  <c r="CH199" i="1"/>
  <c r="CG199" i="1"/>
  <c r="CF199" i="1"/>
  <c r="CE199" i="1"/>
  <c r="CD199" i="1"/>
  <c r="CC199" i="1"/>
  <c r="CB199" i="1"/>
  <c r="CA199" i="1"/>
  <c r="CI199" i="1" s="1"/>
  <c r="BW199" i="1"/>
  <c r="BV199" i="1"/>
  <c r="BU199" i="1"/>
  <c r="BS199" i="1"/>
  <c r="BI199" i="1"/>
  <c r="CK199" i="1" s="1"/>
  <c r="BF199" i="1"/>
  <c r="BE199" i="1"/>
  <c r="BT199" i="1" s="1"/>
  <c r="BB199" i="1"/>
  <c r="AR199" i="1"/>
  <c r="AD199" i="1"/>
  <c r="CN199" i="1" s="1"/>
  <c r="AA199" i="1"/>
  <c r="Z199" i="1"/>
  <c r="W199" i="1"/>
  <c r="M199" i="1"/>
  <c r="G199" i="1"/>
  <c r="F199" i="1"/>
  <c r="E199" i="1"/>
  <c r="DA198" i="1"/>
  <c r="CZ198" i="1"/>
  <c r="CY198" i="1"/>
  <c r="BW198" i="1"/>
  <c r="BV198" i="1"/>
  <c r="BU198" i="1"/>
  <c r="BT198" i="1"/>
  <c r="BM198" i="1"/>
  <c r="BL198" i="1"/>
  <c r="CV198" i="1" s="1"/>
  <c r="BI198" i="1"/>
  <c r="BD198" i="1"/>
  <c r="BB198" i="1"/>
  <c r="AR198" i="1"/>
  <c r="AH198" i="1"/>
  <c r="CW198" i="1" s="1"/>
  <c r="AG198" i="1"/>
  <c r="Y198" i="1"/>
  <c r="CH198" i="1" s="1"/>
  <c r="W198" i="1"/>
  <c r="M198" i="1"/>
  <c r="G198" i="1"/>
  <c r="F198" i="1"/>
  <c r="E198" i="1"/>
  <c r="DA197" i="1"/>
  <c r="CZ197" i="1"/>
  <c r="CY197" i="1"/>
  <c r="CF197" i="1"/>
  <c r="CE197" i="1"/>
  <c r="BW197" i="1"/>
  <c r="BV197" i="1"/>
  <c r="BU197" i="1"/>
  <c r="BT197" i="1"/>
  <c r="BD197" i="1"/>
  <c r="CD197" i="1" s="1"/>
  <c r="BB197" i="1"/>
  <c r="AR197" i="1"/>
  <c r="AH197" i="1"/>
  <c r="CW197" i="1" s="1"/>
  <c r="AG197" i="1"/>
  <c r="CV197" i="1" s="1"/>
  <c r="AD197" i="1"/>
  <c r="Y197" i="1"/>
  <c r="CC197" i="1" s="1"/>
  <c r="W197" i="1"/>
  <c r="M197" i="1"/>
  <c r="G197" i="1"/>
  <c r="F197" i="1"/>
  <c r="E197" i="1"/>
  <c r="DA196" i="1"/>
  <c r="CZ196" i="1"/>
  <c r="CY196" i="1"/>
  <c r="CW196" i="1"/>
  <c r="CV196" i="1"/>
  <c r="CR196" i="1"/>
  <c r="CQ196" i="1"/>
  <c r="CM196" i="1"/>
  <c r="CH196" i="1"/>
  <c r="CG196" i="1"/>
  <c r="CD196" i="1"/>
  <c r="CC196" i="1"/>
  <c r="CB196" i="1"/>
  <c r="CA196" i="1"/>
  <c r="BX196" i="1"/>
  <c r="BW196" i="1"/>
  <c r="BV196" i="1"/>
  <c r="BU196" i="1"/>
  <c r="BT196" i="1"/>
  <c r="BS196" i="1"/>
  <c r="BI196" i="1"/>
  <c r="CL196" i="1" s="1"/>
  <c r="BB196" i="1"/>
  <c r="AR196" i="1"/>
  <c r="AD196" i="1"/>
  <c r="CP196" i="1" s="1"/>
  <c r="Y196" i="1"/>
  <c r="CF196" i="1" s="1"/>
  <c r="W196" i="1"/>
  <c r="M196" i="1"/>
  <c r="G196" i="1"/>
  <c r="F196" i="1"/>
  <c r="E196" i="1"/>
  <c r="DA195" i="1"/>
  <c r="CZ195" i="1"/>
  <c r="CY195" i="1"/>
  <c r="CW195" i="1"/>
  <c r="CV195" i="1"/>
  <c r="CR195" i="1"/>
  <c r="CQ195" i="1"/>
  <c r="CH195" i="1"/>
  <c r="CG195" i="1"/>
  <c r="CF195" i="1"/>
  <c r="CE195" i="1"/>
  <c r="CD195" i="1"/>
  <c r="CC195" i="1"/>
  <c r="CB195" i="1"/>
  <c r="CA195" i="1"/>
  <c r="CI195" i="1" s="1"/>
  <c r="BX195" i="1"/>
  <c r="BW195" i="1"/>
  <c r="BV195" i="1"/>
  <c r="BU195" i="1"/>
  <c r="BT195" i="1"/>
  <c r="BS195" i="1"/>
  <c r="BI195" i="1"/>
  <c r="CM195" i="1" s="1"/>
  <c r="BB195" i="1"/>
  <c r="AR195" i="1"/>
  <c r="AD195" i="1"/>
  <c r="CP195" i="1" s="1"/>
  <c r="W195" i="1"/>
  <c r="M195" i="1"/>
  <c r="G195" i="1"/>
  <c r="F195" i="1"/>
  <c r="E195" i="1"/>
  <c r="DA194" i="1"/>
  <c r="CZ194" i="1"/>
  <c r="CY194" i="1"/>
  <c r="CW194" i="1"/>
  <c r="CV194" i="1"/>
  <c r="CR194" i="1"/>
  <c r="CQ194" i="1"/>
  <c r="CH194" i="1"/>
  <c r="CG194" i="1"/>
  <c r="CF194" i="1"/>
  <c r="CE194" i="1"/>
  <c r="CD194" i="1"/>
  <c r="CC194" i="1"/>
  <c r="CB194" i="1"/>
  <c r="CA194" i="1"/>
  <c r="CI194" i="1" s="1"/>
  <c r="BX194" i="1"/>
  <c r="BW194" i="1"/>
  <c r="BV194" i="1"/>
  <c r="BU194" i="1"/>
  <c r="BT194" i="1"/>
  <c r="BS194" i="1"/>
  <c r="BI194" i="1"/>
  <c r="CL194" i="1" s="1"/>
  <c r="BB194" i="1"/>
  <c r="AR194" i="1"/>
  <c r="AD194" i="1"/>
  <c r="CP194" i="1" s="1"/>
  <c r="W194" i="1"/>
  <c r="M194" i="1"/>
  <c r="G194" i="1"/>
  <c r="F194" i="1"/>
  <c r="E194" i="1"/>
  <c r="DA193" i="1"/>
  <c r="CZ193" i="1"/>
  <c r="CY193" i="1"/>
  <c r="CW193" i="1"/>
  <c r="CV193" i="1"/>
  <c r="CR193" i="1"/>
  <c r="CQ193" i="1"/>
  <c r="CO193" i="1"/>
  <c r="CH193" i="1"/>
  <c r="CG193" i="1"/>
  <c r="CF193" i="1"/>
  <c r="CE193" i="1"/>
  <c r="CD193" i="1"/>
  <c r="CC193" i="1"/>
  <c r="CB193" i="1"/>
  <c r="CA193" i="1"/>
  <c r="CI193" i="1" s="1"/>
  <c r="BX193" i="1"/>
  <c r="BW193" i="1"/>
  <c r="BV193" i="1"/>
  <c r="BU193" i="1"/>
  <c r="BT193" i="1"/>
  <c r="BS193" i="1"/>
  <c r="BI193" i="1"/>
  <c r="BB193" i="1"/>
  <c r="AR193" i="1"/>
  <c r="AD193" i="1"/>
  <c r="CN193" i="1" s="1"/>
  <c r="W193" i="1"/>
  <c r="M193" i="1"/>
  <c r="G193" i="1"/>
  <c r="F193" i="1"/>
  <c r="DA192" i="1"/>
  <c r="CZ192" i="1"/>
  <c r="CY192" i="1"/>
  <c r="CW192" i="1"/>
  <c r="CV192" i="1"/>
  <c r="CO192" i="1"/>
  <c r="CN192" i="1"/>
  <c r="CM192" i="1"/>
  <c r="CL192" i="1"/>
  <c r="CH192" i="1"/>
  <c r="CG192" i="1"/>
  <c r="CF192" i="1"/>
  <c r="CE192" i="1"/>
  <c r="CD192" i="1"/>
  <c r="CC192" i="1"/>
  <c r="CB192" i="1"/>
  <c r="CA192" i="1"/>
  <c r="CI192" i="1" s="1"/>
  <c r="BW192" i="1"/>
  <c r="BV192" i="1"/>
  <c r="BU192" i="1"/>
  <c r="BT192" i="1"/>
  <c r="BS192" i="1"/>
  <c r="BI192" i="1"/>
  <c r="CK192" i="1" s="1"/>
  <c r="BB192" i="1"/>
  <c r="AR192" i="1"/>
  <c r="AD192" i="1"/>
  <c r="CP192" i="1" s="1"/>
  <c r="W192" i="1"/>
  <c r="M192" i="1"/>
  <c r="G192" i="1"/>
  <c r="F192" i="1"/>
  <c r="E192" i="1"/>
  <c r="DA191" i="1"/>
  <c r="CZ191" i="1"/>
  <c r="CY191" i="1"/>
  <c r="CW191" i="1"/>
  <c r="CV191" i="1"/>
  <c r="CR191" i="1"/>
  <c r="CH191" i="1"/>
  <c r="CG191" i="1"/>
  <c r="CF191" i="1"/>
  <c r="CE191" i="1"/>
  <c r="CD191" i="1"/>
  <c r="CC191" i="1"/>
  <c r="CB191" i="1"/>
  <c r="CA191" i="1"/>
  <c r="CI191" i="1" s="1"/>
  <c r="BW191" i="1"/>
  <c r="BV191" i="1"/>
  <c r="BU191" i="1"/>
  <c r="BT191" i="1"/>
  <c r="BS191" i="1"/>
  <c r="BI191" i="1"/>
  <c r="CQ191" i="1" s="1"/>
  <c r="BB191" i="1"/>
  <c r="AR191" i="1"/>
  <c r="AD191" i="1"/>
  <c r="CP191" i="1" s="1"/>
  <c r="W191" i="1"/>
  <c r="M191" i="1"/>
  <c r="G191" i="1"/>
  <c r="F191" i="1"/>
  <c r="E191" i="1"/>
  <c r="DA190" i="1"/>
  <c r="CZ190" i="1"/>
  <c r="CY190" i="1"/>
  <c r="CW190" i="1"/>
  <c r="CV190" i="1"/>
  <c r="CR190" i="1"/>
  <c r="CQ190" i="1"/>
  <c r="CH190" i="1"/>
  <c r="CG190" i="1"/>
  <c r="CF190" i="1"/>
  <c r="CE190" i="1"/>
  <c r="CD190" i="1"/>
  <c r="CC190" i="1"/>
  <c r="CB190" i="1"/>
  <c r="CA190" i="1"/>
  <c r="CI190" i="1" s="1"/>
  <c r="BX190" i="1"/>
  <c r="BW190" i="1"/>
  <c r="BV190" i="1"/>
  <c r="BU190" i="1"/>
  <c r="BT190" i="1"/>
  <c r="BS190" i="1"/>
  <c r="BI190" i="1"/>
  <c r="CL190" i="1" s="1"/>
  <c r="BB190" i="1"/>
  <c r="AR190" i="1"/>
  <c r="AD190" i="1"/>
  <c r="CP190" i="1" s="1"/>
  <c r="W190" i="1"/>
  <c r="M190" i="1"/>
  <c r="G190" i="1"/>
  <c r="F190" i="1"/>
  <c r="E190" i="1"/>
  <c r="DA189" i="1"/>
  <c r="CZ189" i="1"/>
  <c r="CY189" i="1"/>
  <c r="CW189" i="1"/>
  <c r="CV189" i="1"/>
  <c r="CH189" i="1"/>
  <c r="CG189" i="1"/>
  <c r="CF189" i="1"/>
  <c r="CE189" i="1"/>
  <c r="CC189" i="1"/>
  <c r="CB189" i="1"/>
  <c r="CA189" i="1"/>
  <c r="BW189" i="1"/>
  <c r="BV189" i="1"/>
  <c r="BS189" i="1"/>
  <c r="BI189" i="1"/>
  <c r="BB189" i="1"/>
  <c r="AR189" i="1"/>
  <c r="AD189" i="1"/>
  <c r="CO189" i="1" s="1"/>
  <c r="AA189" i="1"/>
  <c r="BU189" i="1" s="1"/>
  <c r="Z189" i="1"/>
  <c r="BT189" i="1" s="1"/>
  <c r="Y189" i="1"/>
  <c r="CD189" i="1" s="1"/>
  <c r="W189" i="1"/>
  <c r="M189" i="1"/>
  <c r="G189" i="1"/>
  <c r="F189" i="1"/>
  <c r="E189" i="1"/>
  <c r="DA188" i="1"/>
  <c r="CZ188" i="1"/>
  <c r="CY188" i="1"/>
  <c r="CV188" i="1"/>
  <c r="CC188" i="1"/>
  <c r="CA188" i="1"/>
  <c r="BW188" i="1"/>
  <c r="BV188" i="1"/>
  <c r="BS188" i="1"/>
  <c r="BI188" i="1"/>
  <c r="BB188" i="1"/>
  <c r="AR188" i="1"/>
  <c r="AH188" i="1"/>
  <c r="CW188" i="1" s="1"/>
  <c r="AG188" i="1"/>
  <c r="AA188" i="1"/>
  <c r="BU188" i="1" s="1"/>
  <c r="Z188" i="1"/>
  <c r="BT188" i="1" s="1"/>
  <c r="Y188" i="1"/>
  <c r="CH188" i="1" s="1"/>
  <c r="W188" i="1"/>
  <c r="M188" i="1"/>
  <c r="G188" i="1"/>
  <c r="F188" i="1"/>
  <c r="E188" i="1"/>
  <c r="DA187" i="1"/>
  <c r="CZ187" i="1"/>
  <c r="CY187" i="1"/>
  <c r="CW187" i="1"/>
  <c r="CV187" i="1"/>
  <c r="CN187" i="1"/>
  <c r="CH187" i="1"/>
  <c r="CG187" i="1"/>
  <c r="CF187" i="1"/>
  <c r="CE187" i="1"/>
  <c r="CD187" i="1"/>
  <c r="CC187" i="1"/>
  <c r="CB187" i="1"/>
  <c r="CA187" i="1"/>
  <c r="CI187" i="1" s="1"/>
  <c r="BW187" i="1"/>
  <c r="BV187" i="1"/>
  <c r="BU187" i="1"/>
  <c r="BT187" i="1"/>
  <c r="BS187" i="1"/>
  <c r="BI187" i="1"/>
  <c r="BB187" i="1"/>
  <c r="AR187" i="1"/>
  <c r="AD187" i="1"/>
  <c r="CM187" i="1" s="1"/>
  <c r="W187" i="1"/>
  <c r="M187" i="1"/>
  <c r="G187" i="1"/>
  <c r="F187" i="1"/>
  <c r="E187" i="1"/>
  <c r="DA186" i="1"/>
  <c r="CZ186" i="1"/>
  <c r="CY186" i="1"/>
  <c r="CW186" i="1"/>
  <c r="CV186" i="1"/>
  <c r="CO186" i="1"/>
  <c r="CN186" i="1"/>
  <c r="CM186" i="1"/>
  <c r="CH186" i="1"/>
  <c r="CG186" i="1"/>
  <c r="CF186" i="1"/>
  <c r="CE186" i="1"/>
  <c r="CD186" i="1"/>
  <c r="CC186" i="1"/>
  <c r="CB186" i="1"/>
  <c r="CA186" i="1"/>
  <c r="CI186" i="1" s="1"/>
  <c r="BW186" i="1"/>
  <c r="BV186" i="1"/>
  <c r="BU186" i="1"/>
  <c r="BT186" i="1"/>
  <c r="BS186" i="1"/>
  <c r="BI186" i="1"/>
  <c r="BB186" i="1"/>
  <c r="AR186" i="1"/>
  <c r="AD186" i="1"/>
  <c r="CL186" i="1" s="1"/>
  <c r="W186" i="1"/>
  <c r="M186" i="1"/>
  <c r="G186" i="1"/>
  <c r="F186" i="1"/>
  <c r="E186" i="1"/>
  <c r="DA185" i="1"/>
  <c r="CZ185" i="1"/>
  <c r="CY185" i="1"/>
  <c r="CW185" i="1"/>
  <c r="CV185" i="1"/>
  <c r="CH185" i="1"/>
  <c r="CG185" i="1"/>
  <c r="CF185" i="1"/>
  <c r="CE185" i="1"/>
  <c r="CD185" i="1"/>
  <c r="CC185" i="1"/>
  <c r="CB185" i="1"/>
  <c r="CA185" i="1"/>
  <c r="CI185" i="1" s="1"/>
  <c r="BW185" i="1"/>
  <c r="BV185" i="1"/>
  <c r="BU185" i="1"/>
  <c r="BT185" i="1"/>
  <c r="BS185" i="1"/>
  <c r="BI185" i="1"/>
  <c r="CR185" i="1" s="1"/>
  <c r="BB185" i="1"/>
  <c r="AR185" i="1"/>
  <c r="AD185" i="1"/>
  <c r="CP185" i="1" s="1"/>
  <c r="W185" i="1"/>
  <c r="M185" i="1"/>
  <c r="G185" i="1"/>
  <c r="F185" i="1"/>
  <c r="E185" i="1"/>
  <c r="DA184" i="1"/>
  <c r="CZ184" i="1"/>
  <c r="CY184" i="1"/>
  <c r="CW184" i="1"/>
  <c r="CV184" i="1"/>
  <c r="CQ184" i="1"/>
  <c r="CH184" i="1"/>
  <c r="CG184" i="1"/>
  <c r="CF184" i="1"/>
  <c r="CE184" i="1"/>
  <c r="CD184" i="1"/>
  <c r="CC184" i="1"/>
  <c r="CB184" i="1"/>
  <c r="CA184" i="1"/>
  <c r="CI184" i="1" s="1"/>
  <c r="BX184" i="1"/>
  <c r="BW184" i="1"/>
  <c r="BV184" i="1"/>
  <c r="BU184" i="1"/>
  <c r="BT184" i="1"/>
  <c r="BS184" i="1"/>
  <c r="BI184" i="1"/>
  <c r="CL184" i="1" s="1"/>
  <c r="BB184" i="1"/>
  <c r="AR184" i="1"/>
  <c r="AD184" i="1"/>
  <c r="CP184" i="1" s="1"/>
  <c r="W184" i="1"/>
  <c r="M184" i="1"/>
  <c r="G184" i="1"/>
  <c r="F184" i="1"/>
  <c r="E184" i="1"/>
  <c r="DA183" i="1"/>
  <c r="CZ183" i="1"/>
  <c r="CY183" i="1"/>
  <c r="CW183" i="1"/>
  <c r="CV183" i="1"/>
  <c r="CQ183" i="1"/>
  <c r="CO183" i="1"/>
  <c r="CH183" i="1"/>
  <c r="CG183" i="1"/>
  <c r="CF183" i="1"/>
  <c r="CE183" i="1"/>
  <c r="CD183" i="1"/>
  <c r="CC183" i="1"/>
  <c r="CB183" i="1"/>
  <c r="CA183" i="1"/>
  <c r="CI183" i="1" s="1"/>
  <c r="BX183" i="1"/>
  <c r="BW183" i="1"/>
  <c r="BV183" i="1"/>
  <c r="BU183" i="1"/>
  <c r="BT183" i="1"/>
  <c r="BS183" i="1"/>
  <c r="BI183" i="1"/>
  <c r="BB183" i="1"/>
  <c r="AR183" i="1"/>
  <c r="AD183" i="1"/>
  <c r="CN183" i="1" s="1"/>
  <c r="W183" i="1"/>
  <c r="M183" i="1"/>
  <c r="G183" i="1"/>
  <c r="F183" i="1"/>
  <c r="E183" i="1"/>
  <c r="DA182" i="1"/>
  <c r="CZ182" i="1"/>
  <c r="CY182" i="1"/>
  <c r="CW182" i="1"/>
  <c r="CV182" i="1"/>
  <c r="CH182" i="1"/>
  <c r="CG182" i="1"/>
  <c r="CF182" i="1"/>
  <c r="CE182" i="1"/>
  <c r="CD182" i="1"/>
  <c r="CC182" i="1"/>
  <c r="CB182" i="1"/>
  <c r="CA182" i="1"/>
  <c r="CI182" i="1" s="1"/>
  <c r="BW182" i="1"/>
  <c r="BV182" i="1"/>
  <c r="BU182" i="1"/>
  <c r="BT182" i="1"/>
  <c r="BS182" i="1"/>
  <c r="BG182" i="1"/>
  <c r="BI182" i="1" s="1"/>
  <c r="BB182" i="1"/>
  <c r="AR182" i="1"/>
  <c r="AD182" i="1"/>
  <c r="W182" i="1"/>
  <c r="M182" i="1"/>
  <c r="G182" i="1"/>
  <c r="F182" i="1"/>
  <c r="E182" i="1"/>
  <c r="DA181" i="1"/>
  <c r="CZ181" i="1"/>
  <c r="CY181" i="1"/>
  <c r="CW181" i="1"/>
  <c r="CV181" i="1"/>
  <c r="CH181" i="1"/>
  <c r="CG181" i="1"/>
  <c r="CF181" i="1"/>
  <c r="CE181" i="1"/>
  <c r="CD181" i="1"/>
  <c r="CC181" i="1"/>
  <c r="CB181" i="1"/>
  <c r="CA181" i="1"/>
  <c r="CI181" i="1" s="1"/>
  <c r="BW181" i="1"/>
  <c r="BV181" i="1"/>
  <c r="BU181" i="1"/>
  <c r="BT181" i="1"/>
  <c r="BS181" i="1"/>
  <c r="BG181" i="1"/>
  <c r="BI181" i="1" s="1"/>
  <c r="BB181" i="1"/>
  <c r="AR181" i="1"/>
  <c r="AD181" i="1"/>
  <c r="CM181" i="1" s="1"/>
  <c r="W181" i="1"/>
  <c r="M181" i="1"/>
  <c r="G181" i="1"/>
  <c r="F181" i="1"/>
  <c r="E181" i="1"/>
  <c r="DA180" i="1"/>
  <c r="CZ180" i="1"/>
  <c r="CY180" i="1"/>
  <c r="CW180" i="1"/>
  <c r="CV180" i="1"/>
  <c r="CO180" i="1"/>
  <c r="CN180" i="1"/>
  <c r="CM180" i="1"/>
  <c r="CH180" i="1"/>
  <c r="CG180" i="1"/>
  <c r="CF180" i="1"/>
  <c r="CE180" i="1"/>
  <c r="CD180" i="1"/>
  <c r="CC180" i="1"/>
  <c r="CB180" i="1"/>
  <c r="CA180" i="1"/>
  <c r="CI180" i="1" s="1"/>
  <c r="BW180" i="1"/>
  <c r="BV180" i="1"/>
  <c r="BU180" i="1"/>
  <c r="BT180" i="1"/>
  <c r="BS180" i="1"/>
  <c r="BI180" i="1"/>
  <c r="BB180" i="1"/>
  <c r="AR180" i="1"/>
  <c r="AD180" i="1"/>
  <c r="CL180" i="1" s="1"/>
  <c r="W180" i="1"/>
  <c r="M180" i="1"/>
  <c r="G180" i="1"/>
  <c r="F180" i="1"/>
  <c r="E180" i="1"/>
  <c r="DA179" i="1"/>
  <c r="CZ179" i="1"/>
  <c r="CY179" i="1"/>
  <c r="CW179" i="1"/>
  <c r="CV179" i="1"/>
  <c r="CH179" i="1"/>
  <c r="CG179" i="1"/>
  <c r="CF179" i="1"/>
  <c r="CE179" i="1"/>
  <c r="CD179" i="1"/>
  <c r="CC179" i="1"/>
  <c r="CB179" i="1"/>
  <c r="CA179" i="1"/>
  <c r="CI179" i="1" s="1"/>
  <c r="BW179" i="1"/>
  <c r="BV179" i="1"/>
  <c r="BU179" i="1"/>
  <c r="BT179" i="1"/>
  <c r="BS179" i="1"/>
  <c r="BI179" i="1"/>
  <c r="CR179" i="1" s="1"/>
  <c r="BB179" i="1"/>
  <c r="AR179" i="1"/>
  <c r="AD179" i="1"/>
  <c r="CP179" i="1" s="1"/>
  <c r="W179" i="1"/>
  <c r="M179" i="1"/>
  <c r="G179" i="1"/>
  <c r="F179" i="1"/>
  <c r="E179" i="1"/>
  <c r="DA178" i="1"/>
  <c r="CZ178" i="1"/>
  <c r="CY178" i="1"/>
  <c r="CW178" i="1"/>
  <c r="CV178" i="1"/>
  <c r="CQ178" i="1"/>
  <c r="CH178" i="1"/>
  <c r="CB178" i="1"/>
  <c r="BX178" i="1"/>
  <c r="BW178" i="1"/>
  <c r="BV178" i="1"/>
  <c r="BU178" i="1"/>
  <c r="BT178" i="1"/>
  <c r="BI178" i="1"/>
  <c r="CK178" i="1" s="1"/>
  <c r="BD178" i="1"/>
  <c r="CG178" i="1" s="1"/>
  <c r="BB178" i="1"/>
  <c r="AR178" i="1"/>
  <c r="AD178" i="1"/>
  <c r="CP178" i="1" s="1"/>
  <c r="W178" i="1"/>
  <c r="M178" i="1"/>
  <c r="G178" i="1"/>
  <c r="F178" i="1"/>
  <c r="E178" i="1"/>
  <c r="DA177" i="1"/>
  <c r="CZ177" i="1"/>
  <c r="CY177" i="1"/>
  <c r="CW177" i="1"/>
  <c r="CV177" i="1"/>
  <c r="CG177" i="1"/>
  <c r="BW177" i="1"/>
  <c r="BV177" i="1"/>
  <c r="BU177" i="1"/>
  <c r="BT177" i="1"/>
  <c r="BD177" i="1"/>
  <c r="CF177" i="1" s="1"/>
  <c r="BB177" i="1"/>
  <c r="AR177" i="1"/>
  <c r="AD177" i="1"/>
  <c r="W177" i="1"/>
  <c r="M177" i="1"/>
  <c r="G177" i="1"/>
  <c r="F177" i="1"/>
  <c r="E177" i="1"/>
  <c r="DA176" i="1"/>
  <c r="CZ176" i="1"/>
  <c r="CY176" i="1"/>
  <c r="CW176" i="1"/>
  <c r="CV176" i="1"/>
  <c r="CQ176" i="1"/>
  <c r="CO176" i="1"/>
  <c r="CH176" i="1"/>
  <c r="CG176" i="1"/>
  <c r="CF176" i="1"/>
  <c r="CE176" i="1"/>
  <c r="CD176" i="1"/>
  <c r="CC176" i="1"/>
  <c r="CB176" i="1"/>
  <c r="CA176" i="1"/>
  <c r="CI176" i="1" s="1"/>
  <c r="BX176" i="1"/>
  <c r="BW176" i="1"/>
  <c r="BV176" i="1"/>
  <c r="BU176" i="1"/>
  <c r="BT176" i="1"/>
  <c r="BS176" i="1"/>
  <c r="BI176" i="1"/>
  <c r="BB176" i="1"/>
  <c r="AR176" i="1"/>
  <c r="AD176" i="1"/>
  <c r="CN176" i="1" s="1"/>
  <c r="W176" i="1"/>
  <c r="M176" i="1"/>
  <c r="G176" i="1"/>
  <c r="F176" i="1"/>
  <c r="E176" i="1"/>
  <c r="DA175" i="1"/>
  <c r="CZ175" i="1"/>
  <c r="CY175" i="1"/>
  <c r="CW175" i="1"/>
  <c r="CV175" i="1"/>
  <c r="CO175" i="1"/>
  <c r="CN175" i="1"/>
  <c r="CM175" i="1"/>
  <c r="CH175" i="1"/>
  <c r="CG175" i="1"/>
  <c r="CF175" i="1"/>
  <c r="CE175" i="1"/>
  <c r="CD175" i="1"/>
  <c r="CC175" i="1"/>
  <c r="CB175" i="1"/>
  <c r="CA175" i="1"/>
  <c r="CI175" i="1" s="1"/>
  <c r="BW175" i="1"/>
  <c r="BV175" i="1"/>
  <c r="BU175" i="1"/>
  <c r="BT175" i="1"/>
  <c r="BS175" i="1"/>
  <c r="BI175" i="1"/>
  <c r="BB175" i="1"/>
  <c r="AR175" i="1"/>
  <c r="AD175" i="1"/>
  <c r="CL175" i="1" s="1"/>
  <c r="W175" i="1"/>
  <c r="M175" i="1"/>
  <c r="G175" i="1"/>
  <c r="F175" i="1"/>
  <c r="E175" i="1"/>
  <c r="DA174" i="1"/>
  <c r="CZ174" i="1"/>
  <c r="CY174" i="1"/>
  <c r="CW174" i="1"/>
  <c r="CV174" i="1"/>
  <c r="CH174" i="1"/>
  <c r="CG174" i="1"/>
  <c r="CF174" i="1"/>
  <c r="CE174" i="1"/>
  <c r="CD174" i="1"/>
  <c r="CC174" i="1"/>
  <c r="CB174" i="1"/>
  <c r="CA174" i="1"/>
  <c r="CI174" i="1" s="1"/>
  <c r="BW174" i="1"/>
  <c r="BV174" i="1"/>
  <c r="BU174" i="1"/>
  <c r="BT174" i="1"/>
  <c r="BS174" i="1"/>
  <c r="BI174" i="1"/>
  <c r="CR174" i="1" s="1"/>
  <c r="BB174" i="1"/>
  <c r="AR174" i="1"/>
  <c r="AD174" i="1"/>
  <c r="CP174" i="1" s="1"/>
  <c r="W174" i="1"/>
  <c r="M174" i="1"/>
  <c r="G174" i="1"/>
  <c r="F174" i="1"/>
  <c r="E174" i="1"/>
  <c r="DA173" i="1"/>
  <c r="CZ173" i="1"/>
  <c r="CY173" i="1"/>
  <c r="CW173" i="1"/>
  <c r="CV173" i="1"/>
  <c r="CQ173" i="1"/>
  <c r="CH173" i="1"/>
  <c r="CG173" i="1"/>
  <c r="CF173" i="1"/>
  <c r="CE173" i="1"/>
  <c r="CD173" i="1"/>
  <c r="CC173" i="1"/>
  <c r="CB173" i="1"/>
  <c r="CA173" i="1"/>
  <c r="CI173" i="1" s="1"/>
  <c r="BX173" i="1"/>
  <c r="BW173" i="1"/>
  <c r="BV173" i="1"/>
  <c r="BU173" i="1"/>
  <c r="BT173" i="1"/>
  <c r="BS173" i="1"/>
  <c r="BI173" i="1"/>
  <c r="CO173" i="1" s="1"/>
  <c r="BB173" i="1"/>
  <c r="AR173" i="1"/>
  <c r="AD173" i="1"/>
  <c r="CP173" i="1" s="1"/>
  <c r="W173" i="1"/>
  <c r="M173" i="1"/>
  <c r="G173" i="1"/>
  <c r="F173" i="1"/>
  <c r="E173" i="1"/>
  <c r="DA172" i="1"/>
  <c r="CZ172" i="1"/>
  <c r="CY172" i="1"/>
  <c r="CW172" i="1"/>
  <c r="CV172" i="1"/>
  <c r="CQ172" i="1"/>
  <c r="CO172" i="1"/>
  <c r="CH172" i="1"/>
  <c r="CG172" i="1"/>
  <c r="CF172" i="1"/>
  <c r="CE172" i="1"/>
  <c r="CD172" i="1"/>
  <c r="CC172" i="1"/>
  <c r="CB172" i="1"/>
  <c r="CA172" i="1"/>
  <c r="CI172" i="1" s="1"/>
  <c r="BX172" i="1"/>
  <c r="BW172" i="1"/>
  <c r="BV172" i="1"/>
  <c r="BU172" i="1"/>
  <c r="BT172" i="1"/>
  <c r="BS172" i="1"/>
  <c r="BI172" i="1"/>
  <c r="BB172" i="1"/>
  <c r="AR172" i="1"/>
  <c r="AD172" i="1"/>
  <c r="CN172" i="1" s="1"/>
  <c r="W172" i="1"/>
  <c r="M172" i="1"/>
  <c r="G172" i="1"/>
  <c r="F172" i="1"/>
  <c r="E172" i="1"/>
  <c r="DA171" i="1"/>
  <c r="CZ171" i="1"/>
  <c r="CY171" i="1"/>
  <c r="CW171" i="1"/>
  <c r="CV171" i="1"/>
  <c r="CN171" i="1"/>
  <c r="CH171" i="1"/>
  <c r="CG171" i="1"/>
  <c r="CF171" i="1"/>
  <c r="CE171" i="1"/>
  <c r="CD171" i="1"/>
  <c r="CC171" i="1"/>
  <c r="CB171" i="1"/>
  <c r="CA171" i="1"/>
  <c r="CI171" i="1" s="1"/>
  <c r="BW171" i="1"/>
  <c r="BV171" i="1"/>
  <c r="BU171" i="1"/>
  <c r="BT171" i="1"/>
  <c r="BS171" i="1"/>
  <c r="BI171" i="1"/>
  <c r="BB171" i="1"/>
  <c r="AR171" i="1"/>
  <c r="AD171" i="1"/>
  <c r="CM171" i="1" s="1"/>
  <c r="W171" i="1"/>
  <c r="M171" i="1"/>
  <c r="G171" i="1"/>
  <c r="F171" i="1"/>
  <c r="E171" i="1"/>
  <c r="DA170" i="1"/>
  <c r="CZ170" i="1"/>
  <c r="CY170" i="1"/>
  <c r="CW170" i="1"/>
  <c r="CV170" i="1"/>
  <c r="CR170" i="1"/>
  <c r="CO170" i="1"/>
  <c r="CN170" i="1"/>
  <c r="CM170" i="1"/>
  <c r="CL170" i="1"/>
  <c r="CH170" i="1"/>
  <c r="CG170" i="1"/>
  <c r="CF170" i="1"/>
  <c r="CE170" i="1"/>
  <c r="CD170" i="1"/>
  <c r="CC170" i="1"/>
  <c r="CB170" i="1"/>
  <c r="CA170" i="1"/>
  <c r="CI170" i="1" s="1"/>
  <c r="BW170" i="1"/>
  <c r="BV170" i="1"/>
  <c r="BU170" i="1"/>
  <c r="BT170" i="1"/>
  <c r="BS170" i="1"/>
  <c r="BI170" i="1"/>
  <c r="BB170" i="1"/>
  <c r="AR170" i="1"/>
  <c r="AD170" i="1"/>
  <c r="CK170" i="1" s="1"/>
  <c r="W170" i="1"/>
  <c r="M170" i="1"/>
  <c r="G170" i="1"/>
  <c r="F170" i="1"/>
  <c r="E170" i="1"/>
  <c r="DA169" i="1"/>
  <c r="CZ169" i="1"/>
  <c r="CY169" i="1"/>
  <c r="CW169" i="1"/>
  <c r="CV169" i="1"/>
  <c r="CR169" i="1"/>
  <c r="CL169" i="1"/>
  <c r="CH169" i="1"/>
  <c r="CG169" i="1"/>
  <c r="CF169" i="1"/>
  <c r="CE169" i="1"/>
  <c r="CD169" i="1"/>
  <c r="CC169" i="1"/>
  <c r="CB169" i="1"/>
  <c r="CA169" i="1"/>
  <c r="CI169" i="1" s="1"/>
  <c r="BW169" i="1"/>
  <c r="BV169" i="1"/>
  <c r="BU169" i="1"/>
  <c r="BT169" i="1"/>
  <c r="BS169" i="1"/>
  <c r="BI169" i="1"/>
  <c r="CK169" i="1" s="1"/>
  <c r="BB169" i="1"/>
  <c r="AR169" i="1"/>
  <c r="AD169" i="1"/>
  <c r="CQ169" i="1" s="1"/>
  <c r="W169" i="1"/>
  <c r="M169" i="1"/>
  <c r="G169" i="1"/>
  <c r="F169" i="1"/>
  <c r="E169" i="1"/>
  <c r="DA168" i="1"/>
  <c r="CZ168" i="1"/>
  <c r="CY168" i="1"/>
  <c r="CW168" i="1"/>
  <c r="CV168" i="1"/>
  <c r="CH168" i="1"/>
  <c r="CG168" i="1"/>
  <c r="CF168" i="1"/>
  <c r="CE168" i="1"/>
  <c r="CD168" i="1"/>
  <c r="CC168" i="1"/>
  <c r="CB168" i="1"/>
  <c r="CA168" i="1"/>
  <c r="CI168" i="1" s="1"/>
  <c r="BW168" i="1"/>
  <c r="BV168" i="1"/>
  <c r="BU168" i="1"/>
  <c r="BT168" i="1"/>
  <c r="BS168" i="1"/>
  <c r="BI168" i="1"/>
  <c r="BB168" i="1"/>
  <c r="AR168" i="1"/>
  <c r="AD168" i="1"/>
  <c r="CO168" i="1" s="1"/>
  <c r="W168" i="1"/>
  <c r="M168" i="1"/>
  <c r="G168" i="1"/>
  <c r="F168" i="1"/>
  <c r="E168" i="1"/>
  <c r="DA167" i="1"/>
  <c r="CZ167" i="1"/>
  <c r="CY167" i="1"/>
  <c r="CW167" i="1"/>
  <c r="CV167" i="1"/>
  <c r="CH167" i="1"/>
  <c r="CF167" i="1"/>
  <c r="BW167" i="1"/>
  <c r="BV167" i="1"/>
  <c r="BF167" i="1"/>
  <c r="BU167" i="1" s="1"/>
  <c r="BE167" i="1"/>
  <c r="BT167" i="1" s="1"/>
  <c r="BD167" i="1"/>
  <c r="CD167" i="1" s="1"/>
  <c r="BB167" i="1"/>
  <c r="AR167" i="1"/>
  <c r="AD167" i="1"/>
  <c r="AA167" i="1"/>
  <c r="Z167" i="1"/>
  <c r="Y167" i="1"/>
  <c r="CE167" i="1" s="1"/>
  <c r="W167" i="1"/>
  <c r="M167" i="1"/>
  <c r="G167" i="1"/>
  <c r="F167" i="1"/>
  <c r="E167" i="1"/>
  <c r="DA166" i="1"/>
  <c r="CZ166" i="1"/>
  <c r="CY166" i="1"/>
  <c r="CW166" i="1"/>
  <c r="CV166" i="1"/>
  <c r="CH166" i="1"/>
  <c r="CG166" i="1"/>
  <c r="CF166" i="1"/>
  <c r="CE166" i="1"/>
  <c r="CD166" i="1"/>
  <c r="CC166" i="1"/>
  <c r="CB166" i="1"/>
  <c r="CA166" i="1"/>
  <c r="CI166" i="1" s="1"/>
  <c r="BW166" i="1"/>
  <c r="BV166" i="1"/>
  <c r="BU166" i="1"/>
  <c r="BT166" i="1"/>
  <c r="BS166" i="1"/>
  <c r="BI166" i="1"/>
  <c r="CR166" i="1" s="1"/>
  <c r="BB166" i="1"/>
  <c r="AR166" i="1"/>
  <c r="AD166" i="1"/>
  <c r="CP166" i="1" s="1"/>
  <c r="W166" i="1"/>
  <c r="M166" i="1"/>
  <c r="G166" i="1"/>
  <c r="F166" i="1"/>
  <c r="E166" i="1"/>
  <c r="DA165" i="1"/>
  <c r="CZ165" i="1"/>
  <c r="CY165" i="1"/>
  <c r="CW165" i="1"/>
  <c r="CV165" i="1"/>
  <c r="CQ165" i="1"/>
  <c r="CH165" i="1"/>
  <c r="CG165" i="1"/>
  <c r="CF165" i="1"/>
  <c r="CE165" i="1"/>
  <c r="CD165" i="1"/>
  <c r="CC165" i="1"/>
  <c r="CB165" i="1"/>
  <c r="CA165" i="1"/>
  <c r="CI165" i="1" s="1"/>
  <c r="BX165" i="1"/>
  <c r="BW165" i="1"/>
  <c r="BV165" i="1"/>
  <c r="BU165" i="1"/>
  <c r="BT165" i="1"/>
  <c r="BS165" i="1"/>
  <c r="BI165" i="1"/>
  <c r="CO165" i="1" s="1"/>
  <c r="BB165" i="1"/>
  <c r="AR165" i="1"/>
  <c r="AD165" i="1"/>
  <c r="CP165" i="1" s="1"/>
  <c r="W165" i="1"/>
  <c r="M165" i="1"/>
  <c r="G165" i="1"/>
  <c r="F165" i="1"/>
  <c r="E165" i="1"/>
  <c r="DA164" i="1"/>
  <c r="CZ164" i="1"/>
  <c r="CY164" i="1"/>
  <c r="CV164" i="1"/>
  <c r="CQ164" i="1"/>
  <c r="CP164" i="1"/>
  <c r="CO164" i="1"/>
  <c r="CH164" i="1"/>
  <c r="CG164" i="1"/>
  <c r="CF164" i="1"/>
  <c r="CE164" i="1"/>
  <c r="CD164" i="1"/>
  <c r="CC164" i="1"/>
  <c r="CB164" i="1"/>
  <c r="CA164" i="1"/>
  <c r="CI164" i="1" s="1"/>
  <c r="BX164" i="1"/>
  <c r="BW164" i="1"/>
  <c r="BV164" i="1"/>
  <c r="BU164" i="1"/>
  <c r="BT164" i="1"/>
  <c r="BS164" i="1"/>
  <c r="BM164" i="1"/>
  <c r="BI164" i="1"/>
  <c r="CM164" i="1" s="1"/>
  <c r="BB164" i="1"/>
  <c r="AR164" i="1"/>
  <c r="AH164" i="1"/>
  <c r="CW164" i="1" s="1"/>
  <c r="AD164" i="1"/>
  <c r="CN164" i="1" s="1"/>
  <c r="W164" i="1"/>
  <c r="M164" i="1"/>
  <c r="G164" i="1"/>
  <c r="F164" i="1"/>
  <c r="E164" i="1"/>
  <c r="DA163" i="1"/>
  <c r="CZ163" i="1"/>
  <c r="CY163" i="1"/>
  <c r="CW163" i="1"/>
  <c r="CV163" i="1"/>
  <c r="CH163" i="1"/>
  <c r="CG163" i="1"/>
  <c r="CF163" i="1"/>
  <c r="CE163" i="1"/>
  <c r="CD163" i="1"/>
  <c r="CC163" i="1"/>
  <c r="CB163" i="1"/>
  <c r="CA163" i="1"/>
  <c r="CI163" i="1" s="1"/>
  <c r="BW163" i="1"/>
  <c r="BV163" i="1"/>
  <c r="BU163" i="1"/>
  <c r="BT163" i="1"/>
  <c r="BS163" i="1"/>
  <c r="BI163" i="1"/>
  <c r="BB163" i="1"/>
  <c r="AR163" i="1"/>
  <c r="AD163" i="1"/>
  <c r="CO163" i="1" s="1"/>
  <c r="W163" i="1"/>
  <c r="M163" i="1"/>
  <c r="G163" i="1"/>
  <c r="F163" i="1"/>
  <c r="E163" i="1"/>
  <c r="DA162" i="1"/>
  <c r="CZ162" i="1"/>
  <c r="CY162" i="1"/>
  <c r="CW162" i="1"/>
  <c r="CE162" i="1"/>
  <c r="BW162" i="1"/>
  <c r="BV162" i="1"/>
  <c r="BU162" i="1"/>
  <c r="BT162" i="1"/>
  <c r="AH162" i="1"/>
  <c r="AG162" i="1"/>
  <c r="CV162" i="1" s="1"/>
  <c r="Y162" i="1"/>
  <c r="CD162" i="1" s="1"/>
  <c r="W162" i="1"/>
  <c r="M162" i="1"/>
  <c r="G162" i="1"/>
  <c r="F162" i="1"/>
  <c r="E162" i="1"/>
  <c r="DA161" i="1"/>
  <c r="CZ161" i="1"/>
  <c r="CY161" i="1"/>
  <c r="CW161" i="1"/>
  <c r="CV161" i="1"/>
  <c r="BW161" i="1"/>
  <c r="BV161" i="1"/>
  <c r="BU161" i="1"/>
  <c r="BT161" i="1"/>
  <c r="BI161" i="1"/>
  <c r="BB161" i="1"/>
  <c r="AR161" i="1"/>
  <c r="AH161" i="1"/>
  <c r="AG161" i="1"/>
  <c r="Y161" i="1"/>
  <c r="CC161" i="1" s="1"/>
  <c r="W161" i="1"/>
  <c r="M161" i="1"/>
  <c r="G161" i="1"/>
  <c r="F161" i="1"/>
  <c r="E161" i="1"/>
  <c r="DA160" i="1"/>
  <c r="CZ160" i="1"/>
  <c r="CY160" i="1"/>
  <c r="CW160" i="1"/>
  <c r="CH160" i="1"/>
  <c r="CG160" i="1"/>
  <c r="CF160" i="1"/>
  <c r="CE160" i="1"/>
  <c r="CD160" i="1"/>
  <c r="CC160" i="1"/>
  <c r="CB160" i="1"/>
  <c r="CA160" i="1"/>
  <c r="CI160" i="1" s="1"/>
  <c r="BW160" i="1"/>
  <c r="BV160" i="1"/>
  <c r="BU160" i="1"/>
  <c r="BT160" i="1"/>
  <c r="BS160" i="1"/>
  <c r="BI160" i="1"/>
  <c r="BB160" i="1"/>
  <c r="AR160" i="1"/>
  <c r="AH160" i="1"/>
  <c r="AG160" i="1"/>
  <c r="CV160" i="1" s="1"/>
  <c r="AD160" i="1"/>
  <c r="CM160" i="1" s="1"/>
  <c r="W160" i="1"/>
  <c r="M160" i="1"/>
  <c r="G160" i="1"/>
  <c r="F160" i="1"/>
  <c r="E160" i="1"/>
  <c r="DA159" i="1"/>
  <c r="CZ159" i="1"/>
  <c r="CY159" i="1"/>
  <c r="CW159" i="1"/>
  <c r="CH159" i="1"/>
  <c r="CG159" i="1"/>
  <c r="CF159" i="1"/>
  <c r="CE159" i="1"/>
  <c r="CD159" i="1"/>
  <c r="CC159" i="1"/>
  <c r="CB159" i="1"/>
  <c r="CA159" i="1"/>
  <c r="CI159" i="1" s="1"/>
  <c r="BW159" i="1"/>
  <c r="BV159" i="1"/>
  <c r="BU159" i="1"/>
  <c r="BT159" i="1"/>
  <c r="BS159" i="1"/>
  <c r="BI159" i="1"/>
  <c r="BB159" i="1"/>
  <c r="AR159" i="1"/>
  <c r="AH159" i="1"/>
  <c r="AG159" i="1"/>
  <c r="CV159" i="1" s="1"/>
  <c r="AD159" i="1"/>
  <c r="CM159" i="1" s="1"/>
  <c r="W159" i="1"/>
  <c r="M159" i="1"/>
  <c r="G159" i="1"/>
  <c r="F159" i="1"/>
  <c r="E159" i="1"/>
  <c r="DA158" i="1"/>
  <c r="CZ158" i="1"/>
  <c r="CY158" i="1"/>
  <c r="CW158" i="1"/>
  <c r="CV158" i="1"/>
  <c r="CR158" i="1"/>
  <c r="CQ158" i="1"/>
  <c r="CO158" i="1"/>
  <c r="CH158" i="1"/>
  <c r="CG158" i="1"/>
  <c r="CF158" i="1"/>
  <c r="CE158" i="1"/>
  <c r="CD158" i="1"/>
  <c r="CC158" i="1"/>
  <c r="CB158" i="1"/>
  <c r="CA158" i="1"/>
  <c r="CI158" i="1" s="1"/>
  <c r="BX158" i="1"/>
  <c r="BW158" i="1"/>
  <c r="BV158" i="1"/>
  <c r="BU158" i="1"/>
  <c r="BT158" i="1"/>
  <c r="BS158" i="1"/>
  <c r="BI158" i="1"/>
  <c r="BB158" i="1"/>
  <c r="AR158" i="1"/>
  <c r="AD158" i="1"/>
  <c r="CN158" i="1" s="1"/>
  <c r="W158" i="1"/>
  <c r="M158" i="1"/>
  <c r="G158" i="1"/>
  <c r="F158" i="1"/>
  <c r="E158" i="1"/>
  <c r="DA157" i="1"/>
  <c r="CZ157" i="1"/>
  <c r="CY157" i="1"/>
  <c r="CW157" i="1"/>
  <c r="CV157" i="1"/>
  <c r="CN157" i="1"/>
  <c r="CH157" i="1"/>
  <c r="CG157" i="1"/>
  <c r="CF157" i="1"/>
  <c r="CE157" i="1"/>
  <c r="CD157" i="1"/>
  <c r="CC157" i="1"/>
  <c r="CB157" i="1"/>
  <c r="CA157" i="1"/>
  <c r="CI157" i="1" s="1"/>
  <c r="BW157" i="1"/>
  <c r="BV157" i="1"/>
  <c r="BU157" i="1"/>
  <c r="BT157" i="1"/>
  <c r="BS157" i="1"/>
  <c r="BI157" i="1"/>
  <c r="BB157" i="1"/>
  <c r="AR157" i="1"/>
  <c r="AD157" i="1"/>
  <c r="CM157" i="1" s="1"/>
  <c r="W157" i="1"/>
  <c r="M157" i="1"/>
  <c r="G157" i="1"/>
  <c r="F157" i="1"/>
  <c r="E157" i="1"/>
  <c r="DA156" i="1"/>
  <c r="CZ156" i="1"/>
  <c r="CY156" i="1"/>
  <c r="CW156" i="1"/>
  <c r="CV156" i="1"/>
  <c r="BV156" i="1"/>
  <c r="BM156" i="1"/>
  <c r="BL156" i="1"/>
  <c r="BH156" i="1"/>
  <c r="BF156" i="1"/>
  <c r="BE156" i="1"/>
  <c r="BD156" i="1"/>
  <c r="BI156" i="1" s="1"/>
  <c r="BB156" i="1"/>
  <c r="AR156" i="1"/>
  <c r="AH156" i="1"/>
  <c r="AG156" i="1"/>
  <c r="AC156" i="1"/>
  <c r="BW156" i="1" s="1"/>
  <c r="AA156" i="1"/>
  <c r="BU156" i="1" s="1"/>
  <c r="Z156" i="1"/>
  <c r="BT156" i="1" s="1"/>
  <c r="Y156" i="1"/>
  <c r="CB156" i="1" s="1"/>
  <c r="W156" i="1"/>
  <c r="M156" i="1"/>
  <c r="G156" i="1"/>
  <c r="F156" i="1"/>
  <c r="E156" i="1"/>
  <c r="DA155" i="1"/>
  <c r="CZ155" i="1"/>
  <c r="CY155" i="1"/>
  <c r="CW155" i="1"/>
  <c r="CH155" i="1"/>
  <c r="CG155" i="1"/>
  <c r="CF155" i="1"/>
  <c r="CE155" i="1"/>
  <c r="CA155" i="1"/>
  <c r="BV155" i="1"/>
  <c r="BM155" i="1"/>
  <c r="BL155" i="1"/>
  <c r="BH155" i="1"/>
  <c r="BW155" i="1" s="1"/>
  <c r="BF155" i="1"/>
  <c r="BE155" i="1"/>
  <c r="BI155" i="1" s="1"/>
  <c r="BD155" i="1"/>
  <c r="BB155" i="1"/>
  <c r="AR155" i="1"/>
  <c r="AH155" i="1"/>
  <c r="AG155" i="1"/>
  <c r="CV155" i="1" s="1"/>
  <c r="AC155" i="1"/>
  <c r="AA155" i="1"/>
  <c r="AD155" i="1" s="1"/>
  <c r="Z155" i="1"/>
  <c r="BT155" i="1" s="1"/>
  <c r="Y155" i="1"/>
  <c r="CD155" i="1" s="1"/>
  <c r="W155" i="1"/>
  <c r="M155" i="1"/>
  <c r="G155" i="1"/>
  <c r="F155" i="1"/>
  <c r="E155" i="1"/>
  <c r="DA154" i="1"/>
  <c r="CZ154" i="1"/>
  <c r="CY154" i="1"/>
  <c r="CH154" i="1"/>
  <c r="CD154" i="1"/>
  <c r="CC154" i="1"/>
  <c r="CB154" i="1"/>
  <c r="CA154" i="1"/>
  <c r="BV154" i="1"/>
  <c r="BT154" i="1"/>
  <c r="BS154" i="1"/>
  <c r="BH154" i="1"/>
  <c r="BF154" i="1"/>
  <c r="BU154" i="1" s="1"/>
  <c r="BE154" i="1"/>
  <c r="BD154" i="1"/>
  <c r="CF154" i="1" s="1"/>
  <c r="BB154" i="1"/>
  <c r="AR154" i="1"/>
  <c r="AH154" i="1"/>
  <c r="CW154" i="1" s="1"/>
  <c r="AG154" i="1"/>
  <c r="CV154" i="1" s="1"/>
  <c r="AC154" i="1"/>
  <c r="BW154" i="1" s="1"/>
  <c r="AA154" i="1"/>
  <c r="Z154" i="1"/>
  <c r="Y154" i="1"/>
  <c r="CG154" i="1" s="1"/>
  <c r="W154" i="1"/>
  <c r="M154" i="1"/>
  <c r="G154" i="1"/>
  <c r="F154" i="1"/>
  <c r="E154" i="1"/>
  <c r="DA153" i="1"/>
  <c r="CZ153" i="1"/>
  <c r="CY153" i="1"/>
  <c r="CV153" i="1"/>
  <c r="CD153" i="1"/>
  <c r="CC153" i="1"/>
  <c r="CB153" i="1"/>
  <c r="CA153" i="1"/>
  <c r="BV153" i="1"/>
  <c r="BU153" i="1"/>
  <c r="BT153" i="1"/>
  <c r="BS153" i="1"/>
  <c r="BH153" i="1"/>
  <c r="BW153" i="1" s="1"/>
  <c r="BF153" i="1"/>
  <c r="BE153" i="1"/>
  <c r="BD153" i="1"/>
  <c r="BB153" i="1"/>
  <c r="AR153" i="1"/>
  <c r="AH153" i="1"/>
  <c r="CW153" i="1" s="1"/>
  <c r="AG153" i="1"/>
  <c r="AD153" i="1"/>
  <c r="AC153" i="1"/>
  <c r="AA153" i="1"/>
  <c r="Z153" i="1"/>
  <c r="Y153" i="1"/>
  <c r="CH153" i="1" s="1"/>
  <c r="W153" i="1"/>
  <c r="M153" i="1"/>
  <c r="G153" i="1"/>
  <c r="F153" i="1"/>
  <c r="E153" i="1"/>
  <c r="DA152" i="1"/>
  <c r="CZ152" i="1"/>
  <c r="CY152" i="1"/>
  <c r="CW152" i="1"/>
  <c r="CV152" i="1"/>
  <c r="CR152" i="1"/>
  <c r="CM152" i="1"/>
  <c r="CL152" i="1"/>
  <c r="CG152" i="1"/>
  <c r="CE152" i="1"/>
  <c r="CD152" i="1"/>
  <c r="CC152" i="1"/>
  <c r="CB152" i="1"/>
  <c r="CA152" i="1"/>
  <c r="BW152" i="1"/>
  <c r="BV152" i="1"/>
  <c r="BU152" i="1"/>
  <c r="BT152" i="1"/>
  <c r="BS152" i="1"/>
  <c r="BI152" i="1"/>
  <c r="CN152" i="1" s="1"/>
  <c r="BB152" i="1"/>
  <c r="AR152" i="1"/>
  <c r="AD152" i="1"/>
  <c r="CQ152" i="1" s="1"/>
  <c r="Y152" i="1"/>
  <c r="CH152" i="1" s="1"/>
  <c r="W152" i="1"/>
  <c r="M152" i="1"/>
  <c r="G152" i="1"/>
  <c r="F152" i="1"/>
  <c r="E152" i="1"/>
  <c r="DA151" i="1"/>
  <c r="CZ151" i="1"/>
  <c r="CY151" i="1"/>
  <c r="CW151" i="1"/>
  <c r="CV151" i="1"/>
  <c r="CH151" i="1"/>
  <c r="CD151" i="1"/>
  <c r="CC151" i="1"/>
  <c r="CB151" i="1"/>
  <c r="CA151" i="1"/>
  <c r="BW151" i="1"/>
  <c r="BV151" i="1"/>
  <c r="BU151" i="1"/>
  <c r="BT151" i="1"/>
  <c r="BS151" i="1"/>
  <c r="BI151" i="1"/>
  <c r="BB151" i="1"/>
  <c r="AR151" i="1"/>
  <c r="Y151" i="1"/>
  <c r="CG151" i="1" s="1"/>
  <c r="W151" i="1"/>
  <c r="M151" i="1"/>
  <c r="G151" i="1"/>
  <c r="F151" i="1"/>
  <c r="E151" i="1"/>
  <c r="DA150" i="1"/>
  <c r="CZ150" i="1"/>
  <c r="CY150" i="1"/>
  <c r="CW150" i="1"/>
  <c r="CV150" i="1"/>
  <c r="CH150" i="1"/>
  <c r="CG150" i="1"/>
  <c r="CE150" i="1"/>
  <c r="CD150" i="1"/>
  <c r="CC150" i="1"/>
  <c r="CB150" i="1"/>
  <c r="CA150" i="1"/>
  <c r="BW150" i="1"/>
  <c r="BV150" i="1"/>
  <c r="BU150" i="1"/>
  <c r="BT150" i="1"/>
  <c r="BS150" i="1"/>
  <c r="BI150" i="1"/>
  <c r="BB150" i="1"/>
  <c r="AR150" i="1"/>
  <c r="AD150" i="1"/>
  <c r="CO150" i="1" s="1"/>
  <c r="Y150" i="1"/>
  <c r="CF150" i="1" s="1"/>
  <c r="W150" i="1"/>
  <c r="M150" i="1"/>
  <c r="G150" i="1"/>
  <c r="F150" i="1"/>
  <c r="E150" i="1"/>
  <c r="DA149" i="1"/>
  <c r="CZ149" i="1"/>
  <c r="CY149" i="1"/>
  <c r="CW149" i="1"/>
  <c r="CV149" i="1"/>
  <c r="BW149" i="1"/>
  <c r="BV149" i="1"/>
  <c r="BU149" i="1"/>
  <c r="BT149" i="1"/>
  <c r="BI149" i="1"/>
  <c r="BB149" i="1"/>
  <c r="AR149" i="1"/>
  <c r="Y149" i="1"/>
  <c r="CE149" i="1" s="1"/>
  <c r="W149" i="1"/>
  <c r="M149" i="1"/>
  <c r="G149" i="1"/>
  <c r="F149" i="1"/>
  <c r="E149" i="1"/>
  <c r="DA148" i="1"/>
  <c r="CZ148" i="1"/>
  <c r="CY148" i="1"/>
  <c r="CW148" i="1"/>
  <c r="CV148" i="1"/>
  <c r="CR148" i="1"/>
  <c r="CQ148" i="1"/>
  <c r="CO148" i="1"/>
  <c r="CH148" i="1"/>
  <c r="CG148" i="1"/>
  <c r="CF148" i="1"/>
  <c r="CE148" i="1"/>
  <c r="CD148" i="1"/>
  <c r="CC148" i="1"/>
  <c r="CB148" i="1"/>
  <c r="CA148" i="1"/>
  <c r="CI148" i="1" s="1"/>
  <c r="BX148" i="1"/>
  <c r="BW148" i="1"/>
  <c r="BV148" i="1"/>
  <c r="BU148" i="1"/>
  <c r="BT148" i="1"/>
  <c r="BS148" i="1"/>
  <c r="BI148" i="1"/>
  <c r="BB148" i="1"/>
  <c r="AR148" i="1"/>
  <c r="AD148" i="1"/>
  <c r="CN148" i="1" s="1"/>
  <c r="W148" i="1"/>
  <c r="M148" i="1"/>
  <c r="G148" i="1"/>
  <c r="F148" i="1"/>
  <c r="E148" i="1"/>
  <c r="DA147" i="1"/>
  <c r="CZ147" i="1"/>
  <c r="CY147" i="1"/>
  <c r="CW147" i="1"/>
  <c r="CV147" i="1"/>
  <c r="CN147" i="1"/>
  <c r="CH147" i="1"/>
  <c r="CG147" i="1"/>
  <c r="CF147" i="1"/>
  <c r="CE147" i="1"/>
  <c r="CD147" i="1"/>
  <c r="CC147" i="1"/>
  <c r="CB147" i="1"/>
  <c r="CA147" i="1"/>
  <c r="CI147" i="1" s="1"/>
  <c r="BW147" i="1"/>
  <c r="BV147" i="1"/>
  <c r="BU147" i="1"/>
  <c r="BT147" i="1"/>
  <c r="BS147" i="1"/>
  <c r="BI147" i="1"/>
  <c r="BB147" i="1"/>
  <c r="AR147" i="1"/>
  <c r="AD147" i="1"/>
  <c r="CM147" i="1" s="1"/>
  <c r="W147" i="1"/>
  <c r="M147" i="1"/>
  <c r="G147" i="1"/>
  <c r="F147" i="1"/>
  <c r="E147" i="1"/>
  <c r="DA146" i="1"/>
  <c r="CZ146" i="1"/>
  <c r="CY146" i="1"/>
  <c r="CW146" i="1"/>
  <c r="CV146" i="1"/>
  <c r="CO146" i="1"/>
  <c r="CM146" i="1"/>
  <c r="CH146" i="1"/>
  <c r="CG146" i="1"/>
  <c r="CF146" i="1"/>
  <c r="CE146" i="1"/>
  <c r="CD146" i="1"/>
  <c r="CC146" i="1"/>
  <c r="CB146" i="1"/>
  <c r="CA146" i="1"/>
  <c r="CI146" i="1" s="1"/>
  <c r="BW146" i="1"/>
  <c r="BV146" i="1"/>
  <c r="BU146" i="1"/>
  <c r="BT146" i="1"/>
  <c r="BS146" i="1"/>
  <c r="BI146" i="1"/>
  <c r="BB146" i="1"/>
  <c r="AR146" i="1"/>
  <c r="AD146" i="1"/>
  <c r="CL146" i="1" s="1"/>
  <c r="W146" i="1"/>
  <c r="M146" i="1"/>
  <c r="G146" i="1"/>
  <c r="F146" i="1"/>
  <c r="E146" i="1"/>
  <c r="DA145" i="1"/>
  <c r="CZ145" i="1"/>
  <c r="CY145" i="1"/>
  <c r="CW145" i="1"/>
  <c r="CV145" i="1"/>
  <c r="CO145" i="1"/>
  <c r="CN145" i="1"/>
  <c r="CL145" i="1"/>
  <c r="CH145" i="1"/>
  <c r="CG145" i="1"/>
  <c r="CF145" i="1"/>
  <c r="CE145" i="1"/>
  <c r="CD145" i="1"/>
  <c r="CC145" i="1"/>
  <c r="CB145" i="1"/>
  <c r="CA145" i="1"/>
  <c r="CI145" i="1" s="1"/>
  <c r="BW145" i="1"/>
  <c r="BV145" i="1"/>
  <c r="BU145" i="1"/>
  <c r="BT145" i="1"/>
  <c r="BS145" i="1"/>
  <c r="BI145" i="1"/>
  <c r="BB145" i="1"/>
  <c r="AR145" i="1"/>
  <c r="AD145" i="1"/>
  <c r="CK145" i="1" s="1"/>
  <c r="W145" i="1"/>
  <c r="M145" i="1"/>
  <c r="G145" i="1"/>
  <c r="F145" i="1"/>
  <c r="E145" i="1"/>
  <c r="DA144" i="1"/>
  <c r="CZ144" i="1"/>
  <c r="CY144" i="1"/>
  <c r="CV144" i="1"/>
  <c r="CE144" i="1"/>
  <c r="CD144" i="1"/>
  <c r="CB144" i="1"/>
  <c r="BW144" i="1"/>
  <c r="BV144" i="1"/>
  <c r="BU144" i="1"/>
  <c r="BT144" i="1"/>
  <c r="BM144" i="1"/>
  <c r="BD144" i="1"/>
  <c r="BI144" i="1" s="1"/>
  <c r="CK144" i="1" s="1"/>
  <c r="BB144" i="1"/>
  <c r="AR144" i="1"/>
  <c r="AH144" i="1"/>
  <c r="CW144" i="1" s="1"/>
  <c r="AD144" i="1"/>
  <c r="Y144" i="1"/>
  <c r="CA144" i="1" s="1"/>
  <c r="W144" i="1"/>
  <c r="M144" i="1"/>
  <c r="G144" i="1"/>
  <c r="F144" i="1"/>
  <c r="E144" i="1"/>
  <c r="DA143" i="1"/>
  <c r="CZ143" i="1"/>
  <c r="CY143" i="1"/>
  <c r="CW143" i="1"/>
  <c r="CV143" i="1"/>
  <c r="CG143" i="1"/>
  <c r="CE143" i="1"/>
  <c r="BW143" i="1"/>
  <c r="BV143" i="1"/>
  <c r="BU143" i="1"/>
  <c r="BT143" i="1"/>
  <c r="BM143" i="1"/>
  <c r="BD143" i="1"/>
  <c r="CA143" i="1" s="1"/>
  <c r="BB143" i="1"/>
  <c r="AR143" i="1"/>
  <c r="AH143" i="1"/>
  <c r="Y143" i="1"/>
  <c r="CD143" i="1" s="1"/>
  <c r="W143" i="1"/>
  <c r="M143" i="1"/>
  <c r="G143" i="1"/>
  <c r="F143" i="1"/>
  <c r="E143" i="1"/>
  <c r="DA142" i="1"/>
  <c r="CZ142" i="1"/>
  <c r="CY142" i="1"/>
  <c r="CW142" i="1"/>
  <c r="CV142" i="1"/>
  <c r="CQ142" i="1"/>
  <c r="CH142" i="1"/>
  <c r="CG142" i="1"/>
  <c r="CF142" i="1"/>
  <c r="CE142" i="1"/>
  <c r="CD142" i="1"/>
  <c r="CC142" i="1"/>
  <c r="CB142" i="1"/>
  <c r="CA142" i="1"/>
  <c r="BX142" i="1"/>
  <c r="BW142" i="1"/>
  <c r="BV142" i="1"/>
  <c r="BU142" i="1"/>
  <c r="BT142" i="1"/>
  <c r="BS142" i="1"/>
  <c r="BI142" i="1"/>
  <c r="CO142" i="1" s="1"/>
  <c r="BB142" i="1"/>
  <c r="AR142" i="1"/>
  <c r="AD142" i="1"/>
  <c r="CP142" i="1" s="1"/>
  <c r="W142" i="1"/>
  <c r="M142" i="1"/>
  <c r="G142" i="1"/>
  <c r="F142" i="1"/>
  <c r="E142" i="1"/>
  <c r="DA141" i="1"/>
  <c r="CZ141" i="1"/>
  <c r="CY141" i="1"/>
  <c r="CW141" i="1"/>
  <c r="CV141" i="1"/>
  <c r="CP141" i="1"/>
  <c r="CH141" i="1"/>
  <c r="CG141" i="1"/>
  <c r="CF141" i="1"/>
  <c r="CE141" i="1"/>
  <c r="CD141" i="1"/>
  <c r="CC141" i="1"/>
  <c r="CB141" i="1"/>
  <c r="CA141" i="1"/>
  <c r="BW141" i="1"/>
  <c r="BV141" i="1"/>
  <c r="BU141" i="1"/>
  <c r="BT141" i="1"/>
  <c r="BS141" i="1"/>
  <c r="BI141" i="1"/>
  <c r="BB141" i="1"/>
  <c r="AR141" i="1"/>
  <c r="AD141" i="1"/>
  <c r="W141" i="1"/>
  <c r="M141" i="1"/>
  <c r="G141" i="1"/>
  <c r="F141" i="1"/>
  <c r="E141" i="1"/>
  <c r="DA140" i="1"/>
  <c r="CZ140" i="1"/>
  <c r="CY140" i="1"/>
  <c r="CW140" i="1"/>
  <c r="CV140" i="1"/>
  <c r="CR140" i="1"/>
  <c r="CQ140" i="1"/>
  <c r="CO140" i="1"/>
  <c r="CH140" i="1"/>
  <c r="CG140" i="1"/>
  <c r="CF140" i="1"/>
  <c r="CE140" i="1"/>
  <c r="CD140" i="1"/>
  <c r="CC140" i="1"/>
  <c r="CB140" i="1"/>
  <c r="CA140" i="1"/>
  <c r="CI140" i="1" s="1"/>
  <c r="BX140" i="1"/>
  <c r="BW140" i="1"/>
  <c r="BV140" i="1"/>
  <c r="BU140" i="1"/>
  <c r="BT140" i="1"/>
  <c r="BS140" i="1"/>
  <c r="BI140" i="1"/>
  <c r="BB140" i="1"/>
  <c r="AR140" i="1"/>
  <c r="AD140" i="1"/>
  <c r="CN140" i="1" s="1"/>
  <c r="W140" i="1"/>
  <c r="M140" i="1"/>
  <c r="G140" i="1"/>
  <c r="F140" i="1"/>
  <c r="E140" i="1"/>
  <c r="DA139" i="1"/>
  <c r="CZ139" i="1"/>
  <c r="CY139" i="1"/>
  <c r="CW139" i="1"/>
  <c r="CV139" i="1"/>
  <c r="CH139" i="1"/>
  <c r="CG139" i="1"/>
  <c r="CF139" i="1"/>
  <c r="CE139" i="1"/>
  <c r="CC139" i="1"/>
  <c r="CB139" i="1"/>
  <c r="CA139" i="1"/>
  <c r="CI139" i="1" s="1"/>
  <c r="BW139" i="1"/>
  <c r="BV139" i="1"/>
  <c r="BU139" i="1"/>
  <c r="BT139" i="1"/>
  <c r="BS139" i="1"/>
  <c r="BM139" i="1"/>
  <c r="BI139" i="1"/>
  <c r="BB139" i="1"/>
  <c r="AR139" i="1"/>
  <c r="AH139" i="1"/>
  <c r="AD139" i="1"/>
  <c r="Y139" i="1"/>
  <c r="CD139" i="1" s="1"/>
  <c r="W139" i="1"/>
  <c r="M139" i="1"/>
  <c r="G139" i="1"/>
  <c r="F139" i="1"/>
  <c r="E139" i="1"/>
  <c r="DA138" i="1"/>
  <c r="CZ138" i="1"/>
  <c r="CY138" i="1"/>
  <c r="CV138" i="1"/>
  <c r="CP138" i="1"/>
  <c r="CH138" i="1"/>
  <c r="CG138" i="1"/>
  <c r="CE138" i="1"/>
  <c r="CC138" i="1"/>
  <c r="CB138" i="1"/>
  <c r="CA138" i="1"/>
  <c r="BW138" i="1"/>
  <c r="BV138" i="1"/>
  <c r="BU138" i="1"/>
  <c r="BT138" i="1"/>
  <c r="BS138" i="1"/>
  <c r="BM138" i="1"/>
  <c r="CW138" i="1" s="1"/>
  <c r="BI138" i="1"/>
  <c r="CL138" i="1" s="1"/>
  <c r="BB138" i="1"/>
  <c r="AR138" i="1"/>
  <c r="AH138" i="1"/>
  <c r="AD138" i="1"/>
  <c r="CO138" i="1" s="1"/>
  <c r="Y138" i="1"/>
  <c r="CF138" i="1" s="1"/>
  <c r="W138" i="1"/>
  <c r="M138" i="1"/>
  <c r="G138" i="1"/>
  <c r="F138" i="1"/>
  <c r="E138" i="1"/>
  <c r="DA137" i="1"/>
  <c r="CZ137" i="1"/>
  <c r="CY137" i="1"/>
  <c r="CW137" i="1"/>
  <c r="CV137" i="1"/>
  <c r="CH137" i="1"/>
  <c r="CG137" i="1"/>
  <c r="CF137" i="1"/>
  <c r="CE137" i="1"/>
  <c r="CD137" i="1"/>
  <c r="CC137" i="1"/>
  <c r="CB137" i="1"/>
  <c r="CA137" i="1"/>
  <c r="BW137" i="1"/>
  <c r="BV137" i="1"/>
  <c r="BU137" i="1"/>
  <c r="BT137" i="1"/>
  <c r="BS137" i="1"/>
  <c r="BI137" i="1"/>
  <c r="CK137" i="1" s="1"/>
  <c r="BB137" i="1"/>
  <c r="AR137" i="1"/>
  <c r="AD137" i="1"/>
  <c r="W137" i="1"/>
  <c r="M137" i="1"/>
  <c r="G137" i="1"/>
  <c r="F137" i="1"/>
  <c r="E137" i="1"/>
  <c r="DA136" i="1"/>
  <c r="CZ136" i="1"/>
  <c r="CY136" i="1"/>
  <c r="CW136" i="1"/>
  <c r="CV136" i="1"/>
  <c r="CR136" i="1"/>
  <c r="CQ136" i="1"/>
  <c r="CO136" i="1"/>
  <c r="CH136" i="1"/>
  <c r="CG136" i="1"/>
  <c r="CF136" i="1"/>
  <c r="CE136" i="1"/>
  <c r="CD136" i="1"/>
  <c r="CC136" i="1"/>
  <c r="CB136" i="1"/>
  <c r="CA136" i="1"/>
  <c r="CI136" i="1" s="1"/>
  <c r="BX136" i="1"/>
  <c r="BW136" i="1"/>
  <c r="BV136" i="1"/>
  <c r="BU136" i="1"/>
  <c r="BT136" i="1"/>
  <c r="BS136" i="1"/>
  <c r="BI136" i="1"/>
  <c r="CK136" i="1" s="1"/>
  <c r="BB136" i="1"/>
  <c r="AR136" i="1"/>
  <c r="AD136" i="1"/>
  <c r="CN136" i="1" s="1"/>
  <c r="W136" i="1"/>
  <c r="M136" i="1"/>
  <c r="G136" i="1"/>
  <c r="F136" i="1"/>
  <c r="E136" i="1"/>
  <c r="DA135" i="1"/>
  <c r="CZ135" i="1"/>
  <c r="CY135" i="1"/>
  <c r="CW135" i="1"/>
  <c r="CV135" i="1"/>
  <c r="CO135" i="1"/>
  <c r="CM135" i="1"/>
  <c r="CH135" i="1"/>
  <c r="CG135" i="1"/>
  <c r="CF135" i="1"/>
  <c r="CE135" i="1"/>
  <c r="CD135" i="1"/>
  <c r="CC135" i="1"/>
  <c r="CB135" i="1"/>
  <c r="CA135" i="1"/>
  <c r="CI135" i="1" s="1"/>
  <c r="BW135" i="1"/>
  <c r="BV135" i="1"/>
  <c r="BU135" i="1"/>
  <c r="BT135" i="1"/>
  <c r="BS135" i="1"/>
  <c r="BI135" i="1"/>
  <c r="BB135" i="1"/>
  <c r="AR135" i="1"/>
  <c r="AD135" i="1"/>
  <c r="CL135" i="1" s="1"/>
  <c r="W135" i="1"/>
  <c r="M135" i="1"/>
  <c r="G135" i="1"/>
  <c r="F135" i="1"/>
  <c r="E135" i="1"/>
  <c r="DA134" i="1"/>
  <c r="CZ134" i="1"/>
  <c r="CY134" i="1"/>
  <c r="CW134" i="1"/>
  <c r="CV134" i="1"/>
  <c r="CM134" i="1"/>
  <c r="CK134" i="1"/>
  <c r="CH134" i="1"/>
  <c r="CG134" i="1"/>
  <c r="CF134" i="1"/>
  <c r="CE134" i="1"/>
  <c r="CD134" i="1"/>
  <c r="CC134" i="1"/>
  <c r="CB134" i="1"/>
  <c r="CA134" i="1"/>
  <c r="BW134" i="1"/>
  <c r="BV134" i="1"/>
  <c r="BU134" i="1"/>
  <c r="BT134" i="1"/>
  <c r="BS134" i="1"/>
  <c r="AD134" i="1"/>
  <c r="W134" i="1"/>
  <c r="M134" i="1"/>
  <c r="G134" i="1"/>
  <c r="F134" i="1"/>
  <c r="E134" i="1"/>
  <c r="DA133" i="1"/>
  <c r="CZ133" i="1"/>
  <c r="CY133" i="1"/>
  <c r="CW133" i="1"/>
  <c r="CV133" i="1"/>
  <c r="CR133" i="1"/>
  <c r="CQ133" i="1"/>
  <c r="CP133" i="1"/>
  <c r="CO133" i="1"/>
  <c r="CN133" i="1"/>
  <c r="CH133" i="1"/>
  <c r="CG133" i="1"/>
  <c r="CF133" i="1"/>
  <c r="CE133" i="1"/>
  <c r="CD133" i="1"/>
  <c r="CC133" i="1"/>
  <c r="CB133" i="1"/>
  <c r="CA133" i="1"/>
  <c r="CI133" i="1" s="1"/>
  <c r="BX133" i="1"/>
  <c r="BW133" i="1"/>
  <c r="BV133" i="1"/>
  <c r="BU133" i="1"/>
  <c r="BT133" i="1"/>
  <c r="BS133" i="1"/>
  <c r="AD133" i="1"/>
  <c r="CM133" i="1" s="1"/>
  <c r="W133" i="1"/>
  <c r="M133" i="1"/>
  <c r="G133" i="1"/>
  <c r="F133" i="1"/>
  <c r="E133" i="1"/>
  <c r="DA132" i="1"/>
  <c r="CZ132" i="1"/>
  <c r="CY132" i="1"/>
  <c r="CW132" i="1"/>
  <c r="CV132" i="1"/>
  <c r="CK132" i="1"/>
  <c r="CH132" i="1"/>
  <c r="CD132" i="1"/>
  <c r="CC132" i="1"/>
  <c r="CB132" i="1"/>
  <c r="BX132" i="1"/>
  <c r="BW132" i="1"/>
  <c r="BV132" i="1"/>
  <c r="BU132" i="1"/>
  <c r="BT132" i="1"/>
  <c r="BS132" i="1"/>
  <c r="AD132" i="1"/>
  <c r="CQ132" i="1" s="1"/>
  <c r="Y132" i="1"/>
  <c r="CG132" i="1" s="1"/>
  <c r="W132" i="1"/>
  <c r="M132" i="1"/>
  <c r="G132" i="1"/>
  <c r="F132" i="1"/>
  <c r="E132" i="1"/>
  <c r="DA131" i="1"/>
  <c r="CZ131" i="1"/>
  <c r="CY131" i="1"/>
  <c r="CW131" i="1"/>
  <c r="CV131" i="1"/>
  <c r="CH131" i="1"/>
  <c r="CG131" i="1"/>
  <c r="CF131" i="1"/>
  <c r="CE131" i="1"/>
  <c r="CD131" i="1"/>
  <c r="CC131" i="1"/>
  <c r="CB131" i="1"/>
  <c r="CA131" i="1"/>
  <c r="CI131" i="1" s="1"/>
  <c r="BW131" i="1"/>
  <c r="BV131" i="1"/>
  <c r="BU131" i="1"/>
  <c r="BT131" i="1"/>
  <c r="BS131" i="1"/>
  <c r="BI131" i="1"/>
  <c r="BB131" i="1"/>
  <c r="AR131" i="1"/>
  <c r="AD131" i="1"/>
  <c r="CR131" i="1" s="1"/>
  <c r="W131" i="1"/>
  <c r="M131" i="1"/>
  <c r="G131" i="1"/>
  <c r="F131" i="1"/>
  <c r="E131" i="1"/>
  <c r="DA130" i="1"/>
  <c r="CZ130" i="1"/>
  <c r="CY130" i="1"/>
  <c r="CW130" i="1"/>
  <c r="CV130" i="1"/>
  <c r="CH130" i="1"/>
  <c r="CG130" i="1"/>
  <c r="CF130" i="1"/>
  <c r="CE130" i="1"/>
  <c r="CD130" i="1"/>
  <c r="CC130" i="1"/>
  <c r="CB130" i="1"/>
  <c r="CA130" i="1"/>
  <c r="BW130" i="1"/>
  <c r="BV130" i="1"/>
  <c r="BU130" i="1"/>
  <c r="BT130" i="1"/>
  <c r="BS130" i="1"/>
  <c r="BI130" i="1"/>
  <c r="BB130" i="1"/>
  <c r="AR130" i="1"/>
  <c r="AD130" i="1"/>
  <c r="W130" i="1"/>
  <c r="M130" i="1"/>
  <c r="G130" i="1"/>
  <c r="F130" i="1"/>
  <c r="E130" i="1"/>
  <c r="DA129" i="1"/>
  <c r="CZ129" i="1"/>
  <c r="CY129" i="1"/>
  <c r="CW129" i="1"/>
  <c r="CV129" i="1"/>
  <c r="CR129" i="1"/>
  <c r="CP129" i="1"/>
  <c r="CO129" i="1"/>
  <c r="CN129" i="1"/>
  <c r="CL129" i="1"/>
  <c r="CH129" i="1"/>
  <c r="CG129" i="1"/>
  <c r="CF129" i="1"/>
  <c r="CE129" i="1"/>
  <c r="CD129" i="1"/>
  <c r="CC129" i="1"/>
  <c r="CB129" i="1"/>
  <c r="CA129" i="1"/>
  <c r="CI129" i="1" s="1"/>
  <c r="BW129" i="1"/>
  <c r="BV129" i="1"/>
  <c r="BU129" i="1"/>
  <c r="BT129" i="1"/>
  <c r="BS129" i="1"/>
  <c r="BI129" i="1"/>
  <c r="BB129" i="1"/>
  <c r="AR129" i="1"/>
  <c r="AD129" i="1"/>
  <c r="W129" i="1"/>
  <c r="M129" i="1"/>
  <c r="G129" i="1"/>
  <c r="F129" i="1"/>
  <c r="E129" i="1"/>
  <c r="DA128" i="1"/>
  <c r="CZ128" i="1"/>
  <c r="CY128" i="1"/>
  <c r="CW128" i="1"/>
  <c r="CV128" i="1"/>
  <c r="CH128" i="1"/>
  <c r="CG128" i="1"/>
  <c r="CF128" i="1"/>
  <c r="CE128" i="1"/>
  <c r="CD128" i="1"/>
  <c r="CC128" i="1"/>
  <c r="CB128" i="1"/>
  <c r="CA128" i="1"/>
  <c r="CI128" i="1" s="1"/>
  <c r="BW128" i="1"/>
  <c r="BV128" i="1"/>
  <c r="BU128" i="1"/>
  <c r="BT128" i="1"/>
  <c r="BS128" i="1"/>
  <c r="BI128" i="1"/>
  <c r="BB128" i="1"/>
  <c r="AR128" i="1"/>
  <c r="AD128" i="1"/>
  <c r="CR128" i="1" s="1"/>
  <c r="W128" i="1"/>
  <c r="M128" i="1"/>
  <c r="G128" i="1"/>
  <c r="F128" i="1"/>
  <c r="E128" i="1"/>
  <c r="DA127" i="1"/>
  <c r="CZ127" i="1"/>
  <c r="CY127" i="1"/>
  <c r="CW127" i="1"/>
  <c r="CV127" i="1"/>
  <c r="CQ127" i="1"/>
  <c r="CP127" i="1"/>
  <c r="CN127" i="1"/>
  <c r="CH127" i="1"/>
  <c r="CG127" i="1"/>
  <c r="CF127" i="1"/>
  <c r="CE127" i="1"/>
  <c r="CD127" i="1"/>
  <c r="CC127" i="1"/>
  <c r="CB127" i="1"/>
  <c r="CA127" i="1"/>
  <c r="CI127" i="1" s="1"/>
  <c r="BW127" i="1"/>
  <c r="BV127" i="1"/>
  <c r="BU127" i="1"/>
  <c r="BT127" i="1"/>
  <c r="BS127" i="1"/>
  <c r="BI127" i="1"/>
  <c r="BB127" i="1"/>
  <c r="AR127" i="1"/>
  <c r="AD127" i="1"/>
  <c r="CL127" i="1" s="1"/>
  <c r="W127" i="1"/>
  <c r="M127" i="1"/>
  <c r="G127" i="1"/>
  <c r="F127" i="1"/>
  <c r="E127" i="1"/>
  <c r="DA126" i="1"/>
  <c r="CZ126" i="1"/>
  <c r="CY126" i="1"/>
  <c r="CW126" i="1"/>
  <c r="CV126" i="1"/>
  <c r="CG126" i="1"/>
  <c r="CF126" i="1"/>
  <c r="CE126" i="1"/>
  <c r="BW126" i="1"/>
  <c r="BV126" i="1"/>
  <c r="BU126" i="1"/>
  <c r="BT126" i="1"/>
  <c r="BS126" i="1"/>
  <c r="BD126" i="1"/>
  <c r="BI126" i="1" s="1"/>
  <c r="BB126" i="1"/>
  <c r="AR126" i="1"/>
  <c r="Y126" i="1"/>
  <c r="CC126" i="1" s="1"/>
  <c r="W126" i="1"/>
  <c r="M126" i="1"/>
  <c r="DA125" i="1"/>
  <c r="CZ125" i="1"/>
  <c r="CY125" i="1"/>
  <c r="CW125" i="1"/>
  <c r="CV125" i="1"/>
  <c r="BW125" i="1"/>
  <c r="BV125" i="1"/>
  <c r="BU125" i="1"/>
  <c r="BT125" i="1"/>
  <c r="BI125" i="1"/>
  <c r="BD125" i="1"/>
  <c r="BB125" i="1"/>
  <c r="AR125" i="1"/>
  <c r="Y125" i="1"/>
  <c r="CE125" i="1" s="1"/>
  <c r="W125" i="1"/>
  <c r="M125" i="1"/>
  <c r="DA124" i="1"/>
  <c r="CZ124" i="1"/>
  <c r="CY124" i="1"/>
  <c r="CW124" i="1"/>
  <c r="CV124" i="1"/>
  <c r="BW124" i="1"/>
  <c r="BV124" i="1"/>
  <c r="BU124" i="1"/>
  <c r="BT124" i="1"/>
  <c r="BI124" i="1"/>
  <c r="BB124" i="1"/>
  <c r="AR124" i="1"/>
  <c r="Y124" i="1"/>
  <c r="CH124" i="1" s="1"/>
  <c r="W124" i="1"/>
  <c r="M124" i="1"/>
  <c r="DA123" i="1"/>
  <c r="CZ123" i="1"/>
  <c r="CY123" i="1"/>
  <c r="CW123" i="1"/>
  <c r="CV123" i="1"/>
  <c r="CO123" i="1"/>
  <c r="CK123" i="1"/>
  <c r="CH123" i="1"/>
  <c r="CG123" i="1"/>
  <c r="CF123" i="1"/>
  <c r="CE123" i="1"/>
  <c r="CD123" i="1"/>
  <c r="CC123" i="1"/>
  <c r="CB123" i="1"/>
  <c r="CA123" i="1"/>
  <c r="BX123" i="1"/>
  <c r="BW123" i="1"/>
  <c r="BV123" i="1"/>
  <c r="BU123" i="1"/>
  <c r="BT123" i="1"/>
  <c r="BS123" i="1"/>
  <c r="BI123" i="1"/>
  <c r="BB123" i="1"/>
  <c r="AR123" i="1"/>
  <c r="AD123" i="1"/>
  <c r="CQ123" i="1" s="1"/>
  <c r="W123" i="1"/>
  <c r="M123" i="1"/>
  <c r="DA122" i="1"/>
  <c r="CZ122" i="1"/>
  <c r="CY122" i="1"/>
  <c r="CW122" i="1"/>
  <c r="CV122" i="1"/>
  <c r="CQ122" i="1"/>
  <c r="CL122" i="1"/>
  <c r="CH122" i="1"/>
  <c r="CG122" i="1"/>
  <c r="CF122" i="1"/>
  <c r="CE122" i="1"/>
  <c r="CD122" i="1"/>
  <c r="CC122" i="1"/>
  <c r="CB122" i="1"/>
  <c r="CA122" i="1"/>
  <c r="CI122" i="1" s="1"/>
  <c r="BW122" i="1"/>
  <c r="BV122" i="1"/>
  <c r="BU122" i="1"/>
  <c r="BT122" i="1"/>
  <c r="BS122" i="1"/>
  <c r="BI122" i="1"/>
  <c r="CN122" i="1" s="1"/>
  <c r="BB122" i="1"/>
  <c r="AR122" i="1"/>
  <c r="AD122" i="1"/>
  <c r="W122" i="1"/>
  <c r="M122" i="1"/>
  <c r="DA121" i="1"/>
  <c r="CZ121" i="1"/>
  <c r="CY121" i="1"/>
  <c r="CW121" i="1"/>
  <c r="CV121" i="1"/>
  <c r="CO121" i="1"/>
  <c r="CL121" i="1"/>
  <c r="CH121" i="1"/>
  <c r="CG121" i="1"/>
  <c r="CF121" i="1"/>
  <c r="CE121" i="1"/>
  <c r="CD121" i="1"/>
  <c r="CC121" i="1"/>
  <c r="CB121" i="1"/>
  <c r="CA121" i="1"/>
  <c r="CI121" i="1" s="1"/>
  <c r="BW121" i="1"/>
  <c r="BV121" i="1"/>
  <c r="BU121" i="1"/>
  <c r="BT121" i="1"/>
  <c r="BS121" i="1"/>
  <c r="BI121" i="1"/>
  <c r="BB121" i="1"/>
  <c r="AR121" i="1"/>
  <c r="AD121" i="1"/>
  <c r="CR121" i="1" s="1"/>
  <c r="W121" i="1"/>
  <c r="M121" i="1"/>
  <c r="DA120" i="1"/>
  <c r="CZ120" i="1"/>
  <c r="CY120" i="1"/>
  <c r="CW120" i="1"/>
  <c r="CV120" i="1"/>
  <c r="CH120" i="1"/>
  <c r="CG120" i="1"/>
  <c r="CF120" i="1"/>
  <c r="CE120" i="1"/>
  <c r="CD120" i="1"/>
  <c r="CC120" i="1"/>
  <c r="CB120" i="1"/>
  <c r="CA120" i="1"/>
  <c r="CI120" i="1" s="1"/>
  <c r="BW120" i="1"/>
  <c r="BV120" i="1"/>
  <c r="BU120" i="1"/>
  <c r="BT120" i="1"/>
  <c r="BS120" i="1"/>
  <c r="BI120" i="1"/>
  <c r="CK120" i="1" s="1"/>
  <c r="BB120" i="1"/>
  <c r="AR120" i="1"/>
  <c r="AD120" i="1"/>
  <c r="CQ120" i="1" s="1"/>
  <c r="W120" i="1"/>
  <c r="M120" i="1"/>
  <c r="DA119" i="1"/>
  <c r="CZ119" i="1"/>
  <c r="CY119" i="1"/>
  <c r="CW119" i="1"/>
  <c r="CV119" i="1"/>
  <c r="CR119" i="1"/>
  <c r="CP119" i="1"/>
  <c r="CN119" i="1"/>
  <c r="CK119" i="1"/>
  <c r="CH119" i="1"/>
  <c r="CG119" i="1"/>
  <c r="CF119" i="1"/>
  <c r="CE119" i="1"/>
  <c r="CD119" i="1"/>
  <c r="CC119" i="1"/>
  <c r="CB119" i="1"/>
  <c r="CA119" i="1"/>
  <c r="CI119" i="1" s="1"/>
  <c r="BW119" i="1"/>
  <c r="BV119" i="1"/>
  <c r="BU119" i="1"/>
  <c r="BT119" i="1"/>
  <c r="BS119" i="1"/>
  <c r="BI119" i="1"/>
  <c r="BB119" i="1"/>
  <c r="AR119" i="1"/>
  <c r="AD119" i="1"/>
  <c r="CM119" i="1" s="1"/>
  <c r="W119" i="1"/>
  <c r="M119" i="1"/>
  <c r="DA118" i="1"/>
  <c r="CZ118" i="1"/>
  <c r="CY118" i="1"/>
  <c r="CW118" i="1"/>
  <c r="CH118" i="1"/>
  <c r="CG118" i="1"/>
  <c r="CF118" i="1"/>
  <c r="CE118" i="1"/>
  <c r="CD118" i="1"/>
  <c r="CC118" i="1"/>
  <c r="CB118" i="1"/>
  <c r="CA118" i="1"/>
  <c r="CI118" i="1" s="1"/>
  <c r="BW118" i="1"/>
  <c r="BV118" i="1"/>
  <c r="BU118" i="1"/>
  <c r="BT118" i="1"/>
  <c r="BS118" i="1"/>
  <c r="BL118" i="1"/>
  <c r="BI118" i="1"/>
  <c r="BB118" i="1"/>
  <c r="AR118" i="1"/>
  <c r="AG118" i="1"/>
  <c r="CV118" i="1" s="1"/>
  <c r="AD118" i="1"/>
  <c r="CO118" i="1" s="1"/>
  <c r="W118" i="1"/>
  <c r="M118" i="1"/>
  <c r="DA117" i="1"/>
  <c r="CZ117" i="1"/>
  <c r="CY117" i="1"/>
  <c r="CW117" i="1"/>
  <c r="CV117" i="1"/>
  <c r="CR117" i="1"/>
  <c r="CN117" i="1"/>
  <c r="CH117" i="1"/>
  <c r="CG117" i="1"/>
  <c r="CF117" i="1"/>
  <c r="CE117" i="1"/>
  <c r="CD117" i="1"/>
  <c r="CC117" i="1"/>
  <c r="CB117" i="1"/>
  <c r="CA117" i="1"/>
  <c r="CI117" i="1" s="1"/>
  <c r="BW117" i="1"/>
  <c r="BV117" i="1"/>
  <c r="BU117" i="1"/>
  <c r="BT117" i="1"/>
  <c r="BS117" i="1"/>
  <c r="BL117" i="1"/>
  <c r="BI117" i="1"/>
  <c r="CL117" i="1" s="1"/>
  <c r="BB117" i="1"/>
  <c r="AR117" i="1"/>
  <c r="AG117" i="1"/>
  <c r="AD117" i="1"/>
  <c r="CO117" i="1" s="1"/>
  <c r="W117" i="1"/>
  <c r="M117" i="1"/>
  <c r="DA116" i="1"/>
  <c r="CZ116" i="1"/>
  <c r="CY116" i="1"/>
  <c r="CW116" i="1"/>
  <c r="CR116" i="1"/>
  <c r="CM116" i="1"/>
  <c r="CL116" i="1"/>
  <c r="CH116" i="1"/>
  <c r="CG116" i="1"/>
  <c r="CF116" i="1"/>
  <c r="CE116" i="1"/>
  <c r="CD116" i="1"/>
  <c r="CC116" i="1"/>
  <c r="CB116" i="1"/>
  <c r="CA116" i="1"/>
  <c r="CI116" i="1" s="1"/>
  <c r="BW116" i="1"/>
  <c r="BV116" i="1"/>
  <c r="BU116" i="1"/>
  <c r="BT116" i="1"/>
  <c r="BS116" i="1"/>
  <c r="BL116" i="1"/>
  <c r="CV116" i="1" s="1"/>
  <c r="BI116" i="1"/>
  <c r="CN116" i="1" s="1"/>
  <c r="BB116" i="1"/>
  <c r="AR116" i="1"/>
  <c r="AG116" i="1"/>
  <c r="AD116" i="1"/>
  <c r="W116" i="1"/>
  <c r="M116" i="1"/>
  <c r="G116" i="1"/>
  <c r="F116" i="1"/>
  <c r="E116" i="1"/>
  <c r="DA115" i="1"/>
  <c r="CZ115" i="1"/>
  <c r="CY115" i="1"/>
  <c r="CW115" i="1"/>
  <c r="CV115" i="1"/>
  <c r="CQ115" i="1"/>
  <c r="CN115" i="1"/>
  <c r="CL115" i="1"/>
  <c r="CK115" i="1"/>
  <c r="CH115" i="1"/>
  <c r="CG115" i="1"/>
  <c r="CF115" i="1"/>
  <c r="CE115" i="1"/>
  <c r="CD115" i="1"/>
  <c r="CC115" i="1"/>
  <c r="CB115" i="1"/>
  <c r="CA115" i="1"/>
  <c r="BX115" i="1"/>
  <c r="BW115" i="1"/>
  <c r="BV115" i="1"/>
  <c r="BU115" i="1"/>
  <c r="BT115" i="1"/>
  <c r="BS115" i="1"/>
  <c r="BL115" i="1"/>
  <c r="BI115" i="1"/>
  <c r="BB115" i="1"/>
  <c r="AR115" i="1"/>
  <c r="AG115" i="1"/>
  <c r="AD115" i="1"/>
  <c r="W115" i="1"/>
  <c r="M115" i="1"/>
  <c r="G115" i="1"/>
  <c r="F115" i="1"/>
  <c r="E115" i="1"/>
  <c r="DA114" i="1"/>
  <c r="CZ114" i="1"/>
  <c r="CY114" i="1"/>
  <c r="CV114" i="1"/>
  <c r="BW114" i="1"/>
  <c r="BV114" i="1"/>
  <c r="BU114" i="1"/>
  <c r="BT114" i="1"/>
  <c r="BI114" i="1"/>
  <c r="AR114" i="1"/>
  <c r="AH114" i="1"/>
  <c r="CW114" i="1" s="1"/>
  <c r="AG114" i="1"/>
  <c r="Y114" i="1"/>
  <c r="CE114" i="1" s="1"/>
  <c r="DA113" i="1"/>
  <c r="CZ113" i="1"/>
  <c r="CY113" i="1"/>
  <c r="CV113" i="1"/>
  <c r="CP113" i="1"/>
  <c r="CK113" i="1"/>
  <c r="CH113" i="1"/>
  <c r="CG113" i="1"/>
  <c r="CF113" i="1"/>
  <c r="CE113" i="1"/>
  <c r="CD113" i="1"/>
  <c r="CC113" i="1"/>
  <c r="CB113" i="1"/>
  <c r="CA113" i="1"/>
  <c r="CI113" i="1" s="1"/>
  <c r="BW113" i="1"/>
  <c r="BV113" i="1"/>
  <c r="BU113" i="1"/>
  <c r="BT113" i="1"/>
  <c r="BS113" i="1"/>
  <c r="AR113" i="1"/>
  <c r="AH113" i="1"/>
  <c r="CW113" i="1" s="1"/>
  <c r="AD113" i="1"/>
  <c r="CR113" i="1" s="1"/>
  <c r="W113" i="1"/>
  <c r="M113" i="1"/>
  <c r="DA112" i="1"/>
  <c r="CZ112" i="1"/>
  <c r="CY112" i="1"/>
  <c r="CW112" i="1"/>
  <c r="CV112" i="1"/>
  <c r="CR112" i="1"/>
  <c r="CQ112" i="1"/>
  <c r="CO112" i="1"/>
  <c r="CM112" i="1"/>
  <c r="CL112" i="1"/>
  <c r="CH112" i="1"/>
  <c r="CG112" i="1"/>
  <c r="CF112" i="1"/>
  <c r="CE112" i="1"/>
  <c r="CD112" i="1"/>
  <c r="CC112" i="1"/>
  <c r="CB112" i="1"/>
  <c r="CA112" i="1"/>
  <c r="CI112" i="1" s="1"/>
  <c r="BX112" i="1"/>
  <c r="BW112" i="1"/>
  <c r="BV112" i="1"/>
  <c r="BU112" i="1"/>
  <c r="BT112" i="1"/>
  <c r="BS112" i="1"/>
  <c r="BI112" i="1"/>
  <c r="CN112" i="1" s="1"/>
  <c r="BB112" i="1"/>
  <c r="AR112" i="1"/>
  <c r="AD112" i="1"/>
  <c r="CP112" i="1" s="1"/>
  <c r="W112" i="1"/>
  <c r="M112" i="1"/>
  <c r="G112" i="1"/>
  <c r="F112" i="1"/>
  <c r="E112" i="1"/>
  <c r="DA111" i="1"/>
  <c r="CZ111" i="1"/>
  <c r="CY111" i="1"/>
  <c r="CW111" i="1"/>
  <c r="CV111" i="1"/>
  <c r="CO111" i="1"/>
  <c r="CH111" i="1"/>
  <c r="CG111" i="1"/>
  <c r="CF111" i="1"/>
  <c r="CE111" i="1"/>
  <c r="CD111" i="1"/>
  <c r="CC111" i="1"/>
  <c r="CB111" i="1"/>
  <c r="CA111" i="1"/>
  <c r="CI111" i="1" s="1"/>
  <c r="BW111" i="1"/>
  <c r="BV111" i="1"/>
  <c r="BU111" i="1"/>
  <c r="BT111" i="1"/>
  <c r="BS111" i="1"/>
  <c r="BI111" i="1"/>
  <c r="CM111" i="1" s="1"/>
  <c r="BB111" i="1"/>
  <c r="AR111" i="1"/>
  <c r="AD111" i="1"/>
  <c r="W111" i="1"/>
  <c r="M111" i="1"/>
  <c r="G111" i="1"/>
  <c r="F111" i="1"/>
  <c r="E111" i="1"/>
  <c r="DA110" i="1"/>
  <c r="CZ110" i="1"/>
  <c r="CY110" i="1"/>
  <c r="CW110" i="1"/>
  <c r="CV110" i="1"/>
  <c r="CR110" i="1"/>
  <c r="CP110" i="1"/>
  <c r="CO110" i="1"/>
  <c r="CN110" i="1"/>
  <c r="CM110" i="1"/>
  <c r="CH110" i="1"/>
  <c r="CG110" i="1"/>
  <c r="CF110" i="1"/>
  <c r="CE110" i="1"/>
  <c r="CD110" i="1"/>
  <c r="CC110" i="1"/>
  <c r="CB110" i="1"/>
  <c r="CA110" i="1"/>
  <c r="CI110" i="1" s="1"/>
  <c r="BX110" i="1"/>
  <c r="BW110" i="1"/>
  <c r="BV110" i="1"/>
  <c r="BU110" i="1"/>
  <c r="BT110" i="1"/>
  <c r="BS110" i="1"/>
  <c r="BI110" i="1"/>
  <c r="BB110" i="1"/>
  <c r="AR110" i="1"/>
  <c r="AD110" i="1"/>
  <c r="CL110" i="1" s="1"/>
  <c r="W110" i="1"/>
  <c r="M110" i="1"/>
  <c r="G110" i="1"/>
  <c r="F110" i="1"/>
  <c r="E110" i="1"/>
  <c r="DA109" i="1"/>
  <c r="CZ109" i="1"/>
  <c r="CY109" i="1"/>
  <c r="CW109" i="1"/>
  <c r="CV109" i="1"/>
  <c r="CR109" i="1"/>
  <c r="CP109" i="1"/>
  <c r="CO109" i="1"/>
  <c r="CN109" i="1"/>
  <c r="CM109" i="1"/>
  <c r="CL109" i="1"/>
  <c r="CH109" i="1"/>
  <c r="CG109" i="1"/>
  <c r="CF109" i="1"/>
  <c r="CE109" i="1"/>
  <c r="CD109" i="1"/>
  <c r="CC109" i="1"/>
  <c r="CB109" i="1"/>
  <c r="CA109" i="1"/>
  <c r="CI109" i="1" s="1"/>
  <c r="BX109" i="1"/>
  <c r="BW109" i="1"/>
  <c r="BV109" i="1"/>
  <c r="BU109" i="1"/>
  <c r="BT109" i="1"/>
  <c r="BS109" i="1"/>
  <c r="BI109" i="1"/>
  <c r="BB109" i="1"/>
  <c r="AR109" i="1"/>
  <c r="AD109" i="1"/>
  <c r="CK109" i="1" s="1"/>
  <c r="W109" i="1"/>
  <c r="M109" i="1"/>
  <c r="G109" i="1"/>
  <c r="F109" i="1"/>
  <c r="E109" i="1"/>
  <c r="DA108" i="1"/>
  <c r="CZ108" i="1"/>
  <c r="CY108" i="1"/>
  <c r="CW108" i="1"/>
  <c r="CV108" i="1"/>
  <c r="CH108" i="1"/>
  <c r="CG108" i="1"/>
  <c r="CF108" i="1"/>
  <c r="CE108" i="1"/>
  <c r="CD108" i="1"/>
  <c r="CC108" i="1"/>
  <c r="CB108" i="1"/>
  <c r="CA108" i="1"/>
  <c r="BW108" i="1"/>
  <c r="BV108" i="1"/>
  <c r="BU108" i="1"/>
  <c r="BT108" i="1"/>
  <c r="BS108" i="1"/>
  <c r="BI108" i="1"/>
  <c r="CL108" i="1" s="1"/>
  <c r="BB108" i="1"/>
  <c r="AR108" i="1"/>
  <c r="AD108" i="1"/>
  <c r="CO108" i="1" s="1"/>
  <c r="W108" i="1"/>
  <c r="M108" i="1"/>
  <c r="G108" i="1"/>
  <c r="F108" i="1"/>
  <c r="E108" i="1"/>
  <c r="DA107" i="1"/>
  <c r="CZ107" i="1"/>
  <c r="CY107" i="1"/>
  <c r="CW107" i="1"/>
  <c r="CV107" i="1"/>
  <c r="CH107" i="1"/>
  <c r="CG107" i="1"/>
  <c r="CF107" i="1"/>
  <c r="CE107" i="1"/>
  <c r="CD107" i="1"/>
  <c r="CC107" i="1"/>
  <c r="CB107" i="1"/>
  <c r="CA107" i="1"/>
  <c r="CI107" i="1" s="1"/>
  <c r="BW107" i="1"/>
  <c r="BV107" i="1"/>
  <c r="BU107" i="1"/>
  <c r="BT107" i="1"/>
  <c r="BS107" i="1"/>
  <c r="BI107" i="1"/>
  <c r="BB107" i="1"/>
  <c r="AR107" i="1"/>
  <c r="AD107" i="1"/>
  <c r="CP107" i="1" s="1"/>
  <c r="W107" i="1"/>
  <c r="M107" i="1"/>
  <c r="G107" i="1"/>
  <c r="F107" i="1"/>
  <c r="E107" i="1"/>
  <c r="DA106" i="1"/>
  <c r="CZ106" i="1"/>
  <c r="CY106" i="1"/>
  <c r="CV106" i="1"/>
  <c r="CR106" i="1"/>
  <c r="CQ106" i="1"/>
  <c r="CL106" i="1"/>
  <c r="CH106" i="1"/>
  <c r="CG106" i="1"/>
  <c r="CF106" i="1"/>
  <c r="CE106" i="1"/>
  <c r="CD106" i="1"/>
  <c r="CC106" i="1"/>
  <c r="CB106" i="1"/>
  <c r="CA106" i="1"/>
  <c r="CI106" i="1" s="1"/>
  <c r="BX106" i="1"/>
  <c r="BW106" i="1"/>
  <c r="BV106" i="1"/>
  <c r="BU106" i="1"/>
  <c r="BT106" i="1"/>
  <c r="BS106" i="1"/>
  <c r="BM106" i="1"/>
  <c r="CW106" i="1" s="1"/>
  <c r="BI106" i="1"/>
  <c r="CK106" i="1" s="1"/>
  <c r="BB106" i="1"/>
  <c r="AR106" i="1"/>
  <c r="AH106" i="1"/>
  <c r="AD106" i="1"/>
  <c r="W106" i="1"/>
  <c r="M106" i="1"/>
  <c r="G106" i="1"/>
  <c r="F106" i="1"/>
  <c r="E106" i="1"/>
  <c r="DA105" i="1"/>
  <c r="CZ105" i="1"/>
  <c r="CY105" i="1"/>
  <c r="CW105" i="1"/>
  <c r="CV105" i="1"/>
  <c r="CP105" i="1"/>
  <c r="CH105" i="1"/>
  <c r="CG105" i="1"/>
  <c r="CF105" i="1"/>
  <c r="CE105" i="1"/>
  <c r="CD105" i="1"/>
  <c r="CC105" i="1"/>
  <c r="CB105" i="1"/>
  <c r="CA105" i="1"/>
  <c r="CI105" i="1" s="1"/>
  <c r="BW105" i="1"/>
  <c r="BV105" i="1"/>
  <c r="BU105" i="1"/>
  <c r="BT105" i="1"/>
  <c r="BS105" i="1"/>
  <c r="BI105" i="1"/>
  <c r="BB105" i="1"/>
  <c r="AR105" i="1"/>
  <c r="AD105" i="1"/>
  <c r="CO105" i="1" s="1"/>
  <c r="W105" i="1"/>
  <c r="M105" i="1"/>
  <c r="G105" i="1"/>
  <c r="F105" i="1"/>
  <c r="E105" i="1"/>
  <c r="DA104" i="1"/>
  <c r="CZ104" i="1"/>
  <c r="CY104" i="1"/>
  <c r="CW104" i="1"/>
  <c r="CV104" i="1"/>
  <c r="CP104" i="1"/>
  <c r="CM104" i="1"/>
  <c r="CH104" i="1"/>
  <c r="CG104" i="1"/>
  <c r="CF104" i="1"/>
  <c r="CE104" i="1"/>
  <c r="CD104" i="1"/>
  <c r="CC104" i="1"/>
  <c r="CB104" i="1"/>
  <c r="CA104" i="1"/>
  <c r="CI104" i="1" s="1"/>
  <c r="BW104" i="1"/>
  <c r="BV104" i="1"/>
  <c r="BU104" i="1"/>
  <c r="BT104" i="1"/>
  <c r="BS104" i="1"/>
  <c r="BM104" i="1"/>
  <c r="BI104" i="1"/>
  <c r="BB104" i="1"/>
  <c r="AR104" i="1"/>
  <c r="AH104" i="1"/>
  <c r="AD104" i="1"/>
  <c r="CO104" i="1" s="1"/>
  <c r="W104" i="1"/>
  <c r="M104" i="1"/>
  <c r="G104" i="1"/>
  <c r="F104" i="1"/>
  <c r="E104" i="1"/>
  <c r="DA103" i="1"/>
  <c r="CZ103" i="1"/>
  <c r="CY103" i="1"/>
  <c r="CW103" i="1"/>
  <c r="CV103" i="1"/>
  <c r="CM103" i="1"/>
  <c r="CH103" i="1"/>
  <c r="CG103" i="1"/>
  <c r="CF103" i="1"/>
  <c r="CE103" i="1"/>
  <c r="CD103" i="1"/>
  <c r="CC103" i="1"/>
  <c r="CB103" i="1"/>
  <c r="CA103" i="1"/>
  <c r="CI103" i="1" s="1"/>
  <c r="BW103" i="1"/>
  <c r="BV103" i="1"/>
  <c r="BU103" i="1"/>
  <c r="BT103" i="1"/>
  <c r="BS103" i="1"/>
  <c r="BI103" i="1"/>
  <c r="BB103" i="1"/>
  <c r="AR103" i="1"/>
  <c r="AD103" i="1"/>
  <c r="CP103" i="1" s="1"/>
  <c r="W103" i="1"/>
  <c r="M103" i="1"/>
  <c r="G103" i="1"/>
  <c r="F103" i="1"/>
  <c r="E103" i="1"/>
  <c r="DA102" i="1"/>
  <c r="CZ102" i="1"/>
  <c r="CY102" i="1"/>
  <c r="CW102" i="1"/>
  <c r="CV102" i="1"/>
  <c r="CH102" i="1"/>
  <c r="CG102" i="1"/>
  <c r="CF102" i="1"/>
  <c r="CE102" i="1"/>
  <c r="CD102" i="1"/>
  <c r="CC102" i="1"/>
  <c r="CB102" i="1"/>
  <c r="CA102" i="1"/>
  <c r="CI102" i="1" s="1"/>
  <c r="BW102" i="1"/>
  <c r="BV102" i="1"/>
  <c r="BU102" i="1"/>
  <c r="BT102" i="1"/>
  <c r="BS102" i="1"/>
  <c r="BI102" i="1"/>
  <c r="CN102" i="1" s="1"/>
  <c r="BB102" i="1"/>
  <c r="AR102" i="1"/>
  <c r="AD102" i="1"/>
  <c r="CP102" i="1" s="1"/>
  <c r="W102" i="1"/>
  <c r="M102" i="1"/>
  <c r="G102" i="1"/>
  <c r="F102" i="1"/>
  <c r="E102" i="1"/>
  <c r="DA101" i="1"/>
  <c r="CZ101" i="1"/>
  <c r="CY101" i="1"/>
  <c r="CW101" i="1"/>
  <c r="CV101" i="1"/>
  <c r="CR101" i="1"/>
  <c r="CQ101" i="1"/>
  <c r="CH101" i="1"/>
  <c r="CG101" i="1"/>
  <c r="CF101" i="1"/>
  <c r="CE101" i="1"/>
  <c r="CD101" i="1"/>
  <c r="CC101" i="1"/>
  <c r="CB101" i="1"/>
  <c r="CA101" i="1"/>
  <c r="CI101" i="1" s="1"/>
  <c r="BX101" i="1"/>
  <c r="BW101" i="1"/>
  <c r="BV101" i="1"/>
  <c r="BU101" i="1"/>
  <c r="BT101" i="1"/>
  <c r="BS101" i="1"/>
  <c r="BI101" i="1"/>
  <c r="BB101" i="1"/>
  <c r="AR101" i="1"/>
  <c r="AD101" i="1"/>
  <c r="CL101" i="1" s="1"/>
  <c r="W101" i="1"/>
  <c r="M101" i="1"/>
  <c r="G101" i="1"/>
  <c r="F101" i="1"/>
  <c r="E101" i="1"/>
  <c r="DA100" i="1"/>
  <c r="CZ100" i="1"/>
  <c r="CY100" i="1"/>
  <c r="CW100" i="1"/>
  <c r="CV100" i="1"/>
  <c r="CH100" i="1"/>
  <c r="CG100" i="1"/>
  <c r="CF100" i="1"/>
  <c r="CE100" i="1"/>
  <c r="CD100" i="1"/>
  <c r="CC100" i="1"/>
  <c r="CB100" i="1"/>
  <c r="CA100" i="1"/>
  <c r="CI100" i="1" s="1"/>
  <c r="BW100" i="1"/>
  <c r="BV100" i="1"/>
  <c r="BS100" i="1"/>
  <c r="BF100" i="1"/>
  <c r="BU100" i="1" s="1"/>
  <c r="BE100" i="1"/>
  <c r="BT100" i="1" s="1"/>
  <c r="BB100" i="1"/>
  <c r="AR100" i="1"/>
  <c r="AD100" i="1"/>
  <c r="AA100" i="1"/>
  <c r="Z100" i="1"/>
  <c r="W100" i="1"/>
  <c r="M100" i="1"/>
  <c r="G100" i="1"/>
  <c r="F100" i="1"/>
  <c r="E100" i="1"/>
  <c r="DA99" i="1"/>
  <c r="CZ99" i="1"/>
  <c r="CY99" i="1"/>
  <c r="CW99" i="1"/>
  <c r="CV99" i="1"/>
  <c r="CH99" i="1"/>
  <c r="CG99" i="1"/>
  <c r="CF99" i="1"/>
  <c r="CE99" i="1"/>
  <c r="CD99" i="1"/>
  <c r="CC99" i="1"/>
  <c r="CB99" i="1"/>
  <c r="CA99" i="1"/>
  <c r="CI99" i="1" s="1"/>
  <c r="BW99" i="1"/>
  <c r="BV99" i="1"/>
  <c r="BS99" i="1"/>
  <c r="BF99" i="1"/>
  <c r="BI99" i="1" s="1"/>
  <c r="BE99" i="1"/>
  <c r="BB99" i="1"/>
  <c r="AR99" i="1"/>
  <c r="AA99" i="1"/>
  <c r="BU99" i="1" s="1"/>
  <c r="Z99" i="1"/>
  <c r="BT99" i="1" s="1"/>
  <c r="W99" i="1"/>
  <c r="M99" i="1"/>
  <c r="G99" i="1"/>
  <c r="F99" i="1"/>
  <c r="E99" i="1"/>
  <c r="DA98" i="1"/>
  <c r="CZ98" i="1"/>
  <c r="CY98" i="1"/>
  <c r="CV98" i="1"/>
  <c r="CH98" i="1"/>
  <c r="CG98" i="1"/>
  <c r="CF98" i="1"/>
  <c r="CE98" i="1"/>
  <c r="CD98" i="1"/>
  <c r="CC98" i="1"/>
  <c r="CB98" i="1"/>
  <c r="CA98" i="1"/>
  <c r="CI98" i="1" s="1"/>
  <c r="BW98" i="1"/>
  <c r="BV98" i="1"/>
  <c r="BU98" i="1"/>
  <c r="BT98" i="1"/>
  <c r="BS98" i="1"/>
  <c r="BM98" i="1"/>
  <c r="BI98" i="1"/>
  <c r="BF98" i="1"/>
  <c r="BE98" i="1"/>
  <c r="BB98" i="1"/>
  <c r="AR98" i="1"/>
  <c r="AH98" i="1"/>
  <c r="CW98" i="1" s="1"/>
  <c r="AD98" i="1"/>
  <c r="CO98" i="1" s="1"/>
  <c r="AA98" i="1"/>
  <c r="Z98" i="1"/>
  <c r="W98" i="1"/>
  <c r="M98" i="1"/>
  <c r="G98" i="1"/>
  <c r="F98" i="1"/>
  <c r="E98" i="1"/>
  <c r="DA97" i="1"/>
  <c r="CZ97" i="1"/>
  <c r="CY97" i="1"/>
  <c r="CW97" i="1"/>
  <c r="CV97" i="1"/>
  <c r="CH97" i="1"/>
  <c r="CG97" i="1"/>
  <c r="CF97" i="1"/>
  <c r="CE97" i="1"/>
  <c r="CD97" i="1"/>
  <c r="CC97" i="1"/>
  <c r="CB97" i="1"/>
  <c r="CA97" i="1"/>
  <c r="CI97" i="1" s="1"/>
  <c r="BW97" i="1"/>
  <c r="BV97" i="1"/>
  <c r="BU97" i="1"/>
  <c r="BT97" i="1"/>
  <c r="BS97" i="1"/>
  <c r="BI97" i="1"/>
  <c r="BB97" i="1"/>
  <c r="AR97" i="1"/>
  <c r="AD97" i="1"/>
  <c r="CK97" i="1" s="1"/>
  <c r="W97" i="1"/>
  <c r="M97" i="1"/>
  <c r="G97" i="1"/>
  <c r="F97" i="1"/>
  <c r="E97" i="1"/>
  <c r="DA96" i="1"/>
  <c r="CZ96" i="1"/>
  <c r="CY96" i="1"/>
  <c r="CW96" i="1"/>
  <c r="CV96" i="1"/>
  <c r="CO96" i="1"/>
  <c r="CN96" i="1"/>
  <c r="CH96" i="1"/>
  <c r="CG96" i="1"/>
  <c r="CF96" i="1"/>
  <c r="CE96" i="1"/>
  <c r="CD96" i="1"/>
  <c r="CC96" i="1"/>
  <c r="CB96" i="1"/>
  <c r="CA96" i="1"/>
  <c r="CI96" i="1" s="1"/>
  <c r="BW96" i="1"/>
  <c r="BV96" i="1"/>
  <c r="BU96" i="1"/>
  <c r="BT96" i="1"/>
  <c r="BS96" i="1"/>
  <c r="BI96" i="1"/>
  <c r="BB96" i="1"/>
  <c r="AR96" i="1"/>
  <c r="AD96" i="1"/>
  <c r="CQ96" i="1" s="1"/>
  <c r="W96" i="1"/>
  <c r="M96" i="1"/>
  <c r="G96" i="1"/>
  <c r="E96" i="1"/>
  <c r="DA95" i="1"/>
  <c r="CZ95" i="1"/>
  <c r="CY95" i="1"/>
  <c r="CW95" i="1"/>
  <c r="CV95" i="1"/>
  <c r="CM95" i="1"/>
  <c r="CL95" i="1"/>
  <c r="CH95" i="1"/>
  <c r="CG95" i="1"/>
  <c r="CF95" i="1"/>
  <c r="CE95" i="1"/>
  <c r="CD95" i="1"/>
  <c r="CC95" i="1"/>
  <c r="CB95" i="1"/>
  <c r="CA95" i="1"/>
  <c r="CI95" i="1" s="1"/>
  <c r="BW95" i="1"/>
  <c r="BV95" i="1"/>
  <c r="BU95" i="1"/>
  <c r="BT95" i="1"/>
  <c r="BS95" i="1"/>
  <c r="BI95" i="1"/>
  <c r="CO95" i="1" s="1"/>
  <c r="BB95" i="1"/>
  <c r="AR95" i="1"/>
  <c r="AD95" i="1"/>
  <c r="CQ95" i="1" s="1"/>
  <c r="W95" i="1"/>
  <c r="M95" i="1"/>
  <c r="G95" i="1"/>
  <c r="E95" i="1"/>
  <c r="DA94" i="1"/>
  <c r="CZ94" i="1"/>
  <c r="CY94" i="1"/>
  <c r="CW94" i="1"/>
  <c r="CV94" i="1"/>
  <c r="CR94" i="1"/>
  <c r="CH94" i="1"/>
  <c r="CG94" i="1"/>
  <c r="CF94" i="1"/>
  <c r="CE94" i="1"/>
  <c r="CD94" i="1"/>
  <c r="CC94" i="1"/>
  <c r="CB94" i="1"/>
  <c r="CA94" i="1"/>
  <c r="CI94" i="1" s="1"/>
  <c r="BW94" i="1"/>
  <c r="BV94" i="1"/>
  <c r="BU94" i="1"/>
  <c r="BT94" i="1"/>
  <c r="BS94" i="1"/>
  <c r="BI94" i="1"/>
  <c r="CK94" i="1" s="1"/>
  <c r="BB94" i="1"/>
  <c r="AR94" i="1"/>
  <c r="AD94" i="1"/>
  <c r="CM94" i="1" s="1"/>
  <c r="W94" i="1"/>
  <c r="M94" i="1"/>
  <c r="G94" i="1"/>
  <c r="E94" i="1"/>
  <c r="DA93" i="1"/>
  <c r="CZ93" i="1"/>
  <c r="CY93" i="1"/>
  <c r="CW93" i="1"/>
  <c r="CV93" i="1"/>
  <c r="CH93" i="1"/>
  <c r="CG93" i="1"/>
  <c r="CF93" i="1"/>
  <c r="CE93" i="1"/>
  <c r="CD93" i="1"/>
  <c r="CC93" i="1"/>
  <c r="CB93" i="1"/>
  <c r="CA93" i="1"/>
  <c r="CI93" i="1" s="1"/>
  <c r="BW93" i="1"/>
  <c r="BV93" i="1"/>
  <c r="BU93" i="1"/>
  <c r="BT93" i="1"/>
  <c r="BS93" i="1"/>
  <c r="BI93" i="1"/>
  <c r="BB93" i="1"/>
  <c r="AR93" i="1"/>
  <c r="AD93" i="1"/>
  <c r="CK93" i="1" s="1"/>
  <c r="W93" i="1"/>
  <c r="M93" i="1"/>
  <c r="G93" i="1"/>
  <c r="F93" i="1"/>
  <c r="DA92" i="1"/>
  <c r="CZ92" i="1"/>
  <c r="CY92" i="1"/>
  <c r="CW92" i="1"/>
  <c r="CV92" i="1"/>
  <c r="CO92" i="1"/>
  <c r="CN92" i="1"/>
  <c r="CH92" i="1"/>
  <c r="CG92" i="1"/>
  <c r="CF92" i="1"/>
  <c r="CE92" i="1"/>
  <c r="CD92" i="1"/>
  <c r="CC92" i="1"/>
  <c r="CB92" i="1"/>
  <c r="CA92" i="1"/>
  <c r="CI92" i="1" s="1"/>
  <c r="BW92" i="1"/>
  <c r="BV92" i="1"/>
  <c r="BU92" i="1"/>
  <c r="BT92" i="1"/>
  <c r="BS92" i="1"/>
  <c r="BI92" i="1"/>
  <c r="BB92" i="1"/>
  <c r="AR92" i="1"/>
  <c r="AD92" i="1"/>
  <c r="CQ92" i="1" s="1"/>
  <c r="W92" i="1"/>
  <c r="M92" i="1"/>
  <c r="G92" i="1"/>
  <c r="F92" i="1"/>
  <c r="DA91" i="1"/>
  <c r="CZ91" i="1"/>
  <c r="CY91" i="1"/>
  <c r="CW91" i="1"/>
  <c r="CV91" i="1"/>
  <c r="CH91" i="1"/>
  <c r="CG91" i="1"/>
  <c r="CF91" i="1"/>
  <c r="CE91" i="1"/>
  <c r="CD91" i="1"/>
  <c r="CC91" i="1"/>
  <c r="CB91" i="1"/>
  <c r="CA91" i="1"/>
  <c r="CI91" i="1" s="1"/>
  <c r="BW91" i="1"/>
  <c r="BV91" i="1"/>
  <c r="BU91" i="1"/>
  <c r="BT91" i="1"/>
  <c r="BS91" i="1"/>
  <c r="BI91" i="1"/>
  <c r="CN91" i="1" s="1"/>
  <c r="BB91" i="1"/>
  <c r="AR91" i="1"/>
  <c r="AD91" i="1"/>
  <c r="CP91" i="1" s="1"/>
  <c r="W91" i="1"/>
  <c r="M91" i="1"/>
  <c r="G91" i="1"/>
  <c r="F91" i="1"/>
  <c r="DA90" i="1"/>
  <c r="CZ90" i="1"/>
  <c r="CY90" i="1"/>
  <c r="CW90" i="1"/>
  <c r="CV90" i="1"/>
  <c r="CR90" i="1"/>
  <c r="CQ90" i="1"/>
  <c r="CH90" i="1"/>
  <c r="CG90" i="1"/>
  <c r="CF90" i="1"/>
  <c r="CE90" i="1"/>
  <c r="CD90" i="1"/>
  <c r="CC90" i="1"/>
  <c r="CB90" i="1"/>
  <c r="CA90" i="1"/>
  <c r="CI90" i="1" s="1"/>
  <c r="BX90" i="1"/>
  <c r="BW90" i="1"/>
  <c r="BV90" i="1"/>
  <c r="BU90" i="1"/>
  <c r="BT90" i="1"/>
  <c r="BS90" i="1"/>
  <c r="BI90" i="1"/>
  <c r="BB90" i="1"/>
  <c r="AR90" i="1"/>
  <c r="AD90" i="1"/>
  <c r="CK90" i="1" s="1"/>
  <c r="W90" i="1"/>
  <c r="M90" i="1"/>
  <c r="G90" i="1"/>
  <c r="F90" i="1"/>
  <c r="DA89" i="1"/>
  <c r="CZ89" i="1"/>
  <c r="CY89" i="1"/>
  <c r="CW89" i="1"/>
  <c r="CV89" i="1"/>
  <c r="CO89" i="1"/>
  <c r="CN89" i="1"/>
  <c r="CM89" i="1"/>
  <c r="CL89" i="1"/>
  <c r="CH89" i="1"/>
  <c r="CG89" i="1"/>
  <c r="CF89" i="1"/>
  <c r="CE89" i="1"/>
  <c r="CD89" i="1"/>
  <c r="CC89" i="1"/>
  <c r="CB89" i="1"/>
  <c r="CA89" i="1"/>
  <c r="CI89" i="1" s="1"/>
  <c r="BW89" i="1"/>
  <c r="BV89" i="1"/>
  <c r="BU89" i="1"/>
  <c r="BT89" i="1"/>
  <c r="BS89" i="1"/>
  <c r="BI89" i="1"/>
  <c r="CK89" i="1" s="1"/>
  <c r="BB89" i="1"/>
  <c r="AR89" i="1"/>
  <c r="AD89" i="1"/>
  <c r="CP89" i="1" s="1"/>
  <c r="W89" i="1"/>
  <c r="M89" i="1"/>
  <c r="G89" i="1"/>
  <c r="F89" i="1"/>
  <c r="DA88" i="1"/>
  <c r="CZ88" i="1"/>
  <c r="CY88" i="1"/>
  <c r="CW88" i="1"/>
  <c r="CV88" i="1"/>
  <c r="BW88" i="1"/>
  <c r="BV88" i="1"/>
  <c r="BU88" i="1"/>
  <c r="BT88" i="1"/>
  <c r="Y88" i="1"/>
  <c r="CD88" i="1" s="1"/>
  <c r="W88" i="1"/>
  <c r="M88" i="1"/>
  <c r="G88" i="1"/>
  <c r="F88" i="1"/>
  <c r="E88" i="1"/>
  <c r="DA87" i="1"/>
  <c r="CZ87" i="1"/>
  <c r="CY87" i="1"/>
  <c r="CW87" i="1"/>
  <c r="CV87" i="1"/>
  <c r="CR87" i="1"/>
  <c r="CQ87" i="1"/>
  <c r="CP87" i="1"/>
  <c r="CO87" i="1"/>
  <c r="CN87" i="1"/>
  <c r="CM87" i="1"/>
  <c r="CL87" i="1"/>
  <c r="CH87" i="1"/>
  <c r="CG87" i="1"/>
  <c r="CF87" i="1"/>
  <c r="CE87" i="1"/>
  <c r="CD87" i="1"/>
  <c r="CC87" i="1"/>
  <c r="CB87" i="1"/>
  <c r="CA87" i="1"/>
  <c r="CI87" i="1" s="1"/>
  <c r="BX87" i="1"/>
  <c r="BW87" i="1"/>
  <c r="BV87" i="1"/>
  <c r="BU87" i="1"/>
  <c r="BT87" i="1"/>
  <c r="BS87" i="1"/>
  <c r="AD87" i="1"/>
  <c r="CK87" i="1" s="1"/>
  <c r="CS87" i="1" s="1"/>
  <c r="CT87" i="1" s="1"/>
  <c r="W87" i="1"/>
  <c r="M87" i="1"/>
  <c r="G87" i="1"/>
  <c r="F87" i="1"/>
  <c r="E87" i="1"/>
  <c r="DA86" i="1"/>
  <c r="CZ86" i="1"/>
  <c r="CY86" i="1"/>
  <c r="CW86" i="1"/>
  <c r="CV86" i="1"/>
  <c r="CH86" i="1"/>
  <c r="CB86" i="1"/>
  <c r="CA86" i="1"/>
  <c r="BW86" i="1"/>
  <c r="BV86" i="1"/>
  <c r="BU86" i="1"/>
  <c r="BT86" i="1"/>
  <c r="BB86" i="1"/>
  <c r="AR86" i="1"/>
  <c r="AD86" i="1"/>
  <c r="CL86" i="1" s="1"/>
  <c r="Y86" i="1"/>
  <c r="CC86" i="1" s="1"/>
  <c r="W86" i="1"/>
  <c r="M86" i="1"/>
  <c r="G86" i="1"/>
  <c r="F86" i="1"/>
  <c r="E86" i="1"/>
  <c r="DA85" i="1"/>
  <c r="CZ85" i="1"/>
  <c r="CY85" i="1"/>
  <c r="CW85" i="1"/>
  <c r="CV85" i="1"/>
  <c r="CR85" i="1"/>
  <c r="CH85" i="1"/>
  <c r="CG85" i="1"/>
  <c r="CF85" i="1"/>
  <c r="CE85" i="1"/>
  <c r="CD85" i="1"/>
  <c r="CC85" i="1"/>
  <c r="CB85" i="1"/>
  <c r="CA85" i="1"/>
  <c r="CI85" i="1" s="1"/>
  <c r="BW85" i="1"/>
  <c r="BV85" i="1"/>
  <c r="BU85" i="1"/>
  <c r="BT85" i="1"/>
  <c r="BS85" i="1"/>
  <c r="BI85" i="1"/>
  <c r="BB85" i="1"/>
  <c r="AR85" i="1"/>
  <c r="AD85" i="1"/>
  <c r="CK85" i="1" s="1"/>
  <c r="W85" i="1"/>
  <c r="M85" i="1"/>
  <c r="G85" i="1"/>
  <c r="F85" i="1"/>
  <c r="E85" i="1"/>
  <c r="DA84" i="1"/>
  <c r="CZ84" i="1"/>
  <c r="CY84" i="1"/>
  <c r="CW84" i="1"/>
  <c r="CV84" i="1"/>
  <c r="CR84" i="1"/>
  <c r="CQ84" i="1"/>
  <c r="CP84" i="1"/>
  <c r="CO84" i="1"/>
  <c r="CN84" i="1"/>
  <c r="CM84" i="1"/>
  <c r="CH84" i="1"/>
  <c r="CG84" i="1"/>
  <c r="CF84" i="1"/>
  <c r="CE84" i="1"/>
  <c r="CD84" i="1"/>
  <c r="CC84" i="1"/>
  <c r="CB84" i="1"/>
  <c r="CA84" i="1"/>
  <c r="CI84" i="1" s="1"/>
  <c r="BX84" i="1"/>
  <c r="BW84" i="1"/>
  <c r="BV84" i="1"/>
  <c r="BU84" i="1"/>
  <c r="BT84" i="1"/>
  <c r="BS84" i="1"/>
  <c r="BI84" i="1"/>
  <c r="CL84" i="1" s="1"/>
  <c r="G84" i="1"/>
  <c r="F84" i="1"/>
  <c r="E84" i="1"/>
  <c r="DA83" i="1"/>
  <c r="CZ83" i="1"/>
  <c r="CY83" i="1"/>
  <c r="CW83" i="1"/>
  <c r="CV83" i="1"/>
  <c r="CR83" i="1"/>
  <c r="CH83" i="1"/>
  <c r="CG83" i="1"/>
  <c r="CF83" i="1"/>
  <c r="CE83" i="1"/>
  <c r="CD83" i="1"/>
  <c r="CC83" i="1"/>
  <c r="CB83" i="1"/>
  <c r="CA83" i="1"/>
  <c r="CI83" i="1" s="1"/>
  <c r="BW83" i="1"/>
  <c r="BV83" i="1"/>
  <c r="BU83" i="1"/>
  <c r="BT83" i="1"/>
  <c r="BS83" i="1"/>
  <c r="BI83" i="1"/>
  <c r="CK83" i="1" s="1"/>
  <c r="BB83" i="1"/>
  <c r="AR83" i="1"/>
  <c r="AD83" i="1"/>
  <c r="CQ83" i="1" s="1"/>
  <c r="W83" i="1"/>
  <c r="M83" i="1"/>
  <c r="G83" i="1"/>
  <c r="F83" i="1"/>
  <c r="E83" i="1"/>
  <c r="DA82" i="1"/>
  <c r="CZ82" i="1"/>
  <c r="CY82" i="1"/>
  <c r="CR82" i="1"/>
  <c r="CH82" i="1"/>
  <c r="CG82" i="1"/>
  <c r="CF82" i="1"/>
  <c r="CE82" i="1"/>
  <c r="CD82" i="1"/>
  <c r="CC82" i="1"/>
  <c r="CB82" i="1"/>
  <c r="CA82" i="1"/>
  <c r="CI82" i="1" s="1"/>
  <c r="BW82" i="1"/>
  <c r="BV82" i="1"/>
  <c r="BU82" i="1"/>
  <c r="BT82" i="1"/>
  <c r="BS82" i="1"/>
  <c r="BL82" i="1"/>
  <c r="BM82" i="1" s="1"/>
  <c r="BI82" i="1"/>
  <c r="CQ82" i="1" s="1"/>
  <c r="BB82" i="1"/>
  <c r="AR82" i="1"/>
  <c r="AH82" i="1"/>
  <c r="AG82" i="1"/>
  <c r="CV82" i="1" s="1"/>
  <c r="AD82" i="1"/>
  <c r="CN82" i="1" s="1"/>
  <c r="W82" i="1"/>
  <c r="M82" i="1"/>
  <c r="G82" i="1"/>
  <c r="F82" i="1"/>
  <c r="E82" i="1"/>
  <c r="DA81" i="1"/>
  <c r="CZ81" i="1"/>
  <c r="CY81" i="1"/>
  <c r="CH81" i="1"/>
  <c r="CG81" i="1"/>
  <c r="CF81" i="1"/>
  <c r="CE81" i="1"/>
  <c r="CD81" i="1"/>
  <c r="CC81" i="1"/>
  <c r="CB81" i="1"/>
  <c r="CA81" i="1"/>
  <c r="CI81" i="1" s="1"/>
  <c r="BW81" i="1"/>
  <c r="BV81" i="1"/>
  <c r="BU81" i="1"/>
  <c r="BT81" i="1"/>
  <c r="BS81" i="1"/>
  <c r="BL81" i="1"/>
  <c r="BM81" i="1" s="1"/>
  <c r="BI81" i="1"/>
  <c r="BB81" i="1"/>
  <c r="AR81" i="1"/>
  <c r="AG81" i="1"/>
  <c r="CV81" i="1" s="1"/>
  <c r="AD81" i="1"/>
  <c r="CM81" i="1" s="1"/>
  <c r="W81" i="1"/>
  <c r="M81" i="1"/>
  <c r="G81" i="1"/>
  <c r="F81" i="1"/>
  <c r="E81" i="1"/>
  <c r="DA80" i="1"/>
  <c r="CZ80" i="1"/>
  <c r="CY80" i="1"/>
  <c r="CP80" i="1"/>
  <c r="CO80" i="1"/>
  <c r="CH80" i="1"/>
  <c r="CG80" i="1"/>
  <c r="CF80" i="1"/>
  <c r="CE80" i="1"/>
  <c r="CD80" i="1"/>
  <c r="CC80" i="1"/>
  <c r="CB80" i="1"/>
  <c r="CA80" i="1"/>
  <c r="CI80" i="1" s="1"/>
  <c r="BW80" i="1"/>
  <c r="BV80" i="1"/>
  <c r="BU80" i="1"/>
  <c r="BT80" i="1"/>
  <c r="BS80" i="1"/>
  <c r="BL80" i="1"/>
  <c r="BM80" i="1" s="1"/>
  <c r="BI80" i="1"/>
  <c r="CN80" i="1" s="1"/>
  <c r="BB80" i="1"/>
  <c r="AR80" i="1"/>
  <c r="AG80" i="1"/>
  <c r="AH80" i="1" s="1"/>
  <c r="AD80" i="1"/>
  <c r="CL80" i="1" s="1"/>
  <c r="W80" i="1"/>
  <c r="M80" i="1"/>
  <c r="G80" i="1"/>
  <c r="F80" i="1"/>
  <c r="E80" i="1"/>
  <c r="DA79" i="1"/>
  <c r="CZ79" i="1"/>
  <c r="CY79" i="1"/>
  <c r="CR79" i="1"/>
  <c r="CK79" i="1"/>
  <c r="CH79" i="1"/>
  <c r="CG79" i="1"/>
  <c r="CF79" i="1"/>
  <c r="CE79" i="1"/>
  <c r="CD79" i="1"/>
  <c r="CC79" i="1"/>
  <c r="CB79" i="1"/>
  <c r="CA79" i="1"/>
  <c r="CI79" i="1" s="1"/>
  <c r="BW79" i="1"/>
  <c r="BV79" i="1"/>
  <c r="BU79" i="1"/>
  <c r="BT79" i="1"/>
  <c r="BS79" i="1"/>
  <c r="BL79" i="1"/>
  <c r="BM79" i="1" s="1"/>
  <c r="BI79" i="1"/>
  <c r="BB79" i="1"/>
  <c r="AR79" i="1"/>
  <c r="AG79" i="1"/>
  <c r="AH79" i="1" s="1"/>
  <c r="AD79" i="1"/>
  <c r="CQ79" i="1" s="1"/>
  <c r="W79" i="1"/>
  <c r="M79" i="1"/>
  <c r="G79" i="1"/>
  <c r="F79" i="1"/>
  <c r="E79" i="1"/>
  <c r="DA78" i="1"/>
  <c r="CZ78" i="1"/>
  <c r="CY78" i="1"/>
  <c r="CW78" i="1"/>
  <c r="CV78" i="1"/>
  <c r="CR78" i="1"/>
  <c r="CN78" i="1"/>
  <c r="CM78" i="1"/>
  <c r="CL78" i="1"/>
  <c r="CH78" i="1"/>
  <c r="CG78" i="1"/>
  <c r="CF78" i="1"/>
  <c r="CE78" i="1"/>
  <c r="CD78" i="1"/>
  <c r="CC78" i="1"/>
  <c r="CB78" i="1"/>
  <c r="CA78" i="1"/>
  <c r="CI78" i="1" s="1"/>
  <c r="BW78" i="1"/>
  <c r="BV78" i="1"/>
  <c r="BU78" i="1"/>
  <c r="BT78" i="1"/>
  <c r="BS78" i="1"/>
  <c r="BI78" i="1"/>
  <c r="CK78" i="1" s="1"/>
  <c r="BB78" i="1"/>
  <c r="AR78" i="1"/>
  <c r="AH78" i="1"/>
  <c r="AD78" i="1"/>
  <c r="CQ78" i="1" s="1"/>
  <c r="W78" i="1"/>
  <c r="M78" i="1"/>
  <c r="G78" i="1"/>
  <c r="F78" i="1"/>
  <c r="E78" i="1"/>
  <c r="DA77" i="1"/>
  <c r="CZ77" i="1"/>
  <c r="CY77" i="1"/>
  <c r="CW77" i="1"/>
  <c r="CV77" i="1"/>
  <c r="CN77" i="1"/>
  <c r="CM77" i="1"/>
  <c r="CL77" i="1"/>
  <c r="CH77" i="1"/>
  <c r="CG77" i="1"/>
  <c r="CF77" i="1"/>
  <c r="CE77" i="1"/>
  <c r="CD77" i="1"/>
  <c r="CC77" i="1"/>
  <c r="CB77" i="1"/>
  <c r="CA77" i="1"/>
  <c r="CI77" i="1" s="1"/>
  <c r="BW77" i="1"/>
  <c r="BV77" i="1"/>
  <c r="BU77" i="1"/>
  <c r="BT77" i="1"/>
  <c r="BS77" i="1"/>
  <c r="AH77" i="1"/>
  <c r="AD77" i="1"/>
  <c r="CK77" i="1" s="1"/>
  <c r="W77" i="1"/>
  <c r="M77" i="1"/>
  <c r="G77" i="1"/>
  <c r="F77" i="1"/>
  <c r="E77" i="1"/>
  <c r="DA76" i="1"/>
  <c r="CZ76" i="1"/>
  <c r="CY76" i="1"/>
  <c r="CW76" i="1"/>
  <c r="CV76" i="1"/>
  <c r="CH76" i="1"/>
  <c r="CG76" i="1"/>
  <c r="BW76" i="1"/>
  <c r="BV76" i="1"/>
  <c r="BU76" i="1"/>
  <c r="BT76" i="1"/>
  <c r="BD76" i="1"/>
  <c r="BI76" i="1" s="1"/>
  <c r="BB76" i="1"/>
  <c r="AR76" i="1"/>
  <c r="Y76" i="1"/>
  <c r="CF76" i="1" s="1"/>
  <c r="W76" i="1"/>
  <c r="M76" i="1"/>
  <c r="G76" i="1"/>
  <c r="F76" i="1"/>
  <c r="E76" i="1"/>
  <c r="DA75" i="1"/>
  <c r="CZ75" i="1"/>
  <c r="CY75" i="1"/>
  <c r="CW75" i="1"/>
  <c r="CV75" i="1"/>
  <c r="CH75" i="1"/>
  <c r="BW75" i="1"/>
  <c r="BV75" i="1"/>
  <c r="BU75" i="1"/>
  <c r="BT75" i="1"/>
  <c r="BD75" i="1"/>
  <c r="CG75" i="1" s="1"/>
  <c r="BB75" i="1"/>
  <c r="AR75" i="1"/>
  <c r="Y75" i="1"/>
  <c r="CF75" i="1" s="1"/>
  <c r="W75" i="1"/>
  <c r="M75" i="1"/>
  <c r="G75" i="1"/>
  <c r="F75" i="1"/>
  <c r="E75" i="1"/>
  <c r="DA74" i="1"/>
  <c r="CZ74" i="1"/>
  <c r="CY74" i="1"/>
  <c r="CW74" i="1"/>
  <c r="CV74" i="1"/>
  <c r="CH74" i="1"/>
  <c r="BW74" i="1"/>
  <c r="BV74" i="1"/>
  <c r="BU74" i="1"/>
  <c r="BT74" i="1"/>
  <c r="BD74" i="1"/>
  <c r="CG74" i="1" s="1"/>
  <c r="BB74" i="1"/>
  <c r="AR74" i="1"/>
  <c r="Y74" i="1"/>
  <c r="CF74" i="1" s="1"/>
  <c r="W74" i="1"/>
  <c r="M74" i="1"/>
  <c r="G74" i="1"/>
  <c r="F74" i="1"/>
  <c r="E74" i="1"/>
  <c r="DA73" i="1"/>
  <c r="CZ73" i="1"/>
  <c r="CY73" i="1"/>
  <c r="CH73" i="1"/>
  <c r="BW73" i="1"/>
  <c r="BV73" i="1"/>
  <c r="BU73" i="1"/>
  <c r="BT73" i="1"/>
  <c r="BM73" i="1"/>
  <c r="CW73" i="1" s="1"/>
  <c r="BL73" i="1"/>
  <c r="CV73" i="1" s="1"/>
  <c r="BI73" i="1"/>
  <c r="BD73" i="1"/>
  <c r="BB73" i="1"/>
  <c r="AR73" i="1"/>
  <c r="AH73" i="1"/>
  <c r="AG73" i="1"/>
  <c r="Y73" i="1"/>
  <c r="CG73" i="1" s="1"/>
  <c r="W73" i="1"/>
  <c r="M73" i="1"/>
  <c r="G73" i="1"/>
  <c r="F73" i="1"/>
  <c r="E73" i="1"/>
  <c r="DA72" i="1"/>
  <c r="CZ72" i="1"/>
  <c r="CY72" i="1"/>
  <c r="CW72" i="1"/>
  <c r="CV72" i="1"/>
  <c r="BW72" i="1"/>
  <c r="BV72" i="1"/>
  <c r="BU72" i="1"/>
  <c r="BT72" i="1"/>
  <c r="BI72" i="1"/>
  <c r="BD72" i="1"/>
  <c r="BB72" i="1"/>
  <c r="AR72" i="1"/>
  <c r="Y72" i="1"/>
  <c r="CE72" i="1" s="1"/>
  <c r="W72" i="1"/>
  <c r="M72" i="1"/>
  <c r="G72" i="1"/>
  <c r="F72" i="1"/>
  <c r="E72" i="1"/>
  <c r="DA71" i="1"/>
  <c r="CZ71" i="1"/>
  <c r="CY71" i="1"/>
  <c r="CW71" i="1"/>
  <c r="CV71" i="1"/>
  <c r="CH71" i="1"/>
  <c r="CG71" i="1"/>
  <c r="CF71" i="1"/>
  <c r="CC71" i="1"/>
  <c r="BW71" i="1"/>
  <c r="BV71" i="1"/>
  <c r="BU71" i="1"/>
  <c r="BT71" i="1"/>
  <c r="BS71" i="1"/>
  <c r="BI71" i="1"/>
  <c r="BD71" i="1"/>
  <c r="BB71" i="1"/>
  <c r="AR71" i="1"/>
  <c r="AD71" i="1"/>
  <c r="CO71" i="1" s="1"/>
  <c r="Y71" i="1"/>
  <c r="CE71" i="1" s="1"/>
  <c r="W71" i="1"/>
  <c r="M71" i="1"/>
  <c r="G71" i="1"/>
  <c r="F71" i="1"/>
  <c r="E71" i="1"/>
  <c r="DA70" i="1"/>
  <c r="CZ70" i="1"/>
  <c r="CY70" i="1"/>
  <c r="CW70" i="1"/>
  <c r="CV70" i="1"/>
  <c r="CH70" i="1"/>
  <c r="CG70" i="1"/>
  <c r="BW70" i="1"/>
  <c r="BV70" i="1"/>
  <c r="BU70" i="1"/>
  <c r="BT70" i="1"/>
  <c r="BD70" i="1"/>
  <c r="CF70" i="1" s="1"/>
  <c r="BB70" i="1"/>
  <c r="AR70" i="1"/>
  <c r="AD70" i="1"/>
  <c r="Y70" i="1"/>
  <c r="CE70" i="1" s="1"/>
  <c r="W70" i="1"/>
  <c r="M70" i="1"/>
  <c r="G70" i="1"/>
  <c r="F70" i="1"/>
  <c r="E70" i="1"/>
  <c r="DA69" i="1"/>
  <c r="CZ69" i="1"/>
  <c r="CY69" i="1"/>
  <c r="CW69" i="1"/>
  <c r="CV69" i="1"/>
  <c r="BW69" i="1"/>
  <c r="BV69" i="1"/>
  <c r="BU69" i="1"/>
  <c r="BT69" i="1"/>
  <c r="BD69" i="1"/>
  <c r="CH69" i="1" s="1"/>
  <c r="BB69" i="1"/>
  <c r="AR69" i="1"/>
  <c r="AH69" i="1"/>
  <c r="AG69" i="1"/>
  <c r="AD69" i="1"/>
  <c r="Y69" i="1"/>
  <c r="CC69" i="1" s="1"/>
  <c r="W69" i="1"/>
  <c r="M69" i="1"/>
  <c r="G69" i="1"/>
  <c r="F69" i="1"/>
  <c r="E69" i="1"/>
  <c r="DA68" i="1"/>
  <c r="CZ68" i="1"/>
  <c r="CY68" i="1"/>
  <c r="CW68" i="1"/>
  <c r="CV68" i="1"/>
  <c r="CD68" i="1"/>
  <c r="CC68" i="1"/>
  <c r="BW68" i="1"/>
  <c r="BV68" i="1"/>
  <c r="BU68" i="1"/>
  <c r="BT68" i="1"/>
  <c r="BS68" i="1"/>
  <c r="BI68" i="1"/>
  <c r="BD68" i="1"/>
  <c r="BB68" i="1"/>
  <c r="AR68" i="1"/>
  <c r="Y68" i="1"/>
  <c r="CB68" i="1" s="1"/>
  <c r="W68" i="1"/>
  <c r="M68" i="1"/>
  <c r="G68" i="1"/>
  <c r="F68" i="1"/>
  <c r="E68" i="1"/>
  <c r="DA67" i="1"/>
  <c r="CZ67" i="1"/>
  <c r="CY67" i="1"/>
  <c r="CW67" i="1"/>
  <c r="CV67" i="1"/>
  <c r="CD67" i="1"/>
  <c r="BW67" i="1"/>
  <c r="BV67" i="1"/>
  <c r="BU67" i="1"/>
  <c r="BT67" i="1"/>
  <c r="BD67" i="1"/>
  <c r="BI67" i="1" s="1"/>
  <c r="BB67" i="1"/>
  <c r="AR67" i="1"/>
  <c r="Y67" i="1"/>
  <c r="CC67" i="1" s="1"/>
  <c r="W67" i="1"/>
  <c r="M67" i="1"/>
  <c r="G67" i="1"/>
  <c r="F67" i="1"/>
  <c r="E67" i="1"/>
  <c r="DA66" i="1"/>
  <c r="CZ66" i="1"/>
  <c r="CY66" i="1"/>
  <c r="CW66" i="1"/>
  <c r="CV66" i="1"/>
  <c r="BW66" i="1"/>
  <c r="BV66" i="1"/>
  <c r="BU66" i="1"/>
  <c r="BT66" i="1"/>
  <c r="BI66" i="1"/>
  <c r="BD66" i="1"/>
  <c r="BB66" i="1"/>
  <c r="AR66" i="1"/>
  <c r="Y66" i="1"/>
  <c r="CE66" i="1" s="1"/>
  <c r="W66" i="1"/>
  <c r="M66" i="1"/>
  <c r="G66" i="1"/>
  <c r="F66" i="1"/>
  <c r="E66" i="1"/>
  <c r="DA65" i="1"/>
  <c r="CZ65" i="1"/>
  <c r="CY65" i="1"/>
  <c r="CW65" i="1"/>
  <c r="CV65" i="1"/>
  <c r="CH65" i="1"/>
  <c r="CG65" i="1"/>
  <c r="CF65" i="1"/>
  <c r="CC65" i="1"/>
  <c r="CB65" i="1"/>
  <c r="BW65" i="1"/>
  <c r="BV65" i="1"/>
  <c r="BU65" i="1"/>
  <c r="BT65" i="1"/>
  <c r="BS65" i="1"/>
  <c r="BI65" i="1"/>
  <c r="BD65" i="1"/>
  <c r="BB65" i="1"/>
  <c r="AR65" i="1"/>
  <c r="AD65" i="1"/>
  <c r="CO65" i="1" s="1"/>
  <c r="Y65" i="1"/>
  <c r="CE65" i="1" s="1"/>
  <c r="W65" i="1"/>
  <c r="M65" i="1"/>
  <c r="G65" i="1"/>
  <c r="F65" i="1"/>
  <c r="E65" i="1"/>
  <c r="DA64" i="1"/>
  <c r="CZ64" i="1"/>
  <c r="CY64" i="1"/>
  <c r="CW64" i="1"/>
  <c r="CV64" i="1"/>
  <c r="CH64" i="1"/>
  <c r="CG64" i="1"/>
  <c r="CC64" i="1"/>
  <c r="BW64" i="1"/>
  <c r="BV64" i="1"/>
  <c r="BU64" i="1"/>
  <c r="BT64" i="1"/>
  <c r="BS64" i="1"/>
  <c r="BD64" i="1"/>
  <c r="CF64" i="1" s="1"/>
  <c r="BB64" i="1"/>
  <c r="AR64" i="1"/>
  <c r="AD64" i="1"/>
  <c r="Y64" i="1"/>
  <c r="CE64" i="1" s="1"/>
  <c r="W64" i="1"/>
  <c r="M64" i="1"/>
  <c r="G64" i="1"/>
  <c r="F64" i="1"/>
  <c r="E64" i="1"/>
  <c r="DA63" i="1"/>
  <c r="CZ63" i="1"/>
  <c r="CY63" i="1"/>
  <c r="CW63" i="1"/>
  <c r="CV63" i="1"/>
  <c r="BW63" i="1"/>
  <c r="BV63" i="1"/>
  <c r="BU63" i="1"/>
  <c r="BT63" i="1"/>
  <c r="BD63" i="1"/>
  <c r="CH63" i="1" s="1"/>
  <c r="BB63" i="1"/>
  <c r="AR63" i="1"/>
  <c r="Y63" i="1"/>
  <c r="CG63" i="1" s="1"/>
  <c r="W63" i="1"/>
  <c r="M63" i="1"/>
  <c r="G63" i="1"/>
  <c r="F63" i="1"/>
  <c r="E63" i="1"/>
  <c r="DA62" i="1"/>
  <c r="CZ62" i="1"/>
  <c r="CY62" i="1"/>
  <c r="CW62" i="1"/>
  <c r="CV62" i="1"/>
  <c r="CE62" i="1"/>
  <c r="CC62" i="1"/>
  <c r="CB62" i="1"/>
  <c r="CA62" i="1"/>
  <c r="BW62" i="1"/>
  <c r="BV62" i="1"/>
  <c r="BU62" i="1"/>
  <c r="BT62" i="1"/>
  <c r="BS62" i="1"/>
  <c r="BI62" i="1"/>
  <c r="BB62" i="1"/>
  <c r="AR62" i="1"/>
  <c r="Y62" i="1"/>
  <c r="CH62" i="1" s="1"/>
  <c r="W62" i="1"/>
  <c r="M62" i="1"/>
  <c r="G62" i="1"/>
  <c r="F62" i="1"/>
  <c r="E62" i="1"/>
  <c r="DA61" i="1"/>
  <c r="CZ61" i="1"/>
  <c r="CY61" i="1"/>
  <c r="CW61" i="1"/>
  <c r="CV61" i="1"/>
  <c r="CE61" i="1"/>
  <c r="CC61" i="1"/>
  <c r="CB61" i="1"/>
  <c r="CA61" i="1"/>
  <c r="BW61" i="1"/>
  <c r="BV61" i="1"/>
  <c r="BU61" i="1"/>
  <c r="BT61" i="1"/>
  <c r="BS61" i="1"/>
  <c r="BI61" i="1"/>
  <c r="BB61" i="1"/>
  <c r="AR61" i="1"/>
  <c r="Y61" i="1"/>
  <c r="CH61" i="1" s="1"/>
  <c r="W61" i="1"/>
  <c r="M61" i="1"/>
  <c r="G61" i="1"/>
  <c r="F61" i="1"/>
  <c r="E61" i="1"/>
  <c r="DA60" i="1"/>
  <c r="CZ60" i="1"/>
  <c r="CY60" i="1"/>
  <c r="CW60" i="1"/>
  <c r="CV60" i="1"/>
  <c r="CE60" i="1"/>
  <c r="CC60" i="1"/>
  <c r="CB60" i="1"/>
  <c r="CA60" i="1"/>
  <c r="BW60" i="1"/>
  <c r="BV60" i="1"/>
  <c r="BU60" i="1"/>
  <c r="BT60" i="1"/>
  <c r="BS60" i="1"/>
  <c r="BI60" i="1"/>
  <c r="BB60" i="1"/>
  <c r="AR60" i="1"/>
  <c r="Y60" i="1"/>
  <c r="CH60" i="1" s="1"/>
  <c r="W60" i="1"/>
  <c r="M60" i="1"/>
  <c r="G60" i="1"/>
  <c r="F60" i="1"/>
  <c r="E60" i="1"/>
  <c r="DA59" i="1"/>
  <c r="CZ59" i="1"/>
  <c r="CY59" i="1"/>
  <c r="CW59" i="1"/>
  <c r="CV59" i="1"/>
  <c r="CE59" i="1"/>
  <c r="CC59" i="1"/>
  <c r="CB59" i="1"/>
  <c r="CA59" i="1"/>
  <c r="BW59" i="1"/>
  <c r="BV59" i="1"/>
  <c r="BU59" i="1"/>
  <c r="BT59" i="1"/>
  <c r="BS59" i="1"/>
  <c r="BI59" i="1"/>
  <c r="BB59" i="1"/>
  <c r="AR59" i="1"/>
  <c r="Y59" i="1"/>
  <c r="CH59" i="1" s="1"/>
  <c r="W59" i="1"/>
  <c r="M59" i="1"/>
  <c r="G59" i="1"/>
  <c r="F59" i="1"/>
  <c r="E59" i="1"/>
  <c r="DA58" i="1"/>
  <c r="CZ58" i="1"/>
  <c r="CY58" i="1"/>
  <c r="CW58" i="1"/>
  <c r="CV58" i="1"/>
  <c r="CR58" i="1"/>
  <c r="CL58" i="1"/>
  <c r="CH58" i="1"/>
  <c r="CG58" i="1"/>
  <c r="CF58" i="1"/>
  <c r="CE58" i="1"/>
  <c r="CD58" i="1"/>
  <c r="CC58" i="1"/>
  <c r="CB58" i="1"/>
  <c r="CA58" i="1"/>
  <c r="CI58" i="1" s="1"/>
  <c r="BW58" i="1"/>
  <c r="BV58" i="1"/>
  <c r="BU58" i="1"/>
  <c r="BT58" i="1"/>
  <c r="BS58" i="1"/>
  <c r="BI58" i="1"/>
  <c r="CQ58" i="1" s="1"/>
  <c r="BB58" i="1"/>
  <c r="AR58" i="1"/>
  <c r="AD58" i="1"/>
  <c r="CP58" i="1" s="1"/>
  <c r="W58" i="1"/>
  <c r="M58" i="1"/>
  <c r="G58" i="1"/>
  <c r="F58" i="1"/>
  <c r="E58" i="1"/>
  <c r="DA57" i="1"/>
  <c r="CZ57" i="1"/>
  <c r="CY57" i="1"/>
  <c r="CW57" i="1"/>
  <c r="CV57" i="1"/>
  <c r="CH57" i="1"/>
  <c r="CG57" i="1"/>
  <c r="CF57" i="1"/>
  <c r="CE57" i="1"/>
  <c r="CD57" i="1"/>
  <c r="CC57" i="1"/>
  <c r="CB57" i="1"/>
  <c r="CA57" i="1"/>
  <c r="CI57" i="1" s="1"/>
  <c r="BW57" i="1"/>
  <c r="BV57" i="1"/>
  <c r="BU57" i="1"/>
  <c r="BT57" i="1"/>
  <c r="BS57" i="1"/>
  <c r="BI57" i="1"/>
  <c r="CQ57" i="1" s="1"/>
  <c r="BB57" i="1"/>
  <c r="AR57" i="1"/>
  <c r="AD57" i="1"/>
  <c r="CP57" i="1" s="1"/>
  <c r="W57" i="1"/>
  <c r="M57" i="1"/>
  <c r="G57" i="1"/>
  <c r="F57" i="1"/>
  <c r="E57" i="1"/>
  <c r="DA56" i="1"/>
  <c r="CZ56" i="1"/>
  <c r="CY56" i="1"/>
  <c r="CW56" i="1"/>
  <c r="CV56" i="1"/>
  <c r="CR56" i="1"/>
  <c r="CQ56" i="1"/>
  <c r="CH56" i="1"/>
  <c r="CG56" i="1"/>
  <c r="CF56" i="1"/>
  <c r="CE56" i="1"/>
  <c r="CD56" i="1"/>
  <c r="CC56" i="1"/>
  <c r="CB56" i="1"/>
  <c r="CA56" i="1"/>
  <c r="CI56" i="1" s="1"/>
  <c r="BX56" i="1"/>
  <c r="BW56" i="1"/>
  <c r="BV56" i="1"/>
  <c r="BU56" i="1"/>
  <c r="BT56" i="1"/>
  <c r="BS56" i="1"/>
  <c r="BI56" i="1"/>
  <c r="BB56" i="1"/>
  <c r="AR56" i="1"/>
  <c r="AD56" i="1"/>
  <c r="CP56" i="1" s="1"/>
  <c r="W56" i="1"/>
  <c r="M56" i="1"/>
  <c r="G56" i="1"/>
  <c r="F56" i="1"/>
  <c r="E56" i="1"/>
  <c r="DA55" i="1"/>
  <c r="CZ55" i="1"/>
  <c r="CY55" i="1"/>
  <c r="CW55" i="1"/>
  <c r="CV55" i="1"/>
  <c r="CQ55" i="1"/>
  <c r="CH55" i="1"/>
  <c r="CG55" i="1"/>
  <c r="CF55" i="1"/>
  <c r="CE55" i="1"/>
  <c r="CD55" i="1"/>
  <c r="CC55" i="1"/>
  <c r="CB55" i="1"/>
  <c r="CA55" i="1"/>
  <c r="CI55" i="1" s="1"/>
  <c r="BX55" i="1"/>
  <c r="BW55" i="1"/>
  <c r="BV55" i="1"/>
  <c r="BU55" i="1"/>
  <c r="BT55" i="1"/>
  <c r="BS55" i="1"/>
  <c r="BI55" i="1"/>
  <c r="BB55" i="1"/>
  <c r="AR55" i="1"/>
  <c r="AD55" i="1"/>
  <c r="CO55" i="1" s="1"/>
  <c r="W55" i="1"/>
  <c r="M55" i="1"/>
  <c r="G55" i="1"/>
  <c r="F55" i="1"/>
  <c r="E55" i="1"/>
  <c r="DA54" i="1"/>
  <c r="CZ54" i="1"/>
  <c r="CY54" i="1"/>
  <c r="CW54" i="1"/>
  <c r="CO54" i="1"/>
  <c r="CF54" i="1"/>
  <c r="CE54" i="1"/>
  <c r="BW54" i="1"/>
  <c r="BV54" i="1"/>
  <c r="BU54" i="1"/>
  <c r="BT54" i="1"/>
  <c r="BI54" i="1"/>
  <c r="BB54" i="1"/>
  <c r="AR54" i="1"/>
  <c r="AH54" i="1"/>
  <c r="AG54" i="1"/>
  <c r="CV54" i="1" s="1"/>
  <c r="AD54" i="1"/>
  <c r="CM54" i="1" s="1"/>
  <c r="Y54" i="1"/>
  <c r="CD54" i="1" s="1"/>
  <c r="W54" i="1"/>
  <c r="M54" i="1"/>
  <c r="G54" i="1"/>
  <c r="F54" i="1"/>
  <c r="E54" i="1"/>
  <c r="DA53" i="1"/>
  <c r="CZ53" i="1"/>
  <c r="CY53" i="1"/>
  <c r="CP53" i="1"/>
  <c r="CO53" i="1"/>
  <c r="CH53" i="1"/>
  <c r="CG53" i="1"/>
  <c r="CF53" i="1"/>
  <c r="CE53" i="1"/>
  <c r="CC53" i="1"/>
  <c r="CB53" i="1"/>
  <c r="CA53" i="1"/>
  <c r="CI53" i="1" s="1"/>
  <c r="BW53" i="1"/>
  <c r="BV53" i="1"/>
  <c r="BU53" i="1"/>
  <c r="BT53" i="1"/>
  <c r="BS53" i="1"/>
  <c r="BI53" i="1"/>
  <c r="BB53" i="1"/>
  <c r="AR53" i="1"/>
  <c r="AH53" i="1"/>
  <c r="CW53" i="1" s="1"/>
  <c r="AG53" i="1"/>
  <c r="CV53" i="1" s="1"/>
  <c r="AD53" i="1"/>
  <c r="CN53" i="1" s="1"/>
  <c r="Y53" i="1"/>
  <c r="CD53" i="1" s="1"/>
  <c r="W53" i="1"/>
  <c r="M53" i="1"/>
  <c r="G53" i="1"/>
  <c r="F53" i="1"/>
  <c r="E53" i="1"/>
  <c r="DA52" i="1"/>
  <c r="CZ52" i="1"/>
  <c r="CY52" i="1"/>
  <c r="CW52" i="1"/>
  <c r="CV52" i="1"/>
  <c r="CR52" i="1"/>
  <c r="CQ52" i="1"/>
  <c r="CH52" i="1"/>
  <c r="CG52" i="1"/>
  <c r="CF52" i="1"/>
  <c r="CE52" i="1"/>
  <c r="CD52" i="1"/>
  <c r="CC52" i="1"/>
  <c r="CB52" i="1"/>
  <c r="CA52" i="1"/>
  <c r="CI52" i="1" s="1"/>
  <c r="BX52" i="1"/>
  <c r="BW52" i="1"/>
  <c r="BV52" i="1"/>
  <c r="BU52" i="1"/>
  <c r="BT52" i="1"/>
  <c r="BS52" i="1"/>
  <c r="BI52" i="1"/>
  <c r="BB52" i="1"/>
  <c r="AR52" i="1"/>
  <c r="AD52" i="1"/>
  <c r="CP52" i="1" s="1"/>
  <c r="W52" i="1"/>
  <c r="M52" i="1"/>
  <c r="G52" i="1"/>
  <c r="F52" i="1"/>
  <c r="E52" i="1"/>
  <c r="DA51" i="1"/>
  <c r="CZ51" i="1"/>
  <c r="CY51" i="1"/>
  <c r="CW51" i="1"/>
  <c r="CV51" i="1"/>
  <c r="CQ51" i="1"/>
  <c r="CH51" i="1"/>
  <c r="CG51" i="1"/>
  <c r="CF51" i="1"/>
  <c r="CE51" i="1"/>
  <c r="CD51" i="1"/>
  <c r="CC51" i="1"/>
  <c r="CB51" i="1"/>
  <c r="CA51" i="1"/>
  <c r="CI51" i="1" s="1"/>
  <c r="BX51" i="1"/>
  <c r="BW51" i="1"/>
  <c r="BV51" i="1"/>
  <c r="BU51" i="1"/>
  <c r="BT51" i="1"/>
  <c r="BS51" i="1"/>
  <c r="BI51" i="1"/>
  <c r="BB51" i="1"/>
  <c r="AR51" i="1"/>
  <c r="AD51" i="1"/>
  <c r="CO51" i="1" s="1"/>
  <c r="W51" i="1"/>
  <c r="M51" i="1"/>
  <c r="G51" i="1"/>
  <c r="F51" i="1"/>
  <c r="E51" i="1"/>
  <c r="DA50" i="1"/>
  <c r="CZ50" i="1"/>
  <c r="CY50" i="1"/>
  <c r="CW50" i="1"/>
  <c r="CV50" i="1"/>
  <c r="CF50" i="1"/>
  <c r="CE50" i="1"/>
  <c r="BV50" i="1"/>
  <c r="BU50" i="1"/>
  <c r="BT50" i="1"/>
  <c r="BH50" i="1"/>
  <c r="BI50" i="1" s="1"/>
  <c r="BB50" i="1"/>
  <c r="AR50" i="1"/>
  <c r="AD50" i="1"/>
  <c r="AC50" i="1"/>
  <c r="BW50" i="1" s="1"/>
  <c r="Y50" i="1"/>
  <c r="CD50" i="1" s="1"/>
  <c r="W50" i="1"/>
  <c r="M50" i="1"/>
  <c r="G50" i="1"/>
  <c r="F50" i="1"/>
  <c r="E50" i="1"/>
  <c r="DA49" i="1"/>
  <c r="CZ49" i="1"/>
  <c r="CY49" i="1"/>
  <c r="CW49" i="1"/>
  <c r="CV49" i="1"/>
  <c r="CH49" i="1"/>
  <c r="CG49" i="1"/>
  <c r="CF49" i="1"/>
  <c r="CE49" i="1"/>
  <c r="CC49" i="1"/>
  <c r="CB49" i="1"/>
  <c r="CA49" i="1"/>
  <c r="CI49" i="1" s="1"/>
  <c r="BW49" i="1"/>
  <c r="BV49" i="1"/>
  <c r="BU49" i="1"/>
  <c r="BT49" i="1"/>
  <c r="BS49" i="1"/>
  <c r="BH49" i="1"/>
  <c r="BI49" i="1" s="1"/>
  <c r="CP49" i="1" s="1"/>
  <c r="BB49" i="1"/>
  <c r="AR49" i="1"/>
  <c r="AD49" i="1"/>
  <c r="AC49" i="1"/>
  <c r="Y49" i="1"/>
  <c r="CD49" i="1" s="1"/>
  <c r="W49" i="1"/>
  <c r="M49" i="1"/>
  <c r="G49" i="1"/>
  <c r="F49" i="1"/>
  <c r="E49" i="1"/>
  <c r="DA48" i="1"/>
  <c r="CZ48" i="1"/>
  <c r="CY48" i="1"/>
  <c r="CW48" i="1"/>
  <c r="CV48" i="1"/>
  <c r="CH48" i="1"/>
  <c r="CG48" i="1"/>
  <c r="CF48" i="1"/>
  <c r="CE48" i="1"/>
  <c r="CD48" i="1"/>
  <c r="CC48" i="1"/>
  <c r="CB48" i="1"/>
  <c r="CA48" i="1"/>
  <c r="CI48" i="1" s="1"/>
  <c r="BV48" i="1"/>
  <c r="BU48" i="1"/>
  <c r="BT48" i="1"/>
  <c r="BS48" i="1"/>
  <c r="BH48" i="1"/>
  <c r="BW48" i="1" s="1"/>
  <c r="BB48" i="1"/>
  <c r="AR48" i="1"/>
  <c r="AC48" i="1"/>
  <c r="AD48" i="1" s="1"/>
  <c r="W48" i="1"/>
  <c r="M48" i="1"/>
  <c r="G48" i="1"/>
  <c r="F48" i="1"/>
  <c r="E48" i="1"/>
  <c r="DA47" i="1"/>
  <c r="CZ47" i="1"/>
  <c r="CY47" i="1"/>
  <c r="CW47" i="1"/>
  <c r="CV47" i="1"/>
  <c r="CH47" i="1"/>
  <c r="CG47" i="1"/>
  <c r="CF47" i="1"/>
  <c r="CE47" i="1"/>
  <c r="CD47" i="1"/>
  <c r="CC47" i="1"/>
  <c r="CB47" i="1"/>
  <c r="CA47" i="1"/>
  <c r="CI47" i="1" s="1"/>
  <c r="BV47" i="1"/>
  <c r="BU47" i="1"/>
  <c r="BT47" i="1"/>
  <c r="BS47" i="1"/>
  <c r="BI47" i="1"/>
  <c r="BH47" i="1"/>
  <c r="BB47" i="1"/>
  <c r="AR47" i="1"/>
  <c r="AC47" i="1"/>
  <c r="BW47" i="1" s="1"/>
  <c r="W47" i="1"/>
  <c r="M47" i="1"/>
  <c r="G47" i="1"/>
  <c r="F47" i="1"/>
  <c r="E47" i="1"/>
  <c r="DA46" i="1"/>
  <c r="CZ46" i="1"/>
  <c r="CY46" i="1"/>
  <c r="CW46" i="1"/>
  <c r="CV46" i="1"/>
  <c r="CH46" i="1"/>
  <c r="CG46" i="1"/>
  <c r="CF46" i="1"/>
  <c r="CE46" i="1"/>
  <c r="CD46" i="1"/>
  <c r="CC46" i="1"/>
  <c r="CB46" i="1"/>
  <c r="CA46" i="1"/>
  <c r="CI46" i="1" s="1"/>
  <c r="BW46" i="1"/>
  <c r="BV46" i="1"/>
  <c r="BU46" i="1"/>
  <c r="BT46" i="1"/>
  <c r="BS46" i="1"/>
  <c r="BI46" i="1"/>
  <c r="CQ46" i="1" s="1"/>
  <c r="BB46" i="1"/>
  <c r="AR46" i="1"/>
  <c r="AD46" i="1"/>
  <c r="CP46" i="1" s="1"/>
  <c r="M46" i="1"/>
  <c r="G46" i="1"/>
  <c r="F46" i="1"/>
  <c r="E46" i="1"/>
  <c r="DA45" i="1"/>
  <c r="CZ45" i="1"/>
  <c r="CY45" i="1"/>
  <c r="CW45" i="1"/>
  <c r="CV45" i="1"/>
  <c r="CQ45" i="1"/>
  <c r="CH45" i="1"/>
  <c r="CG45" i="1"/>
  <c r="CF45" i="1"/>
  <c r="CE45" i="1"/>
  <c r="CD45" i="1"/>
  <c r="CC45" i="1"/>
  <c r="CB45" i="1"/>
  <c r="CA45" i="1"/>
  <c r="CI45" i="1" s="1"/>
  <c r="BX45" i="1"/>
  <c r="BW45" i="1"/>
  <c r="BV45" i="1"/>
  <c r="BU45" i="1"/>
  <c r="BT45" i="1"/>
  <c r="BS45" i="1"/>
  <c r="BI45" i="1"/>
  <c r="BB45" i="1"/>
  <c r="AR45" i="1"/>
  <c r="AD45" i="1"/>
  <c r="CO45" i="1" s="1"/>
  <c r="W45" i="1"/>
  <c r="M45" i="1"/>
  <c r="G45" i="1"/>
  <c r="F45" i="1"/>
  <c r="E45" i="1"/>
  <c r="DA44" i="1"/>
  <c r="CZ44" i="1"/>
  <c r="CY44" i="1"/>
  <c r="CW44" i="1"/>
  <c r="CV44" i="1"/>
  <c r="CH44" i="1"/>
  <c r="CG44" i="1"/>
  <c r="CF44" i="1"/>
  <c r="CE44" i="1"/>
  <c r="CD44" i="1"/>
  <c r="CC44" i="1"/>
  <c r="CB44" i="1"/>
  <c r="CA44" i="1"/>
  <c r="CI44" i="1" s="1"/>
  <c r="BW44" i="1"/>
  <c r="BV44" i="1"/>
  <c r="BU44" i="1"/>
  <c r="BT44" i="1"/>
  <c r="BS44" i="1"/>
  <c r="BI44" i="1"/>
  <c r="BB44" i="1"/>
  <c r="AR44" i="1"/>
  <c r="AD44" i="1"/>
  <c r="CN44" i="1" s="1"/>
  <c r="W44" i="1"/>
  <c r="M44" i="1"/>
  <c r="G44" i="1"/>
  <c r="F44" i="1"/>
  <c r="E44" i="1"/>
  <c r="DA43" i="1"/>
  <c r="CZ43" i="1"/>
  <c r="CY43" i="1"/>
  <c r="CW43" i="1"/>
  <c r="CV43" i="1"/>
  <c r="CH43" i="1"/>
  <c r="CG43" i="1"/>
  <c r="CF43" i="1"/>
  <c r="CE43" i="1"/>
  <c r="CD43" i="1"/>
  <c r="CC43" i="1"/>
  <c r="CB43" i="1"/>
  <c r="CA43" i="1"/>
  <c r="CI43" i="1" s="1"/>
  <c r="BI43" i="1"/>
  <c r="BB43" i="1"/>
  <c r="AR43" i="1"/>
  <c r="AD43" i="1"/>
  <c r="CL43" i="1" s="1"/>
  <c r="M43" i="1"/>
  <c r="G43" i="1"/>
  <c r="F43" i="1"/>
  <c r="E43" i="1"/>
  <c r="DA42" i="1"/>
  <c r="CZ42" i="1"/>
  <c r="CY42" i="1"/>
  <c r="CW42" i="1"/>
  <c r="CV42" i="1"/>
  <c r="CN42" i="1"/>
  <c r="CM42" i="1"/>
  <c r="CH42" i="1"/>
  <c r="CG42" i="1"/>
  <c r="CF42" i="1"/>
  <c r="CE42" i="1"/>
  <c r="CD42" i="1"/>
  <c r="CC42" i="1"/>
  <c r="CB42" i="1"/>
  <c r="CA42" i="1"/>
  <c r="CI42" i="1" s="1"/>
  <c r="BW42" i="1"/>
  <c r="BV42" i="1"/>
  <c r="BU42" i="1"/>
  <c r="BT42" i="1"/>
  <c r="BS42" i="1"/>
  <c r="BI42" i="1"/>
  <c r="BB42" i="1"/>
  <c r="AR42" i="1"/>
  <c r="AD42" i="1"/>
  <c r="CL42" i="1" s="1"/>
  <c r="W42" i="1"/>
  <c r="M42" i="1"/>
  <c r="G42" i="1"/>
  <c r="F42" i="1"/>
  <c r="E42" i="1"/>
  <c r="DA41" i="1"/>
  <c r="CZ41" i="1"/>
  <c r="CY41" i="1"/>
  <c r="CW41" i="1"/>
  <c r="CV41" i="1"/>
  <c r="CE41" i="1"/>
  <c r="CD41" i="1"/>
  <c r="CC41" i="1"/>
  <c r="CB41" i="1"/>
  <c r="CA41" i="1"/>
  <c r="BW41" i="1"/>
  <c r="BV41" i="1"/>
  <c r="BU41" i="1"/>
  <c r="BT41" i="1"/>
  <c r="BS41" i="1"/>
  <c r="BI41" i="1"/>
  <c r="BB41" i="1"/>
  <c r="AR41" i="1"/>
  <c r="Y41" i="1"/>
  <c r="CH41" i="1" s="1"/>
  <c r="W41" i="1"/>
  <c r="M41" i="1"/>
  <c r="G41" i="1"/>
  <c r="F41" i="1"/>
  <c r="E41" i="1"/>
  <c r="DA40" i="1"/>
  <c r="CZ40" i="1"/>
  <c r="CY40" i="1"/>
  <c r="CW40" i="1"/>
  <c r="CV40" i="1"/>
  <c r="CH40" i="1"/>
  <c r="CE40" i="1"/>
  <c r="CD40" i="1"/>
  <c r="CC40" i="1"/>
  <c r="CB40" i="1"/>
  <c r="CA40" i="1"/>
  <c r="BW40" i="1"/>
  <c r="BV40" i="1"/>
  <c r="BU40" i="1"/>
  <c r="BT40" i="1"/>
  <c r="BS40" i="1"/>
  <c r="BI40" i="1"/>
  <c r="BB40" i="1"/>
  <c r="AR40" i="1"/>
  <c r="Y40" i="1"/>
  <c r="CG40" i="1" s="1"/>
  <c r="W40" i="1"/>
  <c r="M40" i="1"/>
  <c r="G40" i="1"/>
  <c r="F40" i="1"/>
  <c r="E40" i="1"/>
  <c r="DA39" i="1"/>
  <c r="CZ39" i="1"/>
  <c r="CY39" i="1"/>
  <c r="CW39" i="1"/>
  <c r="CV39" i="1"/>
  <c r="CR39" i="1"/>
  <c r="CQ39" i="1"/>
  <c r="CH39" i="1"/>
  <c r="CG39" i="1"/>
  <c r="CE39" i="1"/>
  <c r="CD39" i="1"/>
  <c r="CC39" i="1"/>
  <c r="CB39" i="1"/>
  <c r="CA39" i="1"/>
  <c r="CI39" i="1" s="1"/>
  <c r="BX39" i="1"/>
  <c r="BW39" i="1"/>
  <c r="BV39" i="1"/>
  <c r="BU39" i="1"/>
  <c r="BT39" i="1"/>
  <c r="BS39" i="1"/>
  <c r="BI39" i="1"/>
  <c r="BB39" i="1"/>
  <c r="AR39" i="1"/>
  <c r="AD39" i="1"/>
  <c r="CP39" i="1" s="1"/>
  <c r="Y39" i="1"/>
  <c r="CF39" i="1" s="1"/>
  <c r="W39" i="1"/>
  <c r="M39" i="1"/>
  <c r="G39" i="1"/>
  <c r="F39" i="1"/>
  <c r="E39" i="1"/>
  <c r="DA38" i="1"/>
  <c r="CZ38" i="1"/>
  <c r="CY38" i="1"/>
  <c r="CW38" i="1"/>
  <c r="CV38" i="1"/>
  <c r="CR38" i="1"/>
  <c r="CQ38" i="1"/>
  <c r="CL38" i="1"/>
  <c r="CH38" i="1"/>
  <c r="CG38" i="1"/>
  <c r="CF38" i="1"/>
  <c r="CE38" i="1"/>
  <c r="CD38" i="1"/>
  <c r="CC38" i="1"/>
  <c r="CB38" i="1"/>
  <c r="CA38" i="1"/>
  <c r="CI38" i="1" s="1"/>
  <c r="BX38" i="1"/>
  <c r="BW38" i="1"/>
  <c r="BV38" i="1"/>
  <c r="BU38" i="1"/>
  <c r="BT38" i="1"/>
  <c r="BS38" i="1"/>
  <c r="BI38" i="1"/>
  <c r="BB38" i="1"/>
  <c r="AR38" i="1"/>
  <c r="AD38" i="1"/>
  <c r="CP38" i="1" s="1"/>
  <c r="W38" i="1"/>
  <c r="M38" i="1"/>
  <c r="G38" i="1"/>
  <c r="F38" i="1"/>
  <c r="E38" i="1"/>
  <c r="DA37" i="1"/>
  <c r="CZ37" i="1"/>
  <c r="CY37" i="1"/>
  <c r="CW37" i="1"/>
  <c r="CV37" i="1"/>
  <c r="CQ37" i="1"/>
  <c r="CH37" i="1"/>
  <c r="CG37" i="1"/>
  <c r="CF37" i="1"/>
  <c r="CE37" i="1"/>
  <c r="CD37" i="1"/>
  <c r="CC37" i="1"/>
  <c r="CB37" i="1"/>
  <c r="CA37" i="1"/>
  <c r="CI37" i="1" s="1"/>
  <c r="BX37" i="1"/>
  <c r="BW37" i="1"/>
  <c r="BV37" i="1"/>
  <c r="BU37" i="1"/>
  <c r="BT37" i="1"/>
  <c r="BS37" i="1"/>
  <c r="BI37" i="1"/>
  <c r="BB37" i="1"/>
  <c r="AR37" i="1"/>
  <c r="AD37" i="1"/>
  <c r="CO37" i="1" s="1"/>
  <c r="W37" i="1"/>
  <c r="M37" i="1"/>
  <c r="G37" i="1"/>
  <c r="F37" i="1"/>
  <c r="E37" i="1"/>
  <c r="DA36" i="1"/>
  <c r="CZ36" i="1"/>
  <c r="CY36" i="1"/>
  <c r="CW36" i="1"/>
  <c r="CV36" i="1"/>
  <c r="CH36" i="1"/>
  <c r="CG36" i="1"/>
  <c r="CF36" i="1"/>
  <c r="CE36" i="1"/>
  <c r="CD36" i="1"/>
  <c r="CC36" i="1"/>
  <c r="CB36" i="1"/>
  <c r="CA36" i="1"/>
  <c r="CI36" i="1" s="1"/>
  <c r="BW36" i="1"/>
  <c r="BV36" i="1"/>
  <c r="BU36" i="1"/>
  <c r="BT36" i="1"/>
  <c r="BS36" i="1"/>
  <c r="BI36" i="1"/>
  <c r="BB36" i="1"/>
  <c r="AR36" i="1"/>
  <c r="AD36" i="1"/>
  <c r="CN36" i="1" s="1"/>
  <c r="W36" i="1"/>
  <c r="M36" i="1"/>
  <c r="G36" i="1"/>
  <c r="F36" i="1"/>
  <c r="E36" i="1"/>
  <c r="DA35" i="1"/>
  <c r="CZ35" i="1"/>
  <c r="CY35" i="1"/>
  <c r="CW35" i="1"/>
  <c r="CV35" i="1"/>
  <c r="CN35" i="1"/>
  <c r="CM35" i="1"/>
  <c r="CH35" i="1"/>
  <c r="CG35" i="1"/>
  <c r="CF35" i="1"/>
  <c r="CE35" i="1"/>
  <c r="CD35" i="1"/>
  <c r="CC35" i="1"/>
  <c r="CB35" i="1"/>
  <c r="CA35" i="1"/>
  <c r="CI35" i="1" s="1"/>
  <c r="BW35" i="1"/>
  <c r="BV35" i="1"/>
  <c r="BU35" i="1"/>
  <c r="BT35" i="1"/>
  <c r="BS35" i="1"/>
  <c r="BI35" i="1"/>
  <c r="BB35" i="1"/>
  <c r="AR35" i="1"/>
  <c r="AD35" i="1"/>
  <c r="CL35" i="1" s="1"/>
  <c r="W35" i="1"/>
  <c r="M35" i="1"/>
  <c r="G35" i="1"/>
  <c r="F35" i="1"/>
  <c r="E35" i="1"/>
  <c r="DA34" i="1"/>
  <c r="CZ34" i="1"/>
  <c r="CY34" i="1"/>
  <c r="CW34" i="1"/>
  <c r="CV34" i="1"/>
  <c r="CL34" i="1"/>
  <c r="CH34" i="1"/>
  <c r="CG34" i="1"/>
  <c r="CF34" i="1"/>
  <c r="CE34" i="1"/>
  <c r="CD34" i="1"/>
  <c r="CC34" i="1"/>
  <c r="CB34" i="1"/>
  <c r="CA34" i="1"/>
  <c r="CI34" i="1" s="1"/>
  <c r="BW34" i="1"/>
  <c r="BV34" i="1"/>
  <c r="BU34" i="1"/>
  <c r="BT34" i="1"/>
  <c r="BS34" i="1"/>
  <c r="BI34" i="1"/>
  <c r="CR34" i="1" s="1"/>
  <c r="BB34" i="1"/>
  <c r="AR34" i="1"/>
  <c r="AD34" i="1"/>
  <c r="CQ34" i="1" s="1"/>
  <c r="W34" i="1"/>
  <c r="M34" i="1"/>
  <c r="G34" i="1"/>
  <c r="F34" i="1"/>
  <c r="E34" i="1"/>
  <c r="DA33" i="1"/>
  <c r="CZ33" i="1"/>
  <c r="CY33" i="1"/>
  <c r="CW33" i="1"/>
  <c r="CV33" i="1"/>
  <c r="CR33" i="1"/>
  <c r="CQ33" i="1"/>
  <c r="CL33" i="1"/>
  <c r="CH33" i="1"/>
  <c r="CG33" i="1"/>
  <c r="CF33" i="1"/>
  <c r="CE33" i="1"/>
  <c r="CD33" i="1"/>
  <c r="CC33" i="1"/>
  <c r="CB33" i="1"/>
  <c r="CA33" i="1"/>
  <c r="CI33" i="1" s="1"/>
  <c r="BX33" i="1"/>
  <c r="BW33" i="1"/>
  <c r="BV33" i="1"/>
  <c r="BU33" i="1"/>
  <c r="BT33" i="1"/>
  <c r="BS33" i="1"/>
  <c r="BI33" i="1"/>
  <c r="BB33" i="1"/>
  <c r="AR33" i="1"/>
  <c r="AD33" i="1"/>
  <c r="CP33" i="1" s="1"/>
  <c r="W33" i="1"/>
  <c r="M33" i="1"/>
  <c r="G33" i="1"/>
  <c r="F33" i="1"/>
  <c r="E33" i="1"/>
  <c r="DA32" i="1"/>
  <c r="CZ32" i="1"/>
  <c r="CY32" i="1"/>
  <c r="CW32" i="1"/>
  <c r="CV32" i="1"/>
  <c r="CP32" i="1"/>
  <c r="CH32" i="1"/>
  <c r="CG32" i="1"/>
  <c r="CF32" i="1"/>
  <c r="CE32" i="1"/>
  <c r="CD32" i="1"/>
  <c r="CC32" i="1"/>
  <c r="CB32" i="1"/>
  <c r="CA32" i="1"/>
  <c r="CI32" i="1" s="1"/>
  <c r="BW32" i="1"/>
  <c r="BV32" i="1"/>
  <c r="BU32" i="1"/>
  <c r="BT32" i="1"/>
  <c r="BS32" i="1"/>
  <c r="BI32" i="1"/>
  <c r="BB32" i="1"/>
  <c r="AR32" i="1"/>
  <c r="AD32" i="1"/>
  <c r="CN32" i="1" s="1"/>
  <c r="W32" i="1"/>
  <c r="M32" i="1"/>
  <c r="G32" i="1"/>
  <c r="F32" i="1"/>
  <c r="E32" i="1"/>
  <c r="DA31" i="1"/>
  <c r="CZ31" i="1"/>
  <c r="CY31" i="1"/>
  <c r="CW31" i="1"/>
  <c r="CV31" i="1"/>
  <c r="CP31" i="1"/>
  <c r="CN31" i="1"/>
  <c r="CM31" i="1"/>
  <c r="CH31" i="1"/>
  <c r="CG31" i="1"/>
  <c r="CF31" i="1"/>
  <c r="CE31" i="1"/>
  <c r="CD31" i="1"/>
  <c r="CC31" i="1"/>
  <c r="CB31" i="1"/>
  <c r="CA31" i="1"/>
  <c r="CI31" i="1" s="1"/>
  <c r="BW31" i="1"/>
  <c r="BV31" i="1"/>
  <c r="BU31" i="1"/>
  <c r="BT31" i="1"/>
  <c r="BS31" i="1"/>
  <c r="BI31" i="1"/>
  <c r="BB31" i="1"/>
  <c r="AR31" i="1"/>
  <c r="AD31" i="1"/>
  <c r="CL31" i="1" s="1"/>
  <c r="W31" i="1"/>
  <c r="M31" i="1"/>
  <c r="G31" i="1"/>
  <c r="F31" i="1"/>
  <c r="E31" i="1"/>
  <c r="DA30" i="1"/>
  <c r="CZ30" i="1"/>
  <c r="CY30" i="1"/>
  <c r="CW30" i="1"/>
  <c r="CV30" i="1"/>
  <c r="CE30" i="1"/>
  <c r="CC30" i="1"/>
  <c r="CB30" i="1"/>
  <c r="CA30" i="1"/>
  <c r="BW30" i="1"/>
  <c r="BV30" i="1"/>
  <c r="BU30" i="1"/>
  <c r="BT30" i="1"/>
  <c r="BS30" i="1"/>
  <c r="BI30" i="1"/>
  <c r="CR30" i="1" s="1"/>
  <c r="BB30" i="1"/>
  <c r="AR30" i="1"/>
  <c r="AH30" i="1"/>
  <c r="AG30" i="1"/>
  <c r="AD30" i="1"/>
  <c r="CQ30" i="1" s="1"/>
  <c r="Y30" i="1"/>
  <c r="CH30" i="1" s="1"/>
  <c r="W30" i="1"/>
  <c r="M30" i="1"/>
  <c r="G30" i="1"/>
  <c r="F30" i="1"/>
  <c r="E30" i="1"/>
  <c r="DA29" i="1"/>
  <c r="CZ29" i="1"/>
  <c r="CY29" i="1"/>
  <c r="CW29" i="1"/>
  <c r="CV29" i="1"/>
  <c r="CN29" i="1"/>
  <c r="CM29" i="1"/>
  <c r="CL29" i="1"/>
  <c r="CH29" i="1"/>
  <c r="CG29" i="1"/>
  <c r="CF29" i="1"/>
  <c r="CE29" i="1"/>
  <c r="CD29" i="1"/>
  <c r="CC29" i="1"/>
  <c r="CB29" i="1"/>
  <c r="CA29" i="1"/>
  <c r="CI29" i="1" s="1"/>
  <c r="BW29" i="1"/>
  <c r="BV29" i="1"/>
  <c r="BU29" i="1"/>
  <c r="BT29" i="1"/>
  <c r="BS29" i="1"/>
  <c r="BI29" i="1"/>
  <c r="BB29" i="1"/>
  <c r="AR29" i="1"/>
  <c r="AD29" i="1"/>
  <c r="CK29" i="1" s="1"/>
  <c r="W29" i="1"/>
  <c r="M29" i="1"/>
  <c r="G29" i="1"/>
  <c r="F29" i="1"/>
  <c r="E29" i="1"/>
  <c r="DA28" i="1"/>
  <c r="CZ28" i="1"/>
  <c r="CY28" i="1"/>
  <c r="CW28" i="1"/>
  <c r="CV28" i="1"/>
  <c r="CM28" i="1"/>
  <c r="CL28" i="1"/>
  <c r="CH28" i="1"/>
  <c r="CG28" i="1"/>
  <c r="CF28" i="1"/>
  <c r="CE28" i="1"/>
  <c r="CD28" i="1"/>
  <c r="CC28" i="1"/>
  <c r="CB28" i="1"/>
  <c r="CA28" i="1"/>
  <c r="CI28" i="1" s="1"/>
  <c r="BW28" i="1"/>
  <c r="BV28" i="1"/>
  <c r="BU28" i="1"/>
  <c r="BT28" i="1"/>
  <c r="BS28" i="1"/>
  <c r="BI28" i="1"/>
  <c r="CK28" i="1" s="1"/>
  <c r="BB28" i="1"/>
  <c r="AR28" i="1"/>
  <c r="AD28" i="1"/>
  <c r="CR28" i="1" s="1"/>
  <c r="W28" i="1"/>
  <c r="M28" i="1"/>
  <c r="G28" i="1"/>
  <c r="F28" i="1"/>
  <c r="E28" i="1"/>
  <c r="DA27" i="1"/>
  <c r="CZ27" i="1"/>
  <c r="CY27" i="1"/>
  <c r="CW27" i="1"/>
  <c r="CV27" i="1"/>
  <c r="CR27" i="1"/>
  <c r="CI27" i="1"/>
  <c r="CH27" i="1"/>
  <c r="CG27" i="1"/>
  <c r="CF27" i="1"/>
  <c r="CE27" i="1"/>
  <c r="CD27" i="1"/>
  <c r="CC27" i="1"/>
  <c r="CB27" i="1"/>
  <c r="CA27" i="1"/>
  <c r="BW27" i="1"/>
  <c r="BV27" i="1"/>
  <c r="BU27" i="1"/>
  <c r="BT27" i="1"/>
  <c r="BS27" i="1"/>
  <c r="BI27" i="1"/>
  <c r="CQ27" i="1" s="1"/>
  <c r="BB27" i="1"/>
  <c r="AR27" i="1"/>
  <c r="AD27" i="1"/>
  <c r="CP27" i="1" s="1"/>
  <c r="W27" i="1"/>
  <c r="M27" i="1"/>
  <c r="G27" i="1"/>
  <c r="F27" i="1"/>
  <c r="E27" i="1"/>
  <c r="DA26" i="1"/>
  <c r="CZ26" i="1"/>
  <c r="CY26" i="1"/>
  <c r="CW26" i="1"/>
  <c r="CV26" i="1"/>
  <c r="CH26" i="1"/>
  <c r="CG26" i="1"/>
  <c r="CF26" i="1"/>
  <c r="BW26" i="1"/>
  <c r="BV26" i="1"/>
  <c r="BH26" i="1"/>
  <c r="BI26" i="1" s="1"/>
  <c r="BB26" i="1"/>
  <c r="AR26" i="1"/>
  <c r="AD26" i="1"/>
  <c r="AC26" i="1"/>
  <c r="AB26" i="1"/>
  <c r="AA26" i="1"/>
  <c r="BU26" i="1" s="1"/>
  <c r="Z26" i="1"/>
  <c r="BT26" i="1" s="1"/>
  <c r="Y26" i="1"/>
  <c r="CE26" i="1" s="1"/>
  <c r="W26" i="1"/>
  <c r="M26" i="1"/>
  <c r="G26" i="1"/>
  <c r="F26" i="1"/>
  <c r="E26" i="1"/>
  <c r="DA25" i="1"/>
  <c r="CZ25" i="1"/>
  <c r="CY25" i="1"/>
  <c r="CW25" i="1"/>
  <c r="CV25" i="1"/>
  <c r="BV25" i="1"/>
  <c r="BU25" i="1"/>
  <c r="BT25" i="1"/>
  <c r="BI25" i="1"/>
  <c r="BH25" i="1"/>
  <c r="BD25" i="1"/>
  <c r="BB25" i="1"/>
  <c r="AR25" i="1"/>
  <c r="AC25" i="1"/>
  <c r="BW25" i="1" s="1"/>
  <c r="Y25" i="1"/>
  <c r="CB25" i="1" s="1"/>
  <c r="W25" i="1"/>
  <c r="M25" i="1"/>
  <c r="G25" i="1"/>
  <c r="F25" i="1"/>
  <c r="E25" i="1"/>
  <c r="DA24" i="1"/>
  <c r="CZ24" i="1"/>
  <c r="CY24" i="1"/>
  <c r="CW24" i="1"/>
  <c r="CV24" i="1"/>
  <c r="CH24" i="1"/>
  <c r="CG24" i="1"/>
  <c r="CF24" i="1"/>
  <c r="CE24" i="1"/>
  <c r="CC24" i="1"/>
  <c r="CB24" i="1"/>
  <c r="CA24" i="1"/>
  <c r="BW24" i="1"/>
  <c r="BV24" i="1"/>
  <c r="BU24" i="1"/>
  <c r="BT24" i="1"/>
  <c r="BS24" i="1"/>
  <c r="BH24" i="1"/>
  <c r="BI24" i="1" s="1"/>
  <c r="BB24" i="1"/>
  <c r="AR24" i="1"/>
  <c r="AD24" i="1"/>
  <c r="AC24" i="1"/>
  <c r="Y24" i="1"/>
  <c r="CD24" i="1" s="1"/>
  <c r="W24" i="1"/>
  <c r="M24" i="1"/>
  <c r="G24" i="1"/>
  <c r="F24" i="1"/>
  <c r="E24" i="1"/>
  <c r="DA23" i="1"/>
  <c r="CZ23" i="1"/>
  <c r="CY23" i="1"/>
  <c r="CW23" i="1"/>
  <c r="CV23" i="1"/>
  <c r="CH23" i="1"/>
  <c r="CG23" i="1"/>
  <c r="CF23" i="1"/>
  <c r="CE23" i="1"/>
  <c r="CD23" i="1"/>
  <c r="CC23" i="1"/>
  <c r="CB23" i="1"/>
  <c r="CA23" i="1"/>
  <c r="CI23" i="1" s="1"/>
  <c r="BV23" i="1"/>
  <c r="BU23" i="1"/>
  <c r="BT23" i="1"/>
  <c r="BS23" i="1"/>
  <c r="BH23" i="1"/>
  <c r="BW23" i="1" s="1"/>
  <c r="BB23" i="1"/>
  <c r="AR23" i="1"/>
  <c r="AC23" i="1"/>
  <c r="AD23" i="1" s="1"/>
  <c r="W23" i="1"/>
  <c r="M23" i="1"/>
  <c r="G23" i="1"/>
  <c r="F23" i="1"/>
  <c r="E23" i="1"/>
  <c r="DA22" i="1"/>
  <c r="CZ22" i="1"/>
  <c r="CY22" i="1"/>
  <c r="CW22" i="1"/>
  <c r="CV22" i="1"/>
  <c r="BV22" i="1"/>
  <c r="BU22" i="1"/>
  <c r="BT22" i="1"/>
  <c r="BH22" i="1"/>
  <c r="BW22" i="1" s="1"/>
  <c r="BD22" i="1"/>
  <c r="CG22" i="1" s="1"/>
  <c r="BB22" i="1"/>
  <c r="AR22" i="1"/>
  <c r="AC22" i="1"/>
  <c r="Y22" i="1"/>
  <c r="CF22" i="1" s="1"/>
  <c r="W22" i="1"/>
  <c r="M22" i="1"/>
  <c r="G22" i="1"/>
  <c r="F22" i="1"/>
  <c r="E22" i="1"/>
  <c r="DA21" i="1"/>
  <c r="CZ21" i="1"/>
  <c r="CY21" i="1"/>
  <c r="CW21" i="1"/>
  <c r="CV21" i="1"/>
  <c r="CC21" i="1"/>
  <c r="BV21" i="1"/>
  <c r="BU21" i="1"/>
  <c r="BT21" i="1"/>
  <c r="BS21" i="1"/>
  <c r="BI21" i="1"/>
  <c r="BH21" i="1"/>
  <c r="BB21" i="1"/>
  <c r="AR21" i="1"/>
  <c r="AC21" i="1"/>
  <c r="BW21" i="1" s="1"/>
  <c r="Y21" i="1"/>
  <c r="CB21" i="1" s="1"/>
  <c r="W21" i="1"/>
  <c r="M21" i="1"/>
  <c r="G21" i="1"/>
  <c r="F21" i="1"/>
  <c r="E21" i="1"/>
  <c r="DA20" i="1"/>
  <c r="CZ20" i="1"/>
  <c r="CY20" i="1"/>
  <c r="CW20" i="1"/>
  <c r="CV20" i="1"/>
  <c r="CH20" i="1"/>
  <c r="CG20" i="1"/>
  <c r="CF20" i="1"/>
  <c r="CE20" i="1"/>
  <c r="CD20" i="1"/>
  <c r="CC20" i="1"/>
  <c r="CB20" i="1"/>
  <c r="CA20" i="1"/>
  <c r="CI20" i="1" s="1"/>
  <c r="BV20" i="1"/>
  <c r="BU20" i="1"/>
  <c r="BT20" i="1"/>
  <c r="BS20" i="1"/>
  <c r="BI20" i="1"/>
  <c r="BH20" i="1"/>
  <c r="BB20" i="1"/>
  <c r="AR20" i="1"/>
  <c r="AC20" i="1"/>
  <c r="BW20" i="1" s="1"/>
  <c r="W20" i="1"/>
  <c r="M20" i="1"/>
  <c r="G20" i="1"/>
  <c r="F20" i="1"/>
  <c r="E20" i="1"/>
  <c r="DA19" i="1"/>
  <c r="CZ19" i="1"/>
  <c r="CY19" i="1"/>
  <c r="CW19" i="1"/>
  <c r="CV19" i="1"/>
  <c r="CH19" i="1"/>
  <c r="CG19" i="1"/>
  <c r="CF19" i="1"/>
  <c r="CE19" i="1"/>
  <c r="CD19" i="1"/>
  <c r="CC19" i="1"/>
  <c r="CB19" i="1"/>
  <c r="CA19" i="1"/>
  <c r="CI19" i="1" s="1"/>
  <c r="BV19" i="1"/>
  <c r="BU19" i="1"/>
  <c r="BT19" i="1"/>
  <c r="BS19" i="1"/>
  <c r="BH19" i="1"/>
  <c r="BI19" i="1" s="1"/>
  <c r="BB19" i="1"/>
  <c r="AR19" i="1"/>
  <c r="AC19" i="1"/>
  <c r="AD19" i="1" s="1"/>
  <c r="W19" i="1"/>
  <c r="M19" i="1"/>
  <c r="G19" i="1"/>
  <c r="F19" i="1"/>
  <c r="E19" i="1"/>
  <c r="DA18" i="1"/>
  <c r="CZ18" i="1"/>
  <c r="CY18" i="1"/>
  <c r="CW18" i="1"/>
  <c r="CV18" i="1"/>
  <c r="CH18" i="1"/>
  <c r="CG18" i="1"/>
  <c r="CF18" i="1"/>
  <c r="CE18" i="1"/>
  <c r="CI18" i="1" s="1"/>
  <c r="CD18" i="1"/>
  <c r="CC18" i="1"/>
  <c r="CB18" i="1"/>
  <c r="CA18" i="1"/>
  <c r="BW18" i="1"/>
  <c r="BV18" i="1"/>
  <c r="BU18" i="1"/>
  <c r="BT18" i="1"/>
  <c r="BS18" i="1"/>
  <c r="BH18" i="1"/>
  <c r="BI18" i="1" s="1"/>
  <c r="BB18" i="1"/>
  <c r="AR18" i="1"/>
  <c r="AD18" i="1"/>
  <c r="CN18" i="1" s="1"/>
  <c r="AC18" i="1"/>
  <c r="W18" i="1"/>
  <c r="M18" i="1"/>
  <c r="G18" i="1"/>
  <c r="F18" i="1"/>
  <c r="E18" i="1"/>
  <c r="DA17" i="1"/>
  <c r="CZ17" i="1"/>
  <c r="CW17" i="1"/>
  <c r="CV17" i="1"/>
  <c r="CH17" i="1"/>
  <c r="CG17" i="1"/>
  <c r="CF17" i="1"/>
  <c r="CE17" i="1"/>
  <c r="CD17" i="1"/>
  <c r="CC17" i="1"/>
  <c r="CB17" i="1"/>
  <c r="CA17" i="1"/>
  <c r="CI17" i="1" s="1"/>
  <c r="BW17" i="1"/>
  <c r="BV17" i="1"/>
  <c r="BU17" i="1"/>
  <c r="BT17" i="1"/>
  <c r="BS17" i="1"/>
  <c r="BH17" i="1"/>
  <c r="BI17" i="1" s="1"/>
  <c r="BB17" i="1"/>
  <c r="AR17" i="1"/>
  <c r="AJ17" i="1"/>
  <c r="CY17" i="1" s="1"/>
  <c r="AD17" i="1"/>
  <c r="AC17" i="1"/>
  <c r="W17" i="1"/>
  <c r="M17" i="1"/>
  <c r="G17" i="1"/>
  <c r="F17" i="1"/>
  <c r="E17" i="1"/>
  <c r="DA16" i="1"/>
  <c r="CZ16" i="1"/>
  <c r="CW16" i="1"/>
  <c r="CV16" i="1"/>
  <c r="CH16" i="1"/>
  <c r="CG16" i="1"/>
  <c r="CF16" i="1"/>
  <c r="CE16" i="1"/>
  <c r="CD16" i="1"/>
  <c r="CC16" i="1"/>
  <c r="CB16" i="1"/>
  <c r="CA16" i="1"/>
  <c r="CI16" i="1" s="1"/>
  <c r="BV16" i="1"/>
  <c r="BU16" i="1"/>
  <c r="BT16" i="1"/>
  <c r="BS16" i="1"/>
  <c r="BH16" i="1"/>
  <c r="BW16" i="1" s="1"/>
  <c r="BB16" i="1"/>
  <c r="AR16" i="1"/>
  <c r="AJ16" i="1"/>
  <c r="CY16" i="1" s="1"/>
  <c r="AC16" i="1"/>
  <c r="AD16" i="1" s="1"/>
  <c r="W16" i="1"/>
  <c r="M16" i="1"/>
  <c r="G16" i="1"/>
  <c r="F16" i="1"/>
  <c r="E16" i="1"/>
  <c r="DA15" i="1"/>
  <c r="CZ15" i="1"/>
  <c r="CY15" i="1"/>
  <c r="CW15" i="1"/>
  <c r="CV15" i="1"/>
  <c r="CH15" i="1"/>
  <c r="CG15" i="1"/>
  <c r="CF15" i="1"/>
  <c r="CE15" i="1"/>
  <c r="CD15" i="1"/>
  <c r="CC15" i="1"/>
  <c r="CB15" i="1"/>
  <c r="CA15" i="1"/>
  <c r="CI15" i="1" s="1"/>
  <c r="BV15" i="1"/>
  <c r="BU15" i="1"/>
  <c r="BT15" i="1"/>
  <c r="BS15" i="1"/>
  <c r="BI15" i="1"/>
  <c r="BH15" i="1"/>
  <c r="BB15" i="1"/>
  <c r="AR15" i="1"/>
  <c r="AC15" i="1"/>
  <c r="BW15" i="1" s="1"/>
  <c r="W15" i="1"/>
  <c r="M15" i="1"/>
  <c r="G15" i="1"/>
  <c r="F15" i="1"/>
  <c r="E15" i="1"/>
  <c r="DA14" i="1"/>
  <c r="CZ14" i="1"/>
  <c r="CY14" i="1"/>
  <c r="CW14" i="1"/>
  <c r="CV14" i="1"/>
  <c r="CG14" i="1"/>
  <c r="CF14" i="1"/>
  <c r="CE14" i="1"/>
  <c r="CD14" i="1"/>
  <c r="CC14" i="1"/>
  <c r="CB14" i="1"/>
  <c r="CA14" i="1"/>
  <c r="CI14" i="1" s="1"/>
  <c r="BV14" i="1"/>
  <c r="BU14" i="1"/>
  <c r="BT14" i="1"/>
  <c r="BS14" i="1"/>
  <c r="BI14" i="1"/>
  <c r="BH14" i="1"/>
  <c r="BD14" i="1"/>
  <c r="CH14" i="1" s="1"/>
  <c r="BB14" i="1"/>
  <c r="AR14" i="1"/>
  <c r="AC14" i="1"/>
  <c r="AD14" i="1" s="1"/>
  <c r="W14" i="1"/>
  <c r="M14" i="1"/>
  <c r="G14" i="1"/>
  <c r="F14" i="1"/>
  <c r="E14" i="1"/>
  <c r="DA13" i="1"/>
  <c r="CY13" i="1"/>
  <c r="CW13" i="1"/>
  <c r="CV13" i="1"/>
  <c r="CH13" i="1"/>
  <c r="CG13" i="1"/>
  <c r="CF13" i="1"/>
  <c r="CE13" i="1"/>
  <c r="CD13" i="1"/>
  <c r="CC13" i="1"/>
  <c r="CB13" i="1"/>
  <c r="CA13" i="1"/>
  <c r="CI13" i="1" s="1"/>
  <c r="BV13" i="1"/>
  <c r="BU13" i="1"/>
  <c r="BT13" i="1"/>
  <c r="BS13" i="1"/>
  <c r="BH13" i="1"/>
  <c r="BI13" i="1" s="1"/>
  <c r="BB13" i="1"/>
  <c r="BP13" i="1" s="1"/>
  <c r="CZ13" i="1" s="1"/>
  <c r="AR13" i="1"/>
  <c r="AD13" i="1"/>
  <c r="CM13" i="1" s="1"/>
  <c r="AC13" i="1"/>
  <c r="BW13" i="1" s="1"/>
  <c r="W13" i="1"/>
  <c r="M13" i="1"/>
  <c r="G13" i="1"/>
  <c r="F13" i="1"/>
  <c r="E13" i="1"/>
  <c r="DA12" i="1"/>
  <c r="CY12" i="1"/>
  <c r="CW12" i="1"/>
  <c r="CV12" i="1"/>
  <c r="CH12" i="1"/>
  <c r="CG12" i="1"/>
  <c r="CF12" i="1"/>
  <c r="CE12" i="1"/>
  <c r="CD12" i="1"/>
  <c r="CC12" i="1"/>
  <c r="CB12" i="1"/>
  <c r="CA12" i="1"/>
  <c r="CI12" i="1" s="1"/>
  <c r="BW12" i="1"/>
  <c r="BV12" i="1"/>
  <c r="BU12" i="1"/>
  <c r="BT12" i="1"/>
  <c r="BS12" i="1"/>
  <c r="BH12" i="1"/>
  <c r="BI12" i="1" s="1"/>
  <c r="BB12" i="1"/>
  <c r="BP12" i="1" s="1"/>
  <c r="CZ12" i="1" s="1"/>
  <c r="AR12" i="1"/>
  <c r="AD12" i="1"/>
  <c r="AC12" i="1"/>
  <c r="W12" i="1"/>
  <c r="M12" i="1"/>
  <c r="G12" i="1"/>
  <c r="F12" i="1"/>
  <c r="E12" i="1"/>
  <c r="DA11" i="1"/>
  <c r="CZ11" i="1"/>
  <c r="CY11" i="1"/>
  <c r="CW11" i="1"/>
  <c r="CV11" i="1"/>
  <c r="CQ11" i="1"/>
  <c r="CH11" i="1"/>
  <c r="CG11" i="1"/>
  <c r="CD11" i="1"/>
  <c r="CC11" i="1"/>
  <c r="CB11" i="1"/>
  <c r="CA11" i="1"/>
  <c r="BX11" i="1"/>
  <c r="BW11" i="1"/>
  <c r="BV11" i="1"/>
  <c r="BU11" i="1"/>
  <c r="BT11" i="1"/>
  <c r="BS11" i="1"/>
  <c r="BI11" i="1"/>
  <c r="BB11" i="1"/>
  <c r="AR11" i="1"/>
  <c r="AD11" i="1"/>
  <c r="CP11" i="1" s="1"/>
  <c r="Y11" i="1"/>
  <c r="CF11" i="1" s="1"/>
  <c r="W11" i="1"/>
  <c r="M11" i="1"/>
  <c r="G11" i="1"/>
  <c r="F11" i="1"/>
  <c r="E11" i="1"/>
  <c r="DA10" i="1"/>
  <c r="CZ10" i="1"/>
  <c r="CY10" i="1"/>
  <c r="CW10" i="1"/>
  <c r="CV10" i="1"/>
  <c r="CQ10" i="1"/>
  <c r="CH10" i="1"/>
  <c r="CG10" i="1"/>
  <c r="CI10" i="1" s="1"/>
  <c r="CF10" i="1"/>
  <c r="CE10" i="1"/>
  <c r="CD10" i="1"/>
  <c r="CC10" i="1"/>
  <c r="CB10" i="1"/>
  <c r="CA10" i="1"/>
  <c r="BX10" i="1"/>
  <c r="BW10" i="1"/>
  <c r="BV10" i="1"/>
  <c r="BU10" i="1"/>
  <c r="BT10" i="1"/>
  <c r="BS10" i="1"/>
  <c r="BI10" i="1"/>
  <c r="BB10" i="1"/>
  <c r="AR10" i="1"/>
  <c r="AD10" i="1"/>
  <c r="CP10" i="1" s="1"/>
  <c r="W10" i="1"/>
  <c r="M10" i="1"/>
  <c r="G10" i="1"/>
  <c r="F10" i="1"/>
  <c r="E10" i="1"/>
  <c r="DA9" i="1"/>
  <c r="CZ9" i="1"/>
  <c r="CY9" i="1"/>
  <c r="CQ9" i="1"/>
  <c r="CP9" i="1"/>
  <c r="CO9" i="1"/>
  <c r="CN9" i="1"/>
  <c r="CH9" i="1"/>
  <c r="CG9" i="1"/>
  <c r="CF9" i="1"/>
  <c r="CE9" i="1"/>
  <c r="CD9" i="1"/>
  <c r="CB9" i="1"/>
  <c r="CA9" i="1"/>
  <c r="CI9" i="1" s="1"/>
  <c r="BX9" i="1"/>
  <c r="BW9" i="1"/>
  <c r="BV9" i="1"/>
  <c r="BU9" i="1"/>
  <c r="BT9" i="1"/>
  <c r="BM9" i="1"/>
  <c r="BI9" i="1"/>
  <c r="CK9" i="1" s="1"/>
  <c r="BB9" i="1"/>
  <c r="AR9" i="1"/>
  <c r="AH9" i="1"/>
  <c r="CW9" i="1" s="1"/>
  <c r="AG9" i="1"/>
  <c r="CV9" i="1" s="1"/>
  <c r="AD9" i="1"/>
  <c r="CM9" i="1" s="1"/>
  <c r="Y9" i="1"/>
  <c r="CC9" i="1" s="1"/>
  <c r="W9" i="1"/>
  <c r="M9" i="1"/>
  <c r="G9" i="1"/>
  <c r="F9" i="1"/>
  <c r="E9" i="1"/>
  <c r="DA8" i="1"/>
  <c r="CZ8" i="1"/>
  <c r="CY8" i="1"/>
  <c r="CV8" i="1"/>
  <c r="CI8" i="1"/>
  <c r="CH8" i="1"/>
  <c r="CG8" i="1"/>
  <c r="CF8" i="1"/>
  <c r="CE8" i="1"/>
  <c r="CD8" i="1"/>
  <c r="CC8" i="1"/>
  <c r="CB8" i="1"/>
  <c r="CA8" i="1"/>
  <c r="BW8" i="1"/>
  <c r="BV8" i="1"/>
  <c r="BU8" i="1"/>
  <c r="BT8" i="1"/>
  <c r="BS8" i="1"/>
  <c r="AH8" i="1"/>
  <c r="CW8" i="1" s="1"/>
  <c r="AD8" i="1"/>
  <c r="CQ8" i="1" s="1"/>
  <c r="W8" i="1"/>
  <c r="M8" i="1"/>
  <c r="G8" i="1"/>
  <c r="F8" i="1"/>
  <c r="E8" i="1"/>
  <c r="DA7" i="1"/>
  <c r="CZ7" i="1"/>
  <c r="CY7" i="1"/>
  <c r="CV7" i="1"/>
  <c r="CO7" i="1"/>
  <c r="CH7" i="1"/>
  <c r="CG7" i="1"/>
  <c r="CF7" i="1"/>
  <c r="CE7" i="1"/>
  <c r="CD7" i="1"/>
  <c r="CC7" i="1"/>
  <c r="CB7" i="1"/>
  <c r="CA7" i="1"/>
  <c r="CI7" i="1" s="1"/>
  <c r="BW7" i="1"/>
  <c r="BV7" i="1"/>
  <c r="BU7" i="1"/>
  <c r="BT7" i="1"/>
  <c r="BS7" i="1"/>
  <c r="BM7" i="1"/>
  <c r="BI7" i="1"/>
  <c r="BB7" i="1"/>
  <c r="AR7" i="1"/>
  <c r="AH7" i="1"/>
  <c r="CW7" i="1" s="1"/>
  <c r="AD7" i="1"/>
  <c r="CN7" i="1" s="1"/>
  <c r="W7" i="1"/>
  <c r="BB571" i="1" s="1"/>
  <c r="M7" i="1"/>
  <c r="G7" i="1"/>
  <c r="F7" i="1"/>
  <c r="E7" i="1"/>
  <c r="W6" i="1"/>
  <c r="BA2" i="1"/>
  <c r="AY2" i="1"/>
  <c r="AX2" i="1"/>
  <c r="AG2" i="1"/>
  <c r="CQ26" i="1" l="1"/>
  <c r="BX26" i="1"/>
  <c r="CP26" i="1"/>
  <c r="CK14" i="1"/>
  <c r="CR14" i="1"/>
  <c r="CO14" i="1"/>
  <c r="CQ14" i="1"/>
  <c r="BX14" i="1"/>
  <c r="CN14" i="1"/>
  <c r="CP14" i="1"/>
  <c r="CM14" i="1"/>
  <c r="CL14" i="1"/>
  <c r="CM19" i="1"/>
  <c r="CL19" i="1"/>
  <c r="CK19" i="1"/>
  <c r="CR19" i="1"/>
  <c r="CQ19" i="1"/>
  <c r="CO19" i="1"/>
  <c r="CN19" i="1"/>
  <c r="BX19" i="1"/>
  <c r="CP19" i="1"/>
  <c r="CO48" i="1"/>
  <c r="CM50" i="1"/>
  <c r="CW80" i="1"/>
  <c r="CO12" i="1"/>
  <c r="CL12" i="1"/>
  <c r="CR12" i="1"/>
  <c r="CK12" i="1"/>
  <c r="CQ12" i="1"/>
  <c r="BX12" i="1"/>
  <c r="CP12" i="1"/>
  <c r="CS83" i="1"/>
  <c r="CT83" i="1" s="1"/>
  <c r="CN17" i="1"/>
  <c r="CN24" i="1"/>
  <c r="CW82" i="1"/>
  <c r="CI24" i="1"/>
  <c r="CW79" i="1"/>
  <c r="CN12" i="1"/>
  <c r="CO26" i="1"/>
  <c r="CN49" i="1"/>
  <c r="CP17" i="1"/>
  <c r="CO17" i="1"/>
  <c r="BX23" i="1"/>
  <c r="CM16" i="1"/>
  <c r="CS77" i="1"/>
  <c r="CT77" i="1" s="1"/>
  <c r="CN13" i="1"/>
  <c r="CK30" i="1"/>
  <c r="CO32" i="1"/>
  <c r="CK34" i="1"/>
  <c r="CO36" i="1"/>
  <c r="CP37" i="1"/>
  <c r="CM43" i="1"/>
  <c r="CO44" i="1"/>
  <c r="CP45" i="1"/>
  <c r="CR46" i="1"/>
  <c r="CO49" i="1"/>
  <c r="CN50" i="1"/>
  <c r="CP51" i="1"/>
  <c r="CN54" i="1"/>
  <c r="CP55" i="1"/>
  <c r="CR57" i="1"/>
  <c r="CK58" i="1"/>
  <c r="CA63" i="1"/>
  <c r="CP65" i="1"/>
  <c r="AD66" i="1"/>
  <c r="CF66" i="1"/>
  <c r="CE67" i="1"/>
  <c r="CA69" i="1"/>
  <c r="CP71" i="1"/>
  <c r="AD72" i="1"/>
  <c r="CF72" i="1"/>
  <c r="CA73" i="1"/>
  <c r="CI73" i="1" s="1"/>
  <c r="CA74" i="1"/>
  <c r="CA75" i="1"/>
  <c r="CA76" i="1"/>
  <c r="CL79" i="1"/>
  <c r="CS79" i="1" s="1"/>
  <c r="CT79" i="1" s="1"/>
  <c r="BX80" i="1"/>
  <c r="CQ80" i="1"/>
  <c r="AH81" i="1"/>
  <c r="CW81" i="1" s="1"/>
  <c r="CN81" i="1"/>
  <c r="CK82" i="1"/>
  <c r="CL83" i="1"/>
  <c r="CL85" i="1"/>
  <c r="CS85" i="1" s="1"/>
  <c r="CT85" i="1" s="1"/>
  <c r="CD86" i="1"/>
  <c r="CI86" i="1" s="1"/>
  <c r="CM86" i="1"/>
  <c r="CE88" i="1"/>
  <c r="BX89" i="1"/>
  <c r="CQ89" i="1"/>
  <c r="CS89" i="1" s="1"/>
  <c r="CT89" i="1" s="1"/>
  <c r="CL90" i="1"/>
  <c r="CS90" i="1" s="1"/>
  <c r="CT90" i="1" s="1"/>
  <c r="CO91" i="1"/>
  <c r="CR92" i="1"/>
  <c r="CL93" i="1"/>
  <c r="CS93" i="1" s="1"/>
  <c r="CT93" i="1" s="1"/>
  <c r="CN94" i="1"/>
  <c r="CP95" i="1"/>
  <c r="CR96" i="1"/>
  <c r="CL97" i="1"/>
  <c r="CS97" i="1" s="1"/>
  <c r="CT97" i="1" s="1"/>
  <c r="CP98" i="1"/>
  <c r="AD99" i="1"/>
  <c r="BI100" i="1"/>
  <c r="CK100" i="1"/>
  <c r="CM101" i="1"/>
  <c r="CO102" i="1"/>
  <c r="BX103" i="1"/>
  <c r="CQ103" i="1"/>
  <c r="BX104" i="1"/>
  <c r="CQ104" i="1"/>
  <c r="CK105" i="1"/>
  <c r="CS105" i="1" s="1"/>
  <c r="CT105" i="1" s="1"/>
  <c r="CM106" i="1"/>
  <c r="CS106" i="1" s="1"/>
  <c r="CT106" i="1" s="1"/>
  <c r="CM108" i="1"/>
  <c r="CP111" i="1"/>
  <c r="CQ113" i="1"/>
  <c r="AD114" i="1"/>
  <c r="CH114" i="1"/>
  <c r="CR115" i="1"/>
  <c r="CP115" i="1"/>
  <c r="CO115" i="1"/>
  <c r="CL118" i="1"/>
  <c r="CL119" i="1"/>
  <c r="CS119" i="1" s="1"/>
  <c r="CT119" i="1" s="1"/>
  <c r="CM120" i="1"/>
  <c r="CP121" i="1"/>
  <c r="CP122" i="1"/>
  <c r="CR122" i="1"/>
  <c r="CP123" i="1"/>
  <c r="AD125" i="1"/>
  <c r="CH125" i="1"/>
  <c r="CA126" i="1"/>
  <c r="CK127" i="1"/>
  <c r="CK129" i="1"/>
  <c r="CS129" i="1" s="1"/>
  <c r="CT129" i="1" s="1"/>
  <c r="CQ129" i="1"/>
  <c r="BX129" i="1"/>
  <c r="CM129" i="1"/>
  <c r="CL132" i="1"/>
  <c r="CR134" i="1"/>
  <c r="CQ134" i="1"/>
  <c r="BX134" i="1"/>
  <c r="CP134" i="1"/>
  <c r="CO134" i="1"/>
  <c r="CN134" i="1"/>
  <c r="CL134" i="1"/>
  <c r="CS134" i="1" s="1"/>
  <c r="CT134" i="1" s="1"/>
  <c r="CP182" i="1"/>
  <c r="CN182" i="1"/>
  <c r="CI189" i="1"/>
  <c r="CI216" i="1"/>
  <c r="CR11" i="1"/>
  <c r="CN43" i="1"/>
  <c r="CP44" i="1"/>
  <c r="CK46" i="1"/>
  <c r="CO50" i="1"/>
  <c r="CK57" i="1"/>
  <c r="BI63" i="1"/>
  <c r="CB63" i="1"/>
  <c r="CA64" i="1"/>
  <c r="BX65" i="1"/>
  <c r="CQ65" i="1"/>
  <c r="CG66" i="1"/>
  <c r="AD67" i="1"/>
  <c r="CF67" i="1"/>
  <c r="CE68" i="1"/>
  <c r="BI69" i="1"/>
  <c r="CP69" i="1" s="1"/>
  <c r="CB69" i="1"/>
  <c r="CA70" i="1"/>
  <c r="CI70" i="1" s="1"/>
  <c r="BX71" i="1"/>
  <c r="CQ71" i="1"/>
  <c r="CG72" i="1"/>
  <c r="AD73" i="1"/>
  <c r="CB73" i="1"/>
  <c r="BI74" i="1"/>
  <c r="CB74" i="1"/>
  <c r="BI75" i="1"/>
  <c r="CB75" i="1"/>
  <c r="CB76" i="1"/>
  <c r="CO77" i="1"/>
  <c r="CO78" i="1"/>
  <c r="CS78" i="1" s="1"/>
  <c r="CT78" i="1" s="1"/>
  <c r="CM79" i="1"/>
  <c r="CV79" i="1"/>
  <c r="CR80" i="1"/>
  <c r="CO81" i="1"/>
  <c r="CL82" i="1"/>
  <c r="CM83" i="1"/>
  <c r="CK84" i="1"/>
  <c r="CS84" i="1" s="1"/>
  <c r="CT84" i="1" s="1"/>
  <c r="CM85" i="1"/>
  <c r="CE86" i="1"/>
  <c r="CN86" i="1"/>
  <c r="CF88" i="1"/>
  <c r="CR89" i="1"/>
  <c r="CM90" i="1"/>
  <c r="CK92" i="1"/>
  <c r="CM93" i="1"/>
  <c r="CO94" i="1"/>
  <c r="BX95" i="1"/>
  <c r="CK96" i="1"/>
  <c r="CM97" i="1"/>
  <c r="BX98" i="1"/>
  <c r="CQ98" i="1"/>
  <c r="CL100" i="1"/>
  <c r="CN101" i="1"/>
  <c r="CR103" i="1"/>
  <c r="CR104" i="1"/>
  <c r="CL105" i="1"/>
  <c r="CO106" i="1"/>
  <c r="CN106" i="1"/>
  <c r="CK107" i="1"/>
  <c r="CN108" i="1"/>
  <c r="CS109" i="1"/>
  <c r="CT109" i="1" s="1"/>
  <c r="CQ109" i="1"/>
  <c r="CK110" i="1"/>
  <c r="CN111" i="1"/>
  <c r="CQ111" i="1"/>
  <c r="CK117" i="1"/>
  <c r="CS117" i="1" s="1"/>
  <c r="CT117" i="1" s="1"/>
  <c r="CQ117" i="1"/>
  <c r="BX117" i="1"/>
  <c r="CP117" i="1"/>
  <c r="CN118" i="1"/>
  <c r="CO120" i="1"/>
  <c r="BX122" i="1"/>
  <c r="CA124" i="1"/>
  <c r="CK128" i="1"/>
  <c r="CM139" i="1"/>
  <c r="CL139" i="1"/>
  <c r="CK139" i="1"/>
  <c r="CR139" i="1"/>
  <c r="CQ139" i="1"/>
  <c r="BX139" i="1"/>
  <c r="CP139" i="1"/>
  <c r="CO139" i="1"/>
  <c r="CI150" i="1"/>
  <c r="CS203" i="1"/>
  <c r="CT203" i="1" s="1"/>
  <c r="CI307" i="1"/>
  <c r="BX7" i="1"/>
  <c r="CQ7" i="1"/>
  <c r="CL8" i="1"/>
  <c r="BX18" i="1"/>
  <c r="CQ18" i="1"/>
  <c r="BW19" i="1"/>
  <c r="AD20" i="1"/>
  <c r="CE21" i="1"/>
  <c r="BI22" i="1"/>
  <c r="CB22" i="1"/>
  <c r="BI23" i="1"/>
  <c r="CM23" i="1" s="1"/>
  <c r="BX24" i="1"/>
  <c r="CQ24" i="1"/>
  <c r="AD25" i="1"/>
  <c r="CE25" i="1"/>
  <c r="CA26" i="1"/>
  <c r="CR26" i="1"/>
  <c r="CL27" i="1"/>
  <c r="CN28" i="1"/>
  <c r="CS28" i="1" s="1"/>
  <c r="CT28" i="1" s="1"/>
  <c r="CO29" i="1"/>
  <c r="CS29" i="1" s="1"/>
  <c r="CT29" i="1" s="1"/>
  <c r="CD30" i="1"/>
  <c r="CI30" i="1" s="1"/>
  <c r="CM30" i="1"/>
  <c r="CO31" i="1"/>
  <c r="BX32" i="1"/>
  <c r="CQ32" i="1"/>
  <c r="CK33" i="1"/>
  <c r="CM34" i="1"/>
  <c r="CO35" i="1"/>
  <c r="BX36" i="1"/>
  <c r="CQ36" i="1"/>
  <c r="CR37" i="1"/>
  <c r="CK38" i="1"/>
  <c r="CK39" i="1"/>
  <c r="CO42" i="1"/>
  <c r="CO43" i="1"/>
  <c r="BX44" i="1"/>
  <c r="CQ44" i="1"/>
  <c r="CR45" i="1"/>
  <c r="CL46" i="1"/>
  <c r="BI48" i="1"/>
  <c r="CL48" i="1" s="1"/>
  <c r="BX49" i="1"/>
  <c r="CQ49" i="1"/>
  <c r="CG50" i="1"/>
  <c r="CP50" i="1"/>
  <c r="CR51" i="1"/>
  <c r="CK52" i="1"/>
  <c r="BX53" i="1"/>
  <c r="CQ53" i="1"/>
  <c r="CG54" i="1"/>
  <c r="CP54" i="1"/>
  <c r="CR55" i="1"/>
  <c r="CK56" i="1"/>
  <c r="CL57" i="1"/>
  <c r="CM58" i="1"/>
  <c r="CD59" i="1"/>
  <c r="CI59" i="1" s="1"/>
  <c r="CD60" i="1"/>
  <c r="CI60" i="1" s="1"/>
  <c r="CD61" i="1"/>
  <c r="CI61" i="1" s="1"/>
  <c r="CD62" i="1"/>
  <c r="CI62" i="1" s="1"/>
  <c r="BS63" i="1"/>
  <c r="CC63" i="1"/>
  <c r="BI64" i="1"/>
  <c r="CB64" i="1"/>
  <c r="CA65" i="1"/>
  <c r="CR65" i="1"/>
  <c r="CH66" i="1"/>
  <c r="CG67" i="1"/>
  <c r="AD68" i="1"/>
  <c r="CF68" i="1"/>
  <c r="BS69" i="1"/>
  <c r="CL69" i="1"/>
  <c r="BI70" i="1"/>
  <c r="CO70" i="1" s="1"/>
  <c r="CB70" i="1"/>
  <c r="CA71" i="1"/>
  <c r="CI71" i="1" s="1"/>
  <c r="CR71" i="1"/>
  <c r="CH72" i="1"/>
  <c r="BS73" i="1"/>
  <c r="CC73" i="1"/>
  <c r="BS74" i="1"/>
  <c r="CC74" i="1"/>
  <c r="BS75" i="1"/>
  <c r="CC75" i="1"/>
  <c r="BS76" i="1"/>
  <c r="CC76" i="1"/>
  <c r="CP77" i="1"/>
  <c r="CP78" i="1"/>
  <c r="CN79" i="1"/>
  <c r="CK80" i="1"/>
  <c r="CP81" i="1"/>
  <c r="CM82" i="1"/>
  <c r="CN83" i="1"/>
  <c r="CN85" i="1"/>
  <c r="CF86" i="1"/>
  <c r="CO86" i="1"/>
  <c r="CG88" i="1"/>
  <c r="CN90" i="1"/>
  <c r="BX91" i="1"/>
  <c r="CQ91" i="1"/>
  <c r="CL92" i="1"/>
  <c r="CN93" i="1"/>
  <c r="CP94" i="1"/>
  <c r="CR95" i="1"/>
  <c r="CL96" i="1"/>
  <c r="CN97" i="1"/>
  <c r="CR98" i="1"/>
  <c r="CM100" i="1"/>
  <c r="CO101" i="1"/>
  <c r="BX102" i="1"/>
  <c r="CQ102" i="1"/>
  <c r="CK103" i="1"/>
  <c r="CS103" i="1" s="1"/>
  <c r="CT103" i="1" s="1"/>
  <c r="CK104" i="1"/>
  <c r="CM105" i="1"/>
  <c r="CP106" i="1"/>
  <c r="CL107" i="1"/>
  <c r="BX111" i="1"/>
  <c r="CR111" i="1"/>
  <c r="CN113" i="1"/>
  <c r="CL113" i="1"/>
  <c r="CS113" i="1" s="1"/>
  <c r="CT113" i="1" s="1"/>
  <c r="BX113" i="1"/>
  <c r="CK116" i="1"/>
  <c r="CP120" i="1"/>
  <c r="CK121" i="1"/>
  <c r="CQ121" i="1"/>
  <c r="BX121" i="1"/>
  <c r="CL123" i="1"/>
  <c r="CS123" i="1" s="1"/>
  <c r="CT123" i="1" s="1"/>
  <c r="CR123" i="1"/>
  <c r="CB124" i="1"/>
  <c r="CL128" i="1"/>
  <c r="CL130" i="1"/>
  <c r="CK130" i="1"/>
  <c r="CR130" i="1"/>
  <c r="CN130" i="1"/>
  <c r="CM131" i="1"/>
  <c r="CL131" i="1"/>
  <c r="CK131" i="1"/>
  <c r="CO131" i="1"/>
  <c r="CS216" i="1"/>
  <c r="CT216" i="1" s="1"/>
  <c r="BS25" i="1"/>
  <c r="CC25" i="1"/>
  <c r="CP7" i="1"/>
  <c r="CK8" i="1"/>
  <c r="CR10" i="1"/>
  <c r="CP18" i="1"/>
  <c r="CA22" i="1"/>
  <c r="CP24" i="1"/>
  <c r="CD25" i="1"/>
  <c r="CL11" i="1"/>
  <c r="AD21" i="1"/>
  <c r="CF21" i="1"/>
  <c r="BS22" i="1"/>
  <c r="CC22" i="1"/>
  <c r="CK37" i="1"/>
  <c r="CL39" i="1"/>
  <c r="CP42" i="1"/>
  <c r="CP43" i="1"/>
  <c r="CR44" i="1"/>
  <c r="CK45" i="1"/>
  <c r="CM46" i="1"/>
  <c r="CR49" i="1"/>
  <c r="BX50" i="1"/>
  <c r="CH50" i="1"/>
  <c r="CQ50" i="1"/>
  <c r="CK51" i="1"/>
  <c r="CL52" i="1"/>
  <c r="CR53" i="1"/>
  <c r="BX54" i="1"/>
  <c r="CH54" i="1"/>
  <c r="CQ54" i="1"/>
  <c r="CK55" i="1"/>
  <c r="CL56" i="1"/>
  <c r="CM57" i="1"/>
  <c r="CN58" i="1"/>
  <c r="CD63" i="1"/>
  <c r="CK65" i="1"/>
  <c r="CA66" i="1"/>
  <c r="CH67" i="1"/>
  <c r="CG68" i="1"/>
  <c r="CD69" i="1"/>
  <c r="CM69" i="1"/>
  <c r="BS70" i="1"/>
  <c r="CC70" i="1"/>
  <c r="CB71" i="1"/>
  <c r="CK71" i="1"/>
  <c r="CA72" i="1"/>
  <c r="CD73" i="1"/>
  <c r="CD74" i="1"/>
  <c r="CD75" i="1"/>
  <c r="CD76" i="1"/>
  <c r="BX77" i="1"/>
  <c r="CQ77" i="1"/>
  <c r="BX78" i="1"/>
  <c r="CO79" i="1"/>
  <c r="BX81" i="1"/>
  <c r="CQ81" i="1"/>
  <c r="CO83" i="1"/>
  <c r="CO85" i="1"/>
  <c r="CG86" i="1"/>
  <c r="CP86" i="1"/>
  <c r="CH88" i="1"/>
  <c r="CO90" i="1"/>
  <c r="CR91" i="1"/>
  <c r="CM92" i="1"/>
  <c r="CO93" i="1"/>
  <c r="BX94" i="1"/>
  <c r="CQ94" i="1"/>
  <c r="CK95" i="1"/>
  <c r="CM96" i="1"/>
  <c r="CO97" i="1"/>
  <c r="CK98" i="1"/>
  <c r="CP101" i="1"/>
  <c r="CR102" i="1"/>
  <c r="CL103" i="1"/>
  <c r="CL104" i="1"/>
  <c r="CN105" i="1"/>
  <c r="CM107" i="1"/>
  <c r="CP108" i="1"/>
  <c r="CB114" i="1"/>
  <c r="CM118" i="1"/>
  <c r="CK118" i="1"/>
  <c r="CS118" i="1" s="1"/>
  <c r="CT118" i="1" s="1"/>
  <c r="CP118" i="1"/>
  <c r="CK122" i="1"/>
  <c r="BS124" i="1"/>
  <c r="CC124" i="1"/>
  <c r="CB125" i="1"/>
  <c r="CM128" i="1"/>
  <c r="BX130" i="1"/>
  <c r="BX131" i="1"/>
  <c r="CN139" i="1"/>
  <c r="CI142" i="1"/>
  <c r="CM155" i="1"/>
  <c r="CL155" i="1"/>
  <c r="CK155" i="1"/>
  <c r="CR155" i="1"/>
  <c r="CQ155" i="1"/>
  <c r="BX155" i="1"/>
  <c r="CP155" i="1"/>
  <c r="CO155" i="1"/>
  <c r="CN155" i="1"/>
  <c r="CO18" i="1"/>
  <c r="CO24" i="1"/>
  <c r="CD21" i="1"/>
  <c r="CK11" i="1"/>
  <c r="CM8" i="1"/>
  <c r="CR9" i="1"/>
  <c r="CR17" i="1"/>
  <c r="CR18" i="1"/>
  <c r="CR24" i="1"/>
  <c r="CF25" i="1"/>
  <c r="CB26" i="1"/>
  <c r="CK26" i="1"/>
  <c r="CP29" i="1"/>
  <c r="CN30" i="1"/>
  <c r="CR32" i="1"/>
  <c r="CN8" i="1"/>
  <c r="BW14" i="1"/>
  <c r="AD15" i="1"/>
  <c r="CK17" i="1"/>
  <c r="CG21" i="1"/>
  <c r="CD22" i="1"/>
  <c r="CO34" i="1"/>
  <c r="CK36" i="1"/>
  <c r="CL37" i="1"/>
  <c r="CM38" i="1"/>
  <c r="CM39" i="1"/>
  <c r="CF41" i="1"/>
  <c r="CI41" i="1" s="1"/>
  <c r="BX42" i="1"/>
  <c r="CQ42" i="1"/>
  <c r="CQ43" i="1"/>
  <c r="CK44" i="1"/>
  <c r="CL45" i="1"/>
  <c r="CN46" i="1"/>
  <c r="CK49" i="1"/>
  <c r="CA50" i="1"/>
  <c r="CR50" i="1"/>
  <c r="CL51" i="1"/>
  <c r="CM52" i="1"/>
  <c r="CK53" i="1"/>
  <c r="CS53" i="1" s="1"/>
  <c r="CT53" i="1" s="1"/>
  <c r="CA54" i="1"/>
  <c r="CR54" i="1"/>
  <c r="CL55" i="1"/>
  <c r="CM56" i="1"/>
  <c r="CN57" i="1"/>
  <c r="CO58" i="1"/>
  <c r="CF59" i="1"/>
  <c r="CF60" i="1"/>
  <c r="CF61" i="1"/>
  <c r="CF62" i="1"/>
  <c r="CE63" i="1"/>
  <c r="CD64" i="1"/>
  <c r="CL65" i="1"/>
  <c r="CB66" i="1"/>
  <c r="CA67" i="1"/>
  <c r="CH68" i="1"/>
  <c r="CE69" i="1"/>
  <c r="CN69" i="1"/>
  <c r="CD70" i="1"/>
  <c r="CL71" i="1"/>
  <c r="CB72" i="1"/>
  <c r="CE73" i="1"/>
  <c r="CE74" i="1"/>
  <c r="CE75" i="1"/>
  <c r="CE76" i="1"/>
  <c r="CR77" i="1"/>
  <c r="CP79" i="1"/>
  <c r="CM80" i="1"/>
  <c r="CV80" i="1"/>
  <c r="CR81" i="1"/>
  <c r="CO82" i="1"/>
  <c r="CP83" i="1"/>
  <c r="CP85" i="1"/>
  <c r="BX86" i="1"/>
  <c r="CQ86" i="1"/>
  <c r="CA88" i="1"/>
  <c r="CP90" i="1"/>
  <c r="CK91" i="1"/>
  <c r="CP93" i="1"/>
  <c r="CP97" i="1"/>
  <c r="CL98" i="1"/>
  <c r="CK102" i="1"/>
  <c r="CN107" i="1"/>
  <c r="CR108" i="1"/>
  <c r="CQ108" i="1"/>
  <c r="CK111" i="1"/>
  <c r="CC114" i="1"/>
  <c r="CI115" i="1"/>
  <c r="CQ118" i="1"/>
  <c r="CN120" i="1"/>
  <c r="CL120" i="1"/>
  <c r="CS120" i="1" s="1"/>
  <c r="CT120" i="1" s="1"/>
  <c r="CR120" i="1"/>
  <c r="CI123" i="1"/>
  <c r="CD124" i="1"/>
  <c r="CC125" i="1"/>
  <c r="CN128" i="1"/>
  <c r="CI130" i="1"/>
  <c r="CM130" i="1"/>
  <c r="CP132" i="1"/>
  <c r="CO132" i="1"/>
  <c r="CN132" i="1"/>
  <c r="CM132" i="1"/>
  <c r="CR132" i="1"/>
  <c r="CP137" i="1"/>
  <c r="CS231" i="1"/>
  <c r="CT231" i="1" s="1"/>
  <c r="CH22" i="1"/>
  <c r="CO13" i="1"/>
  <c r="CK27" i="1"/>
  <c r="CL30" i="1"/>
  <c r="CP36" i="1"/>
  <c r="CP13" i="1"/>
  <c r="BI16" i="1"/>
  <c r="CP16" i="1" s="1"/>
  <c r="BX17" i="1"/>
  <c r="CQ17" i="1"/>
  <c r="CL10" i="1"/>
  <c r="CM27" i="1"/>
  <c r="CO28" i="1"/>
  <c r="CK7" i="1"/>
  <c r="CR13" i="1"/>
  <c r="CG25" i="1"/>
  <c r="BS26" i="1"/>
  <c r="CC26" i="1"/>
  <c r="CL26" i="1"/>
  <c r="CN27" i="1"/>
  <c r="CP28" i="1"/>
  <c r="BX29" i="1"/>
  <c r="CQ29" i="1"/>
  <c r="CF30" i="1"/>
  <c r="CO30" i="1"/>
  <c r="BX31" i="1"/>
  <c r="CQ31" i="1"/>
  <c r="CO8" i="1"/>
  <c r="BS9" i="1"/>
  <c r="CL9" i="1"/>
  <c r="CS9" i="1" s="1"/>
  <c r="CT9" i="1" s="1"/>
  <c r="CN10" i="1"/>
  <c r="CE11" i="1"/>
  <c r="CI11" i="1" s="1"/>
  <c r="CN11" i="1"/>
  <c r="CM12" i="1"/>
  <c r="CK13" i="1"/>
  <c r="CL17" i="1"/>
  <c r="CL18" i="1"/>
  <c r="CH21" i="1"/>
  <c r="AD22" i="1"/>
  <c r="CE22" i="1"/>
  <c r="CL24" i="1"/>
  <c r="CH25" i="1"/>
  <c r="CD26" i="1"/>
  <c r="CM26" i="1"/>
  <c r="CO27" i="1"/>
  <c r="BX28" i="1"/>
  <c r="CQ28" i="1"/>
  <c r="CR29" i="1"/>
  <c r="CG30" i="1"/>
  <c r="CP30" i="1"/>
  <c r="CR31" i="1"/>
  <c r="CL32" i="1"/>
  <c r="CN33" i="1"/>
  <c r="CP34" i="1"/>
  <c r="CR35" i="1"/>
  <c r="CL36" i="1"/>
  <c r="CM37" i="1"/>
  <c r="CN38" i="1"/>
  <c r="CN39" i="1"/>
  <c r="CF40" i="1"/>
  <c r="CI40" i="1" s="1"/>
  <c r="AD41" i="1"/>
  <c r="CG41" i="1"/>
  <c r="CR42" i="1"/>
  <c r="CR43" i="1"/>
  <c r="CL44" i="1"/>
  <c r="CM45" i="1"/>
  <c r="CO46" i="1"/>
  <c r="AD47" i="1"/>
  <c r="CL49" i="1"/>
  <c r="CB50" i="1"/>
  <c r="CK50" i="1"/>
  <c r="CM51" i="1"/>
  <c r="CN52" i="1"/>
  <c r="CL53" i="1"/>
  <c r="CB54" i="1"/>
  <c r="CK54" i="1"/>
  <c r="CM55" i="1"/>
  <c r="CN56" i="1"/>
  <c r="CO57" i="1"/>
  <c r="AD59" i="1"/>
  <c r="CG59" i="1"/>
  <c r="AD60" i="1"/>
  <c r="CG60" i="1"/>
  <c r="AD61" i="1"/>
  <c r="CG61" i="1"/>
  <c r="AD62" i="1"/>
  <c r="CG62" i="1"/>
  <c r="AD63" i="1"/>
  <c r="CF63" i="1"/>
  <c r="CN64" i="1"/>
  <c r="CD65" i="1"/>
  <c r="CM65" i="1"/>
  <c r="BS66" i="1"/>
  <c r="CC66" i="1"/>
  <c r="CB67" i="1"/>
  <c r="CA68" i="1"/>
  <c r="CI68" i="1" s="1"/>
  <c r="CF69" i="1"/>
  <c r="CO69" i="1"/>
  <c r="CN70" i="1"/>
  <c r="CD71" i="1"/>
  <c r="CM71" i="1"/>
  <c r="BS72" i="1"/>
  <c r="CC72" i="1"/>
  <c r="CF73" i="1"/>
  <c r="AD74" i="1"/>
  <c r="AD75" i="1"/>
  <c r="AD76" i="1"/>
  <c r="BX79" i="1"/>
  <c r="CK81" i="1"/>
  <c r="CP82" i="1"/>
  <c r="BX83" i="1"/>
  <c r="BX85" i="1"/>
  <c r="CQ85" i="1"/>
  <c r="CR86" i="1"/>
  <c r="AD88" i="1"/>
  <c r="CB88" i="1"/>
  <c r="CL91" i="1"/>
  <c r="BX93" i="1"/>
  <c r="CQ93" i="1"/>
  <c r="BX97" i="1"/>
  <c r="CQ97" i="1"/>
  <c r="CM98" i="1"/>
  <c r="CL102" i="1"/>
  <c r="CN103" i="1"/>
  <c r="CN104" i="1"/>
  <c r="CQ105" i="1"/>
  <c r="CO107" i="1"/>
  <c r="BX108" i="1"/>
  <c r="CL111" i="1"/>
  <c r="CM113" i="1"/>
  <c r="BS114" i="1"/>
  <c r="CD114" i="1"/>
  <c r="CR118" i="1"/>
  <c r="CQ119" i="1"/>
  <c r="BX119" i="1"/>
  <c r="CO119" i="1"/>
  <c r="BX120" i="1"/>
  <c r="CM121" i="1"/>
  <c r="CM122" i="1"/>
  <c r="CM123" i="1"/>
  <c r="CF124" i="1"/>
  <c r="BS125" i="1"/>
  <c r="CD125" i="1"/>
  <c r="CD126" i="1"/>
  <c r="CB126" i="1"/>
  <c r="CH126" i="1"/>
  <c r="CO127" i="1"/>
  <c r="CM127" i="1"/>
  <c r="CR127" i="1"/>
  <c r="CP128" i="1"/>
  <c r="CO130" i="1"/>
  <c r="CN131" i="1"/>
  <c r="BX137" i="1"/>
  <c r="CO141" i="1"/>
  <c r="CN141" i="1"/>
  <c r="CM141" i="1"/>
  <c r="CL141" i="1"/>
  <c r="CK141" i="1"/>
  <c r="CR141" i="1"/>
  <c r="CQ141" i="1"/>
  <c r="BX141" i="1"/>
  <c r="CP181" i="1"/>
  <c r="CN181" i="1"/>
  <c r="CM182" i="1"/>
  <c r="CR8" i="1"/>
  <c r="CK10" i="1"/>
  <c r="CS10" i="1" s="1"/>
  <c r="CT10" i="1" s="1"/>
  <c r="CR7" i="1"/>
  <c r="BX13" i="1"/>
  <c r="CQ13" i="1"/>
  <c r="CN34" i="1"/>
  <c r="CP35" i="1"/>
  <c r="CR36" i="1"/>
  <c r="CM10" i="1"/>
  <c r="CM11" i="1"/>
  <c r="CK18" i="1"/>
  <c r="CS18" i="1" s="1"/>
  <c r="CT18" i="1" s="1"/>
  <c r="CK24" i="1"/>
  <c r="CK32" i="1"/>
  <c r="CM33" i="1"/>
  <c r="BX35" i="1"/>
  <c r="CQ35" i="1"/>
  <c r="CL7" i="1"/>
  <c r="CM7" i="1"/>
  <c r="CP8" i="1"/>
  <c r="CO10" i="1"/>
  <c r="CO11" i="1"/>
  <c r="CL13" i="1"/>
  <c r="CM17" i="1"/>
  <c r="CM18" i="1"/>
  <c r="CA21" i="1"/>
  <c r="CM24" i="1"/>
  <c r="CA25" i="1"/>
  <c r="CN26" i="1"/>
  <c r="BX30" i="1"/>
  <c r="CK31" i="1"/>
  <c r="CS31" i="1" s="1"/>
  <c r="CT31" i="1" s="1"/>
  <c r="CM32" i="1"/>
  <c r="CO33" i="1"/>
  <c r="BX34" i="1"/>
  <c r="CK35" i="1"/>
  <c r="CM36" i="1"/>
  <c r="CN37" i="1"/>
  <c r="CO38" i="1"/>
  <c r="CO39" i="1"/>
  <c r="AD40" i="1"/>
  <c r="CK42" i="1"/>
  <c r="CS42" i="1" s="1"/>
  <c r="CT42" i="1" s="1"/>
  <c r="CK43" i="1"/>
  <c r="CM44" i="1"/>
  <c r="CN45" i="1"/>
  <c r="CM49" i="1"/>
  <c r="BS50" i="1"/>
  <c r="CC50" i="1"/>
  <c r="CL50" i="1"/>
  <c r="CN51" i="1"/>
  <c r="CO52" i="1"/>
  <c r="CM53" i="1"/>
  <c r="BS54" i="1"/>
  <c r="CC54" i="1"/>
  <c r="CL54" i="1"/>
  <c r="CN55" i="1"/>
  <c r="CO56" i="1"/>
  <c r="BX58" i="1"/>
  <c r="CN65" i="1"/>
  <c r="CD66" i="1"/>
  <c r="BS67" i="1"/>
  <c r="CG69" i="1"/>
  <c r="CN71" i="1"/>
  <c r="CD72" i="1"/>
  <c r="CL81" i="1"/>
  <c r="BX82" i="1"/>
  <c r="CK86" i="1"/>
  <c r="CS86" i="1" s="1"/>
  <c r="CT86" i="1" s="1"/>
  <c r="BS88" i="1"/>
  <c r="CC88" i="1"/>
  <c r="CM91" i="1"/>
  <c r="CP92" i="1"/>
  <c r="CR93" i="1"/>
  <c r="CL94" i="1"/>
  <c r="CS94" i="1" s="1"/>
  <c r="CT94" i="1" s="1"/>
  <c r="CN95" i="1"/>
  <c r="CP96" i="1"/>
  <c r="CR97" i="1"/>
  <c r="CN98" i="1"/>
  <c r="CK101" i="1"/>
  <c r="CS101" i="1" s="1"/>
  <c r="CT101" i="1" s="1"/>
  <c r="CM102" i="1"/>
  <c r="CO103" i="1"/>
  <c r="BX105" i="1"/>
  <c r="CR105" i="1"/>
  <c r="CI108" i="1"/>
  <c r="CK108" i="1"/>
  <c r="CQ110" i="1"/>
  <c r="CK112" i="1"/>
  <c r="CS112" i="1" s="1"/>
  <c r="CT112" i="1" s="1"/>
  <c r="CO113" i="1"/>
  <c r="CM115" i="1"/>
  <c r="CS115" i="1" s="1"/>
  <c r="CT115" i="1" s="1"/>
  <c r="CQ116" i="1"/>
  <c r="BX116" i="1"/>
  <c r="CO116" i="1"/>
  <c r="CP116" i="1"/>
  <c r="CM117" i="1"/>
  <c r="BX118" i="1"/>
  <c r="CN121" i="1"/>
  <c r="CO122" i="1"/>
  <c r="CN123" i="1"/>
  <c r="AD126" i="1"/>
  <c r="BX127" i="1"/>
  <c r="CP130" i="1"/>
  <c r="CP131" i="1"/>
  <c r="CI134" i="1"/>
  <c r="CI137" i="1"/>
  <c r="CI141" i="1"/>
  <c r="CR144" i="1"/>
  <c r="CS226" i="1"/>
  <c r="CT226" i="1" s="1"/>
  <c r="BX8" i="1"/>
  <c r="BX27" i="1"/>
  <c r="BX46" i="1"/>
  <c r="BX57" i="1"/>
  <c r="BS86" i="1"/>
  <c r="BX92" i="1"/>
  <c r="BX96" i="1"/>
  <c r="CQ107" i="1"/>
  <c r="BX107" i="1"/>
  <c r="CR107" i="1"/>
  <c r="CA114" i="1"/>
  <c r="CG114" i="1"/>
  <c r="CF114" i="1"/>
  <c r="CG124" i="1"/>
  <c r="AD124" i="1"/>
  <c r="CE124" i="1"/>
  <c r="CA125" i="1"/>
  <c r="CG125" i="1"/>
  <c r="CF125" i="1"/>
  <c r="CQ128" i="1"/>
  <c r="BX128" i="1"/>
  <c r="CO128" i="1"/>
  <c r="CQ130" i="1"/>
  <c r="CQ131" i="1"/>
  <c r="CO137" i="1"/>
  <c r="CS137" i="1" s="1"/>
  <c r="CT137" i="1" s="1"/>
  <c r="CN137" i="1"/>
  <c r="CM137" i="1"/>
  <c r="CL137" i="1"/>
  <c r="CR137" i="1"/>
  <c r="CQ137" i="1"/>
  <c r="CS169" i="1"/>
  <c r="CT169" i="1" s="1"/>
  <c r="CS202" i="1"/>
  <c r="CT202" i="1" s="1"/>
  <c r="CF149" i="1"/>
  <c r="CP150" i="1"/>
  <c r="CR153" i="1"/>
  <c r="BU155" i="1"/>
  <c r="BS156" i="1"/>
  <c r="CC156" i="1"/>
  <c r="CN159" i="1"/>
  <c r="CN160" i="1"/>
  <c r="CD161" i="1"/>
  <c r="CP163" i="1"/>
  <c r="CK166" i="1"/>
  <c r="CS166" i="1" s="1"/>
  <c r="CT166" i="1" s="1"/>
  <c r="CP168" i="1"/>
  <c r="CK174" i="1"/>
  <c r="CK179" i="1"/>
  <c r="CK185" i="1"/>
  <c r="CP189" i="1"/>
  <c r="CA198" i="1"/>
  <c r="CP204" i="1"/>
  <c r="CP206" i="1"/>
  <c r="CK209" i="1"/>
  <c r="CK214" i="1"/>
  <c r="CP219" i="1"/>
  <c r="CH228" i="1"/>
  <c r="CP235" i="1"/>
  <c r="CG240" i="1"/>
  <c r="CQ242" i="1"/>
  <c r="BX242" i="1"/>
  <c r="CR242" i="1"/>
  <c r="CE251" i="1"/>
  <c r="CG251" i="1"/>
  <c r="AD251" i="1"/>
  <c r="CR253" i="1"/>
  <c r="CL253" i="1"/>
  <c r="BX253" i="1"/>
  <c r="CM253" i="1"/>
  <c r="CQ254" i="1"/>
  <c r="BX254" i="1"/>
  <c r="CK254" i="1"/>
  <c r="CP254" i="1"/>
  <c r="CB256" i="1"/>
  <c r="CD256" i="1"/>
  <c r="CL261" i="1"/>
  <c r="CH262" i="1"/>
  <c r="CB262" i="1"/>
  <c r="CA262" i="1"/>
  <c r="BS262" i="1"/>
  <c r="CF262" i="1"/>
  <c r="CO272" i="1"/>
  <c r="CR272" i="1"/>
  <c r="CQ272" i="1"/>
  <c r="BX272" i="1"/>
  <c r="CM272" i="1"/>
  <c r="CI274" i="1"/>
  <c r="CK277" i="1"/>
  <c r="CR279" i="1"/>
  <c r="CQ279" i="1"/>
  <c r="BX279" i="1"/>
  <c r="CL279" i="1"/>
  <c r="CK279" i="1"/>
  <c r="CR280" i="1"/>
  <c r="CQ280" i="1"/>
  <c r="BX280" i="1"/>
  <c r="CL280" i="1"/>
  <c r="CK280" i="1"/>
  <c r="CR282" i="1"/>
  <c r="CL283" i="1"/>
  <c r="CK285" i="1"/>
  <c r="CS285" i="1" s="1"/>
  <c r="CT285" i="1" s="1"/>
  <c r="CR285" i="1"/>
  <c r="CM285" i="1"/>
  <c r="CL285" i="1"/>
  <c r="CL286" i="1"/>
  <c r="CK286" i="1"/>
  <c r="CN286" i="1"/>
  <c r="CM286" i="1"/>
  <c r="CQ299" i="1"/>
  <c r="BX299" i="1"/>
  <c r="CP299" i="1"/>
  <c r="CO299" i="1"/>
  <c r="CL299" i="1"/>
  <c r="CK299" i="1"/>
  <c r="CR299" i="1"/>
  <c r="CI306" i="1"/>
  <c r="CV307" i="1"/>
  <c r="CA132" i="1"/>
  <c r="CN135" i="1"/>
  <c r="CP136" i="1"/>
  <c r="BX138" i="1"/>
  <c r="CQ138" i="1"/>
  <c r="CP140" i="1"/>
  <c r="CR142" i="1"/>
  <c r="CF143" i="1"/>
  <c r="BS144" i="1"/>
  <c r="CC144" i="1"/>
  <c r="CI144" i="1" s="1"/>
  <c r="CL144" i="1"/>
  <c r="CS144" i="1" s="1"/>
  <c r="CT144" i="1" s="1"/>
  <c r="CM145" i="1"/>
  <c r="CS145" i="1" s="1"/>
  <c r="CT145" i="1" s="1"/>
  <c r="CN146" i="1"/>
  <c r="CO147" i="1"/>
  <c r="CP148" i="1"/>
  <c r="AD149" i="1"/>
  <c r="CG149" i="1"/>
  <c r="BX150" i="1"/>
  <c r="CQ150" i="1"/>
  <c r="CK152" i="1"/>
  <c r="BI153" i="1"/>
  <c r="CQ153" i="1" s="1"/>
  <c r="CK153" i="1"/>
  <c r="AD154" i="1"/>
  <c r="CD156" i="1"/>
  <c r="CO157" i="1"/>
  <c r="CP158" i="1"/>
  <c r="CO159" i="1"/>
  <c r="CO160" i="1"/>
  <c r="AD161" i="1"/>
  <c r="CE161" i="1"/>
  <c r="CF162" i="1"/>
  <c r="BX163" i="1"/>
  <c r="CQ163" i="1"/>
  <c r="CR165" i="1"/>
  <c r="CL166" i="1"/>
  <c r="CG167" i="1"/>
  <c r="BX168" i="1"/>
  <c r="CQ168" i="1"/>
  <c r="CO171" i="1"/>
  <c r="CP172" i="1"/>
  <c r="CR173" i="1"/>
  <c r="CL174" i="1"/>
  <c r="CP176" i="1"/>
  <c r="CH177" i="1"/>
  <c r="CA178" i="1"/>
  <c r="CR178" i="1"/>
  <c r="CL179" i="1"/>
  <c r="CO181" i="1"/>
  <c r="CO182" i="1"/>
  <c r="CP183" i="1"/>
  <c r="CR184" i="1"/>
  <c r="CL185" i="1"/>
  <c r="CO187" i="1"/>
  <c r="CB188" i="1"/>
  <c r="CI188" i="1" s="1"/>
  <c r="BX189" i="1"/>
  <c r="CQ189" i="1"/>
  <c r="CK191" i="1"/>
  <c r="CP193" i="1"/>
  <c r="CK195" i="1"/>
  <c r="CK196" i="1"/>
  <c r="CG197" i="1"/>
  <c r="AD198" i="1"/>
  <c r="CB198" i="1"/>
  <c r="BX199" i="1"/>
  <c r="CQ199" i="1"/>
  <c r="CB200" i="1"/>
  <c r="CI200" i="1" s="1"/>
  <c r="CM201" i="1"/>
  <c r="CN202" i="1"/>
  <c r="CO203" i="1"/>
  <c r="BX204" i="1"/>
  <c r="CQ204" i="1"/>
  <c r="CP205" i="1"/>
  <c r="BX206" i="1"/>
  <c r="CQ206" i="1"/>
  <c r="CR207" i="1"/>
  <c r="CK208" i="1"/>
  <c r="CL209" i="1"/>
  <c r="CN210" i="1"/>
  <c r="CS210" i="1" s="1"/>
  <c r="CT210" i="1" s="1"/>
  <c r="CP211" i="1"/>
  <c r="CR212" i="1"/>
  <c r="CK213" i="1"/>
  <c r="CL214" i="1"/>
  <c r="CM215" i="1"/>
  <c r="CS215" i="1" s="1"/>
  <c r="CT215" i="1" s="1"/>
  <c r="CM216" i="1"/>
  <c r="CM217" i="1"/>
  <c r="CS217" i="1" s="1"/>
  <c r="CT217" i="1" s="1"/>
  <c r="CO218" i="1"/>
  <c r="BX219" i="1"/>
  <c r="CQ219" i="1"/>
  <c r="CK220" i="1"/>
  <c r="CN221" i="1"/>
  <c r="CN222" i="1"/>
  <c r="CS222" i="1" s="1"/>
  <c r="CT222" i="1" s="1"/>
  <c r="CM223" i="1"/>
  <c r="CS223" i="1" s="1"/>
  <c r="CT223" i="1" s="1"/>
  <c r="CD227" i="1"/>
  <c r="BI228" i="1"/>
  <c r="CA228" i="1"/>
  <c r="CL230" i="1"/>
  <c r="CS230" i="1" s="1"/>
  <c r="CT230" i="1" s="1"/>
  <c r="CG234" i="1"/>
  <c r="BX235" i="1"/>
  <c r="CQ235" i="1"/>
  <c r="AD240" i="1"/>
  <c r="CH240" i="1"/>
  <c r="CA250" i="1"/>
  <c r="CN253" i="1"/>
  <c r="CR254" i="1"/>
  <c r="CN255" i="1"/>
  <c r="AD256" i="1"/>
  <c r="CA257" i="1"/>
  <c r="CC257" i="1"/>
  <c r="BS257" i="1"/>
  <c r="CH257" i="1"/>
  <c r="AD262" i="1"/>
  <c r="CG262" i="1"/>
  <c r="CA264" i="1"/>
  <c r="CB265" i="1"/>
  <c r="CD265" i="1"/>
  <c r="CC265" i="1"/>
  <c r="BS265" i="1"/>
  <c r="CB266" i="1"/>
  <c r="CA266" i="1"/>
  <c r="CI266" i="1" s="1"/>
  <c r="CD266" i="1"/>
  <c r="CC266" i="1"/>
  <c r="BS266" i="1"/>
  <c r="CF267" i="1"/>
  <c r="CP268" i="1"/>
  <c r="CK269" i="1"/>
  <c r="CN272" i="1"/>
  <c r="CS273" i="1"/>
  <c r="CT273" i="1" s="1"/>
  <c r="CR276" i="1"/>
  <c r="CL277" i="1"/>
  <c r="CI279" i="1"/>
  <c r="CM279" i="1"/>
  <c r="CE280" i="1"/>
  <c r="CO281" i="1"/>
  <c r="CM283" i="1"/>
  <c r="BX285" i="1"/>
  <c r="BX286" i="1"/>
  <c r="CI290" i="1"/>
  <c r="BX291" i="1"/>
  <c r="CN292" i="1"/>
  <c r="CI295" i="1"/>
  <c r="CO304" i="1"/>
  <c r="CI384" i="1"/>
  <c r="CR138" i="1"/>
  <c r="CK142" i="1"/>
  <c r="CM144" i="1"/>
  <c r="CP147" i="1"/>
  <c r="CH149" i="1"/>
  <c r="CR150" i="1"/>
  <c r="CL153" i="1"/>
  <c r="BI154" i="1"/>
  <c r="CE156" i="1"/>
  <c r="CP157" i="1"/>
  <c r="CP159" i="1"/>
  <c r="CP160" i="1"/>
  <c r="CF161" i="1"/>
  <c r="CG162" i="1"/>
  <c r="CR163" i="1"/>
  <c r="CK165" i="1"/>
  <c r="CM166" i="1"/>
  <c r="CR168" i="1"/>
  <c r="CP171" i="1"/>
  <c r="CK173" i="1"/>
  <c r="CM174" i="1"/>
  <c r="CA177" i="1"/>
  <c r="CM179" i="1"/>
  <c r="CK184" i="1"/>
  <c r="CM185" i="1"/>
  <c r="CP187" i="1"/>
  <c r="CR189" i="1"/>
  <c r="CK190" i="1"/>
  <c r="CL191" i="1"/>
  <c r="CK194" i="1"/>
  <c r="CL195" i="1"/>
  <c r="CH197" i="1"/>
  <c r="BS198" i="1"/>
  <c r="CC198" i="1"/>
  <c r="CR199" i="1"/>
  <c r="AD200" i="1"/>
  <c r="BS200" i="1"/>
  <c r="CC200" i="1"/>
  <c r="CN201" i="1"/>
  <c r="CO202" i="1"/>
  <c r="CP203" i="1"/>
  <c r="CR204" i="1"/>
  <c r="BX205" i="1"/>
  <c r="CQ205" i="1"/>
  <c r="CR206" i="1"/>
  <c r="CK207" i="1"/>
  <c r="CL208" i="1"/>
  <c r="CM209" i="1"/>
  <c r="CO210" i="1"/>
  <c r="BX211" i="1"/>
  <c r="CQ211" i="1"/>
  <c r="CK212" i="1"/>
  <c r="CS212" i="1" s="1"/>
  <c r="CT212" i="1" s="1"/>
  <c r="CL213" i="1"/>
  <c r="CM214" i="1"/>
  <c r="CN215" i="1"/>
  <c r="CN216" i="1"/>
  <c r="CN217" i="1"/>
  <c r="CP218" i="1"/>
  <c r="CR219" i="1"/>
  <c r="CL220" i="1"/>
  <c r="CO221" i="1"/>
  <c r="CO222" i="1"/>
  <c r="CN223" i="1"/>
  <c r="CN224" i="1"/>
  <c r="CS224" i="1" s="1"/>
  <c r="CT224" i="1" s="1"/>
  <c r="CM225" i="1"/>
  <c r="CS225" i="1" s="1"/>
  <c r="CT225" i="1" s="1"/>
  <c r="AD227" i="1"/>
  <c r="CE227" i="1"/>
  <c r="CB228" i="1"/>
  <c r="CK229" i="1"/>
  <c r="CM230" i="1"/>
  <c r="CM231" i="1"/>
  <c r="CH234" i="1"/>
  <c r="CR235" i="1"/>
  <c r="CK236" i="1"/>
  <c r="CM237" i="1"/>
  <c r="CS237" i="1" s="1"/>
  <c r="CT237" i="1" s="1"/>
  <c r="CP238" i="1"/>
  <c r="CD239" i="1"/>
  <c r="CN241" i="1"/>
  <c r="CS241" i="1" s="1"/>
  <c r="CT241" i="1" s="1"/>
  <c r="CK242" i="1"/>
  <c r="CK244" i="1"/>
  <c r="CL246" i="1"/>
  <c r="BS247" i="1"/>
  <c r="CC247" i="1"/>
  <c r="CI247" i="1" s="1"/>
  <c r="CG248" i="1"/>
  <c r="AD248" i="1"/>
  <c r="CH248" i="1"/>
  <c r="CB249" i="1"/>
  <c r="BI250" i="1"/>
  <c r="CB250" i="1"/>
  <c r="CA251" i="1"/>
  <c r="CD253" i="1"/>
  <c r="CO253" i="1"/>
  <c r="CO255" i="1"/>
  <c r="CV256" i="1"/>
  <c r="CA256" i="1"/>
  <c r="AD257" i="1"/>
  <c r="CI259" i="1"/>
  <c r="BS260" i="1"/>
  <c r="CA261" i="1"/>
  <c r="CG263" i="1"/>
  <c r="CA263" i="1"/>
  <c r="CH263" i="1"/>
  <c r="BI264" i="1"/>
  <c r="AD265" i="1"/>
  <c r="AD266" i="1"/>
  <c r="CQ268" i="1"/>
  <c r="CP269" i="1"/>
  <c r="CO274" i="1"/>
  <c r="CL275" i="1"/>
  <c r="CK275" i="1"/>
  <c r="CS275" i="1" s="1"/>
  <c r="CT275" i="1" s="1"/>
  <c r="CN275" i="1"/>
  <c r="CM275" i="1"/>
  <c r="CQ277" i="1"/>
  <c r="CN279" i="1"/>
  <c r="CP281" i="1"/>
  <c r="CN282" i="1"/>
  <c r="CR283" i="1"/>
  <c r="CI285" i="1"/>
  <c r="CQ288" i="1"/>
  <c r="BX288" i="1"/>
  <c r="CL288" i="1"/>
  <c r="CS288" i="1" s="1"/>
  <c r="CT288" i="1" s="1"/>
  <c r="CO293" i="1"/>
  <c r="CI294" i="1"/>
  <c r="CK296" i="1"/>
  <c r="CR296" i="1"/>
  <c r="CQ296" i="1"/>
  <c r="BX296" i="1"/>
  <c r="CN296" i="1"/>
  <c r="CM296" i="1"/>
  <c r="CL296" i="1"/>
  <c r="CL303" i="1"/>
  <c r="CS303" i="1" s="1"/>
  <c r="CT303" i="1" s="1"/>
  <c r="CQ303" i="1"/>
  <c r="BX303" i="1"/>
  <c r="CO303" i="1"/>
  <c r="CR303" i="1"/>
  <c r="CP135" i="1"/>
  <c r="CK138" i="1"/>
  <c r="CL142" i="1"/>
  <c r="CH143" i="1"/>
  <c r="CN144" i="1"/>
  <c r="CP146" i="1"/>
  <c r="BX147" i="1"/>
  <c r="CQ147" i="1"/>
  <c r="CA149" i="1"/>
  <c r="CK150" i="1"/>
  <c r="CM153" i="1"/>
  <c r="CF156" i="1"/>
  <c r="BX157" i="1"/>
  <c r="CQ157" i="1"/>
  <c r="BX159" i="1"/>
  <c r="CQ159" i="1"/>
  <c r="BX160" i="1"/>
  <c r="CQ160" i="1"/>
  <c r="CG161" i="1"/>
  <c r="AD162" i="1"/>
  <c r="CH162" i="1"/>
  <c r="CK163" i="1"/>
  <c r="CR164" i="1"/>
  <c r="CL165" i="1"/>
  <c r="CN166" i="1"/>
  <c r="CA167" i="1"/>
  <c r="CK168" i="1"/>
  <c r="CM169" i="1"/>
  <c r="BX171" i="1"/>
  <c r="CQ171" i="1"/>
  <c r="CR172" i="1"/>
  <c r="CL173" i="1"/>
  <c r="CN174" i="1"/>
  <c r="CP175" i="1"/>
  <c r="CR176" i="1"/>
  <c r="BI177" i="1"/>
  <c r="CB177" i="1"/>
  <c r="BS178" i="1"/>
  <c r="CC178" i="1"/>
  <c r="CL178" i="1"/>
  <c r="CN179" i="1"/>
  <c r="CP180" i="1"/>
  <c r="BX181" i="1"/>
  <c r="CQ181" i="1"/>
  <c r="BX182" i="1"/>
  <c r="CQ182" i="1"/>
  <c r="CR183" i="1"/>
  <c r="CN185" i="1"/>
  <c r="CP186" i="1"/>
  <c r="BX187" i="1"/>
  <c r="CQ187" i="1"/>
  <c r="CD188" i="1"/>
  <c r="CK189" i="1"/>
  <c r="CM191" i="1"/>
  <c r="CA197" i="1"/>
  <c r="CD198" i="1"/>
  <c r="CD200" i="1"/>
  <c r="CO201" i="1"/>
  <c r="CS201" i="1" s="1"/>
  <c r="CT201" i="1" s="1"/>
  <c r="CP202" i="1"/>
  <c r="BX203" i="1"/>
  <c r="CQ203" i="1"/>
  <c r="CK204" i="1"/>
  <c r="CR205" i="1"/>
  <c r="CK206" i="1"/>
  <c r="CL207" i="1"/>
  <c r="CM208" i="1"/>
  <c r="CN209" i="1"/>
  <c r="CR211" i="1"/>
  <c r="CL212" i="1"/>
  <c r="CM213" i="1"/>
  <c r="CN214" i="1"/>
  <c r="CO215" i="1"/>
  <c r="CO216" i="1"/>
  <c r="CO217" i="1"/>
  <c r="BX218" i="1"/>
  <c r="CQ218" i="1"/>
  <c r="CK219" i="1"/>
  <c r="CM220" i="1"/>
  <c r="CP222" i="1"/>
  <c r="CO223" i="1"/>
  <c r="CO224" i="1"/>
  <c r="CN225" i="1"/>
  <c r="CF227" i="1"/>
  <c r="BS228" i="1"/>
  <c r="CC228" i="1"/>
  <c r="CL229" i="1"/>
  <c r="CN230" i="1"/>
  <c r="CN231" i="1"/>
  <c r="CA234" i="1"/>
  <c r="CK235" i="1"/>
  <c r="CN237" i="1"/>
  <c r="CQ238" i="1"/>
  <c r="CE239" i="1"/>
  <c r="CA240" i="1"/>
  <c r="CL242" i="1"/>
  <c r="CL244" i="1"/>
  <c r="CO245" i="1"/>
  <c r="CQ245" i="1"/>
  <c r="CM246" i="1"/>
  <c r="CD247" i="1"/>
  <c r="BS249" i="1"/>
  <c r="CC249" i="1"/>
  <c r="BS250" i="1"/>
  <c r="CC250" i="1"/>
  <c r="CB251" i="1"/>
  <c r="CA252" i="1"/>
  <c r="CC252" i="1"/>
  <c r="BS252" i="1"/>
  <c r="AD252" i="1"/>
  <c r="CF252" i="1"/>
  <c r="CE253" i="1"/>
  <c r="CP253" i="1"/>
  <c r="CP255" i="1"/>
  <c r="CC256" i="1"/>
  <c r="CO258" i="1"/>
  <c r="CQ258" i="1"/>
  <c r="BX258" i="1"/>
  <c r="CP258" i="1"/>
  <c r="CM258" i="1"/>
  <c r="CS258" i="1" s="1"/>
  <c r="CT258" i="1" s="1"/>
  <c r="CD260" i="1"/>
  <c r="CI260" i="1" s="1"/>
  <c r="AD260" i="1"/>
  <c r="CF260" i="1"/>
  <c r="CE260" i="1"/>
  <c r="CG260" i="1"/>
  <c r="CB261" i="1"/>
  <c r="CQ261" i="1"/>
  <c r="AD263" i="1"/>
  <c r="CB264" i="1"/>
  <c r="AD264" i="1"/>
  <c r="CD264" i="1"/>
  <c r="CC264" i="1"/>
  <c r="BS264" i="1"/>
  <c r="CF264" i="1"/>
  <c r="CA265" i="1"/>
  <c r="CE266" i="1"/>
  <c r="CQ269" i="1"/>
  <c r="CK270" i="1"/>
  <c r="CO271" i="1"/>
  <c r="BX275" i="1"/>
  <c r="CM276" i="1"/>
  <c r="CL276" i="1"/>
  <c r="CO276" i="1"/>
  <c r="CN276" i="1"/>
  <c r="CR277" i="1"/>
  <c r="CP278" i="1"/>
  <c r="CO279" i="1"/>
  <c r="CQ281" i="1"/>
  <c r="BX282" i="1"/>
  <c r="CM288" i="1"/>
  <c r="CI293" i="1"/>
  <c r="CK293" i="1"/>
  <c r="CI296" i="1"/>
  <c r="CO296" i="1"/>
  <c r="CA308" i="1"/>
  <c r="BX135" i="1"/>
  <c r="CQ135" i="1"/>
  <c r="CK140" i="1"/>
  <c r="CS140" i="1" s="1"/>
  <c r="CT140" i="1" s="1"/>
  <c r="CM142" i="1"/>
  <c r="BI143" i="1"/>
  <c r="CF144" i="1"/>
  <c r="CO144" i="1"/>
  <c r="CP145" i="1"/>
  <c r="BX146" i="1"/>
  <c r="CQ146" i="1"/>
  <c r="CR147" i="1"/>
  <c r="CK148" i="1"/>
  <c r="CB149" i="1"/>
  <c r="CL150" i="1"/>
  <c r="CE153" i="1"/>
  <c r="CI153" i="1" s="1"/>
  <c r="CN153" i="1"/>
  <c r="AD156" i="1"/>
  <c r="CG156" i="1"/>
  <c r="CR157" i="1"/>
  <c r="CK158" i="1"/>
  <c r="CR159" i="1"/>
  <c r="CR160" i="1"/>
  <c r="CH161" i="1"/>
  <c r="CA162" i="1"/>
  <c r="CL163" i="1"/>
  <c r="CK164" i="1"/>
  <c r="CS164" i="1" s="1"/>
  <c r="CT164" i="1" s="1"/>
  <c r="CM165" i="1"/>
  <c r="CO166" i="1"/>
  <c r="BI167" i="1"/>
  <c r="CR167" i="1" s="1"/>
  <c r="CB167" i="1"/>
  <c r="CK167" i="1"/>
  <c r="CL168" i="1"/>
  <c r="CN169" i="1"/>
  <c r="CP170" i="1"/>
  <c r="CS170" i="1" s="1"/>
  <c r="CT170" i="1" s="1"/>
  <c r="CR171" i="1"/>
  <c r="CK172" i="1"/>
  <c r="CM173" i="1"/>
  <c r="CO174" i="1"/>
  <c r="BX175" i="1"/>
  <c r="CQ175" i="1"/>
  <c r="CK176" i="1"/>
  <c r="BS177" i="1"/>
  <c r="CC177" i="1"/>
  <c r="CD178" i="1"/>
  <c r="CM178" i="1"/>
  <c r="CS178" i="1" s="1"/>
  <c r="CT178" i="1" s="1"/>
  <c r="CO179" i="1"/>
  <c r="BX180" i="1"/>
  <c r="CQ180" i="1"/>
  <c r="CR181" i="1"/>
  <c r="CR182" i="1"/>
  <c r="CK183" i="1"/>
  <c r="CM184" i="1"/>
  <c r="CO185" i="1"/>
  <c r="BX186" i="1"/>
  <c r="CQ186" i="1"/>
  <c r="CR187" i="1"/>
  <c r="AD188" i="1"/>
  <c r="CE188" i="1"/>
  <c r="CL189" i="1"/>
  <c r="CM190" i="1"/>
  <c r="CN191" i="1"/>
  <c r="CK193" i="1"/>
  <c r="CM194" i="1"/>
  <c r="CN195" i="1"/>
  <c r="CE196" i="1"/>
  <c r="CI196" i="1" s="1"/>
  <c r="CN196" i="1"/>
  <c r="BI197" i="1"/>
  <c r="BX197" i="1" s="1"/>
  <c r="CB197" i="1"/>
  <c r="CE198" i="1"/>
  <c r="CL199" i="1"/>
  <c r="CS199" i="1" s="1"/>
  <c r="CT199" i="1" s="1"/>
  <c r="CE200" i="1"/>
  <c r="BX202" i="1"/>
  <c r="CR203" i="1"/>
  <c r="CL204" i="1"/>
  <c r="CK205" i="1"/>
  <c r="CL206" i="1"/>
  <c r="CM207" i="1"/>
  <c r="CN208" i="1"/>
  <c r="CO209" i="1"/>
  <c r="BX210" i="1"/>
  <c r="CQ210" i="1"/>
  <c r="CK211" i="1"/>
  <c r="CS211" i="1" s="1"/>
  <c r="CT211" i="1" s="1"/>
  <c r="CM212" i="1"/>
  <c r="CN213" i="1"/>
  <c r="CO214" i="1"/>
  <c r="CL219" i="1"/>
  <c r="CN220" i="1"/>
  <c r="BX221" i="1"/>
  <c r="CQ221" i="1"/>
  <c r="BX222" i="1"/>
  <c r="CG227" i="1"/>
  <c r="AD228" i="1"/>
  <c r="CD228" i="1"/>
  <c r="CM229" i="1"/>
  <c r="CO230" i="1"/>
  <c r="CO231" i="1"/>
  <c r="AD234" i="1"/>
  <c r="CB234" i="1"/>
  <c r="CL235" i="1"/>
  <c r="CM236" i="1"/>
  <c r="BX238" i="1"/>
  <c r="CR238" i="1"/>
  <c r="CB240" i="1"/>
  <c r="CO241" i="1"/>
  <c r="CQ241" i="1"/>
  <c r="CM242" i="1"/>
  <c r="CS243" i="1"/>
  <c r="CT243" i="1" s="1"/>
  <c r="CQ243" i="1"/>
  <c r="CN244" i="1"/>
  <c r="BX245" i="1"/>
  <c r="CR245" i="1"/>
  <c r="AD247" i="1"/>
  <c r="CE247" i="1"/>
  <c r="CA248" i="1"/>
  <c r="CD250" i="1"/>
  <c r="AD250" i="1"/>
  <c r="CE250" i="1"/>
  <c r="BS251" i="1"/>
  <c r="CC251" i="1"/>
  <c r="CG252" i="1"/>
  <c r="CQ253" i="1"/>
  <c r="CL254" i="1"/>
  <c r="BS256" i="1"/>
  <c r="CE256" i="1"/>
  <c r="CB257" i="1"/>
  <c r="CN258" i="1"/>
  <c r="CR259" i="1"/>
  <c r="CQ259" i="1"/>
  <c r="BX259" i="1"/>
  <c r="CM259" i="1"/>
  <c r="CS259" i="1" s="1"/>
  <c r="CT259" i="1" s="1"/>
  <c r="CH260" i="1"/>
  <c r="BI261" i="1"/>
  <c r="CK261" i="1" s="1"/>
  <c r="CF261" i="1"/>
  <c r="CG264" i="1"/>
  <c r="CE265" i="1"/>
  <c r="CF266" i="1"/>
  <c r="BX276" i="1"/>
  <c r="CI278" i="1"/>
  <c r="CP279" i="1"/>
  <c r="CM280" i="1"/>
  <c r="CQ292" i="1"/>
  <c r="BX292" i="1"/>
  <c r="CO292" i="1"/>
  <c r="CL292" i="1"/>
  <c r="CS292" i="1" s="1"/>
  <c r="CT292" i="1" s="1"/>
  <c r="CM304" i="1"/>
  <c r="CS304" i="1" s="1"/>
  <c r="CT304" i="1" s="1"/>
  <c r="CR304" i="1"/>
  <c r="CE132" i="1"/>
  <c r="CK133" i="1"/>
  <c r="CR135" i="1"/>
  <c r="CL136" i="1"/>
  <c r="CS136" i="1" s="1"/>
  <c r="CT136" i="1" s="1"/>
  <c r="CD138" i="1"/>
  <c r="CI138" i="1" s="1"/>
  <c r="CM138" i="1"/>
  <c r="CL140" i="1"/>
  <c r="CN142" i="1"/>
  <c r="CB143" i="1"/>
  <c r="CI143" i="1" s="1"/>
  <c r="CG144" i="1"/>
  <c r="CP144" i="1"/>
  <c r="BX145" i="1"/>
  <c r="CQ145" i="1"/>
  <c r="CR146" i="1"/>
  <c r="CK147" i="1"/>
  <c r="CL148" i="1"/>
  <c r="BS149" i="1"/>
  <c r="CC149" i="1"/>
  <c r="CM150" i="1"/>
  <c r="CE151" i="1"/>
  <c r="CI151" i="1" s="1"/>
  <c r="CF152" i="1"/>
  <c r="CI152" i="1" s="1"/>
  <c r="CO152" i="1"/>
  <c r="CF153" i="1"/>
  <c r="CO153" i="1"/>
  <c r="CE154" i="1"/>
  <c r="CI154" i="1" s="1"/>
  <c r="CB155" i="1"/>
  <c r="CI155" i="1" s="1"/>
  <c r="CH156" i="1"/>
  <c r="CK157" i="1"/>
  <c r="CL158" i="1"/>
  <c r="CK159" i="1"/>
  <c r="CK160" i="1"/>
  <c r="CA161" i="1"/>
  <c r="CB162" i="1"/>
  <c r="CM163" i="1"/>
  <c r="CL164" i="1"/>
  <c r="CN165" i="1"/>
  <c r="BS167" i="1"/>
  <c r="CC167" i="1"/>
  <c r="CL167" i="1"/>
  <c r="CM168" i="1"/>
  <c r="CO169" i="1"/>
  <c r="BX170" i="1"/>
  <c r="CQ170" i="1"/>
  <c r="CK171" i="1"/>
  <c r="CL172" i="1"/>
  <c r="CN173" i="1"/>
  <c r="CR175" i="1"/>
  <c r="CL176" i="1"/>
  <c r="CD177" i="1"/>
  <c r="CE178" i="1"/>
  <c r="CN178" i="1"/>
  <c r="CR180" i="1"/>
  <c r="CK181" i="1"/>
  <c r="CS181" i="1" s="1"/>
  <c r="CT181" i="1" s="1"/>
  <c r="CK182" i="1"/>
  <c r="CL183" i="1"/>
  <c r="CN184" i="1"/>
  <c r="CR186" i="1"/>
  <c r="CK187" i="1"/>
  <c r="CF188" i="1"/>
  <c r="CM189" i="1"/>
  <c r="CN190" i="1"/>
  <c r="CO191" i="1"/>
  <c r="BX192" i="1"/>
  <c r="CQ192" i="1"/>
  <c r="CS192" i="1" s="1"/>
  <c r="CT192" i="1" s="1"/>
  <c r="CL193" i="1"/>
  <c r="CN194" i="1"/>
  <c r="CO195" i="1"/>
  <c r="CO196" i="1"/>
  <c r="BS197" i="1"/>
  <c r="CF198" i="1"/>
  <c r="CM199" i="1"/>
  <c r="CF200" i="1"/>
  <c r="BX201" i="1"/>
  <c r="CQ201" i="1"/>
  <c r="CR202" i="1"/>
  <c r="CM204" i="1"/>
  <c r="CL205" i="1"/>
  <c r="CM206" i="1"/>
  <c r="CN207" i="1"/>
  <c r="CO208" i="1"/>
  <c r="CR210" i="1"/>
  <c r="CN212" i="1"/>
  <c r="CO213" i="1"/>
  <c r="BX215" i="1"/>
  <c r="CQ215" i="1"/>
  <c r="BX216" i="1"/>
  <c r="CQ216" i="1"/>
  <c r="BX217" i="1"/>
  <c r="CQ217" i="1"/>
  <c r="CK218" i="1"/>
  <c r="CS218" i="1" s="1"/>
  <c r="CT218" i="1" s="1"/>
  <c r="CM219" i="1"/>
  <c r="CO220" i="1"/>
  <c r="CR221" i="1"/>
  <c r="BX223" i="1"/>
  <c r="CQ223" i="1"/>
  <c r="BX224" i="1"/>
  <c r="CQ224" i="1"/>
  <c r="CP225" i="1"/>
  <c r="CH227" i="1"/>
  <c r="CE228" i="1"/>
  <c r="CN229" i="1"/>
  <c r="CP230" i="1"/>
  <c r="CM235" i="1"/>
  <c r="BS240" i="1"/>
  <c r="CC240" i="1"/>
  <c r="CN242" i="1"/>
  <c r="CD251" i="1"/>
  <c r="CM254" i="1"/>
  <c r="CR255" i="1"/>
  <c r="CL255" i="1"/>
  <c r="CF256" i="1"/>
  <c r="CC262" i="1"/>
  <c r="CF265" i="1"/>
  <c r="CA267" i="1"/>
  <c r="CH267" i="1"/>
  <c r="CC267" i="1"/>
  <c r="BS267" i="1"/>
  <c r="CB267" i="1"/>
  <c r="CL268" i="1"/>
  <c r="CK268" i="1"/>
  <c r="CN268" i="1"/>
  <c r="CM268" i="1"/>
  <c r="CK282" i="1"/>
  <c r="CM293" i="1"/>
  <c r="CR293" i="1"/>
  <c r="CB308" i="1"/>
  <c r="BI308" i="1"/>
  <c r="CG308" i="1"/>
  <c r="CF132" i="1"/>
  <c r="CL133" i="1"/>
  <c r="CK135" i="1"/>
  <c r="CS135" i="1" s="1"/>
  <c r="CT135" i="1" s="1"/>
  <c r="CM136" i="1"/>
  <c r="CN138" i="1"/>
  <c r="CM140" i="1"/>
  <c r="BS143" i="1"/>
  <c r="CC143" i="1"/>
  <c r="BX144" i="1"/>
  <c r="CH144" i="1"/>
  <c r="CQ144" i="1"/>
  <c r="CR145" i="1"/>
  <c r="CK146" i="1"/>
  <c r="CS146" i="1" s="1"/>
  <c r="CT146" i="1" s="1"/>
  <c r="CL147" i="1"/>
  <c r="CM148" i="1"/>
  <c r="CD149" i="1"/>
  <c r="CN150" i="1"/>
  <c r="CF151" i="1"/>
  <c r="CP152" i="1"/>
  <c r="CG153" i="1"/>
  <c r="CP153" i="1"/>
  <c r="BS155" i="1"/>
  <c r="CC155" i="1"/>
  <c r="CA156" i="1"/>
  <c r="CL157" i="1"/>
  <c r="CM158" i="1"/>
  <c r="CL159" i="1"/>
  <c r="CL160" i="1"/>
  <c r="CB161" i="1"/>
  <c r="BS162" i="1"/>
  <c r="CC162" i="1"/>
  <c r="CN163" i="1"/>
  <c r="BX166" i="1"/>
  <c r="CQ166" i="1"/>
  <c r="CM167" i="1"/>
  <c r="CN168" i="1"/>
  <c r="CP169" i="1"/>
  <c r="CL171" i="1"/>
  <c r="CM172" i="1"/>
  <c r="BX174" i="1"/>
  <c r="CQ174" i="1"/>
  <c r="CK175" i="1"/>
  <c r="CM176" i="1"/>
  <c r="CE177" i="1"/>
  <c r="CF178" i="1"/>
  <c r="CO178" i="1"/>
  <c r="BX179" i="1"/>
  <c r="CQ179" i="1"/>
  <c r="CK180" i="1"/>
  <c r="CL181" i="1"/>
  <c r="CL182" i="1"/>
  <c r="CM183" i="1"/>
  <c r="CO184" i="1"/>
  <c r="BX185" i="1"/>
  <c r="CQ185" i="1"/>
  <c r="CK186" i="1"/>
  <c r="CS186" i="1" s="1"/>
  <c r="CT186" i="1" s="1"/>
  <c r="CL187" i="1"/>
  <c r="CG188" i="1"/>
  <c r="CN189" i="1"/>
  <c r="CO190" i="1"/>
  <c r="CR192" i="1"/>
  <c r="CM193" i="1"/>
  <c r="CO194" i="1"/>
  <c r="CG198" i="1"/>
  <c r="CG200" i="1"/>
  <c r="CR201" i="1"/>
  <c r="CN204" i="1"/>
  <c r="CN206" i="1"/>
  <c r="CO207" i="1"/>
  <c r="BX209" i="1"/>
  <c r="CQ209" i="1"/>
  <c r="CO212" i="1"/>
  <c r="BX214" i="1"/>
  <c r="CQ214" i="1"/>
  <c r="CR215" i="1"/>
  <c r="CR216" i="1"/>
  <c r="CR217" i="1"/>
  <c r="CN219" i="1"/>
  <c r="CK221" i="1"/>
  <c r="BX225" i="1"/>
  <c r="CQ225" i="1"/>
  <c r="CA227" i="1"/>
  <c r="CI227" i="1" s="1"/>
  <c r="CO229" i="1"/>
  <c r="BX230" i="1"/>
  <c r="CQ230" i="1"/>
  <c r="BX231" i="1"/>
  <c r="CQ231" i="1"/>
  <c r="CD234" i="1"/>
  <c r="CN235" i="1"/>
  <c r="CR237" i="1"/>
  <c r="CQ237" i="1"/>
  <c r="CC239" i="1"/>
  <c r="CI239" i="1" s="1"/>
  <c r="BS239" i="1"/>
  <c r="CH239" i="1"/>
  <c r="CE240" i="1"/>
  <c r="CO242" i="1"/>
  <c r="CG250" i="1"/>
  <c r="CF251" i="1"/>
  <c r="CN254" i="1"/>
  <c r="BX255" i="1"/>
  <c r="CG256" i="1"/>
  <c r="CE257" i="1"/>
  <c r="CD262" i="1"/>
  <c r="CG265" i="1"/>
  <c r="CH266" i="1"/>
  <c r="AD267" i="1"/>
  <c r="BX268" i="1"/>
  <c r="CM269" i="1"/>
  <c r="CL269" i="1"/>
  <c r="CO269" i="1"/>
  <c r="CN269" i="1"/>
  <c r="CQ271" i="1"/>
  <c r="BX271" i="1"/>
  <c r="CL271" i="1"/>
  <c r="CS271" i="1" s="1"/>
  <c r="CT271" i="1" s="1"/>
  <c r="CI272" i="1"/>
  <c r="CK272" i="1"/>
  <c r="CK276" i="1"/>
  <c r="CS276" i="1" s="1"/>
  <c r="CT276" i="1" s="1"/>
  <c r="BX277" i="1"/>
  <c r="CO278" i="1"/>
  <c r="CR278" i="1"/>
  <c r="CQ278" i="1"/>
  <c r="BX278" i="1"/>
  <c r="CM278" i="1"/>
  <c r="CS278" i="1" s="1"/>
  <c r="CT278" i="1" s="1"/>
  <c r="CO280" i="1"/>
  <c r="CL281" i="1"/>
  <c r="CK281" i="1"/>
  <c r="CN281" i="1"/>
  <c r="CM281" i="1"/>
  <c r="CL282" i="1"/>
  <c r="CE307" i="1"/>
  <c r="CD307" i="1"/>
  <c r="CC307" i="1"/>
  <c r="BS307" i="1"/>
  <c r="CH307" i="1"/>
  <c r="CG307" i="1"/>
  <c r="CF307" i="1"/>
  <c r="CI310" i="1"/>
  <c r="AD143" i="1"/>
  <c r="AD151" i="1"/>
  <c r="BX152" i="1"/>
  <c r="BX153" i="1"/>
  <c r="BS161" i="1"/>
  <c r="BX169" i="1"/>
  <c r="BX191" i="1"/>
  <c r="BX237" i="1"/>
  <c r="CM238" i="1"/>
  <c r="CS238" i="1" s="1"/>
  <c r="CT238" i="1" s="1"/>
  <c r="AD239" i="1"/>
  <c r="CF240" i="1"/>
  <c r="CP242" i="1"/>
  <c r="CQ244" i="1"/>
  <c r="CL245" i="1"/>
  <c r="CS245" i="1" s="1"/>
  <c r="CT245" i="1" s="1"/>
  <c r="CQ246" i="1"/>
  <c r="BX246" i="1"/>
  <c r="CR246" i="1"/>
  <c r="CG249" i="1"/>
  <c r="AD249" i="1"/>
  <c r="CH249" i="1"/>
  <c r="CH251" i="1"/>
  <c r="CA253" i="1"/>
  <c r="CC253" i="1"/>
  <c r="BS253" i="1"/>
  <c r="CK253" i="1"/>
  <c r="CS253" i="1" s="1"/>
  <c r="CT253" i="1" s="1"/>
  <c r="CO254" i="1"/>
  <c r="CI255" i="1"/>
  <c r="CK255" i="1"/>
  <c r="CH256" i="1"/>
  <c r="CF257" i="1"/>
  <c r="CE262" i="1"/>
  <c r="CD263" i="1"/>
  <c r="CH265" i="1"/>
  <c r="CD267" i="1"/>
  <c r="BX269" i="1"/>
  <c r="CM271" i="1"/>
  <c r="CL272" i="1"/>
  <c r="CI273" i="1"/>
  <c r="CR274" i="1"/>
  <c r="CQ274" i="1"/>
  <c r="BX274" i="1"/>
  <c r="CL274" i="1"/>
  <c r="CK274" i="1"/>
  <c r="CN278" i="1"/>
  <c r="CA280" i="1"/>
  <c r="CH280" i="1"/>
  <c r="CC280" i="1"/>
  <c r="BS280" i="1"/>
  <c r="CB280" i="1"/>
  <c r="CP280" i="1"/>
  <c r="BX281" i="1"/>
  <c r="CK283" i="1"/>
  <c r="CO288" i="1"/>
  <c r="CK290" i="1"/>
  <c r="CS290" i="1" s="1"/>
  <c r="CT290" i="1" s="1"/>
  <c r="CR290" i="1"/>
  <c r="CN290" i="1"/>
  <c r="CM290" i="1"/>
  <c r="CL290" i="1"/>
  <c r="CI298" i="1"/>
  <c r="CH299" i="1"/>
  <c r="CG299" i="1"/>
  <c r="CF299" i="1"/>
  <c r="CC299" i="1"/>
  <c r="BS299" i="1"/>
  <c r="CB299" i="1"/>
  <c r="CA299" i="1"/>
  <c r="CN303" i="1"/>
  <c r="AD307" i="1"/>
  <c r="CO270" i="1"/>
  <c r="CP271" i="1"/>
  <c r="CO282" i="1"/>
  <c r="CP283" i="1"/>
  <c r="CO287" i="1"/>
  <c r="CP288" i="1"/>
  <c r="CN291" i="1"/>
  <c r="CP293" i="1"/>
  <c r="BX294" i="1"/>
  <c r="CQ294" i="1"/>
  <c r="CN297" i="1"/>
  <c r="CS297" i="1" s="1"/>
  <c r="CT297" i="1" s="1"/>
  <c r="CK298" i="1"/>
  <c r="CA300" i="1"/>
  <c r="CG301" i="1"/>
  <c r="CN302" i="1"/>
  <c r="CP304" i="1"/>
  <c r="CK306" i="1"/>
  <c r="CE308" i="1"/>
  <c r="BX309" i="1"/>
  <c r="CQ309" i="1"/>
  <c r="CG310" i="1"/>
  <c r="BX311" i="1"/>
  <c r="CQ311" i="1"/>
  <c r="CK312" i="1"/>
  <c r="CL313" i="1"/>
  <c r="CS313" i="1" s="1"/>
  <c r="CT313" i="1" s="1"/>
  <c r="CN314" i="1"/>
  <c r="CS314" i="1" s="1"/>
  <c r="CT314" i="1" s="1"/>
  <c r="CO315" i="1"/>
  <c r="CP316" i="1"/>
  <c r="BX317" i="1"/>
  <c r="CQ317" i="1"/>
  <c r="CK319" i="1"/>
  <c r="CL320" i="1"/>
  <c r="CM321" i="1"/>
  <c r="CN322" i="1"/>
  <c r="CO323" i="1"/>
  <c r="CP324" i="1"/>
  <c r="BX325" i="1"/>
  <c r="CQ325" i="1"/>
  <c r="CP326" i="1"/>
  <c r="CK329" i="1"/>
  <c r="CL330" i="1"/>
  <c r="CS330" i="1" s="1"/>
  <c r="CT330" i="1" s="1"/>
  <c r="CM331" i="1"/>
  <c r="CN332" i="1"/>
  <c r="CO333" i="1"/>
  <c r="CP334" i="1"/>
  <c r="CK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P355" i="1"/>
  <c r="CK362" i="1"/>
  <c r="CK366" i="1"/>
  <c r="CK372" i="1"/>
  <c r="CK376" i="1"/>
  <c r="CF383" i="1"/>
  <c r="CP384" i="1"/>
  <c r="CK386" i="1"/>
  <c r="CP389" i="1"/>
  <c r="CK393" i="1"/>
  <c r="CO401" i="1"/>
  <c r="CN401" i="1"/>
  <c r="CM401" i="1"/>
  <c r="CL401" i="1"/>
  <c r="CK401" i="1"/>
  <c r="CQ401" i="1"/>
  <c r="BX401" i="1"/>
  <c r="CO407" i="1"/>
  <c r="CN407" i="1"/>
  <c r="CM407" i="1"/>
  <c r="CL407" i="1"/>
  <c r="CK407" i="1"/>
  <c r="CR407" i="1"/>
  <c r="CQ407" i="1"/>
  <c r="BX407" i="1"/>
  <c r="CR425" i="1"/>
  <c r="CQ425" i="1"/>
  <c r="BX425" i="1"/>
  <c r="CO425" i="1"/>
  <c r="CM425" i="1"/>
  <c r="CL425" i="1"/>
  <c r="CR457" i="1"/>
  <c r="CQ457" i="1"/>
  <c r="BX457" i="1"/>
  <c r="CO457" i="1"/>
  <c r="CN457" i="1"/>
  <c r="CM457" i="1"/>
  <c r="CL457" i="1"/>
  <c r="CI461" i="1"/>
  <c r="CE261" i="1"/>
  <c r="CP270" i="1"/>
  <c r="CP277" i="1"/>
  <c r="CP282" i="1"/>
  <c r="CQ283" i="1"/>
  <c r="CP287" i="1"/>
  <c r="CO291" i="1"/>
  <c r="CP292" i="1"/>
  <c r="BX293" i="1"/>
  <c r="CQ293" i="1"/>
  <c r="CR294" i="1"/>
  <c r="CO297" i="1"/>
  <c r="CL298" i="1"/>
  <c r="CB300" i="1"/>
  <c r="CH301" i="1"/>
  <c r="CO302" i="1"/>
  <c r="CP303" i="1"/>
  <c r="BX304" i="1"/>
  <c r="CQ304" i="1"/>
  <c r="CL306" i="1"/>
  <c r="AD308" i="1"/>
  <c r="CF308" i="1"/>
  <c r="CA309" i="1"/>
  <c r="CR309" i="1"/>
  <c r="CH310" i="1"/>
  <c r="CR311" i="1"/>
  <c r="CL312" i="1"/>
  <c r="CM313" i="1"/>
  <c r="CO314" i="1"/>
  <c r="CP315" i="1"/>
  <c r="BX316" i="1"/>
  <c r="CQ316" i="1"/>
  <c r="CR317" i="1"/>
  <c r="CL319" i="1"/>
  <c r="CM320" i="1"/>
  <c r="CN321" i="1"/>
  <c r="CO322" i="1"/>
  <c r="CP323" i="1"/>
  <c r="BX324" i="1"/>
  <c r="CQ324" i="1"/>
  <c r="CR325" i="1"/>
  <c r="BX326" i="1"/>
  <c r="CQ326" i="1"/>
  <c r="CR327" i="1"/>
  <c r="CK328" i="1"/>
  <c r="CL329" i="1"/>
  <c r="CM330" i="1"/>
  <c r="CN331" i="1"/>
  <c r="CO332" i="1"/>
  <c r="CP333" i="1"/>
  <c r="BX334" i="1"/>
  <c r="CQ334" i="1"/>
  <c r="CR335" i="1"/>
  <c r="CL337" i="1"/>
  <c r="CG338" i="1"/>
  <c r="AD339" i="1"/>
  <c r="CG339" i="1"/>
  <c r="AD340" i="1"/>
  <c r="CG340" i="1"/>
  <c r="AD341" i="1"/>
  <c r="CG341" i="1"/>
  <c r="AD342" i="1"/>
  <c r="CG342" i="1"/>
  <c r="AD343" i="1"/>
  <c r="CG343" i="1"/>
  <c r="AD344" i="1"/>
  <c r="CG344" i="1"/>
  <c r="AD345" i="1"/>
  <c r="CG345" i="1"/>
  <c r="AD346" i="1"/>
  <c r="CG346" i="1"/>
  <c r="AD347" i="1"/>
  <c r="CG347" i="1"/>
  <c r="AD348" i="1"/>
  <c r="CG348" i="1"/>
  <c r="AD349" i="1"/>
  <c r="CG349" i="1"/>
  <c r="CR350" i="1"/>
  <c r="CK351" i="1"/>
  <c r="CM352" i="1"/>
  <c r="CS352" i="1" s="1"/>
  <c r="CT352" i="1" s="1"/>
  <c r="CN353" i="1"/>
  <c r="CO354" i="1"/>
  <c r="BX355" i="1"/>
  <c r="CQ355" i="1"/>
  <c r="CK356" i="1"/>
  <c r="CM357" i="1"/>
  <c r="CS357" i="1" s="1"/>
  <c r="CT357" i="1" s="1"/>
  <c r="CO358" i="1"/>
  <c r="CG359" i="1"/>
  <c r="CP359" i="1"/>
  <c r="CR360" i="1"/>
  <c r="CK361" i="1"/>
  <c r="CL362" i="1"/>
  <c r="CH363" i="1"/>
  <c r="CR364" i="1"/>
  <c r="CK365" i="1"/>
  <c r="CL366" i="1"/>
  <c r="CM367" i="1"/>
  <c r="CS367" i="1" s="1"/>
  <c r="CT367" i="1" s="1"/>
  <c r="CE368" i="1"/>
  <c r="CI368" i="1" s="1"/>
  <c r="CO369" i="1"/>
  <c r="CP370" i="1"/>
  <c r="CR371" i="1"/>
  <c r="CL372" i="1"/>
  <c r="CN373" i="1"/>
  <c r="CP374" i="1"/>
  <c r="CR375" i="1"/>
  <c r="CL376" i="1"/>
  <c r="CF382" i="1"/>
  <c r="AD383" i="1"/>
  <c r="CG383" i="1"/>
  <c r="BX384" i="1"/>
  <c r="CQ384" i="1"/>
  <c r="BX389" i="1"/>
  <c r="CQ389" i="1"/>
  <c r="CK390" i="1"/>
  <c r="CS390" i="1" s="1"/>
  <c r="CT390" i="1" s="1"/>
  <c r="CM393" i="1"/>
  <c r="CK394" i="1"/>
  <c r="CP407" i="1"/>
  <c r="CO419" i="1"/>
  <c r="CN419" i="1"/>
  <c r="CM419" i="1"/>
  <c r="CL419" i="1"/>
  <c r="CK419" i="1"/>
  <c r="CR419" i="1"/>
  <c r="CQ419" i="1"/>
  <c r="BX419" i="1"/>
  <c r="CO430" i="1"/>
  <c r="CN430" i="1"/>
  <c r="CM430" i="1"/>
  <c r="CL430" i="1"/>
  <c r="CK430" i="1"/>
  <c r="CR430" i="1"/>
  <c r="CQ430" i="1"/>
  <c r="BX430" i="1"/>
  <c r="CC432" i="1"/>
  <c r="BS432" i="1"/>
  <c r="CB432" i="1"/>
  <c r="CA432" i="1"/>
  <c r="CH432" i="1"/>
  <c r="CG432" i="1"/>
  <c r="CF432" i="1"/>
  <c r="CE432" i="1"/>
  <c r="AD432" i="1"/>
  <c r="CR440" i="1"/>
  <c r="CQ440" i="1"/>
  <c r="BX440" i="1"/>
  <c r="CO440" i="1"/>
  <c r="CN440" i="1"/>
  <c r="CM440" i="1"/>
  <c r="CL440" i="1"/>
  <c r="CP291" i="1"/>
  <c r="CK294" i="1"/>
  <c r="CS294" i="1" s="1"/>
  <c r="CT294" i="1" s="1"/>
  <c r="CP297" i="1"/>
  <c r="BS300" i="1"/>
  <c r="CC300" i="1"/>
  <c r="CA301" i="1"/>
  <c r="CP302" i="1"/>
  <c r="CM306" i="1"/>
  <c r="CK309" i="1"/>
  <c r="CK311" i="1"/>
  <c r="CS311" i="1" s="1"/>
  <c r="CT311" i="1" s="1"/>
  <c r="CM312" i="1"/>
  <c r="CN313" i="1"/>
  <c r="CP314" i="1"/>
  <c r="BX315" i="1"/>
  <c r="CQ315" i="1"/>
  <c r="CR316" i="1"/>
  <c r="CK317" i="1"/>
  <c r="CS317" i="1" s="1"/>
  <c r="CT317" i="1" s="1"/>
  <c r="CM319" i="1"/>
  <c r="CN320" i="1"/>
  <c r="CO321" i="1"/>
  <c r="CP322" i="1"/>
  <c r="BX323" i="1"/>
  <c r="CQ323" i="1"/>
  <c r="CR324" i="1"/>
  <c r="CK325" i="1"/>
  <c r="CS325" i="1" s="1"/>
  <c r="CT325" i="1" s="1"/>
  <c r="CR326" i="1"/>
  <c r="CK327" i="1"/>
  <c r="CM329" i="1"/>
  <c r="CN330" i="1"/>
  <c r="CO331" i="1"/>
  <c r="CP332" i="1"/>
  <c r="BX333" i="1"/>
  <c r="CQ333" i="1"/>
  <c r="CR334" i="1"/>
  <c r="CK335" i="1"/>
  <c r="CS335" i="1" s="1"/>
  <c r="CT335" i="1" s="1"/>
  <c r="CM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K350" i="1"/>
  <c r="CL351" i="1"/>
  <c r="CO353" i="1"/>
  <c r="CP354" i="1"/>
  <c r="CR355" i="1"/>
  <c r="CL356" i="1"/>
  <c r="CP358" i="1"/>
  <c r="BX359" i="1"/>
  <c r="CQ359" i="1"/>
  <c r="CK360" i="1"/>
  <c r="CL361" i="1"/>
  <c r="CM362" i="1"/>
  <c r="CA363" i="1"/>
  <c r="CK364" i="1"/>
  <c r="CL365" i="1"/>
  <c r="CM366" i="1"/>
  <c r="CN367" i="1"/>
  <c r="CF368" i="1"/>
  <c r="CP369" i="1"/>
  <c r="CK371" i="1"/>
  <c r="CM372" i="1"/>
  <c r="CO373" i="1"/>
  <c r="CK375" i="1"/>
  <c r="CM376" i="1"/>
  <c r="CF381" i="1"/>
  <c r="AD382" i="1"/>
  <c r="CG382" i="1"/>
  <c r="CH383" i="1"/>
  <c r="CR384" i="1"/>
  <c r="CK385" i="1"/>
  <c r="CS385" i="1" s="1"/>
  <c r="CT385" i="1" s="1"/>
  <c r="CM386" i="1"/>
  <c r="CP388" i="1"/>
  <c r="CR389" i="1"/>
  <c r="CL390" i="1"/>
  <c r="CQ392" i="1"/>
  <c r="CO393" i="1"/>
  <c r="CL394" i="1"/>
  <c r="CI395" i="1"/>
  <c r="CE397" i="1"/>
  <c r="CM399" i="1"/>
  <c r="CK399" i="1"/>
  <c r="CR399" i="1"/>
  <c r="CQ399" i="1"/>
  <c r="BX399" i="1"/>
  <c r="CO399" i="1"/>
  <c r="CP401" i="1"/>
  <c r="CI403" i="1"/>
  <c r="CR416" i="1"/>
  <c r="CQ416" i="1"/>
  <c r="BX416" i="1"/>
  <c r="CO416" i="1"/>
  <c r="CN416" i="1"/>
  <c r="CM416" i="1"/>
  <c r="CL416" i="1"/>
  <c r="CS416" i="1" s="1"/>
  <c r="CT416" i="1" s="1"/>
  <c r="CI419" i="1"/>
  <c r="CP419" i="1"/>
  <c r="CI430" i="1"/>
  <c r="CP430" i="1"/>
  <c r="CI433" i="1"/>
  <c r="CS442" i="1"/>
  <c r="CT442" i="1" s="1"/>
  <c r="CO446" i="1"/>
  <c r="CN446" i="1"/>
  <c r="CM446" i="1"/>
  <c r="CL446" i="1"/>
  <c r="CK446" i="1"/>
  <c r="CR446" i="1"/>
  <c r="CQ446" i="1"/>
  <c r="BX446" i="1"/>
  <c r="CI456" i="1"/>
  <c r="CR461" i="1"/>
  <c r="CQ461" i="1"/>
  <c r="BX461" i="1"/>
  <c r="CO461" i="1"/>
  <c r="CN461" i="1"/>
  <c r="CM461" i="1"/>
  <c r="CL461" i="1"/>
  <c r="CI577" i="1"/>
  <c r="CK316" i="1"/>
  <c r="CP321" i="1"/>
  <c r="CK324" i="1"/>
  <c r="CK326" i="1"/>
  <c r="CO330" i="1"/>
  <c r="CP331" i="1"/>
  <c r="CK334" i="1"/>
  <c r="CN337" i="1"/>
  <c r="CA338" i="1"/>
  <c r="CA345" i="1"/>
  <c r="CI345" i="1" s="1"/>
  <c r="CA346" i="1"/>
  <c r="CA347" i="1"/>
  <c r="CA348" i="1"/>
  <c r="CA349" i="1"/>
  <c r="CL350" i="1"/>
  <c r="CD351" i="1"/>
  <c r="CI351" i="1" s="1"/>
  <c r="CM351" i="1"/>
  <c r="CO352" i="1"/>
  <c r="BX354" i="1"/>
  <c r="CQ354" i="1"/>
  <c r="CK355" i="1"/>
  <c r="CM356" i="1"/>
  <c r="CO357" i="1"/>
  <c r="BX358" i="1"/>
  <c r="CQ358" i="1"/>
  <c r="CA359" i="1"/>
  <c r="CR359" i="1"/>
  <c r="CL360" i="1"/>
  <c r="CM361" i="1"/>
  <c r="CN362" i="1"/>
  <c r="BI363" i="1"/>
  <c r="CB363" i="1"/>
  <c r="CK363" i="1"/>
  <c r="CL364" i="1"/>
  <c r="CM365" i="1"/>
  <c r="CN366" i="1"/>
  <c r="CO367" i="1"/>
  <c r="AD368" i="1"/>
  <c r="CG368" i="1"/>
  <c r="BX369" i="1"/>
  <c r="CQ369" i="1"/>
  <c r="CR370" i="1"/>
  <c r="CL371" i="1"/>
  <c r="CN372" i="1"/>
  <c r="CP373" i="1"/>
  <c r="CR374" i="1"/>
  <c r="CL375" i="1"/>
  <c r="CN376" i="1"/>
  <c r="CF377" i="1"/>
  <c r="CI377" i="1" s="1"/>
  <c r="CF378" i="1"/>
  <c r="CI378" i="1" s="1"/>
  <c r="CF379" i="1"/>
  <c r="CF380" i="1"/>
  <c r="AD381" i="1"/>
  <c r="CG381" i="1"/>
  <c r="CH382" i="1"/>
  <c r="CA383" i="1"/>
  <c r="CK384" i="1"/>
  <c r="CL385" i="1"/>
  <c r="CN386" i="1"/>
  <c r="CP387" i="1"/>
  <c r="BX388" i="1"/>
  <c r="CQ388" i="1"/>
  <c r="CK389" i="1"/>
  <c r="CM390" i="1"/>
  <c r="BX392" i="1"/>
  <c r="CR392" i="1"/>
  <c r="CI399" i="1"/>
  <c r="CL399" i="1"/>
  <c r="CI400" i="1"/>
  <c r="CR401" i="1"/>
  <c r="CI405" i="1"/>
  <c r="CW413" i="1"/>
  <c r="CP425" i="1"/>
  <c r="CD432" i="1"/>
  <c r="CI439" i="1"/>
  <c r="CI443" i="1"/>
  <c r="CI446" i="1"/>
  <c r="CP446" i="1"/>
  <c r="CI460" i="1"/>
  <c r="CP313" i="1"/>
  <c r="CK315" i="1"/>
  <c r="CL316" i="1"/>
  <c r="CP320" i="1"/>
  <c r="CS320" i="1" s="1"/>
  <c r="CT320" i="1" s="1"/>
  <c r="BX321" i="1"/>
  <c r="CQ321" i="1"/>
  <c r="CK323" i="1"/>
  <c r="CL324" i="1"/>
  <c r="CL326" i="1"/>
  <c r="CP330" i="1"/>
  <c r="CK333" i="1"/>
  <c r="CL334" i="1"/>
  <c r="CB338" i="1"/>
  <c r="CB346" i="1"/>
  <c r="CB347" i="1"/>
  <c r="CB348" i="1"/>
  <c r="CB349" i="1"/>
  <c r="CM350" i="1"/>
  <c r="CE351" i="1"/>
  <c r="CN351" i="1"/>
  <c r="BX353" i="1"/>
  <c r="CQ353" i="1"/>
  <c r="CR354" i="1"/>
  <c r="CL355" i="1"/>
  <c r="CN356" i="1"/>
  <c r="CR358" i="1"/>
  <c r="CB359" i="1"/>
  <c r="CK359" i="1"/>
  <c r="CM360" i="1"/>
  <c r="CN361" i="1"/>
  <c r="CO362" i="1"/>
  <c r="BS363" i="1"/>
  <c r="CM364" i="1"/>
  <c r="CN365" i="1"/>
  <c r="CO366" i="1"/>
  <c r="CH368" i="1"/>
  <c r="CR369" i="1"/>
  <c r="CK370" i="1"/>
  <c r="CS370" i="1" s="1"/>
  <c r="CT370" i="1" s="1"/>
  <c r="CM371" i="1"/>
  <c r="CO372" i="1"/>
  <c r="BX373" i="1"/>
  <c r="CK374" i="1"/>
  <c r="CS374" i="1" s="1"/>
  <c r="CT374" i="1" s="1"/>
  <c r="CM375" i="1"/>
  <c r="CO376" i="1"/>
  <c r="AD377" i="1"/>
  <c r="AD378" i="1"/>
  <c r="AD379" i="1"/>
  <c r="CG379" i="1"/>
  <c r="AD380" i="1"/>
  <c r="CG380" i="1"/>
  <c r="CH381" i="1"/>
  <c r="CA382" i="1"/>
  <c r="CB383" i="1"/>
  <c r="BS384" i="1"/>
  <c r="CC384" i="1"/>
  <c r="CL384" i="1"/>
  <c r="CD385" i="1"/>
  <c r="CI385" i="1" s="1"/>
  <c r="CM385" i="1"/>
  <c r="CO386" i="1"/>
  <c r="BX387" i="1"/>
  <c r="CQ387" i="1"/>
  <c r="CR388" i="1"/>
  <c r="CL389" i="1"/>
  <c r="CN390" i="1"/>
  <c r="CP394" i="1"/>
  <c r="CN394" i="1"/>
  <c r="CO394" i="1"/>
  <c r="CE396" i="1"/>
  <c r="CC396" i="1"/>
  <c r="BS396" i="1"/>
  <c r="CB396" i="1"/>
  <c r="CA396" i="1"/>
  <c r="CG396" i="1"/>
  <c r="AD396" i="1"/>
  <c r="CL398" i="1"/>
  <c r="CR398" i="1"/>
  <c r="CQ398" i="1"/>
  <c r="BX398" i="1"/>
  <c r="CP398" i="1"/>
  <c r="CN398" i="1"/>
  <c r="CK398" i="1"/>
  <c r="CN399" i="1"/>
  <c r="CI402" i="1"/>
  <c r="CI406" i="1"/>
  <c r="CI409" i="1"/>
  <c r="CI418" i="1"/>
  <c r="CR422" i="1"/>
  <c r="CQ422" i="1"/>
  <c r="BX422" i="1"/>
  <c r="CO422" i="1"/>
  <c r="CN422" i="1"/>
  <c r="CM422" i="1"/>
  <c r="CL422" i="1"/>
  <c r="CS422" i="1" s="1"/>
  <c r="CT422" i="1" s="1"/>
  <c r="CI426" i="1"/>
  <c r="CI437" i="1"/>
  <c r="CI438" i="1"/>
  <c r="CI450" i="1"/>
  <c r="CI458" i="1"/>
  <c r="CI459" i="1"/>
  <c r="CI464" i="1"/>
  <c r="CF300" i="1"/>
  <c r="CD301" i="1"/>
  <c r="CP306" i="1"/>
  <c r="CP312" i="1"/>
  <c r="BX313" i="1"/>
  <c r="CQ313" i="1"/>
  <c r="CP319" i="1"/>
  <c r="BX320" i="1"/>
  <c r="CQ320" i="1"/>
  <c r="CR321" i="1"/>
  <c r="CP329" i="1"/>
  <c r="BX330" i="1"/>
  <c r="CQ330" i="1"/>
  <c r="CR331" i="1"/>
  <c r="CP337" i="1"/>
  <c r="AD338" i="1"/>
  <c r="BS338" i="1"/>
  <c r="CC338" i="1"/>
  <c r="BS345" i="1"/>
  <c r="CC345" i="1"/>
  <c r="BS346" i="1"/>
  <c r="CC346" i="1"/>
  <c r="BS347" i="1"/>
  <c r="CC347" i="1"/>
  <c r="BS348" i="1"/>
  <c r="CC348" i="1"/>
  <c r="BS349" i="1"/>
  <c r="CC349" i="1"/>
  <c r="CN350" i="1"/>
  <c r="CO351" i="1"/>
  <c r="BX352" i="1"/>
  <c r="CQ352" i="1"/>
  <c r="CR353" i="1"/>
  <c r="CK354" i="1"/>
  <c r="CM355" i="1"/>
  <c r="CO356" i="1"/>
  <c r="BX357" i="1"/>
  <c r="CQ357" i="1"/>
  <c r="CK358" i="1"/>
  <c r="CC359" i="1"/>
  <c r="CL359" i="1"/>
  <c r="CN360" i="1"/>
  <c r="CO361" i="1"/>
  <c r="CD363" i="1"/>
  <c r="CN364" i="1"/>
  <c r="CO365" i="1"/>
  <c r="BX367" i="1"/>
  <c r="CQ367" i="1"/>
  <c r="CK369" i="1"/>
  <c r="CN371" i="1"/>
  <c r="CR373" i="1"/>
  <c r="CN375" i="1"/>
  <c r="CA381" i="1"/>
  <c r="CB382" i="1"/>
  <c r="BS383" i="1"/>
  <c r="CC383" i="1"/>
  <c r="CM384" i="1"/>
  <c r="CP386" i="1"/>
  <c r="CK388" i="1"/>
  <c r="CS388" i="1" s="1"/>
  <c r="CT388" i="1" s="1"/>
  <c r="CM389" i="1"/>
  <c r="CO390" i="1"/>
  <c r="CK392" i="1"/>
  <c r="CN393" i="1"/>
  <c r="CL393" i="1"/>
  <c r="CR393" i="1"/>
  <c r="CQ394" i="1"/>
  <c r="CB397" i="1"/>
  <c r="CI397" i="1" s="1"/>
  <c r="CH397" i="1"/>
  <c r="CG397" i="1"/>
  <c r="CF397" i="1"/>
  <c r="CD397" i="1"/>
  <c r="AD397" i="1"/>
  <c r="CM398" i="1"/>
  <c r="CP399" i="1"/>
  <c r="CI412" i="1"/>
  <c r="CI429" i="1"/>
  <c r="CI441" i="1"/>
  <c r="CI442" i="1"/>
  <c r="CP457" i="1"/>
  <c r="CI462" i="1"/>
  <c r="CI463" i="1"/>
  <c r="CM270" i="1"/>
  <c r="CN271" i="1"/>
  <c r="CP273" i="1"/>
  <c r="CM277" i="1"/>
  <c r="CM282" i="1"/>
  <c r="CN283" i="1"/>
  <c r="CP284" i="1"/>
  <c r="CS284" i="1" s="1"/>
  <c r="CT284" i="1" s="1"/>
  <c r="CM287" i="1"/>
  <c r="CS287" i="1" s="1"/>
  <c r="CT287" i="1" s="1"/>
  <c r="CN288" i="1"/>
  <c r="CP289" i="1"/>
  <c r="CS289" i="1" s="1"/>
  <c r="CT289" i="1" s="1"/>
  <c r="CL291" i="1"/>
  <c r="CS291" i="1" s="1"/>
  <c r="CT291" i="1" s="1"/>
  <c r="CM292" i="1"/>
  <c r="CN293" i="1"/>
  <c r="CP295" i="1"/>
  <c r="CS295" i="1" s="1"/>
  <c r="CT295" i="1" s="1"/>
  <c r="CL297" i="1"/>
  <c r="BX298" i="1"/>
  <c r="CQ298" i="1"/>
  <c r="AD300" i="1"/>
  <c r="CG300" i="1"/>
  <c r="AD301" i="1"/>
  <c r="CE301" i="1"/>
  <c r="CL302" i="1"/>
  <c r="CS302" i="1" s="1"/>
  <c r="CT302" i="1" s="1"/>
  <c r="CM303" i="1"/>
  <c r="CN304" i="1"/>
  <c r="CF305" i="1"/>
  <c r="CI305" i="1" s="1"/>
  <c r="BX306" i="1"/>
  <c r="CQ306" i="1"/>
  <c r="BS308" i="1"/>
  <c r="CC308" i="1"/>
  <c r="CF309" i="1"/>
  <c r="CO309" i="1"/>
  <c r="CE310" i="1"/>
  <c r="BX312" i="1"/>
  <c r="CQ312" i="1"/>
  <c r="CR313" i="1"/>
  <c r="CL314" i="1"/>
  <c r="CM315" i="1"/>
  <c r="CN316" i="1"/>
  <c r="CP318" i="1"/>
  <c r="CS318" i="1" s="1"/>
  <c r="CT318" i="1" s="1"/>
  <c r="BX319" i="1"/>
  <c r="CQ319" i="1"/>
  <c r="CR320" i="1"/>
  <c r="CK321" i="1"/>
  <c r="CL322" i="1"/>
  <c r="CS322" i="1" s="1"/>
  <c r="CT322" i="1" s="1"/>
  <c r="CM323" i="1"/>
  <c r="CN324" i="1"/>
  <c r="CN326" i="1"/>
  <c r="CP328" i="1"/>
  <c r="BX329" i="1"/>
  <c r="CQ329" i="1"/>
  <c r="CR330" i="1"/>
  <c r="CK331" i="1"/>
  <c r="CL332" i="1"/>
  <c r="CS332" i="1" s="1"/>
  <c r="CT332" i="1" s="1"/>
  <c r="CM333" i="1"/>
  <c r="CN334" i="1"/>
  <c r="CP336" i="1"/>
  <c r="CS336" i="1" s="1"/>
  <c r="CT336" i="1" s="1"/>
  <c r="BX337" i="1"/>
  <c r="CQ337" i="1"/>
  <c r="CD338" i="1"/>
  <c r="CD339" i="1"/>
  <c r="CI339" i="1" s="1"/>
  <c r="CD340" i="1"/>
  <c r="CI340" i="1" s="1"/>
  <c r="CD341" i="1"/>
  <c r="CI341" i="1" s="1"/>
  <c r="CD342" i="1"/>
  <c r="CI342" i="1" s="1"/>
  <c r="CD343" i="1"/>
  <c r="CI343" i="1" s="1"/>
  <c r="CD344" i="1"/>
  <c r="CI344" i="1" s="1"/>
  <c r="CD345" i="1"/>
  <c r="CD346" i="1"/>
  <c r="CD347" i="1"/>
  <c r="CD348" i="1"/>
  <c r="CD349" i="1"/>
  <c r="CP351" i="1"/>
  <c r="CK353" i="1"/>
  <c r="CS353" i="1" s="1"/>
  <c r="CT353" i="1" s="1"/>
  <c r="CN355" i="1"/>
  <c r="CP356" i="1"/>
  <c r="CL358" i="1"/>
  <c r="CM359" i="1"/>
  <c r="CP361" i="1"/>
  <c r="BX362" i="1"/>
  <c r="CQ362" i="1"/>
  <c r="CP365" i="1"/>
  <c r="BX366" i="1"/>
  <c r="CQ366" i="1"/>
  <c r="BX372" i="1"/>
  <c r="CQ372" i="1"/>
  <c r="CK373" i="1"/>
  <c r="CS373" i="1" s="1"/>
  <c r="CT373" i="1" s="1"/>
  <c r="BX376" i="1"/>
  <c r="CQ376" i="1"/>
  <c r="CA379" i="1"/>
  <c r="CI379" i="1" s="1"/>
  <c r="CA380" i="1"/>
  <c r="CB381" i="1"/>
  <c r="BS382" i="1"/>
  <c r="CC382" i="1"/>
  <c r="CD383" i="1"/>
  <c r="CE384" i="1"/>
  <c r="CN384" i="1"/>
  <c r="CO385" i="1"/>
  <c r="BX386" i="1"/>
  <c r="CQ386" i="1"/>
  <c r="CK387" i="1"/>
  <c r="CS387" i="1" s="1"/>
  <c r="CT387" i="1" s="1"/>
  <c r="CL388" i="1"/>
  <c r="CN389" i="1"/>
  <c r="CM392" i="1"/>
  <c r="BX393" i="1"/>
  <c r="CS402" i="1"/>
  <c r="CT402" i="1" s="1"/>
  <c r="CR409" i="1"/>
  <c r="CQ409" i="1"/>
  <c r="BX409" i="1"/>
  <c r="CO409" i="1"/>
  <c r="CN409" i="1"/>
  <c r="CM409" i="1"/>
  <c r="CL409" i="1"/>
  <c r="CS409" i="1" s="1"/>
  <c r="CT409" i="1" s="1"/>
  <c r="CI413" i="1"/>
  <c r="CI414" i="1"/>
  <c r="CI417" i="1"/>
  <c r="CI425" i="1"/>
  <c r="CK425" i="1"/>
  <c r="CM431" i="1"/>
  <c r="CL431" i="1"/>
  <c r="CK431" i="1"/>
  <c r="CR431" i="1"/>
  <c r="CQ431" i="1"/>
  <c r="BX431" i="1"/>
  <c r="CP431" i="1"/>
  <c r="CO431" i="1"/>
  <c r="CN431" i="1"/>
  <c r="CP440" i="1"/>
  <c r="CI445" i="1"/>
  <c r="CO453" i="1"/>
  <c r="CN453" i="1"/>
  <c r="CM453" i="1"/>
  <c r="CL453" i="1"/>
  <c r="CK453" i="1"/>
  <c r="CR453" i="1"/>
  <c r="CQ453" i="1"/>
  <c r="BX453" i="1"/>
  <c r="CI457" i="1"/>
  <c r="CK457" i="1"/>
  <c r="CS473" i="1"/>
  <c r="CT473" i="1" s="1"/>
  <c r="BS261" i="1"/>
  <c r="BX273" i="1"/>
  <c r="BX284" i="1"/>
  <c r="BX289" i="1"/>
  <c r="BX295" i="1"/>
  <c r="AD305" i="1"/>
  <c r="AD310" i="1"/>
  <c r="BX318" i="1"/>
  <c r="BX328" i="1"/>
  <c r="BX336" i="1"/>
  <c r="BX351" i="1"/>
  <c r="BX356" i="1"/>
  <c r="BX361" i="1"/>
  <c r="BX365" i="1"/>
  <c r="BS381" i="1"/>
  <c r="BX390" i="1"/>
  <c r="CN392" i="1"/>
  <c r="BX394" i="1"/>
  <c r="CH396" i="1"/>
  <c r="CP416" i="1"/>
  <c r="CI440" i="1"/>
  <c r="CK440" i="1"/>
  <c r="CS440" i="1" s="1"/>
  <c r="CT440" i="1" s="1"/>
  <c r="CM448" i="1"/>
  <c r="CL448" i="1"/>
  <c r="CK448" i="1"/>
  <c r="CR448" i="1"/>
  <c r="CQ448" i="1"/>
  <c r="BX448" i="1"/>
  <c r="CP448" i="1"/>
  <c r="CO448" i="1"/>
  <c r="CN448" i="1"/>
  <c r="CI453" i="1"/>
  <c r="CP453" i="1"/>
  <c r="CK467" i="1"/>
  <c r="CS467" i="1" s="1"/>
  <c r="CT467" i="1" s="1"/>
  <c r="CP468" i="1"/>
  <c r="CK470" i="1"/>
  <c r="BS474" i="1"/>
  <c r="CC474" i="1"/>
  <c r="CK479" i="1"/>
  <c r="CR481" i="1"/>
  <c r="CA483" i="1"/>
  <c r="CA484" i="1"/>
  <c r="CK485" i="1"/>
  <c r="CP489" i="1"/>
  <c r="CK492" i="1"/>
  <c r="CK503" i="1"/>
  <c r="CP504" i="1"/>
  <c r="CP506" i="1"/>
  <c r="CP508" i="1"/>
  <c r="CP510" i="1"/>
  <c r="CP512" i="1"/>
  <c r="CQ534" i="1"/>
  <c r="BX534" i="1"/>
  <c r="CM534" i="1"/>
  <c r="CK538" i="1"/>
  <c r="CO551" i="1"/>
  <c r="CL561" i="1"/>
  <c r="CK561" i="1"/>
  <c r="CR561" i="1"/>
  <c r="CO561" i="1"/>
  <c r="CN561" i="1"/>
  <c r="BX561" i="1"/>
  <c r="CK569" i="1"/>
  <c r="CR569" i="1"/>
  <c r="CQ569" i="1"/>
  <c r="BX569" i="1"/>
  <c r="CN569" i="1"/>
  <c r="CM569" i="1"/>
  <c r="CL569" i="1"/>
  <c r="CR572" i="1"/>
  <c r="CR591" i="1"/>
  <c r="CO591" i="1"/>
  <c r="CD592" i="1"/>
  <c r="CC592" i="1"/>
  <c r="BS592" i="1"/>
  <c r="CB592" i="1"/>
  <c r="AD592" i="1"/>
  <c r="CH592" i="1"/>
  <c r="CG592" i="1"/>
  <c r="CF592" i="1"/>
  <c r="CE592" i="1"/>
  <c r="CH594" i="1"/>
  <c r="CG594" i="1"/>
  <c r="CF594" i="1"/>
  <c r="AD594" i="1"/>
  <c r="CD594" i="1"/>
  <c r="CC594" i="1"/>
  <c r="BS594" i="1"/>
  <c r="CB594" i="1"/>
  <c r="CA594" i="1"/>
  <c r="CE594" i="1"/>
  <c r="CS630" i="1"/>
  <c r="CT630" i="1" s="1"/>
  <c r="CP395" i="1"/>
  <c r="CS395" i="1" s="1"/>
  <c r="CT395" i="1" s="1"/>
  <c r="CP400" i="1"/>
  <c r="CK404" i="1"/>
  <c r="CS404" i="1" s="1"/>
  <c r="CT404" i="1" s="1"/>
  <c r="CO406" i="1"/>
  <c r="CK408" i="1"/>
  <c r="CN411" i="1"/>
  <c r="CO412" i="1"/>
  <c r="CL413" i="1"/>
  <c r="BX414" i="1"/>
  <c r="CK415" i="1"/>
  <c r="CS415" i="1" s="1"/>
  <c r="CT415" i="1" s="1"/>
  <c r="CN417" i="1"/>
  <c r="CP418" i="1"/>
  <c r="CK420" i="1"/>
  <c r="CK421" i="1"/>
  <c r="CN423" i="1"/>
  <c r="BS424" i="1"/>
  <c r="CC424" i="1"/>
  <c r="CI424" i="1" s="1"/>
  <c r="CN426" i="1"/>
  <c r="BS427" i="1"/>
  <c r="CC427" i="1"/>
  <c r="CI427" i="1" s="1"/>
  <c r="CO428" i="1"/>
  <c r="CP429" i="1"/>
  <c r="CP433" i="1"/>
  <c r="CR434" i="1"/>
  <c r="CP438" i="1"/>
  <c r="CR439" i="1"/>
  <c r="CM442" i="1"/>
  <c r="CO443" i="1"/>
  <c r="CN444" i="1"/>
  <c r="CO445" i="1"/>
  <c r="CK449" i="1"/>
  <c r="CD451" i="1"/>
  <c r="CM451" i="1"/>
  <c r="CS451" i="1" s="1"/>
  <c r="CT451" i="1" s="1"/>
  <c r="CO452" i="1"/>
  <c r="CK454" i="1"/>
  <c r="CR456" i="1"/>
  <c r="CP459" i="1"/>
  <c r="CP464" i="1"/>
  <c r="CK466" i="1"/>
  <c r="CL467" i="1"/>
  <c r="BX468" i="1"/>
  <c r="CQ468" i="1"/>
  <c r="CL470" i="1"/>
  <c r="CE472" i="1"/>
  <c r="AD474" i="1"/>
  <c r="CD474" i="1"/>
  <c r="BS476" i="1"/>
  <c r="CC476" i="1"/>
  <c r="CI476" i="1" s="1"/>
  <c r="CL479" i="1"/>
  <c r="CK481" i="1"/>
  <c r="CK482" i="1"/>
  <c r="BI483" i="1"/>
  <c r="CQ483" i="1" s="1"/>
  <c r="CB483" i="1"/>
  <c r="BI484" i="1"/>
  <c r="CB484" i="1"/>
  <c r="CL485" i="1"/>
  <c r="CP488" i="1"/>
  <c r="BX489" i="1"/>
  <c r="CQ489" i="1"/>
  <c r="CK491" i="1"/>
  <c r="CL492" i="1"/>
  <c r="CP494" i="1"/>
  <c r="CK497" i="1"/>
  <c r="CK499" i="1"/>
  <c r="CK501" i="1"/>
  <c r="CS501" i="1" s="1"/>
  <c r="CT501" i="1" s="1"/>
  <c r="CP502" i="1"/>
  <c r="CL503" i="1"/>
  <c r="BX504" i="1"/>
  <c r="CQ504" i="1"/>
  <c r="BX506" i="1"/>
  <c r="CQ506" i="1"/>
  <c r="BX508" i="1"/>
  <c r="CQ508" i="1"/>
  <c r="BX510" i="1"/>
  <c r="CQ510" i="1"/>
  <c r="BX512" i="1"/>
  <c r="CQ512" i="1"/>
  <c r="CK514" i="1"/>
  <c r="CL521" i="1"/>
  <c r="CS521" i="1" s="1"/>
  <c r="CT521" i="1" s="1"/>
  <c r="AD523" i="1"/>
  <c r="CK526" i="1"/>
  <c r="CS526" i="1" s="1"/>
  <c r="CT526" i="1" s="1"/>
  <c r="CO526" i="1"/>
  <c r="CR526" i="1"/>
  <c r="CO528" i="1"/>
  <c r="CP529" i="1"/>
  <c r="CK530" i="1"/>
  <c r="CO530" i="1"/>
  <c r="CR530" i="1"/>
  <c r="CK533" i="1"/>
  <c r="CS533" i="1" s="1"/>
  <c r="CT533" i="1" s="1"/>
  <c r="CM535" i="1"/>
  <c r="CQ535" i="1"/>
  <c r="BX535" i="1"/>
  <c r="CP537" i="1"/>
  <c r="CM538" i="1"/>
  <c r="CP539" i="1"/>
  <c r="CP542" i="1"/>
  <c r="CN552" i="1"/>
  <c r="CL553" i="1"/>
  <c r="CK553" i="1"/>
  <c r="CR553" i="1"/>
  <c r="CO553" i="1"/>
  <c r="CN553" i="1"/>
  <c r="BX553" i="1"/>
  <c r="CN555" i="1"/>
  <c r="CL555" i="1"/>
  <c r="CS555" i="1" s="1"/>
  <c r="CT555" i="1" s="1"/>
  <c r="CP555" i="1"/>
  <c r="CO555" i="1"/>
  <c r="CM557" i="1"/>
  <c r="CQ559" i="1"/>
  <c r="CI559" i="1"/>
  <c r="CK559" i="1"/>
  <c r="CI561" i="1"/>
  <c r="CM561" i="1"/>
  <c r="CI569" i="1"/>
  <c r="CO569" i="1"/>
  <c r="CI574" i="1"/>
  <c r="CS611" i="1"/>
  <c r="CT611" i="1" s="1"/>
  <c r="CP406" i="1"/>
  <c r="CO411" i="1"/>
  <c r="CP412" i="1"/>
  <c r="CL415" i="1"/>
  <c r="CO417" i="1"/>
  <c r="CL421" i="1"/>
  <c r="CO423" i="1"/>
  <c r="CD424" i="1"/>
  <c r="CD427" i="1"/>
  <c r="CP428" i="1"/>
  <c r="CK434" i="1"/>
  <c r="CK439" i="1"/>
  <c r="CN442" i="1"/>
  <c r="CP443" i="1"/>
  <c r="CP445" i="1"/>
  <c r="CN451" i="1"/>
  <c r="CP452" i="1"/>
  <c r="CK456" i="1"/>
  <c r="CK460" i="1"/>
  <c r="BX464" i="1"/>
  <c r="CQ464" i="1"/>
  <c r="CK465" i="1"/>
  <c r="CM467" i="1"/>
  <c r="CR468" i="1"/>
  <c r="CM470" i="1"/>
  <c r="CO471" i="1"/>
  <c r="AD472" i="1"/>
  <c r="CF472" i="1"/>
  <c r="CP473" i="1"/>
  <c r="CE474" i="1"/>
  <c r="AD476" i="1"/>
  <c r="CD476" i="1"/>
  <c r="CD478" i="1"/>
  <c r="CI478" i="1" s="1"/>
  <c r="CM479" i="1"/>
  <c r="CL482" i="1"/>
  <c r="BS483" i="1"/>
  <c r="CC483" i="1"/>
  <c r="BS484" i="1"/>
  <c r="CC484" i="1"/>
  <c r="CM485" i="1"/>
  <c r="CP487" i="1"/>
  <c r="BX488" i="1"/>
  <c r="CQ488" i="1"/>
  <c r="CR489" i="1"/>
  <c r="CK490" i="1"/>
  <c r="CM492" i="1"/>
  <c r="CO493" i="1"/>
  <c r="BX494" i="1"/>
  <c r="CQ494" i="1"/>
  <c r="CK495" i="1"/>
  <c r="CP496" i="1"/>
  <c r="CL497" i="1"/>
  <c r="CP498" i="1"/>
  <c r="CL499" i="1"/>
  <c r="CP500" i="1"/>
  <c r="CL501" i="1"/>
  <c r="BX502" i="1"/>
  <c r="CQ502" i="1"/>
  <c r="CM503" i="1"/>
  <c r="CR504" i="1"/>
  <c r="CR506" i="1"/>
  <c r="CR508" i="1"/>
  <c r="CR510" i="1"/>
  <c r="CN511" i="1"/>
  <c r="CS511" i="1" s="1"/>
  <c r="CT511" i="1" s="1"/>
  <c r="CR512" i="1"/>
  <c r="CO513" i="1"/>
  <c r="CL514" i="1"/>
  <c r="CK516" i="1"/>
  <c r="CG517" i="1"/>
  <c r="CQ517" i="1"/>
  <c r="CP519" i="1"/>
  <c r="CN521" i="1"/>
  <c r="CL522" i="1"/>
  <c r="CO525" i="1"/>
  <c r="BX526" i="1"/>
  <c r="CO527" i="1"/>
  <c r="CK527" i="1"/>
  <c r="CR527" i="1"/>
  <c r="CE531" i="1"/>
  <c r="CA531" i="1"/>
  <c r="CH531" i="1"/>
  <c r="CG532" i="1"/>
  <c r="CC532" i="1"/>
  <c r="BS532" i="1"/>
  <c r="CH532" i="1"/>
  <c r="CK534" i="1"/>
  <c r="CQ536" i="1"/>
  <c r="BX536" i="1"/>
  <c r="CM536" i="1"/>
  <c r="CO545" i="1"/>
  <c r="CN545" i="1"/>
  <c r="CR545" i="1"/>
  <c r="CK546" i="1"/>
  <c r="CR546" i="1"/>
  <c r="CN546" i="1"/>
  <c r="CI553" i="1"/>
  <c r="CP561" i="1"/>
  <c r="CM566" i="1"/>
  <c r="CL566" i="1"/>
  <c r="CK566" i="1"/>
  <c r="CP566" i="1"/>
  <c r="CO566" i="1"/>
  <c r="CN566" i="1"/>
  <c r="BX566" i="1"/>
  <c r="CP569" i="1"/>
  <c r="CR652" i="1"/>
  <c r="CK701" i="1"/>
  <c r="CR701" i="1"/>
  <c r="CQ701" i="1"/>
  <c r="BX701" i="1"/>
  <c r="CP701" i="1"/>
  <c r="CO701" i="1"/>
  <c r="CM701" i="1"/>
  <c r="CL701" i="1"/>
  <c r="CN701" i="1"/>
  <c r="CI704" i="1"/>
  <c r="CG398" i="1"/>
  <c r="CI398" i="1" s="1"/>
  <c r="CR400" i="1"/>
  <c r="CO402" i="1"/>
  <c r="CK403" i="1"/>
  <c r="CS403" i="1" s="1"/>
  <c r="CT403" i="1" s="1"/>
  <c r="CM404" i="1"/>
  <c r="CO405" i="1"/>
  <c r="CS405" i="1" s="1"/>
  <c r="CT405" i="1" s="1"/>
  <c r="BX406" i="1"/>
  <c r="CQ406" i="1"/>
  <c r="CM408" i="1"/>
  <c r="CO410" i="1"/>
  <c r="CS410" i="1" s="1"/>
  <c r="CT410" i="1" s="1"/>
  <c r="CP411" i="1"/>
  <c r="BX412" i="1"/>
  <c r="CQ412" i="1"/>
  <c r="CN413" i="1"/>
  <c r="CK414" i="1"/>
  <c r="CM415" i="1"/>
  <c r="CP417" i="1"/>
  <c r="CR418" i="1"/>
  <c r="CM420" i="1"/>
  <c r="CM421" i="1"/>
  <c r="CP423" i="1"/>
  <c r="AD424" i="1"/>
  <c r="CE424" i="1"/>
  <c r="CN425" i="1"/>
  <c r="CP426" i="1"/>
  <c r="AD427" i="1"/>
  <c r="CE427" i="1"/>
  <c r="BX428" i="1"/>
  <c r="CQ428" i="1"/>
  <c r="CR429" i="1"/>
  <c r="CH431" i="1"/>
  <c r="CR433" i="1"/>
  <c r="CL434" i="1"/>
  <c r="CM435" i="1"/>
  <c r="CS435" i="1" s="1"/>
  <c r="CT435" i="1" s="1"/>
  <c r="CO436" i="1"/>
  <c r="CS436" i="1" s="1"/>
  <c r="CT436" i="1" s="1"/>
  <c r="CP437" i="1"/>
  <c r="CR438" i="1"/>
  <c r="CL439" i="1"/>
  <c r="CP441" i="1"/>
  <c r="CO442" i="1"/>
  <c r="BX443" i="1"/>
  <c r="CQ443" i="1"/>
  <c r="CP444" i="1"/>
  <c r="BX445" i="1"/>
  <c r="CQ445" i="1"/>
  <c r="CA447" i="1"/>
  <c r="CH448" i="1"/>
  <c r="CM449" i="1"/>
  <c r="CP450" i="1"/>
  <c r="CF451" i="1"/>
  <c r="CO451" i="1"/>
  <c r="BX452" i="1"/>
  <c r="CQ452" i="1"/>
  <c r="CM454" i="1"/>
  <c r="CR455" i="1"/>
  <c r="CL456" i="1"/>
  <c r="CP458" i="1"/>
  <c r="CR459" i="1"/>
  <c r="CL460" i="1"/>
  <c r="CO462" i="1"/>
  <c r="CP463" i="1"/>
  <c r="CR464" i="1"/>
  <c r="CL465" i="1"/>
  <c r="CM466" i="1"/>
  <c r="CN467" i="1"/>
  <c r="CB468" i="1"/>
  <c r="CI468" i="1" s="1"/>
  <c r="CK468" i="1"/>
  <c r="CN470" i="1"/>
  <c r="CG472" i="1"/>
  <c r="BX473" i="1"/>
  <c r="CQ473" i="1"/>
  <c r="CF474" i="1"/>
  <c r="BX475" i="1"/>
  <c r="CH475" i="1"/>
  <c r="CI475" i="1" s="1"/>
  <c r="CQ475" i="1"/>
  <c r="CS475" i="1" s="1"/>
  <c r="CT475" i="1" s="1"/>
  <c r="CE476" i="1"/>
  <c r="CP477" i="1"/>
  <c r="CS477" i="1" s="1"/>
  <c r="CT477" i="1" s="1"/>
  <c r="AD478" i="1"/>
  <c r="CE478" i="1"/>
  <c r="CN479" i="1"/>
  <c r="CO480" i="1"/>
  <c r="CS480" i="1" s="1"/>
  <c r="CT480" i="1" s="1"/>
  <c r="CD481" i="1"/>
  <c r="CI481" i="1" s="1"/>
  <c r="CM481" i="1"/>
  <c r="CM482" i="1"/>
  <c r="CD483" i="1"/>
  <c r="CD484" i="1"/>
  <c r="CN485" i="1"/>
  <c r="CP486" i="1"/>
  <c r="CS486" i="1" s="1"/>
  <c r="CT486" i="1" s="1"/>
  <c r="BX487" i="1"/>
  <c r="CQ487" i="1"/>
  <c r="CR488" i="1"/>
  <c r="CK489" i="1"/>
  <c r="CL490" i="1"/>
  <c r="CM491" i="1"/>
  <c r="CN492" i="1"/>
  <c r="CP493" i="1"/>
  <c r="CR494" i="1"/>
  <c r="CR502" i="1"/>
  <c r="CN503" i="1"/>
  <c r="CK504" i="1"/>
  <c r="CK506" i="1"/>
  <c r="CK508" i="1"/>
  <c r="CK510" i="1"/>
  <c r="CK512" i="1"/>
  <c r="CP513" i="1"/>
  <c r="CM514" i="1"/>
  <c r="CR517" i="1"/>
  <c r="CQ519" i="1"/>
  <c r="CN529" i="1"/>
  <c r="CR529" i="1"/>
  <c r="CN531" i="1"/>
  <c r="CR531" i="1"/>
  <c r="CK531" i="1"/>
  <c r="CP532" i="1"/>
  <c r="CL532" i="1"/>
  <c r="CL534" i="1"/>
  <c r="CM537" i="1"/>
  <c r="CQ537" i="1"/>
  <c r="BX537" i="1"/>
  <c r="CO538" i="1"/>
  <c r="CM539" i="1"/>
  <c r="CQ539" i="1"/>
  <c r="BX539" i="1"/>
  <c r="CO543" i="1"/>
  <c r="CN543" i="1"/>
  <c r="CR543" i="1"/>
  <c r="CK544" i="1"/>
  <c r="CR544" i="1"/>
  <c r="CN544" i="1"/>
  <c r="CI556" i="1"/>
  <c r="CL558" i="1"/>
  <c r="CK558" i="1"/>
  <c r="CR558" i="1"/>
  <c r="CO558" i="1"/>
  <c r="CN558" i="1"/>
  <c r="CR559" i="1"/>
  <c r="CP559" i="1"/>
  <c r="CM559" i="1"/>
  <c r="CL559" i="1"/>
  <c r="CO559" i="1"/>
  <c r="CQ561" i="1"/>
  <c r="CR571" i="1"/>
  <c r="CQ571" i="1"/>
  <c r="BX571" i="1"/>
  <c r="CP571" i="1"/>
  <c r="CM571" i="1"/>
  <c r="CL571" i="1"/>
  <c r="CK571" i="1"/>
  <c r="CN600" i="1"/>
  <c r="CK400" i="1"/>
  <c r="CP402" i="1"/>
  <c r="CN404" i="1"/>
  <c r="CP405" i="1"/>
  <c r="CR406" i="1"/>
  <c r="CN408" i="1"/>
  <c r="CP410" i="1"/>
  <c r="BX411" i="1"/>
  <c r="CQ411" i="1"/>
  <c r="CR412" i="1"/>
  <c r="CO413" i="1"/>
  <c r="CL414" i="1"/>
  <c r="CN415" i="1"/>
  <c r="BX417" i="1"/>
  <c r="CQ417" i="1"/>
  <c r="CK418" i="1"/>
  <c r="CN420" i="1"/>
  <c r="CN421" i="1"/>
  <c r="BX423" i="1"/>
  <c r="CQ423" i="1"/>
  <c r="CF424" i="1"/>
  <c r="BX426" i="1"/>
  <c r="CQ426" i="1"/>
  <c r="CF427" i="1"/>
  <c r="CR428" i="1"/>
  <c r="CK429" i="1"/>
  <c r="CK433" i="1"/>
  <c r="CS433" i="1" s="1"/>
  <c r="CT433" i="1" s="1"/>
  <c r="CM434" i="1"/>
  <c r="CN435" i="1"/>
  <c r="CP436" i="1"/>
  <c r="BX437" i="1"/>
  <c r="CQ437" i="1"/>
  <c r="CK438" i="1"/>
  <c r="CS438" i="1" s="1"/>
  <c r="CT438" i="1" s="1"/>
  <c r="CM439" i="1"/>
  <c r="BX441" i="1"/>
  <c r="CQ441" i="1"/>
  <c r="CP442" i="1"/>
  <c r="CR443" i="1"/>
  <c r="BX444" i="1"/>
  <c r="CQ444" i="1"/>
  <c r="CR445" i="1"/>
  <c r="CB447" i="1"/>
  <c r="CN449" i="1"/>
  <c r="BX450" i="1"/>
  <c r="CQ450" i="1"/>
  <c r="CG451" i="1"/>
  <c r="CP451" i="1"/>
  <c r="CR452" i="1"/>
  <c r="CN454" i="1"/>
  <c r="CK455" i="1"/>
  <c r="CM456" i="1"/>
  <c r="BX458" i="1"/>
  <c r="CQ458" i="1"/>
  <c r="CK459" i="1"/>
  <c r="CM460" i="1"/>
  <c r="CP462" i="1"/>
  <c r="CS462" i="1" s="1"/>
  <c r="CT462" i="1" s="1"/>
  <c r="BX463" i="1"/>
  <c r="CQ463" i="1"/>
  <c r="CK464" i="1"/>
  <c r="CM465" i="1"/>
  <c r="CN466" i="1"/>
  <c r="CO467" i="1"/>
  <c r="BS468" i="1"/>
  <c r="CC468" i="1"/>
  <c r="CL468" i="1"/>
  <c r="CO470" i="1"/>
  <c r="BX471" i="1"/>
  <c r="CQ471" i="1"/>
  <c r="CH472" i="1"/>
  <c r="CR473" i="1"/>
  <c r="CG474" i="1"/>
  <c r="CR475" i="1"/>
  <c r="CF476" i="1"/>
  <c r="BX477" i="1"/>
  <c r="CQ477" i="1"/>
  <c r="CF478" i="1"/>
  <c r="CO479" i="1"/>
  <c r="CP480" i="1"/>
  <c r="CN481" i="1"/>
  <c r="CE483" i="1"/>
  <c r="CE484" i="1"/>
  <c r="CO485" i="1"/>
  <c r="CR487" i="1"/>
  <c r="CK488" i="1"/>
  <c r="CL489" i="1"/>
  <c r="CM490" i="1"/>
  <c r="CN491" i="1"/>
  <c r="CO492" i="1"/>
  <c r="CK494" i="1"/>
  <c r="CS494" i="1" s="1"/>
  <c r="CT494" i="1" s="1"/>
  <c r="CR496" i="1"/>
  <c r="CN497" i="1"/>
  <c r="CR498" i="1"/>
  <c r="CN499" i="1"/>
  <c r="CR500" i="1"/>
  <c r="CN501" i="1"/>
  <c r="CK502" i="1"/>
  <c r="CO503" i="1"/>
  <c r="CL504" i="1"/>
  <c r="CP505" i="1"/>
  <c r="CS505" i="1" s="1"/>
  <c r="CT505" i="1" s="1"/>
  <c r="CL506" i="1"/>
  <c r="CP507" i="1"/>
  <c r="CS507" i="1" s="1"/>
  <c r="CT507" i="1" s="1"/>
  <c r="CL508" i="1"/>
  <c r="CP509" i="1"/>
  <c r="CS509" i="1" s="1"/>
  <c r="CT509" i="1" s="1"/>
  <c r="CL510" i="1"/>
  <c r="CP511" i="1"/>
  <c r="CL512" i="1"/>
  <c r="BX513" i="1"/>
  <c r="CQ513" i="1"/>
  <c r="CM516" i="1"/>
  <c r="BX517" i="1"/>
  <c r="BX519" i="1"/>
  <c r="CR519" i="1"/>
  <c r="CE520" i="1"/>
  <c r="CI520" i="1" s="1"/>
  <c r="CP521" i="1"/>
  <c r="CN522" i="1"/>
  <c r="CL526" i="1"/>
  <c r="CR528" i="1"/>
  <c r="CN528" i="1"/>
  <c r="BX529" i="1"/>
  <c r="BX531" i="1"/>
  <c r="CL531" i="1"/>
  <c r="BX532" i="1"/>
  <c r="CK532" i="1"/>
  <c r="CN534" i="1"/>
  <c r="CL535" i="1"/>
  <c r="CS535" i="1" s="1"/>
  <c r="CT535" i="1" s="1"/>
  <c r="CP538" i="1"/>
  <c r="CL538" i="1"/>
  <c r="CQ538" i="1"/>
  <c r="CR540" i="1"/>
  <c r="CQ540" i="1"/>
  <c r="BX540" i="1"/>
  <c r="CM540" i="1"/>
  <c r="CK542" i="1"/>
  <c r="CS542" i="1" s="1"/>
  <c r="CT542" i="1" s="1"/>
  <c r="CR542" i="1"/>
  <c r="CN542" i="1"/>
  <c r="BX543" i="1"/>
  <c r="BX544" i="1"/>
  <c r="CI545" i="1"/>
  <c r="CI546" i="1"/>
  <c r="CL548" i="1"/>
  <c r="CK548" i="1"/>
  <c r="CS548" i="1" s="1"/>
  <c r="CT548" i="1" s="1"/>
  <c r="CR548" i="1"/>
  <c r="CO548" i="1"/>
  <c r="CN548" i="1"/>
  <c r="CO552" i="1"/>
  <c r="BX558" i="1"/>
  <c r="CO560" i="1"/>
  <c r="CI560" i="1"/>
  <c r="CK560" i="1"/>
  <c r="CQ566" i="1"/>
  <c r="CI575" i="1"/>
  <c r="CR589" i="1"/>
  <c r="CO589" i="1"/>
  <c r="CI590" i="1"/>
  <c r="CL400" i="1"/>
  <c r="BX402" i="1"/>
  <c r="CQ402" i="1"/>
  <c r="CO404" i="1"/>
  <c r="BX405" i="1"/>
  <c r="CK406" i="1"/>
  <c r="CO408" i="1"/>
  <c r="BX410" i="1"/>
  <c r="CK412" i="1"/>
  <c r="CS412" i="1" s="1"/>
  <c r="CT412" i="1" s="1"/>
  <c r="CP413" i="1"/>
  <c r="CM414" i="1"/>
  <c r="CO415" i="1"/>
  <c r="CL418" i="1"/>
  <c r="CO420" i="1"/>
  <c r="CO421" i="1"/>
  <c r="CG424" i="1"/>
  <c r="CG427" i="1"/>
  <c r="CK428" i="1"/>
  <c r="CL429" i="1"/>
  <c r="CB431" i="1"/>
  <c r="CI431" i="1" s="1"/>
  <c r="CL433" i="1"/>
  <c r="CN434" i="1"/>
  <c r="CO435" i="1"/>
  <c r="BX436" i="1"/>
  <c r="CQ436" i="1"/>
  <c r="CL438" i="1"/>
  <c r="CN439" i="1"/>
  <c r="BX442" i="1"/>
  <c r="CQ442" i="1"/>
  <c r="CK443" i="1"/>
  <c r="CS443" i="1" s="1"/>
  <c r="CT443" i="1" s="1"/>
  <c r="CR444" i="1"/>
  <c r="CK445" i="1"/>
  <c r="BS447" i="1"/>
  <c r="CC447" i="1"/>
  <c r="CB448" i="1"/>
  <c r="CI448" i="1" s="1"/>
  <c r="CO449" i="1"/>
  <c r="CR450" i="1"/>
  <c r="BX451" i="1"/>
  <c r="CH451" i="1"/>
  <c r="CQ451" i="1"/>
  <c r="CK452" i="1"/>
  <c r="CS452" i="1" s="1"/>
  <c r="CT452" i="1" s="1"/>
  <c r="CO454" i="1"/>
  <c r="CN456" i="1"/>
  <c r="CL459" i="1"/>
  <c r="CN460" i="1"/>
  <c r="BX462" i="1"/>
  <c r="CL464" i="1"/>
  <c r="CN465" i="1"/>
  <c r="CO466" i="1"/>
  <c r="CM468" i="1"/>
  <c r="CR471" i="1"/>
  <c r="CA472" i="1"/>
  <c r="CI472" i="1" s="1"/>
  <c r="CH474" i="1"/>
  <c r="CG476" i="1"/>
  <c r="CG478" i="1"/>
  <c r="BX480" i="1"/>
  <c r="CQ480" i="1"/>
  <c r="CF481" i="1"/>
  <c r="CO481" i="1"/>
  <c r="CF482" i="1"/>
  <c r="CI482" i="1" s="1"/>
  <c r="CO482" i="1"/>
  <c r="CF483" i="1"/>
  <c r="CO483" i="1"/>
  <c r="CF484" i="1"/>
  <c r="CO484" i="1"/>
  <c r="CP485" i="1"/>
  <c r="CR486" i="1"/>
  <c r="CK487" i="1"/>
  <c r="CL488" i="1"/>
  <c r="CM489" i="1"/>
  <c r="CN490" i="1"/>
  <c r="CO491" i="1"/>
  <c r="CP492" i="1"/>
  <c r="CR493" i="1"/>
  <c r="CL494" i="1"/>
  <c r="CN495" i="1"/>
  <c r="CK496" i="1"/>
  <c r="CO497" i="1"/>
  <c r="CK498" i="1"/>
  <c r="CO499" i="1"/>
  <c r="CK500" i="1"/>
  <c r="CO501" i="1"/>
  <c r="CL502" i="1"/>
  <c r="CP503" i="1"/>
  <c r="CM504" i="1"/>
  <c r="BX505" i="1"/>
  <c r="CQ505" i="1"/>
  <c r="CM506" i="1"/>
  <c r="BX507" i="1"/>
  <c r="CQ507" i="1"/>
  <c r="CM508" i="1"/>
  <c r="BX509" i="1"/>
  <c r="CQ509" i="1"/>
  <c r="CM510" i="1"/>
  <c r="BX511" i="1"/>
  <c r="CQ511" i="1"/>
  <c r="CM512" i="1"/>
  <c r="CR513" i="1"/>
  <c r="CN516" i="1"/>
  <c r="CA517" i="1"/>
  <c r="CL517" i="1"/>
  <c r="CS517" i="1" s="1"/>
  <c r="CT517" i="1" s="1"/>
  <c r="CK518" i="1"/>
  <c r="CS518" i="1" s="1"/>
  <c r="CT518" i="1" s="1"/>
  <c r="CF525" i="1"/>
  <c r="CB525" i="1"/>
  <c r="BI525" i="1"/>
  <c r="CC525" i="1"/>
  <c r="CM526" i="1"/>
  <c r="CL527" i="1"/>
  <c r="BX528" i="1"/>
  <c r="CI529" i="1"/>
  <c r="CK529" i="1"/>
  <c r="CM530" i="1"/>
  <c r="CB531" i="1"/>
  <c r="CM531" i="1"/>
  <c r="CA532" i="1"/>
  <c r="CM532" i="1"/>
  <c r="CO534" i="1"/>
  <c r="CN535" i="1"/>
  <c r="CL536" i="1"/>
  <c r="CS536" i="1" s="1"/>
  <c r="CT536" i="1" s="1"/>
  <c r="CK537" i="1"/>
  <c r="CR538" i="1"/>
  <c r="CK539" i="1"/>
  <c r="CI540" i="1"/>
  <c r="CK540" i="1"/>
  <c r="BX542" i="1"/>
  <c r="CI543" i="1"/>
  <c r="CK543" i="1"/>
  <c r="CI544" i="1"/>
  <c r="CL544" i="1"/>
  <c r="CL545" i="1"/>
  <c r="CS545" i="1" s="1"/>
  <c r="CT545" i="1" s="1"/>
  <c r="CM546" i="1"/>
  <c r="BX548" i="1"/>
  <c r="CR551" i="1"/>
  <c r="CI558" i="1"/>
  <c r="CM558" i="1"/>
  <c r="CL560" i="1"/>
  <c r="CI564" i="1"/>
  <c r="CR566" i="1"/>
  <c r="CR568" i="1"/>
  <c r="CI571" i="1"/>
  <c r="CN571" i="1"/>
  <c r="CN572" i="1"/>
  <c r="CA576" i="1"/>
  <c r="CH576" i="1"/>
  <c r="CG576" i="1"/>
  <c r="AD576" i="1"/>
  <c r="CE576" i="1"/>
  <c r="CD576" i="1"/>
  <c r="CC576" i="1"/>
  <c r="BS576" i="1"/>
  <c r="CB576" i="1"/>
  <c r="CF576" i="1"/>
  <c r="CI587" i="1"/>
  <c r="CN591" i="1"/>
  <c r="CA592" i="1"/>
  <c r="CI595" i="1"/>
  <c r="BI596" i="1"/>
  <c r="CH596" i="1"/>
  <c r="CK600" i="1"/>
  <c r="CS609" i="1"/>
  <c r="CT609" i="1" s="1"/>
  <c r="CP404" i="1"/>
  <c r="CL406" i="1"/>
  <c r="CP408" i="1"/>
  <c r="CK411" i="1"/>
  <c r="CS411" i="1" s="1"/>
  <c r="CT411" i="1" s="1"/>
  <c r="BX413" i="1"/>
  <c r="CP415" i="1"/>
  <c r="CK417" i="1"/>
  <c r="CS417" i="1" s="1"/>
  <c r="CT417" i="1" s="1"/>
  <c r="CP420" i="1"/>
  <c r="CP421" i="1"/>
  <c r="CK423" i="1"/>
  <c r="CS423" i="1" s="1"/>
  <c r="CT423" i="1" s="1"/>
  <c r="CH424" i="1"/>
  <c r="CK426" i="1"/>
  <c r="CS426" i="1" s="1"/>
  <c r="CT426" i="1" s="1"/>
  <c r="CH427" i="1"/>
  <c r="CL428" i="1"/>
  <c r="CM429" i="1"/>
  <c r="CM433" i="1"/>
  <c r="CP435" i="1"/>
  <c r="CK437" i="1"/>
  <c r="CS437" i="1" s="1"/>
  <c r="CT437" i="1" s="1"/>
  <c r="CM438" i="1"/>
  <c r="CK441" i="1"/>
  <c r="CS441" i="1" s="1"/>
  <c r="CT441" i="1" s="1"/>
  <c r="CR442" i="1"/>
  <c r="CL443" i="1"/>
  <c r="CK444" i="1"/>
  <c r="CS444" i="1" s="1"/>
  <c r="CT444" i="1" s="1"/>
  <c r="CL445" i="1"/>
  <c r="CD447" i="1"/>
  <c r="CP449" i="1"/>
  <c r="CK450" i="1"/>
  <c r="CS450" i="1" s="1"/>
  <c r="CT450" i="1" s="1"/>
  <c r="CA451" i="1"/>
  <c r="CI451" i="1" s="1"/>
  <c r="CR451" i="1"/>
  <c r="CL452" i="1"/>
  <c r="CP454" i="1"/>
  <c r="CK458" i="1"/>
  <c r="CM459" i="1"/>
  <c r="CK463" i="1"/>
  <c r="CM464" i="1"/>
  <c r="CP466" i="1"/>
  <c r="BX467" i="1"/>
  <c r="CQ467" i="1"/>
  <c r="CN468" i="1"/>
  <c r="BX470" i="1"/>
  <c r="CQ470" i="1"/>
  <c r="CK471" i="1"/>
  <c r="CB472" i="1"/>
  <c r="CA474" i="1"/>
  <c r="CI474" i="1" s="1"/>
  <c r="CH476" i="1"/>
  <c r="CH478" i="1"/>
  <c r="BX479" i="1"/>
  <c r="CQ479" i="1"/>
  <c r="CP481" i="1"/>
  <c r="CP482" i="1"/>
  <c r="CG483" i="1"/>
  <c r="CG484" i="1"/>
  <c r="BX485" i="1"/>
  <c r="CL487" i="1"/>
  <c r="CM488" i="1"/>
  <c r="CN489" i="1"/>
  <c r="CP491" i="1"/>
  <c r="BX492" i="1"/>
  <c r="CK493" i="1"/>
  <c r="CS493" i="1" s="1"/>
  <c r="CT493" i="1" s="1"/>
  <c r="CM494" i="1"/>
  <c r="CL496" i="1"/>
  <c r="CP497" i="1"/>
  <c r="CL498" i="1"/>
  <c r="CP499" i="1"/>
  <c r="CL500" i="1"/>
  <c r="CP501" i="1"/>
  <c r="CM502" i="1"/>
  <c r="BX503" i="1"/>
  <c r="CN504" i="1"/>
  <c r="CN506" i="1"/>
  <c r="CN508" i="1"/>
  <c r="CR509" i="1"/>
  <c r="CN510" i="1"/>
  <c r="CR511" i="1"/>
  <c r="CN512" i="1"/>
  <c r="CK513" i="1"/>
  <c r="CN514" i="1"/>
  <c r="CQ514" i="1"/>
  <c r="CO516" i="1"/>
  <c r="CC517" i="1"/>
  <c r="CM517" i="1"/>
  <c r="CK519" i="1"/>
  <c r="CS519" i="1" s="1"/>
  <c r="CT519" i="1" s="1"/>
  <c r="CG520" i="1"/>
  <c r="AD520" i="1"/>
  <c r="CH520" i="1"/>
  <c r="CM521" i="1"/>
  <c r="CQ521" i="1"/>
  <c r="BX521" i="1"/>
  <c r="CC524" i="1"/>
  <c r="BS524" i="1"/>
  <c r="CG524" i="1"/>
  <c r="CB524" i="1"/>
  <c r="CI524" i="1" s="1"/>
  <c r="CN526" i="1"/>
  <c r="CI528" i="1"/>
  <c r="CL529" i="1"/>
  <c r="CO531" i="1"/>
  <c r="CB532" i="1"/>
  <c r="CN532" i="1"/>
  <c r="CP534" i="1"/>
  <c r="CL537" i="1"/>
  <c r="CL539" i="1"/>
  <c r="CI542" i="1"/>
  <c r="CL543" i="1"/>
  <c r="CM544" i="1"/>
  <c r="CI551" i="1"/>
  <c r="CK551" i="1"/>
  <c r="CP558" i="1"/>
  <c r="CI570" i="1"/>
  <c r="CO571" i="1"/>
  <c r="CK591" i="1"/>
  <c r="CH598" i="1"/>
  <c r="CG598" i="1"/>
  <c r="CF598" i="1"/>
  <c r="AD598" i="1"/>
  <c r="CD598" i="1"/>
  <c r="CC598" i="1"/>
  <c r="BS598" i="1"/>
  <c r="CB598" i="1"/>
  <c r="CA598" i="1"/>
  <c r="CI598" i="1" s="1"/>
  <c r="CE598" i="1"/>
  <c r="CQ601" i="1"/>
  <c r="CK652" i="1"/>
  <c r="BX652" i="1"/>
  <c r="CN724" i="1"/>
  <c r="CM724" i="1"/>
  <c r="CL724" i="1"/>
  <c r="CK724" i="1"/>
  <c r="CR724" i="1"/>
  <c r="CQ724" i="1"/>
  <c r="CP724" i="1"/>
  <c r="CO724" i="1"/>
  <c r="BX724" i="1"/>
  <c r="BX404" i="1"/>
  <c r="BX408" i="1"/>
  <c r="BX415" i="1"/>
  <c r="BX420" i="1"/>
  <c r="BX421" i="1"/>
  <c r="BX435" i="1"/>
  <c r="AD447" i="1"/>
  <c r="BX449" i="1"/>
  <c r="BX454" i="1"/>
  <c r="BX466" i="1"/>
  <c r="AD469" i="1"/>
  <c r="BS472" i="1"/>
  <c r="BX481" i="1"/>
  <c r="BX482" i="1"/>
  <c r="BX483" i="1"/>
  <c r="BX484" i="1"/>
  <c r="BX491" i="1"/>
  <c r="BX497" i="1"/>
  <c r="BX499" i="1"/>
  <c r="BX501" i="1"/>
  <c r="BX514" i="1"/>
  <c r="CR514" i="1"/>
  <c r="CS515" i="1"/>
  <c r="CT515" i="1" s="1"/>
  <c r="CQ515" i="1"/>
  <c r="CP516" i="1"/>
  <c r="BS517" i="1"/>
  <c r="CD517" i="1"/>
  <c r="CN517" i="1"/>
  <c r="CL519" i="1"/>
  <c r="CO522" i="1"/>
  <c r="CK522" i="1"/>
  <c r="BW522" i="1"/>
  <c r="CR522" i="1"/>
  <c r="BI524" i="1"/>
  <c r="CD524" i="1"/>
  <c r="CP526" i="1"/>
  <c r="CN527" i="1"/>
  <c r="CL528" i="1"/>
  <c r="CS528" i="1" s="1"/>
  <c r="CT528" i="1" s="1"/>
  <c r="CM529" i="1"/>
  <c r="BS531" i="1"/>
  <c r="CD531" i="1"/>
  <c r="CP531" i="1"/>
  <c r="CD532" i="1"/>
  <c r="CO532" i="1"/>
  <c r="CM533" i="1"/>
  <c r="CQ533" i="1"/>
  <c r="BX533" i="1"/>
  <c r="CR534" i="1"/>
  <c r="CO536" i="1"/>
  <c r="CN537" i="1"/>
  <c r="CN539" i="1"/>
  <c r="CN540" i="1"/>
  <c r="CM542" i="1"/>
  <c r="CM543" i="1"/>
  <c r="CO544" i="1"/>
  <c r="CI547" i="1"/>
  <c r="CP548" i="1"/>
  <c r="CN551" i="1"/>
  <c r="CP557" i="1"/>
  <c r="CO557" i="1"/>
  <c r="CN557" i="1"/>
  <c r="CK557" i="1"/>
  <c r="CS557" i="1" s="1"/>
  <c r="CT557" i="1" s="1"/>
  <c r="CR557" i="1"/>
  <c r="BX557" i="1"/>
  <c r="CQ558" i="1"/>
  <c r="CK572" i="1"/>
  <c r="CI582" i="1"/>
  <c r="BX565" i="1"/>
  <c r="CQ565" i="1"/>
  <c r="CP575" i="1"/>
  <c r="CH578" i="1"/>
  <c r="CM585" i="1"/>
  <c r="CM587" i="1"/>
  <c r="CK590" i="1"/>
  <c r="CS590" i="1" s="1"/>
  <c r="CT590" i="1" s="1"/>
  <c r="CP593" i="1"/>
  <c r="CL595" i="1"/>
  <c r="CS595" i="1" s="1"/>
  <c r="CT595" i="1" s="1"/>
  <c r="CE596" i="1"/>
  <c r="CP597" i="1"/>
  <c r="CM599" i="1"/>
  <c r="CF600" i="1"/>
  <c r="CO600" i="1"/>
  <c r="CA601" i="1"/>
  <c r="CK604" i="1"/>
  <c r="CB605" i="1"/>
  <c r="CI605" i="1" s="1"/>
  <c r="CM606" i="1"/>
  <c r="CN607" i="1"/>
  <c r="CP608" i="1"/>
  <c r="CK610" i="1"/>
  <c r="CL611" i="1"/>
  <c r="CN612" i="1"/>
  <c r="CM613" i="1"/>
  <c r="CO614" i="1"/>
  <c r="CP615" i="1"/>
  <c r="CM616" i="1"/>
  <c r="CR617" i="1"/>
  <c r="CD618" i="1"/>
  <c r="CM618" i="1"/>
  <c r="CR619" i="1"/>
  <c r="CN620" i="1"/>
  <c r="CR621" i="1"/>
  <c r="CN622" i="1"/>
  <c r="CR623" i="1"/>
  <c r="CN624" i="1"/>
  <c r="CR625" i="1"/>
  <c r="BX626" i="1"/>
  <c r="CQ626" i="1"/>
  <c r="BX627" i="1"/>
  <c r="CQ627" i="1"/>
  <c r="CE628" i="1"/>
  <c r="CN628" i="1"/>
  <c r="CK629" i="1"/>
  <c r="CS629" i="1" s="1"/>
  <c r="CT629" i="1" s="1"/>
  <c r="CP630" i="1"/>
  <c r="BX631" i="1"/>
  <c r="CQ631" i="1"/>
  <c r="BX632" i="1"/>
  <c r="CR632" i="1"/>
  <c r="CL633" i="1"/>
  <c r="BX634" i="1"/>
  <c r="BX635" i="1"/>
  <c r="CR635" i="1"/>
  <c r="BX636" i="1"/>
  <c r="CM638" i="1"/>
  <c r="BX641" i="1"/>
  <c r="CN643" i="1"/>
  <c r="CM643" i="1"/>
  <c r="CS643" i="1" s="1"/>
  <c r="CT643" i="1" s="1"/>
  <c r="CL643" i="1"/>
  <c r="CO646" i="1"/>
  <c r="CM647" i="1"/>
  <c r="BX650" i="1"/>
  <c r="BX651" i="1"/>
  <c r="BS652" i="1"/>
  <c r="CQ652" i="1"/>
  <c r="CC653" i="1"/>
  <c r="CP654" i="1"/>
  <c r="BI655" i="1"/>
  <c r="CN655" i="1" s="1"/>
  <c r="CN656" i="1"/>
  <c r="CQ657" i="1"/>
  <c r="BX657" i="1"/>
  <c r="CL657" i="1"/>
  <c r="CS657" i="1" s="1"/>
  <c r="CT657" i="1" s="1"/>
  <c r="CL658" i="1"/>
  <c r="CL659" i="1"/>
  <c r="CQ661" i="1"/>
  <c r="BX661" i="1"/>
  <c r="CP661" i="1"/>
  <c r="CM662" i="1"/>
  <c r="CL662" i="1"/>
  <c r="CR662" i="1"/>
  <c r="CN664" i="1"/>
  <c r="CK664" i="1"/>
  <c r="CN665" i="1"/>
  <c r="CA666" i="1"/>
  <c r="CQ667" i="1"/>
  <c r="BI668" i="1"/>
  <c r="CK668" i="1" s="1"/>
  <c r="CO670" i="1"/>
  <c r="CO671" i="1"/>
  <c r="CR672" i="1"/>
  <c r="CC676" i="1"/>
  <c r="BS676" i="1"/>
  <c r="CB676" i="1"/>
  <c r="CA676" i="1"/>
  <c r="CH676" i="1"/>
  <c r="BI677" i="1"/>
  <c r="CL678" i="1"/>
  <c r="CP680" i="1"/>
  <c r="CK680" i="1"/>
  <c r="CP682" i="1"/>
  <c r="CO686" i="1"/>
  <c r="CL686" i="1"/>
  <c r="CK686" i="1"/>
  <c r="CH691" i="1"/>
  <c r="CG691" i="1"/>
  <c r="CF691" i="1"/>
  <c r="CE691" i="1"/>
  <c r="CD691" i="1"/>
  <c r="CB691" i="1"/>
  <c r="CO693" i="1"/>
  <c r="CL693" i="1"/>
  <c r="CI698" i="1"/>
  <c r="CQ699" i="1"/>
  <c r="CC702" i="1"/>
  <c r="BS702" i="1"/>
  <c r="CB702" i="1"/>
  <c r="CA702" i="1"/>
  <c r="CI702" i="1" s="1"/>
  <c r="CH702" i="1"/>
  <c r="CG702" i="1"/>
  <c r="CR704" i="1"/>
  <c r="CD705" i="1"/>
  <c r="CC706" i="1"/>
  <c r="CP714" i="1"/>
  <c r="CQ717" i="1"/>
  <c r="BP721" i="1"/>
  <c r="CK721" i="1"/>
  <c r="CO728" i="1"/>
  <c r="CI735" i="1"/>
  <c r="CI736" i="1"/>
  <c r="CO737" i="1"/>
  <c r="CK549" i="1"/>
  <c r="CO550" i="1"/>
  <c r="CP552" i="1"/>
  <c r="CK554" i="1"/>
  <c r="BX560" i="1"/>
  <c r="CQ560" i="1"/>
  <c r="CK562" i="1"/>
  <c r="CR565" i="1"/>
  <c r="CK567" i="1"/>
  <c r="CP568" i="1"/>
  <c r="CP572" i="1"/>
  <c r="CL574" i="1"/>
  <c r="CS574" i="1" s="1"/>
  <c r="CT574" i="1" s="1"/>
  <c r="BX575" i="1"/>
  <c r="CQ575" i="1"/>
  <c r="CF577" i="1"/>
  <c r="CA578" i="1"/>
  <c r="CK580" i="1"/>
  <c r="CK582" i="1"/>
  <c r="CS582" i="1" s="1"/>
  <c r="CT582" i="1" s="1"/>
  <c r="CR584" i="1"/>
  <c r="CN585" i="1"/>
  <c r="CN587" i="1"/>
  <c r="CK588" i="1"/>
  <c r="CS588" i="1" s="1"/>
  <c r="CT588" i="1" s="1"/>
  <c r="CP589" i="1"/>
  <c r="CP591" i="1"/>
  <c r="BX593" i="1"/>
  <c r="CQ593" i="1"/>
  <c r="CM595" i="1"/>
  <c r="AD596" i="1"/>
  <c r="CF596" i="1"/>
  <c r="BX597" i="1"/>
  <c r="CQ597" i="1"/>
  <c r="CN599" i="1"/>
  <c r="CG600" i="1"/>
  <c r="CP600" i="1"/>
  <c r="BI601" i="1"/>
  <c r="CB601" i="1"/>
  <c r="CK603" i="1"/>
  <c r="CL604" i="1"/>
  <c r="BS605" i="1"/>
  <c r="CC605" i="1"/>
  <c r="CN606" i="1"/>
  <c r="CO607" i="1"/>
  <c r="BX608" i="1"/>
  <c r="CQ608" i="1"/>
  <c r="CL610" i="1"/>
  <c r="CM611" i="1"/>
  <c r="CO612" i="1"/>
  <c r="CN613" i="1"/>
  <c r="CP614" i="1"/>
  <c r="BX615" i="1"/>
  <c r="CQ615" i="1"/>
  <c r="CN616" i="1"/>
  <c r="CK617" i="1"/>
  <c r="CN618" i="1"/>
  <c r="CK619" i="1"/>
  <c r="CK621" i="1"/>
  <c r="CK623" i="1"/>
  <c r="CK625" i="1"/>
  <c r="CR626" i="1"/>
  <c r="CR627" i="1"/>
  <c r="CO628" i="1"/>
  <c r="BX630" i="1"/>
  <c r="CQ630" i="1"/>
  <c r="CR631" i="1"/>
  <c r="CM633" i="1"/>
  <c r="CI634" i="1"/>
  <c r="CK634" i="1"/>
  <c r="CS634" i="1" s="1"/>
  <c r="CT634" i="1" s="1"/>
  <c r="CI641" i="1"/>
  <c r="CV643" i="1"/>
  <c r="CK644" i="1"/>
  <c r="CR644" i="1"/>
  <c r="CO645" i="1"/>
  <c r="CN645" i="1"/>
  <c r="CR645" i="1"/>
  <c r="CI650" i="1"/>
  <c r="BW652" i="1"/>
  <c r="CO655" i="1"/>
  <c r="CO656" i="1"/>
  <c r="CO658" i="1"/>
  <c r="CK660" i="1"/>
  <c r="CK661" i="1"/>
  <c r="BX662" i="1"/>
  <c r="CP663" i="1"/>
  <c r="CQ665" i="1"/>
  <c r="CQ670" i="1"/>
  <c r="CR674" i="1"/>
  <c r="CL676" i="1"/>
  <c r="CK676" i="1"/>
  <c r="CS676" i="1" s="1"/>
  <c r="CT676" i="1" s="1"/>
  <c r="CR676" i="1"/>
  <c r="CQ676" i="1"/>
  <c r="BX676" i="1"/>
  <c r="CP676" i="1"/>
  <c r="CI679" i="1"/>
  <c r="CL680" i="1"/>
  <c r="CQ682" i="1"/>
  <c r="CO684" i="1"/>
  <c r="CN684" i="1"/>
  <c r="CM684" i="1"/>
  <c r="CL684" i="1"/>
  <c r="CQ688" i="1"/>
  <c r="CE690" i="1"/>
  <c r="CD690" i="1"/>
  <c r="CC690" i="1"/>
  <c r="BS690" i="1"/>
  <c r="CB690" i="1"/>
  <c r="CA690" i="1"/>
  <c r="BI690" i="1"/>
  <c r="CG690" i="1"/>
  <c r="CQ691" i="1"/>
  <c r="BX691" i="1"/>
  <c r="CP691" i="1"/>
  <c r="CM691" i="1"/>
  <c r="CS691" i="1" s="1"/>
  <c r="CT691" i="1" s="1"/>
  <c r="CR699" i="1"/>
  <c r="CL702" i="1"/>
  <c r="CK702" i="1"/>
  <c r="CS702" i="1" s="1"/>
  <c r="CT702" i="1" s="1"/>
  <c r="CR702" i="1"/>
  <c r="CQ702" i="1"/>
  <c r="BX702" i="1"/>
  <c r="CP702" i="1"/>
  <c r="CD706" i="1"/>
  <c r="CO707" i="1"/>
  <c r="CN707" i="1"/>
  <c r="CM707" i="1"/>
  <c r="CL707" i="1"/>
  <c r="CK707" i="1"/>
  <c r="CI714" i="1"/>
  <c r="CN715" i="1"/>
  <c r="CM715" i="1"/>
  <c r="CL715" i="1"/>
  <c r="CK715" i="1"/>
  <c r="CS715" i="1" s="1"/>
  <c r="CT715" i="1" s="1"/>
  <c r="CR715" i="1"/>
  <c r="BX715" i="1"/>
  <c r="CQ721" i="1"/>
  <c r="CP728" i="1"/>
  <c r="CK732" i="1"/>
  <c r="CR732" i="1"/>
  <c r="CQ732" i="1"/>
  <c r="BX732" i="1"/>
  <c r="CP732" i="1"/>
  <c r="CO732" i="1"/>
  <c r="CI738" i="1"/>
  <c r="CK547" i="1"/>
  <c r="CL549" i="1"/>
  <c r="CP550" i="1"/>
  <c r="CM551" i="1"/>
  <c r="BX552" i="1"/>
  <c r="CQ552" i="1"/>
  <c r="CL554" i="1"/>
  <c r="BX555" i="1"/>
  <c r="CQ555" i="1"/>
  <c r="CN556" i="1"/>
  <c r="CS556" i="1" s="1"/>
  <c r="CT556" i="1" s="1"/>
  <c r="CR560" i="1"/>
  <c r="CL562" i="1"/>
  <c r="CP563" i="1"/>
  <c r="CN564" i="1"/>
  <c r="CS564" i="1" s="1"/>
  <c r="CT564" i="1" s="1"/>
  <c r="CK565" i="1"/>
  <c r="CL567" i="1"/>
  <c r="BX568" i="1"/>
  <c r="CQ568" i="1"/>
  <c r="CK570" i="1"/>
  <c r="BX572" i="1"/>
  <c r="CQ572" i="1"/>
  <c r="CK573" i="1"/>
  <c r="CS573" i="1" s="1"/>
  <c r="CT573" i="1" s="1"/>
  <c r="CM574" i="1"/>
  <c r="CR575" i="1"/>
  <c r="AD577" i="1"/>
  <c r="CG577" i="1"/>
  <c r="AD578" i="1"/>
  <c r="CB578" i="1"/>
  <c r="CL580" i="1"/>
  <c r="CL582" i="1"/>
  <c r="CK584" i="1"/>
  <c r="CS584" i="1" s="1"/>
  <c r="CT584" i="1" s="1"/>
  <c r="CO585" i="1"/>
  <c r="CK586" i="1"/>
  <c r="CO587" i="1"/>
  <c r="CL588" i="1"/>
  <c r="BX589" i="1"/>
  <c r="CQ589" i="1"/>
  <c r="CM590" i="1"/>
  <c r="BX591" i="1"/>
  <c r="CQ591" i="1"/>
  <c r="CA593" i="1"/>
  <c r="CI593" i="1" s="1"/>
  <c r="CR593" i="1"/>
  <c r="CN595" i="1"/>
  <c r="CG596" i="1"/>
  <c r="CA597" i="1"/>
  <c r="CI597" i="1" s="1"/>
  <c r="CR597" i="1"/>
  <c r="CO599" i="1"/>
  <c r="BX600" i="1"/>
  <c r="CH600" i="1"/>
  <c r="CQ600" i="1"/>
  <c r="BS601" i="1"/>
  <c r="CC601" i="1"/>
  <c r="CL601" i="1"/>
  <c r="CL603" i="1"/>
  <c r="CM604" i="1"/>
  <c r="CD605" i="1"/>
  <c r="CO606" i="1"/>
  <c r="CP607" i="1"/>
  <c r="CR608" i="1"/>
  <c r="CM610" i="1"/>
  <c r="CN611" i="1"/>
  <c r="CP612" i="1"/>
  <c r="CO613" i="1"/>
  <c r="BX614" i="1"/>
  <c r="CQ614" i="1"/>
  <c r="CR615" i="1"/>
  <c r="CO616" i="1"/>
  <c r="CF618" i="1"/>
  <c r="CO618" i="1"/>
  <c r="CP620" i="1"/>
  <c r="CP622" i="1"/>
  <c r="CP624" i="1"/>
  <c r="CK626" i="1"/>
  <c r="CS626" i="1" s="1"/>
  <c r="CT626" i="1" s="1"/>
  <c r="CK627" i="1"/>
  <c r="CG628" i="1"/>
  <c r="CP628" i="1"/>
  <c r="CR630" i="1"/>
  <c r="CK631" i="1"/>
  <c r="CS631" i="1" s="1"/>
  <c r="CT631" i="1" s="1"/>
  <c r="CK632" i="1"/>
  <c r="CN633" i="1"/>
  <c r="CL634" i="1"/>
  <c r="CK635" i="1"/>
  <c r="CK636" i="1"/>
  <c r="CE642" i="1"/>
  <c r="CD642" i="1"/>
  <c r="CA642" i="1"/>
  <c r="CI642" i="1" s="1"/>
  <c r="BX645" i="1"/>
  <c r="CK651" i="1"/>
  <c r="CP652" i="1"/>
  <c r="CO652" i="1"/>
  <c r="CN654" i="1"/>
  <c r="CM654" i="1"/>
  <c r="CR654" i="1"/>
  <c r="CP656" i="1"/>
  <c r="CP658" i="1"/>
  <c r="CL661" i="1"/>
  <c r="CE666" i="1"/>
  <c r="CC666" i="1"/>
  <c r="BS666" i="1"/>
  <c r="CB666" i="1"/>
  <c r="BI666" i="1"/>
  <c r="CP666" i="1" s="1"/>
  <c r="CF666" i="1"/>
  <c r="CL673" i="1"/>
  <c r="CK673" i="1"/>
  <c r="CR673" i="1"/>
  <c r="CQ673" i="1"/>
  <c r="BX673" i="1"/>
  <c r="BX680" i="1"/>
  <c r="CQ680" i="1"/>
  <c r="BX684" i="1"/>
  <c r="CM689" i="1"/>
  <c r="CL689" i="1"/>
  <c r="CK689" i="1"/>
  <c r="CR689" i="1"/>
  <c r="CQ689" i="1"/>
  <c r="BX689" i="1"/>
  <c r="CN692" i="1"/>
  <c r="CM692" i="1"/>
  <c r="CL692" i="1"/>
  <c r="CK692" i="1"/>
  <c r="CR692" i="1"/>
  <c r="CN713" i="1"/>
  <c r="CE730" i="1"/>
  <c r="CD730" i="1"/>
  <c r="CC730" i="1"/>
  <c r="BS730" i="1"/>
  <c r="CB730" i="1"/>
  <c r="CA730" i="1"/>
  <c r="CR735" i="1"/>
  <c r="CQ735" i="1"/>
  <c r="CS735" i="1" s="1"/>
  <c r="CT735" i="1" s="1"/>
  <c r="BX735" i="1"/>
  <c r="CN735" i="1"/>
  <c r="CM735" i="1"/>
  <c r="CL735" i="1"/>
  <c r="CR736" i="1"/>
  <c r="CQ736" i="1"/>
  <c r="BX736" i="1"/>
  <c r="CP736" i="1"/>
  <c r="CO736" i="1"/>
  <c r="CN736" i="1"/>
  <c r="CM736" i="1"/>
  <c r="CL736" i="1"/>
  <c r="CS736" i="1" s="1"/>
  <c r="CT736" i="1" s="1"/>
  <c r="CK738" i="1"/>
  <c r="BX738" i="1"/>
  <c r="CP738" i="1"/>
  <c r="CO738" i="1"/>
  <c r="CM738" i="1"/>
  <c r="CP585" i="1"/>
  <c r="CP587" i="1"/>
  <c r="CO595" i="1"/>
  <c r="CK597" i="1"/>
  <c r="CS597" i="1" s="1"/>
  <c r="CT597" i="1" s="1"/>
  <c r="CP599" i="1"/>
  <c r="CA600" i="1"/>
  <c r="CI600" i="1" s="1"/>
  <c r="CE605" i="1"/>
  <c r="CP606" i="1"/>
  <c r="CK608" i="1"/>
  <c r="CO611" i="1"/>
  <c r="CR614" i="1"/>
  <c r="CP616" i="1"/>
  <c r="CP618" i="1"/>
  <c r="BX628" i="1"/>
  <c r="CQ628" i="1"/>
  <c r="CP633" i="1"/>
  <c r="CM634" i="1"/>
  <c r="CL635" i="1"/>
  <c r="CN636" i="1"/>
  <c r="CO638" i="1"/>
  <c r="CN638" i="1"/>
  <c r="CR638" i="1"/>
  <c r="BI642" i="1"/>
  <c r="CQ642" i="1" s="1"/>
  <c r="CB642" i="1"/>
  <c r="CI644" i="1"/>
  <c r="CK646" i="1"/>
  <c r="CR646" i="1"/>
  <c r="CO647" i="1"/>
  <c r="CN647" i="1"/>
  <c r="CR647" i="1"/>
  <c r="CL651" i="1"/>
  <c r="CH653" i="1"/>
  <c r="CG653" i="1"/>
  <c r="CF653" i="1"/>
  <c r="BX654" i="1"/>
  <c r="CH661" i="1"/>
  <c r="CG661" i="1"/>
  <c r="CB661" i="1"/>
  <c r="CI661" i="1" s="1"/>
  <c r="CM661" i="1"/>
  <c r="CK662" i="1"/>
  <c r="CE664" i="1"/>
  <c r="CC664" i="1"/>
  <c r="BS664" i="1"/>
  <c r="CB664" i="1"/>
  <c r="CI664" i="1" s="1"/>
  <c r="BI664" i="1"/>
  <c r="CF664" i="1"/>
  <c r="CG666" i="1"/>
  <c r="CO667" i="1"/>
  <c r="CM667" i="1"/>
  <c r="CL667" i="1"/>
  <c r="CM673" i="1"/>
  <c r="CG680" i="1"/>
  <c r="CF680" i="1"/>
  <c r="CA680" i="1"/>
  <c r="CK688" i="1"/>
  <c r="CN689" i="1"/>
  <c r="BX692" i="1"/>
  <c r="CR714" i="1"/>
  <c r="CQ714" i="1"/>
  <c r="BX714" i="1"/>
  <c r="CN714" i="1"/>
  <c r="CM714" i="1"/>
  <c r="CS714" i="1" s="1"/>
  <c r="CT714" i="1" s="1"/>
  <c r="CZ721" i="1"/>
  <c r="CE728" i="1"/>
  <c r="CD728" i="1"/>
  <c r="CC728" i="1"/>
  <c r="BS728" i="1"/>
  <c r="CB728" i="1"/>
  <c r="CA728" i="1"/>
  <c r="AD730" i="1"/>
  <c r="CI747" i="1"/>
  <c r="CF605" i="1"/>
  <c r="CP611" i="1"/>
  <c r="CQ633" i="1"/>
  <c r="CK645" i="1"/>
  <c r="CQ655" i="1"/>
  <c r="BX655" i="1"/>
  <c r="CM656" i="1"/>
  <c r="CL656" i="1"/>
  <c r="CR656" i="1"/>
  <c r="CN658" i="1"/>
  <c r="CM658" i="1"/>
  <c r="CR658" i="1"/>
  <c r="CN661" i="1"/>
  <c r="CK663" i="1"/>
  <c r="CQ663" i="1"/>
  <c r="BX663" i="1"/>
  <c r="CM663" i="1"/>
  <c r="CL671" i="1"/>
  <c r="CR671" i="1"/>
  <c r="CQ671" i="1"/>
  <c r="BX671" i="1"/>
  <c r="CO677" i="1"/>
  <c r="CO682" i="1"/>
  <c r="CN682" i="1"/>
  <c r="CM682" i="1"/>
  <c r="CL682" i="1"/>
  <c r="CK684" i="1"/>
  <c r="CL688" i="1"/>
  <c r="CR693" i="1"/>
  <c r="CQ693" i="1"/>
  <c r="BX693" i="1"/>
  <c r="CP693" i="1"/>
  <c r="CN693" i="1"/>
  <c r="CA706" i="1"/>
  <c r="CH706" i="1"/>
  <c r="CG706" i="1"/>
  <c r="CF706" i="1"/>
  <c r="CE706" i="1"/>
  <c r="AD706" i="1"/>
  <c r="CO717" i="1"/>
  <c r="CN717" i="1"/>
  <c r="CM717" i="1"/>
  <c r="CL717" i="1"/>
  <c r="CK717" i="1"/>
  <c r="CG720" i="1"/>
  <c r="CF720" i="1"/>
  <c r="CE720" i="1"/>
  <c r="CD720" i="1"/>
  <c r="CC720" i="1"/>
  <c r="BS720" i="1"/>
  <c r="CB720" i="1"/>
  <c r="CI720" i="1" s="1"/>
  <c r="CN728" i="1"/>
  <c r="CM728" i="1"/>
  <c r="CL728" i="1"/>
  <c r="CK728" i="1"/>
  <c r="CR728" i="1"/>
  <c r="BX728" i="1"/>
  <c r="CZ736" i="1"/>
  <c r="CO549" i="1"/>
  <c r="CK550" i="1"/>
  <c r="CS550" i="1" s="1"/>
  <c r="CT550" i="1" s="1"/>
  <c r="CP551" i="1"/>
  <c r="CL552" i="1"/>
  <c r="CS552" i="1" s="1"/>
  <c r="CT552" i="1" s="1"/>
  <c r="BX556" i="1"/>
  <c r="CQ556" i="1"/>
  <c r="CM560" i="1"/>
  <c r="CK563" i="1"/>
  <c r="CS563" i="1" s="1"/>
  <c r="CT563" i="1" s="1"/>
  <c r="BX564" i="1"/>
  <c r="CQ564" i="1"/>
  <c r="CN565" i="1"/>
  <c r="CO567" i="1"/>
  <c r="CL568" i="1"/>
  <c r="CL572" i="1"/>
  <c r="CP574" i="1"/>
  <c r="CM575" i="1"/>
  <c r="CS575" i="1" s="1"/>
  <c r="CT575" i="1" s="1"/>
  <c r="CE578" i="1"/>
  <c r="CK579" i="1"/>
  <c r="CO580" i="1"/>
  <c r="CK581" i="1"/>
  <c r="CO582" i="1"/>
  <c r="CK583" i="1"/>
  <c r="CN584" i="1"/>
  <c r="CR585" i="1"/>
  <c r="CN586" i="1"/>
  <c r="CR587" i="1"/>
  <c r="CO588" i="1"/>
  <c r="CL589" i="1"/>
  <c r="CS589" i="1" s="1"/>
  <c r="CT589" i="1" s="1"/>
  <c r="CP590" i="1"/>
  <c r="CL591" i="1"/>
  <c r="CM593" i="1"/>
  <c r="CS593" i="1" s="1"/>
  <c r="CT593" i="1" s="1"/>
  <c r="BX595" i="1"/>
  <c r="CQ595" i="1"/>
  <c r="CB596" i="1"/>
  <c r="CI596" i="1" s="1"/>
  <c r="BX599" i="1"/>
  <c r="CR599" i="1"/>
  <c r="BS600" i="1"/>
  <c r="CC600" i="1"/>
  <c r="CL600" i="1"/>
  <c r="CF601" i="1"/>
  <c r="CO601" i="1"/>
  <c r="CK602" i="1"/>
  <c r="CO603" i="1"/>
  <c r="CP604" i="1"/>
  <c r="AD605" i="1"/>
  <c r="CG605" i="1"/>
  <c r="CR606" i="1"/>
  <c r="CP610" i="1"/>
  <c r="BX611" i="1"/>
  <c r="CQ611" i="1"/>
  <c r="CK612" i="1"/>
  <c r="CS612" i="1" s="1"/>
  <c r="CT612" i="1" s="1"/>
  <c r="CR613" i="1"/>
  <c r="CL614" i="1"/>
  <c r="CS614" i="1" s="1"/>
  <c r="CT614" i="1" s="1"/>
  <c r="CM615" i="1"/>
  <c r="CS615" i="1" s="1"/>
  <c r="CT615" i="1" s="1"/>
  <c r="CR616" i="1"/>
  <c r="CO617" i="1"/>
  <c r="CA618" i="1"/>
  <c r="CR618" i="1"/>
  <c r="CO619" i="1"/>
  <c r="CK620" i="1"/>
  <c r="CS620" i="1" s="1"/>
  <c r="CT620" i="1" s="1"/>
  <c r="CO621" i="1"/>
  <c r="CK622" i="1"/>
  <c r="CO623" i="1"/>
  <c r="CK624" i="1"/>
  <c r="CO625" i="1"/>
  <c r="CN626" i="1"/>
  <c r="CN627" i="1"/>
  <c r="CB628" i="1"/>
  <c r="CI628" i="1" s="1"/>
  <c r="CK628" i="1"/>
  <c r="CM630" i="1"/>
  <c r="CN631" i="1"/>
  <c r="CO632" i="1"/>
  <c r="BX633" i="1"/>
  <c r="CR633" i="1"/>
  <c r="CR637" i="1"/>
  <c r="CQ637" i="1"/>
  <c r="CS637" i="1" s="1"/>
  <c r="CT637" i="1" s="1"/>
  <c r="BX637" i="1"/>
  <c r="CK639" i="1"/>
  <c r="CR639" i="1"/>
  <c r="CO640" i="1"/>
  <c r="CN640" i="1"/>
  <c r="CS640" i="1" s="1"/>
  <c r="CT640" i="1" s="1"/>
  <c r="CR640" i="1"/>
  <c r="CF642" i="1"/>
  <c r="CN644" i="1"/>
  <c r="CL645" i="1"/>
  <c r="CI646" i="1"/>
  <c r="CL646" i="1"/>
  <c r="CK648" i="1"/>
  <c r="CR648" i="1"/>
  <c r="CO649" i="1"/>
  <c r="CN649" i="1"/>
  <c r="CS649" i="1" s="1"/>
  <c r="CT649" i="1" s="1"/>
  <c r="CR649" i="1"/>
  <c r="CG652" i="1"/>
  <c r="CF652" i="1"/>
  <c r="CA652" i="1"/>
  <c r="CI652" i="1" s="1"/>
  <c r="CL652" i="1"/>
  <c r="AD653" i="1"/>
  <c r="CK654" i="1"/>
  <c r="BX656" i="1"/>
  <c r="BX658" i="1"/>
  <c r="BS661" i="1"/>
  <c r="CD661" i="1"/>
  <c r="CO661" i="1"/>
  <c r="CO662" i="1"/>
  <c r="CN663" i="1"/>
  <c r="CH664" i="1"/>
  <c r="CI665" i="1"/>
  <c r="CK665" i="1"/>
  <c r="BX667" i="1"/>
  <c r="CK667" i="1"/>
  <c r="CL669" i="1"/>
  <c r="CS669" i="1" s="1"/>
  <c r="CT669" i="1" s="1"/>
  <c r="CR669" i="1"/>
  <c r="CQ669" i="1"/>
  <c r="BX669" i="1"/>
  <c r="CI671" i="1"/>
  <c r="CK671" i="1"/>
  <c r="CK672" i="1"/>
  <c r="CS672" i="1" s="1"/>
  <c r="CT672" i="1" s="1"/>
  <c r="CO673" i="1"/>
  <c r="BX678" i="1"/>
  <c r="BS680" i="1"/>
  <c r="CC680" i="1"/>
  <c r="CA681" i="1"/>
  <c r="CH681" i="1"/>
  <c r="CG681" i="1"/>
  <c r="CF681" i="1"/>
  <c r="AD681" i="1"/>
  <c r="BX682" i="1"/>
  <c r="CP684" i="1"/>
  <c r="CR688" i="1"/>
  <c r="CI689" i="1"/>
  <c r="CP689" i="1"/>
  <c r="CN690" i="1"/>
  <c r="CO691" i="1"/>
  <c r="CR691" i="1"/>
  <c r="CP692" i="1"/>
  <c r="CG705" i="1"/>
  <c r="CF705" i="1"/>
  <c r="CE705" i="1"/>
  <c r="CC705" i="1"/>
  <c r="BS705" i="1"/>
  <c r="CB705" i="1"/>
  <c r="CI705" i="1" s="1"/>
  <c r="CQ707" i="1"/>
  <c r="CS709" i="1"/>
  <c r="CT709" i="1" s="1"/>
  <c r="CI712" i="1"/>
  <c r="BX717" i="1"/>
  <c r="BI720" i="1"/>
  <c r="CP720" i="1" s="1"/>
  <c r="CH720" i="1"/>
  <c r="CK723" i="1"/>
  <c r="CR723" i="1"/>
  <c r="CQ723" i="1"/>
  <c r="BX723" i="1"/>
  <c r="CP723" i="1"/>
  <c r="CO723" i="1"/>
  <c r="CB726" i="1"/>
  <c r="CI726" i="1" s="1"/>
  <c r="BI726" i="1"/>
  <c r="CH726" i="1"/>
  <c r="CG730" i="1"/>
  <c r="CO547" i="1"/>
  <c r="BX551" i="1"/>
  <c r="CQ551" i="1"/>
  <c r="CM552" i="1"/>
  <c r="CP554" i="1"/>
  <c r="CR556" i="1"/>
  <c r="BX559" i="1"/>
  <c r="CN560" i="1"/>
  <c r="CP562" i="1"/>
  <c r="CR564" i="1"/>
  <c r="CO565" i="1"/>
  <c r="CM568" i="1"/>
  <c r="CO570" i="1"/>
  <c r="CM572" i="1"/>
  <c r="CO573" i="1"/>
  <c r="BX574" i="1"/>
  <c r="CQ574" i="1"/>
  <c r="CN575" i="1"/>
  <c r="BS577" i="1"/>
  <c r="CC577" i="1"/>
  <c r="CF578" i="1"/>
  <c r="CL579" i="1"/>
  <c r="CL581" i="1"/>
  <c r="CL583" i="1"/>
  <c r="CK585" i="1"/>
  <c r="CO586" i="1"/>
  <c r="CK587" i="1"/>
  <c r="CS587" i="1" s="1"/>
  <c r="CT587" i="1" s="1"/>
  <c r="CM589" i="1"/>
  <c r="BX590" i="1"/>
  <c r="CQ590" i="1"/>
  <c r="CM591" i="1"/>
  <c r="CN593" i="1"/>
  <c r="CR595" i="1"/>
  <c r="BS596" i="1"/>
  <c r="CC596" i="1"/>
  <c r="CN597" i="1"/>
  <c r="CK599" i="1"/>
  <c r="CD600" i="1"/>
  <c r="CM600" i="1"/>
  <c r="CG601" i="1"/>
  <c r="CP601" i="1"/>
  <c r="CL602" i="1"/>
  <c r="BX604" i="1"/>
  <c r="CQ604" i="1"/>
  <c r="CH605" i="1"/>
  <c r="CK606" i="1"/>
  <c r="CL607" i="1"/>
  <c r="CS607" i="1" s="1"/>
  <c r="CT607" i="1" s="1"/>
  <c r="CN608" i="1"/>
  <c r="BX610" i="1"/>
  <c r="CQ610" i="1"/>
  <c r="CR611" i="1"/>
  <c r="CK613" i="1"/>
  <c r="CM614" i="1"/>
  <c r="CN615" i="1"/>
  <c r="CK616" i="1"/>
  <c r="CP617" i="1"/>
  <c r="CB618" i="1"/>
  <c r="CK618" i="1"/>
  <c r="CP619" i="1"/>
  <c r="CL620" i="1"/>
  <c r="CP621" i="1"/>
  <c r="CL622" i="1"/>
  <c r="CP623" i="1"/>
  <c r="CL624" i="1"/>
  <c r="CP625" i="1"/>
  <c r="CO626" i="1"/>
  <c r="CO627" i="1"/>
  <c r="BS628" i="1"/>
  <c r="CC628" i="1"/>
  <c r="CL628" i="1"/>
  <c r="BX629" i="1"/>
  <c r="CQ629" i="1"/>
  <c r="CN630" i="1"/>
  <c r="CO631" i="1"/>
  <c r="CP632" i="1"/>
  <c r="CI637" i="1"/>
  <c r="CK638" i="1"/>
  <c r="CG642" i="1"/>
  <c r="CM646" i="1"/>
  <c r="CK647" i="1"/>
  <c r="CM652" i="1"/>
  <c r="CA653" i="1"/>
  <c r="CL654" i="1"/>
  <c r="CL655" i="1"/>
  <c r="CR659" i="1"/>
  <c r="CQ659" i="1"/>
  <c r="BX659" i="1"/>
  <c r="CN660" i="1"/>
  <c r="CM660" i="1"/>
  <c r="CR660" i="1"/>
  <c r="CE661" i="1"/>
  <c r="CP662" i="1"/>
  <c r="CO663" i="1"/>
  <c r="CL665" i="1"/>
  <c r="CN667" i="1"/>
  <c r="CI669" i="1"/>
  <c r="CK670" i="1"/>
  <c r="CS670" i="1" s="1"/>
  <c r="CT670" i="1" s="1"/>
  <c r="CM671" i="1"/>
  <c r="CP673" i="1"/>
  <c r="CR675" i="1"/>
  <c r="CQ675" i="1"/>
  <c r="BX675" i="1"/>
  <c r="CN675" i="1"/>
  <c r="CH680" i="1"/>
  <c r="CQ692" i="1"/>
  <c r="CO694" i="1"/>
  <c r="CN694" i="1"/>
  <c r="CM694" i="1"/>
  <c r="CL694" i="1"/>
  <c r="CK694" i="1"/>
  <c r="CS694" i="1" s="1"/>
  <c r="CT694" i="1" s="1"/>
  <c r="CP699" i="1"/>
  <c r="CO699" i="1"/>
  <c r="CL699" i="1"/>
  <c r="CM702" i="1"/>
  <c r="CP705" i="1"/>
  <c r="CO705" i="1"/>
  <c r="CL705" i="1"/>
  <c r="CS705" i="1" s="1"/>
  <c r="CT705" i="1" s="1"/>
  <c r="CR707" i="1"/>
  <c r="CI710" i="1"/>
  <c r="CO713" i="1"/>
  <c r="CH730" i="1"/>
  <c r="CI732" i="1"/>
  <c r="BX549" i="1"/>
  <c r="BX554" i="1"/>
  <c r="BX562" i="1"/>
  <c r="BX567" i="1"/>
  <c r="BX580" i="1"/>
  <c r="BX582" i="1"/>
  <c r="BX588" i="1"/>
  <c r="BX601" i="1"/>
  <c r="BX603" i="1"/>
  <c r="BX617" i="1"/>
  <c r="BS618" i="1"/>
  <c r="BX619" i="1"/>
  <c r="BX621" i="1"/>
  <c r="BX623" i="1"/>
  <c r="BX625" i="1"/>
  <c r="CQ632" i="1"/>
  <c r="CK633" i="1"/>
  <c r="CR634" i="1"/>
  <c r="CQ634" i="1"/>
  <c r="CO635" i="1"/>
  <c r="CQ635" i="1"/>
  <c r="CM636" i="1"/>
  <c r="CL636" i="1"/>
  <c r="CR636" i="1"/>
  <c r="CL638" i="1"/>
  <c r="CI639" i="1"/>
  <c r="CK641" i="1"/>
  <c r="CS641" i="1" s="1"/>
  <c r="CT641" i="1" s="1"/>
  <c r="CR641" i="1"/>
  <c r="CN642" i="1"/>
  <c r="CM642" i="1"/>
  <c r="CH642" i="1"/>
  <c r="CP644" i="1"/>
  <c r="CP645" i="1"/>
  <c r="CN646" i="1"/>
  <c r="CL647" i="1"/>
  <c r="CI648" i="1"/>
  <c r="CK650" i="1"/>
  <c r="CR650" i="1"/>
  <c r="CO651" i="1"/>
  <c r="CN651" i="1"/>
  <c r="CR651" i="1"/>
  <c r="CN652" i="1"/>
  <c r="CB653" i="1"/>
  <c r="CO654" i="1"/>
  <c r="CH655" i="1"/>
  <c r="CG655" i="1"/>
  <c r="CB655" i="1"/>
  <c r="CI655" i="1" s="1"/>
  <c r="CM655" i="1"/>
  <c r="CK656" i="1"/>
  <c r="CK658" i="1"/>
  <c r="CI659" i="1"/>
  <c r="CK659" i="1"/>
  <c r="BX660" i="1"/>
  <c r="CF661" i="1"/>
  <c r="CR663" i="1"/>
  <c r="CM665" i="1"/>
  <c r="CN666" i="1"/>
  <c r="CL666" i="1"/>
  <c r="CK666" i="1"/>
  <c r="BX666" i="1"/>
  <c r="CO666" i="1"/>
  <c r="CP667" i="1"/>
  <c r="CD668" i="1"/>
  <c r="CB668" i="1"/>
  <c r="CI668" i="1" s="1"/>
  <c r="CN671" i="1"/>
  <c r="CO674" i="1"/>
  <c r="CN674" i="1"/>
  <c r="CM674" i="1"/>
  <c r="CL674" i="1"/>
  <c r="CS674" i="1" s="1"/>
  <c r="CT674" i="1" s="1"/>
  <c r="BX674" i="1"/>
  <c r="CP674" i="1"/>
  <c r="CN676" i="1"/>
  <c r="CH677" i="1"/>
  <c r="CG677" i="1"/>
  <c r="CF677" i="1"/>
  <c r="CB677" i="1"/>
  <c r="CI677" i="1" s="1"/>
  <c r="CK678" i="1"/>
  <c r="CS678" i="1" s="1"/>
  <c r="CT678" i="1" s="1"/>
  <c r="CM679" i="1"/>
  <c r="CL679" i="1"/>
  <c r="CK679" i="1"/>
  <c r="CR679" i="1"/>
  <c r="CE680" i="1"/>
  <c r="CK682" i="1"/>
  <c r="CR684" i="1"/>
  <c r="CK693" i="1"/>
  <c r="BX694" i="1"/>
  <c r="CK699" i="1"/>
  <c r="CB701" i="1"/>
  <c r="CA701" i="1"/>
  <c r="CH701" i="1"/>
  <c r="CG701" i="1"/>
  <c r="CF701" i="1"/>
  <c r="CN702" i="1"/>
  <c r="CB706" i="1"/>
  <c r="CI708" i="1"/>
  <c r="CS710" i="1"/>
  <c r="CT710" i="1" s="1"/>
  <c r="CP713" i="1"/>
  <c r="CI716" i="1"/>
  <c r="CP717" i="1"/>
  <c r="AK723" i="1"/>
  <c r="CZ723" i="1" s="1"/>
  <c r="CM723" i="1"/>
  <c r="CE724" i="1"/>
  <c r="CD724" i="1"/>
  <c r="CC724" i="1"/>
  <c r="BS724" i="1"/>
  <c r="CB724" i="1"/>
  <c r="CA724" i="1"/>
  <c r="CM732" i="1"/>
  <c r="CF733" i="1"/>
  <c r="CE733" i="1"/>
  <c r="CD733" i="1"/>
  <c r="CC733" i="1"/>
  <c r="BS733" i="1"/>
  <c r="CB733" i="1"/>
  <c r="CI733" i="1" s="1"/>
  <c r="BI733" i="1"/>
  <c r="CO733" i="1" s="1"/>
  <c r="CH733" i="1"/>
  <c r="CR739" i="1"/>
  <c r="CQ739" i="1"/>
  <c r="CP739" i="1"/>
  <c r="CO739" i="1"/>
  <c r="CN739" i="1"/>
  <c r="CM739" i="1"/>
  <c r="CL739" i="1"/>
  <c r="CS739" i="1" s="1"/>
  <c r="CT739" i="1" s="1"/>
  <c r="CB747" i="1"/>
  <c r="CH751" i="1"/>
  <c r="CG751" i="1"/>
  <c r="CC751" i="1"/>
  <c r="CM753" i="1"/>
  <c r="CL753" i="1"/>
  <c r="CK753" i="1"/>
  <c r="BX753" i="1"/>
  <c r="CO753" i="1"/>
  <c r="CO758" i="1"/>
  <c r="CN758" i="1"/>
  <c r="CM758" i="1"/>
  <c r="CO763" i="1"/>
  <c r="CN763" i="1"/>
  <c r="CM763" i="1"/>
  <c r="CL765" i="1"/>
  <c r="CK765" i="1"/>
  <c r="CR765" i="1"/>
  <c r="CM765" i="1"/>
  <c r="CQ766" i="1"/>
  <c r="CP768" i="1"/>
  <c r="CO768" i="1"/>
  <c r="CN768" i="1"/>
  <c r="CQ768" i="1"/>
  <c r="CC770" i="1"/>
  <c r="BS770" i="1"/>
  <c r="CB770" i="1"/>
  <c r="CA770" i="1"/>
  <c r="CQ773" i="1"/>
  <c r="CL774" i="1"/>
  <c r="CK774" i="1"/>
  <c r="CR774" i="1"/>
  <c r="BX774" i="1"/>
  <c r="CO774" i="1"/>
  <c r="CM775" i="1"/>
  <c r="CM786" i="1"/>
  <c r="CK786" i="1"/>
  <c r="CR786" i="1"/>
  <c r="CQ786" i="1"/>
  <c r="BX786" i="1"/>
  <c r="CO786" i="1"/>
  <c r="CN786" i="1"/>
  <c r="CQ809" i="1"/>
  <c r="CL814" i="1"/>
  <c r="CN814" i="1"/>
  <c r="CM814" i="1"/>
  <c r="CK814" i="1"/>
  <c r="CR814" i="1"/>
  <c r="BX814" i="1"/>
  <c r="CP814" i="1"/>
  <c r="CO814" i="1"/>
  <c r="BX737" i="1"/>
  <c r="CH737" i="1"/>
  <c r="CQ737" i="1"/>
  <c r="CA740" i="1"/>
  <c r="CG742" i="1"/>
  <c r="CG743" i="1"/>
  <c r="CF743" i="1"/>
  <c r="AD743" i="1"/>
  <c r="CH743" i="1"/>
  <c r="CA746" i="1"/>
  <c r="CH746" i="1"/>
  <c r="AD746" i="1"/>
  <c r="CB746" i="1"/>
  <c r="BI747" i="1"/>
  <c r="CE747" i="1"/>
  <c r="CR748" i="1"/>
  <c r="CQ748" i="1"/>
  <c r="BX748" i="1"/>
  <c r="AD751" i="1"/>
  <c r="BS751" i="1"/>
  <c r="CD751" i="1"/>
  <c r="CP753" i="1"/>
  <c r="CE754" i="1"/>
  <c r="CD754" i="1"/>
  <c r="CC754" i="1"/>
  <c r="BS754" i="1"/>
  <c r="CQ756" i="1"/>
  <c r="BX756" i="1"/>
  <c r="CP756" i="1"/>
  <c r="CO756" i="1"/>
  <c r="CL756" i="1"/>
  <c r="CK758" i="1"/>
  <c r="CO761" i="1"/>
  <c r="CN761" i="1"/>
  <c r="CM761" i="1"/>
  <c r="BX763" i="1"/>
  <c r="CK764" i="1"/>
  <c r="CR764" i="1"/>
  <c r="CQ764" i="1"/>
  <c r="BX764" i="1"/>
  <c r="CN765" i="1"/>
  <c r="CR766" i="1"/>
  <c r="CR768" i="1"/>
  <c r="AD770" i="1"/>
  <c r="CR773" i="1"/>
  <c r="CP774" i="1"/>
  <c r="CN775" i="1"/>
  <c r="CP776" i="1"/>
  <c r="CO776" i="1"/>
  <c r="CN776" i="1"/>
  <c r="BX776" i="1"/>
  <c r="BX779" i="1"/>
  <c r="CQ781" i="1"/>
  <c r="BX781" i="1"/>
  <c r="CO781" i="1"/>
  <c r="CN781" i="1"/>
  <c r="CM781" i="1"/>
  <c r="CK781" i="1"/>
  <c r="CR781" i="1"/>
  <c r="CI786" i="1"/>
  <c r="CL786" i="1"/>
  <c r="CI807" i="1"/>
  <c r="CG813" i="1"/>
  <c r="CF813" i="1"/>
  <c r="CE813" i="1"/>
  <c r="CD813" i="1"/>
  <c r="CC813" i="1"/>
  <c r="BS813" i="1"/>
  <c r="CB813" i="1"/>
  <c r="BI813" i="1"/>
  <c r="CH813" i="1"/>
  <c r="CI814" i="1"/>
  <c r="CQ814" i="1"/>
  <c r="CR737" i="1"/>
  <c r="CB740" i="1"/>
  <c r="CH742" i="1"/>
  <c r="CC744" i="1"/>
  <c r="BS744" i="1"/>
  <c r="CB744" i="1"/>
  <c r="CF747" i="1"/>
  <c r="CI748" i="1"/>
  <c r="CK749" i="1"/>
  <c r="CE751" i="1"/>
  <c r="CQ753" i="1"/>
  <c r="CN754" i="1"/>
  <c r="CM754" i="1"/>
  <c r="CL754" i="1"/>
  <c r="CS754" i="1" s="1"/>
  <c r="CT754" i="1" s="1"/>
  <c r="BX754" i="1"/>
  <c r="CO754" i="1"/>
  <c r="CO755" i="1"/>
  <c r="CN755" i="1"/>
  <c r="CM755" i="1"/>
  <c r="CK755" i="1"/>
  <c r="CL758" i="1"/>
  <c r="CK762" i="1"/>
  <c r="CR762" i="1"/>
  <c r="CQ762" i="1"/>
  <c r="BX762" i="1"/>
  <c r="CI764" i="1"/>
  <c r="BX765" i="1"/>
  <c r="CO765" i="1"/>
  <c r="CW768" i="1"/>
  <c r="CA769" i="1"/>
  <c r="CH769" i="1"/>
  <c r="CG769" i="1"/>
  <c r="CQ774" i="1"/>
  <c r="CO775" i="1"/>
  <c r="CI781" i="1"/>
  <c r="CM784" i="1"/>
  <c r="CK784" i="1"/>
  <c r="CR784" i="1"/>
  <c r="CQ784" i="1"/>
  <c r="BX784" i="1"/>
  <c r="CO784" i="1"/>
  <c r="CN784" i="1"/>
  <c r="CP786" i="1"/>
  <c r="CR796" i="1"/>
  <c r="CP796" i="1"/>
  <c r="CO796" i="1"/>
  <c r="CN796" i="1"/>
  <c r="CM796" i="1"/>
  <c r="CK796" i="1"/>
  <c r="CD804" i="1"/>
  <c r="CB804" i="1"/>
  <c r="CA804" i="1"/>
  <c r="CH804" i="1"/>
  <c r="CG804" i="1"/>
  <c r="AD804" i="1"/>
  <c r="CE804" i="1"/>
  <c r="CC804" i="1"/>
  <c r="BS804" i="1"/>
  <c r="CF804" i="1"/>
  <c r="CR815" i="1"/>
  <c r="CO815" i="1"/>
  <c r="CN815" i="1"/>
  <c r="CM815" i="1"/>
  <c r="CL815" i="1"/>
  <c r="CK815" i="1"/>
  <c r="CQ815" i="1"/>
  <c r="CP815" i="1"/>
  <c r="BX815" i="1"/>
  <c r="CP685" i="1"/>
  <c r="CP687" i="1"/>
  <c r="CH695" i="1"/>
  <c r="CO697" i="1"/>
  <c r="CR698" i="1"/>
  <c r="CN700" i="1"/>
  <c r="CS700" i="1" s="1"/>
  <c r="CT700" i="1" s="1"/>
  <c r="CK711" i="1"/>
  <c r="CA713" i="1"/>
  <c r="CP718" i="1"/>
  <c r="CL721" i="1"/>
  <c r="CP722" i="1"/>
  <c r="CG725" i="1"/>
  <c r="CM734" i="1"/>
  <c r="CS734" i="1" s="1"/>
  <c r="CT734" i="1" s="1"/>
  <c r="CB737" i="1"/>
  <c r="CK737" i="1"/>
  <c r="BS739" i="1"/>
  <c r="CD739" i="1"/>
  <c r="CE740" i="1"/>
  <c r="CR741" i="1"/>
  <c r="CQ741" i="1"/>
  <c r="BX741" i="1"/>
  <c r="CE742" i="1"/>
  <c r="CD742" i="1"/>
  <c r="BI742" i="1"/>
  <c r="AD744" i="1"/>
  <c r="CA744" i="1"/>
  <c r="CA745" i="1"/>
  <c r="CI745" i="1" s="1"/>
  <c r="CD746" i="1"/>
  <c r="CG747" i="1"/>
  <c r="CL748" i="1"/>
  <c r="CL749" i="1"/>
  <c r="AK751" i="1"/>
  <c r="CZ751" i="1" s="1"/>
  <c r="CF751" i="1"/>
  <c r="CC752" i="1"/>
  <c r="BS752" i="1"/>
  <c r="CB752" i="1"/>
  <c r="CF753" i="1"/>
  <c r="CR753" i="1"/>
  <c r="CA754" i="1"/>
  <c r="CP754" i="1"/>
  <c r="CL755" i="1"/>
  <c r="CN756" i="1"/>
  <c r="CS756" i="1" s="1"/>
  <c r="CT756" i="1" s="1"/>
  <c r="CQ757" i="1"/>
  <c r="BX757" i="1"/>
  <c r="CP757" i="1"/>
  <c r="CO757" i="1"/>
  <c r="CL757" i="1"/>
  <c r="CP758" i="1"/>
  <c r="CQ759" i="1"/>
  <c r="CI760" i="1"/>
  <c r="CI762" i="1"/>
  <c r="CL762" i="1"/>
  <c r="CK763" i="1"/>
  <c r="CM764" i="1"/>
  <c r="CD765" i="1"/>
  <c r="CP765" i="1"/>
  <c r="CA767" i="1"/>
  <c r="CI767" i="1" s="1"/>
  <c r="CH767" i="1"/>
  <c r="CG767" i="1"/>
  <c r="AD767" i="1"/>
  <c r="AD769" i="1"/>
  <c r="CD770" i="1"/>
  <c r="CD772" i="1"/>
  <c r="CC772" i="1"/>
  <c r="BS772" i="1"/>
  <c r="CB772" i="1"/>
  <c r="CE773" i="1"/>
  <c r="CF774" i="1"/>
  <c r="CK776" i="1"/>
  <c r="CR777" i="1"/>
  <c r="CL779" i="1"/>
  <c r="CL784" i="1"/>
  <c r="CB805" i="1"/>
  <c r="CD805" i="1"/>
  <c r="BS805" i="1"/>
  <c r="CC805" i="1"/>
  <c r="CA805" i="1"/>
  <c r="CH805" i="1"/>
  <c r="AD805" i="1"/>
  <c r="CF805" i="1"/>
  <c r="CE805" i="1"/>
  <c r="CG805" i="1"/>
  <c r="CI818" i="1"/>
  <c r="CO665" i="1"/>
  <c r="BS667" i="1"/>
  <c r="CC667" i="1"/>
  <c r="CI667" i="1" s="1"/>
  <c r="CM670" i="1"/>
  <c r="CM672" i="1"/>
  <c r="BS674" i="1"/>
  <c r="CC674" i="1"/>
  <c r="CI674" i="1" s="1"/>
  <c r="CO675" i="1"/>
  <c r="CN677" i="1"/>
  <c r="CM678" i="1"/>
  <c r="CD680" i="1"/>
  <c r="CM680" i="1"/>
  <c r="BX685" i="1"/>
  <c r="CQ685" i="1"/>
  <c r="CM686" i="1"/>
  <c r="BX687" i="1"/>
  <c r="CQ687" i="1"/>
  <c r="CN688" i="1"/>
  <c r="CK690" i="1"/>
  <c r="CN691" i="1"/>
  <c r="CF693" i="1"/>
  <c r="AD695" i="1"/>
  <c r="CA695" i="1"/>
  <c r="CD696" i="1"/>
  <c r="CI696" i="1" s="1"/>
  <c r="CG697" i="1"/>
  <c r="CK698" i="1"/>
  <c r="CM699" i="1"/>
  <c r="CO700" i="1"/>
  <c r="CB703" i="1"/>
  <c r="BS704" i="1"/>
  <c r="CC704" i="1"/>
  <c r="CL704" i="1"/>
  <c r="CS704" i="1" s="1"/>
  <c r="CT704" i="1" s="1"/>
  <c r="CM705" i="1"/>
  <c r="CR709" i="1"/>
  <c r="CL711" i="1"/>
  <c r="CP712" i="1"/>
  <c r="CS712" i="1" s="1"/>
  <c r="CT712" i="1" s="1"/>
  <c r="BI713" i="1"/>
  <c r="CK713" i="1" s="1"/>
  <c r="CB713" i="1"/>
  <c r="CO714" i="1"/>
  <c r="BX718" i="1"/>
  <c r="CQ718" i="1"/>
  <c r="CA719" i="1"/>
  <c r="CI719" i="1" s="1"/>
  <c r="CM720" i="1"/>
  <c r="CM721" i="1"/>
  <c r="BX722" i="1"/>
  <c r="CQ722" i="1"/>
  <c r="CG723" i="1"/>
  <c r="CI723" i="1" s="1"/>
  <c r="BI725" i="1"/>
  <c r="CQ725" i="1" s="1"/>
  <c r="BX725" i="1"/>
  <c r="CH725" i="1"/>
  <c r="BS726" i="1"/>
  <c r="CC726" i="1"/>
  <c r="CG727" i="1"/>
  <c r="CF729" i="1"/>
  <c r="CI729" i="1" s="1"/>
  <c r="CF731" i="1"/>
  <c r="CI731" i="1" s="1"/>
  <c r="CN734" i="1"/>
  <c r="CO735" i="1"/>
  <c r="BS737" i="1"/>
  <c r="CC737" i="1"/>
  <c r="CL737" i="1"/>
  <c r="CG738" i="1"/>
  <c r="CE739" i="1"/>
  <c r="CF740" i="1"/>
  <c r="CI741" i="1"/>
  <c r="CK741" i="1"/>
  <c r="AD742" i="1"/>
  <c r="CA743" i="1"/>
  <c r="CD744" i="1"/>
  <c r="BI745" i="1"/>
  <c r="CN745" i="1" s="1"/>
  <c r="CB745" i="1"/>
  <c r="CO745" i="1"/>
  <c r="BS746" i="1"/>
  <c r="CE746" i="1"/>
  <c r="CD747" i="1"/>
  <c r="CC747" i="1"/>
  <c r="BS747" i="1"/>
  <c r="CH747" i="1"/>
  <c r="CM748" i="1"/>
  <c r="CM749" i="1"/>
  <c r="CL750" i="1"/>
  <c r="AD752" i="1"/>
  <c r="CG753" i="1"/>
  <c r="CB754" i="1"/>
  <c r="CQ754" i="1"/>
  <c r="CP755" i="1"/>
  <c r="CR756" i="1"/>
  <c r="CM757" i="1"/>
  <c r="CQ758" i="1"/>
  <c r="CR759" i="1"/>
  <c r="CK761" i="1"/>
  <c r="CM762" i="1"/>
  <c r="CL763" i="1"/>
  <c r="CN764" i="1"/>
  <c r="CE765" i="1"/>
  <c r="CQ765" i="1"/>
  <c r="CB767" i="1"/>
  <c r="CE770" i="1"/>
  <c r="AD772" i="1"/>
  <c r="CO773" i="1"/>
  <c r="CG774" i="1"/>
  <c r="CL776" i="1"/>
  <c r="CK778" i="1"/>
  <c r="CP779" i="1"/>
  <c r="CM782" i="1"/>
  <c r="CK782" i="1"/>
  <c r="CS782" i="1" s="1"/>
  <c r="CT782" i="1" s="1"/>
  <c r="CR782" i="1"/>
  <c r="CQ782" i="1"/>
  <c r="BX782" i="1"/>
  <c r="CO782" i="1"/>
  <c r="CN782" i="1"/>
  <c r="CP784" i="1"/>
  <c r="CI819" i="1"/>
  <c r="CI820" i="1"/>
  <c r="CN828" i="1"/>
  <c r="BX828" i="1"/>
  <c r="CR828" i="1"/>
  <c r="CO828" i="1"/>
  <c r="CM828" i="1"/>
  <c r="CL828" i="1"/>
  <c r="CK828" i="1"/>
  <c r="CS828" i="1" s="1"/>
  <c r="CT828" i="1" s="1"/>
  <c r="CQ828" i="1"/>
  <c r="CP828" i="1"/>
  <c r="CN670" i="1"/>
  <c r="CN672" i="1"/>
  <c r="CD674" i="1"/>
  <c r="CN678" i="1"/>
  <c r="CN680" i="1"/>
  <c r="BX683" i="1"/>
  <c r="CQ683" i="1"/>
  <c r="CS683" i="1" s="1"/>
  <c r="CT683" i="1" s="1"/>
  <c r="CR685" i="1"/>
  <c r="CN686" i="1"/>
  <c r="CR687" i="1"/>
  <c r="CO688" i="1"/>
  <c r="CL690" i="1"/>
  <c r="CG693" i="1"/>
  <c r="CI693" i="1" s="1"/>
  <c r="CB695" i="1"/>
  <c r="CE696" i="1"/>
  <c r="CH697" i="1"/>
  <c r="CL698" i="1"/>
  <c r="CP700" i="1"/>
  <c r="BS703" i="1"/>
  <c r="CC703" i="1"/>
  <c r="CI703" i="1" s="1"/>
  <c r="CM704" i="1"/>
  <c r="BX708" i="1"/>
  <c r="CQ708" i="1"/>
  <c r="CS708" i="1" s="1"/>
  <c r="CT708" i="1" s="1"/>
  <c r="CM711" i="1"/>
  <c r="BX712" i="1"/>
  <c r="BS713" i="1"/>
  <c r="CC713" i="1"/>
  <c r="BX716" i="1"/>
  <c r="CQ716" i="1"/>
  <c r="CS716" i="1" s="1"/>
  <c r="CT716" i="1" s="1"/>
  <c r="CR718" i="1"/>
  <c r="BI719" i="1"/>
  <c r="CM719" i="1" s="1"/>
  <c r="CK719" i="1"/>
  <c r="CN720" i="1"/>
  <c r="CN721" i="1"/>
  <c r="CR722" i="1"/>
  <c r="CH723" i="1"/>
  <c r="CD726" i="1"/>
  <c r="CH727" i="1"/>
  <c r="AD729" i="1"/>
  <c r="AD731" i="1"/>
  <c r="CO734" i="1"/>
  <c r="CD737" i="1"/>
  <c r="CM737" i="1"/>
  <c r="CN738" i="1"/>
  <c r="CR738" i="1"/>
  <c r="CL741" i="1"/>
  <c r="CA742" i="1"/>
  <c r="CB743" i="1"/>
  <c r="CE744" i="1"/>
  <c r="BS745" i="1"/>
  <c r="CC745" i="1"/>
  <c r="CF746" i="1"/>
  <c r="AD747" i="1"/>
  <c r="CN748" i="1"/>
  <c r="CA752" i="1"/>
  <c r="CF754" i="1"/>
  <c r="CR754" i="1"/>
  <c r="CQ755" i="1"/>
  <c r="CN757" i="1"/>
  <c r="CS757" i="1" s="1"/>
  <c r="CT757" i="1" s="1"/>
  <c r="CR758" i="1"/>
  <c r="CL761" i="1"/>
  <c r="CN762" i="1"/>
  <c r="CP763" i="1"/>
  <c r="CO764" i="1"/>
  <c r="CF765" i="1"/>
  <c r="CO766" i="1"/>
  <c r="CN766" i="1"/>
  <c r="CM766" i="1"/>
  <c r="CK766" i="1"/>
  <c r="CS766" i="1" s="1"/>
  <c r="CT766" i="1" s="1"/>
  <c r="CC767" i="1"/>
  <c r="CK768" i="1"/>
  <c r="CB769" i="1"/>
  <c r="CF770" i="1"/>
  <c r="CR771" i="1"/>
  <c r="CQ771" i="1"/>
  <c r="BX771" i="1"/>
  <c r="CP771" i="1"/>
  <c r="CS771" i="1" s="1"/>
  <c r="CT771" i="1" s="1"/>
  <c r="CA772" i="1"/>
  <c r="CK773" i="1"/>
  <c r="CM776" i="1"/>
  <c r="CN777" i="1"/>
  <c r="CM777" i="1"/>
  <c r="CS777" i="1" s="1"/>
  <c r="CT777" i="1" s="1"/>
  <c r="CL777" i="1"/>
  <c r="BX777" i="1"/>
  <c r="CL778" i="1"/>
  <c r="CQ779" i="1"/>
  <c r="CQ780" i="1"/>
  <c r="CI780" i="1"/>
  <c r="CK780" i="1"/>
  <c r="CS780" i="1" s="1"/>
  <c r="CT780" i="1" s="1"/>
  <c r="CI782" i="1"/>
  <c r="CQ785" i="1"/>
  <c r="BX785" i="1"/>
  <c r="CO785" i="1"/>
  <c r="CN785" i="1"/>
  <c r="CM785" i="1"/>
  <c r="CK785" i="1"/>
  <c r="CS785" i="1" s="1"/>
  <c r="CT785" i="1" s="1"/>
  <c r="CR785" i="1"/>
  <c r="CI788" i="1"/>
  <c r="CI792" i="1"/>
  <c r="CE808" i="1"/>
  <c r="CA808" i="1"/>
  <c r="CR811" i="1"/>
  <c r="CN811" i="1"/>
  <c r="CM811" i="1"/>
  <c r="CL811" i="1"/>
  <c r="CK811" i="1"/>
  <c r="BX811" i="1"/>
  <c r="CP811" i="1"/>
  <c r="CO811" i="1"/>
  <c r="CQ822" i="1"/>
  <c r="CO822" i="1"/>
  <c r="CN822" i="1"/>
  <c r="CM822" i="1"/>
  <c r="CS822" i="1" s="1"/>
  <c r="CT822" i="1" s="1"/>
  <c r="CL822" i="1"/>
  <c r="CR822" i="1"/>
  <c r="BX822" i="1"/>
  <c r="CO680" i="1"/>
  <c r="CK685" i="1"/>
  <c r="CS685" i="1" s="1"/>
  <c r="CT685" i="1" s="1"/>
  <c r="CK687" i="1"/>
  <c r="CS687" i="1" s="1"/>
  <c r="CT687" i="1" s="1"/>
  <c r="CP688" i="1"/>
  <c r="CM690" i="1"/>
  <c r="BS695" i="1"/>
  <c r="CC695" i="1"/>
  <c r="CF696" i="1"/>
  <c r="CA697" i="1"/>
  <c r="CI697" i="1" s="1"/>
  <c r="CR697" i="1"/>
  <c r="BX700" i="1"/>
  <c r="CQ700" i="1"/>
  <c r="CD703" i="1"/>
  <c r="CN704" i="1"/>
  <c r="CN711" i="1"/>
  <c r="CD713" i="1"/>
  <c r="CK718" i="1"/>
  <c r="CS718" i="1" s="1"/>
  <c r="CT718" i="1" s="1"/>
  <c r="CO720" i="1"/>
  <c r="CO721" i="1"/>
  <c r="CK722" i="1"/>
  <c r="CB725" i="1"/>
  <c r="CI725" i="1" s="1"/>
  <c r="CE726" i="1"/>
  <c r="CA727" i="1"/>
  <c r="CR727" i="1"/>
  <c r="CP734" i="1"/>
  <c r="CE737" i="1"/>
  <c r="CN737" i="1"/>
  <c r="CG739" i="1"/>
  <c r="CD740" i="1"/>
  <c r="CC740" i="1"/>
  <c r="BS740" i="1"/>
  <c r="CH740" i="1"/>
  <c r="CM741" i="1"/>
  <c r="CB742" i="1"/>
  <c r="BS743" i="1"/>
  <c r="CC743" i="1"/>
  <c r="CF744" i="1"/>
  <c r="CQ745" i="1"/>
  <c r="CG746" i="1"/>
  <c r="CO748" i="1"/>
  <c r="CA751" i="1"/>
  <c r="CG754" i="1"/>
  <c r="CR755" i="1"/>
  <c r="CP761" i="1"/>
  <c r="CO762" i="1"/>
  <c r="CQ763" i="1"/>
  <c r="CP764" i="1"/>
  <c r="BX766" i="1"/>
  <c r="CL766" i="1"/>
  <c r="BX768" i="1"/>
  <c r="CL768" i="1"/>
  <c r="CC769" i="1"/>
  <c r="CG770" i="1"/>
  <c r="CE772" i="1"/>
  <c r="BX773" i="1"/>
  <c r="CL773" i="1"/>
  <c r="CM774" i="1"/>
  <c r="CQ775" i="1"/>
  <c r="CI775" i="1"/>
  <c r="CK775" i="1"/>
  <c r="CQ776" i="1"/>
  <c r="CN779" i="1"/>
  <c r="CR779" i="1"/>
  <c r="CI785" i="1"/>
  <c r="CL785" i="1"/>
  <c r="CE810" i="1"/>
  <c r="CG810" i="1"/>
  <c r="CF810" i="1"/>
  <c r="CD810" i="1"/>
  <c r="CC810" i="1"/>
  <c r="BS810" i="1"/>
  <c r="CB810" i="1"/>
  <c r="BI810" i="1"/>
  <c r="CH810" i="1"/>
  <c r="CQ811" i="1"/>
  <c r="CM813" i="1"/>
  <c r="CA813" i="1"/>
  <c r="CI813" i="1" s="1"/>
  <c r="BX688" i="1"/>
  <c r="AD696" i="1"/>
  <c r="BI697" i="1"/>
  <c r="CK697" i="1" s="1"/>
  <c r="AD703" i="1"/>
  <c r="BS725" i="1"/>
  <c r="AD726" i="1"/>
  <c r="BI727" i="1"/>
  <c r="CO727" i="1" s="1"/>
  <c r="BX734" i="1"/>
  <c r="CA739" i="1"/>
  <c r="CH739" i="1"/>
  <c r="AD740" i="1"/>
  <c r="BS742" i="1"/>
  <c r="CD743" i="1"/>
  <c r="CG744" i="1"/>
  <c r="CR745" i="1"/>
  <c r="CP748" i="1"/>
  <c r="CO749" i="1"/>
  <c r="CN749" i="1"/>
  <c r="CR749" i="1"/>
  <c r="CB751" i="1"/>
  <c r="CD753" i="1"/>
  <c r="CC753" i="1"/>
  <c r="BS753" i="1"/>
  <c r="CB753" i="1"/>
  <c r="CI753" i="1" s="1"/>
  <c r="CN753" i="1"/>
  <c r="CH754" i="1"/>
  <c r="BX758" i="1"/>
  <c r="CM759" i="1"/>
  <c r="CL759" i="1"/>
  <c r="CK759" i="1"/>
  <c r="CQ761" i="1"/>
  <c r="CP762" i="1"/>
  <c r="CR763" i="1"/>
  <c r="CC765" i="1"/>
  <c r="BS765" i="1"/>
  <c r="CB765" i="1"/>
  <c r="CA765" i="1"/>
  <c r="CI765" i="1" s="1"/>
  <c r="CH765" i="1"/>
  <c r="CG768" i="1"/>
  <c r="CF768" i="1"/>
  <c r="CE768" i="1"/>
  <c r="CA768" i="1"/>
  <c r="CM768" i="1"/>
  <c r="CD769" i="1"/>
  <c r="CH770" i="1"/>
  <c r="CF772" i="1"/>
  <c r="CG773" i="1"/>
  <c r="CF773" i="1"/>
  <c r="CA773" i="1"/>
  <c r="CM773" i="1"/>
  <c r="CC774" i="1"/>
  <c r="BS774" i="1"/>
  <c r="CB774" i="1"/>
  <c r="CA774" i="1"/>
  <c r="CN774" i="1"/>
  <c r="CL775" i="1"/>
  <c r="CR776" i="1"/>
  <c r="CL780" i="1"/>
  <c r="CR780" i="1"/>
  <c r="CN780" i="1"/>
  <c r="CM780" i="1"/>
  <c r="CQ783" i="1"/>
  <c r="BX783" i="1"/>
  <c r="CO783" i="1"/>
  <c r="CN783" i="1"/>
  <c r="CM783" i="1"/>
  <c r="CK783" i="1"/>
  <c r="CR783" i="1"/>
  <c r="CI790" i="1"/>
  <c r="CL794" i="1"/>
  <c r="CO794" i="1"/>
  <c r="CN794" i="1"/>
  <c r="CM794" i="1"/>
  <c r="CK794" i="1"/>
  <c r="CQ794" i="1"/>
  <c r="CP794" i="1"/>
  <c r="BX794" i="1"/>
  <c r="CR795" i="1"/>
  <c r="CO795" i="1"/>
  <c r="CN795" i="1"/>
  <c r="CM795" i="1"/>
  <c r="CL795" i="1"/>
  <c r="CK795" i="1"/>
  <c r="CQ795" i="1"/>
  <c r="CP795" i="1"/>
  <c r="BX795" i="1"/>
  <c r="CQ821" i="1"/>
  <c r="CR788" i="1"/>
  <c r="CP789" i="1"/>
  <c r="CR792" i="1"/>
  <c r="CQ793" i="1"/>
  <c r="CQ796" i="1"/>
  <c r="CN798" i="1"/>
  <c r="BX798" i="1"/>
  <c r="CR798" i="1"/>
  <c r="CQ799" i="1"/>
  <c r="CQ800" i="1"/>
  <c r="CK801" i="1"/>
  <c r="CK802" i="1"/>
  <c r="CG803" i="1"/>
  <c r="CQ803" i="1"/>
  <c r="CA806" i="1"/>
  <c r="CK806" i="1"/>
  <c r="CS806" i="1" s="1"/>
  <c r="CT806" i="1" s="1"/>
  <c r="CH808" i="1"/>
  <c r="CL812" i="1"/>
  <c r="CQ816" i="1"/>
  <c r="CN817" i="1"/>
  <c r="CM818" i="1"/>
  <c r="CN819" i="1"/>
  <c r="CK820" i="1"/>
  <c r="CK821" i="1"/>
  <c r="BX823" i="1"/>
  <c r="CP824" i="1"/>
  <c r="CK788" i="1"/>
  <c r="CS788" i="1" s="1"/>
  <c r="CT788" i="1" s="1"/>
  <c r="BX789" i="1"/>
  <c r="CQ789" i="1"/>
  <c r="CK792" i="1"/>
  <c r="BX793" i="1"/>
  <c r="CR793" i="1"/>
  <c r="CK797" i="1"/>
  <c r="CS797" i="1" s="1"/>
  <c r="CT797" i="1" s="1"/>
  <c r="BX799" i="1"/>
  <c r="CR799" i="1"/>
  <c r="BX800" i="1"/>
  <c r="CL801" i="1"/>
  <c r="CL802" i="1"/>
  <c r="CR803" i="1"/>
  <c r="CB809" i="1"/>
  <c r="BI809" i="1"/>
  <c r="CN809" i="1" s="1"/>
  <c r="CC809" i="1"/>
  <c r="BX816" i="1"/>
  <c r="CR816" i="1"/>
  <c r="CO817" i="1"/>
  <c r="CS817" i="1" s="1"/>
  <c r="CT817" i="1" s="1"/>
  <c r="CN818" i="1"/>
  <c r="CC821" i="1"/>
  <c r="BS821" i="1"/>
  <c r="CB821" i="1"/>
  <c r="CM821" i="1"/>
  <c r="CK823" i="1"/>
  <c r="CQ826" i="1"/>
  <c r="BX826" i="1"/>
  <c r="CP826" i="1"/>
  <c r="CO826" i="1"/>
  <c r="CL826" i="1"/>
  <c r="CK826" i="1"/>
  <c r="CR826" i="1"/>
  <c r="CS893" i="1"/>
  <c r="CT893" i="1" s="1"/>
  <c r="BX760" i="1"/>
  <c r="CQ760" i="1"/>
  <c r="CS760" i="1" s="1"/>
  <c r="CT760" i="1" s="1"/>
  <c r="CD766" i="1"/>
  <c r="CI766" i="1" s="1"/>
  <c r="CG771" i="1"/>
  <c r="CI771" i="1" s="1"/>
  <c r="CN773" i="1"/>
  <c r="CP775" i="1"/>
  <c r="CO778" i="1"/>
  <c r="CM779" i="1"/>
  <c r="CP780" i="1"/>
  <c r="CO787" i="1"/>
  <c r="CS787" i="1" s="1"/>
  <c r="CT787" i="1" s="1"/>
  <c r="CM788" i="1"/>
  <c r="CK789" i="1"/>
  <c r="BX790" i="1"/>
  <c r="CO791" i="1"/>
  <c r="CS791" i="1" s="1"/>
  <c r="CT791" i="1" s="1"/>
  <c r="CM792" i="1"/>
  <c r="CK793" i="1"/>
  <c r="CI795" i="1"/>
  <c r="CM797" i="1"/>
  <c r="CL798" i="1"/>
  <c r="CK799" i="1"/>
  <c r="CL800" i="1"/>
  <c r="CS800" i="1" s="1"/>
  <c r="CT800" i="1" s="1"/>
  <c r="CN801" i="1"/>
  <c r="CN802" i="1"/>
  <c r="CA803" i="1"/>
  <c r="CL803" i="1"/>
  <c r="CO806" i="1"/>
  <c r="CF807" i="1"/>
  <c r="CP807" i="1"/>
  <c r="CB808" i="1"/>
  <c r="CE809" i="1"/>
  <c r="CL810" i="1"/>
  <c r="CF812" i="1"/>
  <c r="CI815" i="1"/>
  <c r="CK816" i="1"/>
  <c r="CS816" i="1" s="1"/>
  <c r="CT816" i="1" s="1"/>
  <c r="CQ817" i="1"/>
  <c r="CP818" i="1"/>
  <c r="CQ818" i="1"/>
  <c r="CG819" i="1"/>
  <c r="CN820" i="1"/>
  <c r="CE821" i="1"/>
  <c r="CO821" i="1"/>
  <c r="CE823" i="1"/>
  <c r="BS823" i="1"/>
  <c r="CC823" i="1"/>
  <c r="CI823" i="1" s="1"/>
  <c r="CC825" i="1"/>
  <c r="CI846" i="1"/>
  <c r="CP750" i="1"/>
  <c r="CE766" i="1"/>
  <c r="CH771" i="1"/>
  <c r="BX775" i="1"/>
  <c r="CP778" i="1"/>
  <c r="BX780" i="1"/>
  <c r="CP787" i="1"/>
  <c r="CN788" i="1"/>
  <c r="CL789" i="1"/>
  <c r="CR790" i="1"/>
  <c r="CP791" i="1"/>
  <c r="CN792" i="1"/>
  <c r="CL793" i="1"/>
  <c r="CM798" i="1"/>
  <c r="CM799" i="1"/>
  <c r="CM800" i="1"/>
  <c r="CO801" i="1"/>
  <c r="CO802" i="1"/>
  <c r="CC803" i="1"/>
  <c r="CM803" i="1"/>
  <c r="CS803" i="1" s="1"/>
  <c r="CT803" i="1" s="1"/>
  <c r="CD806" i="1"/>
  <c r="CF806" i="1"/>
  <c r="CG807" i="1"/>
  <c r="CQ807" i="1"/>
  <c r="BS808" i="1"/>
  <c r="CC808" i="1"/>
  <c r="CF809" i="1"/>
  <c r="CI811" i="1"/>
  <c r="CM812" i="1"/>
  <c r="CG812" i="1"/>
  <c r="CQ812" i="1"/>
  <c r="CL816" i="1"/>
  <c r="BX817" i="1"/>
  <c r="CR817" i="1"/>
  <c r="BX818" i="1"/>
  <c r="CR818" i="1"/>
  <c r="CL819" i="1"/>
  <c r="CS819" i="1" s="1"/>
  <c r="CT819" i="1" s="1"/>
  <c r="CR819" i="1"/>
  <c r="CO820" i="1"/>
  <c r="CF821" i="1"/>
  <c r="CP821" i="1"/>
  <c r="CN823" i="1"/>
  <c r="CD823" i="1"/>
  <c r="CO823" i="1"/>
  <c r="CA824" i="1"/>
  <c r="CH824" i="1"/>
  <c r="CD824" i="1"/>
  <c r="BS825" i="1"/>
  <c r="BX750" i="1"/>
  <c r="BX778" i="1"/>
  <c r="BX787" i="1"/>
  <c r="CQ787" i="1"/>
  <c r="CM789" i="1"/>
  <c r="CK790" i="1"/>
  <c r="CS790" i="1" s="1"/>
  <c r="CT790" i="1" s="1"/>
  <c r="BX791" i="1"/>
  <c r="CQ791" i="1"/>
  <c r="CM793" i="1"/>
  <c r="CO798" i="1"/>
  <c r="CN799" i="1"/>
  <c r="CN800" i="1"/>
  <c r="CQ802" i="1"/>
  <c r="BS803" i="1"/>
  <c r="CD803" i="1"/>
  <c r="CN803" i="1"/>
  <c r="CM806" i="1"/>
  <c r="CQ806" i="1"/>
  <c r="CR807" i="1"/>
  <c r="CG809" i="1"/>
  <c r="CR812" i="1"/>
  <c r="CS812" i="1" s="1"/>
  <c r="CT812" i="1" s="1"/>
  <c r="CM816" i="1"/>
  <c r="BX819" i="1"/>
  <c r="CP820" i="1"/>
  <c r="CG821" i="1"/>
  <c r="CP823" i="1"/>
  <c r="CR824" i="1"/>
  <c r="CQ824" i="1"/>
  <c r="BX824" i="1"/>
  <c r="CM824" i="1"/>
  <c r="CL824" i="1"/>
  <c r="CF825" i="1"/>
  <c r="CE825" i="1"/>
  <c r="CA825" i="1"/>
  <c r="CG825" i="1"/>
  <c r="CE827" i="1"/>
  <c r="CF827" i="1"/>
  <c r="CD827" i="1"/>
  <c r="AD827" i="1"/>
  <c r="CA827" i="1"/>
  <c r="CH827" i="1"/>
  <c r="CG827" i="1"/>
  <c r="BX802" i="1"/>
  <c r="CR802" i="1"/>
  <c r="CD808" i="1"/>
  <c r="CF808" i="1"/>
  <c r="CR809" i="1"/>
  <c r="CK818" i="1"/>
  <c r="CS818" i="1" s="1"/>
  <c r="CT818" i="1" s="1"/>
  <c r="CL821" i="1"/>
  <c r="CR821" i="1"/>
  <c r="CN824" i="1"/>
  <c r="AD825" i="1"/>
  <c r="CH825" i="1"/>
  <c r="CS904" i="1"/>
  <c r="CT904" i="1" s="1"/>
  <c r="BX788" i="1"/>
  <c r="BX792" i="1"/>
  <c r="CP793" i="1"/>
  <c r="CP797" i="1"/>
  <c r="BX797" i="1"/>
  <c r="CR797" i="1"/>
  <c r="CQ798" i="1"/>
  <c r="CS798" i="1" s="1"/>
  <c r="CT798" i="1" s="1"/>
  <c r="CP799" i="1"/>
  <c r="CP800" i="1"/>
  <c r="CQ801" i="1"/>
  <c r="CF803" i="1"/>
  <c r="CP803" i="1"/>
  <c r="BX806" i="1"/>
  <c r="CL807" i="1"/>
  <c r="CS807" i="1" s="1"/>
  <c r="CT807" i="1" s="1"/>
  <c r="AD808" i="1"/>
  <c r="CG808" i="1"/>
  <c r="CN810" i="1"/>
  <c r="CQ810" i="1"/>
  <c r="CA812" i="1"/>
  <c r="CQ813" i="1"/>
  <c r="CO816" i="1"/>
  <c r="CM817" i="1"/>
  <c r="CC819" i="1"/>
  <c r="BS819" i="1"/>
  <c r="CB819" i="1"/>
  <c r="BX821" i="1"/>
  <c r="CP822" i="1"/>
  <c r="CH823" i="1"/>
  <c r="CR823" i="1"/>
  <c r="CB824" i="1"/>
  <c r="CO824" i="1"/>
  <c r="CS824" i="1" s="1"/>
  <c r="CT824" i="1" s="1"/>
  <c r="CM826" i="1"/>
  <c r="CA828" i="1"/>
  <c r="CI828" i="1" s="1"/>
  <c r="CC830" i="1"/>
  <c r="CI830" i="1" s="1"/>
  <c r="CM830" i="1"/>
  <c r="CP833" i="1"/>
  <c r="CC834" i="1"/>
  <c r="CO837" i="1"/>
  <c r="CF839" i="1"/>
  <c r="CE848" i="1"/>
  <c r="CD848" i="1"/>
  <c r="CC848" i="1"/>
  <c r="BS848" i="1"/>
  <c r="CK851" i="1"/>
  <c r="CR851" i="1"/>
  <c r="CQ851" i="1"/>
  <c r="BX851" i="1"/>
  <c r="CE854" i="1"/>
  <c r="CD854" i="1"/>
  <c r="CC854" i="1"/>
  <c r="BS854" i="1"/>
  <c r="CN856" i="1"/>
  <c r="CM856" i="1"/>
  <c r="CL856" i="1"/>
  <c r="CO856" i="1"/>
  <c r="BX856" i="1"/>
  <c r="CQ856" i="1"/>
  <c r="CP857" i="1"/>
  <c r="CK858" i="1"/>
  <c r="CL860" i="1"/>
  <c r="CH863" i="1"/>
  <c r="CG863" i="1"/>
  <c r="CF863" i="1"/>
  <c r="CB863" i="1"/>
  <c r="CA863" i="1"/>
  <c r="CK864" i="1"/>
  <c r="CO869" i="1"/>
  <c r="CK875" i="1"/>
  <c r="CR875" i="1"/>
  <c r="CQ875" i="1"/>
  <c r="BX875" i="1"/>
  <c r="CM875" i="1"/>
  <c r="CL875" i="1"/>
  <c r="CM879" i="1"/>
  <c r="CL879" i="1"/>
  <c r="CK879" i="1"/>
  <c r="CO879" i="1"/>
  <c r="CN879" i="1"/>
  <c r="CK898" i="1"/>
  <c r="CR898" i="1"/>
  <c r="CQ898" i="1"/>
  <c r="BX898" i="1"/>
  <c r="CO898" i="1"/>
  <c r="CM898" i="1"/>
  <c r="CL898" i="1"/>
  <c r="CI900" i="1"/>
  <c r="CK903" i="1"/>
  <c r="CR903" i="1"/>
  <c r="CQ903" i="1"/>
  <c r="BX903" i="1"/>
  <c r="CP903" i="1"/>
  <c r="CO903" i="1"/>
  <c r="CM903" i="1"/>
  <c r="CL903" i="1"/>
  <c r="CN830" i="1"/>
  <c r="CF831" i="1"/>
  <c r="CE831" i="1"/>
  <c r="CD831" i="1"/>
  <c r="CA831" i="1"/>
  <c r="CI832" i="1"/>
  <c r="CQ833" i="1"/>
  <c r="BS834" i="1"/>
  <c r="CD834" i="1"/>
  <c r="CP837" i="1"/>
  <c r="CE846" i="1"/>
  <c r="CD846" i="1"/>
  <c r="CC846" i="1"/>
  <c r="BS846" i="1"/>
  <c r="AD848" i="1"/>
  <c r="CK849" i="1"/>
  <c r="CS849" i="1" s="1"/>
  <c r="CT849" i="1" s="1"/>
  <c r="CR849" i="1"/>
  <c r="CQ849" i="1"/>
  <c r="BX849" i="1"/>
  <c r="CI851" i="1"/>
  <c r="CL851" i="1"/>
  <c r="CK852" i="1"/>
  <c r="CS852" i="1" s="1"/>
  <c r="CT852" i="1" s="1"/>
  <c r="AD854" i="1"/>
  <c r="CA855" i="1"/>
  <c r="CH855" i="1"/>
  <c r="CG855" i="1"/>
  <c r="AD855" i="1"/>
  <c r="CR856" i="1"/>
  <c r="CI857" i="1"/>
  <c r="CK857" i="1"/>
  <c r="CP858" i="1"/>
  <c r="CL858" i="1"/>
  <c r="AD863" i="1"/>
  <c r="CQ864" i="1"/>
  <c r="CO866" i="1"/>
  <c r="CI868" i="1"/>
  <c r="CO870" i="1"/>
  <c r="CL871" i="1"/>
  <c r="BX874" i="1"/>
  <c r="CI875" i="1"/>
  <c r="CN875" i="1"/>
  <c r="CR876" i="1"/>
  <c r="CQ876" i="1"/>
  <c r="BX876" i="1"/>
  <c r="CM876" i="1"/>
  <c r="BX879" i="1"/>
  <c r="CR880" i="1"/>
  <c r="CQ880" i="1"/>
  <c r="BX880" i="1"/>
  <c r="CB881" i="1"/>
  <c r="CA881" i="1"/>
  <c r="CH881" i="1"/>
  <c r="CD881" i="1"/>
  <c r="CC881" i="1"/>
  <c r="BS881" i="1"/>
  <c r="CM886" i="1"/>
  <c r="CL886" i="1"/>
  <c r="CK886" i="1"/>
  <c r="CO886" i="1"/>
  <c r="CN886" i="1"/>
  <c r="CK888" i="1"/>
  <c r="CI894" i="1"/>
  <c r="BX897" i="1"/>
  <c r="CI898" i="1"/>
  <c r="CN898" i="1"/>
  <c r="CB899" i="1"/>
  <c r="CA899" i="1"/>
  <c r="CH899" i="1"/>
  <c r="BI899" i="1"/>
  <c r="CF899" i="1"/>
  <c r="CD899" i="1"/>
  <c r="CC899" i="1"/>
  <c r="BS899" i="1"/>
  <c r="CG899" i="1"/>
  <c r="CW924" i="1"/>
  <c r="BX796" i="1"/>
  <c r="BX801" i="1"/>
  <c r="CA826" i="1"/>
  <c r="BS828" i="1"/>
  <c r="CE830" i="1"/>
  <c r="CO830" i="1"/>
  <c r="AD831" i="1"/>
  <c r="CB831" i="1"/>
  <c r="CR833" i="1"/>
  <c r="CK836" i="1"/>
  <c r="CQ837" i="1"/>
  <c r="CH839" i="1"/>
  <c r="CA840" i="1"/>
  <c r="CH840" i="1"/>
  <c r="CG840" i="1"/>
  <c r="AD840" i="1"/>
  <c r="CK844" i="1"/>
  <c r="AD846" i="1"/>
  <c r="CK847" i="1"/>
  <c r="CR847" i="1"/>
  <c r="CQ847" i="1"/>
  <c r="BX847" i="1"/>
  <c r="CA848" i="1"/>
  <c r="CI849" i="1"/>
  <c r="CL849" i="1"/>
  <c r="CM851" i="1"/>
  <c r="CA854" i="1"/>
  <c r="CG861" i="1"/>
  <c r="CF861" i="1"/>
  <c r="CE861" i="1"/>
  <c r="AD861" i="1"/>
  <c r="CA861" i="1"/>
  <c r="CH861" i="1"/>
  <c r="CG862" i="1"/>
  <c r="CF862" i="1"/>
  <c r="CE862" i="1"/>
  <c r="CA862" i="1"/>
  <c r="CH862" i="1"/>
  <c r="BS862" i="1"/>
  <c r="CR864" i="1"/>
  <c r="CL867" i="1"/>
  <c r="CK867" i="1"/>
  <c r="CR867" i="1"/>
  <c r="CN867" i="1"/>
  <c r="CM867" i="1"/>
  <c r="CH871" i="1"/>
  <c r="CG871" i="1"/>
  <c r="CF871" i="1"/>
  <c r="CB871" i="1"/>
  <c r="CA871" i="1"/>
  <c r="CK872" i="1"/>
  <c r="CO875" i="1"/>
  <c r="CK881" i="1"/>
  <c r="CR881" i="1"/>
  <c r="CQ881" i="1"/>
  <c r="BX881" i="1"/>
  <c r="CM881" i="1"/>
  <c r="CL881" i="1"/>
  <c r="CK890" i="1"/>
  <c r="CP898" i="1"/>
  <c r="CN903" i="1"/>
  <c r="CB826" i="1"/>
  <c r="CK845" i="1"/>
  <c r="CR845" i="1"/>
  <c r="CQ845" i="1"/>
  <c r="BX845" i="1"/>
  <c r="CR857" i="1"/>
  <c r="CQ857" i="1"/>
  <c r="BX857" i="1"/>
  <c r="CM857" i="1"/>
  <c r="CO860" i="1"/>
  <c r="CQ860" i="1"/>
  <c r="BX860" i="1"/>
  <c r="CP860" i="1"/>
  <c r="CP862" i="1"/>
  <c r="CO862" i="1"/>
  <c r="CN862" i="1"/>
  <c r="CR862" i="1"/>
  <c r="CQ862" i="1"/>
  <c r="BX862" i="1"/>
  <c r="CL862" i="1"/>
  <c r="CS862" i="1" s="1"/>
  <c r="CT862" i="1" s="1"/>
  <c r="CK866" i="1"/>
  <c r="CK869" i="1"/>
  <c r="CR869" i="1"/>
  <c r="CQ869" i="1"/>
  <c r="BX869" i="1"/>
  <c r="CM869" i="1"/>
  <c r="CL869" i="1"/>
  <c r="CK870" i="1"/>
  <c r="CQ871" i="1"/>
  <c r="BX871" i="1"/>
  <c r="CP871" i="1"/>
  <c r="CO871" i="1"/>
  <c r="CK871" i="1"/>
  <c r="CS871" i="1" s="1"/>
  <c r="CT871" i="1" s="1"/>
  <c r="CR871" i="1"/>
  <c r="CN871" i="1"/>
  <c r="CK874" i="1"/>
  <c r="CP875" i="1"/>
  <c r="CP879" i="1"/>
  <c r="CN893" i="1"/>
  <c r="CP893" i="1"/>
  <c r="CO893" i="1"/>
  <c r="CI903" i="1"/>
  <c r="CI906" i="1"/>
  <c r="CH834" i="1"/>
  <c r="CG834" i="1"/>
  <c r="CF834" i="1"/>
  <c r="AD834" i="1"/>
  <c r="CM837" i="1"/>
  <c r="CL837" i="1"/>
  <c r="CK837" i="1"/>
  <c r="CS837" i="1" s="1"/>
  <c r="CT837" i="1" s="1"/>
  <c r="CM839" i="1"/>
  <c r="CL839" i="1"/>
  <c r="CK839" i="1"/>
  <c r="CN839" i="1"/>
  <c r="CR858" i="1"/>
  <c r="CQ858" i="1"/>
  <c r="BX858" i="1"/>
  <c r="CL866" i="1"/>
  <c r="CL870" i="1"/>
  <c r="CK899" i="1"/>
  <c r="CH830" i="1"/>
  <c r="CH831" i="1"/>
  <c r="BX837" i="1"/>
  <c r="BX839" i="1"/>
  <c r="CO839" i="1"/>
  <c r="CD840" i="1"/>
  <c r="CF841" i="1"/>
  <c r="CE841" i="1"/>
  <c r="CD841" i="1"/>
  <c r="CQ843" i="1"/>
  <c r="BX843" i="1"/>
  <c r="CL843" i="1"/>
  <c r="CM845" i="1"/>
  <c r="CF846" i="1"/>
  <c r="CN847" i="1"/>
  <c r="CG848" i="1"/>
  <c r="CC861" i="1"/>
  <c r="CD863" i="1"/>
  <c r="CN864" i="1"/>
  <c r="CP867" i="1"/>
  <c r="CR879" i="1"/>
  <c r="CI885" i="1"/>
  <c r="CI889" i="1"/>
  <c r="CI896" i="1"/>
  <c r="BX830" i="1"/>
  <c r="CK830" i="1"/>
  <c r="CO833" i="1"/>
  <c r="CN833" i="1"/>
  <c r="CM833" i="1"/>
  <c r="CK833" i="1"/>
  <c r="CA834" i="1"/>
  <c r="CK838" i="1"/>
  <c r="CS838" i="1" s="1"/>
  <c r="CT838" i="1" s="1"/>
  <c r="CR838" i="1"/>
  <c r="CQ838" i="1"/>
  <c r="BX838" i="1"/>
  <c r="CA839" i="1"/>
  <c r="CI839" i="1" s="1"/>
  <c r="CP839" i="1"/>
  <c r="BS840" i="1"/>
  <c r="CE840" i="1"/>
  <c r="AD841" i="1"/>
  <c r="CM843" i="1"/>
  <c r="CN845" i="1"/>
  <c r="CG846" i="1"/>
  <c r="CO847" i="1"/>
  <c r="CH848" i="1"/>
  <c r="CP849" i="1"/>
  <c r="CO852" i="1"/>
  <c r="CN852" i="1"/>
  <c r="CM852" i="1"/>
  <c r="CH854" i="1"/>
  <c r="CF855" i="1"/>
  <c r="CK856" i="1"/>
  <c r="CD861" i="1"/>
  <c r="CE863" i="1"/>
  <c r="BX864" i="1"/>
  <c r="CQ867" i="1"/>
  <c r="CC871" i="1"/>
  <c r="CI873" i="1"/>
  <c r="CP876" i="1"/>
  <c r="CM877" i="1"/>
  <c r="CL877" i="1"/>
  <c r="CK877" i="1"/>
  <c r="CO877" i="1"/>
  <c r="CN877" i="1"/>
  <c r="CP880" i="1"/>
  <c r="CL880" i="1"/>
  <c r="CS880" i="1" s="1"/>
  <c r="CT880" i="1" s="1"/>
  <c r="CO881" i="1"/>
  <c r="CW884" i="1"/>
  <c r="CR886" i="1"/>
  <c r="CN888" i="1"/>
  <c r="CI891" i="1"/>
  <c r="CH892" i="1"/>
  <c r="BX893" i="1"/>
  <c r="CR893" i="1"/>
  <c r="CN895" i="1"/>
  <c r="CP902" i="1"/>
  <c r="CO902" i="1"/>
  <c r="CN902" i="1"/>
  <c r="CM902" i="1"/>
  <c r="CL902" i="1"/>
  <c r="CR902" i="1"/>
  <c r="CQ902" i="1"/>
  <c r="BX902" i="1"/>
  <c r="CM904" i="1"/>
  <c r="CL904" i="1"/>
  <c r="CR904" i="1"/>
  <c r="CQ904" i="1"/>
  <c r="BX904" i="1"/>
  <c r="CM905" i="1"/>
  <c r="CL905" i="1"/>
  <c r="CK905" i="1"/>
  <c r="CS905" i="1" s="1"/>
  <c r="CT905" i="1" s="1"/>
  <c r="CR905" i="1"/>
  <c r="CQ905" i="1"/>
  <c r="BX905" i="1"/>
  <c r="CO905" i="1"/>
  <c r="CN905" i="1"/>
  <c r="CH826" i="1"/>
  <c r="CF826" i="1"/>
  <c r="CB830" i="1"/>
  <c r="CL830" i="1"/>
  <c r="CL832" i="1"/>
  <c r="CK832" i="1"/>
  <c r="CR832" i="1"/>
  <c r="BX833" i="1"/>
  <c r="CB834" i="1"/>
  <c r="CL835" i="1"/>
  <c r="CK835" i="1"/>
  <c r="CR835" i="1"/>
  <c r="CQ835" i="1"/>
  <c r="CP836" i="1"/>
  <c r="CN837" i="1"/>
  <c r="CI838" i="1"/>
  <c r="CE839" i="1"/>
  <c r="CQ839" i="1"/>
  <c r="CF840" i="1"/>
  <c r="CA841" i="1"/>
  <c r="CN843" i="1"/>
  <c r="CN844" i="1"/>
  <c r="CM844" i="1"/>
  <c r="CL844" i="1"/>
  <c r="CO845" i="1"/>
  <c r="CH846" i="1"/>
  <c r="CP847" i="1"/>
  <c r="CO850" i="1"/>
  <c r="CN850" i="1"/>
  <c r="CM850" i="1"/>
  <c r="CS850" i="1" s="1"/>
  <c r="CT850" i="1" s="1"/>
  <c r="CA853" i="1"/>
  <c r="CI853" i="1" s="1"/>
  <c r="CH853" i="1"/>
  <c r="CG853" i="1"/>
  <c r="AD853" i="1"/>
  <c r="CP856" i="1"/>
  <c r="CM859" i="1"/>
  <c r="CL859" i="1"/>
  <c r="CK859" i="1"/>
  <c r="CO859" i="1"/>
  <c r="CN859" i="1"/>
  <c r="CN860" i="1"/>
  <c r="CK860" i="1"/>
  <c r="BS861" i="1"/>
  <c r="CB862" i="1"/>
  <c r="BS863" i="1"/>
  <c r="CN869" i="1"/>
  <c r="CD871" i="1"/>
  <c r="CN872" i="1"/>
  <c r="CI876" i="1"/>
  <c r="CK876" i="1"/>
  <c r="CS876" i="1" s="1"/>
  <c r="CT876" i="1" s="1"/>
  <c r="CM880" i="1"/>
  <c r="CP881" i="1"/>
  <c r="CI887" i="1"/>
  <c r="BX888" i="1"/>
  <c r="CN890" i="1"/>
  <c r="CI905" i="1"/>
  <c r="CS916" i="1"/>
  <c r="CT916" i="1" s="1"/>
  <c r="CF856" i="1"/>
  <c r="CK865" i="1"/>
  <c r="CS865" i="1" s="1"/>
  <c r="CT865" i="1" s="1"/>
  <c r="CP866" i="1"/>
  <c r="CP870" i="1"/>
  <c r="CK873" i="1"/>
  <c r="CO874" i="1"/>
  <c r="CF882" i="1"/>
  <c r="CP883" i="1"/>
  <c r="CK889" i="1"/>
  <c r="CS889" i="1" s="1"/>
  <c r="CT889" i="1" s="1"/>
  <c r="CK891" i="1"/>
  <c r="CE892" i="1"/>
  <c r="CR894" i="1"/>
  <c r="CO895" i="1"/>
  <c r="CK896" i="1"/>
  <c r="CO897" i="1"/>
  <c r="CL900" i="1"/>
  <c r="CS900" i="1" s="1"/>
  <c r="CT900" i="1" s="1"/>
  <c r="CB901" i="1"/>
  <c r="CI901" i="1" s="1"/>
  <c r="CK901" i="1"/>
  <c r="CS901" i="1" s="1"/>
  <c r="CT901" i="1" s="1"/>
  <c r="CH902" i="1"/>
  <c r="CO906" i="1"/>
  <c r="BX907" i="1"/>
  <c r="CQ907" i="1"/>
  <c r="CO908" i="1"/>
  <c r="CO909" i="1"/>
  <c r="BI910" i="1"/>
  <c r="CK910" i="1" s="1"/>
  <c r="CB910" i="1"/>
  <c r="CI910" i="1" s="1"/>
  <c r="CE911" i="1"/>
  <c r="BX912" i="1"/>
  <c r="CQ912" i="1"/>
  <c r="CK913" i="1"/>
  <c r="CO914" i="1"/>
  <c r="CK915" i="1"/>
  <c r="CL916" i="1"/>
  <c r="BX917" i="1"/>
  <c r="CQ917" i="1"/>
  <c r="CN918" i="1"/>
  <c r="CP920" i="1"/>
  <c r="CM921" i="1"/>
  <c r="CR922" i="1"/>
  <c r="CO923" i="1"/>
  <c r="CS923" i="1" s="1"/>
  <c r="CT923" i="1" s="1"/>
  <c r="CP924" i="1"/>
  <c r="BX925" i="1"/>
  <c r="CQ925" i="1"/>
  <c r="BS926" i="1"/>
  <c r="CC926" i="1"/>
  <c r="CL926" i="1"/>
  <c r="CP927" i="1"/>
  <c r="CO928" i="1"/>
  <c r="CO929" i="1"/>
  <c r="CO930" i="1"/>
  <c r="CN930" i="1"/>
  <c r="CM930" i="1"/>
  <c r="CH860" i="1"/>
  <c r="CP864" i="1"/>
  <c r="CL865" i="1"/>
  <c r="BX866" i="1"/>
  <c r="CQ866" i="1"/>
  <c r="CK868" i="1"/>
  <c r="CD869" i="1"/>
  <c r="BX870" i="1"/>
  <c r="CQ870" i="1"/>
  <c r="CP872" i="1"/>
  <c r="CL873" i="1"/>
  <c r="CP874" i="1"/>
  <c r="CK878" i="1"/>
  <c r="AD882" i="1"/>
  <c r="CG882" i="1"/>
  <c r="CQ883" i="1"/>
  <c r="CP884" i="1"/>
  <c r="CK885" i="1"/>
  <c r="CS885" i="1" s="1"/>
  <c r="CT885" i="1" s="1"/>
  <c r="CK887" i="1"/>
  <c r="CP888" i="1"/>
  <c r="CL889" i="1"/>
  <c r="CP890" i="1"/>
  <c r="CL891" i="1"/>
  <c r="AD892" i="1"/>
  <c r="CF892" i="1"/>
  <c r="CG893" i="1"/>
  <c r="CI893" i="1" s="1"/>
  <c r="CP895" i="1"/>
  <c r="CP897" i="1"/>
  <c r="CL901" i="1"/>
  <c r="CA902" i="1"/>
  <c r="CP906" i="1"/>
  <c r="CR907" i="1"/>
  <c r="CP908" i="1"/>
  <c r="CP909" i="1"/>
  <c r="BS910" i="1"/>
  <c r="CC910" i="1"/>
  <c r="CF911" i="1"/>
  <c r="CA912" i="1"/>
  <c r="CI912" i="1" s="1"/>
  <c r="CR912" i="1"/>
  <c r="CL913" i="1"/>
  <c r="CL915" i="1"/>
  <c r="CM916" i="1"/>
  <c r="CR917" i="1"/>
  <c r="CO918" i="1"/>
  <c r="CL919" i="1"/>
  <c r="CS919" i="1" s="1"/>
  <c r="CT919" i="1" s="1"/>
  <c r="BX920" i="1"/>
  <c r="CQ920" i="1"/>
  <c r="CN921" i="1"/>
  <c r="CK922" i="1"/>
  <c r="CP923" i="1"/>
  <c r="BX924" i="1"/>
  <c r="CQ924" i="1"/>
  <c r="CR925" i="1"/>
  <c r="CD926" i="1"/>
  <c r="CM926" i="1"/>
  <c r="BX927" i="1"/>
  <c r="CQ927" i="1"/>
  <c r="CP928" i="1"/>
  <c r="CQ929" i="1"/>
  <c r="BX930" i="1"/>
  <c r="CL931" i="1"/>
  <c r="CK931" i="1"/>
  <c r="CR931" i="1"/>
  <c r="CQ931" i="1"/>
  <c r="BX931" i="1"/>
  <c r="CP932" i="1"/>
  <c r="CN933" i="1"/>
  <c r="CM933" i="1"/>
  <c r="CL933" i="1"/>
  <c r="CK933" i="1"/>
  <c r="CR933" i="1"/>
  <c r="CQ933" i="1"/>
  <c r="BX933" i="1"/>
  <c r="CO933" i="1"/>
  <c r="CK907" i="1"/>
  <c r="BX908" i="1"/>
  <c r="CQ908" i="1"/>
  <c r="CD910" i="1"/>
  <c r="CK912" i="1"/>
  <c r="CM913" i="1"/>
  <c r="CK917" i="1"/>
  <c r="CS917" i="1" s="1"/>
  <c r="CT917" i="1" s="1"/>
  <c r="CP918" i="1"/>
  <c r="CO921" i="1"/>
  <c r="CK925" i="1"/>
  <c r="CN926" i="1"/>
  <c r="CR927" i="1"/>
  <c r="CS928" i="1"/>
  <c r="CT928" i="1" s="1"/>
  <c r="CQ928" i="1"/>
  <c r="CI931" i="1"/>
  <c r="CI932" i="1"/>
  <c r="CR906" i="1"/>
  <c r="CL907" i="1"/>
  <c r="CR908" i="1"/>
  <c r="CE910" i="1"/>
  <c r="CN913" i="1"/>
  <c r="BX918" i="1"/>
  <c r="CQ918" i="1"/>
  <c r="CK920" i="1"/>
  <c r="CS920" i="1" s="1"/>
  <c r="CT920" i="1" s="1"/>
  <c r="CP921" i="1"/>
  <c r="CL925" i="1"/>
  <c r="CO926" i="1"/>
  <c r="CK927" i="1"/>
  <c r="CK930" i="1"/>
  <c r="CO936" i="1"/>
  <c r="CK936" i="1"/>
  <c r="CR936" i="1"/>
  <c r="CP936" i="1"/>
  <c r="CK908" i="1"/>
  <c r="CS908" i="1" s="1"/>
  <c r="CT908" i="1" s="1"/>
  <c r="BI909" i="1"/>
  <c r="CQ909" i="1" s="1"/>
  <c r="CK909" i="1"/>
  <c r="CF910" i="1"/>
  <c r="CA911" i="1"/>
  <c r="CI911" i="1" s="1"/>
  <c r="CM912" i="1"/>
  <c r="CO913" i="1"/>
  <c r="CK914" i="1"/>
  <c r="CM917" i="1"/>
  <c r="CR918" i="1"/>
  <c r="CL920" i="1"/>
  <c r="BX921" i="1"/>
  <c r="CQ921" i="1"/>
  <c r="CN922" i="1"/>
  <c r="CL924" i="1"/>
  <c r="CS924" i="1" s="1"/>
  <c r="CT924" i="1" s="1"/>
  <c r="CM925" i="1"/>
  <c r="CV925" i="1"/>
  <c r="CP926" i="1"/>
  <c r="CL927" i="1"/>
  <c r="CI929" i="1"/>
  <c r="CK929" i="1"/>
  <c r="CL930" i="1"/>
  <c r="CQ932" i="1"/>
  <c r="BX932" i="1"/>
  <c r="CR932" i="1"/>
  <c r="CM932" i="1"/>
  <c r="CS932" i="1" s="1"/>
  <c r="CT932" i="1" s="1"/>
  <c r="CD833" i="1"/>
  <c r="CI833" i="1" s="1"/>
  <c r="CN836" i="1"/>
  <c r="CB839" i="1"/>
  <c r="CO843" i="1"/>
  <c r="BS856" i="1"/>
  <c r="CC856" i="1"/>
  <c r="CN857" i="1"/>
  <c r="CE858" i="1"/>
  <c r="CI858" i="1" s="1"/>
  <c r="CN858" i="1"/>
  <c r="CM860" i="1"/>
  <c r="CL864" i="1"/>
  <c r="CM866" i="1"/>
  <c r="CO868" i="1"/>
  <c r="CH869" i="1"/>
  <c r="CM870" i="1"/>
  <c r="CL872" i="1"/>
  <c r="CL874" i="1"/>
  <c r="CN876" i="1"/>
  <c r="CO878" i="1"/>
  <c r="CE880" i="1"/>
  <c r="CI880" i="1" s="1"/>
  <c r="CN880" i="1"/>
  <c r="BS882" i="1"/>
  <c r="CC882" i="1"/>
  <c r="CL884" i="1"/>
  <c r="DA884" i="1" s="1"/>
  <c r="CO885" i="1"/>
  <c r="CO887" i="1"/>
  <c r="CL888" i="1"/>
  <c r="CL890" i="1"/>
  <c r="CB892" i="1"/>
  <c r="CI892" i="1" s="1"/>
  <c r="BS893" i="1"/>
  <c r="CL893" i="1"/>
  <c r="CO894" i="1"/>
  <c r="CS894" i="1" s="1"/>
  <c r="CT894" i="1" s="1"/>
  <c r="CL895" i="1"/>
  <c r="CS895" i="1" s="1"/>
  <c r="CT895" i="1" s="1"/>
  <c r="CL897" i="1"/>
  <c r="CS897" i="1" s="1"/>
  <c r="CT897" i="1" s="1"/>
  <c r="BX899" i="1"/>
  <c r="CQ899" i="1"/>
  <c r="BX900" i="1"/>
  <c r="CQ900" i="1"/>
  <c r="CG901" i="1"/>
  <c r="CP901" i="1"/>
  <c r="CE902" i="1"/>
  <c r="CN904" i="1"/>
  <c r="BS906" i="1"/>
  <c r="CC906" i="1"/>
  <c r="CL906" i="1"/>
  <c r="CS906" i="1" s="1"/>
  <c r="CT906" i="1" s="1"/>
  <c r="CN907" i="1"/>
  <c r="CL909" i="1"/>
  <c r="CG910" i="1"/>
  <c r="BI911" i="1"/>
  <c r="CN912" i="1"/>
  <c r="CP913" i="1"/>
  <c r="BX916" i="1"/>
  <c r="CN917" i="1"/>
  <c r="CK918" i="1"/>
  <c r="CR921" i="1"/>
  <c r="CO922" i="1"/>
  <c r="CN925" i="1"/>
  <c r="BX926" i="1"/>
  <c r="CQ926" i="1"/>
  <c r="CL928" i="1"/>
  <c r="CL929" i="1"/>
  <c r="CP930" i="1"/>
  <c r="CS937" i="1"/>
  <c r="CT937" i="1" s="1"/>
  <c r="CE833" i="1"/>
  <c r="CO836" i="1"/>
  <c r="BS839" i="1"/>
  <c r="CC839" i="1"/>
  <c r="CD856" i="1"/>
  <c r="CO857" i="1"/>
  <c r="CO858" i="1"/>
  <c r="CE860" i="1"/>
  <c r="CI860" i="1" s="1"/>
  <c r="CM864" i="1"/>
  <c r="BX865" i="1"/>
  <c r="CQ865" i="1"/>
  <c r="CN866" i="1"/>
  <c r="CA869" i="1"/>
  <c r="CI869" i="1" s="1"/>
  <c r="CN870" i="1"/>
  <c r="CM872" i="1"/>
  <c r="BX873" i="1"/>
  <c r="CQ873" i="1"/>
  <c r="CM874" i="1"/>
  <c r="CO876" i="1"/>
  <c r="CO880" i="1"/>
  <c r="CD882" i="1"/>
  <c r="BX883" i="1"/>
  <c r="CN883" i="1"/>
  <c r="CM888" i="1"/>
  <c r="BX889" i="1"/>
  <c r="CQ889" i="1"/>
  <c r="CM890" i="1"/>
  <c r="BX891" i="1"/>
  <c r="CQ891" i="1"/>
  <c r="BS892" i="1"/>
  <c r="CC892" i="1"/>
  <c r="CD893" i="1"/>
  <c r="CP894" i="1"/>
  <c r="CM895" i="1"/>
  <c r="BX896" i="1"/>
  <c r="CQ896" i="1"/>
  <c r="CM897" i="1"/>
  <c r="CR899" i="1"/>
  <c r="CR900" i="1"/>
  <c r="BX901" i="1"/>
  <c r="CH901" i="1"/>
  <c r="CQ901" i="1"/>
  <c r="CF902" i="1"/>
  <c r="CO904" i="1"/>
  <c r="CM906" i="1"/>
  <c r="CO907" i="1"/>
  <c r="CM908" i="1"/>
  <c r="CH910" i="1"/>
  <c r="BX913" i="1"/>
  <c r="CQ913" i="1"/>
  <c r="CO917" i="1"/>
  <c r="CL918" i="1"/>
  <c r="CN920" i="1"/>
  <c r="CK921" i="1"/>
  <c r="CP922" i="1"/>
  <c r="CO925" i="1"/>
  <c r="CR926" i="1"/>
  <c r="CN927" i="1"/>
  <c r="BX868" i="1"/>
  <c r="BX878" i="1"/>
  <c r="BX884" i="1"/>
  <c r="BX885" i="1"/>
  <c r="BX887" i="1"/>
  <c r="BX894" i="1"/>
  <c r="BX922" i="1"/>
  <c r="CN928" i="1"/>
  <c r="CN936" i="1"/>
  <c r="CE935" i="1"/>
  <c r="CN935" i="1"/>
  <c r="CG936" i="1"/>
  <c r="CR937" i="1"/>
  <c r="BX939" i="1"/>
  <c r="CQ939" i="1"/>
  <c r="CK940" i="1"/>
  <c r="CO941" i="1"/>
  <c r="CK943" i="1"/>
  <c r="CO944" i="1"/>
  <c r="CO945" i="1"/>
  <c r="CK946" i="1"/>
  <c r="CA947" i="1"/>
  <c r="CH948" i="1"/>
  <c r="CD949" i="1"/>
  <c r="CG950" i="1"/>
  <c r="CM951" i="1"/>
  <c r="CI952" i="1"/>
  <c r="CK952" i="1"/>
  <c r="CC955" i="1"/>
  <c r="BS956" i="1"/>
  <c r="CE956" i="1"/>
  <c r="CE957" i="1"/>
  <c r="CG958" i="1"/>
  <c r="CA961" i="1"/>
  <c r="CM967" i="1"/>
  <c r="CL967" i="1"/>
  <c r="CK967" i="1"/>
  <c r="CO967" i="1"/>
  <c r="CQ970" i="1"/>
  <c r="BX970" i="1"/>
  <c r="CP970" i="1"/>
  <c r="CO970" i="1"/>
  <c r="CM970" i="1"/>
  <c r="CK970" i="1"/>
  <c r="CL972" i="1"/>
  <c r="CO994" i="1"/>
  <c r="CN994" i="1"/>
  <c r="CM994" i="1"/>
  <c r="CL994" i="1"/>
  <c r="CK994" i="1"/>
  <c r="CR994" i="1"/>
  <c r="CQ994" i="1"/>
  <c r="BX994" i="1"/>
  <c r="CI998" i="1"/>
  <c r="CI1010" i="1"/>
  <c r="CM1042" i="1"/>
  <c r="CP941" i="1"/>
  <c r="CL943" i="1"/>
  <c r="CP944" i="1"/>
  <c r="CB947" i="1"/>
  <c r="CA948" i="1"/>
  <c r="CL952" i="1"/>
  <c r="CC953" i="1"/>
  <c r="BS953" i="1"/>
  <c r="CN959" i="1"/>
  <c r="CR959" i="1"/>
  <c r="CR960" i="1"/>
  <c r="CQ960" i="1"/>
  <c r="BX960" i="1"/>
  <c r="CM960" i="1"/>
  <c r="CK960" i="1"/>
  <c r="CR1013" i="1"/>
  <c r="CQ1013" i="1"/>
  <c r="BX1013" i="1"/>
  <c r="CO1013" i="1"/>
  <c r="CN1013" i="1"/>
  <c r="CM1013" i="1"/>
  <c r="CL1013" i="1"/>
  <c r="CO1014" i="1"/>
  <c r="CN1014" i="1"/>
  <c r="CM1014" i="1"/>
  <c r="CL1014" i="1"/>
  <c r="CK1014" i="1"/>
  <c r="CR1014" i="1"/>
  <c r="CQ1014" i="1"/>
  <c r="BX1014" i="1"/>
  <c r="CS1023" i="1"/>
  <c r="CT1023" i="1" s="1"/>
  <c r="CG935" i="1"/>
  <c r="CP935" i="1"/>
  <c r="CL937" i="1"/>
  <c r="CK939" i="1"/>
  <c r="CS939" i="1" s="1"/>
  <c r="CT939" i="1" s="1"/>
  <c r="CM940" i="1"/>
  <c r="BX941" i="1"/>
  <c r="CQ941" i="1"/>
  <c r="CM943" i="1"/>
  <c r="BX944" i="1"/>
  <c r="CQ944" i="1"/>
  <c r="BX945" i="1"/>
  <c r="CQ945" i="1"/>
  <c r="AD947" i="1"/>
  <c r="BS947" i="1"/>
  <c r="CC947" i="1"/>
  <c r="AD948" i="1"/>
  <c r="CB948" i="1"/>
  <c r="CF949" i="1"/>
  <c r="CA950" i="1"/>
  <c r="CI950" i="1" s="1"/>
  <c r="CM952" i="1"/>
  <c r="BI953" i="1"/>
  <c r="CO953" i="1" s="1"/>
  <c r="CA953" i="1"/>
  <c r="CR955" i="1"/>
  <c r="CN955" i="1"/>
  <c r="CQ955" i="1"/>
  <c r="CK959" i="1"/>
  <c r="CL960" i="1"/>
  <c r="CM965" i="1"/>
  <c r="CL965" i="1"/>
  <c r="CK965" i="1"/>
  <c r="CO965" i="1"/>
  <c r="CP969" i="1"/>
  <c r="CI1001" i="1"/>
  <c r="CP1014" i="1"/>
  <c r="CD1021" i="1"/>
  <c r="CC1021" i="1"/>
  <c r="BS1021" i="1"/>
  <c r="CB1021" i="1"/>
  <c r="CA1021" i="1"/>
  <c r="CH1021" i="1"/>
  <c r="CG1021" i="1"/>
  <c r="CF1021" i="1"/>
  <c r="AD1021" i="1"/>
  <c r="CE1021" i="1"/>
  <c r="BX935" i="1"/>
  <c r="CM937" i="1"/>
  <c r="CN940" i="1"/>
  <c r="CR941" i="1"/>
  <c r="CN943" i="1"/>
  <c r="CR944" i="1"/>
  <c r="CN946" i="1"/>
  <c r="CD947" i="1"/>
  <c r="BS948" i="1"/>
  <c r="CC948" i="1"/>
  <c r="AD949" i="1"/>
  <c r="CG949" i="1"/>
  <c r="BI950" i="1"/>
  <c r="CP951" i="1"/>
  <c r="CB953" i="1"/>
  <c r="CQ956" i="1"/>
  <c r="BX956" i="1"/>
  <c r="CP957" i="1"/>
  <c r="BX959" i="1"/>
  <c r="CL959" i="1"/>
  <c r="CN960" i="1"/>
  <c r="CL963" i="1"/>
  <c r="CK963" i="1"/>
  <c r="CO963" i="1"/>
  <c r="BX965" i="1"/>
  <c r="CK973" i="1"/>
  <c r="CR973" i="1"/>
  <c r="CQ973" i="1"/>
  <c r="BX973" i="1"/>
  <c r="CO973" i="1"/>
  <c r="CM973" i="1"/>
  <c r="CS1008" i="1"/>
  <c r="CT1008" i="1" s="1"/>
  <c r="CN932" i="1"/>
  <c r="CA935" i="1"/>
  <c r="CR935" i="1"/>
  <c r="BS936" i="1"/>
  <c r="CC936" i="1"/>
  <c r="CI936" i="1" s="1"/>
  <c r="CL936" i="1"/>
  <c r="CE937" i="1"/>
  <c r="CI937" i="1" s="1"/>
  <c r="CN937" i="1"/>
  <c r="CH938" i="1"/>
  <c r="CM939" i="1"/>
  <c r="CO940" i="1"/>
  <c r="CK941" i="1"/>
  <c r="CO942" i="1"/>
  <c r="CS942" i="1" s="1"/>
  <c r="CT942" i="1" s="1"/>
  <c r="CO943" i="1"/>
  <c r="CK944" i="1"/>
  <c r="CK945" i="1"/>
  <c r="CO946" i="1"/>
  <c r="CE947" i="1"/>
  <c r="CD948" i="1"/>
  <c r="CH949" i="1"/>
  <c r="BS950" i="1"/>
  <c r="CC950" i="1"/>
  <c r="BX951" i="1"/>
  <c r="CQ951" i="1"/>
  <c r="CO952" i="1"/>
  <c r="CD953" i="1"/>
  <c r="CN953" i="1"/>
  <c r="CM959" i="1"/>
  <c r="CH960" i="1"/>
  <c r="CD960" i="1"/>
  <c r="CB960" i="1"/>
  <c r="CI960" i="1" s="1"/>
  <c r="CO960" i="1"/>
  <c r="BX963" i="1"/>
  <c r="CP967" i="1"/>
  <c r="CI973" i="1"/>
  <c r="CL973" i="1"/>
  <c r="CK975" i="1"/>
  <c r="CR975" i="1"/>
  <c r="CQ975" i="1"/>
  <c r="BX975" i="1"/>
  <c r="CP975" i="1"/>
  <c r="CO975" i="1"/>
  <c r="CM975" i="1"/>
  <c r="CP979" i="1"/>
  <c r="CK993" i="1"/>
  <c r="CR993" i="1"/>
  <c r="CQ993" i="1"/>
  <c r="BX993" i="1"/>
  <c r="CP993" i="1"/>
  <c r="CO993" i="1"/>
  <c r="CN993" i="1"/>
  <c r="CM993" i="1"/>
  <c r="CI999" i="1"/>
  <c r="CI1006" i="1"/>
  <c r="CI1011" i="1"/>
  <c r="CO932" i="1"/>
  <c r="BX934" i="1"/>
  <c r="CQ934" i="1"/>
  <c r="CB935" i="1"/>
  <c r="CK935" i="1"/>
  <c r="CD936" i="1"/>
  <c r="CM936" i="1"/>
  <c r="CF937" i="1"/>
  <c r="CO937" i="1"/>
  <c r="CA938" i="1"/>
  <c r="CI938" i="1" s="1"/>
  <c r="CR938" i="1"/>
  <c r="CN939" i="1"/>
  <c r="CP940" i="1"/>
  <c r="CL941" i="1"/>
  <c r="CP942" i="1"/>
  <c r="CP943" i="1"/>
  <c r="CL944" i="1"/>
  <c r="CL945" i="1"/>
  <c r="CP946" i="1"/>
  <c r="CF947" i="1"/>
  <c r="CE948" i="1"/>
  <c r="CA949" i="1"/>
  <c r="CD950" i="1"/>
  <c r="CR951" i="1"/>
  <c r="CE953" i="1"/>
  <c r="CA955" i="1"/>
  <c r="CE955" i="1"/>
  <c r="CK955" i="1"/>
  <c r="CB958" i="1"/>
  <c r="CI958" i="1" s="1"/>
  <c r="BI958" i="1"/>
  <c r="CF958" i="1"/>
  <c r="CC958" i="1"/>
  <c r="CO959" i="1"/>
  <c r="CP960" i="1"/>
  <c r="CN965" i="1"/>
  <c r="CN973" i="1"/>
  <c r="CI975" i="1"/>
  <c r="CI979" i="1"/>
  <c r="CR981" i="1"/>
  <c r="CQ981" i="1"/>
  <c r="BX981" i="1"/>
  <c r="CO981" i="1"/>
  <c r="CN981" i="1"/>
  <c r="CM981" i="1"/>
  <c r="CL981" i="1"/>
  <c r="CS981" i="1" s="1"/>
  <c r="CT981" i="1" s="1"/>
  <c r="CI996" i="1"/>
  <c r="CI1012" i="1"/>
  <c r="CE1019" i="1"/>
  <c r="CD1019" i="1"/>
  <c r="CC1019" i="1"/>
  <c r="BS1019" i="1"/>
  <c r="CB1019" i="1"/>
  <c r="CA1019" i="1"/>
  <c r="CI1019" i="1" s="1"/>
  <c r="CH1019" i="1"/>
  <c r="CG1019" i="1"/>
  <c r="AD1019" i="1"/>
  <c r="CF1019" i="1"/>
  <c r="CK1031" i="1"/>
  <c r="CR934" i="1"/>
  <c r="BS935" i="1"/>
  <c r="CC935" i="1"/>
  <c r="CL935" i="1"/>
  <c r="CE936" i="1"/>
  <c r="CP937" i="1"/>
  <c r="BI938" i="1"/>
  <c r="CN938" i="1" s="1"/>
  <c r="CK938" i="1"/>
  <c r="CO939" i="1"/>
  <c r="BX940" i="1"/>
  <c r="CQ940" i="1"/>
  <c r="CM941" i="1"/>
  <c r="BX942" i="1"/>
  <c r="CQ942" i="1"/>
  <c r="BX943" i="1"/>
  <c r="CQ943" i="1"/>
  <c r="CM944" i="1"/>
  <c r="CM945" i="1"/>
  <c r="BX946" i="1"/>
  <c r="CQ946" i="1"/>
  <c r="CG947" i="1"/>
  <c r="CF948" i="1"/>
  <c r="CB949" i="1"/>
  <c r="CE950" i="1"/>
  <c r="CK951" i="1"/>
  <c r="CR952" i="1"/>
  <c r="CQ952" i="1"/>
  <c r="CL953" i="1"/>
  <c r="CF953" i="1"/>
  <c r="CP953" i="1"/>
  <c r="BX955" i="1"/>
  <c r="CL955" i="1"/>
  <c r="CD956" i="1"/>
  <c r="CH956" i="1"/>
  <c r="CB956" i="1"/>
  <c r="CI956" i="1" s="1"/>
  <c r="CN956" i="1"/>
  <c r="CG957" i="1"/>
  <c r="CC957" i="1"/>
  <c r="BS957" i="1"/>
  <c r="CB957" i="1"/>
  <c r="CP959" i="1"/>
  <c r="CM963" i="1"/>
  <c r="CP965" i="1"/>
  <c r="CM969" i="1"/>
  <c r="CL969" i="1"/>
  <c r="CK969" i="1"/>
  <c r="CQ969" i="1"/>
  <c r="CO969" i="1"/>
  <c r="CO972" i="1"/>
  <c r="CN972" i="1"/>
  <c r="CM972" i="1"/>
  <c r="CK972" i="1"/>
  <c r="CQ972" i="1"/>
  <c r="BX972" i="1"/>
  <c r="CP973" i="1"/>
  <c r="CI982" i="1"/>
  <c r="CI1000" i="1"/>
  <c r="CR1006" i="1"/>
  <c r="CQ1006" i="1"/>
  <c r="BX1006" i="1"/>
  <c r="CO1006" i="1"/>
  <c r="CN1006" i="1"/>
  <c r="CM1006" i="1"/>
  <c r="CL1006" i="1"/>
  <c r="CS1006" i="1" s="1"/>
  <c r="CT1006" i="1" s="1"/>
  <c r="CO1007" i="1"/>
  <c r="CN1007" i="1"/>
  <c r="CM1007" i="1"/>
  <c r="CL1007" i="1"/>
  <c r="CK1007" i="1"/>
  <c r="CS1007" i="1" s="1"/>
  <c r="CT1007" i="1" s="1"/>
  <c r="CR1007" i="1"/>
  <c r="CQ1007" i="1"/>
  <c r="BX1007" i="1"/>
  <c r="CP1013" i="1"/>
  <c r="CI1016" i="1"/>
  <c r="BX937" i="1"/>
  <c r="BS949" i="1"/>
  <c r="AD950" i="1"/>
  <c r="BX952" i="1"/>
  <c r="CG953" i="1"/>
  <c r="CQ953" i="1"/>
  <c r="CB955" i="1"/>
  <c r="CM955" i="1"/>
  <c r="BI956" i="1"/>
  <c r="CR956" i="1" s="1"/>
  <c r="CC956" i="1"/>
  <c r="CO956" i="1"/>
  <c r="BI957" i="1"/>
  <c r="CR957" i="1" s="1"/>
  <c r="CD957" i="1"/>
  <c r="CE958" i="1"/>
  <c r="CQ959" i="1"/>
  <c r="CD961" i="1"/>
  <c r="CC961" i="1"/>
  <c r="BS961" i="1"/>
  <c r="CG961" i="1"/>
  <c r="AD961" i="1"/>
  <c r="CN963" i="1"/>
  <c r="CQ965" i="1"/>
  <c r="BX969" i="1"/>
  <c r="CO974" i="1"/>
  <c r="CN974" i="1"/>
  <c r="CM974" i="1"/>
  <c r="CK974" i="1"/>
  <c r="CQ974" i="1"/>
  <c r="BX974" i="1"/>
  <c r="CR979" i="1"/>
  <c r="CQ979" i="1"/>
  <c r="BX979" i="1"/>
  <c r="CO979" i="1"/>
  <c r="CN979" i="1"/>
  <c r="CL979" i="1"/>
  <c r="CS979" i="1" s="1"/>
  <c r="CT979" i="1" s="1"/>
  <c r="CI984" i="1"/>
  <c r="CK1013" i="1"/>
  <c r="CI1031" i="1"/>
  <c r="CP1032" i="1"/>
  <c r="BX1042" i="1"/>
  <c r="CQ1042" i="1"/>
  <c r="CK1022" i="1"/>
  <c r="CL1023" i="1"/>
  <c r="CP1027" i="1"/>
  <c r="CR1030" i="1"/>
  <c r="CQ1035" i="1"/>
  <c r="W1042" i="1"/>
  <c r="BX1047" i="1"/>
  <c r="CP1047" i="1"/>
  <c r="CO1047" i="1"/>
  <c r="CN1047" i="1"/>
  <c r="CC1058" i="1"/>
  <c r="BS1058" i="1"/>
  <c r="CB1058" i="1"/>
  <c r="CA1058" i="1"/>
  <c r="CH1058" i="1"/>
  <c r="CG1058" i="1"/>
  <c r="CF1058" i="1"/>
  <c r="CE1058" i="1"/>
  <c r="AD1058" i="1"/>
  <c r="CO1062" i="1"/>
  <c r="CN1062" i="1"/>
  <c r="CM1062" i="1"/>
  <c r="CL1062" i="1"/>
  <c r="CK1062" i="1"/>
  <c r="CR1062" i="1"/>
  <c r="CQ1062" i="1"/>
  <c r="BX1062" i="1"/>
  <c r="CA959" i="1"/>
  <c r="CI959" i="1" s="1"/>
  <c r="CK962" i="1"/>
  <c r="CS962" i="1" s="1"/>
  <c r="CT962" i="1" s="1"/>
  <c r="CK964" i="1"/>
  <c r="CK966" i="1"/>
  <c r="CK968" i="1"/>
  <c r="CP980" i="1"/>
  <c r="CP982" i="1"/>
  <c r="CN984" i="1"/>
  <c r="CR985" i="1"/>
  <c r="CN986" i="1"/>
  <c r="CR987" i="1"/>
  <c r="CM995" i="1"/>
  <c r="BX996" i="1"/>
  <c r="CQ996" i="1"/>
  <c r="CN998" i="1"/>
  <c r="CR999" i="1"/>
  <c r="CN1000" i="1"/>
  <c r="CR1001" i="1"/>
  <c r="CO1005" i="1"/>
  <c r="CN1008" i="1"/>
  <c r="CM1010" i="1"/>
  <c r="CS1010" i="1" s="1"/>
  <c r="CT1010" i="1" s="1"/>
  <c r="CR1011" i="1"/>
  <c r="CO1012" i="1"/>
  <c r="CG1015" i="1"/>
  <c r="CP1015" i="1"/>
  <c r="CR1016" i="1"/>
  <c r="CG1017" i="1"/>
  <c r="CP1017" i="1"/>
  <c r="CD1018" i="1"/>
  <c r="CM1018" i="1"/>
  <c r="BS1020" i="1"/>
  <c r="CC1020" i="1"/>
  <c r="CL1022" i="1"/>
  <c r="CM1023" i="1"/>
  <c r="CN1024" i="1"/>
  <c r="BX1025" i="1"/>
  <c r="CQ1025" i="1"/>
  <c r="CH1026" i="1"/>
  <c r="BX1027" i="1"/>
  <c r="CH1027" i="1"/>
  <c r="CQ1027" i="1"/>
  <c r="AD1028" i="1"/>
  <c r="CG1028" i="1"/>
  <c r="CH1029" i="1"/>
  <c r="CI1029" i="1" s="1"/>
  <c r="CB1030" i="1"/>
  <c r="CK1030" i="1"/>
  <c r="BI1031" i="1"/>
  <c r="CB1031" i="1"/>
  <c r="CA1032" i="1"/>
  <c r="CI1032" i="1" s="1"/>
  <c r="CR1032" i="1"/>
  <c r="CG1033" i="1"/>
  <c r="CP1033" i="1"/>
  <c r="CM1034" i="1"/>
  <c r="CS1034" i="1" s="1"/>
  <c r="CT1034" i="1" s="1"/>
  <c r="BX1035" i="1"/>
  <c r="CR1035" i="1"/>
  <c r="CH1036" i="1"/>
  <c r="CH1037" i="1"/>
  <c r="CR1037" i="1"/>
  <c r="CH1038" i="1"/>
  <c r="CB1038" i="1"/>
  <c r="CI1038" i="1" s="1"/>
  <c r="CK1039" i="1"/>
  <c r="CB1041" i="1"/>
  <c r="CL1042" i="1"/>
  <c r="CS1042" i="1" s="1"/>
  <c r="CT1042" i="1" s="1"/>
  <c r="CG1042" i="1"/>
  <c r="BT1042" i="1"/>
  <c r="CR1043" i="1"/>
  <c r="CK1043" i="1"/>
  <c r="M1044" i="1"/>
  <c r="M1046" i="1"/>
  <c r="W1046" i="1"/>
  <c r="BT1046" i="1"/>
  <c r="CL1047" i="1"/>
  <c r="CQ1048" i="1"/>
  <c r="CQ1049" i="1"/>
  <c r="CP1050" i="1"/>
  <c r="CP1052" i="1"/>
  <c r="CI1062" i="1"/>
  <c r="CP1062" i="1"/>
  <c r="CI1065" i="1"/>
  <c r="CD1076" i="1"/>
  <c r="CC1076" i="1"/>
  <c r="BS1076" i="1"/>
  <c r="CB1076" i="1"/>
  <c r="CA1076" i="1"/>
  <c r="CH1076" i="1"/>
  <c r="CG1076" i="1"/>
  <c r="CF1076" i="1"/>
  <c r="AD1076" i="1"/>
  <c r="CE1076" i="1"/>
  <c r="CI1093" i="1"/>
  <c r="CI1096" i="1"/>
  <c r="CK985" i="1"/>
  <c r="CK987" i="1"/>
  <c r="CK999" i="1"/>
  <c r="CK1001" i="1"/>
  <c r="CN1010" i="1"/>
  <c r="CK1011" i="1"/>
  <c r="CP1012" i="1"/>
  <c r="BX1015" i="1"/>
  <c r="CQ1015" i="1"/>
  <c r="CK1016" i="1"/>
  <c r="BX1017" i="1"/>
  <c r="CQ1017" i="1"/>
  <c r="CD1020" i="1"/>
  <c r="CM1022" i="1"/>
  <c r="CN1023" i="1"/>
  <c r="CO1024" i="1"/>
  <c r="CR1025" i="1"/>
  <c r="CA1026" i="1"/>
  <c r="CR1027" i="1"/>
  <c r="CH1028" i="1"/>
  <c r="AD1029" i="1"/>
  <c r="CL1030" i="1"/>
  <c r="BS1031" i="1"/>
  <c r="CC1031" i="1"/>
  <c r="BI1032" i="1"/>
  <c r="CK1032" i="1" s="1"/>
  <c r="CN1034" i="1"/>
  <c r="BX1037" i="1"/>
  <c r="CQ1038" i="1"/>
  <c r="BX1038" i="1"/>
  <c r="CK1038" i="1"/>
  <c r="CL1038" i="1"/>
  <c r="CL1039" i="1"/>
  <c r="CN1040" i="1"/>
  <c r="CD1041" i="1"/>
  <c r="CI1043" i="1"/>
  <c r="W1043" i="1"/>
  <c r="CO1043" i="1"/>
  <c r="CR1044" i="1"/>
  <c r="CM1044" i="1"/>
  <c r="CR1049" i="1"/>
  <c r="BX1050" i="1"/>
  <c r="BX1052" i="1"/>
  <c r="CO1056" i="1"/>
  <c r="CN1056" i="1"/>
  <c r="CM1056" i="1"/>
  <c r="CL1056" i="1"/>
  <c r="CK1056" i="1"/>
  <c r="CQ1056" i="1"/>
  <c r="BX1056" i="1"/>
  <c r="CD1058" i="1"/>
  <c r="CK1094" i="1"/>
  <c r="CR1094" i="1"/>
  <c r="BX1094" i="1"/>
  <c r="CQ1094" i="1"/>
  <c r="CP1094" i="1"/>
  <c r="CO1094" i="1"/>
  <c r="CN1094" i="1"/>
  <c r="CM1094" i="1"/>
  <c r="CL1094" i="1"/>
  <c r="CR980" i="1"/>
  <c r="CR982" i="1"/>
  <c r="CP984" i="1"/>
  <c r="CL985" i="1"/>
  <c r="CP986" i="1"/>
  <c r="CL987" i="1"/>
  <c r="CO995" i="1"/>
  <c r="CK996" i="1"/>
  <c r="CP998" i="1"/>
  <c r="CL999" i="1"/>
  <c r="CP1000" i="1"/>
  <c r="BX1005" i="1"/>
  <c r="CQ1005" i="1"/>
  <c r="CO1010" i="1"/>
  <c r="CL1011" i="1"/>
  <c r="BX1012" i="1"/>
  <c r="CQ1012" i="1"/>
  <c r="CA1015" i="1"/>
  <c r="CR1015" i="1"/>
  <c r="CL1016" i="1"/>
  <c r="CA1017" i="1"/>
  <c r="CR1017" i="1"/>
  <c r="CO1018" i="1"/>
  <c r="CE1020" i="1"/>
  <c r="CN1022" i="1"/>
  <c r="CO1023" i="1"/>
  <c r="CP1024" i="1"/>
  <c r="CK1025" i="1"/>
  <c r="CS1025" i="1" s="1"/>
  <c r="CT1025" i="1" s="1"/>
  <c r="CB1026" i="1"/>
  <c r="CB1027" i="1"/>
  <c r="CI1027" i="1" s="1"/>
  <c r="CK1027" i="1"/>
  <c r="CA1028" i="1"/>
  <c r="CI1028" i="1" s="1"/>
  <c r="CD1030" i="1"/>
  <c r="CM1030" i="1"/>
  <c r="CD1031" i="1"/>
  <c r="CL1032" i="1"/>
  <c r="CR1033" i="1"/>
  <c r="CO1034" i="1"/>
  <c r="CK1035" i="1"/>
  <c r="CS1035" i="1" s="1"/>
  <c r="CT1035" i="1" s="1"/>
  <c r="CA1037" i="1"/>
  <c r="CK1037" i="1"/>
  <c r="CM1038" i="1"/>
  <c r="CF1040" i="1"/>
  <c r="CN1042" i="1"/>
  <c r="CL1043" i="1"/>
  <c r="CK1044" i="1"/>
  <c r="CS1044" i="1" s="1"/>
  <c r="CT1044" i="1" s="1"/>
  <c r="CO1044" i="1"/>
  <c r="W1045" i="1"/>
  <c r="BX1046" i="1"/>
  <c r="CP1046" i="1"/>
  <c r="CO1046" i="1"/>
  <c r="CN1046" i="1"/>
  <c r="CS1046" i="1" s="1"/>
  <c r="CT1046" i="1" s="1"/>
  <c r="CB1049" i="1"/>
  <c r="CA1049" i="1"/>
  <c r="CH1049" i="1"/>
  <c r="AD1049" i="1"/>
  <c r="CL1049" i="1" s="1"/>
  <c r="CG1049" i="1"/>
  <c r="CF1049" i="1"/>
  <c r="CD1049" i="1"/>
  <c r="CI1050" i="1"/>
  <c r="CI1052" i="1"/>
  <c r="CI1060" i="1"/>
  <c r="CK980" i="1"/>
  <c r="CK982" i="1"/>
  <c r="CP995" i="1"/>
  <c r="CS995" i="1" s="1"/>
  <c r="CT995" i="1" s="1"/>
  <c r="CP1010" i="1"/>
  <c r="CR1012" i="1"/>
  <c r="CK1015" i="1"/>
  <c r="CM1016" i="1"/>
  <c r="CK1017" i="1"/>
  <c r="CS1017" i="1" s="1"/>
  <c r="CT1017" i="1" s="1"/>
  <c r="CF1020" i="1"/>
  <c r="CO1022" i="1"/>
  <c r="CP1023" i="1"/>
  <c r="BX1024" i="1"/>
  <c r="CL1025" i="1"/>
  <c r="BS1026" i="1"/>
  <c r="CC1026" i="1"/>
  <c r="CL1027" i="1"/>
  <c r="CB1028" i="1"/>
  <c r="CN1030" i="1"/>
  <c r="CE1031" i="1"/>
  <c r="BI1033" i="1"/>
  <c r="CN1033" i="1" s="1"/>
  <c r="CP1034" i="1"/>
  <c r="CL1035" i="1"/>
  <c r="CB1036" i="1"/>
  <c r="BI1036" i="1"/>
  <c r="CC1036" i="1"/>
  <c r="CL1037" i="1"/>
  <c r="CA1041" i="1"/>
  <c r="CG1041" i="1"/>
  <c r="CE1041" i="1"/>
  <c r="AD1041" i="1"/>
  <c r="CL1041" i="1" s="1"/>
  <c r="CC1041" i="1"/>
  <c r="BS1041" i="1"/>
  <c r="CH1041" i="1"/>
  <c r="CO1042" i="1"/>
  <c r="CM1043" i="1"/>
  <c r="CL1044" i="1"/>
  <c r="CQ1044" i="1"/>
  <c r="CL1045" i="1"/>
  <c r="CQ1047" i="1"/>
  <c r="CK1047" i="1"/>
  <c r="CO1050" i="1"/>
  <c r="CN1050" i="1"/>
  <c r="CM1050" i="1"/>
  <c r="CL1050" i="1"/>
  <c r="CS1050" i="1" s="1"/>
  <c r="CT1050" i="1" s="1"/>
  <c r="CR1050" i="1"/>
  <c r="CQ1050" i="1"/>
  <c r="CO1052" i="1"/>
  <c r="CN1052" i="1"/>
  <c r="CM1052" i="1"/>
  <c r="CL1052" i="1"/>
  <c r="CQ1052" i="1"/>
  <c r="CL1077" i="1"/>
  <c r="CK1077" i="1"/>
  <c r="CR1077" i="1"/>
  <c r="CQ1077" i="1"/>
  <c r="BX1077" i="1"/>
  <c r="CP1077" i="1"/>
  <c r="CO1077" i="1"/>
  <c r="CN1077" i="1"/>
  <c r="CK1078" i="1"/>
  <c r="CR1078" i="1"/>
  <c r="CQ1078" i="1"/>
  <c r="BX1078" i="1"/>
  <c r="CP1078" i="1"/>
  <c r="CO1078" i="1"/>
  <c r="CN1078" i="1"/>
  <c r="CM1078" i="1"/>
  <c r="CQ1144" i="1"/>
  <c r="BX1144" i="1"/>
  <c r="CO1144" i="1"/>
  <c r="CN1144" i="1"/>
  <c r="CM1144" i="1"/>
  <c r="CR1144" i="1"/>
  <c r="CP1144" i="1"/>
  <c r="CL1144" i="1"/>
  <c r="CK1144" i="1"/>
  <c r="CS1144" i="1" s="1"/>
  <c r="CT1144" i="1" s="1"/>
  <c r="CO962" i="1"/>
  <c r="CO964" i="1"/>
  <c r="CO966" i="1"/>
  <c r="CO968" i="1"/>
  <c r="CL982" i="1"/>
  <c r="CR984" i="1"/>
  <c r="CN985" i="1"/>
  <c r="CR986" i="1"/>
  <c r="CN987" i="1"/>
  <c r="BX995" i="1"/>
  <c r="CQ995" i="1"/>
  <c r="CM996" i="1"/>
  <c r="CR998" i="1"/>
  <c r="CN999" i="1"/>
  <c r="CR1000" i="1"/>
  <c r="CN1001" i="1"/>
  <c r="CK1005" i="1"/>
  <c r="CS1005" i="1" s="1"/>
  <c r="CT1005" i="1" s="1"/>
  <c r="BX1010" i="1"/>
  <c r="CQ1010" i="1"/>
  <c r="CN1011" i="1"/>
  <c r="CK1012" i="1"/>
  <c r="BS1015" i="1"/>
  <c r="CC1015" i="1"/>
  <c r="CL1015" i="1"/>
  <c r="CN1016" i="1"/>
  <c r="BS1017" i="1"/>
  <c r="CC1017" i="1"/>
  <c r="CL1017" i="1"/>
  <c r="BX1018" i="1"/>
  <c r="CH1018" i="1"/>
  <c r="CI1018" i="1" s="1"/>
  <c r="CQ1018" i="1"/>
  <c r="AD1020" i="1"/>
  <c r="CG1020" i="1"/>
  <c r="BX1023" i="1"/>
  <c r="CQ1023" i="1"/>
  <c r="CR1024" i="1"/>
  <c r="CM1025" i="1"/>
  <c r="AD1026" i="1"/>
  <c r="CD1026" i="1"/>
  <c r="CD1027" i="1"/>
  <c r="CM1027" i="1"/>
  <c r="BS1028" i="1"/>
  <c r="CC1028" i="1"/>
  <c r="CF1030" i="1"/>
  <c r="CO1030" i="1"/>
  <c r="CF1031" i="1"/>
  <c r="CN1032" i="1"/>
  <c r="BS1033" i="1"/>
  <c r="CC1033" i="1"/>
  <c r="CI1033" i="1" s="1"/>
  <c r="CL1033" i="1"/>
  <c r="BX1034" i="1"/>
  <c r="CQ1034" i="1"/>
  <c r="CM1035" i="1"/>
  <c r="BS1036" i="1"/>
  <c r="CD1036" i="1"/>
  <c r="BS1037" i="1"/>
  <c r="CC1037" i="1"/>
  <c r="CM1037" i="1"/>
  <c r="CO1038" i="1"/>
  <c r="CQ1039" i="1"/>
  <c r="CK1040" i="1"/>
  <c r="CP1042" i="1"/>
  <c r="CN1043" i="1"/>
  <c r="AD1045" i="1"/>
  <c r="CP1045" i="1" s="1"/>
  <c r="CR1047" i="1"/>
  <c r="CM1047" i="1"/>
  <c r="BX1048" i="1"/>
  <c r="CP1048" i="1"/>
  <c r="CO1048" i="1"/>
  <c r="CK1049" i="1"/>
  <c r="CE1049" i="1"/>
  <c r="CR1056" i="1"/>
  <c r="CS1057" i="1"/>
  <c r="CT1057" i="1" s="1"/>
  <c r="CS1061" i="1"/>
  <c r="CT1061" i="1" s="1"/>
  <c r="CO1064" i="1"/>
  <c r="CN1064" i="1"/>
  <c r="CM1064" i="1"/>
  <c r="CL1064" i="1"/>
  <c r="CK1064" i="1"/>
  <c r="CR1064" i="1"/>
  <c r="CQ1064" i="1"/>
  <c r="BX1064" i="1"/>
  <c r="CP1083" i="1"/>
  <c r="CR1083" i="1"/>
  <c r="BX1083" i="1"/>
  <c r="CQ1083" i="1"/>
  <c r="CO1083" i="1"/>
  <c r="CN1083" i="1"/>
  <c r="CM1083" i="1"/>
  <c r="CS1083" i="1" s="1"/>
  <c r="CT1083" i="1" s="1"/>
  <c r="CL1083" i="1"/>
  <c r="CI1091" i="1"/>
  <c r="CI1092" i="1"/>
  <c r="CI1098" i="1"/>
  <c r="CI1099" i="1"/>
  <c r="CI1133" i="1"/>
  <c r="CM980" i="1"/>
  <c r="CM982" i="1"/>
  <c r="CK984" i="1"/>
  <c r="CS984" i="1" s="1"/>
  <c r="CT984" i="1" s="1"/>
  <c r="CO985" i="1"/>
  <c r="CK986" i="1"/>
  <c r="CO987" i="1"/>
  <c r="CR995" i="1"/>
  <c r="CN996" i="1"/>
  <c r="CK998" i="1"/>
  <c r="CO999" i="1"/>
  <c r="CK1000" i="1"/>
  <c r="CO1001" i="1"/>
  <c r="CR1010" i="1"/>
  <c r="CO1011" i="1"/>
  <c r="CL1012" i="1"/>
  <c r="CD1015" i="1"/>
  <c r="CM1015" i="1"/>
  <c r="CD1017" i="1"/>
  <c r="CM1017" i="1"/>
  <c r="CR1018" i="1"/>
  <c r="CH1020" i="1"/>
  <c r="BX1022" i="1"/>
  <c r="CQ1022" i="1"/>
  <c r="CR1023" i="1"/>
  <c r="CK1024" i="1"/>
  <c r="CE1026" i="1"/>
  <c r="CE1027" i="1"/>
  <c r="CN1027" i="1"/>
  <c r="CD1028" i="1"/>
  <c r="CG1030" i="1"/>
  <c r="CP1030" i="1"/>
  <c r="CG1031" i="1"/>
  <c r="CO1032" i="1"/>
  <c r="CD1033" i="1"/>
  <c r="CM1033" i="1"/>
  <c r="CR1034" i="1"/>
  <c r="CN1035" i="1"/>
  <c r="CE1036" i="1"/>
  <c r="CD1037" i="1"/>
  <c r="CN1037" i="1"/>
  <c r="CP1038" i="1"/>
  <c r="CR1040" i="1"/>
  <c r="BX1040" i="1"/>
  <c r="M1042" i="1"/>
  <c r="CN1044" i="1"/>
  <c r="CN1045" i="1"/>
  <c r="BT1047" i="1"/>
  <c r="CL1048" i="1"/>
  <c r="CS1048" i="1" s="1"/>
  <c r="CT1048" i="1" s="1"/>
  <c r="CM1053" i="1"/>
  <c r="CL1053" i="1"/>
  <c r="CK1053" i="1"/>
  <c r="CR1053" i="1"/>
  <c r="CQ1053" i="1"/>
  <c r="BX1053" i="1"/>
  <c r="CO1053" i="1"/>
  <c r="CI1057" i="1"/>
  <c r="CI1061" i="1"/>
  <c r="CI1064" i="1"/>
  <c r="CP1064" i="1"/>
  <c r="BX1030" i="1"/>
  <c r="CP1035" i="1"/>
  <c r="CF1036" i="1"/>
  <c r="CE1037" i="1"/>
  <c r="CR1038" i="1"/>
  <c r="CM1039" i="1"/>
  <c r="CO1039" i="1"/>
  <c r="W1040" i="1"/>
  <c r="CG1040" i="1"/>
  <c r="CA1040" i="1"/>
  <c r="CB1040" i="1"/>
  <c r="CN1041" i="1"/>
  <c r="CR1042" i="1"/>
  <c r="CP1043" i="1"/>
  <c r="CQ1046" i="1"/>
  <c r="CA1047" i="1"/>
  <c r="CM1049" i="1"/>
  <c r="CI1051" i="1"/>
  <c r="CD1074" i="1"/>
  <c r="CC1074" i="1"/>
  <c r="BS1074" i="1"/>
  <c r="BI1074" i="1"/>
  <c r="CK1100" i="1"/>
  <c r="CP1100" i="1"/>
  <c r="CO1100" i="1"/>
  <c r="CM1100" i="1"/>
  <c r="BX1100" i="1"/>
  <c r="CR1100" i="1"/>
  <c r="CQ1100" i="1"/>
  <c r="CN1100" i="1"/>
  <c r="CL1100" i="1"/>
  <c r="CA1042" i="1"/>
  <c r="CG1043" i="1"/>
  <c r="CE1044" i="1"/>
  <c r="BS1045" i="1"/>
  <c r="BS1046" i="1"/>
  <c r="CC1046" i="1"/>
  <c r="BS1047" i="1"/>
  <c r="CC1047" i="1"/>
  <c r="BS1048" i="1"/>
  <c r="CC1048" i="1"/>
  <c r="CI1048" i="1" s="1"/>
  <c r="CN1051" i="1"/>
  <c r="CR1052" i="1"/>
  <c r="CG1054" i="1"/>
  <c r="CM1055" i="1"/>
  <c r="CM1057" i="1"/>
  <c r="CK1059" i="1"/>
  <c r="CM1061" i="1"/>
  <c r="BS1063" i="1"/>
  <c r="CC1063" i="1"/>
  <c r="CN1065" i="1"/>
  <c r="CK1066" i="1"/>
  <c r="CO1067" i="1"/>
  <c r="CK1068" i="1"/>
  <c r="CO1069" i="1"/>
  <c r="CK1070" i="1"/>
  <c r="CH1071" i="1"/>
  <c r="CF1072" i="1"/>
  <c r="CH1073" i="1"/>
  <c r="CB1074" i="1"/>
  <c r="CI1074" i="1" s="1"/>
  <c r="CD1075" i="1"/>
  <c r="CE1077" i="1"/>
  <c r="CD1078" i="1"/>
  <c r="BX1079" i="1"/>
  <c r="CH1079" i="1"/>
  <c r="CD1080" i="1"/>
  <c r="CR1081" i="1"/>
  <c r="CN1082" i="1"/>
  <c r="BS1083" i="1"/>
  <c r="CC1083" i="1"/>
  <c r="CI1083" i="1" s="1"/>
  <c r="CD1084" i="1"/>
  <c r="CO1086" i="1"/>
  <c r="CQ1088" i="1"/>
  <c r="BX1088" i="1"/>
  <c r="CK1088" i="1"/>
  <c r="CS1088" i="1" s="1"/>
  <c r="CT1088" i="1" s="1"/>
  <c r="CF1089" i="1"/>
  <c r="CP1089" i="1"/>
  <c r="CQ1090" i="1"/>
  <c r="BX1091" i="1"/>
  <c r="CR1091" i="1"/>
  <c r="BX1093" i="1"/>
  <c r="CR1093" i="1"/>
  <c r="CQ1097" i="1"/>
  <c r="BX1098" i="1"/>
  <c r="CR1098" i="1"/>
  <c r="CF1101" i="1"/>
  <c r="CE1101" i="1"/>
  <c r="CD1101" i="1"/>
  <c r="CC1101" i="1"/>
  <c r="BS1101" i="1"/>
  <c r="CB1101" i="1"/>
  <c r="CH1101" i="1"/>
  <c r="CA1101" i="1"/>
  <c r="CI1101" i="1" s="1"/>
  <c r="CI1106" i="1"/>
  <c r="CI1108" i="1"/>
  <c r="CC1110" i="1"/>
  <c r="CI1126" i="1"/>
  <c r="CO1134" i="1"/>
  <c r="CN1134" i="1"/>
  <c r="CM1134" i="1"/>
  <c r="CL1134" i="1"/>
  <c r="CK1134" i="1"/>
  <c r="CR1134" i="1"/>
  <c r="CQ1134" i="1"/>
  <c r="BX1134" i="1"/>
  <c r="CN1146" i="1"/>
  <c r="CL1146" i="1"/>
  <c r="CK1146" i="1"/>
  <c r="CR1146" i="1"/>
  <c r="CP1146" i="1"/>
  <c r="CO1146" i="1"/>
  <c r="CM1146" i="1"/>
  <c r="BX1146" i="1"/>
  <c r="CP1067" i="1"/>
  <c r="CP1069" i="1"/>
  <c r="CA1071" i="1"/>
  <c r="CA1073" i="1"/>
  <c r="CI1073" i="1" s="1"/>
  <c r="CE1075" i="1"/>
  <c r="CA1079" i="1"/>
  <c r="CK1081" i="1"/>
  <c r="CQ1089" i="1"/>
  <c r="CM1099" i="1"/>
  <c r="CO1099" i="1"/>
  <c r="CK1112" i="1"/>
  <c r="CR1112" i="1"/>
  <c r="CQ1112" i="1"/>
  <c r="BX1112" i="1"/>
  <c r="CP1112" i="1"/>
  <c r="CO1112" i="1"/>
  <c r="CN1112" i="1"/>
  <c r="CM1112" i="1"/>
  <c r="BT1113" i="1"/>
  <c r="AD1113" i="1"/>
  <c r="CR1116" i="1"/>
  <c r="CQ1116" i="1"/>
  <c r="BX1116" i="1"/>
  <c r="CO1116" i="1"/>
  <c r="CM1116" i="1"/>
  <c r="CL1116" i="1"/>
  <c r="CS1116" i="1" s="1"/>
  <c r="CT1116" i="1" s="1"/>
  <c r="CO1132" i="1"/>
  <c r="CI1134" i="1"/>
  <c r="BS1042" i="1"/>
  <c r="CC1042" i="1"/>
  <c r="CP1051" i="1"/>
  <c r="CA1054" i="1"/>
  <c r="CO1055" i="1"/>
  <c r="CO1057" i="1"/>
  <c r="CR1060" i="1"/>
  <c r="CO1061" i="1"/>
  <c r="CE1063" i="1"/>
  <c r="CP1065" i="1"/>
  <c r="BX1067" i="1"/>
  <c r="CQ1067" i="1"/>
  <c r="BX1069" i="1"/>
  <c r="CQ1069" i="1"/>
  <c r="AD1071" i="1"/>
  <c r="CB1071" i="1"/>
  <c r="BI1073" i="1"/>
  <c r="AD1075" i="1"/>
  <c r="CF1075" i="1"/>
  <c r="CG1077" i="1"/>
  <c r="CF1078" i="1"/>
  <c r="BI1079" i="1"/>
  <c r="CO1079" i="1" s="1"/>
  <c r="CB1079" i="1"/>
  <c r="CF1080" i="1"/>
  <c r="CL1081" i="1"/>
  <c r="CP1082" i="1"/>
  <c r="CI1087" i="1"/>
  <c r="CR1089" i="1"/>
  <c r="BX1090" i="1"/>
  <c r="CK1091" i="1"/>
  <c r="CK1093" i="1"/>
  <c r="CK1098" i="1"/>
  <c r="CK1099" i="1"/>
  <c r="CO1101" i="1"/>
  <c r="CN1101" i="1"/>
  <c r="CM1101" i="1"/>
  <c r="CL1101" i="1"/>
  <c r="CK1101" i="1"/>
  <c r="CQ1101" i="1"/>
  <c r="BX1101" i="1"/>
  <c r="CL1112" i="1"/>
  <c r="CI1119" i="1"/>
  <c r="CI1135" i="1"/>
  <c r="CI1149" i="1"/>
  <c r="CP1055" i="1"/>
  <c r="CP1057" i="1"/>
  <c r="CK1060" i="1"/>
  <c r="CP1061" i="1"/>
  <c r="CF1063" i="1"/>
  <c r="CR1067" i="1"/>
  <c r="CR1069" i="1"/>
  <c r="BS1071" i="1"/>
  <c r="CC1071" i="1"/>
  <c r="CA1072" i="1"/>
  <c r="BS1073" i="1"/>
  <c r="CC1073" i="1"/>
  <c r="CE1074" i="1"/>
  <c r="CG1075" i="1"/>
  <c r="CH1077" i="1"/>
  <c r="CG1078" i="1"/>
  <c r="BS1079" i="1"/>
  <c r="CC1079" i="1"/>
  <c r="CG1080" i="1"/>
  <c r="CM1081" i="1"/>
  <c r="BX1082" i="1"/>
  <c r="CQ1082" i="1"/>
  <c r="CH1084" i="1"/>
  <c r="CM1085" i="1"/>
  <c r="BX1085" i="1"/>
  <c r="CR1085" i="1"/>
  <c r="CS1086" i="1"/>
  <c r="CT1086" i="1" s="1"/>
  <c r="BX1086" i="1"/>
  <c r="CR1086" i="1"/>
  <c r="BX1089" i="1"/>
  <c r="CK1090" i="1"/>
  <c r="CL1091" i="1"/>
  <c r="CM1093" i="1"/>
  <c r="CQ1096" i="1"/>
  <c r="BX1096" i="1"/>
  <c r="CK1096" i="1"/>
  <c r="CK1097" i="1"/>
  <c r="CL1098" i="1"/>
  <c r="CL1099" i="1"/>
  <c r="CI1102" i="1"/>
  <c r="CI1121" i="1"/>
  <c r="CE1042" i="1"/>
  <c r="BS1043" i="1"/>
  <c r="CC1043" i="1"/>
  <c r="CA1044" i="1"/>
  <c r="CI1044" i="1" s="1"/>
  <c r="CG1045" i="1"/>
  <c r="CI1045" i="1" s="1"/>
  <c r="CG1046" i="1"/>
  <c r="CG1047" i="1"/>
  <c r="CG1048" i="1"/>
  <c r="CR1051" i="1"/>
  <c r="BS1054" i="1"/>
  <c r="CC1054" i="1"/>
  <c r="BX1055" i="1"/>
  <c r="CQ1055" i="1"/>
  <c r="CS1055" i="1" s="1"/>
  <c r="CT1055" i="1" s="1"/>
  <c r="BX1057" i="1"/>
  <c r="CQ1057" i="1"/>
  <c r="CO1059" i="1"/>
  <c r="CL1060" i="1"/>
  <c r="BX1061" i="1"/>
  <c r="CQ1061" i="1"/>
  <c r="AD1063" i="1"/>
  <c r="CG1063" i="1"/>
  <c r="CR1065" i="1"/>
  <c r="CO1066" i="1"/>
  <c r="CK1067" i="1"/>
  <c r="CO1068" i="1"/>
  <c r="CK1069" i="1"/>
  <c r="CS1069" i="1" s="1"/>
  <c r="CT1069" i="1" s="1"/>
  <c r="CO1070" i="1"/>
  <c r="CD1071" i="1"/>
  <c r="AD1072" i="1"/>
  <c r="CB1072" i="1"/>
  <c r="CD1073" i="1"/>
  <c r="AD1074" i="1"/>
  <c r="CF1074" i="1"/>
  <c r="CH1075" i="1"/>
  <c r="CA1077" i="1"/>
  <c r="CI1077" i="1" s="1"/>
  <c r="CH1078" i="1"/>
  <c r="CD1079" i="1"/>
  <c r="CM1079" i="1"/>
  <c r="CH1080" i="1"/>
  <c r="CN1081" i="1"/>
  <c r="CR1082" i="1"/>
  <c r="CG1083" i="1"/>
  <c r="CO1088" i="1"/>
  <c r="CA1089" i="1"/>
  <c r="CL1089" i="1"/>
  <c r="CS1089" i="1" s="1"/>
  <c r="CT1089" i="1" s="1"/>
  <c r="CL1090" i="1"/>
  <c r="CM1091" i="1"/>
  <c r="CO1092" i="1"/>
  <c r="CS1092" i="1" s="1"/>
  <c r="CT1092" i="1" s="1"/>
  <c r="CN1093" i="1"/>
  <c r="CL1096" i="1"/>
  <c r="CL1097" i="1"/>
  <c r="CM1098" i="1"/>
  <c r="CN1099" i="1"/>
  <c r="CR1101" i="1"/>
  <c r="CI1103" i="1"/>
  <c r="CI1107" i="1"/>
  <c r="BT1111" i="1"/>
  <c r="AD1111" i="1"/>
  <c r="CP1116" i="1"/>
  <c r="CP1122" i="1"/>
  <c r="W1044" i="1"/>
  <c r="CK1051" i="1"/>
  <c r="CS1051" i="1" s="1"/>
  <c r="CT1051" i="1" s="1"/>
  <c r="CD1054" i="1"/>
  <c r="CR1055" i="1"/>
  <c r="CR1057" i="1"/>
  <c r="CP1059" i="1"/>
  <c r="CM1060" i="1"/>
  <c r="CR1061" i="1"/>
  <c r="CH1063" i="1"/>
  <c r="CK1065" i="1"/>
  <c r="CP1066" i="1"/>
  <c r="CL1067" i="1"/>
  <c r="CP1068" i="1"/>
  <c r="CL1069" i="1"/>
  <c r="CP1070" i="1"/>
  <c r="CE1071" i="1"/>
  <c r="BS1072" i="1"/>
  <c r="CC1072" i="1"/>
  <c r="CE1073" i="1"/>
  <c r="CG1074" i="1"/>
  <c r="CA1075" i="1"/>
  <c r="CB1077" i="1"/>
  <c r="CA1078" i="1"/>
  <c r="CI1078" i="1" s="1"/>
  <c r="CE1079" i="1"/>
  <c r="CA1080" i="1"/>
  <c r="CI1080" i="1" s="1"/>
  <c r="CK1082" i="1"/>
  <c r="CA1084" i="1"/>
  <c r="CK1085" i="1"/>
  <c r="CS1085" i="1" s="1"/>
  <c r="CT1085" i="1" s="1"/>
  <c r="CM1089" i="1"/>
  <c r="CN1091" i="1"/>
  <c r="CO1093" i="1"/>
  <c r="CI1095" i="1"/>
  <c r="CN1098" i="1"/>
  <c r="CP1099" i="1"/>
  <c r="CI1109" i="1"/>
  <c r="CK1114" i="1"/>
  <c r="CR1114" i="1"/>
  <c r="CQ1114" i="1"/>
  <c r="BX1114" i="1"/>
  <c r="CP1114" i="1"/>
  <c r="CO1114" i="1"/>
  <c r="CN1114" i="1"/>
  <c r="CM1114" i="1"/>
  <c r="BT1115" i="1"/>
  <c r="AD1115" i="1"/>
  <c r="CI1123" i="1"/>
  <c r="BS1044" i="1"/>
  <c r="W1049" i="1"/>
  <c r="AD1054" i="1"/>
  <c r="BX1059" i="1"/>
  <c r="BX1066" i="1"/>
  <c r="BX1068" i="1"/>
  <c r="BX1070" i="1"/>
  <c r="AD1073" i="1"/>
  <c r="BS1077" i="1"/>
  <c r="BI1080" i="1"/>
  <c r="AD1084" i="1"/>
  <c r="CB1084" i="1"/>
  <c r="CL1085" i="1"/>
  <c r="CM1086" i="1"/>
  <c r="CN1089" i="1"/>
  <c r="CN1090" i="1"/>
  <c r="CP1091" i="1"/>
  <c r="CP1093" i="1"/>
  <c r="CN1096" i="1"/>
  <c r="CN1097" i="1"/>
  <c r="CP1098" i="1"/>
  <c r="CQ1099" i="1"/>
  <c r="CK1102" i="1"/>
  <c r="CR1102" i="1"/>
  <c r="CQ1102" i="1"/>
  <c r="BX1102" i="1"/>
  <c r="CP1102" i="1"/>
  <c r="CO1102" i="1"/>
  <c r="CN1102" i="1"/>
  <c r="CM1102" i="1"/>
  <c r="CB1110" i="1"/>
  <c r="CA1110" i="1"/>
  <c r="CH1110" i="1"/>
  <c r="CG1110" i="1"/>
  <c r="CF1110" i="1"/>
  <c r="CE1110" i="1"/>
  <c r="AD1110" i="1"/>
  <c r="CD1110" i="1"/>
  <c r="CL1114" i="1"/>
  <c r="CD1124" i="1"/>
  <c r="CC1124" i="1"/>
  <c r="BS1124" i="1"/>
  <c r="CB1124" i="1"/>
  <c r="CA1124" i="1"/>
  <c r="CH1124" i="1"/>
  <c r="CG1124" i="1"/>
  <c r="CF1124" i="1"/>
  <c r="AD1124" i="1"/>
  <c r="CE1124" i="1"/>
  <c r="CD1127" i="1"/>
  <c r="CC1127" i="1"/>
  <c r="BS1127" i="1"/>
  <c r="CB1127" i="1"/>
  <c r="CA1127" i="1"/>
  <c r="CH1127" i="1"/>
  <c r="CG1127" i="1"/>
  <c r="CF1127" i="1"/>
  <c r="AD1127" i="1"/>
  <c r="CE1127" i="1"/>
  <c r="CR1140" i="1"/>
  <c r="BW1157" i="1"/>
  <c r="BI1157" i="1"/>
  <c r="BV1168" i="1"/>
  <c r="BI1168" i="1"/>
  <c r="CG1104" i="1"/>
  <c r="CA1105" i="1"/>
  <c r="CI1105" i="1" s="1"/>
  <c r="CM1107" i="1"/>
  <c r="CM1109" i="1"/>
  <c r="BS1116" i="1"/>
  <c r="CC1116" i="1"/>
  <c r="CF1117" i="1"/>
  <c r="CK1120" i="1"/>
  <c r="BX1122" i="1"/>
  <c r="CQ1122" i="1"/>
  <c r="CM1123" i="1"/>
  <c r="CS1123" i="1" s="1"/>
  <c r="CT1123" i="1" s="1"/>
  <c r="CR1125" i="1"/>
  <c r="CR1128" i="1"/>
  <c r="CM1129" i="1"/>
  <c r="CM1131" i="1"/>
  <c r="BX1132" i="1"/>
  <c r="CH1132" i="1"/>
  <c r="BS1133" i="1"/>
  <c r="CC1133" i="1"/>
  <c r="CE1136" i="1"/>
  <c r="CQ1137" i="1"/>
  <c r="CQ1138" i="1"/>
  <c r="CL1141" i="1"/>
  <c r="CE1145" i="1"/>
  <c r="CI1171" i="1"/>
  <c r="CI1173" i="1"/>
  <c r="CI1178" i="1"/>
  <c r="CI1179" i="1"/>
  <c r="CK1182" i="1"/>
  <c r="CR1182" i="1"/>
  <c r="CQ1182" i="1"/>
  <c r="BX1182" i="1"/>
  <c r="CP1182" i="1"/>
  <c r="CO1182" i="1"/>
  <c r="CN1182" i="1"/>
  <c r="CM1182" i="1"/>
  <c r="CI1183" i="1"/>
  <c r="CI1186" i="1"/>
  <c r="CQ1224" i="1"/>
  <c r="CP1224" i="1"/>
  <c r="CO1224" i="1"/>
  <c r="CN1224" i="1"/>
  <c r="CM1224" i="1"/>
  <c r="CL1224" i="1"/>
  <c r="CK1224" i="1"/>
  <c r="CR1224" i="1"/>
  <c r="BX1224" i="1"/>
  <c r="AD1104" i="1"/>
  <c r="CH1104" i="1"/>
  <c r="BI1105" i="1"/>
  <c r="CB1105" i="1"/>
  <c r="CR1106" i="1"/>
  <c r="CN1107" i="1"/>
  <c r="CK1108" i="1"/>
  <c r="CN1109" i="1"/>
  <c r="CA1111" i="1"/>
  <c r="CI1111" i="1" s="1"/>
  <c r="CA1113" i="1"/>
  <c r="CI1113" i="1" s="1"/>
  <c r="CA1115" i="1"/>
  <c r="CD1116" i="1"/>
  <c r="CG1117" i="1"/>
  <c r="CL1120" i="1"/>
  <c r="CP1121" i="1"/>
  <c r="CA1122" i="1"/>
  <c r="CR1122" i="1"/>
  <c r="CN1123" i="1"/>
  <c r="CK1125" i="1"/>
  <c r="CK1128" i="1"/>
  <c r="CN1129" i="1"/>
  <c r="CA1130" i="1"/>
  <c r="CN1131" i="1"/>
  <c r="CA1132" i="1"/>
  <c r="CD1133" i="1"/>
  <c r="CD1135" i="1"/>
  <c r="AD1136" i="1"/>
  <c r="CF1136" i="1"/>
  <c r="BX1137" i="1"/>
  <c r="CH1137" i="1"/>
  <c r="CR1137" i="1"/>
  <c r="BX1138" i="1"/>
  <c r="CR1138" i="1"/>
  <c r="BX1139" i="1"/>
  <c r="CM1141" i="1"/>
  <c r="CS1141" i="1" s="1"/>
  <c r="CT1141" i="1" s="1"/>
  <c r="CL1143" i="1"/>
  <c r="CR1143" i="1"/>
  <c r="CQ1143" i="1"/>
  <c r="BX1143" i="1"/>
  <c r="CP1143" i="1"/>
  <c r="CN1143" i="1"/>
  <c r="CS1143" i="1" s="1"/>
  <c r="CT1143" i="1" s="1"/>
  <c r="CQ1150" i="1"/>
  <c r="BX1150" i="1"/>
  <c r="CO1150" i="1"/>
  <c r="CN1150" i="1"/>
  <c r="CM1150" i="1"/>
  <c r="CK1150" i="1"/>
  <c r="CQ1151" i="1"/>
  <c r="BX1151" i="1"/>
  <c r="CO1151" i="1"/>
  <c r="CN1151" i="1"/>
  <c r="CM1151" i="1"/>
  <c r="CL1151" i="1"/>
  <c r="BI1152" i="1"/>
  <c r="CM1153" i="1"/>
  <c r="CL1153" i="1"/>
  <c r="BI1153" i="1"/>
  <c r="CP1153" i="1" s="1"/>
  <c r="CQ1161" i="1"/>
  <c r="BX1161" i="1"/>
  <c r="CO1161" i="1"/>
  <c r="CN1161" i="1"/>
  <c r="CM1161" i="1"/>
  <c r="CL1161" i="1"/>
  <c r="CN1162" i="1"/>
  <c r="CL1162" i="1"/>
  <c r="CK1162" i="1"/>
  <c r="CR1162" i="1"/>
  <c r="CQ1162" i="1"/>
  <c r="BX1162" i="1"/>
  <c r="CL1175" i="1"/>
  <c r="CK1175" i="1"/>
  <c r="CS1175" i="1" s="1"/>
  <c r="CT1175" i="1" s="1"/>
  <c r="CR1175" i="1"/>
  <c r="CQ1175" i="1"/>
  <c r="BX1175" i="1"/>
  <c r="CP1175" i="1"/>
  <c r="CO1175" i="1"/>
  <c r="CN1175" i="1"/>
  <c r="CM1175" i="1"/>
  <c r="CM1192" i="1"/>
  <c r="CL1192" i="1"/>
  <c r="CR1192" i="1"/>
  <c r="BM1192" i="1" s="1"/>
  <c r="AH1192" i="1" s="1"/>
  <c r="CW1192" i="1" s="1"/>
  <c r="CQ1192" i="1"/>
  <c r="BL1192" i="1" s="1"/>
  <c r="AG1192" i="1" s="1"/>
  <c r="CV1192" i="1" s="1"/>
  <c r="CO1192" i="1"/>
  <c r="CN1192" i="1"/>
  <c r="CK1192" i="1"/>
  <c r="CS1192" i="1" s="1"/>
  <c r="CT1192" i="1" s="1"/>
  <c r="BO1192" i="1" s="1"/>
  <c r="AJ1192" i="1" s="1"/>
  <c r="CY1192" i="1" s="1"/>
  <c r="BX1192" i="1"/>
  <c r="CN1103" i="1"/>
  <c r="CA1104" i="1"/>
  <c r="BS1105" i="1"/>
  <c r="CC1105" i="1"/>
  <c r="CK1106" i="1"/>
  <c r="CO1107" i="1"/>
  <c r="CL1108" i="1"/>
  <c r="CO1109" i="1"/>
  <c r="CB1111" i="1"/>
  <c r="CF1112" i="1"/>
  <c r="CI1112" i="1" s="1"/>
  <c r="CB1113" i="1"/>
  <c r="CF1114" i="1"/>
  <c r="CI1114" i="1" s="1"/>
  <c r="CB1115" i="1"/>
  <c r="CE1116" i="1"/>
  <c r="CN1116" i="1"/>
  <c r="CH1117" i="1"/>
  <c r="CK1118" i="1"/>
  <c r="CP1119" i="1"/>
  <c r="CS1119" i="1" s="1"/>
  <c r="CT1119" i="1" s="1"/>
  <c r="CM1120" i="1"/>
  <c r="BX1121" i="1"/>
  <c r="CQ1121" i="1"/>
  <c r="CB1122" i="1"/>
  <c r="CK1122" i="1"/>
  <c r="CO1123" i="1"/>
  <c r="BS1125" i="1"/>
  <c r="CC1125" i="1"/>
  <c r="CI1125" i="1" s="1"/>
  <c r="CL1125" i="1"/>
  <c r="CF1126" i="1"/>
  <c r="BS1128" i="1"/>
  <c r="CC1128" i="1"/>
  <c r="CI1128" i="1" s="1"/>
  <c r="CL1128" i="1"/>
  <c r="CF1129" i="1"/>
  <c r="CO1129" i="1"/>
  <c r="CS1129" i="1" s="1"/>
  <c r="CT1129" i="1" s="1"/>
  <c r="BI1130" i="1"/>
  <c r="CP1130" i="1" s="1"/>
  <c r="CB1130" i="1"/>
  <c r="CF1131" i="1"/>
  <c r="CI1131" i="1" s="1"/>
  <c r="CO1131" i="1"/>
  <c r="BI1132" i="1"/>
  <c r="CP1132" i="1" s="1"/>
  <c r="CB1132" i="1"/>
  <c r="CK1132" i="1"/>
  <c r="CE1133" i="1"/>
  <c r="CG1136" i="1"/>
  <c r="CA1137" i="1"/>
  <c r="CC1140" i="1"/>
  <c r="BS1140" i="1"/>
  <c r="CB1140" i="1"/>
  <c r="BI1140" i="1"/>
  <c r="CO1140" i="1" s="1"/>
  <c r="CE1140" i="1"/>
  <c r="CP1141" i="1"/>
  <c r="CO1143" i="1"/>
  <c r="CL1150" i="1"/>
  <c r="CP1151" i="1"/>
  <c r="CI1162" i="1"/>
  <c r="CM1162" i="1"/>
  <c r="CI1181" i="1"/>
  <c r="CN1185" i="1"/>
  <c r="CI1189" i="1"/>
  <c r="BW1102" i="1"/>
  <c r="CP1107" i="1"/>
  <c r="CP1109" i="1"/>
  <c r="CA1117" i="1"/>
  <c r="CP1123" i="1"/>
  <c r="AD1126" i="1"/>
  <c r="CG1126" i="1"/>
  <c r="CD1128" i="1"/>
  <c r="CM1128" i="1"/>
  <c r="CG1129" i="1"/>
  <c r="CI1129" i="1" s="1"/>
  <c r="CP1129" i="1"/>
  <c r="BS1130" i="1"/>
  <c r="CC1130" i="1"/>
  <c r="CG1131" i="1"/>
  <c r="CP1131" i="1"/>
  <c r="BS1132" i="1"/>
  <c r="CC1132" i="1"/>
  <c r="CL1132" i="1"/>
  <c r="AD1133" i="1"/>
  <c r="CF1133" i="1"/>
  <c r="CF1135" i="1"/>
  <c r="CH1136" i="1"/>
  <c r="CB1137" i="1"/>
  <c r="CK1137" i="1"/>
  <c r="CS1137" i="1" s="1"/>
  <c r="CT1137" i="1" s="1"/>
  <c r="CL1138" i="1"/>
  <c r="CK1139" i="1"/>
  <c r="CQ1141" i="1"/>
  <c r="CN1142" i="1"/>
  <c r="CL1142" i="1"/>
  <c r="CK1142" i="1"/>
  <c r="CR1142" i="1"/>
  <c r="BI1158" i="1"/>
  <c r="BW1158" i="1"/>
  <c r="CI1160" i="1"/>
  <c r="CK1161" i="1"/>
  <c r="CO1162" i="1"/>
  <c r="CP1103" i="1"/>
  <c r="BS1104" i="1"/>
  <c r="CC1104" i="1"/>
  <c r="CM1106" i="1"/>
  <c r="BX1107" i="1"/>
  <c r="CQ1107" i="1"/>
  <c r="CN1108" i="1"/>
  <c r="BX1109" i="1"/>
  <c r="CQ1109" i="1"/>
  <c r="CD1111" i="1"/>
  <c r="CD1113" i="1"/>
  <c r="CD1115" i="1"/>
  <c r="CG1116" i="1"/>
  <c r="BI1117" i="1"/>
  <c r="CO1117" i="1" s="1"/>
  <c r="CB1117" i="1"/>
  <c r="CK1117" i="1"/>
  <c r="CM1118" i="1"/>
  <c r="CO1120" i="1"/>
  <c r="CK1121" i="1"/>
  <c r="CS1121" i="1" s="1"/>
  <c r="CT1121" i="1" s="1"/>
  <c r="CD1122" i="1"/>
  <c r="CM1122" i="1"/>
  <c r="BX1123" i="1"/>
  <c r="CQ1123" i="1"/>
  <c r="CE1125" i="1"/>
  <c r="CN1125" i="1"/>
  <c r="CE1128" i="1"/>
  <c r="CN1128" i="1"/>
  <c r="BX1129" i="1"/>
  <c r="CH1129" i="1"/>
  <c r="CQ1129" i="1"/>
  <c r="CD1130" i="1"/>
  <c r="BX1131" i="1"/>
  <c r="CH1131" i="1"/>
  <c r="CQ1131" i="1"/>
  <c r="CS1131" i="1" s="1"/>
  <c r="CT1131" i="1" s="1"/>
  <c r="CD1132" i="1"/>
  <c r="CM1132" i="1"/>
  <c r="CG1133" i="1"/>
  <c r="AD1135" i="1"/>
  <c r="CG1135" i="1"/>
  <c r="CA1136" i="1"/>
  <c r="BS1137" i="1"/>
  <c r="CC1137" i="1"/>
  <c r="CL1137" i="1"/>
  <c r="CM1138" i="1"/>
  <c r="CL1139" i="1"/>
  <c r="CG1140" i="1"/>
  <c r="BX1142" i="1"/>
  <c r="CR1150" i="1"/>
  <c r="CK1152" i="1"/>
  <c r="BX1153" i="1"/>
  <c r="CF1154" i="1"/>
  <c r="CD1154" i="1"/>
  <c r="CC1154" i="1"/>
  <c r="BS1154" i="1"/>
  <c r="CB1154" i="1"/>
  <c r="BI1154" i="1"/>
  <c r="CA1154" i="1"/>
  <c r="CI1154" i="1" s="1"/>
  <c r="CE1154" i="1"/>
  <c r="BX1157" i="1"/>
  <c r="CO1159" i="1"/>
  <c r="CM1159" i="1"/>
  <c r="CL1159" i="1"/>
  <c r="CK1159" i="1"/>
  <c r="CR1159" i="1"/>
  <c r="CP1161" i="1"/>
  <c r="CP1162" i="1"/>
  <c r="CP1168" i="1"/>
  <c r="CF1174" i="1"/>
  <c r="CE1174" i="1"/>
  <c r="CD1174" i="1"/>
  <c r="AD1174" i="1"/>
  <c r="CC1174" i="1"/>
  <c r="BS1174" i="1"/>
  <c r="CB1174" i="1"/>
  <c r="CA1174" i="1"/>
  <c r="CH1174" i="1"/>
  <c r="CO1190" i="1"/>
  <c r="CM1190" i="1"/>
  <c r="CR1190" i="1"/>
  <c r="BM1190" i="1" s="1"/>
  <c r="AH1190" i="1" s="1"/>
  <c r="CW1190" i="1" s="1"/>
  <c r="CO1105" i="1"/>
  <c r="CR1107" i="1"/>
  <c r="CR1109" i="1"/>
  <c r="CE1113" i="1"/>
  <c r="CE1115" i="1"/>
  <c r="CH1116" i="1"/>
  <c r="BS1117" i="1"/>
  <c r="CC1117" i="1"/>
  <c r="CL1117" i="1"/>
  <c r="CN1122" i="1"/>
  <c r="CR1123" i="1"/>
  <c r="CO1125" i="1"/>
  <c r="CO1128" i="1"/>
  <c r="CN1130" i="1"/>
  <c r="CN1132" i="1"/>
  <c r="CN1138" i="1"/>
  <c r="CO1141" i="1"/>
  <c r="CN1141" i="1"/>
  <c r="CI1142" i="1"/>
  <c r="CM1142" i="1"/>
  <c r="CS1147" i="1"/>
  <c r="CT1147" i="1" s="1"/>
  <c r="CK1153" i="1"/>
  <c r="CD1156" i="1"/>
  <c r="CB1156" i="1"/>
  <c r="BI1156" i="1"/>
  <c r="CA1156" i="1"/>
  <c r="CH1156" i="1"/>
  <c r="CG1156" i="1"/>
  <c r="CL1160" i="1"/>
  <c r="CO1160" i="1"/>
  <c r="CN1160" i="1"/>
  <c r="CR1161" i="1"/>
  <c r="CI1168" i="1"/>
  <c r="CO1170" i="1"/>
  <c r="CN1170" i="1"/>
  <c r="CM1170" i="1"/>
  <c r="CL1170" i="1"/>
  <c r="CK1170" i="1"/>
  <c r="CR1170" i="1"/>
  <c r="CQ1170" i="1"/>
  <c r="BX1170" i="1"/>
  <c r="CO1172" i="1"/>
  <c r="CN1172" i="1"/>
  <c r="CM1172" i="1"/>
  <c r="CL1172" i="1"/>
  <c r="CK1172" i="1"/>
  <c r="CR1172" i="1"/>
  <c r="CQ1172" i="1"/>
  <c r="BX1172" i="1"/>
  <c r="CI1182" i="1"/>
  <c r="CO1185" i="1"/>
  <c r="CI1191" i="1"/>
  <c r="CO1203" i="1"/>
  <c r="CN1203" i="1"/>
  <c r="CM1203" i="1"/>
  <c r="CL1203" i="1"/>
  <c r="CK1203" i="1"/>
  <c r="CR1203" i="1"/>
  <c r="BX1203" i="1"/>
  <c r="CQ1203" i="1"/>
  <c r="CP1203" i="1"/>
  <c r="BX1120" i="1"/>
  <c r="CN1137" i="1"/>
  <c r="CO1137" i="1"/>
  <c r="CC1145" i="1"/>
  <c r="BS1145" i="1"/>
  <c r="CA1145" i="1"/>
  <c r="CH1145" i="1"/>
  <c r="CG1145" i="1"/>
  <c r="AD1145" i="1"/>
  <c r="CB1145" i="1"/>
  <c r="CS1149" i="1"/>
  <c r="CT1149" i="1" s="1"/>
  <c r="CP1165" i="1"/>
  <c r="CK1167" i="1"/>
  <c r="CS1167" i="1" s="1"/>
  <c r="CT1167" i="1" s="1"/>
  <c r="CR1168" i="1"/>
  <c r="CG1177" i="1"/>
  <c r="CK1180" i="1"/>
  <c r="CL1181" i="1"/>
  <c r="CK1184" i="1"/>
  <c r="CP1185" i="1"/>
  <c r="CK1188" i="1"/>
  <c r="CP1192" i="1"/>
  <c r="CI1195" i="1"/>
  <c r="CI1196" i="1"/>
  <c r="CA1146" i="1"/>
  <c r="CO1147" i="1"/>
  <c r="CK1148" i="1"/>
  <c r="CS1148" i="1" s="1"/>
  <c r="CT1148" i="1" s="1"/>
  <c r="CO1149" i="1"/>
  <c r="CA1155" i="1"/>
  <c r="CP1160" i="1"/>
  <c r="CO1163" i="1"/>
  <c r="CL1164" i="1"/>
  <c r="BX1165" i="1"/>
  <c r="CQ1165" i="1"/>
  <c r="CO1166" i="1"/>
  <c r="CL1167" i="1"/>
  <c r="CK1168" i="1"/>
  <c r="CN1173" i="1"/>
  <c r="BS1176" i="1"/>
  <c r="CC1176" i="1"/>
  <c r="CI1176" i="1" s="1"/>
  <c r="CH1177" i="1"/>
  <c r="CR1178" i="1"/>
  <c r="CL1180" i="1"/>
  <c r="CM1181" i="1"/>
  <c r="CO1183" i="1"/>
  <c r="CS1183" i="1" s="1"/>
  <c r="CT1183" i="1" s="1"/>
  <c r="CL1184" i="1"/>
  <c r="BX1185" i="1"/>
  <c r="CQ1185" i="1"/>
  <c r="BL1185" i="1" s="1"/>
  <c r="AG1185" i="1" s="1"/>
  <c r="CV1185" i="1" s="1"/>
  <c r="CN1186" i="1"/>
  <c r="CS1186" i="1" s="1"/>
  <c r="CT1186" i="1" s="1"/>
  <c r="BO1186" i="1" s="1"/>
  <c r="AJ1186" i="1" s="1"/>
  <c r="CY1186" i="1" s="1"/>
  <c r="CK1187" i="1"/>
  <c r="CM1188" i="1"/>
  <c r="CP1189" i="1"/>
  <c r="CK1190" i="1"/>
  <c r="CN1190" i="1"/>
  <c r="BX1190" i="1"/>
  <c r="CR1193" i="1"/>
  <c r="BM1193" i="1" s="1"/>
  <c r="AH1193" i="1" s="1"/>
  <c r="CW1193" i="1" s="1"/>
  <c r="CQ1193" i="1"/>
  <c r="BL1193" i="1" s="1"/>
  <c r="AG1193" i="1" s="1"/>
  <c r="CV1193" i="1" s="1"/>
  <c r="BX1193" i="1"/>
  <c r="CN1193" i="1"/>
  <c r="CM1193" i="1"/>
  <c r="CP1193" i="1"/>
  <c r="CI1198" i="1"/>
  <c r="CS1206" i="1"/>
  <c r="CT1206" i="1" s="1"/>
  <c r="CI1219" i="1"/>
  <c r="CB1146" i="1"/>
  <c r="CP1147" i="1"/>
  <c r="CL1148" i="1"/>
  <c r="CP1149" i="1"/>
  <c r="CE1152" i="1"/>
  <c r="CI1152" i="1" s="1"/>
  <c r="CL1154" i="1"/>
  <c r="BI1155" i="1"/>
  <c r="CB1155" i="1"/>
  <c r="BX1160" i="1"/>
  <c r="CQ1160" i="1"/>
  <c r="CP1163" i="1"/>
  <c r="CM1164" i="1"/>
  <c r="CR1165" i="1"/>
  <c r="CP1166" i="1"/>
  <c r="CM1167" i="1"/>
  <c r="CL1168" i="1"/>
  <c r="CE1169" i="1"/>
  <c r="CI1169" i="1" s="1"/>
  <c r="CO1171" i="1"/>
  <c r="CS1171" i="1" s="1"/>
  <c r="CT1171" i="1" s="1"/>
  <c r="CO1173" i="1"/>
  <c r="AD1176" i="1"/>
  <c r="CD1176" i="1"/>
  <c r="CA1177" i="1"/>
  <c r="CK1178" i="1"/>
  <c r="CS1178" i="1" s="1"/>
  <c r="CT1178" i="1" s="1"/>
  <c r="CN1181" i="1"/>
  <c r="CP1183" i="1"/>
  <c r="CM1184" i="1"/>
  <c r="CR1185" i="1"/>
  <c r="BM1185" i="1" s="1"/>
  <c r="AH1185" i="1" s="1"/>
  <c r="CW1185" i="1" s="1"/>
  <c r="CO1186" i="1"/>
  <c r="CL1187" i="1"/>
  <c r="CN1188" i="1"/>
  <c r="CQ1191" i="1"/>
  <c r="BL1191" i="1" s="1"/>
  <c r="AG1191" i="1" s="1"/>
  <c r="CV1191" i="1" s="1"/>
  <c r="CN1197" i="1"/>
  <c r="CM1197" i="1"/>
  <c r="CL1197" i="1"/>
  <c r="CK1197" i="1"/>
  <c r="CQ1197" i="1"/>
  <c r="BX1197" i="1"/>
  <c r="CP1197" i="1"/>
  <c r="CI1200" i="1"/>
  <c r="CI1204" i="1"/>
  <c r="CR1220" i="1"/>
  <c r="CP1227" i="1"/>
  <c r="CM1227" i="1"/>
  <c r="CL1227" i="1"/>
  <c r="CK1227" i="1"/>
  <c r="BX1227" i="1"/>
  <c r="CR1227" i="1"/>
  <c r="CQ1227" i="1"/>
  <c r="CO1227" i="1"/>
  <c r="BS1146" i="1"/>
  <c r="CC1146" i="1"/>
  <c r="BX1147" i="1"/>
  <c r="CM1148" i="1"/>
  <c r="BX1149" i="1"/>
  <c r="BS1155" i="1"/>
  <c r="CC1155" i="1"/>
  <c r="BX1158" i="1"/>
  <c r="BX1163" i="1"/>
  <c r="CN1164" i="1"/>
  <c r="CK1165" i="1"/>
  <c r="BX1166" i="1"/>
  <c r="CN1167" i="1"/>
  <c r="CM1168" i="1"/>
  <c r="AD1169" i="1"/>
  <c r="CE1176" i="1"/>
  <c r="CB1177" i="1"/>
  <c r="CN1180" i="1"/>
  <c r="CO1181" i="1"/>
  <c r="BX1183" i="1"/>
  <c r="CQ1183" i="1"/>
  <c r="CN1184" i="1"/>
  <c r="CK1185" i="1"/>
  <c r="CP1186" i="1"/>
  <c r="CL1190" i="1"/>
  <c r="CN1199" i="1"/>
  <c r="CM1199" i="1"/>
  <c r="CL1199" i="1"/>
  <c r="CK1199" i="1"/>
  <c r="CQ1199" i="1"/>
  <c r="BX1199" i="1"/>
  <c r="CP1199" i="1"/>
  <c r="CM1214" i="1"/>
  <c r="CL1214" i="1"/>
  <c r="CK1214" i="1"/>
  <c r="CR1214" i="1"/>
  <c r="BX1214" i="1"/>
  <c r="CQ1214" i="1"/>
  <c r="CP1214" i="1"/>
  <c r="CO1214" i="1"/>
  <c r="CI1220" i="1"/>
  <c r="CK1225" i="1"/>
  <c r="CR1225" i="1"/>
  <c r="BX1225" i="1"/>
  <c r="CQ1225" i="1"/>
  <c r="CP1225" i="1"/>
  <c r="CO1225" i="1"/>
  <c r="CN1225" i="1"/>
  <c r="CM1225" i="1"/>
  <c r="CR1237" i="1"/>
  <c r="CP1237" i="1"/>
  <c r="CM1237" i="1"/>
  <c r="CN1168" i="1"/>
  <c r="CP1188" i="1"/>
  <c r="CI1194" i="1"/>
  <c r="CS1201" i="1"/>
  <c r="CT1201" i="1" s="1"/>
  <c r="CP1164" i="1"/>
  <c r="CM1165" i="1"/>
  <c r="CK1166" i="1"/>
  <c r="CS1166" i="1" s="1"/>
  <c r="CT1166" i="1" s="1"/>
  <c r="CO1168" i="1"/>
  <c r="CG1176" i="1"/>
  <c r="AD1177" i="1"/>
  <c r="CD1177" i="1"/>
  <c r="CP1180" i="1"/>
  <c r="BX1181" i="1"/>
  <c r="CQ1181" i="1"/>
  <c r="CP1184" i="1"/>
  <c r="CM1185" i="1"/>
  <c r="CN1189" i="1"/>
  <c r="CQ1189" i="1"/>
  <c r="BL1189" i="1" s="1"/>
  <c r="AG1189" i="1" s="1"/>
  <c r="CV1189" i="1" s="1"/>
  <c r="BX1189" i="1"/>
  <c r="CK1189" i="1"/>
  <c r="CS1189" i="1" s="1"/>
  <c r="CT1189" i="1" s="1"/>
  <c r="BO1189" i="1" s="1"/>
  <c r="AJ1189" i="1" s="1"/>
  <c r="CY1189" i="1" s="1"/>
  <c r="CO1194" i="1"/>
  <c r="CN1194" i="1"/>
  <c r="CK1194" i="1"/>
  <c r="CS1194" i="1" s="1"/>
  <c r="CT1194" i="1" s="1"/>
  <c r="BO1194" i="1" s="1"/>
  <c r="AJ1194" i="1" s="1"/>
  <c r="CY1194" i="1" s="1"/>
  <c r="CR1194" i="1"/>
  <c r="BM1194" i="1" s="1"/>
  <c r="AH1194" i="1" s="1"/>
  <c r="CW1194" i="1" s="1"/>
  <c r="CM1194" i="1"/>
  <c r="CK1220" i="1"/>
  <c r="BX1220" i="1"/>
  <c r="CO1220" i="1"/>
  <c r="CN1220" i="1"/>
  <c r="AD1222" i="1"/>
  <c r="BU1222" i="1"/>
  <c r="AD1223" i="1"/>
  <c r="BX1167" i="1"/>
  <c r="BX1180" i="1"/>
  <c r="BX1184" i="1"/>
  <c r="CO1187" i="1"/>
  <c r="CQ1187" i="1"/>
  <c r="BL1187" i="1" s="1"/>
  <c r="AG1187" i="1" s="1"/>
  <c r="CV1187" i="1" s="1"/>
  <c r="CL1188" i="1"/>
  <c r="BX1188" i="1"/>
  <c r="CR1188" i="1"/>
  <c r="BM1188" i="1" s="1"/>
  <c r="AH1188" i="1" s="1"/>
  <c r="CW1188" i="1" s="1"/>
  <c r="CL1189" i="1"/>
  <c r="CP1190" i="1"/>
  <c r="CI1193" i="1"/>
  <c r="CK1193" i="1"/>
  <c r="CP1194" i="1"/>
  <c r="CO1211" i="1"/>
  <c r="CN1211" i="1"/>
  <c r="CM1211" i="1"/>
  <c r="CL1211" i="1"/>
  <c r="CK1211" i="1"/>
  <c r="CR1211" i="1"/>
  <c r="BX1211" i="1"/>
  <c r="CQ1211" i="1"/>
  <c r="CN1214" i="1"/>
  <c r="CN1227" i="1"/>
  <c r="CK1191" i="1"/>
  <c r="CS1191" i="1" s="1"/>
  <c r="CT1191" i="1" s="1"/>
  <c r="BO1191" i="1" s="1"/>
  <c r="AJ1191" i="1" s="1"/>
  <c r="CY1191" i="1" s="1"/>
  <c r="CO1195" i="1"/>
  <c r="CL1196" i="1"/>
  <c r="CS1196" i="1" s="1"/>
  <c r="CT1196" i="1" s="1"/>
  <c r="BO1196" i="1" s="1"/>
  <c r="AJ1196" i="1" s="1"/>
  <c r="CY1196" i="1" s="1"/>
  <c r="CL1198" i="1"/>
  <c r="CL1200" i="1"/>
  <c r="CS1200" i="1" s="1"/>
  <c r="CT1200" i="1" s="1"/>
  <c r="CL1202" i="1"/>
  <c r="CN1204" i="1"/>
  <c r="CK1205" i="1"/>
  <c r="CS1205" i="1" s="1"/>
  <c r="CT1205" i="1" s="1"/>
  <c r="CM1207" i="1"/>
  <c r="BX1208" i="1"/>
  <c r="CR1208" i="1"/>
  <c r="CO1209" i="1"/>
  <c r="CS1209" i="1" s="1"/>
  <c r="CT1209" i="1" s="1"/>
  <c r="CL1210" i="1"/>
  <c r="CN1212" i="1"/>
  <c r="CK1213" i="1"/>
  <c r="CS1213" i="1" s="1"/>
  <c r="CT1213" i="1" s="1"/>
  <c r="CK1215" i="1"/>
  <c r="BI1216" i="1"/>
  <c r="CC1216" i="1"/>
  <c r="CE1217" i="1"/>
  <c r="CK1218" i="1"/>
  <c r="CO1219" i="1"/>
  <c r="CM1220" i="1"/>
  <c r="CE1221" i="1"/>
  <c r="CF1222" i="1"/>
  <c r="BX1226" i="1"/>
  <c r="BS1227" i="1"/>
  <c r="CE1227" i="1"/>
  <c r="CC1228" i="1"/>
  <c r="CM1229" i="1"/>
  <c r="CI1232" i="1"/>
  <c r="CK1232" i="1"/>
  <c r="CL1233" i="1"/>
  <c r="CP1233" i="1"/>
  <c r="CO1233" i="1"/>
  <c r="CN1233" i="1"/>
  <c r="CK1234" i="1"/>
  <c r="CI1235" i="1"/>
  <c r="CD1246" i="1"/>
  <c r="CC1246" i="1"/>
  <c r="BS1246" i="1"/>
  <c r="CB1246" i="1"/>
  <c r="CA1246" i="1"/>
  <c r="CH1246" i="1"/>
  <c r="CG1246" i="1"/>
  <c r="CF1246" i="1"/>
  <c r="AD1246" i="1"/>
  <c r="CI1252" i="1"/>
  <c r="CP1195" i="1"/>
  <c r="CM1196" i="1"/>
  <c r="CM1198" i="1"/>
  <c r="CM1200" i="1"/>
  <c r="CM1202" i="1"/>
  <c r="CO1204" i="1"/>
  <c r="CN1207" i="1"/>
  <c r="CS1207" i="1" s="1"/>
  <c r="CT1207" i="1" s="1"/>
  <c r="CK1208" i="1"/>
  <c r="CP1209" i="1"/>
  <c r="CM1210" i="1"/>
  <c r="CO1212" i="1"/>
  <c r="CL1213" i="1"/>
  <c r="CL1215" i="1"/>
  <c r="BS1216" i="1"/>
  <c r="CD1216" i="1"/>
  <c r="CF1217" i="1"/>
  <c r="CL1218" i="1"/>
  <c r="CP1219" i="1"/>
  <c r="CB1226" i="1"/>
  <c r="CK1226" i="1"/>
  <c r="CF1227" i="1"/>
  <c r="CD1234" i="1"/>
  <c r="CH1234" i="1"/>
  <c r="CG1234" i="1"/>
  <c r="BI1234" i="1"/>
  <c r="CI1265" i="1"/>
  <c r="CP1204" i="1"/>
  <c r="CP1212" i="1"/>
  <c r="CH1227" i="1"/>
  <c r="CH1228" i="1"/>
  <c r="CG1228" i="1"/>
  <c r="BS1228" i="1"/>
  <c r="CE1228" i="1"/>
  <c r="CO1229" i="1"/>
  <c r="CK1229" i="1"/>
  <c r="CR1229" i="1"/>
  <c r="CP1229" i="1"/>
  <c r="CH1240" i="1"/>
  <c r="CG1240" i="1"/>
  <c r="CF1240" i="1"/>
  <c r="CE1240" i="1"/>
  <c r="AD1240" i="1"/>
  <c r="CC1240" i="1"/>
  <c r="BS1240" i="1"/>
  <c r="CB1240" i="1"/>
  <c r="CK1242" i="1"/>
  <c r="CR1242" i="1"/>
  <c r="CQ1242" i="1"/>
  <c r="BX1242" i="1"/>
  <c r="CP1242" i="1"/>
  <c r="CN1242" i="1"/>
  <c r="CM1242" i="1"/>
  <c r="CL1252" i="1"/>
  <c r="CR1252" i="1"/>
  <c r="CQ1252" i="1"/>
  <c r="BX1252" i="1"/>
  <c r="CP1252" i="1"/>
  <c r="CI1268" i="1"/>
  <c r="CO1198" i="1"/>
  <c r="CO1200" i="1"/>
  <c r="CQ1204" i="1"/>
  <c r="CP1207" i="1"/>
  <c r="CO1210" i="1"/>
  <c r="CQ1212" i="1"/>
  <c r="CN1215" i="1"/>
  <c r="CF1216" i="1"/>
  <c r="CH1217" i="1"/>
  <c r="CN1218" i="1"/>
  <c r="BX1219" i="1"/>
  <c r="CR1219" i="1"/>
  <c r="CP1220" i="1"/>
  <c r="AD1221" i="1"/>
  <c r="CH1221" i="1"/>
  <c r="BT1224" i="1"/>
  <c r="BS1226" i="1"/>
  <c r="CD1226" i="1"/>
  <c r="CM1226" i="1"/>
  <c r="AD1228" i="1"/>
  <c r="CF1228" i="1"/>
  <c r="CQ1229" i="1"/>
  <c r="CN1232" i="1"/>
  <c r="CP1232" i="1"/>
  <c r="CB1234" i="1"/>
  <c r="CO1235" i="1"/>
  <c r="CK1235" i="1"/>
  <c r="CR1235" i="1"/>
  <c r="CP1235" i="1"/>
  <c r="CI1243" i="1"/>
  <c r="CI1254" i="1"/>
  <c r="CD1264" i="1"/>
  <c r="CC1264" i="1"/>
  <c r="BS1264" i="1"/>
  <c r="CB1264" i="1"/>
  <c r="CA1264" i="1"/>
  <c r="CH1264" i="1"/>
  <c r="CG1264" i="1"/>
  <c r="CF1264" i="1"/>
  <c r="AD1264" i="1"/>
  <c r="CE1278" i="1"/>
  <c r="CD1278" i="1"/>
  <c r="CA1278" i="1"/>
  <c r="CH1278" i="1"/>
  <c r="CG1278" i="1"/>
  <c r="BS1278" i="1"/>
  <c r="CF1278" i="1"/>
  <c r="CC1278" i="1"/>
  <c r="CB1278" i="1"/>
  <c r="AD1278" i="1"/>
  <c r="CK1195" i="1"/>
  <c r="CS1195" i="1" s="1"/>
  <c r="CT1195" i="1" s="1"/>
  <c r="BO1195" i="1" s="1"/>
  <c r="AJ1195" i="1" s="1"/>
  <c r="CY1195" i="1" s="1"/>
  <c r="CP1196" i="1"/>
  <c r="CP1198" i="1"/>
  <c r="CP1200" i="1"/>
  <c r="CP1202" i="1"/>
  <c r="BX1204" i="1"/>
  <c r="CR1204" i="1"/>
  <c r="CQ1207" i="1"/>
  <c r="CN1208" i="1"/>
  <c r="CP1210" i="1"/>
  <c r="BX1212" i="1"/>
  <c r="CR1212" i="1"/>
  <c r="CO1215" i="1"/>
  <c r="CG1216" i="1"/>
  <c r="CO1218" i="1"/>
  <c r="CK1219" i="1"/>
  <c r="CQ1220" i="1"/>
  <c r="CB1222" i="1"/>
  <c r="CI1222" i="1" s="1"/>
  <c r="CE1226" i="1"/>
  <c r="CN1226" i="1"/>
  <c r="CK1230" i="1"/>
  <c r="CS1230" i="1" s="1"/>
  <c r="CT1230" i="1" s="1"/>
  <c r="CO1230" i="1"/>
  <c r="CN1230" i="1"/>
  <c r="CQ1232" i="1"/>
  <c r="BX1233" i="1"/>
  <c r="CC1234" i="1"/>
  <c r="CQ1235" i="1"/>
  <c r="CQ1236" i="1"/>
  <c r="BX1236" i="1"/>
  <c r="CO1236" i="1"/>
  <c r="CL1237" i="1"/>
  <c r="CK1237" i="1"/>
  <c r="CS1237" i="1" s="1"/>
  <c r="CT1237" i="1" s="1"/>
  <c r="CQ1237" i="1"/>
  <c r="BX1237" i="1"/>
  <c r="CO1237" i="1"/>
  <c r="CN1237" i="1"/>
  <c r="CA1240" i="1"/>
  <c r="CK1245" i="1"/>
  <c r="CR1245" i="1"/>
  <c r="CQ1245" i="1"/>
  <c r="BX1245" i="1"/>
  <c r="CP1245" i="1"/>
  <c r="CO1245" i="1"/>
  <c r="CN1245" i="1"/>
  <c r="CM1245" i="1"/>
  <c r="CI1247" i="1"/>
  <c r="CK1247" i="1"/>
  <c r="CE1264" i="1"/>
  <c r="CK1270" i="1"/>
  <c r="BX1196" i="1"/>
  <c r="BX1198" i="1"/>
  <c r="BX1200" i="1"/>
  <c r="CQ1200" i="1"/>
  <c r="CK1204" i="1"/>
  <c r="CS1204" i="1" s="1"/>
  <c r="CT1204" i="1" s="1"/>
  <c r="BX1207" i="1"/>
  <c r="CR1207" i="1"/>
  <c r="CO1208" i="1"/>
  <c r="CQ1210" i="1"/>
  <c r="CK1212" i="1"/>
  <c r="CS1212" i="1" s="1"/>
  <c r="CT1212" i="1" s="1"/>
  <c r="CP1215" i="1"/>
  <c r="CB1217" i="1"/>
  <c r="CI1217" i="1" s="1"/>
  <c r="CP1218" i="1"/>
  <c r="CL1219" i="1"/>
  <c r="CB1221" i="1"/>
  <c r="CF1226" i="1"/>
  <c r="CB1227" i="1"/>
  <c r="CI1227" i="1" s="1"/>
  <c r="BS1234" i="1"/>
  <c r="CE1234" i="1"/>
  <c r="CD1240" i="1"/>
  <c r="BI1217" i="1"/>
  <c r="CO1226" i="1"/>
  <c r="CQ1226" i="1"/>
  <c r="CC1227" i="1"/>
  <c r="BW1228" i="1"/>
  <c r="BI1228" i="1"/>
  <c r="CA1228" i="1"/>
  <c r="CI1228" i="1" s="1"/>
  <c r="BX1229" i="1"/>
  <c r="CK1233" i="1"/>
  <c r="CS1233" i="1" s="1"/>
  <c r="CT1233" i="1" s="1"/>
  <c r="CM1234" i="1"/>
  <c r="CQ1234" i="1"/>
  <c r="BX1234" i="1"/>
  <c r="CP1234" i="1"/>
  <c r="CF1234" i="1"/>
  <c r="CB1244" i="1"/>
  <c r="CA1244" i="1"/>
  <c r="CH1244" i="1"/>
  <c r="CG1244" i="1"/>
  <c r="AD1244" i="1"/>
  <c r="CE1244" i="1"/>
  <c r="CD1244" i="1"/>
  <c r="CO1248" i="1"/>
  <c r="CN1248" i="1"/>
  <c r="CM1248" i="1"/>
  <c r="CL1248" i="1"/>
  <c r="CK1248" i="1"/>
  <c r="CR1248" i="1"/>
  <c r="CQ1248" i="1"/>
  <c r="BX1248" i="1"/>
  <c r="CK1231" i="1"/>
  <c r="CM1232" i="1"/>
  <c r="CL1236" i="1"/>
  <c r="CS1236" i="1" s="1"/>
  <c r="CT1236" i="1" s="1"/>
  <c r="CP1238" i="1"/>
  <c r="CA1239" i="1"/>
  <c r="CR1243" i="1"/>
  <c r="CD1245" i="1"/>
  <c r="CL1247" i="1"/>
  <c r="CD1249" i="1"/>
  <c r="CN1250" i="1"/>
  <c r="CS1250" i="1" s="1"/>
  <c r="CT1250" i="1" s="1"/>
  <c r="CK1251" i="1"/>
  <c r="CS1251" i="1" s="1"/>
  <c r="CT1251" i="1" s="1"/>
  <c r="CN1252" i="1"/>
  <c r="CK1253" i="1"/>
  <c r="CS1253" i="1" s="1"/>
  <c r="CT1253" i="1" s="1"/>
  <c r="CO1254" i="1"/>
  <c r="CK1255" i="1"/>
  <c r="CS1255" i="1" s="1"/>
  <c r="CT1255" i="1" s="1"/>
  <c r="CG1257" i="1"/>
  <c r="CA1258" i="1"/>
  <c r="CO1259" i="1"/>
  <c r="CG1260" i="1"/>
  <c r="CN1261" i="1"/>
  <c r="CK1262" i="1"/>
  <c r="BX1265" i="1"/>
  <c r="CH1265" i="1"/>
  <c r="CQ1265" i="1"/>
  <c r="CN1266" i="1"/>
  <c r="CK1267" i="1"/>
  <c r="CS1267" i="1" s="1"/>
  <c r="CT1267" i="1" s="1"/>
  <c r="CG1269" i="1"/>
  <c r="BS1270" i="1"/>
  <c r="CC1270" i="1"/>
  <c r="CI1270" i="1" s="1"/>
  <c r="CL1270" i="1"/>
  <c r="BS1272" i="1"/>
  <c r="CC1272" i="1"/>
  <c r="CG1274" i="1"/>
  <c r="CE1276" i="1"/>
  <c r="CL1231" i="1"/>
  <c r="BX1238" i="1"/>
  <c r="CQ1238" i="1"/>
  <c r="CB1239" i="1"/>
  <c r="CN1241" i="1"/>
  <c r="CS1241" i="1" s="1"/>
  <c r="CT1241" i="1" s="1"/>
  <c r="CK1243" i="1"/>
  <c r="CE1245" i="1"/>
  <c r="CM1247" i="1"/>
  <c r="CE1249" i="1"/>
  <c r="CO1252" i="1"/>
  <c r="CP1254" i="1"/>
  <c r="CF1256" i="1"/>
  <c r="CH1257" i="1"/>
  <c r="CB1258" i="1"/>
  <c r="CP1259" i="1"/>
  <c r="CH1260" i="1"/>
  <c r="CO1261" i="1"/>
  <c r="CL1262" i="1"/>
  <c r="CO1263" i="1"/>
  <c r="CR1265" i="1"/>
  <c r="CO1266" i="1"/>
  <c r="BX1268" i="1"/>
  <c r="CQ1268" i="1"/>
  <c r="CH1269" i="1"/>
  <c r="CD1270" i="1"/>
  <c r="CM1270" i="1"/>
  <c r="CL1273" i="1"/>
  <c r="CH1274" i="1"/>
  <c r="CF1276" i="1"/>
  <c r="CF1245" i="1"/>
  <c r="CF1249" i="1"/>
  <c r="CA1257" i="1"/>
  <c r="CP1261" i="1"/>
  <c r="CK1265" i="1"/>
  <c r="CP1266" i="1"/>
  <c r="CA1269" i="1"/>
  <c r="CG1276" i="1"/>
  <c r="CG1279" i="1"/>
  <c r="CF1279" i="1"/>
  <c r="AD1279" i="1"/>
  <c r="CC1279" i="1"/>
  <c r="BS1279" i="1"/>
  <c r="CB1279" i="1"/>
  <c r="CR1283" i="1"/>
  <c r="CQ1283" i="1"/>
  <c r="BX1283" i="1"/>
  <c r="CP1283" i="1"/>
  <c r="CN1283" i="1"/>
  <c r="CM1283" i="1"/>
  <c r="CL1283" i="1"/>
  <c r="CO1290" i="1"/>
  <c r="CN1290" i="1"/>
  <c r="CM1290" i="1"/>
  <c r="CL1290" i="1"/>
  <c r="CK1290" i="1"/>
  <c r="CR1290" i="1"/>
  <c r="CQ1290" i="1"/>
  <c r="BX1290" i="1"/>
  <c r="CR1296" i="1"/>
  <c r="CQ1296" i="1"/>
  <c r="BX1296" i="1"/>
  <c r="CP1296" i="1"/>
  <c r="CO1296" i="1"/>
  <c r="CN1296" i="1"/>
  <c r="CM1296" i="1"/>
  <c r="CL1296" i="1"/>
  <c r="CR1303" i="1"/>
  <c r="CQ1303" i="1"/>
  <c r="BX1303" i="1"/>
  <c r="CN1303" i="1"/>
  <c r="CM1303" i="1"/>
  <c r="CP1303" i="1"/>
  <c r="CO1303" i="1"/>
  <c r="CL1303" i="1"/>
  <c r="CK1303" i="1"/>
  <c r="CD1239" i="1"/>
  <c r="CM1243" i="1"/>
  <c r="CG1245" i="1"/>
  <c r="CO1247" i="1"/>
  <c r="AD1249" i="1"/>
  <c r="CR1249" i="1" s="1"/>
  <c r="CG1249" i="1"/>
  <c r="CR1254" i="1"/>
  <c r="CH1256" i="1"/>
  <c r="BI1257" i="1"/>
  <c r="CB1257" i="1"/>
  <c r="CD1258" i="1"/>
  <c r="CR1259" i="1"/>
  <c r="CB1260" i="1"/>
  <c r="CI1260" i="1" s="1"/>
  <c r="BX1261" i="1"/>
  <c r="CQ1261" i="1"/>
  <c r="CN1262" i="1"/>
  <c r="CQ1263" i="1"/>
  <c r="CL1265" i="1"/>
  <c r="BX1266" i="1"/>
  <c r="CQ1266" i="1"/>
  <c r="CK1268" i="1"/>
  <c r="CS1268" i="1" s="1"/>
  <c r="CT1268" i="1" s="1"/>
  <c r="CB1269" i="1"/>
  <c r="CF1270" i="1"/>
  <c r="CO1270" i="1"/>
  <c r="CF1272" i="1"/>
  <c r="AD1272" i="1"/>
  <c r="CG1272" i="1"/>
  <c r="CN1273" i="1"/>
  <c r="CA1274" i="1"/>
  <c r="AD1276" i="1"/>
  <c r="CH1276" i="1"/>
  <c r="CA1279" i="1"/>
  <c r="CR1287" i="1"/>
  <c r="CQ1287" i="1"/>
  <c r="BX1287" i="1"/>
  <c r="CP1287" i="1"/>
  <c r="CO1287" i="1"/>
  <c r="CN1287" i="1"/>
  <c r="CM1287" i="1"/>
  <c r="CL1287" i="1"/>
  <c r="CS1287" i="1" s="1"/>
  <c r="CT1287" i="1" s="1"/>
  <c r="CP1290" i="1"/>
  <c r="CE1239" i="1"/>
  <c r="CH1245" i="1"/>
  <c r="CP1247" i="1"/>
  <c r="CH1249" i="1"/>
  <c r="CK1254" i="1"/>
  <c r="CS1254" i="1" s="1"/>
  <c r="CT1254" i="1" s="1"/>
  <c r="CA1256" i="1"/>
  <c r="CI1256" i="1" s="1"/>
  <c r="BS1257" i="1"/>
  <c r="CE1258" i="1"/>
  <c r="CK1259" i="1"/>
  <c r="CS1259" i="1" s="1"/>
  <c r="CT1259" i="1" s="1"/>
  <c r="BS1260" i="1"/>
  <c r="CC1260" i="1"/>
  <c r="CR1261" i="1"/>
  <c r="CR1266" i="1"/>
  <c r="BS1269" i="1"/>
  <c r="CC1269" i="1"/>
  <c r="CP1270" i="1"/>
  <c r="CH1272" i="1"/>
  <c r="CO1273" i="1"/>
  <c r="CB1274" i="1"/>
  <c r="CD1279" i="1"/>
  <c r="AD1239" i="1"/>
  <c r="CF1239" i="1"/>
  <c r="CO1243" i="1"/>
  <c r="CA1245" i="1"/>
  <c r="CI1245" i="1" s="1"/>
  <c r="BX1247" i="1"/>
  <c r="CQ1247" i="1"/>
  <c r="CA1249" i="1"/>
  <c r="BI1256" i="1"/>
  <c r="CB1256" i="1"/>
  <c r="CD1257" i="1"/>
  <c r="AD1258" i="1"/>
  <c r="CF1258" i="1"/>
  <c r="AD1260" i="1"/>
  <c r="CD1260" i="1"/>
  <c r="CK1261" i="1"/>
  <c r="CS1261" i="1" s="1"/>
  <c r="CT1261" i="1" s="1"/>
  <c r="CN1265" i="1"/>
  <c r="CK1266" i="1"/>
  <c r="AD1269" i="1"/>
  <c r="CD1269" i="1"/>
  <c r="BX1270" i="1"/>
  <c r="CQ1270" i="1"/>
  <c r="CP1273" i="1"/>
  <c r="BI1274" i="1"/>
  <c r="CR1274" i="1" s="1"/>
  <c r="CA1276" i="1"/>
  <c r="CE1279" i="1"/>
  <c r="CB1281" i="1"/>
  <c r="CA1281" i="1"/>
  <c r="CI1281" i="1" s="1"/>
  <c r="CG1281" i="1"/>
  <c r="CF1281" i="1"/>
  <c r="CE1281" i="1"/>
  <c r="BS1281" i="1"/>
  <c r="CH1281" i="1"/>
  <c r="CK1283" i="1"/>
  <c r="BS1256" i="1"/>
  <c r="CS1273" i="1"/>
  <c r="CT1273" i="1" s="1"/>
  <c r="CQ1273" i="1"/>
  <c r="CC1276" i="1"/>
  <c r="CH1279" i="1"/>
  <c r="CK1281" i="1"/>
  <c r="CR1281" i="1"/>
  <c r="CP1281" i="1"/>
  <c r="CO1281" i="1"/>
  <c r="CN1281" i="1"/>
  <c r="CL1281" i="1"/>
  <c r="CO1283" i="1"/>
  <c r="BS1283" i="1"/>
  <c r="CC1283" i="1"/>
  <c r="CI1283" i="1" s="1"/>
  <c r="CG1285" i="1"/>
  <c r="CP1285" i="1"/>
  <c r="CE1286" i="1"/>
  <c r="CI1286" i="1" s="1"/>
  <c r="CN1286" i="1"/>
  <c r="CS1286" i="1" s="1"/>
  <c r="CT1286" i="1" s="1"/>
  <c r="BS1287" i="1"/>
  <c r="CC1287" i="1"/>
  <c r="CI1287" i="1" s="1"/>
  <c r="CH1288" i="1"/>
  <c r="BS1291" i="1"/>
  <c r="CC1291" i="1"/>
  <c r="CI1291" i="1" s="1"/>
  <c r="BS1292" i="1"/>
  <c r="CC1292" i="1"/>
  <c r="CI1292" i="1" s="1"/>
  <c r="BS1296" i="1"/>
  <c r="CC1296" i="1"/>
  <c r="CI1296" i="1" s="1"/>
  <c r="CN1302" i="1"/>
  <c r="CI1303" i="1"/>
  <c r="CN1307" i="1"/>
  <c r="CM1307" i="1"/>
  <c r="CL1307" i="1"/>
  <c r="CK1307" i="1"/>
  <c r="CR1307" i="1"/>
  <c r="CQ1307" i="1"/>
  <c r="BX1307" i="1"/>
  <c r="CI1312" i="1"/>
  <c r="CR1321" i="1"/>
  <c r="CQ1321" i="1"/>
  <c r="BX1321" i="1"/>
  <c r="CO1321" i="1"/>
  <c r="CN1321" i="1"/>
  <c r="CI1329" i="1"/>
  <c r="CI1331" i="1"/>
  <c r="BS1274" i="1"/>
  <c r="CD1283" i="1"/>
  <c r="BX1285" i="1"/>
  <c r="CH1285" i="1"/>
  <c r="CQ1285" i="1"/>
  <c r="CF1286" i="1"/>
  <c r="CO1286" i="1"/>
  <c r="CD1287" i="1"/>
  <c r="AD1288" i="1"/>
  <c r="CA1288" i="1"/>
  <c r="CI1288" i="1" s="1"/>
  <c r="CD1291" i="1"/>
  <c r="AD1292" i="1"/>
  <c r="CD1292" i="1"/>
  <c r="CH1294" i="1"/>
  <c r="CF1295" i="1"/>
  <c r="CW1296" i="1"/>
  <c r="CD1296" i="1"/>
  <c r="CG1298" i="1"/>
  <c r="AD1298" i="1"/>
  <c r="CD1298" i="1"/>
  <c r="CC1298" i="1"/>
  <c r="CI1298" i="1" s="1"/>
  <c r="BS1298" i="1"/>
  <c r="CN1299" i="1"/>
  <c r="CM1299" i="1"/>
  <c r="CR1299" i="1"/>
  <c r="CQ1299" i="1"/>
  <c r="BX1299" i="1"/>
  <c r="CO1302" i="1"/>
  <c r="CO1304" i="1"/>
  <c r="CN1304" i="1"/>
  <c r="CK1304" i="1"/>
  <c r="CR1304" i="1"/>
  <c r="CI1307" i="1"/>
  <c r="CO1307" i="1"/>
  <c r="CI1310" i="1"/>
  <c r="CP1319" i="1"/>
  <c r="CE1283" i="1"/>
  <c r="CA1285" i="1"/>
  <c r="CI1285" i="1" s="1"/>
  <c r="CR1285" i="1"/>
  <c r="CG1286" i="1"/>
  <c r="CP1286" i="1"/>
  <c r="CE1287" i="1"/>
  <c r="CB1288" i="1"/>
  <c r="CE1291" i="1"/>
  <c r="CE1292" i="1"/>
  <c r="CG1295" i="1"/>
  <c r="CE1296" i="1"/>
  <c r="CI1299" i="1"/>
  <c r="CK1299" i="1"/>
  <c r="CR1302" i="1"/>
  <c r="CP1306" i="1"/>
  <c r="CP1307" i="1"/>
  <c r="CI1313" i="1"/>
  <c r="CR1314" i="1"/>
  <c r="CQ1314" i="1"/>
  <c r="BX1314" i="1"/>
  <c r="CO1314" i="1"/>
  <c r="CN1314" i="1"/>
  <c r="CO1315" i="1"/>
  <c r="CN1315" i="1"/>
  <c r="CM1315" i="1"/>
  <c r="CL1315" i="1"/>
  <c r="CK1315" i="1"/>
  <c r="CR1315" i="1"/>
  <c r="CQ1315" i="1"/>
  <c r="BX1315" i="1"/>
  <c r="CI1319" i="1"/>
  <c r="CI1323" i="1"/>
  <c r="CK1285" i="1"/>
  <c r="CS1285" i="1" s="1"/>
  <c r="CT1285" i="1" s="1"/>
  <c r="BX1286" i="1"/>
  <c r="CQ1286" i="1"/>
  <c r="CF1287" i="1"/>
  <c r="CF1291" i="1"/>
  <c r="CK1300" i="1"/>
  <c r="CR1300" i="1"/>
  <c r="CO1300" i="1"/>
  <c r="CN1300" i="1"/>
  <c r="CI1304" i="1"/>
  <c r="CG1283" i="1"/>
  <c r="BS1285" i="1"/>
  <c r="CL1285" i="1"/>
  <c r="CR1286" i="1"/>
  <c r="CG1287" i="1"/>
  <c r="CD1288" i="1"/>
  <c r="AD1291" i="1"/>
  <c r="CG1291" i="1"/>
  <c r="CG1292" i="1"/>
  <c r="BS1294" i="1"/>
  <c r="CC1294" i="1"/>
  <c r="CI1294" i="1" s="1"/>
  <c r="CA1295" i="1"/>
  <c r="CI1295" i="1" s="1"/>
  <c r="CG1296" i="1"/>
  <c r="BX1300" i="1"/>
  <c r="CI1305" i="1"/>
  <c r="CI1311" i="1"/>
  <c r="CR1319" i="1"/>
  <c r="CQ1319" i="1"/>
  <c r="BX1319" i="1"/>
  <c r="CO1319" i="1"/>
  <c r="CN1319" i="1"/>
  <c r="CN1324" i="1"/>
  <c r="CR1324" i="1"/>
  <c r="CQ1324" i="1"/>
  <c r="CP1324" i="1"/>
  <c r="CO1324" i="1"/>
  <c r="CM1324" i="1"/>
  <c r="CL1324" i="1"/>
  <c r="CK1324" i="1"/>
  <c r="BX1324" i="1"/>
  <c r="CH1287" i="1"/>
  <c r="CH1291" i="1"/>
  <c r="AD1294" i="1"/>
  <c r="AD1295" i="1"/>
  <c r="CH1296" i="1"/>
  <c r="CI1300" i="1"/>
  <c r="CL1300" i="1"/>
  <c r="CL1302" i="1"/>
  <c r="CS1302" i="1" s="1"/>
  <c r="CT1302" i="1" s="1"/>
  <c r="CQ1306" i="1"/>
  <c r="BX1306" i="1"/>
  <c r="CO1306" i="1"/>
  <c r="CN1306" i="1"/>
  <c r="CR1306" i="1"/>
  <c r="CI1308" i="1"/>
  <c r="CI1316" i="1"/>
  <c r="CP1321" i="1"/>
  <c r="BX1327" i="1"/>
  <c r="CR1327" i="1"/>
  <c r="CQ1327" i="1"/>
  <c r="CO1327" i="1"/>
  <c r="CN1327" i="1"/>
  <c r="CM1327" i="1"/>
  <c r="CI1336" i="1"/>
  <c r="CQ1338" i="1"/>
  <c r="BX1338" i="1"/>
  <c r="CO1338" i="1"/>
  <c r="CM1338" i="1"/>
  <c r="CK1338" i="1"/>
  <c r="CR1338" i="1"/>
  <c r="CI1321" i="1"/>
  <c r="CK1321" i="1"/>
  <c r="CK1301" i="1"/>
  <c r="CP1302" i="1"/>
  <c r="CO1305" i="1"/>
  <c r="CS1305" i="1" s="1"/>
  <c r="CT1305" i="1" s="1"/>
  <c r="CL1306" i="1"/>
  <c r="CS1306" i="1" s="1"/>
  <c r="CT1306" i="1" s="1"/>
  <c r="CN1308" i="1"/>
  <c r="CK1309" i="1"/>
  <c r="CP1310" i="1"/>
  <c r="CM1311" i="1"/>
  <c r="CR1312" i="1"/>
  <c r="CO1313" i="1"/>
  <c r="CS1313" i="1" s="1"/>
  <c r="CT1313" i="1" s="1"/>
  <c r="CL1314" i="1"/>
  <c r="CS1314" i="1" s="1"/>
  <c r="CT1314" i="1" s="1"/>
  <c r="CN1316" i="1"/>
  <c r="CS1316" i="1" s="1"/>
  <c r="CT1316" i="1" s="1"/>
  <c r="CK1317" i="1"/>
  <c r="CP1318" i="1"/>
  <c r="CL1319" i="1"/>
  <c r="CS1319" i="1" s="1"/>
  <c r="CT1319" i="1" s="1"/>
  <c r="CP1320" i="1"/>
  <c r="CL1321" i="1"/>
  <c r="CL1322" i="1"/>
  <c r="CQ1322" i="1"/>
  <c r="CQ1323" i="1"/>
  <c r="BX1323" i="1"/>
  <c r="CM1323" i="1"/>
  <c r="CL1325" i="1"/>
  <c r="CN1326" i="1"/>
  <c r="CK1328" i="1"/>
  <c r="CK1333" i="1"/>
  <c r="CI1341" i="1"/>
  <c r="CL1301" i="1"/>
  <c r="BX1302" i="1"/>
  <c r="CQ1302" i="1"/>
  <c r="CM1306" i="1"/>
  <c r="CO1308" i="1"/>
  <c r="CS1308" i="1" s="1"/>
  <c r="CT1308" i="1" s="1"/>
  <c r="CL1309" i="1"/>
  <c r="BX1310" i="1"/>
  <c r="CQ1310" i="1"/>
  <c r="CN1311" i="1"/>
  <c r="CK1312" i="1"/>
  <c r="CM1314" i="1"/>
  <c r="CO1316" i="1"/>
  <c r="CL1317" i="1"/>
  <c r="BX1318" i="1"/>
  <c r="CQ1318" i="1"/>
  <c r="CM1319" i="1"/>
  <c r="BX1320" i="1"/>
  <c r="CQ1320" i="1"/>
  <c r="CM1321" i="1"/>
  <c r="BX1322" i="1"/>
  <c r="CR1322" i="1"/>
  <c r="CI1324" i="1"/>
  <c r="CM1325" i="1"/>
  <c r="CO1326" i="1"/>
  <c r="CM1328" i="1"/>
  <c r="CK1331" i="1"/>
  <c r="CQ1332" i="1"/>
  <c r="BX1332" i="1"/>
  <c r="CM1332" i="1"/>
  <c r="CN1333" i="1"/>
  <c r="CK1340" i="1"/>
  <c r="CR1340" i="1"/>
  <c r="CQ1340" i="1"/>
  <c r="BX1340" i="1"/>
  <c r="CO1340" i="1"/>
  <c r="CN1340" i="1"/>
  <c r="CM1340" i="1"/>
  <c r="CP1308" i="1"/>
  <c r="CR1310" i="1"/>
  <c r="CO1311" i="1"/>
  <c r="CS1311" i="1" s="1"/>
  <c r="CT1311" i="1" s="1"/>
  <c r="CL1312" i="1"/>
  <c r="CP1316" i="1"/>
  <c r="CR1320" i="1"/>
  <c r="CK1323" i="1"/>
  <c r="CN1325" i="1"/>
  <c r="CQ1326" i="1"/>
  <c r="CN1328" i="1"/>
  <c r="CQ1330" i="1"/>
  <c r="BX1330" i="1"/>
  <c r="CM1330" i="1"/>
  <c r="BX1308" i="1"/>
  <c r="CQ1308" i="1"/>
  <c r="CK1310" i="1"/>
  <c r="CS1310" i="1" s="1"/>
  <c r="CT1310" i="1" s="1"/>
  <c r="CP1311" i="1"/>
  <c r="CM1312" i="1"/>
  <c r="BX1316" i="1"/>
  <c r="CQ1316" i="1"/>
  <c r="CK1318" i="1"/>
  <c r="CK1320" i="1"/>
  <c r="CK1322" i="1"/>
  <c r="CL1323" i="1"/>
  <c r="CP1325" i="1"/>
  <c r="CP1326" i="1"/>
  <c r="CR1326" i="1"/>
  <c r="CO1301" i="1"/>
  <c r="CR1308" i="1"/>
  <c r="CO1309" i="1"/>
  <c r="BX1311" i="1"/>
  <c r="CQ1311" i="1"/>
  <c r="CN1312" i="1"/>
  <c r="CR1316" i="1"/>
  <c r="CO1317" i="1"/>
  <c r="CM1322" i="1"/>
  <c r="CN1323" i="1"/>
  <c r="BX1326" i="1"/>
  <c r="CL1327" i="1"/>
  <c r="CS1327" i="1" s="1"/>
  <c r="CT1327" i="1" s="1"/>
  <c r="CQ1328" i="1"/>
  <c r="CO1330" i="1"/>
  <c r="CR1333" i="1"/>
  <c r="CL1335" i="1"/>
  <c r="CK1335" i="1"/>
  <c r="CR1335" i="1"/>
  <c r="CP1335" i="1"/>
  <c r="CO1335" i="1"/>
  <c r="CP1338" i="1"/>
  <c r="CN1339" i="1"/>
  <c r="CM1339" i="1"/>
  <c r="CL1339" i="1"/>
  <c r="CR1339" i="1"/>
  <c r="CQ1339" i="1"/>
  <c r="BX1339" i="1"/>
  <c r="CP1339" i="1"/>
  <c r="CO1312" i="1"/>
  <c r="CK1325" i="1"/>
  <c r="CS1325" i="1" s="1"/>
  <c r="CT1325" i="1" s="1"/>
  <c r="CO1325" i="1"/>
  <c r="CR1325" i="1"/>
  <c r="CP1328" i="1"/>
  <c r="CR1330" i="1"/>
  <c r="BX1335" i="1"/>
  <c r="CQ1336" i="1"/>
  <c r="BX1336" i="1"/>
  <c r="CO1336" i="1"/>
  <c r="CM1336" i="1"/>
  <c r="CN1336" i="1"/>
  <c r="CI1339" i="1"/>
  <c r="CK1339" i="1"/>
  <c r="CS1339" i="1" s="1"/>
  <c r="CT1339" i="1" s="1"/>
  <c r="CI1335" i="1"/>
  <c r="CL1343" i="1"/>
  <c r="CS1343" i="1" s="1"/>
  <c r="CT1343" i="1" s="1"/>
  <c r="BX1344" i="1"/>
  <c r="CQ1344" i="1"/>
  <c r="CA1346" i="1"/>
  <c r="CL1348" i="1"/>
  <c r="CS1348" i="1" s="1"/>
  <c r="CT1348" i="1" s="1"/>
  <c r="BX1349" i="1"/>
  <c r="CQ1349" i="1"/>
  <c r="CK1351" i="1"/>
  <c r="CK1353" i="1"/>
  <c r="CS1353" i="1" s="1"/>
  <c r="CT1353" i="1" s="1"/>
  <c r="CI1365" i="1"/>
  <c r="CL1326" i="1"/>
  <c r="CS1326" i="1" s="1"/>
  <c r="CT1326" i="1" s="1"/>
  <c r="CP1327" i="1"/>
  <c r="CL1328" i="1"/>
  <c r="CP1329" i="1"/>
  <c r="CS1329" i="1" s="1"/>
  <c r="CT1329" i="1" s="1"/>
  <c r="CL1330" i="1"/>
  <c r="CS1330" i="1" s="1"/>
  <c r="CT1330" i="1" s="1"/>
  <c r="CP1331" i="1"/>
  <c r="CL1332" i="1"/>
  <c r="CS1332" i="1" s="1"/>
  <c r="CT1332" i="1" s="1"/>
  <c r="CP1333" i="1"/>
  <c r="CB1334" i="1"/>
  <c r="CI1334" i="1" s="1"/>
  <c r="CK1334" i="1"/>
  <c r="CL1336" i="1"/>
  <c r="CS1336" i="1" s="1"/>
  <c r="CT1336" i="1" s="1"/>
  <c r="CL1338" i="1"/>
  <c r="CK1341" i="1"/>
  <c r="CS1341" i="1" s="1"/>
  <c r="CT1341" i="1" s="1"/>
  <c r="CM1343" i="1"/>
  <c r="CR1344" i="1"/>
  <c r="CO1345" i="1"/>
  <c r="BI1346" i="1"/>
  <c r="CB1346" i="1"/>
  <c r="CK1346" i="1"/>
  <c r="CM1348" i="1"/>
  <c r="CR1349" i="1"/>
  <c r="CO1350" i="1"/>
  <c r="CL1351" i="1"/>
  <c r="CL1353" i="1"/>
  <c r="CB1355" i="1"/>
  <c r="CI1355" i="1" s="1"/>
  <c r="CG1356" i="1"/>
  <c r="CC1356" i="1"/>
  <c r="CH1356" i="1"/>
  <c r="CG1358" i="1"/>
  <c r="AD1358" i="1"/>
  <c r="CF1358" i="1"/>
  <c r="CC1358" i="1"/>
  <c r="CI1358" i="1" s="1"/>
  <c r="BS1358" i="1"/>
  <c r="CM1359" i="1"/>
  <c r="CL1359" i="1"/>
  <c r="CS1359" i="1" s="1"/>
  <c r="CT1359" i="1" s="1"/>
  <c r="CQ1359" i="1"/>
  <c r="BX1359" i="1"/>
  <c r="CN1363" i="1"/>
  <c r="CM1363" i="1"/>
  <c r="CL1363" i="1"/>
  <c r="CK1363" i="1"/>
  <c r="CQ1363" i="1"/>
  <c r="BX1363" i="1"/>
  <c r="CI1364" i="1"/>
  <c r="CQ1337" i="1"/>
  <c r="CQ1342" i="1"/>
  <c r="CN1343" i="1"/>
  <c r="CK1344" i="1"/>
  <c r="CP1345" i="1"/>
  <c r="BS1346" i="1"/>
  <c r="CC1346" i="1"/>
  <c r="CN1348" i="1"/>
  <c r="CK1349" i="1"/>
  <c r="CP1350" i="1"/>
  <c r="CM1351" i="1"/>
  <c r="CM1353" i="1"/>
  <c r="CP1356" i="1"/>
  <c r="CL1356" i="1"/>
  <c r="CS1356" i="1" s="1"/>
  <c r="CT1356" i="1" s="1"/>
  <c r="CK1360" i="1"/>
  <c r="CL1366" i="1"/>
  <c r="CK1366" i="1"/>
  <c r="CR1366" i="1"/>
  <c r="CQ1366" i="1"/>
  <c r="BX1366" i="1"/>
  <c r="CP1366" i="1"/>
  <c r="CO1366" i="1"/>
  <c r="CN1366" i="1"/>
  <c r="CO1343" i="1"/>
  <c r="CL1344" i="1"/>
  <c r="CO1348" i="1"/>
  <c r="CL1349" i="1"/>
  <c r="CL1360" i="1"/>
  <c r="CM1366" i="1"/>
  <c r="CK1337" i="1"/>
  <c r="CK1342" i="1"/>
  <c r="CP1343" i="1"/>
  <c r="CM1344" i="1"/>
  <c r="CR1345" i="1"/>
  <c r="CE1346" i="1"/>
  <c r="CK1347" i="1"/>
  <c r="CS1347" i="1" s="1"/>
  <c r="CT1347" i="1" s="1"/>
  <c r="CP1348" i="1"/>
  <c r="CM1349" i="1"/>
  <c r="CR1350" i="1"/>
  <c r="CO1351" i="1"/>
  <c r="CK1352" i="1"/>
  <c r="CS1352" i="1" s="1"/>
  <c r="CT1352" i="1" s="1"/>
  <c r="CK1354" i="1"/>
  <c r="CM1356" i="1"/>
  <c r="CN1359" i="1"/>
  <c r="CN1360" i="1"/>
  <c r="CK1362" i="1"/>
  <c r="CO1334" i="1"/>
  <c r="CL1337" i="1"/>
  <c r="CO1341" i="1"/>
  <c r="CL1342" i="1"/>
  <c r="BX1343" i="1"/>
  <c r="CQ1343" i="1"/>
  <c r="CN1344" i="1"/>
  <c r="CK1345" i="1"/>
  <c r="CS1345" i="1" s="1"/>
  <c r="CT1345" i="1" s="1"/>
  <c r="CF1346" i="1"/>
  <c r="CL1347" i="1"/>
  <c r="BX1348" i="1"/>
  <c r="CQ1348" i="1"/>
  <c r="CN1349" i="1"/>
  <c r="CK1350" i="1"/>
  <c r="CS1350" i="1" s="1"/>
  <c r="CT1350" i="1" s="1"/>
  <c r="CL1352" i="1"/>
  <c r="CP1353" i="1"/>
  <c r="CL1354" i="1"/>
  <c r="CF1355" i="1"/>
  <c r="CN1356" i="1"/>
  <c r="CO1359" i="1"/>
  <c r="CO1360" i="1"/>
  <c r="CM1361" i="1"/>
  <c r="CL1361" i="1"/>
  <c r="CK1361" i="1"/>
  <c r="CQ1361" i="1"/>
  <c r="BX1361" i="1"/>
  <c r="CL1362" i="1"/>
  <c r="CO1344" i="1"/>
  <c r="CO1349" i="1"/>
  <c r="BX1351" i="1"/>
  <c r="BX1353" i="1"/>
  <c r="AD1355" i="1"/>
  <c r="CO1356" i="1"/>
  <c r="CC1357" i="1"/>
  <c r="CI1357" i="1" s="1"/>
  <c r="BS1357" i="1"/>
  <c r="CG1357" i="1"/>
  <c r="AD1357" i="1"/>
  <c r="CN1362" i="1"/>
  <c r="CK1369" i="1"/>
  <c r="CP1370" i="1"/>
  <c r="CK1377" i="1"/>
  <c r="CP1378" i="1"/>
  <c r="CM1386" i="1"/>
  <c r="CQ1386" i="1"/>
  <c r="BX1386" i="1"/>
  <c r="CR1365" i="1"/>
  <c r="CR1367" i="1"/>
  <c r="CL1369" i="1"/>
  <c r="BX1370" i="1"/>
  <c r="CQ1370" i="1"/>
  <c r="CN1371" i="1"/>
  <c r="CK1372" i="1"/>
  <c r="CP1373" i="1"/>
  <c r="CM1374" i="1"/>
  <c r="CR1375" i="1"/>
  <c r="CL1377" i="1"/>
  <c r="BX1378" i="1"/>
  <c r="CQ1378" i="1"/>
  <c r="CN1379" i="1"/>
  <c r="CP1381" i="1"/>
  <c r="CM1382" i="1"/>
  <c r="CS1382" i="1" s="1"/>
  <c r="CT1382" i="1" s="1"/>
  <c r="CR1383" i="1"/>
  <c r="CI1387" i="1"/>
  <c r="CK1387" i="1"/>
  <c r="CM1360" i="1"/>
  <c r="CM1362" i="1"/>
  <c r="CN1364" i="1"/>
  <c r="CS1364" i="1" s="1"/>
  <c r="CT1364" i="1" s="1"/>
  <c r="CK1365" i="1"/>
  <c r="CK1367" i="1"/>
  <c r="CP1368" i="1"/>
  <c r="CS1368" i="1" s="1"/>
  <c r="CT1368" i="1" s="1"/>
  <c r="CM1369" i="1"/>
  <c r="CR1370" i="1"/>
  <c r="CO1371" i="1"/>
  <c r="CL1372" i="1"/>
  <c r="BX1373" i="1"/>
  <c r="CQ1373" i="1"/>
  <c r="CN1374" i="1"/>
  <c r="CK1375" i="1"/>
  <c r="CP1376" i="1"/>
  <c r="CM1377" i="1"/>
  <c r="CR1378" i="1"/>
  <c r="CO1379" i="1"/>
  <c r="CL1380" i="1"/>
  <c r="CS1380" i="1" s="1"/>
  <c r="CT1380" i="1" s="1"/>
  <c r="BX1381" i="1"/>
  <c r="CQ1381" i="1"/>
  <c r="CN1382" i="1"/>
  <c r="CK1383" i="1"/>
  <c r="CQ1384" i="1"/>
  <c r="CK1386" i="1"/>
  <c r="CL1387" i="1"/>
  <c r="CN1391" i="1"/>
  <c r="CO1397" i="1"/>
  <c r="CN1397" i="1"/>
  <c r="CM1397" i="1"/>
  <c r="CK1397" i="1"/>
  <c r="CR1397" i="1"/>
  <c r="BX1397" i="1"/>
  <c r="CI1414" i="1"/>
  <c r="CN1369" i="1"/>
  <c r="CK1370" i="1"/>
  <c r="CP1371" i="1"/>
  <c r="CN1377" i="1"/>
  <c r="CK1378" i="1"/>
  <c r="CP1379" i="1"/>
  <c r="CL1386" i="1"/>
  <c r="CI1389" i="1"/>
  <c r="CI1391" i="1"/>
  <c r="CQ1395" i="1"/>
  <c r="BX1395" i="1"/>
  <c r="CO1395" i="1"/>
  <c r="CM1395" i="1"/>
  <c r="CL1395" i="1"/>
  <c r="CS1395" i="1" s="1"/>
  <c r="CT1395" i="1" s="1"/>
  <c r="CO1396" i="1"/>
  <c r="CN1396" i="1"/>
  <c r="CM1396" i="1"/>
  <c r="CL1396" i="1"/>
  <c r="CK1396" i="1"/>
  <c r="CR1396" i="1"/>
  <c r="CQ1396" i="1"/>
  <c r="BX1396" i="1"/>
  <c r="CR1401" i="1"/>
  <c r="CI1405" i="1"/>
  <c r="CP1364" i="1"/>
  <c r="CM1365" i="1"/>
  <c r="CM1367" i="1"/>
  <c r="CO1369" i="1"/>
  <c r="CL1370" i="1"/>
  <c r="BX1371" i="1"/>
  <c r="CQ1371" i="1"/>
  <c r="CK1373" i="1"/>
  <c r="CS1373" i="1" s="1"/>
  <c r="CT1373" i="1" s="1"/>
  <c r="CP1374" i="1"/>
  <c r="CS1374" i="1" s="1"/>
  <c r="CT1374" i="1" s="1"/>
  <c r="CM1375" i="1"/>
  <c r="CO1377" i="1"/>
  <c r="CL1378" i="1"/>
  <c r="BX1379" i="1"/>
  <c r="CQ1379" i="1"/>
  <c r="CN1380" i="1"/>
  <c r="CK1381" i="1"/>
  <c r="CP1382" i="1"/>
  <c r="CM1383" i="1"/>
  <c r="CN1386" i="1"/>
  <c r="CO1387" i="1"/>
  <c r="CL1389" i="1"/>
  <c r="CS1389" i="1" s="1"/>
  <c r="CT1389" i="1" s="1"/>
  <c r="CR1389" i="1"/>
  <c r="CN1389" i="1"/>
  <c r="CM1389" i="1"/>
  <c r="CI1393" i="1"/>
  <c r="CI1396" i="1"/>
  <c r="CP1396" i="1"/>
  <c r="CP1415" i="1"/>
  <c r="CP1360" i="1"/>
  <c r="CP1362" i="1"/>
  <c r="BX1364" i="1"/>
  <c r="CQ1364" i="1"/>
  <c r="CN1365" i="1"/>
  <c r="CN1367" i="1"/>
  <c r="CP1369" i="1"/>
  <c r="CM1370" i="1"/>
  <c r="CR1371" i="1"/>
  <c r="CO1372" i="1"/>
  <c r="CL1373" i="1"/>
  <c r="BX1374" i="1"/>
  <c r="CQ1374" i="1"/>
  <c r="CN1375" i="1"/>
  <c r="CK1376" i="1"/>
  <c r="CS1376" i="1" s="1"/>
  <c r="CT1376" i="1" s="1"/>
  <c r="CP1377" i="1"/>
  <c r="CM1378" i="1"/>
  <c r="CR1379" i="1"/>
  <c r="CO1380" i="1"/>
  <c r="CL1381" i="1"/>
  <c r="BX1382" i="1"/>
  <c r="CQ1382" i="1"/>
  <c r="CN1383" i="1"/>
  <c r="CK1384" i="1"/>
  <c r="CS1384" i="1" s="1"/>
  <c r="CT1384" i="1" s="1"/>
  <c r="CO1386" i="1"/>
  <c r="CP1387" i="1"/>
  <c r="CO1388" i="1"/>
  <c r="CM1388" i="1"/>
  <c r="CK1388" i="1"/>
  <c r="CM1391" i="1"/>
  <c r="CQ1391" i="1"/>
  <c r="BX1391" i="1"/>
  <c r="CD1399" i="1"/>
  <c r="CC1399" i="1"/>
  <c r="BS1399" i="1"/>
  <c r="CB1399" i="1"/>
  <c r="CA1399" i="1"/>
  <c r="CH1399" i="1"/>
  <c r="CG1399" i="1"/>
  <c r="CF1399" i="1"/>
  <c r="AD1399" i="1"/>
  <c r="CE1399" i="1"/>
  <c r="CQ1402" i="1"/>
  <c r="BX1402" i="1"/>
  <c r="CP1402" i="1"/>
  <c r="CO1402" i="1"/>
  <c r="CN1402" i="1"/>
  <c r="CM1402" i="1"/>
  <c r="CL1402" i="1"/>
  <c r="CK1402" i="1"/>
  <c r="CR1402" i="1"/>
  <c r="CO1415" i="1"/>
  <c r="CI1416" i="1"/>
  <c r="BX1360" i="1"/>
  <c r="BX1362" i="1"/>
  <c r="CO1365" i="1"/>
  <c r="CO1367" i="1"/>
  <c r="BX1369" i="1"/>
  <c r="CN1370" i="1"/>
  <c r="CK1371" i="1"/>
  <c r="CO1375" i="1"/>
  <c r="BX1377" i="1"/>
  <c r="CN1378" i="1"/>
  <c r="CK1379" i="1"/>
  <c r="CS1379" i="1" s="1"/>
  <c r="CT1379" i="1" s="1"/>
  <c r="CO1383" i="1"/>
  <c r="CL1384" i="1"/>
  <c r="CP1386" i="1"/>
  <c r="BX1388" i="1"/>
  <c r="CQ1389" i="1"/>
  <c r="CI1394" i="1"/>
  <c r="CI1401" i="1"/>
  <c r="CR1386" i="1"/>
  <c r="CR1387" i="1"/>
  <c r="CN1387" i="1"/>
  <c r="CK1392" i="1"/>
  <c r="CR1392" i="1"/>
  <c r="CQ1392" i="1"/>
  <c r="BX1392" i="1"/>
  <c r="CP1392" i="1"/>
  <c r="CO1392" i="1"/>
  <c r="CN1392" i="1"/>
  <c r="CM1392" i="1"/>
  <c r="CN1409" i="1"/>
  <c r="CR1409" i="1"/>
  <c r="CQ1409" i="1"/>
  <c r="CP1409" i="1"/>
  <c r="CO1409" i="1"/>
  <c r="CM1409" i="1"/>
  <c r="CL1409" i="1"/>
  <c r="BX1409" i="1"/>
  <c r="CK1409" i="1"/>
  <c r="CK1390" i="1"/>
  <c r="CP1391" i="1"/>
  <c r="CR1393" i="1"/>
  <c r="CO1394" i="1"/>
  <c r="CD1398" i="1"/>
  <c r="CH1400" i="1"/>
  <c r="CL1401" i="1"/>
  <c r="CS1401" i="1" s="1"/>
  <c r="CT1401" i="1" s="1"/>
  <c r="CE1403" i="1"/>
  <c r="CI1403" i="1" s="1"/>
  <c r="CN1403" i="1"/>
  <c r="CH1404" i="1"/>
  <c r="CO1405" i="1"/>
  <c r="CS1405" i="1" s="1"/>
  <c r="CT1405" i="1" s="1"/>
  <c r="CA1406" i="1"/>
  <c r="CR1406" i="1"/>
  <c r="CL1407" i="1"/>
  <c r="CB1408" i="1"/>
  <c r="CI1408" i="1" s="1"/>
  <c r="CF1408" i="1"/>
  <c r="CG1408" i="1"/>
  <c r="CM1410" i="1"/>
  <c r="CO1411" i="1"/>
  <c r="CP1412" i="1"/>
  <c r="CL1417" i="1"/>
  <c r="CS1417" i="1" s="1"/>
  <c r="CT1417" i="1" s="1"/>
  <c r="CR1420" i="1"/>
  <c r="CK1393" i="1"/>
  <c r="CP1394" i="1"/>
  <c r="CE1398" i="1"/>
  <c r="CA1400" i="1"/>
  <c r="CM1401" i="1"/>
  <c r="CO1403" i="1"/>
  <c r="CA1404" i="1"/>
  <c r="CK1406" i="1"/>
  <c r="CM1407" i="1"/>
  <c r="CK1408" i="1"/>
  <c r="CO1408" i="1"/>
  <c r="CR1412" i="1"/>
  <c r="CR1413" i="1"/>
  <c r="CN1413" i="1"/>
  <c r="CK1414" i="1"/>
  <c r="CK1420" i="1"/>
  <c r="CL1385" i="1"/>
  <c r="CS1385" i="1" s="1"/>
  <c r="CT1385" i="1" s="1"/>
  <c r="CM1390" i="1"/>
  <c r="CR1391" i="1"/>
  <c r="CL1393" i="1"/>
  <c r="BX1394" i="1"/>
  <c r="CQ1394" i="1"/>
  <c r="CN1395" i="1"/>
  <c r="CL1397" i="1"/>
  <c r="AD1398" i="1"/>
  <c r="CF1398" i="1"/>
  <c r="CB1400" i="1"/>
  <c r="CN1401" i="1"/>
  <c r="CG1403" i="1"/>
  <c r="CP1403" i="1"/>
  <c r="CB1404" i="1"/>
  <c r="BX1405" i="1"/>
  <c r="CQ1405" i="1"/>
  <c r="BS1406" i="1"/>
  <c r="CC1406" i="1"/>
  <c r="CL1406" i="1"/>
  <c r="CE1407" i="1"/>
  <c r="CI1407" i="1" s="1"/>
  <c r="CN1407" i="1"/>
  <c r="CI1409" i="1"/>
  <c r="CP1411" i="1"/>
  <c r="CR1411" i="1"/>
  <c r="BX1413" i="1"/>
  <c r="CM1414" i="1"/>
  <c r="CO1420" i="1"/>
  <c r="CQ1421" i="1"/>
  <c r="BX1421" i="1"/>
  <c r="CO1421" i="1"/>
  <c r="CN1421" i="1"/>
  <c r="CM1421" i="1"/>
  <c r="CK1421" i="1"/>
  <c r="CR1421" i="1"/>
  <c r="CO1401" i="1"/>
  <c r="CO1407" i="1"/>
  <c r="BX1408" i="1"/>
  <c r="CL1408" i="1"/>
  <c r="CK1413" i="1"/>
  <c r="CS1413" i="1" s="1"/>
  <c r="CT1413" i="1" s="1"/>
  <c r="CI1421" i="1"/>
  <c r="CO1390" i="1"/>
  <c r="CL1391" i="1"/>
  <c r="CS1391" i="1" s="1"/>
  <c r="CT1391" i="1" s="1"/>
  <c r="CN1393" i="1"/>
  <c r="CK1394" i="1"/>
  <c r="CS1394" i="1" s="1"/>
  <c r="CT1394" i="1" s="1"/>
  <c r="CP1395" i="1"/>
  <c r="CH1398" i="1"/>
  <c r="CD1400" i="1"/>
  <c r="CP1401" i="1"/>
  <c r="CR1403" i="1"/>
  <c r="CD1404" i="1"/>
  <c r="CE1406" i="1"/>
  <c r="CN1406" i="1"/>
  <c r="CP1407" i="1"/>
  <c r="CM1408" i="1"/>
  <c r="CK1410" i="1"/>
  <c r="CO1410" i="1"/>
  <c r="CR1410" i="1"/>
  <c r="CK1412" i="1"/>
  <c r="CL1413" i="1"/>
  <c r="CO1414" i="1"/>
  <c r="CM1415" i="1"/>
  <c r="CL1415" i="1"/>
  <c r="CS1415" i="1" s="1"/>
  <c r="CT1415" i="1" s="1"/>
  <c r="CR1415" i="1"/>
  <c r="CQ1415" i="1"/>
  <c r="BX1415" i="1"/>
  <c r="CP1390" i="1"/>
  <c r="CL1394" i="1"/>
  <c r="CA1398" i="1"/>
  <c r="CI1398" i="1" s="1"/>
  <c r="CE1400" i="1"/>
  <c r="BX1401" i="1"/>
  <c r="CQ1401" i="1"/>
  <c r="CK1403" i="1"/>
  <c r="CS1403" i="1" s="1"/>
  <c r="CT1403" i="1" s="1"/>
  <c r="CE1404" i="1"/>
  <c r="CO1406" i="1"/>
  <c r="BX1407" i="1"/>
  <c r="CQ1407" i="1"/>
  <c r="CN1408" i="1"/>
  <c r="CK1411" i="1"/>
  <c r="CL1412" i="1"/>
  <c r="CM1413" i="1"/>
  <c r="CQ1414" i="1"/>
  <c r="CI1415" i="1"/>
  <c r="BX1390" i="1"/>
  <c r="AD1400" i="1"/>
  <c r="BS1403" i="1"/>
  <c r="AD1404" i="1"/>
  <c r="BS1408" i="1"/>
  <c r="CD1408" i="1"/>
  <c r="CP1408" i="1"/>
  <c r="CO1413" i="1"/>
  <c r="CP1414" i="1"/>
  <c r="CN1415" i="1"/>
  <c r="CR1417" i="1"/>
  <c r="CI1422" i="1"/>
  <c r="CI1462" i="1"/>
  <c r="CL1411" i="1"/>
  <c r="BX1412" i="1"/>
  <c r="CQ1412" i="1"/>
  <c r="CL1414" i="1"/>
  <c r="CM1417" i="1"/>
  <c r="CK1418" i="1"/>
  <c r="AD1419" i="1"/>
  <c r="CF1419" i="1"/>
  <c r="CM1420" i="1"/>
  <c r="CO1422" i="1"/>
  <c r="CS1422" i="1" s="1"/>
  <c r="CT1422" i="1" s="1"/>
  <c r="BI1434" i="1"/>
  <c r="CB1434" i="1"/>
  <c r="CI1434" i="1" s="1"/>
  <c r="CK1434" i="1"/>
  <c r="CA1435" i="1"/>
  <c r="CI1435" i="1" s="1"/>
  <c r="CR1435" i="1"/>
  <c r="CD1436" i="1"/>
  <c r="CI1436" i="1" s="1"/>
  <c r="CM1436" i="1"/>
  <c r="CG1437" i="1"/>
  <c r="CL1439" i="1"/>
  <c r="CS1439" i="1" s="1"/>
  <c r="CT1439" i="1" s="1"/>
  <c r="CL1444" i="1"/>
  <c r="CS1444" i="1" s="1"/>
  <c r="CT1444" i="1" s="1"/>
  <c r="CL1449" i="1"/>
  <c r="CS1449" i="1" s="1"/>
  <c r="CT1449" i="1" s="1"/>
  <c r="CL1454" i="1"/>
  <c r="CS1454" i="1" s="1"/>
  <c r="CT1454" i="1" s="1"/>
  <c r="CM1459" i="1"/>
  <c r="CS1459" i="1" s="1"/>
  <c r="CT1459" i="1" s="1"/>
  <c r="CK1461" i="1"/>
  <c r="CS1461" i="1" s="1"/>
  <c r="CT1461" i="1" s="1"/>
  <c r="CF1462" i="1"/>
  <c r="CO1462" i="1"/>
  <c r="BX1463" i="1"/>
  <c r="CH1463" i="1"/>
  <c r="CQ1463" i="1"/>
  <c r="CD1464" i="1"/>
  <c r="CI1464" i="1" s="1"/>
  <c r="AD1465" i="1"/>
  <c r="CG1465" i="1"/>
  <c r="CA1466" i="1"/>
  <c r="CO1467" i="1"/>
  <c r="CO1468" i="1"/>
  <c r="BX1416" i="1"/>
  <c r="CQ1416" i="1"/>
  <c r="CN1417" i="1"/>
  <c r="CL1418" i="1"/>
  <c r="CG1419" i="1"/>
  <c r="CN1420" i="1"/>
  <c r="CP1422" i="1"/>
  <c r="BS1434" i="1"/>
  <c r="CC1434" i="1"/>
  <c r="CK1435" i="1"/>
  <c r="CE1436" i="1"/>
  <c r="CN1436" i="1"/>
  <c r="CH1437" i="1"/>
  <c r="CM1439" i="1"/>
  <c r="BX1441" i="1"/>
  <c r="CQ1441" i="1"/>
  <c r="CM1444" i="1"/>
  <c r="BX1446" i="1"/>
  <c r="CQ1446" i="1"/>
  <c r="CM1449" i="1"/>
  <c r="BX1451" i="1"/>
  <c r="CQ1451" i="1"/>
  <c r="CM1454" i="1"/>
  <c r="BX1456" i="1"/>
  <c r="CQ1456" i="1"/>
  <c r="CN1459" i="1"/>
  <c r="CP1462" i="1"/>
  <c r="CA1463" i="1"/>
  <c r="CR1463" i="1"/>
  <c r="CE1464" i="1"/>
  <c r="CH1465" i="1"/>
  <c r="CB1466" i="1"/>
  <c r="CP1468" i="1"/>
  <c r="CO1436" i="1"/>
  <c r="CA1437" i="1"/>
  <c r="CK1463" i="1"/>
  <c r="BX1468" i="1"/>
  <c r="CQ1468" i="1"/>
  <c r="CK1416" i="1"/>
  <c r="CS1416" i="1" s="1"/>
  <c r="CT1416" i="1" s="1"/>
  <c r="CP1417" i="1"/>
  <c r="CN1418" i="1"/>
  <c r="CA1419" i="1"/>
  <c r="CP1420" i="1"/>
  <c r="CE1434" i="1"/>
  <c r="CM1435" i="1"/>
  <c r="CG1436" i="1"/>
  <c r="CP1436" i="1"/>
  <c r="BI1437" i="1"/>
  <c r="CB1437" i="1"/>
  <c r="CO1439" i="1"/>
  <c r="CK1441" i="1"/>
  <c r="CS1441" i="1" s="1"/>
  <c r="CT1441" i="1" s="1"/>
  <c r="CO1444" i="1"/>
  <c r="CK1446" i="1"/>
  <c r="CS1446" i="1" s="1"/>
  <c r="CT1446" i="1" s="1"/>
  <c r="CO1449" i="1"/>
  <c r="CK1451" i="1"/>
  <c r="CS1451" i="1" s="1"/>
  <c r="CT1451" i="1" s="1"/>
  <c r="CO1454" i="1"/>
  <c r="CK1456" i="1"/>
  <c r="CP1459" i="1"/>
  <c r="CR1462" i="1"/>
  <c r="BS1463" i="1"/>
  <c r="CL1463" i="1"/>
  <c r="CG1464" i="1"/>
  <c r="CB1465" i="1"/>
  <c r="CI1465" i="1" s="1"/>
  <c r="CR1467" i="1"/>
  <c r="CR1468" i="1"/>
  <c r="BX1417" i="1"/>
  <c r="CQ1417" i="1"/>
  <c r="CO1418" i="1"/>
  <c r="CB1419" i="1"/>
  <c r="BX1420" i="1"/>
  <c r="CQ1420" i="1"/>
  <c r="CF1434" i="1"/>
  <c r="CN1435" i="1"/>
  <c r="BX1436" i="1"/>
  <c r="CH1436" i="1"/>
  <c r="CQ1436" i="1"/>
  <c r="BS1437" i="1"/>
  <c r="CC1437" i="1"/>
  <c r="BX1459" i="1"/>
  <c r="CQ1459" i="1"/>
  <c r="CK1462" i="1"/>
  <c r="CM1463" i="1"/>
  <c r="AD1464" i="1"/>
  <c r="CH1464" i="1"/>
  <c r="BS1465" i="1"/>
  <c r="CC1465" i="1"/>
  <c r="CE1466" i="1"/>
  <c r="CK1467" i="1"/>
  <c r="CS1467" i="1" s="1"/>
  <c r="CT1467" i="1" s="1"/>
  <c r="CK1468" i="1"/>
  <c r="BS1419" i="1"/>
  <c r="CC1419" i="1"/>
  <c r="CG1434" i="1"/>
  <c r="CR1436" i="1"/>
  <c r="CD1437" i="1"/>
  <c r="CM1437" i="1"/>
  <c r="BX1439" i="1"/>
  <c r="CQ1439" i="1"/>
  <c r="BX1444" i="1"/>
  <c r="CQ1444" i="1"/>
  <c r="BX1449" i="1"/>
  <c r="CQ1449" i="1"/>
  <c r="BX1454" i="1"/>
  <c r="CQ1454" i="1"/>
  <c r="CD1465" i="1"/>
  <c r="AD1466" i="1"/>
  <c r="CF1466" i="1"/>
  <c r="CL1467" i="1"/>
  <c r="CL1468" i="1"/>
  <c r="CK1436" i="1"/>
  <c r="CE1437" i="1"/>
  <c r="CR1449" i="1"/>
  <c r="CR1454" i="1"/>
  <c r="CO1463" i="1"/>
  <c r="CE1465" i="1"/>
  <c r="CI1419" i="1" l="1"/>
  <c r="CO1465" i="1"/>
  <c r="CN1465" i="1"/>
  <c r="CM1465" i="1"/>
  <c r="CL1465" i="1"/>
  <c r="CK1465" i="1"/>
  <c r="CR1465" i="1"/>
  <c r="CQ1465" i="1"/>
  <c r="BX1465" i="1"/>
  <c r="CP1465" i="1"/>
  <c r="CO1400" i="1"/>
  <c r="CN1400" i="1"/>
  <c r="CM1400" i="1"/>
  <c r="CL1400" i="1"/>
  <c r="CK1400" i="1"/>
  <c r="CR1400" i="1"/>
  <c r="CQ1400" i="1"/>
  <c r="BX1400" i="1"/>
  <c r="CP1400" i="1"/>
  <c r="CS1412" i="1"/>
  <c r="CT1412" i="1" s="1"/>
  <c r="CS1420" i="1"/>
  <c r="CT1420" i="1" s="1"/>
  <c r="CM1399" i="1"/>
  <c r="CL1399" i="1"/>
  <c r="CK1399" i="1"/>
  <c r="CS1399" i="1" s="1"/>
  <c r="CT1399" i="1" s="1"/>
  <c r="CR1399" i="1"/>
  <c r="CQ1399" i="1"/>
  <c r="BX1399" i="1"/>
  <c r="CP1399" i="1"/>
  <c r="CO1399" i="1"/>
  <c r="CN1399" i="1"/>
  <c r="CS1378" i="1"/>
  <c r="CT1378" i="1" s="1"/>
  <c r="CS1365" i="1"/>
  <c r="CT1365" i="1" s="1"/>
  <c r="CS1334" i="1"/>
  <c r="CT1334" i="1" s="1"/>
  <c r="CS1307" i="1"/>
  <c r="CT1307" i="1" s="1"/>
  <c r="CO1257" i="1"/>
  <c r="CQ1257" i="1"/>
  <c r="BX1257" i="1"/>
  <c r="CP1257" i="1"/>
  <c r="CK1257" i="1"/>
  <c r="CR1257" i="1"/>
  <c r="CS1262" i="1"/>
  <c r="CT1262" i="1" s="1"/>
  <c r="CO1274" i="1"/>
  <c r="CS1247" i="1"/>
  <c r="CT1247" i="1" s="1"/>
  <c r="CO1157" i="1"/>
  <c r="CR1157" i="1"/>
  <c r="CQ1157" i="1"/>
  <c r="CN1157" i="1"/>
  <c r="CM1157" i="1"/>
  <c r="CL1157" i="1"/>
  <c r="CK1157" i="1"/>
  <c r="CP1157" i="1"/>
  <c r="CI1046" i="1"/>
  <c r="CP1036" i="1"/>
  <c r="CO1036" i="1"/>
  <c r="CN1036" i="1"/>
  <c r="CM1036" i="1"/>
  <c r="CL1036" i="1"/>
  <c r="BX1036" i="1"/>
  <c r="CQ1036" i="1"/>
  <c r="CK1036" i="1"/>
  <c r="CR1036" i="1"/>
  <c r="CI809" i="1"/>
  <c r="CN1437" i="1"/>
  <c r="CR1437" i="1"/>
  <c r="CS1408" i="1"/>
  <c r="CT1408" i="1" s="1"/>
  <c r="CI1400" i="1"/>
  <c r="CS1407" i="1"/>
  <c r="CT1407" i="1" s="1"/>
  <c r="CS1396" i="1"/>
  <c r="CT1396" i="1" s="1"/>
  <c r="CS1397" i="1"/>
  <c r="CT1397" i="1" s="1"/>
  <c r="CQ1355" i="1"/>
  <c r="BX1355" i="1"/>
  <c r="CP1355" i="1"/>
  <c r="CO1355" i="1"/>
  <c r="CN1355" i="1"/>
  <c r="CM1355" i="1"/>
  <c r="CL1355" i="1"/>
  <c r="CK1355" i="1"/>
  <c r="CR1355" i="1"/>
  <c r="CS1342" i="1"/>
  <c r="CT1342" i="1" s="1"/>
  <c r="CS1338" i="1"/>
  <c r="CT1338" i="1" s="1"/>
  <c r="CO1288" i="1"/>
  <c r="CN1288" i="1"/>
  <c r="CM1288" i="1"/>
  <c r="CL1288" i="1"/>
  <c r="CK1288" i="1"/>
  <c r="CR1288" i="1"/>
  <c r="CQ1288" i="1"/>
  <c r="BX1288" i="1"/>
  <c r="CP1288" i="1"/>
  <c r="CP1258" i="1"/>
  <c r="CO1258" i="1"/>
  <c r="CN1258" i="1"/>
  <c r="CM1258" i="1"/>
  <c r="CL1258" i="1"/>
  <c r="CK1258" i="1"/>
  <c r="CS1258" i="1" s="1"/>
  <c r="CT1258" i="1" s="1"/>
  <c r="CR1258" i="1"/>
  <c r="BX1258" i="1"/>
  <c r="CQ1258" i="1"/>
  <c r="CN1276" i="1"/>
  <c r="CK1276" i="1"/>
  <c r="CM1276" i="1"/>
  <c r="CL1276" i="1"/>
  <c r="BX1276" i="1"/>
  <c r="CR1276" i="1"/>
  <c r="CQ1276" i="1"/>
  <c r="CP1276" i="1"/>
  <c r="CO1276" i="1"/>
  <c r="CS1290" i="1"/>
  <c r="CT1290" i="1" s="1"/>
  <c r="CS1265" i="1"/>
  <c r="CT1265" i="1" s="1"/>
  <c r="CS1245" i="1"/>
  <c r="CT1245" i="1" s="1"/>
  <c r="CI1264" i="1"/>
  <c r="CQ1228" i="1"/>
  <c r="BX1228" i="1"/>
  <c r="CP1228" i="1"/>
  <c r="CL1228" i="1"/>
  <c r="CK1228" i="1"/>
  <c r="CR1228" i="1"/>
  <c r="CO1228" i="1"/>
  <c r="CN1228" i="1"/>
  <c r="CM1228" i="1"/>
  <c r="CI1216" i="1"/>
  <c r="CM1222" i="1"/>
  <c r="CL1222" i="1"/>
  <c r="CK1222" i="1"/>
  <c r="CR1222" i="1"/>
  <c r="BX1222" i="1"/>
  <c r="CQ1222" i="1"/>
  <c r="CP1222" i="1"/>
  <c r="CO1222" i="1"/>
  <c r="CN1222" i="1"/>
  <c r="CN1177" i="1"/>
  <c r="CM1177" i="1"/>
  <c r="CL1177" i="1"/>
  <c r="CK1177" i="1"/>
  <c r="CR1177" i="1"/>
  <c r="CQ1177" i="1"/>
  <c r="BX1177" i="1"/>
  <c r="CP1177" i="1"/>
  <c r="CO1177" i="1"/>
  <c r="BX1105" i="1"/>
  <c r="CQ1105" i="1"/>
  <c r="CP1105" i="1"/>
  <c r="CL1105" i="1"/>
  <c r="CM1105" i="1"/>
  <c r="CN1105" i="1"/>
  <c r="CR1105" i="1"/>
  <c r="CK1105" i="1"/>
  <c r="CS1109" i="1"/>
  <c r="CT1109" i="1" s="1"/>
  <c r="CI1036" i="1"/>
  <c r="CS926" i="1"/>
  <c r="CT926" i="1" s="1"/>
  <c r="CS890" i="1"/>
  <c r="CT890" i="1" s="1"/>
  <c r="CN854" i="1"/>
  <c r="CM854" i="1"/>
  <c r="CL854" i="1"/>
  <c r="CR854" i="1"/>
  <c r="CQ854" i="1"/>
  <c r="CP854" i="1"/>
  <c r="CO854" i="1"/>
  <c r="BX854" i="1"/>
  <c r="CK854" i="1"/>
  <c r="CS675" i="1"/>
  <c r="CT675" i="1" s="1"/>
  <c r="CL1464" i="1"/>
  <c r="CK1464" i="1"/>
  <c r="CR1464" i="1"/>
  <c r="CQ1464" i="1"/>
  <c r="BX1464" i="1"/>
  <c r="CP1464" i="1"/>
  <c r="CO1464" i="1"/>
  <c r="CN1464" i="1"/>
  <c r="CM1464" i="1"/>
  <c r="CS1435" i="1"/>
  <c r="CT1435" i="1" s="1"/>
  <c r="CN1419" i="1"/>
  <c r="CL1419" i="1"/>
  <c r="CK1419" i="1"/>
  <c r="CR1419" i="1"/>
  <c r="CP1419" i="1"/>
  <c r="CO1419" i="1"/>
  <c r="CM1419" i="1"/>
  <c r="BX1419" i="1"/>
  <c r="CQ1419" i="1"/>
  <c r="CS1421" i="1"/>
  <c r="CT1421" i="1" s="1"/>
  <c r="CK1398" i="1"/>
  <c r="CR1398" i="1"/>
  <c r="CQ1398" i="1"/>
  <c r="BX1398" i="1"/>
  <c r="CP1398" i="1"/>
  <c r="CO1398" i="1"/>
  <c r="CN1398" i="1"/>
  <c r="CM1398" i="1"/>
  <c r="CL1398" i="1"/>
  <c r="CS1414" i="1"/>
  <c r="CT1414" i="1" s="1"/>
  <c r="CS1390" i="1"/>
  <c r="CT1390" i="1" s="1"/>
  <c r="CS1371" i="1"/>
  <c r="CT1371" i="1" s="1"/>
  <c r="CS1383" i="1"/>
  <c r="CT1383" i="1" s="1"/>
  <c r="CS1377" i="1"/>
  <c r="CT1377" i="1" s="1"/>
  <c r="CS1337" i="1"/>
  <c r="CT1337" i="1" s="1"/>
  <c r="CI1356" i="1"/>
  <c r="CS1283" i="1"/>
  <c r="CT1283" i="1" s="1"/>
  <c r="CN1269" i="1"/>
  <c r="CM1269" i="1"/>
  <c r="CL1269" i="1"/>
  <c r="CK1269" i="1"/>
  <c r="CR1269" i="1"/>
  <c r="CQ1269" i="1"/>
  <c r="BX1269" i="1"/>
  <c r="CP1269" i="1"/>
  <c r="CO1269" i="1"/>
  <c r="CI1274" i="1"/>
  <c r="CS1303" i="1"/>
  <c r="CT1303" i="1" s="1"/>
  <c r="CP1279" i="1"/>
  <c r="CO1279" i="1"/>
  <c r="CL1279" i="1"/>
  <c r="CK1279" i="1"/>
  <c r="CS1279" i="1" s="1"/>
  <c r="CT1279" i="1" s="1"/>
  <c r="CR1279" i="1"/>
  <c r="CQ1279" i="1"/>
  <c r="BX1279" i="1"/>
  <c r="CN1279" i="1"/>
  <c r="CM1279" i="1"/>
  <c r="CK1217" i="1"/>
  <c r="CR1217" i="1"/>
  <c r="BX1217" i="1"/>
  <c r="CQ1217" i="1"/>
  <c r="CN1217" i="1"/>
  <c r="CL1217" i="1"/>
  <c r="CM1217" i="1"/>
  <c r="CI1278" i="1"/>
  <c r="CS1235" i="1"/>
  <c r="CT1235" i="1" s="1"/>
  <c r="CL1257" i="1"/>
  <c r="CS1164" i="1"/>
  <c r="CT1164" i="1" s="1"/>
  <c r="CS1138" i="1"/>
  <c r="CT1138" i="1" s="1"/>
  <c r="CS1162" i="1"/>
  <c r="CT1162" i="1" s="1"/>
  <c r="CS1107" i="1"/>
  <c r="CT1107" i="1" s="1"/>
  <c r="CR1063" i="1"/>
  <c r="CQ1063" i="1"/>
  <c r="BX1063" i="1"/>
  <c r="CP1063" i="1"/>
  <c r="CO1063" i="1"/>
  <c r="CN1063" i="1"/>
  <c r="CM1063" i="1"/>
  <c r="CL1063" i="1"/>
  <c r="CK1063" i="1"/>
  <c r="CI1054" i="1"/>
  <c r="CI926" i="1"/>
  <c r="CI752" i="1"/>
  <c r="CQ1466" i="1"/>
  <c r="BX1466" i="1"/>
  <c r="CP1466" i="1"/>
  <c r="CO1466" i="1"/>
  <c r="CN1466" i="1"/>
  <c r="CM1466" i="1"/>
  <c r="CL1466" i="1"/>
  <c r="CK1466" i="1"/>
  <c r="CS1466" i="1" s="1"/>
  <c r="CT1466" i="1" s="1"/>
  <c r="CR1466" i="1"/>
  <c r="CS1468" i="1"/>
  <c r="CT1468" i="1" s="1"/>
  <c r="CS1410" i="1"/>
  <c r="CT1410" i="1" s="1"/>
  <c r="CS1406" i="1"/>
  <c r="CT1406" i="1" s="1"/>
  <c r="CI1406" i="1"/>
  <c r="CS1370" i="1"/>
  <c r="CT1370" i="1" s="1"/>
  <c r="CS1354" i="1"/>
  <c r="CT1354" i="1" s="1"/>
  <c r="CS1344" i="1"/>
  <c r="CT1344" i="1" s="1"/>
  <c r="CI1346" i="1"/>
  <c r="CS1331" i="1"/>
  <c r="CT1331" i="1" s="1"/>
  <c r="CS1333" i="1"/>
  <c r="CT1333" i="1" s="1"/>
  <c r="CS1317" i="1"/>
  <c r="CT1317" i="1" s="1"/>
  <c r="CS1315" i="1"/>
  <c r="CT1315" i="1" s="1"/>
  <c r="CS1281" i="1"/>
  <c r="CT1281" i="1" s="1"/>
  <c r="CS1266" i="1"/>
  <c r="CT1266" i="1" s="1"/>
  <c r="CS1231" i="1"/>
  <c r="CT1231" i="1" s="1"/>
  <c r="CQ1274" i="1"/>
  <c r="CN1278" i="1"/>
  <c r="CM1278" i="1"/>
  <c r="CR1278" i="1"/>
  <c r="CQ1278" i="1"/>
  <c r="BX1278" i="1"/>
  <c r="CL1278" i="1"/>
  <c r="CK1278" i="1"/>
  <c r="CS1278" i="1" s="1"/>
  <c r="CT1278" i="1" s="1"/>
  <c r="CP1278" i="1"/>
  <c r="CO1278" i="1"/>
  <c r="CM1257" i="1"/>
  <c r="CS1215" i="1"/>
  <c r="CT1215" i="1" s="1"/>
  <c r="CS1163" i="1"/>
  <c r="CT1163" i="1" s="1"/>
  <c r="CO1154" i="1"/>
  <c r="CR1154" i="1"/>
  <c r="BX1154" i="1"/>
  <c r="CQ1154" i="1"/>
  <c r="CP1154" i="1"/>
  <c r="CN1154" i="1"/>
  <c r="CM1154" i="1"/>
  <c r="CK1154" i="1"/>
  <c r="CS1154" i="1" s="1"/>
  <c r="CT1154" i="1" s="1"/>
  <c r="CO1217" i="1"/>
  <c r="CO1111" i="1"/>
  <c r="CN1111" i="1"/>
  <c r="CM1111" i="1"/>
  <c r="CL1111" i="1"/>
  <c r="CK1111" i="1"/>
  <c r="CR1111" i="1"/>
  <c r="CQ1111" i="1"/>
  <c r="BX1111" i="1"/>
  <c r="CP1111" i="1"/>
  <c r="CI1063" i="1"/>
  <c r="CS779" i="1"/>
  <c r="CT779" i="1" s="1"/>
  <c r="CS1462" i="1"/>
  <c r="CT1462" i="1" s="1"/>
  <c r="CS1418" i="1"/>
  <c r="CT1418" i="1" s="1"/>
  <c r="CS1409" i="1"/>
  <c r="CT1409" i="1" s="1"/>
  <c r="CS1392" i="1"/>
  <c r="CT1392" i="1" s="1"/>
  <c r="CI1399" i="1"/>
  <c r="CS1372" i="1"/>
  <c r="CT1372" i="1" s="1"/>
  <c r="CL1357" i="1"/>
  <c r="CP1357" i="1"/>
  <c r="CM1357" i="1"/>
  <c r="CK1357" i="1"/>
  <c r="BX1357" i="1"/>
  <c r="CR1357" i="1"/>
  <c r="CQ1357" i="1"/>
  <c r="CO1357" i="1"/>
  <c r="CN1357" i="1"/>
  <c r="CS1362" i="1"/>
  <c r="CT1362" i="1" s="1"/>
  <c r="CS1366" i="1"/>
  <c r="CT1366" i="1" s="1"/>
  <c r="CS1363" i="1"/>
  <c r="CT1363" i="1" s="1"/>
  <c r="CS1328" i="1"/>
  <c r="CT1328" i="1" s="1"/>
  <c r="CS1301" i="1"/>
  <c r="CT1301" i="1" s="1"/>
  <c r="CS1324" i="1"/>
  <c r="CT1324" i="1" s="1"/>
  <c r="CS1299" i="1"/>
  <c r="CT1299" i="1" s="1"/>
  <c r="CI1276" i="1"/>
  <c r="CL1256" i="1"/>
  <c r="CR1256" i="1"/>
  <c r="CQ1256" i="1"/>
  <c r="BX1256" i="1"/>
  <c r="CP1256" i="1"/>
  <c r="CM1256" i="1"/>
  <c r="CP1239" i="1"/>
  <c r="CO1239" i="1"/>
  <c r="CN1239" i="1"/>
  <c r="CM1239" i="1"/>
  <c r="CK1239" i="1"/>
  <c r="CR1239" i="1"/>
  <c r="BX1239" i="1"/>
  <c r="CQ1239" i="1"/>
  <c r="CL1239" i="1"/>
  <c r="CK1249" i="1"/>
  <c r="BX1249" i="1"/>
  <c r="CP1249" i="1"/>
  <c r="CO1249" i="1"/>
  <c r="CL1249" i="1"/>
  <c r="CN1249" i="1"/>
  <c r="CM1249" i="1"/>
  <c r="CI1272" i="1"/>
  <c r="CS1248" i="1"/>
  <c r="CT1248" i="1" s="1"/>
  <c r="CQ1249" i="1"/>
  <c r="CI1221" i="1"/>
  <c r="CN1257" i="1"/>
  <c r="CS1173" i="1"/>
  <c r="CT1173" i="1" s="1"/>
  <c r="CP1217" i="1"/>
  <c r="CI1122" i="1"/>
  <c r="CO1029" i="1"/>
  <c r="CN1029" i="1"/>
  <c r="CM1029" i="1"/>
  <c r="CL1029" i="1"/>
  <c r="CK1029" i="1"/>
  <c r="CR1029" i="1"/>
  <c r="CQ1029" i="1"/>
  <c r="BX1029" i="1"/>
  <c r="CP1029" i="1"/>
  <c r="CI1020" i="1"/>
  <c r="CM911" i="1"/>
  <c r="CL911" i="1"/>
  <c r="CK911" i="1"/>
  <c r="CR911" i="1"/>
  <c r="CQ911" i="1"/>
  <c r="BX911" i="1"/>
  <c r="CP911" i="1"/>
  <c r="CN911" i="1"/>
  <c r="CO911" i="1"/>
  <c r="CR840" i="1"/>
  <c r="CQ840" i="1"/>
  <c r="BX840" i="1"/>
  <c r="CP840" i="1"/>
  <c r="CO840" i="1"/>
  <c r="CN840" i="1"/>
  <c r="CM840" i="1"/>
  <c r="CL840" i="1"/>
  <c r="CK840" i="1"/>
  <c r="CI737" i="1"/>
  <c r="CQ1437" i="1"/>
  <c r="CP1437" i="1"/>
  <c r="CI1404" i="1"/>
  <c r="CS1393" i="1"/>
  <c r="CT1393" i="1" s="1"/>
  <c r="CS1375" i="1"/>
  <c r="CT1375" i="1" s="1"/>
  <c r="CS1369" i="1"/>
  <c r="CT1369" i="1" s="1"/>
  <c r="CS1349" i="1"/>
  <c r="CT1349" i="1" s="1"/>
  <c r="CS1322" i="1"/>
  <c r="CT1322" i="1" s="1"/>
  <c r="CS1323" i="1"/>
  <c r="CT1323" i="1" s="1"/>
  <c r="CS1312" i="1"/>
  <c r="CT1312" i="1" s="1"/>
  <c r="CS1309" i="1"/>
  <c r="CT1309" i="1" s="1"/>
  <c r="CP1298" i="1"/>
  <c r="CM1298" i="1"/>
  <c r="CL1298" i="1"/>
  <c r="CR1298" i="1"/>
  <c r="CQ1298" i="1"/>
  <c r="CO1298" i="1"/>
  <c r="CN1298" i="1"/>
  <c r="BX1298" i="1"/>
  <c r="CK1298" i="1"/>
  <c r="CR1292" i="1"/>
  <c r="CQ1292" i="1"/>
  <c r="BX1292" i="1"/>
  <c r="CP1292" i="1"/>
  <c r="CO1292" i="1"/>
  <c r="CN1292" i="1"/>
  <c r="CM1292" i="1"/>
  <c r="CL1292" i="1"/>
  <c r="CK1292" i="1"/>
  <c r="CP1274" i="1"/>
  <c r="CL1274" i="1"/>
  <c r="CK1274" i="1"/>
  <c r="CO1272" i="1"/>
  <c r="CK1272" i="1"/>
  <c r="BX1272" i="1"/>
  <c r="CR1272" i="1"/>
  <c r="CQ1272" i="1"/>
  <c r="CP1272" i="1"/>
  <c r="CN1272" i="1"/>
  <c r="CM1272" i="1"/>
  <c r="CL1272" i="1"/>
  <c r="CS1296" i="1"/>
  <c r="CT1296" i="1" s="1"/>
  <c r="CI1257" i="1"/>
  <c r="CI1258" i="1"/>
  <c r="BX1274" i="1"/>
  <c r="CS1252" i="1"/>
  <c r="CT1252" i="1" s="1"/>
  <c r="CS1199" i="1"/>
  <c r="CT1199" i="1" s="1"/>
  <c r="CI957" i="1"/>
  <c r="CS843" i="1"/>
  <c r="CT843" i="1" s="1"/>
  <c r="CP861" i="1"/>
  <c r="CO861" i="1"/>
  <c r="CN861" i="1"/>
  <c r="CR861" i="1"/>
  <c r="CQ861" i="1"/>
  <c r="BX861" i="1"/>
  <c r="CK861" i="1"/>
  <c r="CM861" i="1"/>
  <c r="CL861" i="1"/>
  <c r="CS801" i="1"/>
  <c r="CT801" i="1" s="1"/>
  <c r="CI810" i="1"/>
  <c r="CS1436" i="1"/>
  <c r="CT1436" i="1" s="1"/>
  <c r="CS1463" i="1"/>
  <c r="CT1463" i="1" s="1"/>
  <c r="CI1463" i="1"/>
  <c r="CI1466" i="1"/>
  <c r="CR1434" i="1"/>
  <c r="CQ1434" i="1"/>
  <c r="BX1434" i="1"/>
  <c r="CP1434" i="1"/>
  <c r="CN1434" i="1"/>
  <c r="CM1434" i="1"/>
  <c r="CL1434" i="1"/>
  <c r="CS1434" i="1" s="1"/>
  <c r="CT1434" i="1" s="1"/>
  <c r="CO1404" i="1"/>
  <c r="CN1404" i="1"/>
  <c r="CM1404" i="1"/>
  <c r="CL1404" i="1"/>
  <c r="CK1404" i="1"/>
  <c r="CR1404" i="1"/>
  <c r="CQ1404" i="1"/>
  <c r="BX1404" i="1"/>
  <c r="CP1404" i="1"/>
  <c r="CS1411" i="1"/>
  <c r="CT1411" i="1" s="1"/>
  <c r="CO1437" i="1"/>
  <c r="CS1388" i="1"/>
  <c r="CT1388" i="1" s="1"/>
  <c r="CS1381" i="1"/>
  <c r="CT1381" i="1" s="1"/>
  <c r="CS1387" i="1"/>
  <c r="CT1387" i="1" s="1"/>
  <c r="CS1361" i="1"/>
  <c r="CT1361" i="1" s="1"/>
  <c r="CS1360" i="1"/>
  <c r="CT1360" i="1" s="1"/>
  <c r="CS1351" i="1"/>
  <c r="CT1351" i="1" s="1"/>
  <c r="CS1320" i="1"/>
  <c r="CT1320" i="1" s="1"/>
  <c r="CS1340" i="1"/>
  <c r="CT1340" i="1" s="1"/>
  <c r="CS1321" i="1"/>
  <c r="CT1321" i="1" s="1"/>
  <c r="CL1295" i="1"/>
  <c r="CK1295" i="1"/>
  <c r="CR1295" i="1"/>
  <c r="CQ1295" i="1"/>
  <c r="BX1295" i="1"/>
  <c r="CP1295" i="1"/>
  <c r="CO1295" i="1"/>
  <c r="CN1295" i="1"/>
  <c r="CM1295" i="1"/>
  <c r="CR1291" i="1"/>
  <c r="CQ1291" i="1"/>
  <c r="BX1291" i="1"/>
  <c r="CP1291" i="1"/>
  <c r="CO1291" i="1"/>
  <c r="CN1291" i="1"/>
  <c r="CM1291" i="1"/>
  <c r="CL1291" i="1"/>
  <c r="CK1291" i="1"/>
  <c r="CS1300" i="1"/>
  <c r="CT1300" i="1" s="1"/>
  <c r="CI1249" i="1"/>
  <c r="CS1263" i="1"/>
  <c r="CT1263" i="1" s="1"/>
  <c r="CI1239" i="1"/>
  <c r="CM1274" i="1"/>
  <c r="CP1152" i="1"/>
  <c r="CR1152" i="1"/>
  <c r="CQ1152" i="1"/>
  <c r="BX1152" i="1"/>
  <c r="CO1152" i="1"/>
  <c r="CN1152" i="1"/>
  <c r="CM1152" i="1"/>
  <c r="CL1152" i="1"/>
  <c r="CS1152" i="1" s="1"/>
  <c r="CT1152" i="1" s="1"/>
  <c r="CS1098" i="1"/>
  <c r="CT1098" i="1" s="1"/>
  <c r="CS1052" i="1"/>
  <c r="CT1052" i="1" s="1"/>
  <c r="CS1018" i="1"/>
  <c r="CT1018" i="1" s="1"/>
  <c r="CM961" i="1"/>
  <c r="CL961" i="1"/>
  <c r="CP961" i="1"/>
  <c r="CN961" i="1"/>
  <c r="BX961" i="1"/>
  <c r="CK961" i="1"/>
  <c r="CR961" i="1"/>
  <c r="CQ961" i="1"/>
  <c r="CO961" i="1"/>
  <c r="CS934" i="1"/>
  <c r="CT934" i="1" s="1"/>
  <c r="CS796" i="1"/>
  <c r="CT796" i="1" s="1"/>
  <c r="CL1437" i="1"/>
  <c r="CS1456" i="1"/>
  <c r="CT1456" i="1" s="1"/>
  <c r="CK1437" i="1"/>
  <c r="CS1437" i="1" s="1"/>
  <c r="CT1437" i="1" s="1"/>
  <c r="CI1437" i="1"/>
  <c r="BX1437" i="1"/>
  <c r="CO1434" i="1"/>
  <c r="CS1402" i="1"/>
  <c r="CT1402" i="1" s="1"/>
  <c r="CS1386" i="1"/>
  <c r="CT1386" i="1" s="1"/>
  <c r="CS1367" i="1"/>
  <c r="CT1367" i="1" s="1"/>
  <c r="CP1358" i="1"/>
  <c r="CO1358" i="1"/>
  <c r="CL1358" i="1"/>
  <c r="CR1358" i="1"/>
  <c r="CQ1358" i="1"/>
  <c r="CN1358" i="1"/>
  <c r="CM1358" i="1"/>
  <c r="BX1358" i="1"/>
  <c r="CK1358" i="1"/>
  <c r="CQ1346" i="1"/>
  <c r="BX1346" i="1"/>
  <c r="CP1346" i="1"/>
  <c r="CN1346" i="1"/>
  <c r="CM1346" i="1"/>
  <c r="CL1346" i="1"/>
  <c r="CS1346" i="1" s="1"/>
  <c r="CT1346" i="1" s="1"/>
  <c r="CR1346" i="1"/>
  <c r="CO1346" i="1"/>
  <c r="CS1335" i="1"/>
  <c r="CT1335" i="1" s="1"/>
  <c r="CS1318" i="1"/>
  <c r="CT1318" i="1" s="1"/>
  <c r="CN1294" i="1"/>
  <c r="CM1294" i="1"/>
  <c r="CL1294" i="1"/>
  <c r="CK1294" i="1"/>
  <c r="CR1294" i="1"/>
  <c r="CQ1294" i="1"/>
  <c r="BX1294" i="1"/>
  <c r="CP1294" i="1"/>
  <c r="CO1294" i="1"/>
  <c r="CS1304" i="1"/>
  <c r="CT1304" i="1" s="1"/>
  <c r="CN1260" i="1"/>
  <c r="CM1260" i="1"/>
  <c r="CL1260" i="1"/>
  <c r="CK1260" i="1"/>
  <c r="CR1260" i="1"/>
  <c r="CQ1260" i="1"/>
  <c r="BX1260" i="1"/>
  <c r="CP1260" i="1"/>
  <c r="CO1260" i="1"/>
  <c r="CI1279" i="1"/>
  <c r="CI1269" i="1"/>
  <c r="CO1256" i="1"/>
  <c r="CS1243" i="1"/>
  <c r="CT1243" i="1" s="1"/>
  <c r="CN1256" i="1"/>
  <c r="CS1238" i="1"/>
  <c r="CT1238" i="1" s="1"/>
  <c r="CK1256" i="1"/>
  <c r="CI1244" i="1"/>
  <c r="CN1274" i="1"/>
  <c r="CS1202" i="1"/>
  <c r="CT1202" i="1" s="1"/>
  <c r="CO1223" i="1"/>
  <c r="CN1223" i="1"/>
  <c r="CM1223" i="1"/>
  <c r="CL1223" i="1"/>
  <c r="CK1223" i="1"/>
  <c r="CR1223" i="1"/>
  <c r="BX1223" i="1"/>
  <c r="CQ1223" i="1"/>
  <c r="CP1223" i="1"/>
  <c r="CN1155" i="1"/>
  <c r="CR1155" i="1"/>
  <c r="CQ1155" i="1"/>
  <c r="BX1155" i="1"/>
  <c r="CP1155" i="1"/>
  <c r="CO1155" i="1"/>
  <c r="CM1155" i="1"/>
  <c r="CL1155" i="1"/>
  <c r="CK1155" i="1"/>
  <c r="CS1155" i="1" s="1"/>
  <c r="CT1155" i="1" s="1"/>
  <c r="CS1187" i="1"/>
  <c r="CT1187" i="1" s="1"/>
  <c r="BO1187" i="1" s="1"/>
  <c r="AJ1187" i="1" s="1"/>
  <c r="CY1187" i="1" s="1"/>
  <c r="CS1151" i="1"/>
  <c r="CT1151" i="1" s="1"/>
  <c r="CI1116" i="1"/>
  <c r="CI1030" i="1"/>
  <c r="CL949" i="1"/>
  <c r="CK949" i="1"/>
  <c r="CR949" i="1"/>
  <c r="CQ949" i="1"/>
  <c r="BX949" i="1"/>
  <c r="CP949" i="1"/>
  <c r="CO949" i="1"/>
  <c r="CN949" i="1"/>
  <c r="CM949" i="1"/>
  <c r="CI821" i="1"/>
  <c r="CO1234" i="1"/>
  <c r="CN1234" i="1"/>
  <c r="CL1234" i="1"/>
  <c r="CS1234" i="1" s="1"/>
  <c r="CT1234" i="1" s="1"/>
  <c r="CI1226" i="1"/>
  <c r="CS1232" i="1"/>
  <c r="CT1232" i="1" s="1"/>
  <c r="CS1211" i="1"/>
  <c r="CT1211" i="1" s="1"/>
  <c r="CS1193" i="1"/>
  <c r="CT1193" i="1" s="1"/>
  <c r="BO1193" i="1" s="1"/>
  <c r="AJ1193" i="1" s="1"/>
  <c r="CY1193" i="1" s="1"/>
  <c r="CS1220" i="1"/>
  <c r="CT1220" i="1" s="1"/>
  <c r="CS1165" i="1"/>
  <c r="CT1165" i="1" s="1"/>
  <c r="CS1227" i="1"/>
  <c r="CT1227" i="1" s="1"/>
  <c r="CQ1176" i="1"/>
  <c r="BX1176" i="1"/>
  <c r="CP1176" i="1"/>
  <c r="CO1176" i="1"/>
  <c r="CN1176" i="1"/>
  <c r="CM1176" i="1"/>
  <c r="CL1176" i="1"/>
  <c r="CK1176" i="1"/>
  <c r="CR1176" i="1"/>
  <c r="CI1155" i="1"/>
  <c r="CI1145" i="1"/>
  <c r="CS1161" i="1"/>
  <c r="CT1161" i="1" s="1"/>
  <c r="CR1133" i="1"/>
  <c r="CQ1133" i="1"/>
  <c r="BX1133" i="1"/>
  <c r="CP1133" i="1"/>
  <c r="CO1133" i="1"/>
  <c r="CN1133" i="1"/>
  <c r="CM1133" i="1"/>
  <c r="CL1133" i="1"/>
  <c r="CK1133" i="1"/>
  <c r="BX1117" i="1"/>
  <c r="CS1103" i="1"/>
  <c r="CT1103" i="1" s="1"/>
  <c r="CN1153" i="1"/>
  <c r="CR1132" i="1"/>
  <c r="CS1182" i="1"/>
  <c r="CT1182" i="1" s="1"/>
  <c r="CP1140" i="1"/>
  <c r="CS1081" i="1"/>
  <c r="CT1081" i="1" s="1"/>
  <c r="CS1066" i="1"/>
  <c r="CT1066" i="1" s="1"/>
  <c r="CS1100" i="1"/>
  <c r="CT1100" i="1" s="1"/>
  <c r="CO1026" i="1"/>
  <c r="CN1026" i="1"/>
  <c r="CM1026" i="1"/>
  <c r="CL1026" i="1"/>
  <c r="CK1026" i="1"/>
  <c r="CR1026" i="1"/>
  <c r="CQ1026" i="1"/>
  <c r="BX1026" i="1"/>
  <c r="CP1026" i="1"/>
  <c r="CR1020" i="1"/>
  <c r="CQ1020" i="1"/>
  <c r="BX1020" i="1"/>
  <c r="CP1020" i="1"/>
  <c r="CO1020" i="1"/>
  <c r="CN1020" i="1"/>
  <c r="CM1020" i="1"/>
  <c r="CL1020" i="1"/>
  <c r="CK1020" i="1"/>
  <c r="CI1049" i="1"/>
  <c r="CS1037" i="1"/>
  <c r="CT1037" i="1" s="1"/>
  <c r="CS1038" i="1"/>
  <c r="CT1038" i="1" s="1"/>
  <c r="CS985" i="1"/>
  <c r="CT985" i="1" s="1"/>
  <c r="CS1043" i="1"/>
  <c r="CT1043" i="1" s="1"/>
  <c r="CS1030" i="1"/>
  <c r="CT1030" i="1" s="1"/>
  <c r="CS966" i="1"/>
  <c r="CT966" i="1" s="1"/>
  <c r="CI1058" i="1"/>
  <c r="CS1013" i="1"/>
  <c r="CT1013" i="1" s="1"/>
  <c r="CS951" i="1"/>
  <c r="CT951" i="1" s="1"/>
  <c r="CK956" i="1"/>
  <c r="CS973" i="1"/>
  <c r="CT973" i="1" s="1"/>
  <c r="CI1021" i="1"/>
  <c r="CI953" i="1"/>
  <c r="CS994" i="1"/>
  <c r="CT994" i="1" s="1"/>
  <c r="CI961" i="1"/>
  <c r="CS946" i="1"/>
  <c r="CT946" i="1" s="1"/>
  <c r="CM938" i="1"/>
  <c r="BX909" i="1"/>
  <c r="CS873" i="1"/>
  <c r="CT873" i="1" s="1"/>
  <c r="CI834" i="1"/>
  <c r="CN846" i="1"/>
  <c r="CM846" i="1"/>
  <c r="CL846" i="1"/>
  <c r="CR846" i="1"/>
  <c r="CQ846" i="1"/>
  <c r="CP846" i="1"/>
  <c r="CO846" i="1"/>
  <c r="BX846" i="1"/>
  <c r="CK846" i="1"/>
  <c r="CS846" i="1" s="1"/>
  <c r="CT846" i="1" s="1"/>
  <c r="CI899" i="1"/>
  <c r="CS888" i="1"/>
  <c r="CT888" i="1" s="1"/>
  <c r="CQ863" i="1"/>
  <c r="BX863" i="1"/>
  <c r="CP863" i="1"/>
  <c r="CO863" i="1"/>
  <c r="CK863" i="1"/>
  <c r="CR863" i="1"/>
  <c r="CL863" i="1"/>
  <c r="CN863" i="1"/>
  <c r="CM863" i="1"/>
  <c r="CS903" i="1"/>
  <c r="CT903" i="1" s="1"/>
  <c r="CS898" i="1"/>
  <c r="CT898" i="1" s="1"/>
  <c r="CI863" i="1"/>
  <c r="CI803" i="1"/>
  <c r="CS821" i="1"/>
  <c r="CT821" i="1" s="1"/>
  <c r="CS802" i="1"/>
  <c r="CT802" i="1" s="1"/>
  <c r="CP696" i="1"/>
  <c r="CO696" i="1"/>
  <c r="CN696" i="1"/>
  <c r="CM696" i="1"/>
  <c r="CL696" i="1"/>
  <c r="CQ696" i="1"/>
  <c r="CK696" i="1"/>
  <c r="CS696" i="1" s="1"/>
  <c r="CT696" i="1" s="1"/>
  <c r="CR696" i="1"/>
  <c r="BX696" i="1"/>
  <c r="CI751" i="1"/>
  <c r="CS722" i="1"/>
  <c r="CT722" i="1" s="1"/>
  <c r="CS811" i="1"/>
  <c r="CT811" i="1" s="1"/>
  <c r="CS773" i="1"/>
  <c r="CT773" i="1" s="1"/>
  <c r="CS768" i="1"/>
  <c r="CT768" i="1" s="1"/>
  <c r="CS750" i="1"/>
  <c r="CT750" i="1" s="1"/>
  <c r="CS741" i="1"/>
  <c r="CT741" i="1" s="1"/>
  <c r="CI695" i="1"/>
  <c r="CS784" i="1"/>
  <c r="CT784" i="1" s="1"/>
  <c r="CK745" i="1"/>
  <c r="CS781" i="1"/>
  <c r="CT781" i="1" s="1"/>
  <c r="CL770" i="1"/>
  <c r="CK770" i="1"/>
  <c r="CR770" i="1"/>
  <c r="CQ770" i="1"/>
  <c r="CP770" i="1"/>
  <c r="CO770" i="1"/>
  <c r="BX770" i="1"/>
  <c r="CN770" i="1"/>
  <c r="CM770" i="1"/>
  <c r="CS693" i="1"/>
  <c r="CT693" i="1" s="1"/>
  <c r="CS658" i="1"/>
  <c r="CT658" i="1" s="1"/>
  <c r="CQ653" i="1"/>
  <c r="BX653" i="1"/>
  <c r="CP653" i="1"/>
  <c r="CM653" i="1"/>
  <c r="CL653" i="1"/>
  <c r="CK653" i="1"/>
  <c r="CR653" i="1"/>
  <c r="CO653" i="1"/>
  <c r="CN653" i="1"/>
  <c r="CS717" i="1"/>
  <c r="CT717" i="1" s="1"/>
  <c r="CI680" i="1"/>
  <c r="CL713" i="1"/>
  <c r="CS713" i="1" s="1"/>
  <c r="CT713" i="1" s="1"/>
  <c r="CS651" i="1"/>
  <c r="CT651" i="1" s="1"/>
  <c r="CS586" i="1"/>
  <c r="CT586" i="1" s="1"/>
  <c r="CM577" i="1"/>
  <c r="CL577" i="1"/>
  <c r="CK577" i="1"/>
  <c r="CQ577" i="1"/>
  <c r="BX577" i="1"/>
  <c r="CP577" i="1"/>
  <c r="CO577" i="1"/>
  <c r="CN577" i="1"/>
  <c r="CR577" i="1"/>
  <c r="CS732" i="1"/>
  <c r="CT732" i="1" s="1"/>
  <c r="CS707" i="1"/>
  <c r="CT707" i="1" s="1"/>
  <c r="CS721" i="1"/>
  <c r="CT721" i="1" s="1"/>
  <c r="CR524" i="1"/>
  <c r="CQ524" i="1"/>
  <c r="CP469" i="1"/>
  <c r="CO469" i="1"/>
  <c r="CN469" i="1"/>
  <c r="CM469" i="1"/>
  <c r="CL469" i="1"/>
  <c r="CK469" i="1"/>
  <c r="CR469" i="1"/>
  <c r="CQ469" i="1"/>
  <c r="BX469" i="1"/>
  <c r="CS652" i="1"/>
  <c r="CT652" i="1" s="1"/>
  <c r="CS471" i="1"/>
  <c r="CT471" i="1" s="1"/>
  <c r="CI592" i="1"/>
  <c r="CM524" i="1"/>
  <c r="CS445" i="1"/>
  <c r="CT445" i="1" s="1"/>
  <c r="CS428" i="1"/>
  <c r="CT428" i="1" s="1"/>
  <c r="CS544" i="1"/>
  <c r="CT544" i="1" s="1"/>
  <c r="CS504" i="1"/>
  <c r="CT504" i="1" s="1"/>
  <c r="CS489" i="1"/>
  <c r="CT489" i="1" s="1"/>
  <c r="CR424" i="1"/>
  <c r="CQ424" i="1"/>
  <c r="BX424" i="1"/>
  <c r="CP424" i="1"/>
  <c r="CO424" i="1"/>
  <c r="CN424" i="1"/>
  <c r="CM424" i="1"/>
  <c r="CL424" i="1"/>
  <c r="CK424" i="1"/>
  <c r="CS424" i="1" s="1"/>
  <c r="CT424" i="1" s="1"/>
  <c r="CS456" i="1"/>
  <c r="CT456" i="1" s="1"/>
  <c r="CS482" i="1"/>
  <c r="CT482" i="1" s="1"/>
  <c r="CS454" i="1"/>
  <c r="CT454" i="1" s="1"/>
  <c r="CS470" i="1"/>
  <c r="CT470" i="1" s="1"/>
  <c r="CK380" i="1"/>
  <c r="CR380" i="1"/>
  <c r="CQ380" i="1"/>
  <c r="BX380" i="1"/>
  <c r="CP380" i="1"/>
  <c r="CO380" i="1"/>
  <c r="CN380" i="1"/>
  <c r="CM380" i="1"/>
  <c r="CL380" i="1"/>
  <c r="CS323" i="1"/>
  <c r="CT323" i="1" s="1"/>
  <c r="CS461" i="1"/>
  <c r="CT461" i="1" s="1"/>
  <c r="CS350" i="1"/>
  <c r="CT350" i="1" s="1"/>
  <c r="CS309" i="1"/>
  <c r="CT309" i="1" s="1"/>
  <c r="CI432" i="1"/>
  <c r="CS430" i="1"/>
  <c r="CT430" i="1" s="1"/>
  <c r="CS394" i="1"/>
  <c r="CT394" i="1" s="1"/>
  <c r="CN383" i="1"/>
  <c r="CM383" i="1"/>
  <c r="CL383" i="1"/>
  <c r="CK383" i="1"/>
  <c r="CS383" i="1" s="1"/>
  <c r="CT383" i="1" s="1"/>
  <c r="CR383" i="1"/>
  <c r="CQ383" i="1"/>
  <c r="BX383" i="1"/>
  <c r="CP383" i="1"/>
  <c r="CO383" i="1"/>
  <c r="CN346" i="1"/>
  <c r="CM346" i="1"/>
  <c r="CL346" i="1"/>
  <c r="CK346" i="1"/>
  <c r="CR346" i="1"/>
  <c r="CQ346" i="1"/>
  <c r="BX346" i="1"/>
  <c r="CP346" i="1"/>
  <c r="CO346" i="1"/>
  <c r="CN342" i="1"/>
  <c r="CM342" i="1"/>
  <c r="CL342" i="1"/>
  <c r="CK342" i="1"/>
  <c r="CR342" i="1"/>
  <c r="CQ342" i="1"/>
  <c r="BX342" i="1"/>
  <c r="CP342" i="1"/>
  <c r="CO342" i="1"/>
  <c r="CS362" i="1"/>
  <c r="CT362" i="1" s="1"/>
  <c r="CI300" i="1"/>
  <c r="CP249" i="1"/>
  <c r="CR249" i="1"/>
  <c r="CQ249" i="1"/>
  <c r="CO249" i="1"/>
  <c r="CN249" i="1"/>
  <c r="CM249" i="1"/>
  <c r="CL249" i="1"/>
  <c r="CK249" i="1"/>
  <c r="BX249" i="1"/>
  <c r="CR267" i="1"/>
  <c r="CQ267" i="1"/>
  <c r="BX267" i="1"/>
  <c r="CL267" i="1"/>
  <c r="CK267" i="1"/>
  <c r="CP267" i="1"/>
  <c r="CO267" i="1"/>
  <c r="CN267" i="1"/>
  <c r="CM267" i="1"/>
  <c r="CS147" i="1"/>
  <c r="CT147" i="1" s="1"/>
  <c r="CN234" i="1"/>
  <c r="CM234" i="1"/>
  <c r="CL234" i="1"/>
  <c r="CK234" i="1"/>
  <c r="CS234" i="1" s="1"/>
  <c r="CT234" i="1" s="1"/>
  <c r="CR234" i="1"/>
  <c r="CQ234" i="1"/>
  <c r="BX234" i="1"/>
  <c r="CP234" i="1"/>
  <c r="CO234" i="1"/>
  <c r="CK197" i="1"/>
  <c r="CS193" i="1"/>
  <c r="CT193" i="1" s="1"/>
  <c r="CS176" i="1"/>
  <c r="CT176" i="1" s="1"/>
  <c r="CS158" i="1"/>
  <c r="CT158" i="1" s="1"/>
  <c r="CI265" i="1"/>
  <c r="CI240" i="1"/>
  <c r="CN177" i="1"/>
  <c r="CK177" i="1"/>
  <c r="CR177" i="1"/>
  <c r="CQ177" i="1"/>
  <c r="BX177" i="1"/>
  <c r="CP177" i="1"/>
  <c r="CS163" i="1"/>
  <c r="CT163" i="1" s="1"/>
  <c r="CI256" i="1"/>
  <c r="CS246" i="1"/>
  <c r="CT246" i="1" s="1"/>
  <c r="CS229" i="1"/>
  <c r="CT229" i="1" s="1"/>
  <c r="CS207" i="1"/>
  <c r="CT207" i="1" s="1"/>
  <c r="CI264" i="1"/>
  <c r="CI250" i="1"/>
  <c r="CS208" i="1"/>
  <c r="CT208" i="1" s="1"/>
  <c r="CS196" i="1"/>
  <c r="CT196" i="1" s="1"/>
  <c r="CI178" i="1"/>
  <c r="CS153" i="1"/>
  <c r="CT153" i="1" s="1"/>
  <c r="CS299" i="1"/>
  <c r="CT299" i="1" s="1"/>
  <c r="CM261" i="1"/>
  <c r="CS261" i="1" s="1"/>
  <c r="CT261" i="1" s="1"/>
  <c r="CS214" i="1"/>
  <c r="CT214" i="1" s="1"/>
  <c r="CS174" i="1"/>
  <c r="CT174" i="1" s="1"/>
  <c r="CS24" i="1"/>
  <c r="CT24" i="1" s="1"/>
  <c r="CQ74" i="1"/>
  <c r="BX74" i="1"/>
  <c r="CP74" i="1"/>
  <c r="CO74" i="1"/>
  <c r="CN74" i="1"/>
  <c r="CM74" i="1"/>
  <c r="CL74" i="1"/>
  <c r="CK74" i="1"/>
  <c r="CR74" i="1"/>
  <c r="CS13" i="1"/>
  <c r="CT13" i="1" s="1"/>
  <c r="CS111" i="1"/>
  <c r="CT111" i="1" s="1"/>
  <c r="CI54" i="1"/>
  <c r="CS49" i="1"/>
  <c r="CT49" i="1" s="1"/>
  <c r="CS17" i="1"/>
  <c r="CT17" i="1" s="1"/>
  <c r="CS122" i="1"/>
  <c r="CT122" i="1" s="1"/>
  <c r="CS65" i="1"/>
  <c r="CT65" i="1" s="1"/>
  <c r="CI22" i="1"/>
  <c r="CS104" i="1"/>
  <c r="CT104" i="1" s="1"/>
  <c r="CP64" i="1"/>
  <c r="CM64" i="1"/>
  <c r="CL64" i="1"/>
  <c r="CR64" i="1"/>
  <c r="CQ64" i="1"/>
  <c r="BX64" i="1"/>
  <c r="CS128" i="1"/>
  <c r="CT128" i="1" s="1"/>
  <c r="CS46" i="1"/>
  <c r="CT46" i="1" s="1"/>
  <c r="CS127" i="1"/>
  <c r="CT127" i="1" s="1"/>
  <c r="CI75" i="1"/>
  <c r="CQ16" i="1"/>
  <c r="CO23" i="1"/>
  <c r="CM48" i="1"/>
  <c r="CS14" i="1"/>
  <c r="CT14" i="1" s="1"/>
  <c r="CQ1240" i="1"/>
  <c r="BX1240" i="1"/>
  <c r="CP1240" i="1"/>
  <c r="CO1240" i="1"/>
  <c r="CN1240" i="1"/>
  <c r="CL1240" i="1"/>
  <c r="CK1240" i="1"/>
  <c r="CS1240" i="1" s="1"/>
  <c r="CT1240" i="1" s="1"/>
  <c r="CR1240" i="1"/>
  <c r="CM1240" i="1"/>
  <c r="CS1229" i="1"/>
  <c r="CT1229" i="1" s="1"/>
  <c r="CI1246" i="1"/>
  <c r="CR1216" i="1"/>
  <c r="BX1216" i="1"/>
  <c r="CQ1216" i="1"/>
  <c r="CP1216" i="1"/>
  <c r="CO1216" i="1"/>
  <c r="CN1216" i="1"/>
  <c r="CM1216" i="1"/>
  <c r="CK1216" i="1"/>
  <c r="CR1234" i="1"/>
  <c r="CS1188" i="1"/>
  <c r="CT1188" i="1" s="1"/>
  <c r="BO1188" i="1" s="1"/>
  <c r="AJ1188" i="1" s="1"/>
  <c r="CY1188" i="1" s="1"/>
  <c r="CS1160" i="1"/>
  <c r="CT1160" i="1" s="1"/>
  <c r="CI1174" i="1"/>
  <c r="CR1117" i="1"/>
  <c r="CN1117" i="1"/>
  <c r="CS1139" i="1"/>
  <c r="CT1139" i="1" s="1"/>
  <c r="CI1117" i="1"/>
  <c r="CI1137" i="1"/>
  <c r="CK1130" i="1"/>
  <c r="CI1132" i="1"/>
  <c r="CI1115" i="1"/>
  <c r="CQ1132" i="1"/>
  <c r="CQ1140" i="1"/>
  <c r="CM1124" i="1"/>
  <c r="CL1124" i="1"/>
  <c r="CK1124" i="1"/>
  <c r="CR1124" i="1"/>
  <c r="CQ1124" i="1"/>
  <c r="BX1124" i="1"/>
  <c r="CP1124" i="1"/>
  <c r="CO1124" i="1"/>
  <c r="CN1124" i="1"/>
  <c r="CS1065" i="1"/>
  <c r="CT1065" i="1" s="1"/>
  <c r="CM1072" i="1"/>
  <c r="CL1072" i="1"/>
  <c r="CK1072" i="1"/>
  <c r="CR1072" i="1"/>
  <c r="CQ1072" i="1"/>
  <c r="BX1072" i="1"/>
  <c r="CP1072" i="1"/>
  <c r="CO1072" i="1"/>
  <c r="CN1072" i="1"/>
  <c r="CS1099" i="1"/>
  <c r="CT1099" i="1" s="1"/>
  <c r="CI1079" i="1"/>
  <c r="CQ1079" i="1"/>
  <c r="CM1140" i="1"/>
  <c r="CS998" i="1"/>
  <c r="CT998" i="1" s="1"/>
  <c r="CS1040" i="1"/>
  <c r="CT1040" i="1" s="1"/>
  <c r="CS1047" i="1"/>
  <c r="CT1047" i="1" s="1"/>
  <c r="CI1037" i="1"/>
  <c r="CI1015" i="1"/>
  <c r="CS964" i="1"/>
  <c r="CT964" i="1" s="1"/>
  <c r="CO957" i="1"/>
  <c r="CS969" i="1"/>
  <c r="CT969" i="1" s="1"/>
  <c r="CI955" i="1"/>
  <c r="CS935" i="1"/>
  <c r="CT935" i="1" s="1"/>
  <c r="CS941" i="1"/>
  <c r="CT941" i="1" s="1"/>
  <c r="CL957" i="1"/>
  <c r="CM953" i="1"/>
  <c r="CK953" i="1"/>
  <c r="BX953" i="1"/>
  <c r="CQ947" i="1"/>
  <c r="BX947" i="1"/>
  <c r="CP947" i="1"/>
  <c r="CO947" i="1"/>
  <c r="CN947" i="1"/>
  <c r="CM947" i="1"/>
  <c r="CL947" i="1"/>
  <c r="CK947" i="1"/>
  <c r="CS947" i="1" s="1"/>
  <c r="CT947" i="1" s="1"/>
  <c r="CR947" i="1"/>
  <c r="CL938" i="1"/>
  <c r="CS938" i="1" s="1"/>
  <c r="CT938" i="1" s="1"/>
  <c r="CS914" i="1"/>
  <c r="CT914" i="1" s="1"/>
  <c r="CS936" i="1"/>
  <c r="CT936" i="1" s="1"/>
  <c r="CS933" i="1"/>
  <c r="CT933" i="1" s="1"/>
  <c r="CS931" i="1"/>
  <c r="CT931" i="1" s="1"/>
  <c r="CS887" i="1"/>
  <c r="CT887" i="1" s="1"/>
  <c r="CS859" i="1"/>
  <c r="CT859" i="1" s="1"/>
  <c r="CS856" i="1"/>
  <c r="CT856" i="1" s="1"/>
  <c r="CS833" i="1"/>
  <c r="CT833" i="1" s="1"/>
  <c r="CS845" i="1"/>
  <c r="CT845" i="1" s="1"/>
  <c r="CI861" i="1"/>
  <c r="CS844" i="1"/>
  <c r="CT844" i="1" s="1"/>
  <c r="CI855" i="1"/>
  <c r="BX809" i="1"/>
  <c r="CP809" i="1"/>
  <c r="CO809" i="1"/>
  <c r="CS793" i="1"/>
  <c r="CT793" i="1" s="1"/>
  <c r="CS820" i="1"/>
  <c r="CT820" i="1" s="1"/>
  <c r="CL809" i="1"/>
  <c r="CI774" i="1"/>
  <c r="CS759" i="1"/>
  <c r="CT759" i="1" s="1"/>
  <c r="CI739" i="1"/>
  <c r="CI772" i="1"/>
  <c r="CQ727" i="1"/>
  <c r="CR719" i="1"/>
  <c r="CM695" i="1"/>
  <c r="CL695" i="1"/>
  <c r="CK695" i="1"/>
  <c r="CR695" i="1"/>
  <c r="CQ695" i="1"/>
  <c r="BX695" i="1"/>
  <c r="CO695" i="1"/>
  <c r="CN695" i="1"/>
  <c r="CP695" i="1"/>
  <c r="CL745" i="1"/>
  <c r="CS755" i="1"/>
  <c r="CT755" i="1" s="1"/>
  <c r="BX745" i="1"/>
  <c r="CS786" i="1"/>
  <c r="CT786" i="1" s="1"/>
  <c r="CI701" i="1"/>
  <c r="CS656" i="1"/>
  <c r="CT656" i="1" s="1"/>
  <c r="CS633" i="1"/>
  <c r="CT633" i="1" s="1"/>
  <c r="CS638" i="1"/>
  <c r="CT638" i="1" s="1"/>
  <c r="CI681" i="1"/>
  <c r="CS667" i="1"/>
  <c r="CT667" i="1" s="1"/>
  <c r="CS648" i="1"/>
  <c r="CT648" i="1" s="1"/>
  <c r="CS622" i="1"/>
  <c r="CT622" i="1" s="1"/>
  <c r="CS579" i="1"/>
  <c r="CT579" i="1" s="1"/>
  <c r="CS663" i="1"/>
  <c r="CT663" i="1" s="1"/>
  <c r="CP655" i="1"/>
  <c r="CM664" i="1"/>
  <c r="CR664" i="1"/>
  <c r="CQ664" i="1"/>
  <c r="CP664" i="1"/>
  <c r="CM713" i="1"/>
  <c r="CS632" i="1"/>
  <c r="CT632" i="1" s="1"/>
  <c r="CS547" i="1"/>
  <c r="CT547" i="1" s="1"/>
  <c r="CS617" i="1"/>
  <c r="CT617" i="1" s="1"/>
  <c r="CS603" i="1"/>
  <c r="CT603" i="1" s="1"/>
  <c r="CS562" i="1"/>
  <c r="CT562" i="1" s="1"/>
  <c r="CS686" i="1"/>
  <c r="CT686" i="1" s="1"/>
  <c r="CQ677" i="1"/>
  <c r="BX677" i="1"/>
  <c r="CP677" i="1"/>
  <c r="CR677" i="1"/>
  <c r="CM677" i="1"/>
  <c r="CL677" i="1"/>
  <c r="CK677" i="1"/>
  <c r="CL664" i="1"/>
  <c r="CS664" i="1" s="1"/>
  <c r="CT664" i="1" s="1"/>
  <c r="CS604" i="1"/>
  <c r="CT604" i="1" s="1"/>
  <c r="CR655" i="1"/>
  <c r="CS724" i="1"/>
  <c r="CT724" i="1" s="1"/>
  <c r="CN524" i="1"/>
  <c r="CS463" i="1"/>
  <c r="CT463" i="1" s="1"/>
  <c r="CS540" i="1"/>
  <c r="CT540" i="1" s="1"/>
  <c r="CS500" i="1"/>
  <c r="CT500" i="1" s="1"/>
  <c r="CS459" i="1"/>
  <c r="CT459" i="1" s="1"/>
  <c r="CS429" i="1"/>
  <c r="CT429" i="1" s="1"/>
  <c r="CS414" i="1"/>
  <c r="CT414" i="1" s="1"/>
  <c r="CS516" i="1"/>
  <c r="CT516" i="1" s="1"/>
  <c r="CS481" i="1"/>
  <c r="CT481" i="1" s="1"/>
  <c r="CS569" i="1"/>
  <c r="CT569" i="1" s="1"/>
  <c r="CS485" i="1"/>
  <c r="CT485" i="1" s="1"/>
  <c r="CS453" i="1"/>
  <c r="CT453" i="1" s="1"/>
  <c r="CI381" i="1"/>
  <c r="CS359" i="1"/>
  <c r="CT359" i="1" s="1"/>
  <c r="CO363" i="1"/>
  <c r="CN363" i="1"/>
  <c r="CR363" i="1"/>
  <c r="CQ363" i="1"/>
  <c r="BX363" i="1"/>
  <c r="CP363" i="1"/>
  <c r="CI338" i="1"/>
  <c r="CS316" i="1"/>
  <c r="CT316" i="1" s="1"/>
  <c r="CS375" i="1"/>
  <c r="CT375" i="1" s="1"/>
  <c r="CS356" i="1"/>
  <c r="CT356" i="1" s="1"/>
  <c r="CS328" i="1"/>
  <c r="CT328" i="1" s="1"/>
  <c r="CI309" i="1"/>
  <c r="CS407" i="1"/>
  <c r="CT407" i="1" s="1"/>
  <c r="CS401" i="1"/>
  <c r="CT401" i="1" s="1"/>
  <c r="CS386" i="1"/>
  <c r="CT386" i="1" s="1"/>
  <c r="CS298" i="1"/>
  <c r="CT298" i="1" s="1"/>
  <c r="CN307" i="1"/>
  <c r="CM307" i="1"/>
  <c r="CL307" i="1"/>
  <c r="CQ307" i="1"/>
  <c r="BX307" i="1"/>
  <c r="CP307" i="1"/>
  <c r="CO307" i="1"/>
  <c r="CK307" i="1"/>
  <c r="CR307" i="1"/>
  <c r="CL239" i="1"/>
  <c r="BX239" i="1"/>
  <c r="CR239" i="1"/>
  <c r="CQ239" i="1"/>
  <c r="CP239" i="1"/>
  <c r="CO239" i="1"/>
  <c r="CN239" i="1"/>
  <c r="CM239" i="1"/>
  <c r="CK239" i="1"/>
  <c r="CS239" i="1" s="1"/>
  <c r="CT239" i="1" s="1"/>
  <c r="CP151" i="1"/>
  <c r="CO151" i="1"/>
  <c r="CN151" i="1"/>
  <c r="CM151" i="1"/>
  <c r="CL151" i="1"/>
  <c r="CK151" i="1"/>
  <c r="CR151" i="1"/>
  <c r="CQ151" i="1"/>
  <c r="BX151" i="1"/>
  <c r="CS268" i="1"/>
  <c r="CT268" i="1" s="1"/>
  <c r="CS182" i="1"/>
  <c r="CT182" i="1" s="1"/>
  <c r="CS157" i="1"/>
  <c r="CT157" i="1" s="1"/>
  <c r="CM250" i="1"/>
  <c r="CR250" i="1"/>
  <c r="CQ250" i="1"/>
  <c r="CP250" i="1"/>
  <c r="CO250" i="1"/>
  <c r="CN250" i="1"/>
  <c r="CL250" i="1"/>
  <c r="CK250" i="1"/>
  <c r="BX250" i="1"/>
  <c r="CS148" i="1"/>
  <c r="CT148" i="1" s="1"/>
  <c r="CR252" i="1"/>
  <c r="CL252" i="1"/>
  <c r="CM252" i="1"/>
  <c r="BX252" i="1"/>
  <c r="CK252" i="1"/>
  <c r="CQ252" i="1"/>
  <c r="CP252" i="1"/>
  <c r="CO252" i="1"/>
  <c r="CN252" i="1"/>
  <c r="CI263" i="1"/>
  <c r="CI249" i="1"/>
  <c r="CS244" i="1"/>
  <c r="CT244" i="1" s="1"/>
  <c r="CS236" i="1"/>
  <c r="CT236" i="1" s="1"/>
  <c r="CS184" i="1"/>
  <c r="CT184" i="1" s="1"/>
  <c r="CS165" i="1"/>
  <c r="CT165" i="1" s="1"/>
  <c r="CS195" i="1"/>
  <c r="CT195" i="1" s="1"/>
  <c r="CL161" i="1"/>
  <c r="CK161" i="1"/>
  <c r="CS161" i="1" s="1"/>
  <c r="CT161" i="1" s="1"/>
  <c r="CR161" i="1"/>
  <c r="CQ161" i="1"/>
  <c r="BX161" i="1"/>
  <c r="CP161" i="1"/>
  <c r="CO161" i="1"/>
  <c r="CN161" i="1"/>
  <c r="CM161" i="1"/>
  <c r="CS286" i="1"/>
  <c r="CT286" i="1" s="1"/>
  <c r="CS280" i="1"/>
  <c r="CT280" i="1" s="1"/>
  <c r="CN261" i="1"/>
  <c r="CS209" i="1"/>
  <c r="CT209" i="1" s="1"/>
  <c r="CI114" i="1"/>
  <c r="CQ40" i="1"/>
  <c r="BX40" i="1"/>
  <c r="CP40" i="1"/>
  <c r="CO40" i="1"/>
  <c r="CN40" i="1"/>
  <c r="CM40" i="1"/>
  <c r="CL40" i="1"/>
  <c r="CK40" i="1"/>
  <c r="CR40" i="1"/>
  <c r="CI21" i="1"/>
  <c r="CQ63" i="1"/>
  <c r="BX63" i="1"/>
  <c r="CP63" i="1"/>
  <c r="CO63" i="1"/>
  <c r="CN63" i="1"/>
  <c r="CM63" i="1"/>
  <c r="CL63" i="1"/>
  <c r="CK63" i="1"/>
  <c r="CR63" i="1"/>
  <c r="CR59" i="1"/>
  <c r="CQ59" i="1"/>
  <c r="BX59" i="1"/>
  <c r="CP59" i="1"/>
  <c r="CO59" i="1"/>
  <c r="CN59" i="1"/>
  <c r="CM59" i="1"/>
  <c r="CL59" i="1"/>
  <c r="CK59" i="1"/>
  <c r="CS59" i="1" s="1"/>
  <c r="CT59" i="1" s="1"/>
  <c r="CQ47" i="1"/>
  <c r="BX47" i="1"/>
  <c r="CP47" i="1"/>
  <c r="CO47" i="1"/>
  <c r="CN47" i="1"/>
  <c r="CM47" i="1"/>
  <c r="CL47" i="1"/>
  <c r="CK47" i="1"/>
  <c r="CS47" i="1" s="1"/>
  <c r="CT47" i="1" s="1"/>
  <c r="CR47" i="1"/>
  <c r="CR41" i="1"/>
  <c r="CQ41" i="1"/>
  <c r="BX41" i="1"/>
  <c r="CP41" i="1"/>
  <c r="CO41" i="1"/>
  <c r="CN41" i="1"/>
  <c r="CM41" i="1"/>
  <c r="CL41" i="1"/>
  <c r="CK41" i="1"/>
  <c r="CS27" i="1"/>
  <c r="CT27" i="1" s="1"/>
  <c r="CR15" i="1"/>
  <c r="CQ15" i="1"/>
  <c r="BX15" i="1"/>
  <c r="CN15" i="1"/>
  <c r="CP15" i="1"/>
  <c r="CM15" i="1"/>
  <c r="CO15" i="1"/>
  <c r="CK15" i="1"/>
  <c r="CL15" i="1"/>
  <c r="CS26" i="1"/>
  <c r="CT26" i="1" s="1"/>
  <c r="CS45" i="1"/>
  <c r="CT45" i="1" s="1"/>
  <c r="CL68" i="1"/>
  <c r="CK68" i="1"/>
  <c r="CS68" i="1" s="1"/>
  <c r="CT68" i="1" s="1"/>
  <c r="CR68" i="1"/>
  <c r="CQ68" i="1"/>
  <c r="BX68" i="1"/>
  <c r="CP68" i="1"/>
  <c r="CO68" i="1"/>
  <c r="CN68" i="1"/>
  <c r="CM68" i="1"/>
  <c r="CS56" i="1"/>
  <c r="CT56" i="1" s="1"/>
  <c r="CI26" i="1"/>
  <c r="CI124" i="1"/>
  <c r="CS107" i="1"/>
  <c r="CT107" i="1" s="1"/>
  <c r="CS96" i="1"/>
  <c r="CT96" i="1" s="1"/>
  <c r="CI126" i="1"/>
  <c r="CS82" i="1"/>
  <c r="CT82" i="1" s="1"/>
  <c r="CI74" i="1"/>
  <c r="CN66" i="1"/>
  <c r="CM66" i="1"/>
  <c r="CL66" i="1"/>
  <c r="CK66" i="1"/>
  <c r="CR66" i="1"/>
  <c r="CQ66" i="1"/>
  <c r="BX66" i="1"/>
  <c r="CP66" i="1"/>
  <c r="CO66" i="1"/>
  <c r="CR16" i="1"/>
  <c r="CK23" i="1"/>
  <c r="CP23" i="1"/>
  <c r="CN48" i="1"/>
  <c r="CI770" i="1"/>
  <c r="CS628" i="1"/>
  <c r="CT628" i="1" s="1"/>
  <c r="CM596" i="1"/>
  <c r="CL596" i="1"/>
  <c r="CK596" i="1"/>
  <c r="CQ596" i="1"/>
  <c r="BX596" i="1"/>
  <c r="CP596" i="1"/>
  <c r="CO596" i="1"/>
  <c r="CN596" i="1"/>
  <c r="CR596" i="1"/>
  <c r="CM668" i="1"/>
  <c r="CN668" i="1"/>
  <c r="CL668" i="1"/>
  <c r="CS668" i="1" s="1"/>
  <c r="CT668" i="1" s="1"/>
  <c r="CQ668" i="1"/>
  <c r="CP668" i="1"/>
  <c r="CO668" i="1"/>
  <c r="BX668" i="1"/>
  <c r="CI601" i="1"/>
  <c r="CP520" i="1"/>
  <c r="BX520" i="1"/>
  <c r="CR520" i="1"/>
  <c r="CQ520" i="1"/>
  <c r="CO520" i="1"/>
  <c r="CN520" i="1"/>
  <c r="CM520" i="1"/>
  <c r="CL520" i="1"/>
  <c r="CK520" i="1"/>
  <c r="CS520" i="1" s="1"/>
  <c r="CT520" i="1" s="1"/>
  <c r="CR576" i="1"/>
  <c r="CQ576" i="1"/>
  <c r="BX576" i="1"/>
  <c r="CP576" i="1"/>
  <c r="CN576" i="1"/>
  <c r="CM576" i="1"/>
  <c r="CL576" i="1"/>
  <c r="CK576" i="1"/>
  <c r="CS576" i="1" s="1"/>
  <c r="CT576" i="1" s="1"/>
  <c r="CO576" i="1"/>
  <c r="CS558" i="1"/>
  <c r="CT558" i="1" s="1"/>
  <c r="CR476" i="1"/>
  <c r="CQ476" i="1"/>
  <c r="BX476" i="1"/>
  <c r="CP476" i="1"/>
  <c r="CO476" i="1"/>
  <c r="CN476" i="1"/>
  <c r="CM476" i="1"/>
  <c r="CL476" i="1"/>
  <c r="CK476" i="1"/>
  <c r="CS559" i="1"/>
  <c r="CT559" i="1" s="1"/>
  <c r="CI484" i="1"/>
  <c r="CN396" i="1"/>
  <c r="CL396" i="1"/>
  <c r="CK396" i="1"/>
  <c r="CS396" i="1" s="1"/>
  <c r="CT396" i="1" s="1"/>
  <c r="CR396" i="1"/>
  <c r="CP396" i="1"/>
  <c r="BX396" i="1"/>
  <c r="CQ396" i="1"/>
  <c r="CO396" i="1"/>
  <c r="CM396" i="1"/>
  <c r="CK379" i="1"/>
  <c r="CR379" i="1"/>
  <c r="CQ379" i="1"/>
  <c r="BX379" i="1"/>
  <c r="CP379" i="1"/>
  <c r="CO379" i="1"/>
  <c r="CN379" i="1"/>
  <c r="CM379" i="1"/>
  <c r="CL379" i="1"/>
  <c r="CL368" i="1"/>
  <c r="CK368" i="1"/>
  <c r="CR368" i="1"/>
  <c r="CQ368" i="1"/>
  <c r="BX368" i="1"/>
  <c r="CP368" i="1"/>
  <c r="CO368" i="1"/>
  <c r="CN368" i="1"/>
  <c r="CM368" i="1"/>
  <c r="CS364" i="1"/>
  <c r="CT364" i="1" s="1"/>
  <c r="CS361" i="1"/>
  <c r="CT361" i="1" s="1"/>
  <c r="CN349" i="1"/>
  <c r="CM349" i="1"/>
  <c r="CL349" i="1"/>
  <c r="CK349" i="1"/>
  <c r="CR349" i="1"/>
  <c r="CQ349" i="1"/>
  <c r="BX349" i="1"/>
  <c r="CP349" i="1"/>
  <c r="CO349" i="1"/>
  <c r="CN345" i="1"/>
  <c r="CM345" i="1"/>
  <c r="CL345" i="1"/>
  <c r="CK345" i="1"/>
  <c r="CR345" i="1"/>
  <c r="CQ345" i="1"/>
  <c r="BX345" i="1"/>
  <c r="CP345" i="1"/>
  <c r="CO345" i="1"/>
  <c r="CN341" i="1"/>
  <c r="CM341" i="1"/>
  <c r="CL341" i="1"/>
  <c r="CK341" i="1"/>
  <c r="CS341" i="1" s="1"/>
  <c r="CT341" i="1" s="1"/>
  <c r="CR341" i="1"/>
  <c r="CQ341" i="1"/>
  <c r="BX341" i="1"/>
  <c r="CP341" i="1"/>
  <c r="CO341" i="1"/>
  <c r="CM143" i="1"/>
  <c r="CL143" i="1"/>
  <c r="CK143" i="1"/>
  <c r="CS143" i="1" s="1"/>
  <c r="CT143" i="1" s="1"/>
  <c r="CR143" i="1"/>
  <c r="CQ143" i="1"/>
  <c r="BX143" i="1"/>
  <c r="CP143" i="1"/>
  <c r="CO143" i="1"/>
  <c r="CN143" i="1"/>
  <c r="CN197" i="1"/>
  <c r="CR197" i="1"/>
  <c r="CP197" i="1"/>
  <c r="CO197" i="1"/>
  <c r="CI308" i="1"/>
  <c r="CS168" i="1"/>
  <c r="CT168" i="1" s="1"/>
  <c r="CM162" i="1"/>
  <c r="CL162" i="1"/>
  <c r="CK162" i="1"/>
  <c r="CR162" i="1"/>
  <c r="CQ162" i="1"/>
  <c r="BX162" i="1"/>
  <c r="CP162" i="1"/>
  <c r="CO162" i="1"/>
  <c r="CN162" i="1"/>
  <c r="CP22" i="1"/>
  <c r="CO22" i="1"/>
  <c r="CN22" i="1"/>
  <c r="CQ22" i="1"/>
  <c r="BX22" i="1"/>
  <c r="CM22" i="1"/>
  <c r="CL22" i="1"/>
  <c r="CR22" i="1"/>
  <c r="CK22" i="1"/>
  <c r="CS91" i="1"/>
  <c r="CT91" i="1" s="1"/>
  <c r="CI67" i="1"/>
  <c r="CS11" i="1"/>
  <c r="CT11" i="1" s="1"/>
  <c r="CK1158" i="1"/>
  <c r="CN1158" i="1"/>
  <c r="CR1158" i="1"/>
  <c r="CM1158" i="1"/>
  <c r="CL1158" i="1"/>
  <c r="CS1106" i="1"/>
  <c r="CT1106" i="1" s="1"/>
  <c r="CR1130" i="1"/>
  <c r="CQ1158" i="1"/>
  <c r="CK1140" i="1"/>
  <c r="CI1127" i="1"/>
  <c r="CO1084" i="1"/>
  <c r="CL1084" i="1"/>
  <c r="CK1084" i="1"/>
  <c r="BX1084" i="1"/>
  <c r="CR1084" i="1"/>
  <c r="CQ1084" i="1"/>
  <c r="CP1084" i="1"/>
  <c r="CN1084" i="1"/>
  <c r="CM1084" i="1"/>
  <c r="CN1054" i="1"/>
  <c r="CM1054" i="1"/>
  <c r="CL1054" i="1"/>
  <c r="CK1054" i="1"/>
  <c r="CR1054" i="1"/>
  <c r="CP1054" i="1"/>
  <c r="CQ1054" i="1"/>
  <c r="CO1054" i="1"/>
  <c r="BX1054" i="1"/>
  <c r="CO1130" i="1"/>
  <c r="CS1101" i="1"/>
  <c r="CT1101" i="1" s="1"/>
  <c r="CK1075" i="1"/>
  <c r="CR1075" i="1"/>
  <c r="CQ1075" i="1"/>
  <c r="BX1075" i="1"/>
  <c r="CP1075" i="1"/>
  <c r="CO1075" i="1"/>
  <c r="CN1075" i="1"/>
  <c r="CM1075" i="1"/>
  <c r="CL1075" i="1"/>
  <c r="CO1041" i="1"/>
  <c r="CM1041" i="1"/>
  <c r="CK1041" i="1"/>
  <c r="CQ1041" i="1"/>
  <c r="BX1041" i="1"/>
  <c r="CS982" i="1"/>
  <c r="CT982" i="1" s="1"/>
  <c r="CS1027" i="1"/>
  <c r="CT1027" i="1" s="1"/>
  <c r="CS1011" i="1"/>
  <c r="CT1011" i="1" s="1"/>
  <c r="CI1076" i="1"/>
  <c r="CL1058" i="1"/>
  <c r="CK1058" i="1"/>
  <c r="CR1058" i="1"/>
  <c r="CQ1058" i="1"/>
  <c r="BX1058" i="1"/>
  <c r="CP1058" i="1"/>
  <c r="CO1058" i="1"/>
  <c r="CN1058" i="1"/>
  <c r="CM1058" i="1"/>
  <c r="CS974" i="1"/>
  <c r="CT974" i="1" s="1"/>
  <c r="CS972" i="1"/>
  <c r="CT972" i="1" s="1"/>
  <c r="CQ958" i="1"/>
  <c r="CP958" i="1"/>
  <c r="CN958" i="1"/>
  <c r="CM958" i="1"/>
  <c r="CL958" i="1"/>
  <c r="BX958" i="1"/>
  <c r="CR958" i="1"/>
  <c r="CS963" i="1"/>
  <c r="CT963" i="1" s="1"/>
  <c r="CP938" i="1"/>
  <c r="CS959" i="1"/>
  <c r="CT959" i="1" s="1"/>
  <c r="CO938" i="1"/>
  <c r="CS943" i="1"/>
  <c r="CT943" i="1" s="1"/>
  <c r="CS930" i="1"/>
  <c r="CT930" i="1" s="1"/>
  <c r="CS907" i="1"/>
  <c r="CT907" i="1" s="1"/>
  <c r="CS915" i="1"/>
  <c r="CT915" i="1" s="1"/>
  <c r="CR910" i="1"/>
  <c r="CQ910" i="1"/>
  <c r="BX910" i="1"/>
  <c r="CN910" i="1"/>
  <c r="CM910" i="1"/>
  <c r="CS891" i="1"/>
  <c r="CT891" i="1" s="1"/>
  <c r="CI848" i="1"/>
  <c r="CI881" i="1"/>
  <c r="CS857" i="1"/>
  <c r="CT857" i="1" s="1"/>
  <c r="CN848" i="1"/>
  <c r="CM848" i="1"/>
  <c r="CL848" i="1"/>
  <c r="CR848" i="1"/>
  <c r="CQ848" i="1"/>
  <c r="CP848" i="1"/>
  <c r="CO848" i="1"/>
  <c r="BX848" i="1"/>
  <c r="CK848" i="1"/>
  <c r="CS879" i="1"/>
  <c r="CT879" i="1" s="1"/>
  <c r="CS875" i="1"/>
  <c r="CT875" i="1" s="1"/>
  <c r="CM808" i="1"/>
  <c r="CQ808" i="1"/>
  <c r="CP808" i="1"/>
  <c r="CO808" i="1"/>
  <c r="CN808" i="1"/>
  <c r="CL808" i="1"/>
  <c r="BX808" i="1"/>
  <c r="CR808" i="1"/>
  <c r="CK808" i="1"/>
  <c r="CN727" i="1"/>
  <c r="CM727" i="1"/>
  <c r="CL727" i="1"/>
  <c r="CI727" i="1"/>
  <c r="CI742" i="1"/>
  <c r="BX727" i="1"/>
  <c r="CP727" i="1"/>
  <c r="CP725" i="1"/>
  <c r="CN725" i="1"/>
  <c r="CM725" i="1"/>
  <c r="CO725" i="1"/>
  <c r="CI744" i="1"/>
  <c r="CM804" i="1"/>
  <c r="CL804" i="1"/>
  <c r="CK804" i="1"/>
  <c r="BX804" i="1"/>
  <c r="CR804" i="1"/>
  <c r="CQ804" i="1"/>
  <c r="CO804" i="1"/>
  <c r="CN804" i="1"/>
  <c r="CP804" i="1"/>
  <c r="CO813" i="1"/>
  <c r="CN813" i="1"/>
  <c r="BX813" i="1"/>
  <c r="CR813" i="1"/>
  <c r="CK813" i="1"/>
  <c r="CR746" i="1"/>
  <c r="CQ746" i="1"/>
  <c r="BX746" i="1"/>
  <c r="CK746" i="1"/>
  <c r="CP746" i="1"/>
  <c r="CO746" i="1"/>
  <c r="CN746" i="1"/>
  <c r="CM746" i="1"/>
  <c r="CL746" i="1"/>
  <c r="CI740" i="1"/>
  <c r="CN733" i="1"/>
  <c r="CK733" i="1"/>
  <c r="BX733" i="1"/>
  <c r="CR733" i="1"/>
  <c r="CQ733" i="1"/>
  <c r="CP733" i="1"/>
  <c r="CS699" i="1"/>
  <c r="CT699" i="1" s="1"/>
  <c r="CS682" i="1"/>
  <c r="CT682" i="1" s="1"/>
  <c r="CI653" i="1"/>
  <c r="CS616" i="1"/>
  <c r="CT616" i="1" s="1"/>
  <c r="CS585" i="1"/>
  <c r="CT585" i="1" s="1"/>
  <c r="CS671" i="1"/>
  <c r="CT671" i="1" s="1"/>
  <c r="CS665" i="1"/>
  <c r="CT665" i="1" s="1"/>
  <c r="CS639" i="1"/>
  <c r="CT639" i="1" s="1"/>
  <c r="CK727" i="1"/>
  <c r="CS727" i="1" s="1"/>
  <c r="CT727" i="1" s="1"/>
  <c r="CM666" i="1"/>
  <c r="CR666" i="1"/>
  <c r="CQ666" i="1"/>
  <c r="CS565" i="1"/>
  <c r="CT565" i="1" s="1"/>
  <c r="CR690" i="1"/>
  <c r="BX690" i="1"/>
  <c r="CQ690" i="1"/>
  <c r="CP690" i="1"/>
  <c r="CO690" i="1"/>
  <c r="CM601" i="1"/>
  <c r="CK601" i="1"/>
  <c r="CR601" i="1"/>
  <c r="CN601" i="1"/>
  <c r="CI691" i="1"/>
  <c r="CI676" i="1"/>
  <c r="CS522" i="1"/>
  <c r="CT522" i="1" s="1"/>
  <c r="CS591" i="1"/>
  <c r="CT591" i="1" s="1"/>
  <c r="CS551" i="1"/>
  <c r="CT551" i="1" s="1"/>
  <c r="CS513" i="1"/>
  <c r="CT513" i="1" s="1"/>
  <c r="CS539" i="1"/>
  <c r="CT539" i="1" s="1"/>
  <c r="CI532" i="1"/>
  <c r="CS498" i="1"/>
  <c r="CT498" i="1" s="1"/>
  <c r="CS502" i="1"/>
  <c r="CT502" i="1" s="1"/>
  <c r="CS464" i="1"/>
  <c r="CT464" i="1" s="1"/>
  <c r="CP524" i="1"/>
  <c r="CS468" i="1"/>
  <c r="CT468" i="1" s="1"/>
  <c r="CS701" i="1"/>
  <c r="CT701" i="1" s="1"/>
  <c r="CI531" i="1"/>
  <c r="CQ523" i="1"/>
  <c r="BX523" i="1"/>
  <c r="CM523" i="1"/>
  <c r="CO523" i="1"/>
  <c r="CN523" i="1"/>
  <c r="CL523" i="1"/>
  <c r="CK523" i="1"/>
  <c r="CR523" i="1"/>
  <c r="CP523" i="1"/>
  <c r="CS499" i="1"/>
  <c r="CT499" i="1" s="1"/>
  <c r="CQ594" i="1"/>
  <c r="BX594" i="1"/>
  <c r="CP594" i="1"/>
  <c r="CO594" i="1"/>
  <c r="CM594" i="1"/>
  <c r="CL594" i="1"/>
  <c r="CK594" i="1"/>
  <c r="CR594" i="1"/>
  <c r="CN594" i="1"/>
  <c r="CM592" i="1"/>
  <c r="CL592" i="1"/>
  <c r="CK592" i="1"/>
  <c r="CS592" i="1" s="1"/>
  <c r="CT592" i="1" s="1"/>
  <c r="CQ592" i="1"/>
  <c r="BX592" i="1"/>
  <c r="CP592" i="1"/>
  <c r="CO592" i="1"/>
  <c r="CN592" i="1"/>
  <c r="CR592" i="1"/>
  <c r="CS538" i="1"/>
  <c r="CT538" i="1" s="1"/>
  <c r="CI483" i="1"/>
  <c r="CS398" i="1"/>
  <c r="CT398" i="1" s="1"/>
  <c r="CK378" i="1"/>
  <c r="CR378" i="1"/>
  <c r="CQ378" i="1"/>
  <c r="BX378" i="1"/>
  <c r="CP378" i="1"/>
  <c r="CO378" i="1"/>
  <c r="CN378" i="1"/>
  <c r="CM378" i="1"/>
  <c r="CL378" i="1"/>
  <c r="CL363" i="1"/>
  <c r="CS384" i="1"/>
  <c r="CT384" i="1" s="1"/>
  <c r="CS334" i="1"/>
  <c r="CT334" i="1" s="1"/>
  <c r="CI363" i="1"/>
  <c r="CL432" i="1"/>
  <c r="CK432" i="1"/>
  <c r="CS432" i="1" s="1"/>
  <c r="CT432" i="1" s="1"/>
  <c r="CR432" i="1"/>
  <c r="CQ432" i="1"/>
  <c r="BX432" i="1"/>
  <c r="CP432" i="1"/>
  <c r="CO432" i="1"/>
  <c r="CN432" i="1"/>
  <c r="CM432" i="1"/>
  <c r="CM308" i="1"/>
  <c r="CL308" i="1"/>
  <c r="CK308" i="1"/>
  <c r="CP308" i="1"/>
  <c r="CO308" i="1"/>
  <c r="CN308" i="1"/>
  <c r="CR308" i="1"/>
  <c r="CQ308" i="1"/>
  <c r="BX308" i="1"/>
  <c r="CI161" i="1"/>
  <c r="CI248" i="1"/>
  <c r="CI162" i="1"/>
  <c r="CK156" i="1"/>
  <c r="CR156" i="1"/>
  <c r="CQ156" i="1"/>
  <c r="BX156" i="1"/>
  <c r="CP156" i="1"/>
  <c r="CO156" i="1"/>
  <c r="CN156" i="1"/>
  <c r="CM156" i="1"/>
  <c r="CL156" i="1"/>
  <c r="CS206" i="1"/>
  <c r="CT206" i="1" s="1"/>
  <c r="CP261" i="1"/>
  <c r="CP248" i="1"/>
  <c r="CN248" i="1"/>
  <c r="CM248" i="1"/>
  <c r="CL248" i="1"/>
  <c r="CK248" i="1"/>
  <c r="BX248" i="1"/>
  <c r="CR248" i="1"/>
  <c r="CQ248" i="1"/>
  <c r="CO248" i="1"/>
  <c r="CQ200" i="1"/>
  <c r="BX200" i="1"/>
  <c r="CP200" i="1"/>
  <c r="CO200" i="1"/>
  <c r="CN200" i="1"/>
  <c r="CM200" i="1"/>
  <c r="CL200" i="1"/>
  <c r="CK200" i="1"/>
  <c r="CS200" i="1" s="1"/>
  <c r="CT200" i="1" s="1"/>
  <c r="CR200" i="1"/>
  <c r="CS194" i="1"/>
  <c r="CT194" i="1" s="1"/>
  <c r="CI177" i="1"/>
  <c r="CI257" i="1"/>
  <c r="CS220" i="1"/>
  <c r="CT220" i="1" s="1"/>
  <c r="CS213" i="1"/>
  <c r="CT213" i="1" s="1"/>
  <c r="CS152" i="1"/>
  <c r="CT152" i="1" s="1"/>
  <c r="CS277" i="1"/>
  <c r="CT277" i="1" s="1"/>
  <c r="CI125" i="1"/>
  <c r="CM126" i="1"/>
  <c r="CK126" i="1"/>
  <c r="CL126" i="1"/>
  <c r="BX126" i="1"/>
  <c r="CR126" i="1"/>
  <c r="CQ126" i="1"/>
  <c r="CP126" i="1"/>
  <c r="CO126" i="1"/>
  <c r="CN126" i="1"/>
  <c r="CS108" i="1"/>
  <c r="CT108" i="1" s="1"/>
  <c r="CS81" i="1"/>
  <c r="CT81" i="1" s="1"/>
  <c r="CR62" i="1"/>
  <c r="CQ62" i="1"/>
  <c r="BX62" i="1"/>
  <c r="CP62" i="1"/>
  <c r="CO62" i="1"/>
  <c r="CN62" i="1"/>
  <c r="CM62" i="1"/>
  <c r="CL62" i="1"/>
  <c r="CK62" i="1"/>
  <c r="CS44" i="1"/>
  <c r="CT44" i="1" s="1"/>
  <c r="CS36" i="1"/>
  <c r="CT36" i="1" s="1"/>
  <c r="CS51" i="1"/>
  <c r="CT51" i="1" s="1"/>
  <c r="CK21" i="1"/>
  <c r="CR21" i="1"/>
  <c r="CQ21" i="1"/>
  <c r="BX21" i="1"/>
  <c r="CO21" i="1"/>
  <c r="CP21" i="1"/>
  <c r="CM21" i="1"/>
  <c r="CL21" i="1"/>
  <c r="CN21" i="1"/>
  <c r="CS8" i="1"/>
  <c r="CT8" i="1" s="1"/>
  <c r="CS80" i="1"/>
  <c r="CT80" i="1" s="1"/>
  <c r="CK70" i="1"/>
  <c r="CK25" i="1"/>
  <c r="CR25" i="1"/>
  <c r="CQ25" i="1"/>
  <c r="BX25" i="1"/>
  <c r="CP25" i="1"/>
  <c r="CO25" i="1"/>
  <c r="CL25" i="1"/>
  <c r="CN25" i="1"/>
  <c r="CM25" i="1"/>
  <c r="CL20" i="1"/>
  <c r="CK20" i="1"/>
  <c r="CR20" i="1"/>
  <c r="CQ20" i="1"/>
  <c r="BX20" i="1"/>
  <c r="CN20" i="1"/>
  <c r="CM20" i="1"/>
  <c r="CP20" i="1"/>
  <c r="CO20" i="1"/>
  <c r="CI64" i="1"/>
  <c r="CS132" i="1"/>
  <c r="CT132" i="1" s="1"/>
  <c r="CR125" i="1"/>
  <c r="CP125" i="1"/>
  <c r="CQ125" i="1"/>
  <c r="CO125" i="1"/>
  <c r="CN125" i="1"/>
  <c r="CM125" i="1"/>
  <c r="CL125" i="1"/>
  <c r="BX125" i="1"/>
  <c r="CK125" i="1"/>
  <c r="CS125" i="1" s="1"/>
  <c r="CT125" i="1" s="1"/>
  <c r="CR100" i="1"/>
  <c r="CQ100" i="1"/>
  <c r="BX100" i="1"/>
  <c r="CP100" i="1"/>
  <c r="CO100" i="1"/>
  <c r="CI63" i="1"/>
  <c r="CS34" i="1"/>
  <c r="CT34" i="1" s="1"/>
  <c r="CK16" i="1"/>
  <c r="CQ23" i="1"/>
  <c r="BX48" i="1"/>
  <c r="CP48" i="1"/>
  <c r="CS1225" i="1"/>
  <c r="CT1225" i="1" s="1"/>
  <c r="CS1214" i="1"/>
  <c r="CT1214" i="1" s="1"/>
  <c r="CS1185" i="1"/>
  <c r="CT1185" i="1" s="1"/>
  <c r="BO1185" i="1" s="1"/>
  <c r="AJ1185" i="1" s="1"/>
  <c r="CY1185" i="1" s="1"/>
  <c r="CR1169" i="1"/>
  <c r="CQ1169" i="1"/>
  <c r="BX1169" i="1"/>
  <c r="CP1169" i="1"/>
  <c r="CO1169" i="1"/>
  <c r="CN1169" i="1"/>
  <c r="CM1169" i="1"/>
  <c r="CL1169" i="1"/>
  <c r="CK1169" i="1"/>
  <c r="CS1169" i="1" s="1"/>
  <c r="CT1169" i="1" s="1"/>
  <c r="CS1197" i="1"/>
  <c r="CT1197" i="1" s="1"/>
  <c r="CS1184" i="1"/>
  <c r="CT1184" i="1" s="1"/>
  <c r="BO1184" i="1" s="1"/>
  <c r="AJ1184" i="1" s="1"/>
  <c r="CY1184" i="1" s="1"/>
  <c r="CS1203" i="1"/>
  <c r="CT1203" i="1" s="1"/>
  <c r="CI1156" i="1"/>
  <c r="CI1140" i="1"/>
  <c r="CS1132" i="1"/>
  <c r="CT1132" i="1" s="1"/>
  <c r="CI1130" i="1"/>
  <c r="CN1104" i="1"/>
  <c r="CM1104" i="1"/>
  <c r="CL1104" i="1"/>
  <c r="CK1104" i="1"/>
  <c r="CR1104" i="1"/>
  <c r="CQ1104" i="1"/>
  <c r="BX1104" i="1"/>
  <c r="CP1104" i="1"/>
  <c r="CO1104" i="1"/>
  <c r="CL1140" i="1"/>
  <c r="CI1110" i="1"/>
  <c r="CN1080" i="1"/>
  <c r="CL1080" i="1"/>
  <c r="CI1089" i="1"/>
  <c r="CQ1080" i="1"/>
  <c r="CS1097" i="1"/>
  <c r="CT1097" i="1" s="1"/>
  <c r="CP1080" i="1"/>
  <c r="CS1093" i="1"/>
  <c r="CT1093" i="1" s="1"/>
  <c r="CO1080" i="1"/>
  <c r="CO1113" i="1"/>
  <c r="CN1113" i="1"/>
  <c r="CM1113" i="1"/>
  <c r="CL1113" i="1"/>
  <c r="CK1113" i="1"/>
  <c r="CR1113" i="1"/>
  <c r="CQ1113" i="1"/>
  <c r="BX1113" i="1"/>
  <c r="CP1113" i="1"/>
  <c r="CI1071" i="1"/>
  <c r="CM1117" i="1"/>
  <c r="CS1070" i="1"/>
  <c r="CT1070" i="1" s="1"/>
  <c r="CI1040" i="1"/>
  <c r="CS1012" i="1"/>
  <c r="CT1012" i="1" s="1"/>
  <c r="CS980" i="1"/>
  <c r="CT980" i="1" s="1"/>
  <c r="CS996" i="1"/>
  <c r="CT996" i="1" s="1"/>
  <c r="CS1094" i="1"/>
  <c r="CT1094" i="1" s="1"/>
  <c r="CN1028" i="1"/>
  <c r="CM1028" i="1"/>
  <c r="CL1028" i="1"/>
  <c r="CK1028" i="1"/>
  <c r="CR1028" i="1"/>
  <c r="CQ1028" i="1"/>
  <c r="BX1028" i="1"/>
  <c r="CP1028" i="1"/>
  <c r="CO1028" i="1"/>
  <c r="CO958" i="1"/>
  <c r="CO950" i="1"/>
  <c r="CN950" i="1"/>
  <c r="CM950" i="1"/>
  <c r="CL950" i="1"/>
  <c r="CK950" i="1"/>
  <c r="CR950" i="1"/>
  <c r="CQ950" i="1"/>
  <c r="BX950" i="1"/>
  <c r="CP950" i="1"/>
  <c r="CS993" i="1"/>
  <c r="CT993" i="1" s="1"/>
  <c r="CS975" i="1"/>
  <c r="CT975" i="1" s="1"/>
  <c r="CQ938" i="1"/>
  <c r="CM1021" i="1"/>
  <c r="CL1021" i="1"/>
  <c r="CK1021" i="1"/>
  <c r="CR1021" i="1"/>
  <c r="CQ1021" i="1"/>
  <c r="BX1021" i="1"/>
  <c r="CP1021" i="1"/>
  <c r="CO1021" i="1"/>
  <c r="CN1021" i="1"/>
  <c r="CK958" i="1"/>
  <c r="CS960" i="1"/>
  <c r="CT960" i="1" s="1"/>
  <c r="CI856" i="1"/>
  <c r="CQ957" i="1"/>
  <c r="CM892" i="1"/>
  <c r="CL892" i="1"/>
  <c r="CK892" i="1"/>
  <c r="CO892" i="1"/>
  <c r="CN892" i="1"/>
  <c r="BX892" i="1"/>
  <c r="CR892" i="1"/>
  <c r="CQ892" i="1"/>
  <c r="CP892" i="1"/>
  <c r="CS832" i="1"/>
  <c r="CT832" i="1" s="1"/>
  <c r="CS881" i="1"/>
  <c r="CT881" i="1" s="1"/>
  <c r="CI862" i="1"/>
  <c r="CS836" i="1"/>
  <c r="CT836" i="1" s="1"/>
  <c r="CI826" i="1"/>
  <c r="CS886" i="1"/>
  <c r="CT886" i="1" s="1"/>
  <c r="CI825" i="1"/>
  <c r="CS799" i="1"/>
  <c r="CT799" i="1" s="1"/>
  <c r="CS823" i="1"/>
  <c r="CT823" i="1" s="1"/>
  <c r="CI806" i="1"/>
  <c r="CS795" i="1"/>
  <c r="CT795" i="1" s="1"/>
  <c r="CS783" i="1"/>
  <c r="CT783" i="1" s="1"/>
  <c r="CO726" i="1"/>
  <c r="CN726" i="1"/>
  <c r="CM726" i="1"/>
  <c r="CL726" i="1"/>
  <c r="CK726" i="1"/>
  <c r="CS726" i="1" s="1"/>
  <c r="CT726" i="1" s="1"/>
  <c r="CP726" i="1"/>
  <c r="BX726" i="1"/>
  <c r="CR726" i="1"/>
  <c r="CQ726" i="1"/>
  <c r="CS775" i="1"/>
  <c r="CT775" i="1" s="1"/>
  <c r="CM747" i="1"/>
  <c r="CL747" i="1"/>
  <c r="CN747" i="1"/>
  <c r="CK747" i="1"/>
  <c r="BX747" i="1"/>
  <c r="CR747" i="1"/>
  <c r="CQ747" i="1"/>
  <c r="CP747" i="1"/>
  <c r="CO747" i="1"/>
  <c r="CM733" i="1"/>
  <c r="CL719" i="1"/>
  <c r="CS719" i="1" s="1"/>
  <c r="CT719" i="1" s="1"/>
  <c r="CQ719" i="1"/>
  <c r="BX719" i="1"/>
  <c r="CN719" i="1"/>
  <c r="CP719" i="1"/>
  <c r="CO719" i="1"/>
  <c r="CM772" i="1"/>
  <c r="CL772" i="1"/>
  <c r="CK772" i="1"/>
  <c r="CS772" i="1" s="1"/>
  <c r="CT772" i="1" s="1"/>
  <c r="CR772" i="1"/>
  <c r="CQ772" i="1"/>
  <c r="CP772" i="1"/>
  <c r="CO772" i="1"/>
  <c r="BX772" i="1"/>
  <c r="CN772" i="1"/>
  <c r="CS698" i="1"/>
  <c r="CT698" i="1" s="1"/>
  <c r="CK805" i="1"/>
  <c r="CN805" i="1"/>
  <c r="CM805" i="1"/>
  <c r="CL805" i="1"/>
  <c r="BX805" i="1"/>
  <c r="CR805" i="1"/>
  <c r="CP805" i="1"/>
  <c r="CO805" i="1"/>
  <c r="CQ805" i="1"/>
  <c r="CL744" i="1"/>
  <c r="CK744" i="1"/>
  <c r="CR744" i="1"/>
  <c r="CQ744" i="1"/>
  <c r="CP744" i="1"/>
  <c r="CO744" i="1"/>
  <c r="CN744" i="1"/>
  <c r="CM744" i="1"/>
  <c r="BX744" i="1"/>
  <c r="CS815" i="1"/>
  <c r="CT815" i="1" s="1"/>
  <c r="CS749" i="1"/>
  <c r="CT749" i="1" s="1"/>
  <c r="CS758" i="1"/>
  <c r="CT758" i="1" s="1"/>
  <c r="CQ751" i="1"/>
  <c r="BX751" i="1"/>
  <c r="CP751" i="1"/>
  <c r="CM751" i="1"/>
  <c r="CL751" i="1"/>
  <c r="CK751" i="1"/>
  <c r="CR751" i="1"/>
  <c r="CO751" i="1"/>
  <c r="CN751" i="1"/>
  <c r="CR605" i="1"/>
  <c r="CQ605" i="1"/>
  <c r="BX605" i="1"/>
  <c r="CP605" i="1"/>
  <c r="CO605" i="1"/>
  <c r="CN605" i="1"/>
  <c r="CM605" i="1"/>
  <c r="CL605" i="1"/>
  <c r="CK605" i="1"/>
  <c r="CS728" i="1"/>
  <c r="CT728" i="1" s="1"/>
  <c r="CI706" i="1"/>
  <c r="CS684" i="1"/>
  <c r="CT684" i="1" s="1"/>
  <c r="CS645" i="1"/>
  <c r="CT645" i="1" s="1"/>
  <c r="CN730" i="1"/>
  <c r="CM730" i="1"/>
  <c r="CL730" i="1"/>
  <c r="CK730" i="1"/>
  <c r="CR730" i="1"/>
  <c r="CO730" i="1"/>
  <c r="BX730" i="1"/>
  <c r="CQ730" i="1"/>
  <c r="CP730" i="1"/>
  <c r="CS646" i="1"/>
  <c r="CT646" i="1" s="1"/>
  <c r="CI690" i="1"/>
  <c r="CS661" i="1"/>
  <c r="CT661" i="1" s="1"/>
  <c r="CS625" i="1"/>
  <c r="CT625" i="1" s="1"/>
  <c r="CS554" i="1"/>
  <c r="CT554" i="1" s="1"/>
  <c r="CI666" i="1"/>
  <c r="CS610" i="1"/>
  <c r="CT610" i="1" s="1"/>
  <c r="CN447" i="1"/>
  <c r="CM447" i="1"/>
  <c r="CL447" i="1"/>
  <c r="CK447" i="1"/>
  <c r="CR447" i="1"/>
  <c r="CQ447" i="1"/>
  <c r="BX447" i="1"/>
  <c r="CP447" i="1"/>
  <c r="CO447" i="1"/>
  <c r="CS458" i="1"/>
  <c r="CT458" i="1" s="1"/>
  <c r="CS600" i="1"/>
  <c r="CT600" i="1" s="1"/>
  <c r="CI517" i="1"/>
  <c r="CS532" i="1"/>
  <c r="CT532" i="1" s="1"/>
  <c r="CK524" i="1"/>
  <c r="CS418" i="1"/>
  <c r="CT418" i="1" s="1"/>
  <c r="CL524" i="1"/>
  <c r="CS512" i="1"/>
  <c r="CT512" i="1" s="1"/>
  <c r="CR427" i="1"/>
  <c r="CQ427" i="1"/>
  <c r="BX427" i="1"/>
  <c r="CP427" i="1"/>
  <c r="CO427" i="1"/>
  <c r="CN427" i="1"/>
  <c r="CM427" i="1"/>
  <c r="CL427" i="1"/>
  <c r="CK427" i="1"/>
  <c r="CS490" i="1"/>
  <c r="CT490" i="1" s="1"/>
  <c r="CS465" i="1"/>
  <c r="CT465" i="1" s="1"/>
  <c r="CS497" i="1"/>
  <c r="CT497" i="1" s="1"/>
  <c r="CS466" i="1"/>
  <c r="CT466" i="1" s="1"/>
  <c r="CS449" i="1"/>
  <c r="CT449" i="1" s="1"/>
  <c r="CS413" i="1"/>
  <c r="CT413" i="1" s="1"/>
  <c r="CS457" i="1"/>
  <c r="CT457" i="1" s="1"/>
  <c r="CS331" i="1"/>
  <c r="CT331" i="1" s="1"/>
  <c r="CK397" i="1"/>
  <c r="CQ397" i="1"/>
  <c r="BX397" i="1"/>
  <c r="CP397" i="1"/>
  <c r="CO397" i="1"/>
  <c r="CM397" i="1"/>
  <c r="CR397" i="1"/>
  <c r="CN397" i="1"/>
  <c r="CL397" i="1"/>
  <c r="CI396" i="1"/>
  <c r="CK377" i="1"/>
  <c r="CR377" i="1"/>
  <c r="CQ377" i="1"/>
  <c r="BX377" i="1"/>
  <c r="CP377" i="1"/>
  <c r="CO377" i="1"/>
  <c r="CN377" i="1"/>
  <c r="CM377" i="1"/>
  <c r="CL377" i="1"/>
  <c r="CS333" i="1"/>
  <c r="CT333" i="1" s="1"/>
  <c r="CS389" i="1"/>
  <c r="CT389" i="1" s="1"/>
  <c r="CI383" i="1"/>
  <c r="CI349" i="1"/>
  <c r="CS371" i="1"/>
  <c r="CT371" i="1" s="1"/>
  <c r="CI301" i="1"/>
  <c r="CS419" i="1"/>
  <c r="CT419" i="1" s="1"/>
  <c r="CN348" i="1"/>
  <c r="CM348" i="1"/>
  <c r="CL348" i="1"/>
  <c r="CK348" i="1"/>
  <c r="CR348" i="1"/>
  <c r="CQ348" i="1"/>
  <c r="BX348" i="1"/>
  <c r="CP348" i="1"/>
  <c r="CO348" i="1"/>
  <c r="CN344" i="1"/>
  <c r="CM344" i="1"/>
  <c r="CL344" i="1"/>
  <c r="CK344" i="1"/>
  <c r="CR344" i="1"/>
  <c r="CQ344" i="1"/>
  <c r="BX344" i="1"/>
  <c r="CP344" i="1"/>
  <c r="CO344" i="1"/>
  <c r="CN340" i="1"/>
  <c r="CM340" i="1"/>
  <c r="CL340" i="1"/>
  <c r="CK340" i="1"/>
  <c r="CR340" i="1"/>
  <c r="CQ340" i="1"/>
  <c r="BX340" i="1"/>
  <c r="CP340" i="1"/>
  <c r="CO340" i="1"/>
  <c r="CS329" i="1"/>
  <c r="CT329" i="1" s="1"/>
  <c r="CS306" i="1"/>
  <c r="CT306" i="1" s="1"/>
  <c r="CS281" i="1"/>
  <c r="CT281" i="1" s="1"/>
  <c r="CS187" i="1"/>
  <c r="CT187" i="1" s="1"/>
  <c r="CS183" i="1"/>
  <c r="CT183" i="1" s="1"/>
  <c r="CL177" i="1"/>
  <c r="CS270" i="1"/>
  <c r="CT270" i="1" s="1"/>
  <c r="CI252" i="1"/>
  <c r="CI167" i="1"/>
  <c r="CS150" i="1"/>
  <c r="CT150" i="1" s="1"/>
  <c r="CS138" i="1"/>
  <c r="CT138" i="1" s="1"/>
  <c r="CI261" i="1"/>
  <c r="CS242" i="1"/>
  <c r="CT242" i="1" s="1"/>
  <c r="CK227" i="1"/>
  <c r="CR227" i="1"/>
  <c r="CQ227" i="1"/>
  <c r="BX227" i="1"/>
  <c r="CP227" i="1"/>
  <c r="CO227" i="1"/>
  <c r="CN227" i="1"/>
  <c r="CM227" i="1"/>
  <c r="CL227" i="1"/>
  <c r="CS269" i="1"/>
  <c r="CT269" i="1" s="1"/>
  <c r="CK256" i="1"/>
  <c r="CM256" i="1"/>
  <c r="CR256" i="1"/>
  <c r="CQ256" i="1"/>
  <c r="CP256" i="1"/>
  <c r="CO256" i="1"/>
  <c r="CN256" i="1"/>
  <c r="CL256" i="1"/>
  <c r="BX256" i="1"/>
  <c r="CM240" i="1"/>
  <c r="CP240" i="1"/>
  <c r="CO240" i="1"/>
  <c r="CN240" i="1"/>
  <c r="CL240" i="1"/>
  <c r="CK240" i="1"/>
  <c r="BX240" i="1"/>
  <c r="CR240" i="1"/>
  <c r="CQ240" i="1"/>
  <c r="CI228" i="1"/>
  <c r="CS191" i="1"/>
  <c r="CT191" i="1" s="1"/>
  <c r="CI262" i="1"/>
  <c r="CI198" i="1"/>
  <c r="CS141" i="1"/>
  <c r="CT141" i="1" s="1"/>
  <c r="CI88" i="1"/>
  <c r="CM197" i="1"/>
  <c r="CS98" i="1"/>
  <c r="CT98" i="1" s="1"/>
  <c r="CS130" i="1"/>
  <c r="CT130" i="1" s="1"/>
  <c r="CS121" i="1"/>
  <c r="CT121" i="1" s="1"/>
  <c r="CQ69" i="1"/>
  <c r="BX69" i="1"/>
  <c r="CK69" i="1"/>
  <c r="CR69" i="1"/>
  <c r="CR114" i="1"/>
  <c r="CP114" i="1"/>
  <c r="CQ114" i="1"/>
  <c r="CO114" i="1"/>
  <c r="CN114" i="1"/>
  <c r="CM114" i="1"/>
  <c r="CL114" i="1"/>
  <c r="BX114" i="1"/>
  <c r="CK114" i="1"/>
  <c r="CS114" i="1" s="1"/>
  <c r="CT114" i="1" s="1"/>
  <c r="CM99" i="1"/>
  <c r="CL99" i="1"/>
  <c r="CK99" i="1"/>
  <c r="CR99" i="1"/>
  <c r="CQ99" i="1"/>
  <c r="BX99" i="1"/>
  <c r="CP99" i="1"/>
  <c r="CO99" i="1"/>
  <c r="CN99" i="1"/>
  <c r="CN72" i="1"/>
  <c r="CM72" i="1"/>
  <c r="CL72" i="1"/>
  <c r="CK72" i="1"/>
  <c r="CR72" i="1"/>
  <c r="CQ72" i="1"/>
  <c r="BX72" i="1"/>
  <c r="CP72" i="1"/>
  <c r="CO72" i="1"/>
  <c r="CS58" i="1"/>
  <c r="CT58" i="1" s="1"/>
  <c r="CN16" i="1"/>
  <c r="CL23" i="1"/>
  <c r="CQ48" i="1"/>
  <c r="CK1244" i="1"/>
  <c r="CR1244" i="1"/>
  <c r="CQ1244" i="1"/>
  <c r="BX1244" i="1"/>
  <c r="CP1244" i="1"/>
  <c r="CO1244" i="1"/>
  <c r="CN1244" i="1"/>
  <c r="CM1244" i="1"/>
  <c r="CL1244" i="1"/>
  <c r="CS1270" i="1"/>
  <c r="CT1270" i="1" s="1"/>
  <c r="CI1240" i="1"/>
  <c r="CL1221" i="1"/>
  <c r="CK1221" i="1"/>
  <c r="CR1221" i="1"/>
  <c r="BX1221" i="1"/>
  <c r="CQ1221" i="1"/>
  <c r="CP1221" i="1"/>
  <c r="CO1221" i="1"/>
  <c r="CN1221" i="1"/>
  <c r="CM1221" i="1"/>
  <c r="CS1242" i="1"/>
  <c r="CT1242" i="1" s="1"/>
  <c r="CM1246" i="1"/>
  <c r="CL1246" i="1"/>
  <c r="CK1246" i="1"/>
  <c r="CR1246" i="1"/>
  <c r="CQ1246" i="1"/>
  <c r="BX1246" i="1"/>
  <c r="CP1246" i="1"/>
  <c r="CO1246" i="1"/>
  <c r="CN1246" i="1"/>
  <c r="CS1218" i="1"/>
  <c r="CT1218" i="1" s="1"/>
  <c r="CS1198" i="1"/>
  <c r="CT1198" i="1" s="1"/>
  <c r="CI1146" i="1"/>
  <c r="CS1181" i="1"/>
  <c r="CT1181" i="1" s="1"/>
  <c r="CL1145" i="1"/>
  <c r="CR1145" i="1"/>
  <c r="CQ1145" i="1"/>
  <c r="BX1145" i="1"/>
  <c r="CP1145" i="1"/>
  <c r="CO1145" i="1"/>
  <c r="CN1145" i="1"/>
  <c r="CM1145" i="1"/>
  <c r="CK1145" i="1"/>
  <c r="CM1156" i="1"/>
  <c r="CR1156" i="1"/>
  <c r="CQ1156" i="1"/>
  <c r="BX1156" i="1"/>
  <c r="CP1156" i="1"/>
  <c r="CO1156" i="1"/>
  <c r="CN1156" i="1"/>
  <c r="CL1156" i="1"/>
  <c r="CO1174" i="1"/>
  <c r="CN1174" i="1"/>
  <c r="CM1174" i="1"/>
  <c r="CL1174" i="1"/>
  <c r="CK1174" i="1"/>
  <c r="CR1174" i="1"/>
  <c r="CQ1174" i="1"/>
  <c r="BX1174" i="1"/>
  <c r="CP1174" i="1"/>
  <c r="CI1136" i="1"/>
  <c r="CS1142" i="1"/>
  <c r="CT1142" i="1" s="1"/>
  <c r="CK1156" i="1"/>
  <c r="CS1118" i="1"/>
  <c r="CT1118" i="1" s="1"/>
  <c r="CO1153" i="1"/>
  <c r="CS1153" i="1" s="1"/>
  <c r="CT1153" i="1" s="1"/>
  <c r="CQ1153" i="1"/>
  <c r="CL1136" i="1"/>
  <c r="CK1136" i="1"/>
  <c r="CR1136" i="1"/>
  <c r="CQ1136" i="1"/>
  <c r="BX1136" i="1"/>
  <c r="CP1136" i="1"/>
  <c r="CO1136" i="1"/>
  <c r="CN1136" i="1"/>
  <c r="CM1136" i="1"/>
  <c r="CS1108" i="1"/>
  <c r="CT1108" i="1" s="1"/>
  <c r="BX1140" i="1"/>
  <c r="CI1124" i="1"/>
  <c r="CS1102" i="1"/>
  <c r="CT1102" i="1" s="1"/>
  <c r="CO1115" i="1"/>
  <c r="CN1115" i="1"/>
  <c r="CM1115" i="1"/>
  <c r="CL1115" i="1"/>
  <c r="CK1115" i="1"/>
  <c r="CR1115" i="1"/>
  <c r="CQ1115" i="1"/>
  <c r="BX1115" i="1"/>
  <c r="CP1115" i="1"/>
  <c r="CI1084" i="1"/>
  <c r="CS1090" i="1"/>
  <c r="CT1090" i="1" s="1"/>
  <c r="CS1060" i="1"/>
  <c r="CT1060" i="1" s="1"/>
  <c r="CS1091" i="1"/>
  <c r="CT1091" i="1" s="1"/>
  <c r="CS1112" i="1"/>
  <c r="CT1112" i="1" s="1"/>
  <c r="CS1146" i="1"/>
  <c r="CT1146" i="1" s="1"/>
  <c r="CS1134" i="1"/>
  <c r="CT1134" i="1" s="1"/>
  <c r="CS1053" i="1"/>
  <c r="CT1053" i="1" s="1"/>
  <c r="CS986" i="1"/>
  <c r="CT986" i="1" s="1"/>
  <c r="CS1064" i="1"/>
  <c r="CT1064" i="1" s="1"/>
  <c r="BX1045" i="1"/>
  <c r="CM1045" i="1"/>
  <c r="CS1015" i="1"/>
  <c r="CT1015" i="1" s="1"/>
  <c r="CR1041" i="1"/>
  <c r="CS1056" i="1"/>
  <c r="CT1056" i="1" s="1"/>
  <c r="CS1001" i="1"/>
  <c r="CT1001" i="1" s="1"/>
  <c r="CK1045" i="1"/>
  <c r="CM957" i="1"/>
  <c r="CS945" i="1"/>
  <c r="CT945" i="1" s="1"/>
  <c r="CM956" i="1"/>
  <c r="CS967" i="1"/>
  <c r="CT967" i="1" s="1"/>
  <c r="CS940" i="1"/>
  <c r="CT940" i="1" s="1"/>
  <c r="CS921" i="1"/>
  <c r="CT921" i="1" s="1"/>
  <c r="CM909" i="1"/>
  <c r="CS918" i="1"/>
  <c r="CT918" i="1" s="1"/>
  <c r="CO910" i="1"/>
  <c r="CS927" i="1"/>
  <c r="CT927" i="1" s="1"/>
  <c r="CP956" i="1"/>
  <c r="CS912" i="1"/>
  <c r="CT912" i="1" s="1"/>
  <c r="CS913" i="1"/>
  <c r="CT913" i="1" s="1"/>
  <c r="CS860" i="1"/>
  <c r="CT860" i="1" s="1"/>
  <c r="CS830" i="1"/>
  <c r="CT830" i="1" s="1"/>
  <c r="CQ834" i="1"/>
  <c r="BX834" i="1"/>
  <c r="CP834" i="1"/>
  <c r="CO834" i="1"/>
  <c r="CN834" i="1"/>
  <c r="CM834" i="1"/>
  <c r="CL834" i="1"/>
  <c r="CK834" i="1"/>
  <c r="CS834" i="1" s="1"/>
  <c r="CT834" i="1" s="1"/>
  <c r="CR834" i="1"/>
  <c r="CS869" i="1"/>
  <c r="CT869" i="1" s="1"/>
  <c r="CP910" i="1"/>
  <c r="CI840" i="1"/>
  <c r="CP813" i="1"/>
  <c r="CK809" i="1"/>
  <c r="CI824" i="1"/>
  <c r="CS789" i="1"/>
  <c r="CT789" i="1" s="1"/>
  <c r="CS794" i="1"/>
  <c r="CT794" i="1" s="1"/>
  <c r="CI768" i="1"/>
  <c r="CI808" i="1"/>
  <c r="CR731" i="1"/>
  <c r="CQ731" i="1"/>
  <c r="BX731" i="1"/>
  <c r="CP731" i="1"/>
  <c r="CO731" i="1"/>
  <c r="CN731" i="1"/>
  <c r="CM731" i="1"/>
  <c r="CL731" i="1"/>
  <c r="CK731" i="1"/>
  <c r="CQ697" i="1"/>
  <c r="CS761" i="1"/>
  <c r="CT761" i="1" s="1"/>
  <c r="CP697" i="1"/>
  <c r="CS776" i="1"/>
  <c r="CT776" i="1" s="1"/>
  <c r="CI754" i="1"/>
  <c r="CI746" i="1"/>
  <c r="CS765" i="1"/>
  <c r="CT765" i="1" s="1"/>
  <c r="CL725" i="1"/>
  <c r="CS650" i="1"/>
  <c r="CT650" i="1" s="1"/>
  <c r="CS647" i="1"/>
  <c r="CT647" i="1" s="1"/>
  <c r="CS606" i="1"/>
  <c r="CT606" i="1" s="1"/>
  <c r="CS723" i="1"/>
  <c r="CT723" i="1" s="1"/>
  <c r="CR681" i="1"/>
  <c r="CQ681" i="1"/>
  <c r="BX681" i="1"/>
  <c r="CP681" i="1"/>
  <c r="CO681" i="1"/>
  <c r="CN681" i="1"/>
  <c r="CM681" i="1"/>
  <c r="CL681" i="1"/>
  <c r="CK681" i="1"/>
  <c r="CS583" i="1"/>
  <c r="CT583" i="1" s="1"/>
  <c r="CI728" i="1"/>
  <c r="CS738" i="1"/>
  <c r="CT738" i="1" s="1"/>
  <c r="CI730" i="1"/>
  <c r="BX713" i="1"/>
  <c r="CS689" i="1"/>
  <c r="CT689" i="1" s="1"/>
  <c r="CS636" i="1"/>
  <c r="CT636" i="1" s="1"/>
  <c r="CS660" i="1"/>
  <c r="CT660" i="1" s="1"/>
  <c r="CS623" i="1"/>
  <c r="CT623" i="1" s="1"/>
  <c r="CS580" i="1"/>
  <c r="CT580" i="1" s="1"/>
  <c r="CS680" i="1"/>
  <c r="CT680" i="1" s="1"/>
  <c r="CI576" i="1"/>
  <c r="CK525" i="1"/>
  <c r="CQ525" i="1"/>
  <c r="CP525" i="1"/>
  <c r="CN525" i="1"/>
  <c r="CM525" i="1"/>
  <c r="CL525" i="1"/>
  <c r="BX525" i="1"/>
  <c r="CR525" i="1"/>
  <c r="CS496" i="1"/>
  <c r="CT496" i="1" s="1"/>
  <c r="CS406" i="1"/>
  <c r="CT406" i="1" s="1"/>
  <c r="BX524" i="1"/>
  <c r="CS510" i="1"/>
  <c r="CT510" i="1" s="1"/>
  <c r="CI447" i="1"/>
  <c r="CS566" i="1"/>
  <c r="CT566" i="1" s="1"/>
  <c r="CS546" i="1"/>
  <c r="CT546" i="1" s="1"/>
  <c r="CS534" i="1"/>
  <c r="CT534" i="1" s="1"/>
  <c r="CS530" i="1"/>
  <c r="CT530" i="1" s="1"/>
  <c r="CS514" i="1"/>
  <c r="CT514" i="1" s="1"/>
  <c r="CP484" i="1"/>
  <c r="CN484" i="1"/>
  <c r="CM484" i="1"/>
  <c r="CL484" i="1"/>
  <c r="CK484" i="1"/>
  <c r="CR484" i="1"/>
  <c r="CQ713" i="1"/>
  <c r="CS479" i="1"/>
  <c r="CT479" i="1" s="1"/>
  <c r="CS425" i="1"/>
  <c r="CT425" i="1" s="1"/>
  <c r="CS321" i="1"/>
  <c r="CT321" i="1" s="1"/>
  <c r="CO301" i="1"/>
  <c r="CN301" i="1"/>
  <c r="CM301" i="1"/>
  <c r="CR301" i="1"/>
  <c r="CQ301" i="1"/>
  <c r="BX301" i="1"/>
  <c r="CP301" i="1"/>
  <c r="CL301" i="1"/>
  <c r="CK301" i="1"/>
  <c r="CS369" i="1"/>
  <c r="CT369" i="1" s="1"/>
  <c r="CS354" i="1"/>
  <c r="CT354" i="1" s="1"/>
  <c r="CI382" i="1"/>
  <c r="CS315" i="1"/>
  <c r="CT315" i="1" s="1"/>
  <c r="CS355" i="1"/>
  <c r="CT355" i="1" s="1"/>
  <c r="CI348" i="1"/>
  <c r="CS446" i="1"/>
  <c r="CT446" i="1" s="1"/>
  <c r="CS376" i="1"/>
  <c r="CT376" i="1" s="1"/>
  <c r="CS319" i="1"/>
  <c r="CT319" i="1" s="1"/>
  <c r="CS312" i="1"/>
  <c r="CT312" i="1" s="1"/>
  <c r="CM363" i="1"/>
  <c r="CI299" i="1"/>
  <c r="CI280" i="1"/>
  <c r="CI253" i="1"/>
  <c r="CS160" i="1"/>
  <c r="CT160" i="1" s="1"/>
  <c r="CP247" i="1"/>
  <c r="BX247" i="1"/>
  <c r="CR247" i="1"/>
  <c r="CQ247" i="1"/>
  <c r="CO247" i="1"/>
  <c r="CN247" i="1"/>
  <c r="CM247" i="1"/>
  <c r="CL247" i="1"/>
  <c r="CK247" i="1"/>
  <c r="CP228" i="1"/>
  <c r="CO228" i="1"/>
  <c r="CN228" i="1"/>
  <c r="CM228" i="1"/>
  <c r="CL228" i="1"/>
  <c r="CK228" i="1"/>
  <c r="CS228" i="1" s="1"/>
  <c r="CT228" i="1" s="1"/>
  <c r="CR228" i="1"/>
  <c r="CQ228" i="1"/>
  <c r="BX228" i="1"/>
  <c r="CQ188" i="1"/>
  <c r="BX188" i="1"/>
  <c r="CP188" i="1"/>
  <c r="CO188" i="1"/>
  <c r="CN188" i="1"/>
  <c r="CM188" i="1"/>
  <c r="CL188" i="1"/>
  <c r="CK188" i="1"/>
  <c r="CR188" i="1"/>
  <c r="CS172" i="1"/>
  <c r="CT172" i="1" s="1"/>
  <c r="CQ167" i="1"/>
  <c r="BX167" i="1"/>
  <c r="CP167" i="1"/>
  <c r="CO167" i="1"/>
  <c r="CK264" i="1"/>
  <c r="CM264" i="1"/>
  <c r="CL264" i="1"/>
  <c r="CN264" i="1"/>
  <c r="CR264" i="1"/>
  <c r="CQ264" i="1"/>
  <c r="CP264" i="1"/>
  <c r="CO264" i="1"/>
  <c r="BX264" i="1"/>
  <c r="CM260" i="1"/>
  <c r="CO260" i="1"/>
  <c r="CN260" i="1"/>
  <c r="CL260" i="1"/>
  <c r="BX260" i="1"/>
  <c r="CK260" i="1"/>
  <c r="CS260" i="1" s="1"/>
  <c r="CT260" i="1" s="1"/>
  <c r="CR260" i="1"/>
  <c r="CQ260" i="1"/>
  <c r="CP260" i="1"/>
  <c r="CS219" i="1"/>
  <c r="CT219" i="1" s="1"/>
  <c r="CI197" i="1"/>
  <c r="CI149" i="1"/>
  <c r="CK266" i="1"/>
  <c r="CR266" i="1"/>
  <c r="CM266" i="1"/>
  <c r="CL266" i="1"/>
  <c r="CN266" i="1"/>
  <c r="CQ266" i="1"/>
  <c r="BX266" i="1"/>
  <c r="CP266" i="1"/>
  <c r="CO266" i="1"/>
  <c r="CI251" i="1"/>
  <c r="CS190" i="1"/>
  <c r="CT190" i="1" s="1"/>
  <c r="CS173" i="1"/>
  <c r="CT173" i="1" s="1"/>
  <c r="CQ262" i="1"/>
  <c r="BX262" i="1"/>
  <c r="CK262" i="1"/>
  <c r="CR262" i="1"/>
  <c r="CP262" i="1"/>
  <c r="CO262" i="1"/>
  <c r="CN262" i="1"/>
  <c r="CM262" i="1"/>
  <c r="CL262" i="1"/>
  <c r="CN251" i="1"/>
  <c r="CP251" i="1"/>
  <c r="CR251" i="1"/>
  <c r="CQ251" i="1"/>
  <c r="CO251" i="1"/>
  <c r="CM251" i="1"/>
  <c r="CL251" i="1"/>
  <c r="CK251" i="1"/>
  <c r="BX251" i="1"/>
  <c r="CP124" i="1"/>
  <c r="CN124" i="1"/>
  <c r="CR124" i="1"/>
  <c r="CQ124" i="1"/>
  <c r="CO124" i="1"/>
  <c r="CM124" i="1"/>
  <c r="CL124" i="1"/>
  <c r="CK124" i="1"/>
  <c r="BX124" i="1"/>
  <c r="CN167" i="1"/>
  <c r="CS167" i="1" s="1"/>
  <c r="CT167" i="1" s="1"/>
  <c r="CM88" i="1"/>
  <c r="CL88" i="1"/>
  <c r="CK88" i="1"/>
  <c r="CR88" i="1"/>
  <c r="CQ88" i="1"/>
  <c r="BX88" i="1"/>
  <c r="CP88" i="1"/>
  <c r="CO88" i="1"/>
  <c r="CN88" i="1"/>
  <c r="CR61" i="1"/>
  <c r="CQ61" i="1"/>
  <c r="BX61" i="1"/>
  <c r="CP61" i="1"/>
  <c r="CO61" i="1"/>
  <c r="CN61" i="1"/>
  <c r="CM61" i="1"/>
  <c r="CL61" i="1"/>
  <c r="CK61" i="1"/>
  <c r="CS61" i="1" s="1"/>
  <c r="CT61" i="1" s="1"/>
  <c r="CS50" i="1"/>
  <c r="CT50" i="1" s="1"/>
  <c r="CS155" i="1"/>
  <c r="CT155" i="1" s="1"/>
  <c r="CS55" i="1"/>
  <c r="CT55" i="1" s="1"/>
  <c r="CP70" i="1"/>
  <c r="CM70" i="1"/>
  <c r="CL70" i="1"/>
  <c r="CR70" i="1"/>
  <c r="CQ70" i="1"/>
  <c r="BX70" i="1"/>
  <c r="CI65" i="1"/>
  <c r="CS39" i="1"/>
  <c r="CT39" i="1" s="1"/>
  <c r="CS33" i="1"/>
  <c r="CT33" i="1" s="1"/>
  <c r="CS139" i="1"/>
  <c r="CT139" i="1" s="1"/>
  <c r="CS110" i="1"/>
  <c r="CT110" i="1" s="1"/>
  <c r="CS92" i="1"/>
  <c r="CT92" i="1" s="1"/>
  <c r="CL16" i="1"/>
  <c r="CN23" i="1"/>
  <c r="CN100" i="1"/>
  <c r="CS100" i="1" s="1"/>
  <c r="CT100" i="1" s="1"/>
  <c r="CR48" i="1"/>
  <c r="CS19" i="1"/>
  <c r="CT19" i="1" s="1"/>
  <c r="CI1234" i="1"/>
  <c r="CS1208" i="1"/>
  <c r="CT1208" i="1" s="1"/>
  <c r="CI1177" i="1"/>
  <c r="CL1216" i="1"/>
  <c r="CS1190" i="1"/>
  <c r="CT1190" i="1" s="1"/>
  <c r="BO1190" i="1" s="1"/>
  <c r="AJ1190" i="1" s="1"/>
  <c r="CY1190" i="1" s="1"/>
  <c r="CS1180" i="1"/>
  <c r="CT1180" i="1" s="1"/>
  <c r="CM1130" i="1"/>
  <c r="CL1130" i="1"/>
  <c r="CK1126" i="1"/>
  <c r="CR1126" i="1"/>
  <c r="CQ1126" i="1"/>
  <c r="BX1126" i="1"/>
  <c r="CP1126" i="1"/>
  <c r="CO1126" i="1"/>
  <c r="CN1126" i="1"/>
  <c r="CM1126" i="1"/>
  <c r="CL1126" i="1"/>
  <c r="CS1122" i="1"/>
  <c r="CT1122" i="1" s="1"/>
  <c r="CQ1117" i="1"/>
  <c r="CS1117" i="1" s="1"/>
  <c r="CT1117" i="1" s="1"/>
  <c r="CS1150" i="1"/>
  <c r="CT1150" i="1" s="1"/>
  <c r="CS1128" i="1"/>
  <c r="CT1128" i="1" s="1"/>
  <c r="CP1117" i="1"/>
  <c r="CQ1130" i="1"/>
  <c r="CN1140" i="1"/>
  <c r="CO1073" i="1"/>
  <c r="CN1073" i="1"/>
  <c r="CM1073" i="1"/>
  <c r="CL1073" i="1"/>
  <c r="CK1073" i="1"/>
  <c r="CR1073" i="1"/>
  <c r="CQ1073" i="1"/>
  <c r="BX1073" i="1"/>
  <c r="CP1073" i="1"/>
  <c r="CS1114" i="1"/>
  <c r="CT1114" i="1" s="1"/>
  <c r="CS1082" i="1"/>
  <c r="CT1082" i="1" s="1"/>
  <c r="CI1075" i="1"/>
  <c r="BX1080" i="1"/>
  <c r="CQ1074" i="1"/>
  <c r="BX1074" i="1"/>
  <c r="CP1074" i="1"/>
  <c r="CO1074" i="1"/>
  <c r="CN1074" i="1"/>
  <c r="CM1074" i="1"/>
  <c r="CL1074" i="1"/>
  <c r="CK1074" i="1"/>
  <c r="CR1074" i="1"/>
  <c r="CS1067" i="1"/>
  <c r="CT1067" i="1" s="1"/>
  <c r="CS1096" i="1"/>
  <c r="CT1096" i="1" s="1"/>
  <c r="CI1072" i="1"/>
  <c r="CO1071" i="1"/>
  <c r="CN1071" i="1"/>
  <c r="CM1071" i="1"/>
  <c r="CL1071" i="1"/>
  <c r="CK1071" i="1"/>
  <c r="CR1071" i="1"/>
  <c r="CQ1071" i="1"/>
  <c r="BX1071" i="1"/>
  <c r="CP1071" i="1"/>
  <c r="CR1153" i="1"/>
  <c r="CS1068" i="1"/>
  <c r="CT1068" i="1" s="1"/>
  <c r="CI1042" i="1"/>
  <c r="CI1047" i="1"/>
  <c r="CS1077" i="1"/>
  <c r="CT1077" i="1" s="1"/>
  <c r="CI1041" i="1"/>
  <c r="CK1033" i="1"/>
  <c r="CQ1033" i="1"/>
  <c r="BX1033" i="1"/>
  <c r="CO1033" i="1"/>
  <c r="BX1049" i="1"/>
  <c r="CP1049" i="1"/>
  <c r="CO1049" i="1"/>
  <c r="CN1049" i="1"/>
  <c r="CO1045" i="1"/>
  <c r="CI1017" i="1"/>
  <c r="CR1045" i="1"/>
  <c r="CM1032" i="1"/>
  <c r="CS1032" i="1" s="1"/>
  <c r="CT1032" i="1" s="1"/>
  <c r="CQ1032" i="1"/>
  <c r="BX1032" i="1"/>
  <c r="CI1026" i="1"/>
  <c r="CS999" i="1"/>
  <c r="CT999" i="1" s="1"/>
  <c r="CQ1045" i="1"/>
  <c r="CP1041" i="1"/>
  <c r="CS1062" i="1"/>
  <c r="CT1062" i="1" s="1"/>
  <c r="CS1022" i="1"/>
  <c r="CT1022" i="1" s="1"/>
  <c r="CL956" i="1"/>
  <c r="CK957" i="1"/>
  <c r="CS944" i="1"/>
  <c r="CT944" i="1" s="1"/>
  <c r="BX938" i="1"/>
  <c r="CP948" i="1"/>
  <c r="CO948" i="1"/>
  <c r="CN948" i="1"/>
  <c r="CM948" i="1"/>
  <c r="CL948" i="1"/>
  <c r="CK948" i="1"/>
  <c r="CR948" i="1"/>
  <c r="CQ948" i="1"/>
  <c r="BX948" i="1"/>
  <c r="CS1014" i="1"/>
  <c r="CT1014" i="1" s="1"/>
  <c r="CI948" i="1"/>
  <c r="CS970" i="1"/>
  <c r="CT970" i="1" s="1"/>
  <c r="CR953" i="1"/>
  <c r="CS925" i="1"/>
  <c r="CT925" i="1" s="1"/>
  <c r="CI902" i="1"/>
  <c r="CN882" i="1"/>
  <c r="CM882" i="1"/>
  <c r="CL882" i="1"/>
  <c r="CP882" i="1"/>
  <c r="CO882" i="1"/>
  <c r="BX882" i="1"/>
  <c r="CR882" i="1"/>
  <c r="CQ882" i="1"/>
  <c r="CK882" i="1"/>
  <c r="CS868" i="1"/>
  <c r="CT868" i="1" s="1"/>
  <c r="CI841" i="1"/>
  <c r="CS902" i="1"/>
  <c r="CT902" i="1" s="1"/>
  <c r="CS877" i="1"/>
  <c r="CT877" i="1" s="1"/>
  <c r="CS866" i="1"/>
  <c r="CT866" i="1" s="1"/>
  <c r="CN909" i="1"/>
  <c r="CS872" i="1"/>
  <c r="CT872" i="1" s="1"/>
  <c r="CO899" i="1"/>
  <c r="CM899" i="1"/>
  <c r="CL899" i="1"/>
  <c r="CS899" i="1" s="1"/>
  <c r="CT899" i="1" s="1"/>
  <c r="CP899" i="1"/>
  <c r="CN899" i="1"/>
  <c r="CR855" i="1"/>
  <c r="CQ855" i="1"/>
  <c r="BX855" i="1"/>
  <c r="CP855" i="1"/>
  <c r="CK855" i="1"/>
  <c r="CL855" i="1"/>
  <c r="CO855" i="1"/>
  <c r="CN855" i="1"/>
  <c r="CM855" i="1"/>
  <c r="CI831" i="1"/>
  <c r="CS851" i="1"/>
  <c r="CT851" i="1" s="1"/>
  <c r="CI812" i="1"/>
  <c r="CI827" i="1"/>
  <c r="CL813" i="1"/>
  <c r="CS826" i="1"/>
  <c r="CT826" i="1" s="1"/>
  <c r="CM809" i="1"/>
  <c r="CI773" i="1"/>
  <c r="CN703" i="1"/>
  <c r="CM703" i="1"/>
  <c r="CL703" i="1"/>
  <c r="CK703" i="1"/>
  <c r="CS703" i="1" s="1"/>
  <c r="CT703" i="1" s="1"/>
  <c r="CR703" i="1"/>
  <c r="BX703" i="1"/>
  <c r="CQ703" i="1"/>
  <c r="CP703" i="1"/>
  <c r="CO703" i="1"/>
  <c r="CP810" i="1"/>
  <c r="CO810" i="1"/>
  <c r="BX810" i="1"/>
  <c r="CR810" i="1"/>
  <c r="CK810" i="1"/>
  <c r="CK725" i="1"/>
  <c r="CS725" i="1" s="1"/>
  <c r="CT725" i="1" s="1"/>
  <c r="CP745" i="1"/>
  <c r="CR725" i="1"/>
  <c r="CS778" i="1"/>
  <c r="CT778" i="1" s="1"/>
  <c r="CI743" i="1"/>
  <c r="CL733" i="1"/>
  <c r="CS690" i="1"/>
  <c r="CT690" i="1" s="1"/>
  <c r="CI805" i="1"/>
  <c r="CR769" i="1"/>
  <c r="CQ769" i="1"/>
  <c r="BX769" i="1"/>
  <c r="CP769" i="1"/>
  <c r="CO769" i="1"/>
  <c r="CN769" i="1"/>
  <c r="CM769" i="1"/>
  <c r="CL769" i="1"/>
  <c r="CK769" i="1"/>
  <c r="CS763" i="1"/>
  <c r="CT763" i="1" s="1"/>
  <c r="CS748" i="1"/>
  <c r="CT748" i="1" s="1"/>
  <c r="CS737" i="1"/>
  <c r="CT737" i="1" s="1"/>
  <c r="CI713" i="1"/>
  <c r="CI804" i="1"/>
  <c r="CS814" i="1"/>
  <c r="CT814" i="1" s="1"/>
  <c r="CM745" i="1"/>
  <c r="CI724" i="1"/>
  <c r="CS659" i="1"/>
  <c r="CT659" i="1" s="1"/>
  <c r="CS613" i="1"/>
  <c r="CT613" i="1" s="1"/>
  <c r="CK655" i="1"/>
  <c r="CS655" i="1" s="1"/>
  <c r="CT655" i="1" s="1"/>
  <c r="CS568" i="1"/>
  <c r="CT568" i="1" s="1"/>
  <c r="CS688" i="1"/>
  <c r="CT688" i="1" s="1"/>
  <c r="CS662" i="1"/>
  <c r="CT662" i="1" s="1"/>
  <c r="CR713" i="1"/>
  <c r="CS692" i="1"/>
  <c r="CT692" i="1" s="1"/>
  <c r="CS635" i="1"/>
  <c r="CT635" i="1" s="1"/>
  <c r="CP578" i="1"/>
  <c r="CO578" i="1"/>
  <c r="CN578" i="1"/>
  <c r="CL578" i="1"/>
  <c r="CK578" i="1"/>
  <c r="CR578" i="1"/>
  <c r="CQ578" i="1"/>
  <c r="BX578" i="1"/>
  <c r="CM578" i="1"/>
  <c r="CS621" i="1"/>
  <c r="CT621" i="1" s="1"/>
  <c r="CI578" i="1"/>
  <c r="CO664" i="1"/>
  <c r="CS572" i="1"/>
  <c r="CT572" i="1" s="1"/>
  <c r="CO524" i="1"/>
  <c r="CS543" i="1"/>
  <c r="CT543" i="1" s="1"/>
  <c r="CS537" i="1"/>
  <c r="CT537" i="1" s="1"/>
  <c r="CI525" i="1"/>
  <c r="CS455" i="1"/>
  <c r="CT455" i="1" s="1"/>
  <c r="CS400" i="1"/>
  <c r="CT400" i="1" s="1"/>
  <c r="CS531" i="1"/>
  <c r="CT531" i="1" s="1"/>
  <c r="CS508" i="1"/>
  <c r="CT508" i="1" s="1"/>
  <c r="CR478" i="1"/>
  <c r="CQ478" i="1"/>
  <c r="BX478" i="1"/>
  <c r="CP478" i="1"/>
  <c r="CO478" i="1"/>
  <c r="CN478" i="1"/>
  <c r="CM478" i="1"/>
  <c r="CL478" i="1"/>
  <c r="CK478" i="1"/>
  <c r="CS478" i="1" s="1"/>
  <c r="CT478" i="1" s="1"/>
  <c r="CS495" i="1"/>
  <c r="CT495" i="1" s="1"/>
  <c r="CL472" i="1"/>
  <c r="CK472" i="1"/>
  <c r="CR472" i="1"/>
  <c r="CQ472" i="1"/>
  <c r="BX472" i="1"/>
  <c r="CP472" i="1"/>
  <c r="CO472" i="1"/>
  <c r="CN472" i="1"/>
  <c r="CM472" i="1"/>
  <c r="CS439" i="1"/>
  <c r="CT439" i="1" s="1"/>
  <c r="CK474" i="1"/>
  <c r="CR474" i="1"/>
  <c r="CQ474" i="1"/>
  <c r="BX474" i="1"/>
  <c r="CP474" i="1"/>
  <c r="CO474" i="1"/>
  <c r="CN474" i="1"/>
  <c r="CM474" i="1"/>
  <c r="CL474" i="1"/>
  <c r="CS421" i="1"/>
  <c r="CT421" i="1" s="1"/>
  <c r="CI594" i="1"/>
  <c r="CS503" i="1"/>
  <c r="CT503" i="1" s="1"/>
  <c r="CO310" i="1"/>
  <c r="CN310" i="1"/>
  <c r="CM310" i="1"/>
  <c r="CR310" i="1"/>
  <c r="CQ310" i="1"/>
  <c r="BX310" i="1"/>
  <c r="CP310" i="1"/>
  <c r="CL310" i="1"/>
  <c r="CK310" i="1"/>
  <c r="CS310" i="1" s="1"/>
  <c r="CT310" i="1" s="1"/>
  <c r="CI380" i="1"/>
  <c r="CS392" i="1"/>
  <c r="CT392" i="1" s="1"/>
  <c r="CQ484" i="1"/>
  <c r="CI347" i="1"/>
  <c r="CS326" i="1"/>
  <c r="CT326" i="1" s="1"/>
  <c r="CS399" i="1"/>
  <c r="CT399" i="1" s="1"/>
  <c r="CM382" i="1"/>
  <c r="CL382" i="1"/>
  <c r="CK382" i="1"/>
  <c r="CR382" i="1"/>
  <c r="CQ382" i="1"/>
  <c r="BX382" i="1"/>
  <c r="CP382" i="1"/>
  <c r="CO382" i="1"/>
  <c r="CN382" i="1"/>
  <c r="CS360" i="1"/>
  <c r="CT360" i="1" s="1"/>
  <c r="CS327" i="1"/>
  <c r="CT327" i="1" s="1"/>
  <c r="CS365" i="1"/>
  <c r="CT365" i="1" s="1"/>
  <c r="CN347" i="1"/>
  <c r="CM347" i="1"/>
  <c r="CL347" i="1"/>
  <c r="CK347" i="1"/>
  <c r="CR347" i="1"/>
  <c r="CQ347" i="1"/>
  <c r="BX347" i="1"/>
  <c r="CP347" i="1"/>
  <c r="CO347" i="1"/>
  <c r="CN343" i="1"/>
  <c r="CM343" i="1"/>
  <c r="CL343" i="1"/>
  <c r="CK343" i="1"/>
  <c r="CR343" i="1"/>
  <c r="CQ343" i="1"/>
  <c r="BX343" i="1"/>
  <c r="CP343" i="1"/>
  <c r="CO343" i="1"/>
  <c r="CN339" i="1"/>
  <c r="CM339" i="1"/>
  <c r="CL339" i="1"/>
  <c r="CK339" i="1"/>
  <c r="CS339" i="1" s="1"/>
  <c r="CT339" i="1" s="1"/>
  <c r="CR339" i="1"/>
  <c r="CQ339" i="1"/>
  <c r="BX339" i="1"/>
  <c r="CP339" i="1"/>
  <c r="CO339" i="1"/>
  <c r="CS393" i="1"/>
  <c r="CT393" i="1" s="1"/>
  <c r="CS372" i="1"/>
  <c r="CT372" i="1" s="1"/>
  <c r="CS337" i="1"/>
  <c r="CT337" i="1" s="1"/>
  <c r="CS283" i="1"/>
  <c r="CT283" i="1" s="1"/>
  <c r="CS272" i="1"/>
  <c r="CT272" i="1" s="1"/>
  <c r="CS221" i="1"/>
  <c r="CT221" i="1" s="1"/>
  <c r="CI156" i="1"/>
  <c r="CS171" i="1"/>
  <c r="CT171" i="1" s="1"/>
  <c r="CS133" i="1"/>
  <c r="CT133" i="1" s="1"/>
  <c r="CS293" i="1"/>
  <c r="CT293" i="1" s="1"/>
  <c r="CS235" i="1"/>
  <c r="CT235" i="1" s="1"/>
  <c r="CS204" i="1"/>
  <c r="CT204" i="1" s="1"/>
  <c r="CK265" i="1"/>
  <c r="CR265" i="1"/>
  <c r="CM265" i="1"/>
  <c r="CL265" i="1"/>
  <c r="CQ265" i="1"/>
  <c r="CP265" i="1"/>
  <c r="BX265" i="1"/>
  <c r="CO265" i="1"/>
  <c r="CN265" i="1"/>
  <c r="CO261" i="1"/>
  <c r="CQ198" i="1"/>
  <c r="BX198" i="1"/>
  <c r="CP198" i="1"/>
  <c r="CO198" i="1"/>
  <c r="CN198" i="1"/>
  <c r="CM198" i="1"/>
  <c r="CL198" i="1"/>
  <c r="CK198" i="1"/>
  <c r="CR198" i="1"/>
  <c r="CI132" i="1"/>
  <c r="CS279" i="1"/>
  <c r="CT279" i="1" s="1"/>
  <c r="CS254" i="1"/>
  <c r="CT254" i="1" s="1"/>
  <c r="CS185" i="1"/>
  <c r="CT185" i="1" s="1"/>
  <c r="CQ76" i="1"/>
  <c r="BX76" i="1"/>
  <c r="CP76" i="1"/>
  <c r="CO76" i="1"/>
  <c r="CN76" i="1"/>
  <c r="CM76" i="1"/>
  <c r="CL76" i="1"/>
  <c r="CK76" i="1"/>
  <c r="CS76" i="1" s="1"/>
  <c r="CT76" i="1" s="1"/>
  <c r="CR76" i="1"/>
  <c r="CS54" i="1"/>
  <c r="CT54" i="1" s="1"/>
  <c r="CS102" i="1"/>
  <c r="CT102" i="1" s="1"/>
  <c r="CI50" i="1"/>
  <c r="CI72" i="1"/>
  <c r="CS37" i="1"/>
  <c r="CT37" i="1" s="1"/>
  <c r="CS116" i="1"/>
  <c r="CT116" i="1" s="1"/>
  <c r="CK64" i="1"/>
  <c r="CS38" i="1"/>
  <c r="CT38" i="1" s="1"/>
  <c r="CQ73" i="1"/>
  <c r="BX73" i="1"/>
  <c r="CP73" i="1"/>
  <c r="CO73" i="1"/>
  <c r="CN73" i="1"/>
  <c r="CM73" i="1"/>
  <c r="CL73" i="1"/>
  <c r="CK73" i="1"/>
  <c r="CR73" i="1"/>
  <c r="CS57" i="1"/>
  <c r="CT57" i="1" s="1"/>
  <c r="CI69" i="1"/>
  <c r="CO16" i="1"/>
  <c r="CR23" i="1"/>
  <c r="CS12" i="1"/>
  <c r="CT12" i="1" s="1"/>
  <c r="CK48" i="1"/>
  <c r="CS48" i="1" s="1"/>
  <c r="CT48" i="1" s="1"/>
  <c r="CS1219" i="1"/>
  <c r="CT1219" i="1" s="1"/>
  <c r="CM1264" i="1"/>
  <c r="CL1264" i="1"/>
  <c r="CK1264" i="1"/>
  <c r="CR1264" i="1"/>
  <c r="CQ1264" i="1"/>
  <c r="BX1264" i="1"/>
  <c r="CP1264" i="1"/>
  <c r="CO1264" i="1"/>
  <c r="CN1264" i="1"/>
  <c r="CS1226" i="1"/>
  <c r="CT1226" i="1" s="1"/>
  <c r="CS1210" i="1"/>
  <c r="CT1210" i="1" s="1"/>
  <c r="CP1158" i="1"/>
  <c r="CO1158" i="1"/>
  <c r="CS1172" i="1"/>
  <c r="CT1172" i="1" s="1"/>
  <c r="CS1170" i="1"/>
  <c r="CT1170" i="1" s="1"/>
  <c r="CS1159" i="1"/>
  <c r="CT1159" i="1" s="1"/>
  <c r="CR1135" i="1"/>
  <c r="CQ1135" i="1"/>
  <c r="BX1135" i="1"/>
  <c r="CP1135" i="1"/>
  <c r="CO1135" i="1"/>
  <c r="CN1135" i="1"/>
  <c r="CM1135" i="1"/>
  <c r="CL1135" i="1"/>
  <c r="CK1135" i="1"/>
  <c r="CI1104" i="1"/>
  <c r="CS1125" i="1"/>
  <c r="CT1125" i="1" s="1"/>
  <c r="CS1224" i="1"/>
  <c r="CT1224" i="1" s="1"/>
  <c r="BX1130" i="1"/>
  <c r="CS1120" i="1"/>
  <c r="CT1120" i="1" s="1"/>
  <c r="CQ1168" i="1"/>
  <c r="CS1168" i="1" s="1"/>
  <c r="CT1168" i="1" s="1"/>
  <c r="BX1168" i="1"/>
  <c r="CM1127" i="1"/>
  <c r="CL1127" i="1"/>
  <c r="CK1127" i="1"/>
  <c r="CR1127" i="1"/>
  <c r="CQ1127" i="1"/>
  <c r="BX1127" i="1"/>
  <c r="CP1127" i="1"/>
  <c r="CO1127" i="1"/>
  <c r="CN1127" i="1"/>
  <c r="CK1110" i="1"/>
  <c r="CR1110" i="1"/>
  <c r="CQ1110" i="1"/>
  <c r="BX1110" i="1"/>
  <c r="CP1110" i="1"/>
  <c r="CO1110" i="1"/>
  <c r="CN1110" i="1"/>
  <c r="CM1110" i="1"/>
  <c r="CL1110" i="1"/>
  <c r="CR1080" i="1"/>
  <c r="CN1079" i="1"/>
  <c r="CL1079" i="1"/>
  <c r="CK1079" i="1"/>
  <c r="CS1079" i="1" s="1"/>
  <c r="CT1079" i="1" s="1"/>
  <c r="CR1079" i="1"/>
  <c r="CP1079" i="1"/>
  <c r="CM1080" i="1"/>
  <c r="CS1059" i="1"/>
  <c r="CT1059" i="1" s="1"/>
  <c r="CS1024" i="1"/>
  <c r="CT1024" i="1" s="1"/>
  <c r="CS1000" i="1"/>
  <c r="CT1000" i="1" s="1"/>
  <c r="CS1049" i="1"/>
  <c r="CT1049" i="1" s="1"/>
  <c r="CS1078" i="1"/>
  <c r="CT1078" i="1" s="1"/>
  <c r="CK1080" i="1"/>
  <c r="CS1080" i="1" s="1"/>
  <c r="CT1080" i="1" s="1"/>
  <c r="CS1016" i="1"/>
  <c r="CT1016" i="1" s="1"/>
  <c r="CS987" i="1"/>
  <c r="CT987" i="1" s="1"/>
  <c r="CM1076" i="1"/>
  <c r="CL1076" i="1"/>
  <c r="CK1076" i="1"/>
  <c r="CR1076" i="1"/>
  <c r="CQ1076" i="1"/>
  <c r="BX1076" i="1"/>
  <c r="CP1076" i="1"/>
  <c r="CO1076" i="1"/>
  <c r="CN1076" i="1"/>
  <c r="CS1039" i="1"/>
  <c r="CT1039" i="1" s="1"/>
  <c r="CQ1031" i="1"/>
  <c r="BX1031" i="1"/>
  <c r="CP1031" i="1"/>
  <c r="CO1031" i="1"/>
  <c r="CN1031" i="1"/>
  <c r="CM1031" i="1"/>
  <c r="CL1031" i="1"/>
  <c r="CS1031" i="1" s="1"/>
  <c r="CT1031" i="1" s="1"/>
  <c r="CR1031" i="1"/>
  <c r="CS968" i="1"/>
  <c r="CT968" i="1" s="1"/>
  <c r="CN957" i="1"/>
  <c r="CN1019" i="1"/>
  <c r="CM1019" i="1"/>
  <c r="CL1019" i="1"/>
  <c r="CK1019" i="1"/>
  <c r="CR1019" i="1"/>
  <c r="CQ1019" i="1"/>
  <c r="BX1019" i="1"/>
  <c r="CP1019" i="1"/>
  <c r="CO1019" i="1"/>
  <c r="CS955" i="1"/>
  <c r="CT955" i="1" s="1"/>
  <c r="CI949" i="1"/>
  <c r="BX957" i="1"/>
  <c r="CI935" i="1"/>
  <c r="CS965" i="1"/>
  <c r="CT965" i="1" s="1"/>
  <c r="CS952" i="1"/>
  <c r="CT952" i="1" s="1"/>
  <c r="CI947" i="1"/>
  <c r="CI882" i="1"/>
  <c r="CS929" i="1"/>
  <c r="CT929" i="1" s="1"/>
  <c r="CR909" i="1"/>
  <c r="CS909" i="1" s="1"/>
  <c r="CT909" i="1" s="1"/>
  <c r="CS922" i="1"/>
  <c r="CT922" i="1" s="1"/>
  <c r="CL910" i="1"/>
  <c r="CS910" i="1" s="1"/>
  <c r="CT910" i="1" s="1"/>
  <c r="CS878" i="1"/>
  <c r="CT878" i="1" s="1"/>
  <c r="CS896" i="1"/>
  <c r="CT896" i="1" s="1"/>
  <c r="CR853" i="1"/>
  <c r="CQ853" i="1"/>
  <c r="BX853" i="1"/>
  <c r="CP853" i="1"/>
  <c r="CM853" i="1"/>
  <c r="CL853" i="1"/>
  <c r="CK853" i="1"/>
  <c r="CO853" i="1"/>
  <c r="CN853" i="1"/>
  <c r="CS835" i="1"/>
  <c r="CT835" i="1" s="1"/>
  <c r="CO841" i="1"/>
  <c r="CN841" i="1"/>
  <c r="CM841" i="1"/>
  <c r="CP841" i="1"/>
  <c r="CL841" i="1"/>
  <c r="BX841" i="1"/>
  <c r="CK841" i="1"/>
  <c r="CS841" i="1" s="1"/>
  <c r="CT841" i="1" s="1"/>
  <c r="CR841" i="1"/>
  <c r="CQ841" i="1"/>
  <c r="CS839" i="1"/>
  <c r="CT839" i="1" s="1"/>
  <c r="CS874" i="1"/>
  <c r="CT874" i="1" s="1"/>
  <c r="CS870" i="1"/>
  <c r="CT870" i="1" s="1"/>
  <c r="CI871" i="1"/>
  <c r="CS867" i="1"/>
  <c r="CT867" i="1" s="1"/>
  <c r="CI854" i="1"/>
  <c r="CS847" i="1"/>
  <c r="CT847" i="1" s="1"/>
  <c r="CO831" i="1"/>
  <c r="CN831" i="1"/>
  <c r="CM831" i="1"/>
  <c r="CK831" i="1"/>
  <c r="CR831" i="1"/>
  <c r="CQ831" i="1"/>
  <c r="CP831" i="1"/>
  <c r="CL831" i="1"/>
  <c r="BX831" i="1"/>
  <c r="CS864" i="1"/>
  <c r="CT864" i="1" s="1"/>
  <c r="CS858" i="1"/>
  <c r="CT858" i="1" s="1"/>
  <c r="CO825" i="1"/>
  <c r="CN825" i="1"/>
  <c r="CR825" i="1"/>
  <c r="CK825" i="1"/>
  <c r="CS825" i="1" s="1"/>
  <c r="CT825" i="1" s="1"/>
  <c r="CQ825" i="1"/>
  <c r="CM825" i="1"/>
  <c r="BX825" i="1"/>
  <c r="CL825" i="1"/>
  <c r="CP825" i="1"/>
  <c r="CN827" i="1"/>
  <c r="CP827" i="1"/>
  <c r="CO827" i="1"/>
  <c r="CK827" i="1"/>
  <c r="BX827" i="1"/>
  <c r="CR827" i="1"/>
  <c r="CQ827" i="1"/>
  <c r="CM827" i="1"/>
  <c r="CL827" i="1"/>
  <c r="CS792" i="1"/>
  <c r="CT792" i="1" s="1"/>
  <c r="CM740" i="1"/>
  <c r="CL740" i="1"/>
  <c r="CR740" i="1"/>
  <c r="CQ740" i="1"/>
  <c r="CP740" i="1"/>
  <c r="CO740" i="1"/>
  <c r="CN740" i="1"/>
  <c r="BX740" i="1"/>
  <c r="CK740" i="1"/>
  <c r="CS740" i="1" s="1"/>
  <c r="CT740" i="1" s="1"/>
  <c r="CM697" i="1"/>
  <c r="CL697" i="1"/>
  <c r="CS697" i="1" s="1"/>
  <c r="CT697" i="1" s="1"/>
  <c r="CN697" i="1"/>
  <c r="CR729" i="1"/>
  <c r="CQ729" i="1"/>
  <c r="BX729" i="1"/>
  <c r="CP729" i="1"/>
  <c r="CO729" i="1"/>
  <c r="CN729" i="1"/>
  <c r="CM729" i="1"/>
  <c r="CL729" i="1"/>
  <c r="CK729" i="1"/>
  <c r="BX697" i="1"/>
  <c r="CL752" i="1"/>
  <c r="CK752" i="1"/>
  <c r="CR752" i="1"/>
  <c r="CP752" i="1"/>
  <c r="CO752" i="1"/>
  <c r="CN752" i="1"/>
  <c r="CM752" i="1"/>
  <c r="BX752" i="1"/>
  <c r="CQ752" i="1"/>
  <c r="CN742" i="1"/>
  <c r="CM742" i="1"/>
  <c r="CP742" i="1"/>
  <c r="CO742" i="1"/>
  <c r="CL742" i="1"/>
  <c r="CK742" i="1"/>
  <c r="BX742" i="1"/>
  <c r="CR742" i="1"/>
  <c r="CQ742" i="1"/>
  <c r="CR668" i="1"/>
  <c r="CM810" i="1"/>
  <c r="CR767" i="1"/>
  <c r="CQ767" i="1"/>
  <c r="BX767" i="1"/>
  <c r="CP767" i="1"/>
  <c r="CO767" i="1"/>
  <c r="CN767" i="1"/>
  <c r="CM767" i="1"/>
  <c r="CL767" i="1"/>
  <c r="CK767" i="1"/>
  <c r="CS711" i="1"/>
  <c r="CT711" i="1" s="1"/>
  <c r="CI769" i="1"/>
  <c r="CS762" i="1"/>
  <c r="CT762" i="1" s="1"/>
  <c r="CS764" i="1"/>
  <c r="CT764" i="1" s="1"/>
  <c r="CP743" i="1"/>
  <c r="CO743" i="1"/>
  <c r="CQ743" i="1"/>
  <c r="CN743" i="1"/>
  <c r="CM743" i="1"/>
  <c r="CL743" i="1"/>
  <c r="CK743" i="1"/>
  <c r="BX743" i="1"/>
  <c r="CR743" i="1"/>
  <c r="CS774" i="1"/>
  <c r="CT774" i="1" s="1"/>
  <c r="CS753" i="1"/>
  <c r="CT753" i="1" s="1"/>
  <c r="CS679" i="1"/>
  <c r="CT679" i="1" s="1"/>
  <c r="CS666" i="1"/>
  <c r="CT666" i="1" s="1"/>
  <c r="CS618" i="1"/>
  <c r="CT618" i="1" s="1"/>
  <c r="CL720" i="1"/>
  <c r="CK720" i="1"/>
  <c r="BX720" i="1"/>
  <c r="CR720" i="1"/>
  <c r="CQ720" i="1"/>
  <c r="CS654" i="1"/>
  <c r="CT654" i="1" s="1"/>
  <c r="CS624" i="1"/>
  <c r="CT624" i="1" s="1"/>
  <c r="CI618" i="1"/>
  <c r="CS602" i="1"/>
  <c r="CT602" i="1" s="1"/>
  <c r="CS581" i="1"/>
  <c r="CT581" i="1" s="1"/>
  <c r="CR706" i="1"/>
  <c r="CQ706" i="1"/>
  <c r="BX706" i="1"/>
  <c r="CP706" i="1"/>
  <c r="CO706" i="1"/>
  <c r="CN706" i="1"/>
  <c r="CM706" i="1"/>
  <c r="CL706" i="1"/>
  <c r="CK706" i="1"/>
  <c r="CR642" i="1"/>
  <c r="CP642" i="1"/>
  <c r="CO642" i="1"/>
  <c r="CL642" i="1"/>
  <c r="CK642" i="1"/>
  <c r="BX642" i="1"/>
  <c r="CS608" i="1"/>
  <c r="CT608" i="1" s="1"/>
  <c r="CS673" i="1"/>
  <c r="CT673" i="1" s="1"/>
  <c r="CS627" i="1"/>
  <c r="CT627" i="1" s="1"/>
  <c r="CS570" i="1"/>
  <c r="CT570" i="1" s="1"/>
  <c r="CS644" i="1"/>
  <c r="CT644" i="1" s="1"/>
  <c r="CS619" i="1"/>
  <c r="CT619" i="1" s="1"/>
  <c r="CS567" i="1"/>
  <c r="CT567" i="1" s="1"/>
  <c r="CS549" i="1"/>
  <c r="CT549" i="1" s="1"/>
  <c r="BX664" i="1"/>
  <c r="CQ598" i="1"/>
  <c r="BX598" i="1"/>
  <c r="CP598" i="1"/>
  <c r="CO598" i="1"/>
  <c r="CM598" i="1"/>
  <c r="CL598" i="1"/>
  <c r="CK598" i="1"/>
  <c r="CR598" i="1"/>
  <c r="CN598" i="1"/>
  <c r="CS529" i="1"/>
  <c r="CT529" i="1" s="1"/>
  <c r="CS487" i="1"/>
  <c r="CT487" i="1" s="1"/>
  <c r="CS560" i="1"/>
  <c r="CT560" i="1" s="1"/>
  <c r="CS488" i="1"/>
  <c r="CT488" i="1" s="1"/>
  <c r="CS571" i="1"/>
  <c r="CT571" i="1" s="1"/>
  <c r="CS506" i="1"/>
  <c r="CT506" i="1" s="1"/>
  <c r="CS527" i="1"/>
  <c r="CT527" i="1" s="1"/>
  <c r="CS460" i="1"/>
  <c r="CT460" i="1" s="1"/>
  <c r="CS434" i="1"/>
  <c r="CT434" i="1" s="1"/>
  <c r="CS553" i="1"/>
  <c r="CT553" i="1" s="1"/>
  <c r="CS491" i="1"/>
  <c r="CT491" i="1" s="1"/>
  <c r="CP483" i="1"/>
  <c r="CN483" i="1"/>
  <c r="CM483" i="1"/>
  <c r="CL483" i="1"/>
  <c r="CK483" i="1"/>
  <c r="CR483" i="1"/>
  <c r="CS420" i="1"/>
  <c r="CT420" i="1" s="1"/>
  <c r="CS408" i="1"/>
  <c r="CT408" i="1" s="1"/>
  <c r="CS561" i="1"/>
  <c r="CT561" i="1" s="1"/>
  <c r="CS492" i="1"/>
  <c r="CT492" i="1" s="1"/>
  <c r="CS448" i="1"/>
  <c r="CT448" i="1" s="1"/>
  <c r="CP305" i="1"/>
  <c r="CO305" i="1"/>
  <c r="CN305" i="1"/>
  <c r="CK305" i="1"/>
  <c r="CR305" i="1"/>
  <c r="CQ305" i="1"/>
  <c r="BX305" i="1"/>
  <c r="CM305" i="1"/>
  <c r="CL305" i="1"/>
  <c r="CS431" i="1"/>
  <c r="CT431" i="1" s="1"/>
  <c r="CQ300" i="1"/>
  <c r="BX300" i="1"/>
  <c r="CP300" i="1"/>
  <c r="CO300" i="1"/>
  <c r="CL300" i="1"/>
  <c r="CK300" i="1"/>
  <c r="CR300" i="1"/>
  <c r="CN300" i="1"/>
  <c r="CM300" i="1"/>
  <c r="CS358" i="1"/>
  <c r="CT358" i="1" s="1"/>
  <c r="CN338" i="1"/>
  <c r="CM338" i="1"/>
  <c r="CL338" i="1"/>
  <c r="CK338" i="1"/>
  <c r="CR338" i="1"/>
  <c r="CQ338" i="1"/>
  <c r="BX338" i="1"/>
  <c r="CP338" i="1"/>
  <c r="CO338" i="1"/>
  <c r="CL381" i="1"/>
  <c r="CK381" i="1"/>
  <c r="CR381" i="1"/>
  <c r="CQ381" i="1"/>
  <c r="BX381" i="1"/>
  <c r="CP381" i="1"/>
  <c r="CO381" i="1"/>
  <c r="CN381" i="1"/>
  <c r="CM381" i="1"/>
  <c r="CS363" i="1"/>
  <c r="CT363" i="1" s="1"/>
  <c r="CI359" i="1"/>
  <c r="CI346" i="1"/>
  <c r="CS324" i="1"/>
  <c r="CT324" i="1" s="1"/>
  <c r="CS351" i="1"/>
  <c r="CT351" i="1" s="1"/>
  <c r="CS366" i="1"/>
  <c r="CT366" i="1" s="1"/>
  <c r="CS274" i="1"/>
  <c r="CT274" i="1" s="1"/>
  <c r="CS255" i="1"/>
  <c r="CT255" i="1" s="1"/>
  <c r="CS180" i="1"/>
  <c r="CT180" i="1" s="1"/>
  <c r="CS175" i="1"/>
  <c r="CT175" i="1" s="1"/>
  <c r="CS282" i="1"/>
  <c r="CT282" i="1" s="1"/>
  <c r="CI267" i="1"/>
  <c r="CL197" i="1"/>
  <c r="CM177" i="1"/>
  <c r="CS159" i="1"/>
  <c r="CT159" i="1" s="1"/>
  <c r="CR261" i="1"/>
  <c r="CS205" i="1"/>
  <c r="CT205" i="1" s="1"/>
  <c r="CP263" i="1"/>
  <c r="CR263" i="1"/>
  <c r="CQ263" i="1"/>
  <c r="BX263" i="1"/>
  <c r="CO263" i="1"/>
  <c r="CN263" i="1"/>
  <c r="CM263" i="1"/>
  <c r="CL263" i="1"/>
  <c r="CK263" i="1"/>
  <c r="CI234" i="1"/>
  <c r="CS189" i="1"/>
  <c r="CT189" i="1" s="1"/>
  <c r="CS296" i="1"/>
  <c r="CT296" i="1" s="1"/>
  <c r="CR257" i="1"/>
  <c r="CL257" i="1"/>
  <c r="CQ257" i="1"/>
  <c r="CP257" i="1"/>
  <c r="CO257" i="1"/>
  <c r="CN257" i="1"/>
  <c r="CM257" i="1"/>
  <c r="BX257" i="1"/>
  <c r="CK257" i="1"/>
  <c r="CS257" i="1" s="1"/>
  <c r="CT257" i="1" s="1"/>
  <c r="CQ197" i="1"/>
  <c r="CS142" i="1"/>
  <c r="CT142" i="1" s="1"/>
  <c r="BX261" i="1"/>
  <c r="CP154" i="1"/>
  <c r="CO154" i="1"/>
  <c r="CN154" i="1"/>
  <c r="CM154" i="1"/>
  <c r="CL154" i="1"/>
  <c r="CK154" i="1"/>
  <c r="CR154" i="1"/>
  <c r="CQ154" i="1"/>
  <c r="BX154" i="1"/>
  <c r="CN149" i="1"/>
  <c r="CM149" i="1"/>
  <c r="CL149" i="1"/>
  <c r="CK149" i="1"/>
  <c r="CR149" i="1"/>
  <c r="CQ149" i="1"/>
  <c r="BX149" i="1"/>
  <c r="CP149" i="1"/>
  <c r="CO149" i="1"/>
  <c r="CS179" i="1"/>
  <c r="CT179" i="1" s="1"/>
  <c r="CO177" i="1"/>
  <c r="CS43" i="1"/>
  <c r="CT43" i="1" s="1"/>
  <c r="CS35" i="1"/>
  <c r="CT35" i="1" s="1"/>
  <c r="CI25" i="1"/>
  <c r="CS32" i="1"/>
  <c r="CT32" i="1" s="1"/>
  <c r="CQ75" i="1"/>
  <c r="BX75" i="1"/>
  <c r="CP75" i="1"/>
  <c r="CO75" i="1"/>
  <c r="CN75" i="1"/>
  <c r="CM75" i="1"/>
  <c r="CL75" i="1"/>
  <c r="CK75" i="1"/>
  <c r="CR75" i="1"/>
  <c r="CR60" i="1"/>
  <c r="CQ60" i="1"/>
  <c r="BX60" i="1"/>
  <c r="CP60" i="1"/>
  <c r="CO60" i="1"/>
  <c r="CN60" i="1"/>
  <c r="CM60" i="1"/>
  <c r="CL60" i="1"/>
  <c r="CK60" i="1"/>
  <c r="CS7" i="1"/>
  <c r="CT7" i="1" s="1"/>
  <c r="CS95" i="1"/>
  <c r="CT95" i="1" s="1"/>
  <c r="CS71" i="1"/>
  <c r="CT71" i="1" s="1"/>
  <c r="CI66" i="1"/>
  <c r="CS131" i="1"/>
  <c r="CT131" i="1" s="1"/>
  <c r="CS52" i="1"/>
  <c r="CT52" i="1" s="1"/>
  <c r="CM67" i="1"/>
  <c r="CL67" i="1"/>
  <c r="CK67" i="1"/>
  <c r="CR67" i="1"/>
  <c r="CQ67" i="1"/>
  <c r="BX67" i="1"/>
  <c r="CP67" i="1"/>
  <c r="CO67" i="1"/>
  <c r="CN67" i="1"/>
  <c r="CI76" i="1"/>
  <c r="CS30" i="1"/>
  <c r="CT30" i="1" s="1"/>
  <c r="BX16" i="1"/>
  <c r="CO64" i="1"/>
  <c r="CS75" i="1" l="1"/>
  <c r="CT75" i="1" s="1"/>
  <c r="CS381" i="1"/>
  <c r="CT381" i="1" s="1"/>
  <c r="CS642" i="1"/>
  <c r="CT642" i="1" s="1"/>
  <c r="CS742" i="1"/>
  <c r="CT742" i="1" s="1"/>
  <c r="CS729" i="1"/>
  <c r="CT729" i="1" s="1"/>
  <c r="CS1110" i="1"/>
  <c r="CT1110" i="1" s="1"/>
  <c r="CS1264" i="1"/>
  <c r="CT1264" i="1" s="1"/>
  <c r="CS474" i="1"/>
  <c r="CT474" i="1" s="1"/>
  <c r="CS124" i="1"/>
  <c r="CT124" i="1" s="1"/>
  <c r="CS484" i="1"/>
  <c r="CT484" i="1" s="1"/>
  <c r="CS731" i="1"/>
  <c r="CT731" i="1" s="1"/>
  <c r="CS1221" i="1"/>
  <c r="CT1221" i="1" s="1"/>
  <c r="CS99" i="1"/>
  <c r="CT99" i="1" s="1"/>
  <c r="CS340" i="1"/>
  <c r="CT340" i="1" s="1"/>
  <c r="CS427" i="1"/>
  <c r="CT427" i="1" s="1"/>
  <c r="CS1021" i="1"/>
  <c r="CT1021" i="1" s="1"/>
  <c r="CS70" i="1"/>
  <c r="CT70" i="1" s="1"/>
  <c r="CS248" i="1"/>
  <c r="CT248" i="1" s="1"/>
  <c r="CS1058" i="1"/>
  <c r="CT1058" i="1" s="1"/>
  <c r="CS1041" i="1"/>
  <c r="CT1041" i="1" s="1"/>
  <c r="CS40" i="1"/>
  <c r="CT40" i="1" s="1"/>
  <c r="CS250" i="1"/>
  <c r="CT250" i="1" s="1"/>
  <c r="CS677" i="1"/>
  <c r="CT677" i="1" s="1"/>
  <c r="CS1216" i="1"/>
  <c r="CT1216" i="1" s="1"/>
  <c r="CS745" i="1"/>
  <c r="CT745" i="1" s="1"/>
  <c r="CS1019" i="1"/>
  <c r="CT1019" i="1" s="1"/>
  <c r="CS198" i="1"/>
  <c r="CT198" i="1" s="1"/>
  <c r="CS472" i="1"/>
  <c r="CT472" i="1" s="1"/>
  <c r="CS948" i="1"/>
  <c r="CT948" i="1" s="1"/>
  <c r="CS957" i="1"/>
  <c r="CT957" i="1" s="1"/>
  <c r="CS1071" i="1"/>
  <c r="CT1071" i="1" s="1"/>
  <c r="CS251" i="1"/>
  <c r="CT251" i="1" s="1"/>
  <c r="CS188" i="1"/>
  <c r="CT188" i="1" s="1"/>
  <c r="CS1115" i="1"/>
  <c r="CT1115" i="1" s="1"/>
  <c r="CS1136" i="1"/>
  <c r="CT1136" i="1" s="1"/>
  <c r="CS344" i="1"/>
  <c r="CT344" i="1" s="1"/>
  <c r="CS958" i="1"/>
  <c r="CT958" i="1" s="1"/>
  <c r="CS1104" i="1"/>
  <c r="CT1104" i="1" s="1"/>
  <c r="CS126" i="1"/>
  <c r="CT126" i="1" s="1"/>
  <c r="CS594" i="1"/>
  <c r="CT594" i="1" s="1"/>
  <c r="CS1140" i="1"/>
  <c r="CT1140" i="1" s="1"/>
  <c r="CS1158" i="1"/>
  <c r="CT1158" i="1" s="1"/>
  <c r="CS476" i="1"/>
  <c r="CT476" i="1" s="1"/>
  <c r="CS66" i="1"/>
  <c r="CT66" i="1" s="1"/>
  <c r="CS15" i="1"/>
  <c r="CT15" i="1" s="1"/>
  <c r="CS252" i="1"/>
  <c r="CT252" i="1" s="1"/>
  <c r="CS469" i="1"/>
  <c r="CT469" i="1" s="1"/>
  <c r="CS1223" i="1"/>
  <c r="CT1223" i="1" s="1"/>
  <c r="CS1256" i="1"/>
  <c r="CT1256" i="1" s="1"/>
  <c r="CS1272" i="1"/>
  <c r="CT1272" i="1" s="1"/>
  <c r="CS1177" i="1"/>
  <c r="CT1177" i="1" s="1"/>
  <c r="CS1257" i="1"/>
  <c r="CT1257" i="1" s="1"/>
  <c r="CS1400" i="1"/>
  <c r="CT1400" i="1" s="1"/>
  <c r="CS154" i="1"/>
  <c r="CT154" i="1" s="1"/>
  <c r="CS767" i="1"/>
  <c r="CT767" i="1" s="1"/>
  <c r="CS1135" i="1"/>
  <c r="CT1135" i="1" s="1"/>
  <c r="CS265" i="1"/>
  <c r="CT265" i="1" s="1"/>
  <c r="CS1074" i="1"/>
  <c r="CT1074" i="1" s="1"/>
  <c r="CS1073" i="1"/>
  <c r="CT1073" i="1" s="1"/>
  <c r="CS264" i="1"/>
  <c r="CT264" i="1" s="1"/>
  <c r="CS247" i="1"/>
  <c r="CT247" i="1" s="1"/>
  <c r="CS301" i="1"/>
  <c r="CT301" i="1" s="1"/>
  <c r="CS1145" i="1"/>
  <c r="CT1145" i="1" s="1"/>
  <c r="CS348" i="1"/>
  <c r="CT348" i="1" s="1"/>
  <c r="CS751" i="1"/>
  <c r="CT751" i="1" s="1"/>
  <c r="CS744" i="1"/>
  <c r="CT744" i="1" s="1"/>
  <c r="CS950" i="1"/>
  <c r="CT950" i="1" s="1"/>
  <c r="CS308" i="1"/>
  <c r="CT308" i="1" s="1"/>
  <c r="CS378" i="1"/>
  <c r="CT378" i="1" s="1"/>
  <c r="CS804" i="1"/>
  <c r="CT804" i="1" s="1"/>
  <c r="CS808" i="1"/>
  <c r="CT808" i="1" s="1"/>
  <c r="CS23" i="1"/>
  <c r="CT23" i="1" s="1"/>
  <c r="CS41" i="1"/>
  <c r="CT41" i="1" s="1"/>
  <c r="CS342" i="1"/>
  <c r="CT342" i="1" s="1"/>
  <c r="CS1020" i="1"/>
  <c r="CT1020" i="1" s="1"/>
  <c r="CS861" i="1"/>
  <c r="CT861" i="1" s="1"/>
  <c r="CS1217" i="1"/>
  <c r="CT1217" i="1" s="1"/>
  <c r="CS1464" i="1"/>
  <c r="CT1464" i="1" s="1"/>
  <c r="CS1288" i="1"/>
  <c r="CT1288" i="1" s="1"/>
  <c r="CS1355" i="1"/>
  <c r="CT1355" i="1" s="1"/>
  <c r="CS1465" i="1"/>
  <c r="CT1465" i="1" s="1"/>
  <c r="CS149" i="1"/>
  <c r="CT149" i="1" s="1"/>
  <c r="CS305" i="1"/>
  <c r="CT305" i="1" s="1"/>
  <c r="CS827" i="1"/>
  <c r="CT827" i="1" s="1"/>
  <c r="CS73" i="1"/>
  <c r="CT73" i="1" s="1"/>
  <c r="CS382" i="1"/>
  <c r="CT382" i="1" s="1"/>
  <c r="CS769" i="1"/>
  <c r="CT769" i="1" s="1"/>
  <c r="CS88" i="1"/>
  <c r="CT88" i="1" s="1"/>
  <c r="CS681" i="1"/>
  <c r="CT681" i="1" s="1"/>
  <c r="CS256" i="1"/>
  <c r="CT256" i="1" s="1"/>
  <c r="CS747" i="1"/>
  <c r="CT747" i="1" s="1"/>
  <c r="CS892" i="1"/>
  <c r="CT892" i="1" s="1"/>
  <c r="CS16" i="1"/>
  <c r="CT16" i="1" s="1"/>
  <c r="CS21" i="1"/>
  <c r="CT21" i="1" s="1"/>
  <c r="CS523" i="1"/>
  <c r="CT523" i="1" s="1"/>
  <c r="CS601" i="1"/>
  <c r="CT601" i="1" s="1"/>
  <c r="CS733" i="1"/>
  <c r="CT733" i="1" s="1"/>
  <c r="CS746" i="1"/>
  <c r="CT746" i="1" s="1"/>
  <c r="CS1075" i="1"/>
  <c r="CT1075" i="1" s="1"/>
  <c r="CS1054" i="1"/>
  <c r="CT1054" i="1" s="1"/>
  <c r="CS368" i="1"/>
  <c r="CT368" i="1" s="1"/>
  <c r="CS596" i="1"/>
  <c r="CT596" i="1" s="1"/>
  <c r="CS74" i="1"/>
  <c r="CT74" i="1" s="1"/>
  <c r="CS249" i="1"/>
  <c r="CT249" i="1" s="1"/>
  <c r="CS346" i="1"/>
  <c r="CT346" i="1" s="1"/>
  <c r="CS577" i="1"/>
  <c r="CT577" i="1" s="1"/>
  <c r="CS1176" i="1"/>
  <c r="CT1176" i="1" s="1"/>
  <c r="CS1274" i="1"/>
  <c r="CT1274" i="1" s="1"/>
  <c r="CS1063" i="1"/>
  <c r="CT1063" i="1" s="1"/>
  <c r="CS1269" i="1"/>
  <c r="CT1269" i="1" s="1"/>
  <c r="CS1222" i="1"/>
  <c r="CT1222" i="1" s="1"/>
  <c r="CS1228" i="1"/>
  <c r="CT1228" i="1" s="1"/>
  <c r="CS1276" i="1"/>
  <c r="CT1276" i="1" s="1"/>
  <c r="CS64" i="1"/>
  <c r="CT64" i="1" s="1"/>
  <c r="CS810" i="1"/>
  <c r="CT810" i="1" s="1"/>
  <c r="CS1045" i="1"/>
  <c r="CT1045" i="1" s="1"/>
  <c r="CS1244" i="1"/>
  <c r="CT1244" i="1" s="1"/>
  <c r="CS524" i="1"/>
  <c r="CT524" i="1" s="1"/>
  <c r="CS805" i="1"/>
  <c r="CT805" i="1" s="1"/>
  <c r="CS1291" i="1"/>
  <c r="CT1291" i="1" s="1"/>
  <c r="CS1295" i="1"/>
  <c r="CT1295" i="1" s="1"/>
  <c r="CS911" i="1"/>
  <c r="CT911" i="1" s="1"/>
  <c r="CS1029" i="1"/>
  <c r="CT1029" i="1" s="1"/>
  <c r="CS1239" i="1"/>
  <c r="CT1239" i="1" s="1"/>
  <c r="CS1357" i="1"/>
  <c r="CT1357" i="1" s="1"/>
  <c r="CS1105" i="1"/>
  <c r="CT1105" i="1" s="1"/>
  <c r="CS1036" i="1"/>
  <c r="CT1036" i="1" s="1"/>
  <c r="CS483" i="1"/>
  <c r="CT483" i="1" s="1"/>
  <c r="CS706" i="1"/>
  <c r="CT706" i="1" s="1"/>
  <c r="CS752" i="1"/>
  <c r="CT752" i="1" s="1"/>
  <c r="CS343" i="1"/>
  <c r="CT343" i="1" s="1"/>
  <c r="CS578" i="1"/>
  <c r="CT578" i="1" s="1"/>
  <c r="CS266" i="1"/>
  <c r="CT266" i="1" s="1"/>
  <c r="CS1174" i="1"/>
  <c r="CT1174" i="1" s="1"/>
  <c r="CS1246" i="1"/>
  <c r="CT1246" i="1" s="1"/>
  <c r="CS69" i="1"/>
  <c r="CT69" i="1" s="1"/>
  <c r="CS240" i="1"/>
  <c r="CT240" i="1" s="1"/>
  <c r="CS227" i="1"/>
  <c r="CT227" i="1" s="1"/>
  <c r="CS377" i="1"/>
  <c r="CT377" i="1" s="1"/>
  <c r="CS1028" i="1"/>
  <c r="CT1028" i="1" s="1"/>
  <c r="CS1113" i="1"/>
  <c r="CT1113" i="1" s="1"/>
  <c r="CS20" i="1"/>
  <c r="CT20" i="1" s="1"/>
  <c r="CS848" i="1"/>
  <c r="CT848" i="1" s="1"/>
  <c r="CS1084" i="1"/>
  <c r="CT1084" i="1" s="1"/>
  <c r="CS162" i="1"/>
  <c r="CT162" i="1" s="1"/>
  <c r="CS345" i="1"/>
  <c r="CT345" i="1" s="1"/>
  <c r="CS379" i="1"/>
  <c r="CT379" i="1" s="1"/>
  <c r="CS953" i="1"/>
  <c r="CT953" i="1" s="1"/>
  <c r="CS1072" i="1"/>
  <c r="CT1072" i="1" s="1"/>
  <c r="CS267" i="1"/>
  <c r="CT267" i="1" s="1"/>
  <c r="CS770" i="1"/>
  <c r="CT770" i="1" s="1"/>
  <c r="CS863" i="1"/>
  <c r="CT863" i="1" s="1"/>
  <c r="CS1133" i="1"/>
  <c r="CT1133" i="1" s="1"/>
  <c r="CS1260" i="1"/>
  <c r="CT1260" i="1" s="1"/>
  <c r="CS1358" i="1"/>
  <c r="CT1358" i="1" s="1"/>
  <c r="CS1404" i="1"/>
  <c r="CT1404" i="1" s="1"/>
  <c r="CS840" i="1"/>
  <c r="CT840" i="1" s="1"/>
  <c r="CS1111" i="1"/>
  <c r="CT1111" i="1" s="1"/>
  <c r="CS60" i="1"/>
  <c r="CT60" i="1" s="1"/>
  <c r="CS720" i="1"/>
  <c r="CT720" i="1" s="1"/>
  <c r="CS853" i="1"/>
  <c r="CT853" i="1" s="1"/>
  <c r="CS1076" i="1"/>
  <c r="CT1076" i="1" s="1"/>
  <c r="CS347" i="1"/>
  <c r="CT347" i="1" s="1"/>
  <c r="CS855" i="1"/>
  <c r="CT855" i="1" s="1"/>
  <c r="CS1033" i="1"/>
  <c r="CT1033" i="1" s="1"/>
  <c r="CS1126" i="1"/>
  <c r="CT1126" i="1" s="1"/>
  <c r="CS525" i="1"/>
  <c r="CT525" i="1" s="1"/>
  <c r="CS809" i="1"/>
  <c r="CT809" i="1" s="1"/>
  <c r="CS1156" i="1"/>
  <c r="CT1156" i="1" s="1"/>
  <c r="CS72" i="1"/>
  <c r="CT72" i="1" s="1"/>
  <c r="CS447" i="1"/>
  <c r="CT447" i="1" s="1"/>
  <c r="CS730" i="1"/>
  <c r="CT730" i="1" s="1"/>
  <c r="CS605" i="1"/>
  <c r="CT605" i="1" s="1"/>
  <c r="CS22" i="1"/>
  <c r="CT22" i="1" s="1"/>
  <c r="CS349" i="1"/>
  <c r="CT349" i="1" s="1"/>
  <c r="CS63" i="1"/>
  <c r="CT63" i="1" s="1"/>
  <c r="CS151" i="1"/>
  <c r="CT151" i="1" s="1"/>
  <c r="CS307" i="1"/>
  <c r="CT307" i="1" s="1"/>
  <c r="CS1130" i="1"/>
  <c r="CT1130" i="1" s="1"/>
  <c r="CS197" i="1"/>
  <c r="CT197" i="1" s="1"/>
  <c r="CS653" i="1"/>
  <c r="CT653" i="1" s="1"/>
  <c r="CS949" i="1"/>
  <c r="CT949" i="1" s="1"/>
  <c r="CS961" i="1"/>
  <c r="CT961" i="1" s="1"/>
  <c r="CS1292" i="1"/>
  <c r="CT1292" i="1" s="1"/>
  <c r="CS1157" i="1"/>
  <c r="CT1157" i="1" s="1"/>
  <c r="CS67" i="1"/>
  <c r="CT67" i="1" s="1"/>
  <c r="CS263" i="1"/>
  <c r="CT263" i="1" s="1"/>
  <c r="CS338" i="1"/>
  <c r="CT338" i="1" s="1"/>
  <c r="CS300" i="1"/>
  <c r="CT300" i="1" s="1"/>
  <c r="CS598" i="1"/>
  <c r="CT598" i="1" s="1"/>
  <c r="CS743" i="1"/>
  <c r="CT743" i="1" s="1"/>
  <c r="CS831" i="1"/>
  <c r="CT831" i="1" s="1"/>
  <c r="CS1127" i="1"/>
  <c r="CT1127" i="1" s="1"/>
  <c r="CS882" i="1"/>
  <c r="CT882" i="1" s="1"/>
  <c r="CS262" i="1"/>
  <c r="CT262" i="1" s="1"/>
  <c r="CS397" i="1"/>
  <c r="CT397" i="1" s="1"/>
  <c r="CS25" i="1"/>
  <c r="CT25" i="1" s="1"/>
  <c r="CS62" i="1"/>
  <c r="CT62" i="1" s="1"/>
  <c r="CS156" i="1"/>
  <c r="CT156" i="1" s="1"/>
  <c r="CS813" i="1"/>
  <c r="CT813" i="1" s="1"/>
  <c r="CS695" i="1"/>
  <c r="CT695" i="1" s="1"/>
  <c r="CS1124" i="1"/>
  <c r="CT1124" i="1" s="1"/>
  <c r="CS177" i="1"/>
  <c r="CT177" i="1" s="1"/>
  <c r="CS380" i="1"/>
  <c r="CT380" i="1" s="1"/>
  <c r="CS956" i="1"/>
  <c r="CT956" i="1" s="1"/>
  <c r="CS1026" i="1"/>
  <c r="CT1026" i="1" s="1"/>
  <c r="CS1294" i="1"/>
  <c r="CT1294" i="1" s="1"/>
  <c r="CS1298" i="1"/>
  <c r="CT1298" i="1" s="1"/>
  <c r="CS1249" i="1"/>
  <c r="CT1249" i="1" s="1"/>
  <c r="CS1398" i="1"/>
  <c r="CT1398" i="1" s="1"/>
  <c r="CS1419" i="1"/>
  <c r="CT1419" i="1" s="1"/>
  <c r="CS854" i="1"/>
  <c r="CT854" i="1" s="1"/>
  <c r="EC1434" i="1" l="1"/>
  <c r="ED1418" i="1"/>
  <c r="EH1418" i="1" s="1"/>
  <c r="EF1468" i="1"/>
  <c r="EE1468" i="1"/>
  <c r="ED1417" i="1"/>
  <c r="EH1417" i="1" s="1"/>
  <c r="ED1468" i="1"/>
  <c r="EC1468" i="1"/>
  <c r="EF1434" i="1"/>
  <c r="EE1414" i="1"/>
  <c r="EI1414" i="1" s="1"/>
  <c r="EE1415" i="1"/>
  <c r="EI1415" i="1" s="1"/>
  <c r="ED1414" i="1"/>
  <c r="EH1414" i="1" s="1"/>
  <c r="EC1414" i="1"/>
  <c r="EF1410" i="1"/>
  <c r="EJ1410" i="1" s="1"/>
  <c r="EE1405" i="1"/>
  <c r="EI1405" i="1" s="1"/>
  <c r="ED1403" i="1"/>
  <c r="EH1403" i="1" s="1"/>
  <c r="EF1391" i="1"/>
  <c r="EJ1391" i="1" s="1"/>
  <c r="EC1419" i="1"/>
  <c r="EE1410" i="1"/>
  <c r="EI1410" i="1" s="1"/>
  <c r="EC1403" i="1"/>
  <c r="EE1391" i="1"/>
  <c r="EI1391" i="1" s="1"/>
  <c r="EC1410" i="1"/>
  <c r="EC1405" i="1"/>
  <c r="EF1397" i="1"/>
  <c r="EJ1397" i="1" s="1"/>
  <c r="EE1396" i="1"/>
  <c r="EI1396" i="1" s="1"/>
  <c r="EF1393" i="1"/>
  <c r="EJ1393" i="1" s="1"/>
  <c r="EF1413" i="1"/>
  <c r="EJ1413" i="1" s="1"/>
  <c r="EF1417" i="1"/>
  <c r="EJ1417" i="1" s="1"/>
  <c r="EE1413" i="1"/>
  <c r="EI1413" i="1" s="1"/>
  <c r="EF1408" i="1"/>
  <c r="EJ1408" i="1" s="1"/>
  <c r="EE1402" i="1"/>
  <c r="EI1402" i="1" s="1"/>
  <c r="EF1401" i="1"/>
  <c r="EJ1401" i="1" s="1"/>
  <c r="ED1397" i="1"/>
  <c r="EH1397" i="1" s="1"/>
  <c r="EF1395" i="1"/>
  <c r="EJ1395" i="1" s="1"/>
  <c r="ED1393" i="1"/>
  <c r="EH1393" i="1" s="1"/>
  <c r="EE1417" i="1"/>
  <c r="EI1417" i="1" s="1"/>
  <c r="ED1413" i="1"/>
  <c r="EH1413" i="1" s="1"/>
  <c r="EE1408" i="1"/>
  <c r="EI1408" i="1" s="1"/>
  <c r="EE1395" i="1"/>
  <c r="EI1395" i="1" s="1"/>
  <c r="EC1393" i="1"/>
  <c r="EE1392" i="1"/>
  <c r="EI1392" i="1" s="1"/>
  <c r="EE1387" i="1"/>
  <c r="EI1387" i="1" s="1"/>
  <c r="EC1386" i="1"/>
  <c r="ED1382" i="1"/>
  <c r="EH1382" i="1" s="1"/>
  <c r="EE1379" i="1"/>
  <c r="EI1379" i="1" s="1"/>
  <c r="ED1374" i="1"/>
  <c r="EH1374" i="1" s="1"/>
  <c r="EE1371" i="1"/>
  <c r="EI1371" i="1" s="1"/>
  <c r="ED1364" i="1"/>
  <c r="EH1364" i="1" s="1"/>
  <c r="EF1389" i="1"/>
  <c r="EJ1389" i="1" s="1"/>
  <c r="ED1387" i="1"/>
  <c r="EH1387" i="1" s="1"/>
  <c r="EF1409" i="1"/>
  <c r="EJ1409" i="1" s="1"/>
  <c r="ED1389" i="1"/>
  <c r="EH1389" i="1" s="1"/>
  <c r="EF1370" i="1"/>
  <c r="EJ1370" i="1" s="1"/>
  <c r="EF1403" i="1"/>
  <c r="EJ1403" i="1" s="1"/>
  <c r="EF1383" i="1"/>
  <c r="EJ1383" i="1" s="1"/>
  <c r="EE1378" i="1"/>
  <c r="EI1378" i="1" s="1"/>
  <c r="EF1375" i="1"/>
  <c r="EJ1375" i="1" s="1"/>
  <c r="EE1370" i="1"/>
  <c r="EI1370" i="1" s="1"/>
  <c r="EF1367" i="1"/>
  <c r="EJ1367" i="1" s="1"/>
  <c r="EC1408" i="1"/>
  <c r="EC1402" i="1"/>
  <c r="ED1391" i="1"/>
  <c r="EH1391" i="1" s="1"/>
  <c r="EE1383" i="1"/>
  <c r="EI1383" i="1" s="1"/>
  <c r="EC1381" i="1"/>
  <c r="EF1380" i="1"/>
  <c r="EJ1380" i="1" s="1"/>
  <c r="ED1378" i="1"/>
  <c r="EH1378" i="1" s="1"/>
  <c r="EE1375" i="1"/>
  <c r="EI1375" i="1" s="1"/>
  <c r="EC1373" i="1"/>
  <c r="EF1372" i="1"/>
  <c r="EJ1372" i="1" s="1"/>
  <c r="ED1370" i="1"/>
  <c r="EH1370" i="1" s="1"/>
  <c r="EE1367" i="1"/>
  <c r="EI1367" i="1" s="1"/>
  <c r="ED1401" i="1"/>
  <c r="EH1401" i="1" s="1"/>
  <c r="EC1418" i="1"/>
  <c r="EF1414" i="1"/>
  <c r="EJ1414" i="1" s="1"/>
  <c r="EE1386" i="1"/>
  <c r="EI1386" i="1" s="1"/>
  <c r="EC1383" i="1"/>
  <c r="EF1382" i="1"/>
  <c r="EJ1382" i="1" s="1"/>
  <c r="ED1380" i="1"/>
  <c r="EH1380" i="1" s="1"/>
  <c r="EC1375" i="1"/>
  <c r="EF1374" i="1"/>
  <c r="EJ1374" i="1" s="1"/>
  <c r="ED1372" i="1"/>
  <c r="EH1372" i="1" s="1"/>
  <c r="EC1367" i="1"/>
  <c r="EF1364" i="1"/>
  <c r="EJ1364" i="1" s="1"/>
  <c r="ED1395" i="1"/>
  <c r="EH1395" i="1" s="1"/>
  <c r="EF1387" i="1"/>
  <c r="EJ1387" i="1" s="1"/>
  <c r="ED1386" i="1"/>
  <c r="EH1386" i="1" s="1"/>
  <c r="EE1382" i="1"/>
  <c r="EI1382" i="1" s="1"/>
  <c r="EC1380" i="1"/>
  <c r="EF1379" i="1"/>
  <c r="EJ1379" i="1" s="1"/>
  <c r="EE1374" i="1"/>
  <c r="EI1374" i="1" s="1"/>
  <c r="EC1372" i="1"/>
  <c r="EF1371" i="1"/>
  <c r="EJ1371" i="1" s="1"/>
  <c r="ED1360" i="1"/>
  <c r="EH1360" i="1" s="1"/>
  <c r="EF1350" i="1"/>
  <c r="EJ1350" i="1" s="1"/>
  <c r="ED1348" i="1"/>
  <c r="EH1348" i="1" s="1"/>
  <c r="EF1345" i="1"/>
  <c r="EJ1345" i="1" s="1"/>
  <c r="ED1343" i="1"/>
  <c r="EH1343" i="1" s="1"/>
  <c r="ED1340" i="1"/>
  <c r="EH1340" i="1" s="1"/>
  <c r="EF1349" i="1"/>
  <c r="EJ1349" i="1" s="1"/>
  <c r="EF1344" i="1"/>
  <c r="EJ1344" i="1" s="1"/>
  <c r="EE1339" i="1"/>
  <c r="EI1339" i="1" s="1"/>
  <c r="EC1363" i="1"/>
  <c r="ED1357" i="1"/>
  <c r="EH1357" i="1" s="1"/>
  <c r="EE1349" i="1"/>
  <c r="EI1349" i="1" s="1"/>
  <c r="EE1344" i="1"/>
  <c r="EI1344" i="1" s="1"/>
  <c r="EE1364" i="1"/>
  <c r="EI1364" i="1" s="1"/>
  <c r="EC1357" i="1"/>
  <c r="ED1349" i="1"/>
  <c r="EH1349" i="1" s="1"/>
  <c r="ED1344" i="1"/>
  <c r="EH1344" i="1" s="1"/>
  <c r="EC1339" i="1"/>
  <c r="EE1360" i="1"/>
  <c r="EI1360" i="1" s="1"/>
  <c r="EE1348" i="1"/>
  <c r="EI1348" i="1" s="1"/>
  <c r="EE1343" i="1"/>
  <c r="EI1343" i="1" s="1"/>
  <c r="EC1341" i="1"/>
  <c r="EF1340" i="1"/>
  <c r="EJ1340" i="1" s="1"/>
  <c r="EF1325" i="1"/>
  <c r="EJ1325" i="1" s="1"/>
  <c r="ED1324" i="1"/>
  <c r="EH1324" i="1" s="1"/>
  <c r="EE1316" i="1"/>
  <c r="EI1316" i="1" s="1"/>
  <c r="EC1314" i="1"/>
  <c r="ED1311" i="1"/>
  <c r="EH1311" i="1" s="1"/>
  <c r="ED1339" i="1"/>
  <c r="EH1339" i="1" s="1"/>
  <c r="ED1316" i="1"/>
  <c r="EH1316" i="1" s="1"/>
  <c r="EC1311" i="1"/>
  <c r="ED1308" i="1"/>
  <c r="EH1308" i="1" s="1"/>
  <c r="EC1303" i="1"/>
  <c r="ED1300" i="1"/>
  <c r="EH1300" i="1" s="1"/>
  <c r="EE1315" i="1"/>
  <c r="EI1315" i="1" s="1"/>
  <c r="EF1312" i="1"/>
  <c r="EJ1312" i="1" s="1"/>
  <c r="EE1307" i="1"/>
  <c r="EI1307" i="1" s="1"/>
  <c r="EF1341" i="1"/>
  <c r="EJ1341" i="1" s="1"/>
  <c r="EE1340" i="1"/>
  <c r="EI1340" i="1" s="1"/>
  <c r="EF1317" i="1"/>
  <c r="EJ1317" i="1" s="1"/>
  <c r="ED1315" i="1"/>
  <c r="EH1315" i="1" s="1"/>
  <c r="EE1312" i="1"/>
  <c r="EI1312" i="1" s="1"/>
  <c r="ED1307" i="1"/>
  <c r="EH1307" i="1" s="1"/>
  <c r="EF1324" i="1"/>
  <c r="EJ1324" i="1" s="1"/>
  <c r="EF1311" i="1"/>
  <c r="EJ1311" i="1" s="1"/>
  <c r="EF1303" i="1"/>
  <c r="EJ1303" i="1" s="1"/>
  <c r="EF1308" i="1"/>
  <c r="EJ1308" i="1" s="1"/>
  <c r="EF1304" i="1"/>
  <c r="EJ1304" i="1" s="1"/>
  <c r="ED1296" i="1"/>
  <c r="EH1296" i="1" s="1"/>
  <c r="EC1283" i="1"/>
  <c r="EC1309" i="1"/>
  <c r="EE1308" i="1"/>
  <c r="EI1308" i="1" s="1"/>
  <c r="ED1306" i="1"/>
  <c r="EH1306" i="1" s="1"/>
  <c r="EE1304" i="1"/>
  <c r="EI1304" i="1" s="1"/>
  <c r="ED1281" i="1"/>
  <c r="EH1281" i="1" s="1"/>
  <c r="EF1316" i="1"/>
  <c r="EJ1316" i="1" s="1"/>
  <c r="EC1306" i="1"/>
  <c r="EE1303" i="1"/>
  <c r="EI1303" i="1" s="1"/>
  <c r="ED1298" i="1"/>
  <c r="EH1298" i="1" s="1"/>
  <c r="EE1324" i="1"/>
  <c r="EI1324" i="1" s="1"/>
  <c r="EC1317" i="1"/>
  <c r="EE1311" i="1"/>
  <c r="EI1311" i="1" s="1"/>
  <c r="ED1303" i="1"/>
  <c r="EH1303" i="1" s="1"/>
  <c r="EC1298" i="1"/>
  <c r="EF1279" i="1"/>
  <c r="EJ1279" i="1" s="1"/>
  <c r="EC1338" i="1"/>
  <c r="EC1323" i="1"/>
  <c r="EC1301" i="1"/>
  <c r="EF1300" i="1"/>
  <c r="EJ1300" i="1" s="1"/>
  <c r="ED1279" i="1"/>
  <c r="EH1279" i="1" s="1"/>
  <c r="EE1266" i="1"/>
  <c r="EI1266" i="1" s="1"/>
  <c r="EF1261" i="1"/>
  <c r="EJ1261" i="1" s="1"/>
  <c r="ED1249" i="1"/>
  <c r="EH1249" i="1" s="1"/>
  <c r="EF1246" i="1"/>
  <c r="EJ1246" i="1" s="1"/>
  <c r="ED1244" i="1"/>
  <c r="EH1244" i="1" s="1"/>
  <c r="ED1242" i="1"/>
  <c r="EH1242" i="1" s="1"/>
  <c r="EE1237" i="1"/>
  <c r="EI1237" i="1" s="1"/>
  <c r="EE1296" i="1"/>
  <c r="EI1296" i="1" s="1"/>
  <c r="ED1283" i="1"/>
  <c r="EH1283" i="1" s="1"/>
  <c r="ED1266" i="1"/>
  <c r="EH1266" i="1" s="1"/>
  <c r="EE1261" i="1"/>
  <c r="EI1261" i="1" s="1"/>
  <c r="EC1249" i="1"/>
  <c r="EC1244" i="1"/>
  <c r="ED1230" i="1"/>
  <c r="EH1230" i="1" s="1"/>
  <c r="EC1266" i="1"/>
  <c r="EF1265" i="1"/>
  <c r="EJ1265" i="1" s="1"/>
  <c r="ED1261" i="1"/>
  <c r="EH1261" i="1" s="1"/>
  <c r="EC1252" i="1"/>
  <c r="EF1248" i="1"/>
  <c r="EJ1248" i="1" s="1"/>
  <c r="ED1246" i="1"/>
  <c r="EH1246" i="1" s="1"/>
  <c r="EC1237" i="1"/>
  <c r="EF1276" i="1"/>
  <c r="EJ1276" i="1" s="1"/>
  <c r="EC1261" i="1"/>
  <c r="EE1248" i="1"/>
  <c r="EI1248" i="1" s="1"/>
  <c r="EC1246" i="1"/>
  <c r="ED1314" i="1"/>
  <c r="EH1314" i="1" s="1"/>
  <c r="EE1276" i="1"/>
  <c r="EI1276" i="1" s="1"/>
  <c r="EF1274" i="1"/>
  <c r="EJ1274" i="1" s="1"/>
  <c r="EF1267" i="1"/>
  <c r="EJ1267" i="1" s="1"/>
  <c r="ED1265" i="1"/>
  <c r="EH1265" i="1" s="1"/>
  <c r="EF1255" i="1"/>
  <c r="EJ1255" i="1" s="1"/>
  <c r="EF1251" i="1"/>
  <c r="EJ1251" i="1" s="1"/>
  <c r="ED1248" i="1"/>
  <c r="EH1248" i="1" s="1"/>
  <c r="EE1300" i="1"/>
  <c r="EI1300" i="1" s="1"/>
  <c r="EC1279" i="1"/>
  <c r="EC1276" i="1"/>
  <c r="EE1240" i="1"/>
  <c r="EI1240" i="1" s="1"/>
  <c r="EF1281" i="1"/>
  <c r="EJ1281" i="1" s="1"/>
  <c r="EF1249" i="1"/>
  <c r="EJ1249" i="1" s="1"/>
  <c r="EC1267" i="1"/>
  <c r="EF1252" i="1"/>
  <c r="EJ1252" i="1" s="1"/>
  <c r="EC1240" i="1"/>
  <c r="EF1222" i="1"/>
  <c r="EJ1222" i="1" s="1"/>
  <c r="EF1214" i="1"/>
  <c r="EJ1214" i="1" s="1"/>
  <c r="EE1212" i="1"/>
  <c r="EI1212" i="1" s="1"/>
  <c r="ED1207" i="1"/>
  <c r="EH1207" i="1" s="1"/>
  <c r="EE1204" i="1"/>
  <c r="EI1204" i="1" s="1"/>
  <c r="EC1198" i="1"/>
  <c r="EF1266" i="1"/>
  <c r="EJ1266" i="1" s="1"/>
  <c r="EE1242" i="1"/>
  <c r="EI1242" i="1" s="1"/>
  <c r="EF1228" i="1"/>
  <c r="EJ1228" i="1" s="1"/>
  <c r="EE1214" i="1"/>
  <c r="EI1214" i="1" s="1"/>
  <c r="ED1212" i="1"/>
  <c r="EH1212" i="1" s="1"/>
  <c r="ED1204" i="1"/>
  <c r="EH1204" i="1" s="1"/>
  <c r="ED1190" i="1"/>
  <c r="EH1190" i="1" s="1"/>
  <c r="EF1235" i="1"/>
  <c r="EJ1235" i="1" s="1"/>
  <c r="EF1230" i="1"/>
  <c r="EJ1230" i="1" s="1"/>
  <c r="EE1228" i="1"/>
  <c r="EI1228" i="1" s="1"/>
  <c r="ED1214" i="1"/>
  <c r="EH1214" i="1" s="1"/>
  <c r="EC1212" i="1"/>
  <c r="EF1211" i="1"/>
  <c r="EJ1211" i="1" s="1"/>
  <c r="EC1204" i="1"/>
  <c r="EF1203" i="1"/>
  <c r="EJ1203" i="1" s="1"/>
  <c r="EE1199" i="1"/>
  <c r="EI1199" i="1" s="1"/>
  <c r="EE1197" i="1"/>
  <c r="EI1197" i="1" s="1"/>
  <c r="EC1251" i="1"/>
  <c r="ED1247" i="1"/>
  <c r="EH1247" i="1" s="1"/>
  <c r="EE1235" i="1"/>
  <c r="EI1235" i="1" s="1"/>
  <c r="EE1230" i="1"/>
  <c r="EI1230" i="1" s="1"/>
  <c r="ED1228" i="1"/>
  <c r="EH1228" i="1" s="1"/>
  <c r="EC1214" i="1"/>
  <c r="EE1211" i="1"/>
  <c r="EI1211" i="1" s="1"/>
  <c r="EF1208" i="1"/>
  <c r="EJ1208" i="1" s="1"/>
  <c r="EE1203" i="1"/>
  <c r="EI1203" i="1" s="1"/>
  <c r="ED1199" i="1"/>
  <c r="EH1199" i="1" s="1"/>
  <c r="ED1197" i="1"/>
  <c r="EH1197" i="1" s="1"/>
  <c r="ED1292" i="1"/>
  <c r="EH1292" i="1" s="1"/>
  <c r="EC1255" i="1"/>
  <c r="EF1233" i="1"/>
  <c r="EJ1233" i="1" s="1"/>
  <c r="ED1232" i="1"/>
  <c r="EH1232" i="1" s="1"/>
  <c r="EC1230" i="1"/>
  <c r="EC1228" i="1"/>
  <c r="EC1227" i="1"/>
  <c r="EF1226" i="1"/>
  <c r="EJ1226" i="1" s="1"/>
  <c r="EF1224" i="1"/>
  <c r="EJ1224" i="1" s="1"/>
  <c r="EF1215" i="1"/>
  <c r="EJ1215" i="1" s="1"/>
  <c r="EF1213" i="1"/>
  <c r="EJ1213" i="1" s="1"/>
  <c r="ED1211" i="1"/>
  <c r="EH1211" i="1" s="1"/>
  <c r="EE1208" i="1"/>
  <c r="EI1208" i="1" s="1"/>
  <c r="EC1206" i="1"/>
  <c r="EF1205" i="1"/>
  <c r="EJ1205" i="1" s="1"/>
  <c r="ED1203" i="1"/>
  <c r="EH1203" i="1" s="1"/>
  <c r="EE1273" i="1"/>
  <c r="EI1273" i="1" s="1"/>
  <c r="EE1226" i="1"/>
  <c r="EI1226" i="1" s="1"/>
  <c r="EE1224" i="1"/>
  <c r="EI1224" i="1" s="1"/>
  <c r="EE1215" i="1"/>
  <c r="EI1215" i="1" s="1"/>
  <c r="EC1203" i="1"/>
  <c r="EE1281" i="1"/>
  <c r="EI1281" i="1" s="1"/>
  <c r="EE1249" i="1"/>
  <c r="EI1249" i="1" s="1"/>
  <c r="EE1244" i="1"/>
  <c r="EI1244" i="1" s="1"/>
  <c r="ED1215" i="1"/>
  <c r="EH1215" i="1" s="1"/>
  <c r="EC1215" i="1"/>
  <c r="EC1190" i="1"/>
  <c r="EF1240" i="1"/>
  <c r="EJ1240" i="1" s="1"/>
  <c r="EF1204" i="1"/>
  <c r="EJ1204" i="1" s="1"/>
  <c r="EF1194" i="1"/>
  <c r="EJ1194" i="1" s="1"/>
  <c r="EC1186" i="1"/>
  <c r="EF1185" i="1"/>
  <c r="EJ1185" i="1" s="1"/>
  <c r="EF1177" i="1"/>
  <c r="EJ1177" i="1" s="1"/>
  <c r="EF1165" i="1"/>
  <c r="EJ1165" i="1" s="1"/>
  <c r="ED1216" i="1"/>
  <c r="EH1216" i="1" s="1"/>
  <c r="EC1205" i="1"/>
  <c r="ED1202" i="1"/>
  <c r="EH1202" i="1" s="1"/>
  <c r="EC1199" i="1"/>
  <c r="EE1194" i="1"/>
  <c r="EI1194" i="1" s="1"/>
  <c r="ED1192" i="1"/>
  <c r="EH1192" i="1" s="1"/>
  <c r="EF1189" i="1"/>
  <c r="EJ1189" i="1" s="1"/>
  <c r="EE1185" i="1"/>
  <c r="EI1185" i="1" s="1"/>
  <c r="EF1178" i="1"/>
  <c r="EJ1178" i="1" s="1"/>
  <c r="EE1177" i="1"/>
  <c r="EI1177" i="1" s="1"/>
  <c r="EC1175" i="1"/>
  <c r="EF1174" i="1"/>
  <c r="EJ1174" i="1" s="1"/>
  <c r="EE1165" i="1"/>
  <c r="EI1165" i="1" s="1"/>
  <c r="EC1163" i="1"/>
  <c r="EF1162" i="1"/>
  <c r="EJ1162" i="1" s="1"/>
  <c r="EE1225" i="1"/>
  <c r="EI1225" i="1" s="1"/>
  <c r="EF1212" i="1"/>
  <c r="EJ1212" i="1" s="1"/>
  <c r="ED1210" i="1"/>
  <c r="EH1210" i="1" s="1"/>
  <c r="EE1207" i="1"/>
  <c r="EI1207" i="1" s="1"/>
  <c r="EC1197" i="1"/>
  <c r="EF1164" i="1"/>
  <c r="EJ1164" i="1" s="1"/>
  <c r="ED1146" i="1"/>
  <c r="EH1146" i="1" s="1"/>
  <c r="EE1220" i="1"/>
  <c r="EI1220" i="1" s="1"/>
  <c r="EF1217" i="1"/>
  <c r="EJ1217" i="1" s="1"/>
  <c r="EC1213" i="1"/>
  <c r="EC1191" i="1"/>
  <c r="EC1189" i="1"/>
  <c r="EE1164" i="1"/>
  <c r="EI1164" i="1" s="1"/>
  <c r="EF1161" i="1"/>
  <c r="EJ1161" i="1" s="1"/>
  <c r="EC1146" i="1"/>
  <c r="EC1224" i="1"/>
  <c r="EF1221" i="1"/>
  <c r="EJ1221" i="1" s="1"/>
  <c r="EE1193" i="1"/>
  <c r="EI1193" i="1" s="1"/>
  <c r="EF1190" i="1"/>
  <c r="EJ1190" i="1" s="1"/>
  <c r="EF1186" i="1"/>
  <c r="EJ1186" i="1" s="1"/>
  <c r="ED1184" i="1"/>
  <c r="EH1184" i="1" s="1"/>
  <c r="EF1182" i="1"/>
  <c r="EJ1182" i="1" s="1"/>
  <c r="EE1181" i="1"/>
  <c r="EI1181" i="1" s="1"/>
  <c r="ED1176" i="1"/>
  <c r="EH1176" i="1" s="1"/>
  <c r="ED1164" i="1"/>
  <c r="EH1164" i="1" s="1"/>
  <c r="EE1161" i="1"/>
  <c r="EI1161" i="1" s="1"/>
  <c r="EE1186" i="1"/>
  <c r="EI1186" i="1" s="1"/>
  <c r="EC1176" i="1"/>
  <c r="EF1175" i="1"/>
  <c r="EJ1175" i="1" s="1"/>
  <c r="EC1147" i="1"/>
  <c r="EE1141" i="1"/>
  <c r="EI1141" i="1" s="1"/>
  <c r="EC1133" i="1"/>
  <c r="ED1131" i="1"/>
  <c r="EH1131" i="1" s="1"/>
  <c r="ED1129" i="1"/>
  <c r="EH1129" i="1" s="1"/>
  <c r="ED1102" i="1"/>
  <c r="EH1102" i="1" s="1"/>
  <c r="ED1198" i="1"/>
  <c r="EH1198" i="1" s="1"/>
  <c r="EE1190" i="1"/>
  <c r="EI1190" i="1" s="1"/>
  <c r="EF1183" i="1"/>
  <c r="EJ1183" i="1" s="1"/>
  <c r="ED1181" i="1"/>
  <c r="EH1181" i="1" s="1"/>
  <c r="ED1161" i="1"/>
  <c r="EH1161" i="1" s="1"/>
  <c r="EE1151" i="1"/>
  <c r="EI1151" i="1" s="1"/>
  <c r="EF1146" i="1"/>
  <c r="EJ1146" i="1" s="1"/>
  <c r="ED1141" i="1"/>
  <c r="EH1141" i="1" s="1"/>
  <c r="EC1107" i="1"/>
  <c r="EC1102" i="1"/>
  <c r="EF1237" i="1"/>
  <c r="EJ1237" i="1" s="1"/>
  <c r="EC1161" i="1"/>
  <c r="ED1151" i="1"/>
  <c r="EH1151" i="1" s="1"/>
  <c r="EC1226" i="1"/>
  <c r="EF1188" i="1"/>
  <c r="EJ1188" i="1" s="1"/>
  <c r="EC1151" i="1"/>
  <c r="EE1132" i="1"/>
  <c r="EI1132" i="1" s="1"/>
  <c r="EE1130" i="1"/>
  <c r="EI1130" i="1" s="1"/>
  <c r="EE1115" i="1"/>
  <c r="EI1115" i="1" s="1"/>
  <c r="EE1113" i="1"/>
  <c r="EI1113" i="1" s="1"/>
  <c r="EE1111" i="1"/>
  <c r="EI1111" i="1" s="1"/>
  <c r="EF1105" i="1"/>
  <c r="EJ1105" i="1" s="1"/>
  <c r="ED1193" i="1"/>
  <c r="EH1193" i="1" s="1"/>
  <c r="ED1169" i="1"/>
  <c r="EH1169" i="1" s="1"/>
  <c r="EF1163" i="1"/>
  <c r="EJ1163" i="1" s="1"/>
  <c r="EF1143" i="1"/>
  <c r="EJ1143" i="1" s="1"/>
  <c r="ED1132" i="1"/>
  <c r="EH1132" i="1" s="1"/>
  <c r="ED1130" i="1"/>
  <c r="EH1130" i="1" s="1"/>
  <c r="ED1115" i="1"/>
  <c r="EH1115" i="1" s="1"/>
  <c r="ED1113" i="1"/>
  <c r="EH1113" i="1" s="1"/>
  <c r="ED1111" i="1"/>
  <c r="EH1111" i="1" s="1"/>
  <c r="ED1187" i="1"/>
  <c r="EH1187" i="1" s="1"/>
  <c r="EE1163" i="1"/>
  <c r="EI1163" i="1" s="1"/>
  <c r="ED1143" i="1"/>
  <c r="EH1143" i="1" s="1"/>
  <c r="EC1132" i="1"/>
  <c r="EC1130" i="1"/>
  <c r="EC1115" i="1"/>
  <c r="EC1113" i="1"/>
  <c r="EC1111" i="1"/>
  <c r="ED1105" i="1"/>
  <c r="EH1105" i="1" s="1"/>
  <c r="EE1182" i="1"/>
  <c r="EI1182" i="1" s="1"/>
  <c r="EC1137" i="1"/>
  <c r="EF1107" i="1"/>
  <c r="EJ1107" i="1" s="1"/>
  <c r="EC1105" i="1"/>
  <c r="EF1102" i="1"/>
  <c r="EJ1102" i="1" s="1"/>
  <c r="EC1184" i="1"/>
  <c r="EC1164" i="1"/>
  <c r="EE1131" i="1"/>
  <c r="EI1131" i="1" s="1"/>
  <c r="ED1083" i="1"/>
  <c r="EH1083" i="1" s="1"/>
  <c r="ED1080" i="1"/>
  <c r="EH1080" i="1" s="1"/>
  <c r="ED1133" i="1"/>
  <c r="EH1133" i="1" s="1"/>
  <c r="EE1112" i="1"/>
  <c r="EI1112" i="1" s="1"/>
  <c r="EF1095" i="1"/>
  <c r="EJ1095" i="1" s="1"/>
  <c r="EC1083" i="1"/>
  <c r="EC1080" i="1"/>
  <c r="ED1065" i="1"/>
  <c r="EH1065" i="1" s="1"/>
  <c r="EF1060" i="1"/>
  <c r="EJ1060" i="1" s="1"/>
  <c r="EF1119" i="1"/>
  <c r="EJ1119" i="1" s="1"/>
  <c r="EF1097" i="1"/>
  <c r="EJ1097" i="1" s="1"/>
  <c r="EC1065" i="1"/>
  <c r="EF1064" i="1"/>
  <c r="EJ1064" i="1" s="1"/>
  <c r="EE1060" i="1"/>
  <c r="EI1060" i="1" s="1"/>
  <c r="EE1107" i="1"/>
  <c r="EI1107" i="1" s="1"/>
  <c r="EE1097" i="1"/>
  <c r="EI1097" i="1" s="1"/>
  <c r="EE1079" i="1"/>
  <c r="EI1079" i="1" s="1"/>
  <c r="EE1064" i="1"/>
  <c r="EI1064" i="1" s="1"/>
  <c r="ED1060" i="1"/>
  <c r="EH1060" i="1" s="1"/>
  <c r="EF1052" i="1"/>
  <c r="EJ1052" i="1" s="1"/>
  <c r="EF1141" i="1"/>
  <c r="EJ1141" i="1" s="1"/>
  <c r="EE1129" i="1"/>
  <c r="EI1129" i="1" s="1"/>
  <c r="ED1097" i="1"/>
  <c r="EH1097" i="1" s="1"/>
  <c r="EE1089" i="1"/>
  <c r="EI1089" i="1" s="1"/>
  <c r="EF1087" i="1"/>
  <c r="EJ1087" i="1" s="1"/>
  <c r="ED1079" i="1"/>
  <c r="EH1079" i="1" s="1"/>
  <c r="ED1064" i="1"/>
  <c r="EH1064" i="1" s="1"/>
  <c r="EC1060" i="1"/>
  <c r="EE1052" i="1"/>
  <c r="EI1052" i="1" s="1"/>
  <c r="EF1136" i="1"/>
  <c r="EJ1136" i="1" s="1"/>
  <c r="EE1114" i="1"/>
  <c r="EI1114" i="1" s="1"/>
  <c r="EE1102" i="1"/>
  <c r="EI1102" i="1" s="1"/>
  <c r="EC1097" i="1"/>
  <c r="EC1089" i="1"/>
  <c r="EE1087" i="1"/>
  <c r="EI1087" i="1" s="1"/>
  <c r="EC1079" i="1"/>
  <c r="EC1064" i="1"/>
  <c r="EE1059" i="1"/>
  <c r="EI1059" i="1" s="1"/>
  <c r="EE1147" i="1"/>
  <c r="EI1147" i="1" s="1"/>
  <c r="EE1110" i="1"/>
  <c r="EI1110" i="1" s="1"/>
  <c r="EF1077" i="1"/>
  <c r="EJ1077" i="1" s="1"/>
  <c r="ED1039" i="1"/>
  <c r="EH1039" i="1" s="1"/>
  <c r="EE1024" i="1"/>
  <c r="EI1024" i="1" s="1"/>
  <c r="ED1023" i="1"/>
  <c r="EH1023" i="1" s="1"/>
  <c r="EF1021" i="1"/>
  <c r="EJ1021" i="1" s="1"/>
  <c r="EE1008" i="1"/>
  <c r="EI1008" i="1" s="1"/>
  <c r="EE1083" i="1"/>
  <c r="EI1083" i="1" s="1"/>
  <c r="EE1078" i="1"/>
  <c r="EI1078" i="1" s="1"/>
  <c r="EC1059" i="1"/>
  <c r="EC1039" i="1"/>
  <c r="EF1033" i="1"/>
  <c r="EJ1033" i="1" s="1"/>
  <c r="EF1017" i="1"/>
  <c r="EJ1017" i="1" s="1"/>
  <c r="ED1008" i="1"/>
  <c r="EH1008" i="1" s="1"/>
  <c r="EE1080" i="1"/>
  <c r="EI1080" i="1" s="1"/>
  <c r="EE1033" i="1"/>
  <c r="EI1033" i="1" s="1"/>
  <c r="EF1037" i="1"/>
  <c r="EJ1037" i="1" s="1"/>
  <c r="EF1035" i="1"/>
  <c r="EJ1035" i="1" s="1"/>
  <c r="ED1033" i="1"/>
  <c r="EH1033" i="1" s="1"/>
  <c r="EE1029" i="1"/>
  <c r="EI1029" i="1" s="1"/>
  <c r="EC1021" i="1"/>
  <c r="ED1019" i="1"/>
  <c r="EH1019" i="1" s="1"/>
  <c r="ED1017" i="1"/>
  <c r="EH1017" i="1" s="1"/>
  <c r="EE1014" i="1"/>
  <c r="EI1014" i="1" s="1"/>
  <c r="EF1011" i="1"/>
  <c r="EJ1011" i="1" s="1"/>
  <c r="EE1007" i="1"/>
  <c r="EI1007" i="1" s="1"/>
  <c r="ED1052" i="1"/>
  <c r="EH1052" i="1" s="1"/>
  <c r="EE1037" i="1"/>
  <c r="EI1037" i="1" s="1"/>
  <c r="EE1035" i="1"/>
  <c r="EI1035" i="1" s="1"/>
  <c r="EC1033" i="1"/>
  <c r="EF1030" i="1"/>
  <c r="EJ1030" i="1" s="1"/>
  <c r="EC1019" i="1"/>
  <c r="EC1017" i="1"/>
  <c r="ED1014" i="1"/>
  <c r="EH1014" i="1" s="1"/>
  <c r="EE1011" i="1"/>
  <c r="EI1011" i="1" s="1"/>
  <c r="ED1007" i="1"/>
  <c r="EH1007" i="1" s="1"/>
  <c r="ED1063" i="1"/>
  <c r="EH1063" i="1" s="1"/>
  <c r="ED1037" i="1"/>
  <c r="EH1037" i="1" s="1"/>
  <c r="EF1036" i="1"/>
  <c r="EJ1036" i="1" s="1"/>
  <c r="ED1035" i="1"/>
  <c r="EH1035" i="1" s="1"/>
  <c r="EE1030" i="1"/>
  <c r="EI1030" i="1" s="1"/>
  <c r="EC1029" i="1"/>
  <c r="EF1022" i="1"/>
  <c r="EJ1022" i="1" s="1"/>
  <c r="EC1014" i="1"/>
  <c r="EF1013" i="1"/>
  <c r="EJ1013" i="1" s="1"/>
  <c r="ED1011" i="1"/>
  <c r="EH1011" i="1" s="1"/>
  <c r="EC1007" i="1"/>
  <c r="EF1006" i="1"/>
  <c r="EJ1006" i="1" s="1"/>
  <c r="EF1065" i="1"/>
  <c r="EJ1065" i="1" s="1"/>
  <c r="EC1011" i="1"/>
  <c r="EF1094" i="1"/>
  <c r="EJ1094" i="1" s="1"/>
  <c r="EF1058" i="1"/>
  <c r="EJ1058" i="1" s="1"/>
  <c r="ED1048" i="1"/>
  <c r="EH1048" i="1" s="1"/>
  <c r="EE1039" i="1"/>
  <c r="EI1039" i="1" s="1"/>
  <c r="EF1038" i="1"/>
  <c r="EJ1038" i="1" s="1"/>
  <c r="EC1036" i="1"/>
  <c r="EC1030" i="1"/>
  <c r="EF1024" i="1"/>
  <c r="EJ1024" i="1" s="1"/>
  <c r="EE1023" i="1"/>
  <c r="EI1023" i="1" s="1"/>
  <c r="ED1022" i="1"/>
  <c r="EH1022" i="1" s="1"/>
  <c r="ED1020" i="1"/>
  <c r="EH1020" i="1" s="1"/>
  <c r="EE1010" i="1"/>
  <c r="EI1010" i="1" s="1"/>
  <c r="EE952" i="1"/>
  <c r="EI952" i="1" s="1"/>
  <c r="EF935" i="1"/>
  <c r="EJ935" i="1" s="1"/>
  <c r="ED1013" i="1"/>
  <c r="EH1013" i="1" s="1"/>
  <c r="ED952" i="1"/>
  <c r="EH952" i="1" s="1"/>
  <c r="EF954" i="1"/>
  <c r="EJ954" i="1" s="1"/>
  <c r="EF950" i="1"/>
  <c r="EJ950" i="1" s="1"/>
  <c r="EF1008" i="1"/>
  <c r="EJ1008" i="1" s="1"/>
  <c r="ED1006" i="1"/>
  <c r="EH1006" i="1" s="1"/>
  <c r="ED954" i="1"/>
  <c r="EH954" i="1" s="1"/>
  <c r="ED950" i="1"/>
  <c r="EH950" i="1" s="1"/>
  <c r="EE948" i="1"/>
  <c r="EI948" i="1" s="1"/>
  <c r="EF947" i="1"/>
  <c r="EJ947" i="1" s="1"/>
  <c r="EC933" i="1"/>
  <c r="EC954" i="1"/>
  <c r="EC950" i="1"/>
  <c r="ED948" i="1"/>
  <c r="EH948" i="1" s="1"/>
  <c r="EE947" i="1"/>
  <c r="EI947" i="1" s="1"/>
  <c r="EC948" i="1"/>
  <c r="ED947" i="1"/>
  <c r="EH947" i="1" s="1"/>
  <c r="EF952" i="1"/>
  <c r="EJ952" i="1" s="1"/>
  <c r="EC947" i="1"/>
  <c r="EC932" i="1"/>
  <c r="EE921" i="1"/>
  <c r="EI921" i="1" s="1"/>
  <c r="EF918" i="1"/>
  <c r="EJ918" i="1" s="1"/>
  <c r="EF839" i="1"/>
  <c r="EJ839" i="1" s="1"/>
  <c r="EF934" i="1"/>
  <c r="EJ934" i="1" s="1"/>
  <c r="EF932" i="1"/>
  <c r="EJ932" i="1" s="1"/>
  <c r="ED921" i="1"/>
  <c r="EH921" i="1" s="1"/>
  <c r="EE918" i="1"/>
  <c r="EI918" i="1" s="1"/>
  <c r="EF909" i="1"/>
  <c r="EJ909" i="1" s="1"/>
  <c r="EF897" i="1"/>
  <c r="EJ897" i="1" s="1"/>
  <c r="EE932" i="1"/>
  <c r="EI932" i="1" s="1"/>
  <c r="ED932" i="1"/>
  <c r="EH932" i="1" s="1"/>
  <c r="EF925" i="1"/>
  <c r="EJ925" i="1" s="1"/>
  <c r="EC918" i="1"/>
  <c r="EF917" i="1"/>
  <c r="EJ917" i="1" s="1"/>
  <c r="ED909" i="1"/>
  <c r="EH909" i="1" s="1"/>
  <c r="EF907" i="1"/>
  <c r="EJ907" i="1" s="1"/>
  <c r="EF904" i="1"/>
  <c r="EJ904" i="1" s="1"/>
  <c r="EF902" i="1"/>
  <c r="EJ902" i="1" s="1"/>
  <c r="EF929" i="1"/>
  <c r="EJ929" i="1" s="1"/>
  <c r="EE928" i="1"/>
  <c r="EI928" i="1" s="1"/>
  <c r="EE925" i="1"/>
  <c r="EI925" i="1" s="1"/>
  <c r="EC923" i="1"/>
  <c r="EF922" i="1"/>
  <c r="EJ922" i="1" s="1"/>
  <c r="ED920" i="1"/>
  <c r="EH920" i="1" s="1"/>
  <c r="EE917" i="1"/>
  <c r="EI917" i="1" s="1"/>
  <c r="EC909" i="1"/>
  <c r="EE907" i="1"/>
  <c r="EI907" i="1" s="1"/>
  <c r="EE904" i="1"/>
  <c r="EI904" i="1" s="1"/>
  <c r="EE902" i="1"/>
  <c r="EI902" i="1" s="1"/>
  <c r="EE929" i="1"/>
  <c r="EI929" i="1" s="1"/>
  <c r="EC928" i="1"/>
  <c r="ED925" i="1"/>
  <c r="EH925" i="1" s="1"/>
  <c r="EE922" i="1"/>
  <c r="EI922" i="1" s="1"/>
  <c r="EC920" i="1"/>
  <c r="EF919" i="1"/>
  <c r="EJ919" i="1" s="1"/>
  <c r="ED917" i="1"/>
  <c r="EH917" i="1" s="1"/>
  <c r="ED907" i="1"/>
  <c r="EH907" i="1" s="1"/>
  <c r="EC907" i="1"/>
  <c r="EC904" i="1"/>
  <c r="EF903" i="1"/>
  <c r="EJ903" i="1" s="1"/>
  <c r="EC902" i="1"/>
  <c r="EC876" i="1"/>
  <c r="EF921" i="1"/>
  <c r="EJ921" i="1" s="1"/>
  <c r="EC871" i="1"/>
  <c r="EF867" i="1"/>
  <c r="EJ867" i="1" s="1"/>
  <c r="EE870" i="1"/>
  <c r="EI870" i="1" s="1"/>
  <c r="EE866" i="1"/>
  <c r="EI866" i="1" s="1"/>
  <c r="ED836" i="1"/>
  <c r="EH836" i="1" s="1"/>
  <c r="ED870" i="1"/>
  <c r="EH870" i="1" s="1"/>
  <c r="ED866" i="1"/>
  <c r="EH866" i="1" s="1"/>
  <c r="ED844" i="1"/>
  <c r="EH844" i="1" s="1"/>
  <c r="EC836" i="1"/>
  <c r="EC828" i="1"/>
  <c r="ED902" i="1"/>
  <c r="EH902" i="1" s="1"/>
  <c r="ED897" i="1"/>
  <c r="EH897" i="1" s="1"/>
  <c r="ED874" i="1"/>
  <c r="EH874" i="1" s="1"/>
  <c r="EC870" i="1"/>
  <c r="EC866" i="1"/>
  <c r="EF862" i="1"/>
  <c r="EJ862" i="1" s="1"/>
  <c r="ED846" i="1"/>
  <c r="EH846" i="1" s="1"/>
  <c r="EC844" i="1"/>
  <c r="EC839" i="1"/>
  <c r="EC897" i="1"/>
  <c r="EC874" i="1"/>
  <c r="EF868" i="1"/>
  <c r="EJ868" i="1" s="1"/>
  <c r="EF865" i="1"/>
  <c r="EJ865" i="1" s="1"/>
  <c r="EE862" i="1"/>
  <c r="EI862" i="1" s="1"/>
  <c r="EF858" i="1"/>
  <c r="EJ858" i="1" s="1"/>
  <c r="ED854" i="1"/>
  <c r="EH854" i="1" s="1"/>
  <c r="ED848" i="1"/>
  <c r="EH848" i="1" s="1"/>
  <c r="EC846" i="1"/>
  <c r="ED904" i="1"/>
  <c r="EH904" i="1" s="1"/>
  <c r="EF876" i="1"/>
  <c r="EJ876" i="1" s="1"/>
  <c r="EF871" i="1"/>
  <c r="EJ871" i="1" s="1"/>
  <c r="EE868" i="1"/>
  <c r="EI868" i="1" s="1"/>
  <c r="ED862" i="1"/>
  <c r="EH862" i="1" s="1"/>
  <c r="EE858" i="1"/>
  <c r="EI858" i="1" s="1"/>
  <c r="EC854" i="1"/>
  <c r="EF853" i="1"/>
  <c r="EJ853" i="1" s="1"/>
  <c r="EC848" i="1"/>
  <c r="EF843" i="1"/>
  <c r="EJ843" i="1" s="1"/>
  <c r="EE841" i="1"/>
  <c r="EI841" i="1" s="1"/>
  <c r="EF834" i="1"/>
  <c r="EJ834" i="1" s="1"/>
  <c r="EE831" i="1"/>
  <c r="EI831" i="1" s="1"/>
  <c r="EE876" i="1"/>
  <c r="EI876" i="1" s="1"/>
  <c r="EE871" i="1"/>
  <c r="EI871" i="1" s="1"/>
  <c r="EC859" i="1"/>
  <c r="ED858" i="1"/>
  <c r="EH858" i="1" s="1"/>
  <c r="EF855" i="1"/>
  <c r="EJ855" i="1" s="1"/>
  <c r="ED841" i="1"/>
  <c r="EH841" i="1" s="1"/>
  <c r="ED831" i="1"/>
  <c r="EH831" i="1" s="1"/>
  <c r="ED876" i="1"/>
  <c r="EH876" i="1" s="1"/>
  <c r="EF863" i="1"/>
  <c r="EJ863" i="1" s="1"/>
  <c r="ED856" i="1"/>
  <c r="EH856" i="1" s="1"/>
  <c r="EE855" i="1"/>
  <c r="EI855" i="1" s="1"/>
  <c r="EC841" i="1"/>
  <c r="EC837" i="1"/>
  <c r="EF836" i="1"/>
  <c r="EJ836" i="1" s="1"/>
  <c r="ED834" i="1"/>
  <c r="EH834" i="1" s="1"/>
  <c r="EC831" i="1"/>
  <c r="EF828" i="1"/>
  <c r="EJ828" i="1" s="1"/>
  <c r="EC892" i="1"/>
  <c r="EE863" i="1"/>
  <c r="EI863" i="1" s="1"/>
  <c r="EC856" i="1"/>
  <c r="EE836" i="1"/>
  <c r="EI836" i="1" s="1"/>
  <c r="EE828" i="1"/>
  <c r="EI828" i="1" s="1"/>
  <c r="ED820" i="1"/>
  <c r="EH820" i="1" s="1"/>
  <c r="EC820" i="1"/>
  <c r="EE818" i="1"/>
  <c r="EI818" i="1" s="1"/>
  <c r="EE804" i="1"/>
  <c r="EF817" i="1"/>
  <c r="EJ817" i="1" s="1"/>
  <c r="EF772" i="1"/>
  <c r="EJ772" i="1" s="1"/>
  <c r="EC771" i="1"/>
  <c r="ED753" i="1"/>
  <c r="EH753" i="1" s="1"/>
  <c r="ED822" i="1"/>
  <c r="EH822" i="1" s="1"/>
  <c r="EF820" i="1"/>
  <c r="EJ820" i="1" s="1"/>
  <c r="EC816" i="1"/>
  <c r="ED815" i="1"/>
  <c r="EH815" i="1" s="1"/>
  <c r="ED808" i="1"/>
  <c r="EH808" i="1" s="1"/>
  <c r="EE800" i="1"/>
  <c r="EI800" i="1" s="1"/>
  <c r="EE796" i="1"/>
  <c r="EI796" i="1" s="1"/>
  <c r="EC822" i="1"/>
  <c r="EE820" i="1"/>
  <c r="EI820" i="1" s="1"/>
  <c r="EC808" i="1"/>
  <c r="ED796" i="1"/>
  <c r="EH796" i="1" s="1"/>
  <c r="EC814" i="1"/>
  <c r="EC776" i="1"/>
  <c r="EF756" i="1"/>
  <c r="EJ756" i="1" s="1"/>
  <c r="EE755" i="1"/>
  <c r="EI755" i="1" s="1"/>
  <c r="EC749" i="1"/>
  <c r="EE739" i="1"/>
  <c r="EI739" i="1" s="1"/>
  <c r="EC735" i="1"/>
  <c r="EF796" i="1"/>
  <c r="EJ796" i="1" s="1"/>
  <c r="EE795" i="1"/>
  <c r="EI795" i="1" s="1"/>
  <c r="EF771" i="1"/>
  <c r="EJ771" i="1" s="1"/>
  <c r="EE756" i="1"/>
  <c r="EI756" i="1" s="1"/>
  <c r="ED755" i="1"/>
  <c r="EH755" i="1" s="1"/>
  <c r="EF746" i="1"/>
  <c r="EJ746" i="1" s="1"/>
  <c r="ED739" i="1"/>
  <c r="EH739" i="1" s="1"/>
  <c r="EF692" i="1"/>
  <c r="EJ692" i="1" s="1"/>
  <c r="ED676" i="1"/>
  <c r="EH676" i="1" s="1"/>
  <c r="EF827" i="1"/>
  <c r="EJ827" i="1" s="1"/>
  <c r="EE808" i="1"/>
  <c r="EC772" i="1"/>
  <c r="EE771" i="1"/>
  <c r="EI771" i="1" s="1"/>
  <c r="EC755" i="1"/>
  <c r="ED816" i="1"/>
  <c r="EH816" i="1" s="1"/>
  <c r="ED771" i="1"/>
  <c r="EH771" i="1" s="1"/>
  <c r="EE775" i="1"/>
  <c r="EI775" i="1" s="1"/>
  <c r="ED747" i="1"/>
  <c r="EH747" i="1" s="1"/>
  <c r="ED733" i="1"/>
  <c r="EH733" i="1" s="1"/>
  <c r="EC730" i="1"/>
  <c r="EC728" i="1"/>
  <c r="ED726" i="1"/>
  <c r="EH726" i="1" s="1"/>
  <c r="ED717" i="1"/>
  <c r="EH717" i="1" s="1"/>
  <c r="EC715" i="1"/>
  <c r="ED694" i="1"/>
  <c r="EH694" i="1" s="1"/>
  <c r="EC692" i="1"/>
  <c r="EF688" i="1"/>
  <c r="EJ688" i="1" s="1"/>
  <c r="ED684" i="1"/>
  <c r="EH684" i="1" s="1"/>
  <c r="EE822" i="1"/>
  <c r="EI822" i="1" s="1"/>
  <c r="EC777" i="1"/>
  <c r="EF776" i="1"/>
  <c r="EJ776" i="1" s="1"/>
  <c r="ED775" i="1"/>
  <c r="EH775" i="1" s="1"/>
  <c r="ED773" i="1"/>
  <c r="EH773" i="1" s="1"/>
  <c r="EE750" i="1"/>
  <c r="EI750" i="1" s="1"/>
  <c r="EF749" i="1"/>
  <c r="EJ749" i="1" s="1"/>
  <c r="EC747" i="1"/>
  <c r="EF735" i="1"/>
  <c r="EJ735" i="1" s="1"/>
  <c r="EE815" i="1"/>
  <c r="EI815" i="1" s="1"/>
  <c r="EF800" i="1"/>
  <c r="EJ800" i="1" s="1"/>
  <c r="EE776" i="1"/>
  <c r="EI776" i="1" s="1"/>
  <c r="ED750" i="1"/>
  <c r="EH750" i="1" s="1"/>
  <c r="EE749" i="1"/>
  <c r="EI749" i="1" s="1"/>
  <c r="EF748" i="1"/>
  <c r="EJ748" i="1" s="1"/>
  <c r="EE735" i="1"/>
  <c r="EI735" i="1" s="1"/>
  <c r="ED776" i="1"/>
  <c r="EH776" i="1" s="1"/>
  <c r="EF774" i="1"/>
  <c r="EJ774" i="1" s="1"/>
  <c r="EC753" i="1"/>
  <c r="EC750" i="1"/>
  <c r="ED749" i="1"/>
  <c r="EH749" i="1" s="1"/>
  <c r="EE748" i="1"/>
  <c r="EI748" i="1" s="1"/>
  <c r="ED735" i="1"/>
  <c r="EH735" i="1" s="1"/>
  <c r="EE732" i="1"/>
  <c r="EI732" i="1" s="1"/>
  <c r="EC726" i="1"/>
  <c r="EC717" i="1"/>
  <c r="EE691" i="1"/>
  <c r="EI691" i="1" s="1"/>
  <c r="EE688" i="1"/>
  <c r="EI688" i="1" s="1"/>
  <c r="EF676" i="1"/>
  <c r="ED636" i="1"/>
  <c r="EH636" i="1" s="1"/>
  <c r="ED634" i="1"/>
  <c r="EH634" i="1" s="1"/>
  <c r="EC605" i="1"/>
  <c r="ED569" i="1"/>
  <c r="EH569" i="1" s="1"/>
  <c r="ED546" i="1"/>
  <c r="EH546" i="1" s="1"/>
  <c r="EF731" i="1"/>
  <c r="EJ731" i="1" s="1"/>
  <c r="ED691" i="1"/>
  <c r="EH691" i="1" s="1"/>
  <c r="ED688" i="1"/>
  <c r="EH688" i="1" s="1"/>
  <c r="EC684" i="1"/>
  <c r="EC677" i="1"/>
  <c r="EC636" i="1"/>
  <c r="ED613" i="1"/>
  <c r="EH613" i="1" s="1"/>
  <c r="EC611" i="1"/>
  <c r="EF725" i="1"/>
  <c r="EJ725" i="1" s="1"/>
  <c r="EF714" i="1"/>
  <c r="EJ714" i="1" s="1"/>
  <c r="EF702" i="1"/>
  <c r="EJ702" i="1" s="1"/>
  <c r="EC691" i="1"/>
  <c r="EC688" i="1"/>
  <c r="EC613" i="1"/>
  <c r="ED607" i="1"/>
  <c r="EH607" i="1" s="1"/>
  <c r="ED577" i="1"/>
  <c r="EH577" i="1" s="1"/>
  <c r="EE572" i="1"/>
  <c r="EI572" i="1" s="1"/>
  <c r="EE568" i="1"/>
  <c r="EI568" i="1" s="1"/>
  <c r="EE552" i="1"/>
  <c r="EI552" i="1" s="1"/>
  <c r="EF739" i="1"/>
  <c r="EJ739" i="1" s="1"/>
  <c r="ED731" i="1"/>
  <c r="EH731" i="1" s="1"/>
  <c r="EE714" i="1"/>
  <c r="EI714" i="1" s="1"/>
  <c r="ED706" i="1"/>
  <c r="EH706" i="1" s="1"/>
  <c r="EF687" i="1"/>
  <c r="EJ687" i="1" s="1"/>
  <c r="EE678" i="1"/>
  <c r="EI678" i="1" s="1"/>
  <c r="EC657" i="1"/>
  <c r="EE653" i="1"/>
  <c r="EI653" i="1" s="1"/>
  <c r="EE643" i="1"/>
  <c r="EI643" i="1" s="1"/>
  <c r="EE637" i="1"/>
  <c r="EI637" i="1" s="1"/>
  <c r="EE630" i="1"/>
  <c r="EI630" i="1" s="1"/>
  <c r="EC628" i="1"/>
  <c r="EF626" i="1"/>
  <c r="EJ626" i="1" s="1"/>
  <c r="EE615" i="1"/>
  <c r="EI615" i="1" s="1"/>
  <c r="EF609" i="1"/>
  <c r="EJ609" i="1" s="1"/>
  <c r="EC607" i="1"/>
  <c r="ED714" i="1"/>
  <c r="EH714" i="1" s="1"/>
  <c r="EF693" i="1"/>
  <c r="EJ693" i="1" s="1"/>
  <c r="ED678" i="1"/>
  <c r="EH678" i="1" s="1"/>
  <c r="EF665" i="1"/>
  <c r="EJ665" i="1" s="1"/>
  <c r="ED653" i="1"/>
  <c r="EH653" i="1" s="1"/>
  <c r="ED643" i="1"/>
  <c r="EH643" i="1" s="1"/>
  <c r="EF635" i="1"/>
  <c r="EJ635" i="1" s="1"/>
  <c r="ED630" i="1"/>
  <c r="EH630" i="1" s="1"/>
  <c r="EE626" i="1"/>
  <c r="EI626" i="1" s="1"/>
  <c r="ED615" i="1"/>
  <c r="EH615" i="1" s="1"/>
  <c r="EE609" i="1"/>
  <c r="EI609" i="1" s="1"/>
  <c r="EC591" i="1"/>
  <c r="EE578" i="1"/>
  <c r="EI578" i="1" s="1"/>
  <c r="EE573" i="1"/>
  <c r="EI573" i="1" s="1"/>
  <c r="EE693" i="1"/>
  <c r="EI693" i="1" s="1"/>
  <c r="EC678" i="1"/>
  <c r="EE665" i="1"/>
  <c r="EI665" i="1" s="1"/>
  <c r="EC653" i="1"/>
  <c r="EC643" i="1"/>
  <c r="EE635" i="1"/>
  <c r="EI635" i="1" s="1"/>
  <c r="EC630" i="1"/>
  <c r="ED626" i="1"/>
  <c r="EH626" i="1" s="1"/>
  <c r="EC615" i="1"/>
  <c r="EC529" i="1"/>
  <c r="EC733" i="1"/>
  <c r="ED705" i="1"/>
  <c r="EH705" i="1" s="1"/>
  <c r="EC694" i="1"/>
  <c r="EE668" i="1"/>
  <c r="ED635" i="1"/>
  <c r="EH635" i="1" s="1"/>
  <c r="EF634" i="1"/>
  <c r="EJ634" i="1" s="1"/>
  <c r="EC626" i="1"/>
  <c r="EF611" i="1"/>
  <c r="EJ611" i="1" s="1"/>
  <c r="EC609" i="1"/>
  <c r="EE605" i="1"/>
  <c r="EI605" i="1" s="1"/>
  <c r="EC578" i="1"/>
  <c r="EF569" i="1"/>
  <c r="EJ569" i="1" s="1"/>
  <c r="EF732" i="1"/>
  <c r="EJ732" i="1" s="1"/>
  <c r="EF613" i="1"/>
  <c r="EJ613" i="1" s="1"/>
  <c r="ED605" i="1"/>
  <c r="EH605" i="1" s="1"/>
  <c r="EF587" i="1"/>
  <c r="EJ587" i="1" s="1"/>
  <c r="EE569" i="1"/>
  <c r="EI569" i="1" s="1"/>
  <c r="EC572" i="1"/>
  <c r="EE546" i="1"/>
  <c r="EI546" i="1" s="1"/>
  <c r="EE541" i="1"/>
  <c r="EI541" i="1" s="1"/>
  <c r="EC470" i="1"/>
  <c r="EC467" i="1"/>
  <c r="EC457" i="1"/>
  <c r="EE450" i="1"/>
  <c r="EI450" i="1" s="1"/>
  <c r="EC440" i="1"/>
  <c r="EF431" i="1"/>
  <c r="EJ431" i="1" s="1"/>
  <c r="EC422" i="1"/>
  <c r="EC416" i="1"/>
  <c r="EF548" i="1"/>
  <c r="EJ548" i="1" s="1"/>
  <c r="ED541" i="1"/>
  <c r="EH541" i="1" s="1"/>
  <c r="EF538" i="1"/>
  <c r="EJ538" i="1" s="1"/>
  <c r="EC520" i="1"/>
  <c r="EF494" i="1"/>
  <c r="EJ494" i="1" s="1"/>
  <c r="EF464" i="1"/>
  <c r="EJ464" i="1" s="1"/>
  <c r="EF459" i="1"/>
  <c r="EJ459" i="1" s="1"/>
  <c r="EC451" i="1"/>
  <c r="ED450" i="1"/>
  <c r="EH450" i="1" s="1"/>
  <c r="EF447" i="1"/>
  <c r="EJ447" i="1" s="1"/>
  <c r="EF438" i="1"/>
  <c r="EJ438" i="1" s="1"/>
  <c r="EF433" i="1"/>
  <c r="EJ433" i="1" s="1"/>
  <c r="EE431" i="1"/>
  <c r="EI431" i="1" s="1"/>
  <c r="ED417" i="1"/>
  <c r="EH417" i="1" s="1"/>
  <c r="ED591" i="1"/>
  <c r="EH591" i="1" s="1"/>
  <c r="ED568" i="1"/>
  <c r="EH568" i="1" s="1"/>
  <c r="EF558" i="1"/>
  <c r="EJ558" i="1" s="1"/>
  <c r="ED552" i="1"/>
  <c r="EH552" i="1" s="1"/>
  <c r="EC541" i="1"/>
  <c r="EF528" i="1"/>
  <c r="EJ528" i="1" s="1"/>
  <c r="EF578" i="1"/>
  <c r="EJ578" i="1" s="1"/>
  <c r="EC568" i="1"/>
  <c r="EC552" i="1"/>
  <c r="EC538" i="1"/>
  <c r="EF529" i="1"/>
  <c r="EJ529" i="1" s="1"/>
  <c r="EE528" i="1"/>
  <c r="EI528" i="1" s="1"/>
  <c r="EE512" i="1"/>
  <c r="EI512" i="1" s="1"/>
  <c r="EF495" i="1"/>
  <c r="EJ495" i="1" s="1"/>
  <c r="ED494" i="1"/>
  <c r="EH494" i="1" s="1"/>
  <c r="EF460" i="1"/>
  <c r="EJ460" i="1" s="1"/>
  <c r="EF456" i="1"/>
  <c r="EJ456" i="1" s="1"/>
  <c r="EF439" i="1"/>
  <c r="EJ439" i="1" s="1"/>
  <c r="ED438" i="1"/>
  <c r="EH438" i="1" s="1"/>
  <c r="ED433" i="1"/>
  <c r="EH433" i="1" s="1"/>
  <c r="EC431" i="1"/>
  <c r="EE529" i="1"/>
  <c r="EI529" i="1" s="1"/>
  <c r="ED528" i="1"/>
  <c r="EH528" i="1" s="1"/>
  <c r="ED512" i="1"/>
  <c r="EH512" i="1" s="1"/>
  <c r="EF501" i="1"/>
  <c r="EJ501" i="1" s="1"/>
  <c r="EE495" i="1"/>
  <c r="EI495" i="1" s="1"/>
  <c r="EC494" i="1"/>
  <c r="EE460" i="1"/>
  <c r="EI460" i="1" s="1"/>
  <c r="EE456" i="1"/>
  <c r="EI456" i="1" s="1"/>
  <c r="EE439" i="1"/>
  <c r="EI439" i="1" s="1"/>
  <c r="EF573" i="1"/>
  <c r="EJ573" i="1" s="1"/>
  <c r="EC563" i="1"/>
  <c r="EF532" i="1"/>
  <c r="EJ532" i="1" s="1"/>
  <c r="ED529" i="1"/>
  <c r="EH529" i="1" s="1"/>
  <c r="EE501" i="1"/>
  <c r="EI501" i="1" s="1"/>
  <c r="ED495" i="1"/>
  <c r="EH495" i="1" s="1"/>
  <c r="EF485" i="1"/>
  <c r="EJ485" i="1" s="1"/>
  <c r="EF476" i="1"/>
  <c r="EJ476" i="1" s="1"/>
  <c r="EF470" i="1"/>
  <c r="EJ470" i="1" s="1"/>
  <c r="ED469" i="1"/>
  <c r="EH469" i="1" s="1"/>
  <c r="EF467" i="1"/>
  <c r="EJ467" i="1" s="1"/>
  <c r="ED460" i="1"/>
  <c r="EH460" i="1" s="1"/>
  <c r="EF457" i="1"/>
  <c r="EJ457" i="1" s="1"/>
  <c r="ED456" i="1"/>
  <c r="EH456" i="1" s="1"/>
  <c r="EE454" i="1"/>
  <c r="EI454" i="1" s="1"/>
  <c r="EC453" i="1"/>
  <c r="EC446" i="1"/>
  <c r="EF440" i="1"/>
  <c r="EJ440" i="1" s="1"/>
  <c r="ED439" i="1"/>
  <c r="EH439" i="1" s="1"/>
  <c r="EE435" i="1"/>
  <c r="EI435" i="1" s="1"/>
  <c r="EF425" i="1"/>
  <c r="EJ425" i="1" s="1"/>
  <c r="EF422" i="1"/>
  <c r="EJ422" i="1" s="1"/>
  <c r="EC419" i="1"/>
  <c r="EF416" i="1"/>
  <c r="EJ416" i="1" s="1"/>
  <c r="EC407" i="1"/>
  <c r="EE404" i="1"/>
  <c r="EI404" i="1" s="1"/>
  <c r="EC403" i="1"/>
  <c r="EC577" i="1"/>
  <c r="ED532" i="1"/>
  <c r="EH532" i="1" s="1"/>
  <c r="EF520" i="1"/>
  <c r="EJ520" i="1" s="1"/>
  <c r="EF515" i="1"/>
  <c r="EJ515" i="1" s="1"/>
  <c r="EE514" i="1"/>
  <c r="EI514" i="1" s="1"/>
  <c r="EE503" i="1"/>
  <c r="EI503" i="1" s="1"/>
  <c r="ED501" i="1"/>
  <c r="EH501" i="1" s="1"/>
  <c r="EC495" i="1"/>
  <c r="EE492" i="1"/>
  <c r="EI492" i="1" s="1"/>
  <c r="EE485" i="1"/>
  <c r="EI485" i="1" s="1"/>
  <c r="EE476" i="1"/>
  <c r="EI476" i="1" s="1"/>
  <c r="EE470" i="1"/>
  <c r="EI470" i="1" s="1"/>
  <c r="EC469" i="1"/>
  <c r="EE467" i="1"/>
  <c r="EI467" i="1" s="1"/>
  <c r="EC460" i="1"/>
  <c r="EE457" i="1"/>
  <c r="EI457" i="1" s="1"/>
  <c r="EC456" i="1"/>
  <c r="ED454" i="1"/>
  <c r="EH454" i="1" s="1"/>
  <c r="EF451" i="1"/>
  <c r="EJ451" i="1" s="1"/>
  <c r="EE440" i="1"/>
  <c r="EI440" i="1" s="1"/>
  <c r="EC439" i="1"/>
  <c r="ED435" i="1"/>
  <c r="EH435" i="1" s="1"/>
  <c r="EE422" i="1"/>
  <c r="EI422" i="1" s="1"/>
  <c r="EE416" i="1"/>
  <c r="EI416" i="1" s="1"/>
  <c r="ED404" i="1"/>
  <c r="EH404" i="1" s="1"/>
  <c r="EE393" i="1"/>
  <c r="EI393" i="1" s="1"/>
  <c r="ED572" i="1"/>
  <c r="EH572" i="1" s="1"/>
  <c r="EF546" i="1"/>
  <c r="EJ546" i="1" s="1"/>
  <c r="EC532" i="1"/>
  <c r="EE520" i="1"/>
  <c r="EI520" i="1" s="1"/>
  <c r="EE515" i="1"/>
  <c r="EI515" i="1" s="1"/>
  <c r="ED514" i="1"/>
  <c r="EH514" i="1" s="1"/>
  <c r="EF513" i="1"/>
  <c r="EJ513" i="1" s="1"/>
  <c r="ED503" i="1"/>
  <c r="EH503" i="1" s="1"/>
  <c r="EC501" i="1"/>
  <c r="EF493" i="1"/>
  <c r="EJ493" i="1" s="1"/>
  <c r="ED492" i="1"/>
  <c r="EH492" i="1" s="1"/>
  <c r="ED485" i="1"/>
  <c r="EH485" i="1" s="1"/>
  <c r="ED476" i="1"/>
  <c r="EH476" i="1" s="1"/>
  <c r="EF471" i="1"/>
  <c r="EJ471" i="1" s="1"/>
  <c r="ED470" i="1"/>
  <c r="EH470" i="1" s="1"/>
  <c r="ED467" i="1"/>
  <c r="EH467" i="1" s="1"/>
  <c r="ED416" i="1"/>
  <c r="EH416" i="1" s="1"/>
  <c r="ED394" i="1"/>
  <c r="EH394" i="1" s="1"/>
  <c r="EC386" i="1"/>
  <c r="EC376" i="1"/>
  <c r="EE373" i="1"/>
  <c r="EI373" i="1" s="1"/>
  <c r="EC372" i="1"/>
  <c r="ED367" i="1"/>
  <c r="EH367" i="1" s="1"/>
  <c r="EC298" i="1"/>
  <c r="ED440" i="1"/>
  <c r="EH440" i="1" s="1"/>
  <c r="EC394" i="1"/>
  <c r="EF393" i="1"/>
  <c r="EJ393" i="1" s="1"/>
  <c r="EF374" i="1"/>
  <c r="EJ374" i="1" s="1"/>
  <c r="ED373" i="1"/>
  <c r="EH373" i="1" s="1"/>
  <c r="EF370" i="1"/>
  <c r="EJ370" i="1" s="1"/>
  <c r="EC367" i="1"/>
  <c r="EF359" i="1"/>
  <c r="EJ359" i="1" s="1"/>
  <c r="EC357" i="1"/>
  <c r="EF303" i="1"/>
  <c r="EJ303" i="1" s="1"/>
  <c r="EF277" i="1"/>
  <c r="EJ277" i="1" s="1"/>
  <c r="EC265" i="1"/>
  <c r="EF463" i="1"/>
  <c r="EJ463" i="1" s="1"/>
  <c r="ED457" i="1"/>
  <c r="EH457" i="1" s="1"/>
  <c r="EC435" i="1"/>
  <c r="ED425" i="1"/>
  <c r="EH425" i="1" s="1"/>
  <c r="EE405" i="1"/>
  <c r="EI405" i="1" s="1"/>
  <c r="EE397" i="1"/>
  <c r="EI397" i="1" s="1"/>
  <c r="ED393" i="1"/>
  <c r="EH393" i="1" s="1"/>
  <c r="EF389" i="1"/>
  <c r="EJ389" i="1" s="1"/>
  <c r="EE383" i="1"/>
  <c r="EI383" i="1" s="1"/>
  <c r="ED382" i="1"/>
  <c r="EH382" i="1" s="1"/>
  <c r="EC373" i="1"/>
  <c r="EE303" i="1"/>
  <c r="EI303" i="1" s="1"/>
  <c r="ED297" i="1"/>
  <c r="EH297" i="1" s="1"/>
  <c r="EF458" i="1"/>
  <c r="EJ458" i="1" s="1"/>
  <c r="EF437" i="1"/>
  <c r="EJ437" i="1" s="1"/>
  <c r="EF417" i="1"/>
  <c r="EJ417" i="1" s="1"/>
  <c r="EC404" i="1"/>
  <c r="EC397" i="1"/>
  <c r="EC393" i="1"/>
  <c r="EF311" i="1"/>
  <c r="EJ311" i="1" s="1"/>
  <c r="EC454" i="1"/>
  <c r="EE451" i="1"/>
  <c r="EI451" i="1" s="1"/>
  <c r="EF390" i="1"/>
  <c r="EJ390" i="1" s="1"/>
  <c r="ED389" i="1"/>
  <c r="EH389" i="1" s="1"/>
  <c r="EE385" i="1"/>
  <c r="EI385" i="1" s="1"/>
  <c r="EC383" i="1"/>
  <c r="EF361" i="1"/>
  <c r="EJ361" i="1" s="1"/>
  <c r="EF432" i="1"/>
  <c r="EJ432" i="1" s="1"/>
  <c r="EE390" i="1"/>
  <c r="EI390" i="1" s="1"/>
  <c r="EC389" i="1"/>
  <c r="EF386" i="1"/>
  <c r="EJ386" i="1" s="1"/>
  <c r="ED385" i="1"/>
  <c r="EH385" i="1" s="1"/>
  <c r="EC384" i="1"/>
  <c r="EF376" i="1"/>
  <c r="EJ376" i="1" s="1"/>
  <c r="ED375" i="1"/>
  <c r="EH375" i="1" s="1"/>
  <c r="EF372" i="1"/>
  <c r="EJ372" i="1" s="1"/>
  <c r="ED371" i="1"/>
  <c r="EH371" i="1" s="1"/>
  <c r="EE361" i="1"/>
  <c r="EI361" i="1" s="1"/>
  <c r="EE356" i="1"/>
  <c r="EI356" i="1" s="1"/>
  <c r="EE351" i="1"/>
  <c r="EI351" i="1" s="1"/>
  <c r="EF298" i="1"/>
  <c r="EJ298" i="1" s="1"/>
  <c r="EC288" i="1"/>
  <c r="EE427" i="1"/>
  <c r="EI427" i="1" s="1"/>
  <c r="ED422" i="1"/>
  <c r="EH422" i="1" s="1"/>
  <c r="EF394" i="1"/>
  <c r="EJ394" i="1" s="1"/>
  <c r="EF391" i="1"/>
  <c r="EJ391" i="1" s="1"/>
  <c r="ED390" i="1"/>
  <c r="EH390" i="1" s="1"/>
  <c r="EE386" i="1"/>
  <c r="EI386" i="1" s="1"/>
  <c r="EC385" i="1"/>
  <c r="EE376" i="1"/>
  <c r="EI376" i="1" s="1"/>
  <c r="EC375" i="1"/>
  <c r="EE372" i="1"/>
  <c r="EI372" i="1" s="1"/>
  <c r="EC371" i="1"/>
  <c r="ED361" i="1"/>
  <c r="EH361" i="1" s="1"/>
  <c r="ED356" i="1"/>
  <c r="EH356" i="1" s="1"/>
  <c r="ED351" i="1"/>
  <c r="EH351" i="1" s="1"/>
  <c r="EE298" i="1"/>
  <c r="EI298" i="1" s="1"/>
  <c r="EF450" i="1"/>
  <c r="EJ450" i="1" s="1"/>
  <c r="EE394" i="1"/>
  <c r="EI394" i="1" s="1"/>
  <c r="EE391" i="1"/>
  <c r="EI391" i="1" s="1"/>
  <c r="EC390" i="1"/>
  <c r="ED386" i="1"/>
  <c r="EH386" i="1" s="1"/>
  <c r="EE380" i="1"/>
  <c r="EI380" i="1" s="1"/>
  <c r="ED376" i="1"/>
  <c r="EH376" i="1" s="1"/>
  <c r="EF373" i="1"/>
  <c r="EJ373" i="1" s="1"/>
  <c r="ED372" i="1"/>
  <c r="EH372" i="1" s="1"/>
  <c r="EE367" i="1"/>
  <c r="EI367" i="1" s="1"/>
  <c r="EC361" i="1"/>
  <c r="EE357" i="1"/>
  <c r="EI357" i="1" s="1"/>
  <c r="EC356" i="1"/>
  <c r="EC351" i="1"/>
  <c r="ED298" i="1"/>
  <c r="EH298" i="1" s="1"/>
  <c r="ED267" i="1"/>
  <c r="EH267" i="1" s="1"/>
  <c r="EE284" i="1"/>
  <c r="EI284" i="1" s="1"/>
  <c r="ED278" i="1"/>
  <c r="EH278" i="1" s="1"/>
  <c r="ED250" i="1"/>
  <c r="EH250" i="1" s="1"/>
  <c r="EE241" i="1"/>
  <c r="EI241" i="1" s="1"/>
  <c r="EF239" i="1"/>
  <c r="EJ239" i="1" s="1"/>
  <c r="EC230" i="1"/>
  <c r="EE221" i="1"/>
  <c r="EI221" i="1" s="1"/>
  <c r="EE210" i="1"/>
  <c r="EI210" i="1" s="1"/>
  <c r="EC209" i="1"/>
  <c r="EC114" i="1"/>
  <c r="EF288" i="1"/>
  <c r="EJ288" i="1" s="1"/>
  <c r="EC250" i="1"/>
  <c r="EF243" i="1"/>
  <c r="EJ243" i="1" s="1"/>
  <c r="ED241" i="1"/>
  <c r="EH241" i="1" s="1"/>
  <c r="ED239" i="1"/>
  <c r="EH239" i="1" s="1"/>
  <c r="ED221" i="1"/>
  <c r="EH221" i="1" s="1"/>
  <c r="ED210" i="1"/>
  <c r="EH210" i="1" s="1"/>
  <c r="EF176" i="1"/>
  <c r="EJ176" i="1" s="1"/>
  <c r="EF172" i="1"/>
  <c r="EJ172" i="1" s="1"/>
  <c r="EF164" i="1"/>
  <c r="EJ164" i="1" s="1"/>
  <c r="EF136" i="1"/>
  <c r="EJ136" i="1" s="1"/>
  <c r="EE288" i="1"/>
  <c r="EI288" i="1" s="1"/>
  <c r="EF283" i="1"/>
  <c r="EJ283" i="1" s="1"/>
  <c r="EE277" i="1"/>
  <c r="EI277" i="1" s="1"/>
  <c r="ED245" i="1"/>
  <c r="EH245" i="1" s="1"/>
  <c r="EE243" i="1"/>
  <c r="EI243" i="1" s="1"/>
  <c r="EC241" i="1"/>
  <c r="EC239" i="1"/>
  <c r="EF238" i="1"/>
  <c r="EJ238" i="1" s="1"/>
  <c r="EC221" i="1"/>
  <c r="EC210" i="1"/>
  <c r="EE136" i="1"/>
  <c r="EI136" i="1" s="1"/>
  <c r="EE120" i="1"/>
  <c r="EI120" i="1" s="1"/>
  <c r="EE111" i="1"/>
  <c r="EI111" i="1" s="1"/>
  <c r="ED288" i="1"/>
  <c r="EH288" i="1" s="1"/>
  <c r="EC286" i="1"/>
  <c r="EE283" i="1"/>
  <c r="EI283" i="1" s="1"/>
  <c r="ED277" i="1"/>
  <c r="EH277" i="1" s="1"/>
  <c r="EF267" i="1"/>
  <c r="EJ267" i="1" s="1"/>
  <c r="EE177" i="1"/>
  <c r="EI177" i="1" s="1"/>
  <c r="EF173" i="1"/>
  <c r="EJ173" i="1" s="1"/>
  <c r="ED172" i="1"/>
  <c r="EH172" i="1" s="1"/>
  <c r="EF165" i="1"/>
  <c r="EJ165" i="1" s="1"/>
  <c r="ED164" i="1"/>
  <c r="EH164" i="1" s="1"/>
  <c r="EC159" i="1"/>
  <c r="EE150" i="1"/>
  <c r="EI150" i="1" s="1"/>
  <c r="ED149" i="1"/>
  <c r="EH149" i="1" s="1"/>
  <c r="EF137" i="1"/>
  <c r="EJ137" i="1" s="1"/>
  <c r="ED136" i="1"/>
  <c r="EH136" i="1" s="1"/>
  <c r="EF132" i="1"/>
  <c r="EJ132" i="1" s="1"/>
  <c r="EE304" i="1"/>
  <c r="EI304" i="1" s="1"/>
  <c r="EC297" i="1"/>
  <c r="ED283" i="1"/>
  <c r="EH283" i="1" s="1"/>
  <c r="EC277" i="1"/>
  <c r="EE240" i="1"/>
  <c r="EI240" i="1" s="1"/>
  <c r="EF198" i="1"/>
  <c r="EJ198" i="1" s="1"/>
  <c r="EC193" i="1"/>
  <c r="EF191" i="1"/>
  <c r="EJ191" i="1" s="1"/>
  <c r="EE184" i="1"/>
  <c r="EI184" i="1" s="1"/>
  <c r="EC183" i="1"/>
  <c r="EE178" i="1"/>
  <c r="EI178" i="1" s="1"/>
  <c r="ED177" i="1"/>
  <c r="EH177" i="1" s="1"/>
  <c r="EC176" i="1"/>
  <c r="EE173" i="1"/>
  <c r="EI173" i="1" s="1"/>
  <c r="EC172" i="1"/>
  <c r="EF169" i="1"/>
  <c r="EJ169" i="1" s="1"/>
  <c r="EE165" i="1"/>
  <c r="EI165" i="1" s="1"/>
  <c r="EC164" i="1"/>
  <c r="EE151" i="1"/>
  <c r="EI151" i="1" s="1"/>
  <c r="ED150" i="1"/>
  <c r="EH150" i="1" s="1"/>
  <c r="EC149" i="1"/>
  <c r="EE137" i="1"/>
  <c r="EI137" i="1" s="1"/>
  <c r="EC136" i="1"/>
  <c r="ED304" i="1"/>
  <c r="EH304" i="1" s="1"/>
  <c r="ED303" i="1"/>
  <c r="EH303" i="1" s="1"/>
  <c r="EC283" i="1"/>
  <c r="EC281" i="1"/>
  <c r="ED240" i="1"/>
  <c r="EH240" i="1" s="1"/>
  <c r="EE220" i="1"/>
  <c r="EI220" i="1" s="1"/>
  <c r="EF209" i="1"/>
  <c r="EJ209" i="1" s="1"/>
  <c r="EE200" i="1"/>
  <c r="EI200" i="1" s="1"/>
  <c r="EE191" i="1"/>
  <c r="EI191" i="1" s="1"/>
  <c r="EF185" i="1"/>
  <c r="EJ185" i="1" s="1"/>
  <c r="ED184" i="1"/>
  <c r="EH184" i="1" s="1"/>
  <c r="EF179" i="1"/>
  <c r="EJ179" i="1" s="1"/>
  <c r="ED178" i="1"/>
  <c r="EH178" i="1" s="1"/>
  <c r="EC177" i="1"/>
  <c r="EF174" i="1"/>
  <c r="EJ174" i="1" s="1"/>
  <c r="ED173" i="1"/>
  <c r="EH173" i="1" s="1"/>
  <c r="EE169" i="1"/>
  <c r="EI169" i="1" s="1"/>
  <c r="EC168" i="1"/>
  <c r="EF166" i="1"/>
  <c r="EJ166" i="1" s="1"/>
  <c r="ED165" i="1"/>
  <c r="EH165" i="1" s="1"/>
  <c r="EE152" i="1"/>
  <c r="EI152" i="1" s="1"/>
  <c r="ED151" i="1"/>
  <c r="EH151" i="1" s="1"/>
  <c r="EC150" i="1"/>
  <c r="EC303" i="1"/>
  <c r="ED242" i="1"/>
  <c r="EH242" i="1" s="1"/>
  <c r="EC240" i="1"/>
  <c r="EE230" i="1"/>
  <c r="EI230" i="1" s="1"/>
  <c r="EC229" i="1"/>
  <c r="ED220" i="1"/>
  <c r="EH220" i="1" s="1"/>
  <c r="EE209" i="1"/>
  <c r="EI209" i="1" s="1"/>
  <c r="ED200" i="1"/>
  <c r="EH200" i="1" s="1"/>
  <c r="ED198" i="1"/>
  <c r="EH198" i="1" s="1"/>
  <c r="ED191" i="1"/>
  <c r="EH191" i="1" s="1"/>
  <c r="EE185" i="1"/>
  <c r="EI185" i="1" s="1"/>
  <c r="EC184" i="1"/>
  <c r="EE179" i="1"/>
  <c r="EI179" i="1" s="1"/>
  <c r="EC178" i="1"/>
  <c r="EE174" i="1"/>
  <c r="EI174" i="1" s="1"/>
  <c r="EC173" i="1"/>
  <c r="ED169" i="1"/>
  <c r="EH169" i="1" s="1"/>
  <c r="EE166" i="1"/>
  <c r="EI166" i="1" s="1"/>
  <c r="EC165" i="1"/>
  <c r="EF156" i="1"/>
  <c r="EJ156" i="1" s="1"/>
  <c r="EC151" i="1"/>
  <c r="EC137" i="1"/>
  <c r="EE134" i="1"/>
  <c r="EI134" i="1" s="1"/>
  <c r="EC132" i="1"/>
  <c r="EE311" i="1"/>
  <c r="EI311" i="1" s="1"/>
  <c r="EE305" i="1"/>
  <c r="EI305" i="1" s="1"/>
  <c r="EF284" i="1"/>
  <c r="EJ284" i="1" s="1"/>
  <c r="EE278" i="1"/>
  <c r="EI278" i="1" s="1"/>
  <c r="EC264" i="1"/>
  <c r="EE250" i="1"/>
  <c r="EI250" i="1" s="1"/>
  <c r="ED246" i="1"/>
  <c r="EH246" i="1" s="1"/>
  <c r="EC244" i="1"/>
  <c r="EC242" i="1"/>
  <c r="EF241" i="1"/>
  <c r="EJ241" i="1" s="1"/>
  <c r="ED233" i="1"/>
  <c r="EH233" i="1" s="1"/>
  <c r="ED230" i="1"/>
  <c r="EH230" i="1" s="1"/>
  <c r="EF221" i="1"/>
  <c r="EJ221" i="1" s="1"/>
  <c r="EC220" i="1"/>
  <c r="EF210" i="1"/>
  <c r="EJ210" i="1" s="1"/>
  <c r="ED209" i="1"/>
  <c r="EH209" i="1" s="1"/>
  <c r="EC200" i="1"/>
  <c r="EC198" i="1"/>
  <c r="EE192" i="1"/>
  <c r="EI192" i="1" s="1"/>
  <c r="EC191" i="1"/>
  <c r="ED185" i="1"/>
  <c r="EH185" i="1" s="1"/>
  <c r="EF180" i="1"/>
  <c r="EJ180" i="1" s="1"/>
  <c r="ED179" i="1"/>
  <c r="EH179" i="1" s="1"/>
  <c r="EF175" i="1"/>
  <c r="EJ175" i="1" s="1"/>
  <c r="ED174" i="1"/>
  <c r="EH174" i="1" s="1"/>
  <c r="EE170" i="1"/>
  <c r="EI170" i="1" s="1"/>
  <c r="EC169" i="1"/>
  <c r="ED166" i="1"/>
  <c r="EH166" i="1" s="1"/>
  <c r="EE156" i="1"/>
  <c r="EI156" i="1" s="1"/>
  <c r="EC152" i="1"/>
  <c r="EF134" i="1"/>
  <c r="EJ134" i="1" s="1"/>
  <c r="EE128" i="1"/>
  <c r="EI128" i="1" s="1"/>
  <c r="EE127" i="1"/>
  <c r="EI127" i="1" s="1"/>
  <c r="EE125" i="1"/>
  <c r="EI125" i="1" s="1"/>
  <c r="EF119" i="1"/>
  <c r="EJ119" i="1" s="1"/>
  <c r="EE114" i="1"/>
  <c r="EI114" i="1" s="1"/>
  <c r="ED110" i="1"/>
  <c r="EH110" i="1" s="1"/>
  <c r="ED105" i="1"/>
  <c r="EH105" i="1" s="1"/>
  <c r="EE101" i="1"/>
  <c r="EI101" i="1" s="1"/>
  <c r="ED97" i="1"/>
  <c r="EH97" i="1" s="1"/>
  <c r="EE86" i="1"/>
  <c r="EI86" i="1" s="1"/>
  <c r="EF54" i="1"/>
  <c r="EJ54" i="1" s="1"/>
  <c r="EF50" i="1"/>
  <c r="EJ50" i="1" s="1"/>
  <c r="EC41" i="1"/>
  <c r="ED137" i="1"/>
  <c r="EH137" i="1" s="1"/>
  <c r="ED134" i="1"/>
  <c r="EH134" i="1" s="1"/>
  <c r="ED114" i="1"/>
  <c r="EH114" i="1" s="1"/>
  <c r="EF112" i="1"/>
  <c r="EJ112" i="1" s="1"/>
  <c r="ED101" i="1"/>
  <c r="EH101" i="1" s="1"/>
  <c r="EC97" i="1"/>
  <c r="EF91" i="1"/>
  <c r="EJ91" i="1" s="1"/>
  <c r="EC90" i="1"/>
  <c r="EE88" i="1"/>
  <c r="EI88" i="1" s="1"/>
  <c r="ED86" i="1"/>
  <c r="EH86" i="1" s="1"/>
  <c r="EF33" i="1"/>
  <c r="EJ33" i="1" s="1"/>
  <c r="EE33" i="1"/>
  <c r="EI33" i="1" s="1"/>
  <c r="EF135" i="1"/>
  <c r="EJ135" i="1" s="1"/>
  <c r="EF120" i="1"/>
  <c r="EJ120" i="1" s="1"/>
  <c r="EE112" i="1"/>
  <c r="EI112" i="1" s="1"/>
  <c r="EC101" i="1"/>
  <c r="EF98" i="1"/>
  <c r="EJ98" i="1" s="1"/>
  <c r="EE91" i="1"/>
  <c r="EI91" i="1" s="1"/>
  <c r="ED88" i="1"/>
  <c r="EH88" i="1" s="1"/>
  <c r="EC86" i="1"/>
  <c r="EF27" i="1"/>
  <c r="EJ27" i="1" s="1"/>
  <c r="EE11" i="1"/>
  <c r="EI11" i="1" s="1"/>
  <c r="EE34" i="1"/>
  <c r="EI34" i="1" s="1"/>
  <c r="EC33" i="1"/>
  <c r="EC11" i="1"/>
  <c r="EC27" i="1"/>
  <c r="EE126" i="1"/>
  <c r="EI126" i="1" s="1"/>
  <c r="ED120" i="1"/>
  <c r="EH120" i="1" s="1"/>
  <c r="ED112" i="1"/>
  <c r="EH112" i="1" s="1"/>
  <c r="EF104" i="1"/>
  <c r="EJ104" i="1" s="1"/>
  <c r="EF103" i="1"/>
  <c r="EJ103" i="1" s="1"/>
  <c r="ED102" i="1"/>
  <c r="EH102" i="1" s="1"/>
  <c r="EE98" i="1"/>
  <c r="EI98" i="1" s="1"/>
  <c r="ED91" i="1"/>
  <c r="EH91" i="1" s="1"/>
  <c r="EC88" i="1"/>
  <c r="EC54" i="1"/>
  <c r="EC50" i="1"/>
  <c r="EC32" i="1"/>
  <c r="EC17" i="1"/>
  <c r="ED11" i="1"/>
  <c r="EH11" i="1" s="1"/>
  <c r="EF20" i="1"/>
  <c r="EJ20" i="1" s="1"/>
  <c r="EC120" i="1"/>
  <c r="EC112" i="1"/>
  <c r="EF111" i="1"/>
  <c r="EJ111" i="1" s="1"/>
  <c r="EC102" i="1"/>
  <c r="EC91" i="1"/>
  <c r="EF87" i="1"/>
  <c r="EJ87" i="1" s="1"/>
  <c r="EF84" i="1"/>
  <c r="EJ84" i="1" s="1"/>
  <c r="EF76" i="1"/>
  <c r="EJ76" i="1" s="1"/>
  <c r="EF75" i="1"/>
  <c r="EJ75" i="1" s="1"/>
  <c r="EF74" i="1"/>
  <c r="EJ74" i="1" s="1"/>
  <c r="EC53" i="1"/>
  <c r="EC49" i="1"/>
  <c r="EF46" i="1"/>
  <c r="EJ46" i="1" s="1"/>
  <c r="EE39" i="1"/>
  <c r="EI39" i="1" s="1"/>
  <c r="ED27" i="1"/>
  <c r="EH27" i="1" s="1"/>
  <c r="EF25" i="1"/>
  <c r="EJ25" i="1" s="1"/>
  <c r="EE25" i="1"/>
  <c r="EI25" i="1" s="1"/>
  <c r="EE132" i="1"/>
  <c r="EI132" i="1" s="1"/>
  <c r="EF121" i="1"/>
  <c r="EJ121" i="1" s="1"/>
  <c r="ED111" i="1"/>
  <c r="EH111" i="1" s="1"/>
  <c r="EC98" i="1"/>
  <c r="EE84" i="1"/>
  <c r="EI84" i="1" s="1"/>
  <c r="EE46" i="1"/>
  <c r="EI46" i="1" s="1"/>
  <c r="ED39" i="1"/>
  <c r="EH39" i="1" s="1"/>
  <c r="ED33" i="1"/>
  <c r="EH33" i="1" s="1"/>
  <c r="EE27" i="1"/>
  <c r="EI27" i="1" s="1"/>
  <c r="ED132" i="1"/>
  <c r="EH132" i="1" s="1"/>
  <c r="EC111" i="1"/>
  <c r="ED84" i="1"/>
  <c r="EH84" i="1" s="1"/>
  <c r="ED76" i="1"/>
  <c r="EH76" i="1" s="1"/>
  <c r="ED75" i="1"/>
  <c r="EH75" i="1" s="1"/>
  <c r="ED74" i="1"/>
  <c r="EH74" i="1" s="1"/>
  <c r="ED73" i="1"/>
  <c r="EH73" i="1" s="1"/>
  <c r="ED46" i="1"/>
  <c r="EH46" i="1" s="1"/>
  <c r="EE41" i="1"/>
  <c r="EI41" i="1" s="1"/>
  <c r="ED40" i="1"/>
  <c r="EH40" i="1" s="1"/>
  <c r="EC39" i="1"/>
  <c r="EF114" i="1"/>
  <c r="EJ114" i="1" s="1"/>
  <c r="EF101" i="1"/>
  <c r="EJ101" i="1" s="1"/>
  <c r="EF86" i="1"/>
  <c r="EJ86" i="1" s="1"/>
  <c r="EC84" i="1"/>
  <c r="EC76" i="1"/>
  <c r="EC75" i="1"/>
  <c r="EC74" i="1"/>
  <c r="EC73" i="1"/>
  <c r="EC46" i="1"/>
  <c r="ED41" i="1"/>
  <c r="EH41" i="1" s="1"/>
  <c r="EC40" i="1"/>
  <c r="ED34" i="1"/>
  <c r="EH34" i="1" s="1"/>
  <c r="EF78" i="1"/>
  <c r="EJ78" i="1" s="1"/>
  <c r="EF89" i="1"/>
  <c r="EJ89" i="1" s="1"/>
  <c r="EE90" i="1"/>
  <c r="EI90" i="1" s="1"/>
  <c r="EE123" i="1"/>
  <c r="EI123" i="1" s="1"/>
  <c r="EC26" i="1"/>
  <c r="ED104" i="1"/>
  <c r="EH104" i="1" s="1"/>
  <c r="EC22" i="1"/>
  <c r="EE22" i="1"/>
  <c r="EI22" i="1" s="1"/>
  <c r="EC9" i="1"/>
  <c r="ED17" i="1"/>
  <c r="EH17" i="1" s="1"/>
  <c r="ED49" i="1"/>
  <c r="EH49" i="1" s="1"/>
  <c r="EF184" i="1"/>
  <c r="EJ184" i="1" s="1"/>
  <c r="EC35" i="1"/>
  <c r="EE49" i="1"/>
  <c r="EI49" i="1" s="1"/>
  <c r="EC125" i="1"/>
  <c r="EF150" i="1"/>
  <c r="EJ150" i="1" s="1"/>
  <c r="EF204" i="1"/>
  <c r="EJ204" i="1" s="1"/>
  <c r="EF242" i="1"/>
  <c r="EJ242" i="1" s="1"/>
  <c r="EF170" i="1"/>
  <c r="EJ170" i="1" s="1"/>
  <c r="EF223" i="1"/>
  <c r="EJ223" i="1" s="1"/>
  <c r="EC278" i="1"/>
  <c r="EC284" i="1"/>
  <c r="ED313" i="1"/>
  <c r="EH313" i="1" s="1"/>
  <c r="ED229" i="1"/>
  <c r="EH229" i="1" s="1"/>
  <c r="EF246" i="1"/>
  <c r="EJ246" i="1" s="1"/>
  <c r="EF354" i="1"/>
  <c r="EJ354" i="1" s="1"/>
  <c r="ED176" i="1"/>
  <c r="EH176" i="1" s="1"/>
  <c r="ED193" i="1"/>
  <c r="EH193" i="1" s="1"/>
  <c r="ED211" i="1"/>
  <c r="EH211" i="1" s="1"/>
  <c r="EE281" i="1"/>
  <c r="EI281" i="1" s="1"/>
  <c r="ED311" i="1"/>
  <c r="EH311" i="1" s="1"/>
  <c r="EE183" i="1"/>
  <c r="EI183" i="1" s="1"/>
  <c r="EF244" i="1"/>
  <c r="EJ244" i="1" s="1"/>
  <c r="EE155" i="1"/>
  <c r="EI155" i="1" s="1"/>
  <c r="EE160" i="1"/>
  <c r="EI160" i="1" s="1"/>
  <c r="EE286" i="1"/>
  <c r="EI286" i="1" s="1"/>
  <c r="EF351" i="1"/>
  <c r="EJ351" i="1" s="1"/>
  <c r="EE392" i="1"/>
  <c r="EI392" i="1" s="1"/>
  <c r="EF357" i="1"/>
  <c r="EJ357" i="1" s="1"/>
  <c r="EF403" i="1"/>
  <c r="EJ403" i="1" s="1"/>
  <c r="EF424" i="1"/>
  <c r="EJ424" i="1" s="1"/>
  <c r="EE463" i="1"/>
  <c r="EI463" i="1" s="1"/>
  <c r="EC374" i="1"/>
  <c r="ED397" i="1"/>
  <c r="EH397" i="1" s="1"/>
  <c r="EE471" i="1"/>
  <c r="EI471" i="1" s="1"/>
  <c r="EC354" i="1"/>
  <c r="ED374" i="1"/>
  <c r="EH374" i="1" s="1"/>
  <c r="EC388" i="1"/>
  <c r="EC550" i="1"/>
  <c r="ED424" i="1"/>
  <c r="EH424" i="1" s="1"/>
  <c r="EE354" i="1"/>
  <c r="EI354" i="1" s="1"/>
  <c r="EE388" i="1"/>
  <c r="EI388" i="1" s="1"/>
  <c r="EE494" i="1"/>
  <c r="EI494" i="1" s="1"/>
  <c r="EF452" i="1"/>
  <c r="EJ452" i="1" s="1"/>
  <c r="EE493" i="1"/>
  <c r="EI493" i="1" s="1"/>
  <c r="EE532" i="1"/>
  <c r="EI532" i="1" s="1"/>
  <c r="EF657" i="1"/>
  <c r="EJ657" i="1" s="1"/>
  <c r="EC414" i="1"/>
  <c r="EC438" i="1"/>
  <c r="EE517" i="1"/>
  <c r="EI517" i="1" s="1"/>
  <c r="ED567" i="1"/>
  <c r="EH567" i="1" s="1"/>
  <c r="EF681" i="1"/>
  <c r="EJ681" i="1" s="1"/>
  <c r="ED447" i="1"/>
  <c r="EH447" i="1" s="1"/>
  <c r="EC437" i="1"/>
  <c r="EC463" i="1"/>
  <c r="ED473" i="1"/>
  <c r="EH473" i="1" s="1"/>
  <c r="EC513" i="1"/>
  <c r="ED471" i="1"/>
  <c r="EH471" i="1" s="1"/>
  <c r="EF607" i="1"/>
  <c r="EJ607" i="1" s="1"/>
  <c r="ED574" i="1"/>
  <c r="EH574" i="1" s="1"/>
  <c r="EF726" i="1"/>
  <c r="EJ726" i="1" s="1"/>
  <c r="ED665" i="1"/>
  <c r="EH665" i="1" s="1"/>
  <c r="EC681" i="1"/>
  <c r="EF679" i="1"/>
  <c r="EJ679" i="1" s="1"/>
  <c r="EF643" i="1"/>
  <c r="EJ643" i="1" s="1"/>
  <c r="EC693" i="1"/>
  <c r="EF706" i="1"/>
  <c r="EJ706" i="1" s="1"/>
  <c r="EE729" i="1"/>
  <c r="EI729" i="1" s="1"/>
  <c r="EF822" i="1"/>
  <c r="EJ822" i="1" s="1"/>
  <c r="EC752" i="1"/>
  <c r="EE772" i="1"/>
  <c r="EI772" i="1" s="1"/>
  <c r="EF747" i="1"/>
  <c r="EJ747" i="1" s="1"/>
  <c r="EE773" i="1"/>
  <c r="EI773" i="1" s="1"/>
  <c r="ED746" i="1"/>
  <c r="EH746" i="1" s="1"/>
  <c r="EE774" i="1"/>
  <c r="EI774" i="1" s="1"/>
  <c r="EF752" i="1"/>
  <c r="EJ752" i="1" s="1"/>
  <c r="ED748" i="1"/>
  <c r="EH748" i="1" s="1"/>
  <c r="EE814" i="1"/>
  <c r="EI814" i="1" s="1"/>
  <c r="EF795" i="1"/>
  <c r="EJ795" i="1" s="1"/>
  <c r="EC817" i="1"/>
  <c r="ED916" i="1"/>
  <c r="EH916" i="1" s="1"/>
  <c r="EF892" i="1"/>
  <c r="EJ892" i="1" s="1"/>
  <c r="EE839" i="1"/>
  <c r="EI839" i="1" s="1"/>
  <c r="ED887" i="1"/>
  <c r="EH887" i="1" s="1"/>
  <c r="EF844" i="1"/>
  <c r="EJ844" i="1" s="1"/>
  <c r="EC894" i="1"/>
  <c r="EE897" i="1"/>
  <c r="EI897" i="1" s="1"/>
  <c r="EF870" i="1"/>
  <c r="EJ870" i="1" s="1"/>
  <c r="ED928" i="1"/>
  <c r="EH928" i="1" s="1"/>
  <c r="EF916" i="1"/>
  <c r="EJ916" i="1" s="1"/>
  <c r="EC924" i="1"/>
  <c r="EE924" i="1"/>
  <c r="EI924" i="1" s="1"/>
  <c r="EE848" i="1"/>
  <c r="EI848" i="1" s="1"/>
  <c r="ED859" i="1"/>
  <c r="EH859" i="1" s="1"/>
  <c r="EE906" i="1"/>
  <c r="EI906" i="1" s="1"/>
  <c r="EE892" i="1"/>
  <c r="EI892" i="1" s="1"/>
  <c r="ED1030" i="1"/>
  <c r="EH1030" i="1" s="1"/>
  <c r="EC1012" i="1"/>
  <c r="EF1029" i="1"/>
  <c r="EJ1029" i="1" s="1"/>
  <c r="ED951" i="1"/>
  <c r="EH951" i="1" s="1"/>
  <c r="EF1014" i="1"/>
  <c r="EJ1014" i="1" s="1"/>
  <c r="EF1093" i="1"/>
  <c r="EJ1093" i="1" s="1"/>
  <c r="EE1090" i="1"/>
  <c r="EI1090" i="1" s="1"/>
  <c r="EF1039" i="1"/>
  <c r="EJ1039" i="1" s="1"/>
  <c r="EE1048" i="1"/>
  <c r="EI1048" i="1" s="1"/>
  <c r="EC1098" i="1"/>
  <c r="EF1132" i="1"/>
  <c r="EJ1132" i="1" s="1"/>
  <c r="ED1087" i="1"/>
  <c r="EH1087" i="1" s="1"/>
  <c r="EF1063" i="1"/>
  <c r="EJ1063" i="1" s="1"/>
  <c r="EF1085" i="1"/>
  <c r="EJ1085" i="1" s="1"/>
  <c r="ED1107" i="1"/>
  <c r="EH1107" i="1" s="1"/>
  <c r="EC1084" i="1"/>
  <c r="EE1086" i="1"/>
  <c r="EI1086" i="1" s="1"/>
  <c r="EC1058" i="1"/>
  <c r="ED1085" i="1"/>
  <c r="EH1085" i="1" s="1"/>
  <c r="ED1089" i="1"/>
  <c r="EH1089" i="1" s="1"/>
  <c r="EF1201" i="1"/>
  <c r="EJ1201" i="1" s="1"/>
  <c r="ED1165" i="1"/>
  <c r="EH1165" i="1" s="1"/>
  <c r="ED1185" i="1"/>
  <c r="EH1185" i="1" s="1"/>
  <c r="EE1139" i="1"/>
  <c r="EI1139" i="1" s="1"/>
  <c r="EE1189" i="1"/>
  <c r="EI1189" i="1" s="1"/>
  <c r="EC1112" i="1"/>
  <c r="ED1119" i="1"/>
  <c r="EH1119" i="1" s="1"/>
  <c r="EC1179" i="1"/>
  <c r="EC1236" i="1"/>
  <c r="EC1210" i="1"/>
  <c r="ED1194" i="1"/>
  <c r="EH1194" i="1" s="1"/>
  <c r="EC1207" i="1"/>
  <c r="EC1183" i="1"/>
  <c r="ED1209" i="1"/>
  <c r="EH1209" i="1" s="1"/>
  <c r="EF1206" i="1"/>
  <c r="EJ1206" i="1" s="1"/>
  <c r="EE1216" i="1"/>
  <c r="EI1216" i="1" s="1"/>
  <c r="EF1225" i="1"/>
  <c r="EJ1225" i="1" s="1"/>
  <c r="ED1240" i="1"/>
  <c r="EH1240" i="1" s="1"/>
  <c r="ED1235" i="1"/>
  <c r="EH1235" i="1" s="1"/>
  <c r="EE1255" i="1"/>
  <c r="EI1255" i="1" s="1"/>
  <c r="EE1232" i="1"/>
  <c r="EI1232" i="1" s="1"/>
  <c r="EE20" i="1"/>
  <c r="EI20" i="1" s="1"/>
  <c r="EF97" i="1"/>
  <c r="EJ97" i="1" s="1"/>
  <c r="EF73" i="1"/>
  <c r="EJ73" i="1" s="1"/>
  <c r="EF11" i="1"/>
  <c r="EJ11" i="1" s="1"/>
  <c r="EF17" i="1"/>
  <c r="EJ17" i="1" s="1"/>
  <c r="ED30" i="1"/>
  <c r="EH30" i="1" s="1"/>
  <c r="EF43" i="1"/>
  <c r="EJ43" i="1" s="1"/>
  <c r="EE97" i="1"/>
  <c r="EI97" i="1" s="1"/>
  <c r="EC123" i="1"/>
  <c r="EF159" i="1"/>
  <c r="EJ159" i="1" s="1"/>
  <c r="EF90" i="1"/>
  <c r="EJ90" i="1" s="1"/>
  <c r="EC104" i="1"/>
  <c r="EF100" i="1"/>
  <c r="EJ100" i="1" s="1"/>
  <c r="EE89" i="1"/>
  <c r="EI89" i="1" s="1"/>
  <c r="EE172" i="1"/>
  <c r="EI172" i="1" s="1"/>
  <c r="EC78" i="1"/>
  <c r="EE17" i="1"/>
  <c r="EI17" i="1" s="1"/>
  <c r="EC127" i="1"/>
  <c r="EC166" i="1"/>
  <c r="ED32" i="1"/>
  <c r="EH32" i="1" s="1"/>
  <c r="ED35" i="1"/>
  <c r="EH35" i="1" s="1"/>
  <c r="ED43" i="1"/>
  <c r="EH43" i="1" s="1"/>
  <c r="EC179" i="1"/>
  <c r="EE223" i="1"/>
  <c r="EI223" i="1" s="1"/>
  <c r="ED296" i="1"/>
  <c r="EH296" i="1" s="1"/>
  <c r="EF278" i="1"/>
  <c r="EJ278" i="1" s="1"/>
  <c r="EE389" i="1"/>
  <c r="EI389" i="1" s="1"/>
  <c r="EC211" i="1"/>
  <c r="EC267" i="1"/>
  <c r="EF356" i="1"/>
  <c r="EJ356" i="1" s="1"/>
  <c r="EC245" i="1"/>
  <c r="ED159" i="1"/>
  <c r="EH159" i="1" s="1"/>
  <c r="EC274" i="1"/>
  <c r="ED290" i="1"/>
  <c r="EH290" i="1" s="1"/>
  <c r="ED175" i="1"/>
  <c r="EH175" i="1" s="1"/>
  <c r="ED180" i="1"/>
  <c r="EH180" i="1" s="1"/>
  <c r="EE295" i="1"/>
  <c r="EI295" i="1" s="1"/>
  <c r="ED357" i="1"/>
  <c r="EH357" i="1" s="1"/>
  <c r="EF281" i="1"/>
  <c r="EJ281" i="1" s="1"/>
  <c r="ED405" i="1"/>
  <c r="EH405" i="1" s="1"/>
  <c r="EE438" i="1"/>
  <c r="EI438" i="1" s="1"/>
  <c r="EF512" i="1"/>
  <c r="EJ512" i="1" s="1"/>
  <c r="EF404" i="1"/>
  <c r="EJ404" i="1" s="1"/>
  <c r="EE424" i="1"/>
  <c r="EI424" i="1" s="1"/>
  <c r="EF397" i="1"/>
  <c r="EJ397" i="1" s="1"/>
  <c r="EE417" i="1"/>
  <c r="EI417" i="1" s="1"/>
  <c r="EF445" i="1"/>
  <c r="EJ445" i="1" s="1"/>
  <c r="EE384" i="1"/>
  <c r="EI384" i="1" s="1"/>
  <c r="EF419" i="1"/>
  <c r="EJ419" i="1" s="1"/>
  <c r="EE452" i="1"/>
  <c r="EI452" i="1" s="1"/>
  <c r="EC503" i="1"/>
  <c r="EF708" i="1"/>
  <c r="EJ708" i="1" s="1"/>
  <c r="EC517" i="1"/>
  <c r="EE616" i="1"/>
  <c r="EI616" i="1" s="1"/>
  <c r="ED446" i="1"/>
  <c r="EH446" i="1" s="1"/>
  <c r="EC518" i="1"/>
  <c r="EC567" i="1"/>
  <c r="EF572" i="1"/>
  <c r="EJ572" i="1" s="1"/>
  <c r="EF550" i="1"/>
  <c r="EJ550" i="1" s="1"/>
  <c r="EF563" i="1"/>
  <c r="EJ563" i="1" s="1"/>
  <c r="EE634" i="1"/>
  <c r="EI634" i="1" s="1"/>
  <c r="EC417" i="1"/>
  <c r="ED515" i="1"/>
  <c r="EH515" i="1" s="1"/>
  <c r="ED432" i="1"/>
  <c r="EH432" i="1" s="1"/>
  <c r="EF552" i="1"/>
  <c r="EJ552" i="1" s="1"/>
  <c r="EC705" i="1"/>
  <c r="ED708" i="1"/>
  <c r="EH708" i="1" s="1"/>
  <c r="ED756" i="1"/>
  <c r="EH756" i="1" s="1"/>
  <c r="EC558" i="1"/>
  <c r="EE679" i="1"/>
  <c r="EI679" i="1" s="1"/>
  <c r="ED548" i="1"/>
  <c r="EH548" i="1" s="1"/>
  <c r="ED618" i="1"/>
  <c r="EH618" i="1" s="1"/>
  <c r="EE702" i="1"/>
  <c r="EI702" i="1" s="1"/>
  <c r="ED697" i="1"/>
  <c r="EH697" i="1" s="1"/>
  <c r="EF806" i="1"/>
  <c r="EE780" i="1"/>
  <c r="EI780" i="1" s="1"/>
  <c r="ED715" i="1"/>
  <c r="EH715" i="1" s="1"/>
  <c r="EE730" i="1"/>
  <c r="EI730" i="1" s="1"/>
  <c r="EC739" i="1"/>
  <c r="EF755" i="1"/>
  <c r="EJ755" i="1" s="1"/>
  <c r="ED774" i="1"/>
  <c r="EH774" i="1" s="1"/>
  <c r="EC815" i="1"/>
  <c r="EE753" i="1"/>
  <c r="EI753" i="1" s="1"/>
  <c r="EC818" i="1"/>
  <c r="ED828" i="1"/>
  <c r="EH828" i="1" s="1"/>
  <c r="EC834" i="1"/>
  <c r="EE867" i="1"/>
  <c r="EI867" i="1" s="1"/>
  <c r="EF923" i="1"/>
  <c r="EJ923" i="1" s="1"/>
  <c r="EC865" i="1"/>
  <c r="EE884" i="1"/>
  <c r="EI884" i="1" s="1"/>
  <c r="EC887" i="1"/>
  <c r="ED863" i="1"/>
  <c r="EH863" i="1" s="1"/>
  <c r="EF874" i="1"/>
  <c r="EJ874" i="1" s="1"/>
  <c r="ED898" i="1"/>
  <c r="EH898" i="1" s="1"/>
  <c r="EF831" i="1"/>
  <c r="EJ831" i="1" s="1"/>
  <c r="EC855" i="1"/>
  <c r="EF931" i="1"/>
  <c r="EJ931" i="1" s="1"/>
  <c r="EE949" i="1"/>
  <c r="EI949" i="1" s="1"/>
  <c r="ED934" i="1"/>
  <c r="EH934" i="1" s="1"/>
  <c r="EE854" i="1"/>
  <c r="EI854" i="1" s="1"/>
  <c r="EC949" i="1"/>
  <c r="EC1008" i="1"/>
  <c r="ED1093" i="1"/>
  <c r="EH1093" i="1" s="1"/>
  <c r="EE1022" i="1"/>
  <c r="EI1022" i="1" s="1"/>
  <c r="ED1090" i="1"/>
  <c r="EH1090" i="1" s="1"/>
  <c r="EC1009" i="1"/>
  <c r="EF1089" i="1"/>
  <c r="EJ1089" i="1" s="1"/>
  <c r="EF1091" i="1"/>
  <c r="EJ1091" i="1" s="1"/>
  <c r="EF1099" i="1"/>
  <c r="EJ1099" i="1" s="1"/>
  <c r="ED1021" i="1"/>
  <c r="EH1021" i="1" s="1"/>
  <c r="EE1058" i="1"/>
  <c r="EI1058" i="1" s="1"/>
  <c r="ED1036" i="1"/>
  <c r="EH1036" i="1" s="1"/>
  <c r="ED1059" i="1"/>
  <c r="EH1059" i="1" s="1"/>
  <c r="ED1086" i="1"/>
  <c r="EH1086" i="1" s="1"/>
  <c r="EF1111" i="1"/>
  <c r="EJ1111" i="1" s="1"/>
  <c r="EF1115" i="1"/>
  <c r="EJ1115" i="1" s="1"/>
  <c r="EF1086" i="1"/>
  <c r="EJ1086" i="1" s="1"/>
  <c r="EE1095" i="1"/>
  <c r="EI1095" i="1" s="1"/>
  <c r="ED1058" i="1"/>
  <c r="EH1058" i="1" s="1"/>
  <c r="ED1094" i="1"/>
  <c r="EH1094" i="1" s="1"/>
  <c r="EF1195" i="1"/>
  <c r="EJ1195" i="1" s="1"/>
  <c r="EC1343" i="1"/>
  <c r="EF1110" i="1"/>
  <c r="EJ1110" i="1" s="1"/>
  <c r="EE1133" i="1"/>
  <c r="EI1133" i="1" s="1"/>
  <c r="EC1169" i="1"/>
  <c r="EC1193" i="1"/>
  <c r="EC1181" i="1"/>
  <c r="EF1160" i="1"/>
  <c r="EJ1160" i="1" s="1"/>
  <c r="EC1202" i="1"/>
  <c r="EE1184" i="1"/>
  <c r="EI1184" i="1" s="1"/>
  <c r="EE1188" i="1"/>
  <c r="EI1188" i="1" s="1"/>
  <c r="EC1209" i="1"/>
  <c r="EC1182" i="1"/>
  <c r="ED1188" i="1"/>
  <c r="EH1188" i="1" s="1"/>
  <c r="ED1196" i="1"/>
  <c r="EH1196" i="1" s="1"/>
  <c r="ED1205" i="1"/>
  <c r="EH1205" i="1" s="1"/>
  <c r="EE1210" i="1"/>
  <c r="EI1210" i="1" s="1"/>
  <c r="EC1242" i="1"/>
  <c r="EC1247" i="1"/>
  <c r="ED1237" i="1"/>
  <c r="EH1237" i="1" s="1"/>
  <c r="EE1265" i="1"/>
  <c r="EI1265" i="1" s="1"/>
  <c r="EC34" i="1"/>
  <c r="ED90" i="1"/>
  <c r="EH90" i="1" s="1"/>
  <c r="EC25" i="1"/>
  <c r="EF102" i="1"/>
  <c r="EJ102" i="1" s="1"/>
  <c r="EE35" i="1"/>
  <c r="EI35" i="1" s="1"/>
  <c r="EE87" i="1"/>
  <c r="EI87" i="1" s="1"/>
  <c r="EF40" i="1"/>
  <c r="EJ40" i="1" s="1"/>
  <c r="EF31" i="1"/>
  <c r="EJ31" i="1" s="1"/>
  <c r="EE164" i="1"/>
  <c r="EI164" i="1" s="1"/>
  <c r="EC246" i="1"/>
  <c r="EE175" i="1"/>
  <c r="EI175" i="1" s="1"/>
  <c r="EF274" i="1"/>
  <c r="EJ274" i="1" s="1"/>
  <c r="EE73" i="1"/>
  <c r="EI73" i="1" s="1"/>
  <c r="EE135" i="1"/>
  <c r="EI135" i="1" s="1"/>
  <c r="EC106" i="1"/>
  <c r="EF211" i="1"/>
  <c r="EJ211" i="1" s="1"/>
  <c r="EE9" i="1"/>
  <c r="EI9" i="1" s="1"/>
  <c r="EC31" i="1"/>
  <c r="EC43" i="1"/>
  <c r="ED54" i="1"/>
  <c r="EH54" i="1" s="1"/>
  <c r="ED78" i="1"/>
  <c r="EH78" i="1" s="1"/>
  <c r="ED119" i="1"/>
  <c r="EH119" i="1" s="1"/>
  <c r="ED128" i="1"/>
  <c r="EH128" i="1" s="1"/>
  <c r="EF229" i="1"/>
  <c r="EJ229" i="1" s="1"/>
  <c r="EE106" i="1"/>
  <c r="EI106" i="1" s="1"/>
  <c r="EF133" i="1"/>
  <c r="EJ133" i="1" s="1"/>
  <c r="EF193" i="1"/>
  <c r="EJ193" i="1" s="1"/>
  <c r="ED238" i="1"/>
  <c r="EH238" i="1" s="1"/>
  <c r="EE359" i="1"/>
  <c r="EI359" i="1" s="1"/>
  <c r="ED204" i="1"/>
  <c r="EH204" i="1" s="1"/>
  <c r="EC160" i="1"/>
  <c r="EE274" i="1"/>
  <c r="EI274" i="1" s="1"/>
  <c r="EC156" i="1"/>
  <c r="EC223" i="1"/>
  <c r="EF240" i="1"/>
  <c r="EJ240" i="1" s="1"/>
  <c r="ED295" i="1"/>
  <c r="EH295" i="1" s="1"/>
  <c r="ED380" i="1"/>
  <c r="EH380" i="1" s="1"/>
  <c r="EF297" i="1"/>
  <c r="EJ297" i="1" s="1"/>
  <c r="ED442" i="1"/>
  <c r="EH442" i="1" s="1"/>
  <c r="EE513" i="1"/>
  <c r="EI513" i="1" s="1"/>
  <c r="EF296" i="1"/>
  <c r="EJ296" i="1" s="1"/>
  <c r="EC311" i="1"/>
  <c r="EF406" i="1"/>
  <c r="EJ406" i="1" s="1"/>
  <c r="EC425" i="1"/>
  <c r="EC359" i="1"/>
  <c r="EC370" i="1"/>
  <c r="EE375" i="1"/>
  <c r="EI375" i="1" s="1"/>
  <c r="EE445" i="1"/>
  <c r="EI445" i="1" s="1"/>
  <c r="EC485" i="1"/>
  <c r="EE355" i="1"/>
  <c r="EI355" i="1" s="1"/>
  <c r="ED286" i="1"/>
  <c r="EH286" i="1" s="1"/>
  <c r="EC313" i="1"/>
  <c r="EC380" i="1"/>
  <c r="EC391" i="1"/>
  <c r="EE432" i="1"/>
  <c r="EI432" i="1" s="1"/>
  <c r="ED452" i="1"/>
  <c r="EH452" i="1" s="1"/>
  <c r="EE558" i="1"/>
  <c r="EI558" i="1" s="1"/>
  <c r="EF697" i="1"/>
  <c r="EJ697" i="1" s="1"/>
  <c r="EC512" i="1"/>
  <c r="EC528" i="1"/>
  <c r="EE633" i="1"/>
  <c r="EI633" i="1" s="1"/>
  <c r="ED403" i="1"/>
  <c r="EH403" i="1" s="1"/>
  <c r="EC433" i="1"/>
  <c r="EC459" i="1"/>
  <c r="ED455" i="1"/>
  <c r="EH455" i="1" s="1"/>
  <c r="EC473" i="1"/>
  <c r="EE550" i="1"/>
  <c r="EI550" i="1" s="1"/>
  <c r="EC432" i="1"/>
  <c r="EE455" i="1"/>
  <c r="EI455" i="1" s="1"/>
  <c r="EC405" i="1"/>
  <c r="EE473" i="1"/>
  <c r="EI473" i="1" s="1"/>
  <c r="EC574" i="1"/>
  <c r="EE618" i="1"/>
  <c r="EI618" i="1" s="1"/>
  <c r="ED693" i="1"/>
  <c r="EH693" i="1" s="1"/>
  <c r="EF730" i="1"/>
  <c r="EJ730" i="1" s="1"/>
  <c r="EF677" i="1"/>
  <c r="EE687" i="1"/>
  <c r="EI687" i="1" s="1"/>
  <c r="EF694" i="1"/>
  <c r="EJ694" i="1" s="1"/>
  <c r="EC708" i="1"/>
  <c r="EC548" i="1"/>
  <c r="EC618" i="1"/>
  <c r="ED679" i="1"/>
  <c r="EH679" i="1" s="1"/>
  <c r="EC697" i="1"/>
  <c r="EC773" i="1"/>
  <c r="ED806" i="1"/>
  <c r="EH806" i="1" s="1"/>
  <c r="EC780" i="1"/>
  <c r="EE684" i="1"/>
  <c r="EI684" i="1" s="1"/>
  <c r="EE717" i="1"/>
  <c r="EI717" i="1" s="1"/>
  <c r="EE726" i="1"/>
  <c r="EI726" i="1" s="1"/>
  <c r="EE733" i="1"/>
  <c r="EI733" i="1" s="1"/>
  <c r="EF740" i="1"/>
  <c r="EJ740" i="1" s="1"/>
  <c r="EC725" i="1"/>
  <c r="ED740" i="1"/>
  <c r="EH740" i="1" s="1"/>
  <c r="EC774" i="1"/>
  <c r="ED779" i="1"/>
  <c r="EH779" i="1" s="1"/>
  <c r="ED725" i="1"/>
  <c r="EH725" i="1" s="1"/>
  <c r="EC800" i="1"/>
  <c r="EF804" i="1"/>
  <c r="EE834" i="1"/>
  <c r="EI834" i="1" s="1"/>
  <c r="EF801" i="1"/>
  <c r="EJ801" i="1" s="1"/>
  <c r="ED772" i="1"/>
  <c r="EH772" i="1" s="1"/>
  <c r="ED814" i="1"/>
  <c r="EH814" i="1" s="1"/>
  <c r="EF808" i="1"/>
  <c r="EC862" i="1"/>
  <c r="EF927" i="1"/>
  <c r="EJ927" i="1" s="1"/>
  <c r="EE865" i="1"/>
  <c r="EI865" i="1" s="1"/>
  <c r="EE894" i="1"/>
  <c r="EI894" i="1" s="1"/>
  <c r="ED884" i="1"/>
  <c r="EH884" i="1" s="1"/>
  <c r="EF841" i="1"/>
  <c r="EJ841" i="1" s="1"/>
  <c r="EF906" i="1"/>
  <c r="EJ906" i="1" s="1"/>
  <c r="ED875" i="1"/>
  <c r="EH875" i="1" s="1"/>
  <c r="EC898" i="1"/>
  <c r="ED855" i="1"/>
  <c r="EH855" i="1" s="1"/>
  <c r="EC929" i="1"/>
  <c r="EE950" i="1"/>
  <c r="EI950" i="1" s="1"/>
  <c r="EE954" i="1"/>
  <c r="EI954" i="1" s="1"/>
  <c r="EE920" i="1"/>
  <c r="EI920" i="1" s="1"/>
  <c r="EE874" i="1"/>
  <c r="EI874" i="1" s="1"/>
  <c r="EE908" i="1"/>
  <c r="EI908" i="1" s="1"/>
  <c r="EE931" i="1"/>
  <c r="EI931" i="1" s="1"/>
  <c r="EE934" i="1"/>
  <c r="EI934" i="1" s="1"/>
  <c r="EC936" i="1"/>
  <c r="EE1017" i="1"/>
  <c r="EI1017" i="1" s="1"/>
  <c r="ED936" i="1"/>
  <c r="EH936" i="1" s="1"/>
  <c r="EC1035" i="1"/>
  <c r="EC935" i="1"/>
  <c r="EE933" i="1"/>
  <c r="EI933" i="1" s="1"/>
  <c r="EC1020" i="1"/>
  <c r="EC1022" i="1"/>
  <c r="EF1096" i="1"/>
  <c r="EJ1096" i="1" s="1"/>
  <c r="EF1010" i="1"/>
  <c r="EJ1010" i="1" s="1"/>
  <c r="EC1026" i="1"/>
  <c r="EC1090" i="1"/>
  <c r="ED1026" i="1"/>
  <c r="EH1026" i="1" s="1"/>
  <c r="ED1049" i="1"/>
  <c r="EH1049" i="1" s="1"/>
  <c r="EE1091" i="1"/>
  <c r="EI1091" i="1" s="1"/>
  <c r="EE1099" i="1"/>
  <c r="EI1099" i="1" s="1"/>
  <c r="EE1049" i="1"/>
  <c r="EI1049" i="1" s="1"/>
  <c r="EE1005" i="1"/>
  <c r="EI1005" i="1" s="1"/>
  <c r="EE1096" i="1"/>
  <c r="EI1096" i="1" s="1"/>
  <c r="EC1129" i="1"/>
  <c r="EC1094" i="1"/>
  <c r="EF1113" i="1"/>
  <c r="EJ1113" i="1" s="1"/>
  <c r="EF1138" i="1"/>
  <c r="EJ1138" i="1" s="1"/>
  <c r="EF1176" i="1"/>
  <c r="EJ1176" i="1" s="1"/>
  <c r="EC1344" i="1"/>
  <c r="EF1112" i="1"/>
  <c r="EJ1112" i="1" s="1"/>
  <c r="ED1147" i="1"/>
  <c r="EH1147" i="1" s="1"/>
  <c r="EC1118" i="1"/>
  <c r="EE1138" i="1"/>
  <c r="EI1138" i="1" s="1"/>
  <c r="EE1174" i="1"/>
  <c r="EI1174" i="1" s="1"/>
  <c r="EC1119" i="1"/>
  <c r="ED1160" i="1"/>
  <c r="EH1160" i="1" s="1"/>
  <c r="EC1114" i="1"/>
  <c r="EC1216" i="1"/>
  <c r="EF1197" i="1"/>
  <c r="EJ1197" i="1" s="1"/>
  <c r="EC1162" i="1"/>
  <c r="EF1169" i="1"/>
  <c r="EJ1169" i="1" s="1"/>
  <c r="EC1178" i="1"/>
  <c r="EC1196" i="1"/>
  <c r="EC1177" i="1"/>
  <c r="EC1185" i="1"/>
  <c r="EE1221" i="1"/>
  <c r="EI1221" i="1" s="1"/>
  <c r="EC1211" i="1"/>
  <c r="ED1175" i="1"/>
  <c r="EH1175" i="1" s="1"/>
  <c r="ED1183" i="1"/>
  <c r="EH1183" i="1" s="1"/>
  <c r="EE1217" i="1"/>
  <c r="EI1217" i="1" s="1"/>
  <c r="EE1205" i="1"/>
  <c r="EI1205" i="1" s="1"/>
  <c r="EF1216" i="1"/>
  <c r="EJ1216" i="1" s="1"/>
  <c r="EC1232" i="1"/>
  <c r="ED1274" i="1"/>
  <c r="EH1274" i="1" s="1"/>
  <c r="ED1227" i="1"/>
  <c r="EH1227" i="1" s="1"/>
  <c r="EF1269" i="1"/>
  <c r="EJ1269" i="1" s="1"/>
  <c r="ED1201" i="1"/>
  <c r="EH1201" i="1" s="1"/>
  <c r="EC1221" i="1"/>
  <c r="ED1302" i="1"/>
  <c r="EH1302" i="1" s="1"/>
  <c r="EF41" i="1"/>
  <c r="EJ41" i="1" s="1"/>
  <c r="EF39" i="1"/>
  <c r="EJ39" i="1" s="1"/>
  <c r="EE104" i="1"/>
  <c r="EI104" i="1" s="1"/>
  <c r="EF106" i="1"/>
  <c r="EJ106" i="1" s="1"/>
  <c r="EE43" i="1"/>
  <c r="EI43" i="1" s="1"/>
  <c r="EF88" i="1"/>
  <c r="EJ88" i="1" s="1"/>
  <c r="EC87" i="1"/>
  <c r="ED121" i="1"/>
  <c r="EH121" i="1" s="1"/>
  <c r="ED123" i="1"/>
  <c r="EH123" i="1" s="1"/>
  <c r="EF178" i="1"/>
  <c r="EJ178" i="1" s="1"/>
  <c r="EF105" i="1"/>
  <c r="EJ105" i="1" s="1"/>
  <c r="EE121" i="1"/>
  <c r="EI121" i="1" s="1"/>
  <c r="EC185" i="1"/>
  <c r="EE40" i="1"/>
  <c r="EI40" i="1" s="1"/>
  <c r="EE180" i="1"/>
  <c r="EI180" i="1" s="1"/>
  <c r="EF126" i="1"/>
  <c r="EJ126" i="1" s="1"/>
  <c r="EC119" i="1"/>
  <c r="EF295" i="1"/>
  <c r="EJ295" i="1" s="1"/>
  <c r="EC20" i="1"/>
  <c r="EE102" i="1"/>
  <c r="EI102" i="1" s="1"/>
  <c r="EF177" i="1"/>
  <c r="EJ177" i="1" s="1"/>
  <c r="ED125" i="1"/>
  <c r="EH125" i="1" s="1"/>
  <c r="EE133" i="1"/>
  <c r="EI133" i="1" s="1"/>
  <c r="EC233" i="1"/>
  <c r="EF155" i="1"/>
  <c r="EJ155" i="1" s="1"/>
  <c r="EC204" i="1"/>
  <c r="EF233" i="1"/>
  <c r="EJ233" i="1" s="1"/>
  <c r="EE289" i="1"/>
  <c r="EI289" i="1" s="1"/>
  <c r="EE228" i="1"/>
  <c r="EI228" i="1" s="1"/>
  <c r="EC155" i="1"/>
  <c r="EC135" i="1"/>
  <c r="EE149" i="1"/>
  <c r="EI149" i="1" s="1"/>
  <c r="ED160" i="1"/>
  <c r="EH160" i="1" s="1"/>
  <c r="EE193" i="1"/>
  <c r="EI193" i="1" s="1"/>
  <c r="ED274" i="1"/>
  <c r="EH274" i="1" s="1"/>
  <c r="ED135" i="1"/>
  <c r="EH135" i="1" s="1"/>
  <c r="EC170" i="1"/>
  <c r="EC295" i="1"/>
  <c r="EF384" i="1"/>
  <c r="EJ384" i="1" s="1"/>
  <c r="EF367" i="1"/>
  <c r="EJ367" i="1" s="1"/>
  <c r="EF381" i="1"/>
  <c r="EJ381" i="1" s="1"/>
  <c r="EC442" i="1"/>
  <c r="EE406" i="1"/>
  <c r="EI406" i="1" s="1"/>
  <c r="EC392" i="1"/>
  <c r="EC514" i="1"/>
  <c r="ED355" i="1"/>
  <c r="EH355" i="1" s="1"/>
  <c r="ED445" i="1"/>
  <c r="EH445" i="1" s="1"/>
  <c r="ED370" i="1"/>
  <c r="EH370" i="1" s="1"/>
  <c r="EC382" i="1"/>
  <c r="EF468" i="1"/>
  <c r="EJ468" i="1" s="1"/>
  <c r="ED354" i="1"/>
  <c r="EH354" i="1" s="1"/>
  <c r="EC296" i="1"/>
  <c r="ED427" i="1"/>
  <c r="EH427" i="1" s="1"/>
  <c r="EC452" i="1"/>
  <c r="ED609" i="1"/>
  <c r="EH609" i="1" s="1"/>
  <c r="EE587" i="1"/>
  <c r="EI587" i="1" s="1"/>
  <c r="EF503" i="1"/>
  <c r="EJ503" i="1" s="1"/>
  <c r="ED419" i="1"/>
  <c r="EH419" i="1" s="1"/>
  <c r="EC447" i="1"/>
  <c r="ED453" i="1"/>
  <c r="EH453" i="1" s="1"/>
  <c r="EF588" i="1"/>
  <c r="EJ588" i="1" s="1"/>
  <c r="EE403" i="1"/>
  <c r="EI403" i="1" s="1"/>
  <c r="EF517" i="1"/>
  <c r="EJ517" i="1" s="1"/>
  <c r="ED550" i="1"/>
  <c r="EH550" i="1" s="1"/>
  <c r="ED573" i="1"/>
  <c r="EH573" i="1" s="1"/>
  <c r="ED538" i="1"/>
  <c r="EH538" i="1" s="1"/>
  <c r="ED493" i="1"/>
  <c r="EH493" i="1" s="1"/>
  <c r="EF605" i="1"/>
  <c r="EJ605" i="1" s="1"/>
  <c r="EF616" i="1"/>
  <c r="EJ616" i="1" s="1"/>
  <c r="EC573" i="1"/>
  <c r="ED687" i="1"/>
  <c r="EH687" i="1" s="1"/>
  <c r="EF629" i="1"/>
  <c r="EJ629" i="1" s="1"/>
  <c r="EC706" i="1"/>
  <c r="EF717" i="1"/>
  <c r="EJ717" i="1" s="1"/>
  <c r="EF733" i="1"/>
  <c r="EJ733" i="1" s="1"/>
  <c r="EC637" i="1"/>
  <c r="EF691" i="1"/>
  <c r="EJ691" i="1" s="1"/>
  <c r="EF637" i="1"/>
  <c r="EJ637" i="1" s="1"/>
  <c r="ED657" i="1"/>
  <c r="EH657" i="1" s="1"/>
  <c r="EC679" i="1"/>
  <c r="EE706" i="1"/>
  <c r="EI706" i="1" s="1"/>
  <c r="EE563" i="1"/>
  <c r="EI563" i="1" s="1"/>
  <c r="EE676" i="1"/>
  <c r="EF705" i="1"/>
  <c r="EJ705" i="1" s="1"/>
  <c r="EE681" i="1"/>
  <c r="EI681" i="1" s="1"/>
  <c r="EE697" i="1"/>
  <c r="EI697" i="1" s="1"/>
  <c r="EF729" i="1"/>
  <c r="EJ729" i="1" s="1"/>
  <c r="EC806" i="1"/>
  <c r="EF777" i="1"/>
  <c r="EJ777" i="1" s="1"/>
  <c r="EF780" i="1"/>
  <c r="EJ780" i="1" s="1"/>
  <c r="ED692" i="1"/>
  <c r="EH692" i="1" s="1"/>
  <c r="EE740" i="1"/>
  <c r="EI740" i="1" s="1"/>
  <c r="EC779" i="1"/>
  <c r="EC676" i="1"/>
  <c r="EE817" i="1"/>
  <c r="EI817" i="1" s="1"/>
  <c r="EF894" i="1"/>
  <c r="EJ894" i="1" s="1"/>
  <c r="EC795" i="1"/>
  <c r="EE827" i="1"/>
  <c r="EI827" i="1" s="1"/>
  <c r="EF814" i="1"/>
  <c r="EJ814" i="1" s="1"/>
  <c r="ED871" i="1"/>
  <c r="EH871" i="1" s="1"/>
  <c r="ED865" i="1"/>
  <c r="EH865" i="1" s="1"/>
  <c r="EC884" i="1"/>
  <c r="EC915" i="1"/>
  <c r="EC891" i="1"/>
  <c r="EF854" i="1"/>
  <c r="EJ854" i="1" s="1"/>
  <c r="EC875" i="1"/>
  <c r="EF891" i="1"/>
  <c r="EJ891" i="1" s="1"/>
  <c r="EF898" i="1"/>
  <c r="EJ898" i="1" s="1"/>
  <c r="EC921" i="1"/>
  <c r="EC863" i="1"/>
  <c r="ED919" i="1"/>
  <c r="EH919" i="1" s="1"/>
  <c r="EE951" i="1"/>
  <c r="EI951" i="1" s="1"/>
  <c r="ED929" i="1"/>
  <c r="EH929" i="1" s="1"/>
  <c r="ED927" i="1"/>
  <c r="EH927" i="1" s="1"/>
  <c r="ED931" i="1"/>
  <c r="EH931" i="1" s="1"/>
  <c r="EF949" i="1"/>
  <c r="EJ949" i="1" s="1"/>
  <c r="EE1036" i="1"/>
  <c r="EI1036" i="1" s="1"/>
  <c r="EC952" i="1"/>
  <c r="EC1023" i="1"/>
  <c r="EF1023" i="1"/>
  <c r="EJ1023" i="1" s="1"/>
  <c r="EF1059" i="1"/>
  <c r="EJ1059" i="1" s="1"/>
  <c r="EF1080" i="1"/>
  <c r="EJ1080" i="1" s="1"/>
  <c r="EC1049" i="1"/>
  <c r="ED1091" i="1"/>
  <c r="EH1091" i="1" s="1"/>
  <c r="ED1099" i="1"/>
  <c r="EH1099" i="1" s="1"/>
  <c r="EF1079" i="1"/>
  <c r="EJ1079" i="1" s="1"/>
  <c r="EF1078" i="1"/>
  <c r="EJ1078" i="1" s="1"/>
  <c r="EF1133" i="1"/>
  <c r="EJ1133" i="1" s="1"/>
  <c r="EF1130" i="1"/>
  <c r="EJ1130" i="1" s="1"/>
  <c r="EE1054" i="1"/>
  <c r="EI1054" i="1" s="1"/>
  <c r="ED1110" i="1"/>
  <c r="EH1110" i="1" s="1"/>
  <c r="ED1077" i="1"/>
  <c r="EH1077" i="1" s="1"/>
  <c r="EE1084" i="1"/>
  <c r="EI1084" i="1" s="1"/>
  <c r="ED1114" i="1"/>
  <c r="EH1114" i="1" s="1"/>
  <c r="ED1177" i="1"/>
  <c r="EH1177" i="1" s="1"/>
  <c r="EE1345" i="1"/>
  <c r="EI1345" i="1" s="1"/>
  <c r="EF1114" i="1"/>
  <c r="EJ1114" i="1" s="1"/>
  <c r="EF1131" i="1"/>
  <c r="EJ1131" i="1" s="1"/>
  <c r="EF1147" i="1"/>
  <c r="EJ1147" i="1" s="1"/>
  <c r="EE1178" i="1"/>
  <c r="EI1178" i="1" s="1"/>
  <c r="ED1118" i="1"/>
  <c r="EH1118" i="1" s="1"/>
  <c r="EF1159" i="1"/>
  <c r="EJ1159" i="1" s="1"/>
  <c r="EE1175" i="1"/>
  <c r="EI1175" i="1" s="1"/>
  <c r="EC1192" i="1"/>
  <c r="EC1136" i="1"/>
  <c r="EE1146" i="1"/>
  <c r="EI1146" i="1" s="1"/>
  <c r="ED1138" i="1"/>
  <c r="EH1138" i="1" s="1"/>
  <c r="ED1179" i="1"/>
  <c r="EH1179" i="1" s="1"/>
  <c r="EF1196" i="1"/>
  <c r="EJ1196" i="1" s="1"/>
  <c r="EE1222" i="1"/>
  <c r="EI1222" i="1" s="1"/>
  <c r="ED1162" i="1"/>
  <c r="EH1162" i="1" s="1"/>
  <c r="EF1223" i="1"/>
  <c r="EJ1223" i="1" s="1"/>
  <c r="EE1213" i="1"/>
  <c r="EI1213" i="1" s="1"/>
  <c r="EC100" i="1"/>
  <c r="EE119" i="1"/>
  <c r="EI119" i="1" s="1"/>
  <c r="EF110" i="1"/>
  <c r="EJ110" i="1" s="1"/>
  <c r="EF96" i="1"/>
  <c r="EJ96" i="1" s="1"/>
  <c r="EF26" i="1"/>
  <c r="EJ26" i="1" s="1"/>
  <c r="EE30" i="1"/>
  <c r="EI30" i="1" s="1"/>
  <c r="ED87" i="1"/>
  <c r="EH87" i="1" s="1"/>
  <c r="EE100" i="1"/>
  <c r="EI100" i="1" s="1"/>
  <c r="ED192" i="1"/>
  <c r="EH192" i="1" s="1"/>
  <c r="EF305" i="1"/>
  <c r="EJ305" i="1" s="1"/>
  <c r="EF34" i="1"/>
  <c r="EJ34" i="1" s="1"/>
  <c r="ED89" i="1"/>
  <c r="EH89" i="1" s="1"/>
  <c r="EF200" i="1"/>
  <c r="EJ200" i="1" s="1"/>
  <c r="ED126" i="1"/>
  <c r="EH126" i="1" s="1"/>
  <c r="ED9" i="1"/>
  <c r="EH9" i="1" s="1"/>
  <c r="EF230" i="1"/>
  <c r="EJ230" i="1" s="1"/>
  <c r="EE32" i="1"/>
  <c r="EI32" i="1" s="1"/>
  <c r="ED31" i="1"/>
  <c r="EH31" i="1" s="1"/>
  <c r="ED133" i="1"/>
  <c r="EH133" i="1" s="1"/>
  <c r="EC174" i="1"/>
  <c r="EF168" i="1"/>
  <c r="EJ168" i="1" s="1"/>
  <c r="EF192" i="1"/>
  <c r="EJ192" i="1" s="1"/>
  <c r="EC228" i="1"/>
  <c r="ED264" i="1"/>
  <c r="EH264" i="1" s="1"/>
  <c r="EF382" i="1"/>
  <c r="EJ382" i="1" s="1"/>
  <c r="EE242" i="1"/>
  <c r="EI242" i="1" s="1"/>
  <c r="ED289" i="1"/>
  <c r="EH289" i="1" s="1"/>
  <c r="ED183" i="1"/>
  <c r="EH183" i="1" s="1"/>
  <c r="EE374" i="1"/>
  <c r="EI374" i="1" s="1"/>
  <c r="ED155" i="1"/>
  <c r="EH155" i="1" s="1"/>
  <c r="EC180" i="1"/>
  <c r="EC280" i="1"/>
  <c r="EC306" i="1"/>
  <c r="EE162" i="1"/>
  <c r="EI162" i="1" s="1"/>
  <c r="EE203" i="1"/>
  <c r="EI203" i="1" s="1"/>
  <c r="EF385" i="1"/>
  <c r="EJ385" i="1" s="1"/>
  <c r="EF289" i="1"/>
  <c r="EJ289" i="1" s="1"/>
  <c r="ED305" i="1"/>
  <c r="EH305" i="1" s="1"/>
  <c r="EE370" i="1"/>
  <c r="EI370" i="1" s="1"/>
  <c r="EF286" i="1"/>
  <c r="EJ286" i="1" s="1"/>
  <c r="EE296" i="1"/>
  <c r="EI296" i="1" s="1"/>
  <c r="EE313" i="1"/>
  <c r="EI313" i="1" s="1"/>
  <c r="EF442" i="1"/>
  <c r="EJ442" i="1" s="1"/>
  <c r="EF290" i="1"/>
  <c r="EJ290" i="1" s="1"/>
  <c r="ED406" i="1"/>
  <c r="EH406" i="1" s="1"/>
  <c r="EF518" i="1"/>
  <c r="EJ518" i="1" s="1"/>
  <c r="EC355" i="1"/>
  <c r="EF435" i="1"/>
  <c r="EJ435" i="1" s="1"/>
  <c r="EE371" i="1"/>
  <c r="EI371" i="1" s="1"/>
  <c r="ED431" i="1"/>
  <c r="EH431" i="1" s="1"/>
  <c r="EC445" i="1"/>
  <c r="EE442" i="1"/>
  <c r="EI442" i="1" s="1"/>
  <c r="EF473" i="1"/>
  <c r="EJ473" i="1" s="1"/>
  <c r="EE447" i="1"/>
  <c r="EI447" i="1" s="1"/>
  <c r="ED381" i="1"/>
  <c r="EH381" i="1" s="1"/>
  <c r="EC427" i="1"/>
  <c r="EF469" i="1"/>
  <c r="EJ469" i="1" s="1"/>
  <c r="EE613" i="1"/>
  <c r="EI613" i="1" s="1"/>
  <c r="EF541" i="1"/>
  <c r="EJ541" i="1" s="1"/>
  <c r="EE588" i="1"/>
  <c r="EI588" i="1" s="1"/>
  <c r="EF630" i="1"/>
  <c r="EJ630" i="1" s="1"/>
  <c r="EE419" i="1"/>
  <c r="EI419" i="1" s="1"/>
  <c r="EE468" i="1"/>
  <c r="EI468" i="1" s="1"/>
  <c r="ED518" i="1"/>
  <c r="EH518" i="1" s="1"/>
  <c r="EC458" i="1"/>
  <c r="ED578" i="1"/>
  <c r="EH578" i="1" s="1"/>
  <c r="ED458" i="1"/>
  <c r="EH458" i="1" s="1"/>
  <c r="ED611" i="1"/>
  <c r="EH611" i="1" s="1"/>
  <c r="EC687" i="1"/>
  <c r="EF728" i="1"/>
  <c r="EJ728" i="1" s="1"/>
  <c r="EF678" i="1"/>
  <c r="EJ678" i="1" s="1"/>
  <c r="EE708" i="1"/>
  <c r="EI708" i="1" s="1"/>
  <c r="EC729" i="1"/>
  <c r="ED637" i="1"/>
  <c r="EH637" i="1" s="1"/>
  <c r="ED563" i="1"/>
  <c r="EH563" i="1" s="1"/>
  <c r="EE591" i="1"/>
  <c r="EI591" i="1" s="1"/>
  <c r="EC633" i="1"/>
  <c r="ED729" i="1"/>
  <c r="EH729" i="1" s="1"/>
  <c r="EE607" i="1"/>
  <c r="EI607" i="1" s="1"/>
  <c r="ED633" i="1"/>
  <c r="EH633" i="1" s="1"/>
  <c r="EE705" i="1"/>
  <c r="EI705" i="1" s="1"/>
  <c r="EC714" i="1"/>
  <c r="EF668" i="1"/>
  <c r="ED732" i="1"/>
  <c r="EH732" i="1" s="1"/>
  <c r="EE806" i="1"/>
  <c r="EE777" i="1"/>
  <c r="EI777" i="1" s="1"/>
  <c r="ED800" i="1"/>
  <c r="EH800" i="1" s="1"/>
  <c r="ED795" i="1"/>
  <c r="EH795" i="1" s="1"/>
  <c r="EF887" i="1"/>
  <c r="EJ887" i="1" s="1"/>
  <c r="EF815" i="1"/>
  <c r="EJ815" i="1" s="1"/>
  <c r="EE843" i="1"/>
  <c r="EI843" i="1" s="1"/>
  <c r="EC843" i="1"/>
  <c r="EC827" i="1"/>
  <c r="ED853" i="1"/>
  <c r="EH853" i="1" s="1"/>
  <c r="ED827" i="1"/>
  <c r="EH827" i="1" s="1"/>
  <c r="EF837" i="1"/>
  <c r="EJ837" i="1" s="1"/>
  <c r="EF884" i="1"/>
  <c r="EJ884" i="1" s="1"/>
  <c r="EC925" i="1"/>
  <c r="EE891" i="1"/>
  <c r="EI891" i="1" s="1"/>
  <c r="EF875" i="1"/>
  <c r="EJ875" i="1" s="1"/>
  <c r="EE898" i="1"/>
  <c r="EI898" i="1" s="1"/>
  <c r="ED922" i="1"/>
  <c r="EH922" i="1" s="1"/>
  <c r="EE919" i="1"/>
  <c r="EI919" i="1" s="1"/>
  <c r="EF915" i="1"/>
  <c r="EJ915" i="1" s="1"/>
  <c r="EC927" i="1"/>
  <c r="EC906" i="1"/>
  <c r="ED906" i="1"/>
  <c r="EH906" i="1" s="1"/>
  <c r="ED839" i="1"/>
  <c r="EH839" i="1" s="1"/>
  <c r="EE856" i="1"/>
  <c r="EI856" i="1" s="1"/>
  <c r="EC867" i="1"/>
  <c r="EF936" i="1"/>
  <c r="EJ936" i="1" s="1"/>
  <c r="ED867" i="1"/>
  <c r="EH867" i="1" s="1"/>
  <c r="EC931" i="1"/>
  <c r="EF1048" i="1"/>
  <c r="EJ1048" i="1" s="1"/>
  <c r="EF1005" i="1"/>
  <c r="EJ1005" i="1" s="1"/>
  <c r="EC1037" i="1"/>
  <c r="EC951" i="1"/>
  <c r="EF1020" i="1"/>
  <c r="EJ1020" i="1" s="1"/>
  <c r="EE1026" i="1"/>
  <c r="EI1026" i="1" s="1"/>
  <c r="EF1049" i="1"/>
  <c r="EJ1049" i="1" s="1"/>
  <c r="EC1091" i="1"/>
  <c r="EE1100" i="1"/>
  <c r="EI1100" i="1" s="1"/>
  <c r="EC1010" i="1"/>
  <c r="ED1038" i="1"/>
  <c r="EH1038" i="1" s="1"/>
  <c r="EC1052" i="1"/>
  <c r="EC1096" i="1"/>
  <c r="ED1096" i="1"/>
  <c r="EH1096" i="1" s="1"/>
  <c r="EC1085" i="1"/>
  <c r="EF1150" i="1"/>
  <c r="EJ1150" i="1" s="1"/>
  <c r="EF1180" i="1"/>
  <c r="EJ1180" i="1" s="1"/>
  <c r="ED1139" i="1"/>
  <c r="EH1139" i="1" s="1"/>
  <c r="EE1159" i="1"/>
  <c r="EI1159" i="1" s="1"/>
  <c r="EC1180" i="1"/>
  <c r="EF128" i="1"/>
  <c r="EJ128" i="1" s="1"/>
  <c r="EF49" i="1"/>
  <c r="EJ49" i="1" s="1"/>
  <c r="EE54" i="1"/>
  <c r="EI54" i="1" s="1"/>
  <c r="EC105" i="1"/>
  <c r="EF125" i="1"/>
  <c r="EJ125" i="1" s="1"/>
  <c r="EE50" i="1"/>
  <c r="EI50" i="1" s="1"/>
  <c r="EE103" i="1"/>
  <c r="EI103" i="1" s="1"/>
  <c r="EF32" i="1"/>
  <c r="EJ32" i="1" s="1"/>
  <c r="EE31" i="1"/>
  <c r="EI31" i="1" s="1"/>
  <c r="EF35" i="1"/>
  <c r="EJ35" i="1" s="1"/>
  <c r="EC121" i="1"/>
  <c r="EF151" i="1"/>
  <c r="EJ151" i="1" s="1"/>
  <c r="EF123" i="1"/>
  <c r="EJ123" i="1" s="1"/>
  <c r="EE96" i="1"/>
  <c r="EI96" i="1" s="1"/>
  <c r="EC126" i="1"/>
  <c r="EF149" i="1"/>
  <c r="EJ149" i="1" s="1"/>
  <c r="ED156" i="1"/>
  <c r="EH156" i="1" s="1"/>
  <c r="ED20" i="1"/>
  <c r="EH20" i="1" s="1"/>
  <c r="EC133" i="1"/>
  <c r="EF355" i="1"/>
  <c r="EJ355" i="1" s="1"/>
  <c r="ED152" i="1"/>
  <c r="EH152" i="1" s="1"/>
  <c r="ED244" i="1"/>
  <c r="EH244" i="1" s="1"/>
  <c r="EF264" i="1"/>
  <c r="EJ264" i="1" s="1"/>
  <c r="ED243" i="1"/>
  <c r="EH243" i="1" s="1"/>
  <c r="EC289" i="1"/>
  <c r="EE229" i="1"/>
  <c r="EI229" i="1" s="1"/>
  <c r="EC238" i="1"/>
  <c r="EC162" i="1"/>
  <c r="EC203" i="1"/>
  <c r="EE238" i="1"/>
  <c r="EI238" i="1" s="1"/>
  <c r="EC243" i="1"/>
  <c r="EF375" i="1"/>
  <c r="EJ375" i="1" s="1"/>
  <c r="EC175" i="1"/>
  <c r="EE280" i="1"/>
  <c r="EI280" i="1" s="1"/>
  <c r="EF306" i="1"/>
  <c r="EJ306" i="1" s="1"/>
  <c r="EE381" i="1"/>
  <c r="EI381" i="1" s="1"/>
  <c r="EE245" i="1"/>
  <c r="EI245" i="1" s="1"/>
  <c r="EF304" i="1"/>
  <c r="EJ304" i="1" s="1"/>
  <c r="ED265" i="1"/>
  <c r="EH265" i="1" s="1"/>
  <c r="EC305" i="1"/>
  <c r="EF371" i="1"/>
  <c r="EJ371" i="1" s="1"/>
  <c r="EF446" i="1"/>
  <c r="EJ446" i="1" s="1"/>
  <c r="EE459" i="1"/>
  <c r="EI459" i="1" s="1"/>
  <c r="EF265" i="1"/>
  <c r="EJ265" i="1" s="1"/>
  <c r="EF313" i="1"/>
  <c r="EJ313" i="1" s="1"/>
  <c r="EF380" i="1"/>
  <c r="EJ380" i="1" s="1"/>
  <c r="EC406" i="1"/>
  <c r="EE437" i="1"/>
  <c r="EI437" i="1" s="1"/>
  <c r="EF454" i="1"/>
  <c r="EJ454" i="1" s="1"/>
  <c r="ED520" i="1"/>
  <c r="EH520" i="1" s="1"/>
  <c r="EC304" i="1"/>
  <c r="ED384" i="1"/>
  <c r="EH384" i="1" s="1"/>
  <c r="ED383" i="1"/>
  <c r="EH383" i="1" s="1"/>
  <c r="EF392" i="1"/>
  <c r="EJ392" i="1" s="1"/>
  <c r="EC476" i="1"/>
  <c r="EE297" i="1"/>
  <c r="EI297" i="1" s="1"/>
  <c r="EF427" i="1"/>
  <c r="EJ427" i="1" s="1"/>
  <c r="EC546" i="1"/>
  <c r="EF568" i="1"/>
  <c r="EJ568" i="1" s="1"/>
  <c r="EE425" i="1"/>
  <c r="EI425" i="1" s="1"/>
  <c r="EF492" i="1"/>
  <c r="EJ492" i="1" s="1"/>
  <c r="EF514" i="1"/>
  <c r="EJ514" i="1" s="1"/>
  <c r="EE548" i="1"/>
  <c r="EI548" i="1" s="1"/>
  <c r="ED588" i="1"/>
  <c r="EH588" i="1" s="1"/>
  <c r="EF653" i="1"/>
  <c r="EJ653" i="1" s="1"/>
  <c r="ED464" i="1"/>
  <c r="EH464" i="1" s="1"/>
  <c r="EF577" i="1"/>
  <c r="EJ577" i="1" s="1"/>
  <c r="EF628" i="1"/>
  <c r="EJ628" i="1" s="1"/>
  <c r="ED437" i="1"/>
  <c r="EH437" i="1" s="1"/>
  <c r="ED513" i="1"/>
  <c r="EH513" i="1" s="1"/>
  <c r="EC515" i="1"/>
  <c r="EC629" i="1"/>
  <c r="EE611" i="1"/>
  <c r="EI611" i="1" s="1"/>
  <c r="EF633" i="1"/>
  <c r="EJ633" i="1" s="1"/>
  <c r="EE692" i="1"/>
  <c r="EI692" i="1" s="1"/>
  <c r="EE574" i="1"/>
  <c r="EI574" i="1" s="1"/>
  <c r="EF574" i="1"/>
  <c r="EJ574" i="1" s="1"/>
  <c r="EC634" i="1"/>
  <c r="ED616" i="1"/>
  <c r="EH616" i="1" s="1"/>
  <c r="ED681" i="1"/>
  <c r="EH681" i="1" s="1"/>
  <c r="EF715" i="1"/>
  <c r="EJ715" i="1" s="1"/>
  <c r="ED668" i="1"/>
  <c r="EH668" i="1" s="1"/>
  <c r="EF684" i="1"/>
  <c r="EJ684" i="1" s="1"/>
  <c r="EE746" i="1"/>
  <c r="EI746" i="1" s="1"/>
  <c r="EF9" i="1"/>
  <c r="EJ9" i="1" s="1"/>
  <c r="EF53" i="1"/>
  <c r="EJ53" i="1" s="1"/>
  <c r="ED100" i="1"/>
  <c r="EH100" i="1" s="1"/>
  <c r="EE105" i="1"/>
  <c r="EI105" i="1" s="1"/>
  <c r="EF152" i="1"/>
  <c r="EJ152" i="1" s="1"/>
  <c r="EF220" i="1"/>
  <c r="EJ220" i="1" s="1"/>
  <c r="EF30" i="1"/>
  <c r="EJ30" i="1" s="1"/>
  <c r="ED103" i="1"/>
  <c r="EH103" i="1" s="1"/>
  <c r="EF228" i="1"/>
  <c r="EJ228" i="1" s="1"/>
  <c r="EF127" i="1"/>
  <c r="EJ127" i="1" s="1"/>
  <c r="ED53" i="1"/>
  <c r="EH53" i="1" s="1"/>
  <c r="EE110" i="1"/>
  <c r="EI110" i="1" s="1"/>
  <c r="EF160" i="1"/>
  <c r="EJ160" i="1" s="1"/>
  <c r="EE26" i="1"/>
  <c r="EI26" i="1" s="1"/>
  <c r="EC110" i="1"/>
  <c r="ED127" i="1"/>
  <c r="EH127" i="1" s="1"/>
  <c r="EC134" i="1"/>
  <c r="EF183" i="1"/>
  <c r="EJ183" i="1" s="1"/>
  <c r="ED170" i="1"/>
  <c r="EH170" i="1" s="1"/>
  <c r="EF203" i="1"/>
  <c r="EJ203" i="1" s="1"/>
  <c r="EE233" i="1"/>
  <c r="EI233" i="1" s="1"/>
  <c r="EE246" i="1"/>
  <c r="EI246" i="1" s="1"/>
  <c r="EE264" i="1"/>
  <c r="EI264" i="1" s="1"/>
  <c r="ED391" i="1"/>
  <c r="EH391" i="1" s="1"/>
  <c r="ED228" i="1"/>
  <c r="EH228" i="1" s="1"/>
  <c r="ED168" i="1"/>
  <c r="EH168" i="1" s="1"/>
  <c r="EE168" i="1"/>
  <c r="EI168" i="1" s="1"/>
  <c r="EE239" i="1"/>
  <c r="EI239" i="1" s="1"/>
  <c r="EF383" i="1"/>
  <c r="EJ383" i="1" s="1"/>
  <c r="ED162" i="1"/>
  <c r="EH162" i="1" s="1"/>
  <c r="EE211" i="1"/>
  <c r="EI211" i="1" s="1"/>
  <c r="ED280" i="1"/>
  <c r="EH280" i="1" s="1"/>
  <c r="EE306" i="1"/>
  <c r="EI306" i="1" s="1"/>
  <c r="EF388" i="1"/>
  <c r="EJ388" i="1" s="1"/>
  <c r="EE159" i="1"/>
  <c r="EI159" i="1" s="1"/>
  <c r="EC192" i="1"/>
  <c r="EE265" i="1"/>
  <c r="EI265" i="1" s="1"/>
  <c r="EE267" i="1"/>
  <c r="EI267" i="1" s="1"/>
  <c r="EE458" i="1"/>
  <c r="EI458" i="1" s="1"/>
  <c r="ED451" i="1"/>
  <c r="EH451" i="1" s="1"/>
  <c r="EC492" i="1"/>
  <c r="ED388" i="1"/>
  <c r="EH388" i="1" s="1"/>
  <c r="ED281" i="1"/>
  <c r="EH281" i="1" s="1"/>
  <c r="EC290" i="1"/>
  <c r="EF407" i="1"/>
  <c r="EJ407" i="1" s="1"/>
  <c r="EF455" i="1"/>
  <c r="EJ455" i="1" s="1"/>
  <c r="EF405" i="1"/>
  <c r="EJ405" i="1" s="1"/>
  <c r="EF615" i="1"/>
  <c r="EJ615" i="1" s="1"/>
  <c r="EC468" i="1"/>
  <c r="EE538" i="1"/>
  <c r="EI538" i="1" s="1"/>
  <c r="EC455" i="1"/>
  <c r="EE469" i="1"/>
  <c r="EI469" i="1" s="1"/>
  <c r="EC588" i="1"/>
  <c r="EE446" i="1"/>
  <c r="EI446" i="1" s="1"/>
  <c r="EC471" i="1"/>
  <c r="EE518" i="1"/>
  <c r="EI518" i="1" s="1"/>
  <c r="EC635" i="1"/>
  <c r="EF567" i="1"/>
  <c r="EJ567" i="1" s="1"/>
  <c r="ED629" i="1"/>
  <c r="EH629" i="1" s="1"/>
  <c r="EC665" i="1"/>
  <c r="EC731" i="1"/>
  <c r="EC616" i="1"/>
  <c r="ED628" i="1"/>
  <c r="EH628" i="1" s="1"/>
  <c r="EF636" i="1"/>
  <c r="EJ636" i="1" s="1"/>
  <c r="EE731" i="1"/>
  <c r="EI731" i="1" s="1"/>
  <c r="EE628" i="1"/>
  <c r="EI628" i="1" s="1"/>
  <c r="EC668" i="1"/>
  <c r="EF818" i="1"/>
  <c r="EJ818" i="1" s="1"/>
  <c r="EE752" i="1"/>
  <c r="EI752" i="1" s="1"/>
  <c r="ED801" i="1"/>
  <c r="EH801" i="1" s="1"/>
  <c r="ED777" i="1"/>
  <c r="EH777" i="1" s="1"/>
  <c r="EC756" i="1"/>
  <c r="EC775" i="1"/>
  <c r="EF753" i="1"/>
  <c r="EJ753" i="1" s="1"/>
  <c r="ED780" i="1"/>
  <c r="EH780" i="1" s="1"/>
  <c r="EC732" i="1"/>
  <c r="EC748" i="1"/>
  <c r="EE801" i="1"/>
  <c r="EI801" i="1" s="1"/>
  <c r="EE816" i="1"/>
  <c r="EI816" i="1" s="1"/>
  <c r="EE853" i="1"/>
  <c r="EI853" i="1" s="1"/>
  <c r="EE887" i="1"/>
  <c r="EI887" i="1" s="1"/>
  <c r="ED837" i="1"/>
  <c r="EH837" i="1" s="1"/>
  <c r="EF856" i="1"/>
  <c r="EJ856" i="1" s="1"/>
  <c r="EC868" i="1"/>
  <c r="EF866" i="1"/>
  <c r="EJ866" i="1" s="1"/>
  <c r="ED918" i="1"/>
  <c r="EH918" i="1" s="1"/>
  <c r="EE903" i="1"/>
  <c r="EI903" i="1" s="1"/>
  <c r="EE915" i="1"/>
  <c r="EI915" i="1" s="1"/>
  <c r="ED908" i="1"/>
  <c r="EH908" i="1" s="1"/>
  <c r="ED923" i="1"/>
  <c r="EH923" i="1" s="1"/>
  <c r="EF928" i="1"/>
  <c r="EJ928" i="1" s="1"/>
  <c r="EE844" i="1"/>
  <c r="EI844" i="1" s="1"/>
  <c r="EE859" i="1"/>
  <c r="EI859" i="1" s="1"/>
  <c r="EC916" i="1"/>
  <c r="EF951" i="1"/>
  <c r="EJ951" i="1" s="1"/>
  <c r="EF1026" i="1"/>
  <c r="EJ1026" i="1" s="1"/>
  <c r="EE1012" i="1"/>
  <c r="EI1012" i="1" s="1"/>
  <c r="EE936" i="1"/>
  <c r="EI936" i="1" s="1"/>
  <c r="ED1010" i="1"/>
  <c r="EH1010" i="1" s="1"/>
  <c r="EC934" i="1"/>
  <c r="ED1078" i="1"/>
  <c r="EH1078" i="1" s="1"/>
  <c r="EC1131" i="1"/>
  <c r="EF1083" i="1"/>
  <c r="EJ1083" i="1" s="1"/>
  <c r="ED1029" i="1"/>
  <c r="EH1029" i="1" s="1"/>
  <c r="EC1005" i="1"/>
  <c r="EE1098" i="1"/>
  <c r="EI1098" i="1" s="1"/>
  <c r="ED1005" i="1"/>
  <c r="EH1005" i="1" s="1"/>
  <c r="EE1019" i="1"/>
  <c r="EI1019" i="1" s="1"/>
  <c r="EE1065" i="1"/>
  <c r="EI1065" i="1" s="1"/>
  <c r="EE1038" i="1"/>
  <c r="EI1038" i="1" s="1"/>
  <c r="EC1063" i="1"/>
  <c r="EC1093" i="1"/>
  <c r="EF1139" i="1"/>
  <c r="EJ1139" i="1" s="1"/>
  <c r="EC1054" i="1"/>
  <c r="EC1086" i="1"/>
  <c r="ED1095" i="1"/>
  <c r="EH1095" i="1" s="1"/>
  <c r="ED1150" i="1"/>
  <c r="EH1150" i="1" s="1"/>
  <c r="ED1100" i="1"/>
  <c r="EH1100" i="1" s="1"/>
  <c r="EE1136" i="1"/>
  <c r="EI1136" i="1" s="1"/>
  <c r="EE1162" i="1"/>
  <c r="EI1162" i="1" s="1"/>
  <c r="ED1180" i="1"/>
  <c r="EH1180" i="1" s="1"/>
  <c r="EC1138" i="1"/>
  <c r="EC1160" i="1"/>
  <c r="ED1186" i="1"/>
  <c r="EH1186" i="1" s="1"/>
  <c r="EC1159" i="1"/>
  <c r="EC1195" i="1"/>
  <c r="EF1184" i="1"/>
  <c r="EJ1184" i="1" s="1"/>
  <c r="EE1169" i="1"/>
  <c r="EI1169" i="1" s="1"/>
  <c r="EF1236" i="1"/>
  <c r="EJ1236" i="1" s="1"/>
  <c r="EF1181" i="1"/>
  <c r="EJ1181" i="1" s="1"/>
  <c r="EF1187" i="1"/>
  <c r="EJ1187" i="1" s="1"/>
  <c r="EF1199" i="1"/>
  <c r="EJ1199" i="1" s="1"/>
  <c r="ED1174" i="1"/>
  <c r="EH1174" i="1" s="1"/>
  <c r="ED1189" i="1"/>
  <c r="EH1189" i="1" s="1"/>
  <c r="ED1191" i="1"/>
  <c r="EH1191" i="1" s="1"/>
  <c r="EF1209" i="1"/>
  <c r="EJ1209" i="1" s="1"/>
  <c r="EC1219" i="1"/>
  <c r="ED1224" i="1"/>
  <c r="EH1224" i="1" s="1"/>
  <c r="EF1193" i="1"/>
  <c r="EJ1193" i="1" s="1"/>
  <c r="EE1202" i="1"/>
  <c r="EI1202" i="1" s="1"/>
  <c r="EC1208" i="1"/>
  <c r="EF1202" i="1"/>
  <c r="EJ1202" i="1" s="1"/>
  <c r="EC1223" i="1"/>
  <c r="EE1206" i="1"/>
  <c r="EI1206" i="1" s="1"/>
  <c r="EC1217" i="1"/>
  <c r="EC1248" i="1"/>
  <c r="EC1225" i="1"/>
  <c r="EF1259" i="1"/>
  <c r="EJ1259" i="1" s="1"/>
  <c r="EE1233" i="1"/>
  <c r="EI1233" i="1" s="1"/>
  <c r="EE76" i="1"/>
  <c r="EI76" i="1" s="1"/>
  <c r="EF22" i="1"/>
  <c r="EJ22" i="1" s="1"/>
  <c r="EE74" i="1"/>
  <c r="EI74" i="1" s="1"/>
  <c r="EE75" i="1"/>
  <c r="EI75" i="1" s="1"/>
  <c r="EC30" i="1"/>
  <c r="EC96" i="1"/>
  <c r="EC89" i="1"/>
  <c r="ED96" i="1"/>
  <c r="EH96" i="1" s="1"/>
  <c r="EC103" i="1"/>
  <c r="ED223" i="1"/>
  <c r="EH223" i="1" s="1"/>
  <c r="EF245" i="1"/>
  <c r="EJ245" i="1" s="1"/>
  <c r="ED26" i="1"/>
  <c r="EH26" i="1" s="1"/>
  <c r="EF162" i="1"/>
  <c r="EJ162" i="1" s="1"/>
  <c r="EE244" i="1"/>
  <c r="EI244" i="1" s="1"/>
  <c r="EE53" i="1"/>
  <c r="EI53" i="1" s="1"/>
  <c r="ED106" i="1"/>
  <c r="EH106" i="1" s="1"/>
  <c r="EE198" i="1"/>
  <c r="EI198" i="1" s="1"/>
  <c r="EE78" i="1"/>
  <c r="EI78" i="1" s="1"/>
  <c r="EC128" i="1"/>
  <c r="EE176" i="1"/>
  <c r="EI176" i="1" s="1"/>
  <c r="ED284" i="1"/>
  <c r="EH284" i="1" s="1"/>
  <c r="EF250" i="1"/>
  <c r="EJ250" i="1" s="1"/>
  <c r="EE204" i="1"/>
  <c r="EI204" i="1" s="1"/>
  <c r="ED203" i="1"/>
  <c r="EH203" i="1" s="1"/>
  <c r="EF280" i="1"/>
  <c r="EJ280" i="1" s="1"/>
  <c r="ED306" i="1"/>
  <c r="EH306" i="1" s="1"/>
  <c r="EE290" i="1"/>
  <c r="EI290" i="1" s="1"/>
  <c r="EC424" i="1"/>
  <c r="EE464" i="1"/>
  <c r="EI464" i="1" s="1"/>
  <c r="EC450" i="1"/>
  <c r="ED392" i="1"/>
  <c r="EH392" i="1" s="1"/>
  <c r="ED359" i="1"/>
  <c r="EH359" i="1" s="1"/>
  <c r="EF453" i="1"/>
  <c r="EJ453" i="1" s="1"/>
  <c r="EC381" i="1"/>
  <c r="EE382" i="1"/>
  <c r="EI382" i="1" s="1"/>
  <c r="EE433" i="1"/>
  <c r="EI433" i="1" s="1"/>
  <c r="EF414" i="1"/>
  <c r="EJ414" i="1" s="1"/>
  <c r="ED517" i="1"/>
  <c r="EH517" i="1" s="1"/>
  <c r="ED677" i="1"/>
  <c r="EH677" i="1" s="1"/>
  <c r="ED407" i="1"/>
  <c r="EH407" i="1" s="1"/>
  <c r="ED414" i="1"/>
  <c r="EH414" i="1" s="1"/>
  <c r="EC464" i="1"/>
  <c r="EE567" i="1"/>
  <c r="EI567" i="1" s="1"/>
  <c r="EF591" i="1"/>
  <c r="EJ591" i="1" s="1"/>
  <c r="EE407" i="1"/>
  <c r="EI407" i="1" s="1"/>
  <c r="EE414" i="1"/>
  <c r="EI414" i="1" s="1"/>
  <c r="EE453" i="1"/>
  <c r="EI453" i="1" s="1"/>
  <c r="ED459" i="1"/>
  <c r="EH459" i="1" s="1"/>
  <c r="EC493" i="1"/>
  <c r="ED463" i="1"/>
  <c r="EH463" i="1" s="1"/>
  <c r="EC569" i="1"/>
  <c r="EF618" i="1"/>
  <c r="EJ618" i="1" s="1"/>
  <c r="EE677" i="1"/>
  <c r="EE629" i="1"/>
  <c r="EI629" i="1" s="1"/>
  <c r="EF750" i="1"/>
  <c r="EJ750" i="1" s="1"/>
  <c r="EE725" i="1"/>
  <c r="EI725" i="1" s="1"/>
  <c r="EC587" i="1"/>
  <c r="EE636" i="1"/>
  <c r="EI636" i="1" s="1"/>
  <c r="EF773" i="1"/>
  <c r="EJ773" i="1" s="1"/>
  <c r="EE577" i="1"/>
  <c r="EI577" i="1" s="1"/>
  <c r="ED587" i="1"/>
  <c r="EH587" i="1" s="1"/>
  <c r="EE657" i="1"/>
  <c r="EI657" i="1" s="1"/>
  <c r="ED752" i="1"/>
  <c r="EH752" i="1" s="1"/>
  <c r="EF816" i="1"/>
  <c r="EJ816" i="1" s="1"/>
  <c r="EF779" i="1"/>
  <c r="EJ779" i="1" s="1"/>
  <c r="ED730" i="1"/>
  <c r="EH730" i="1" s="1"/>
  <c r="EF775" i="1"/>
  <c r="EJ775" i="1" s="1"/>
  <c r="EE715" i="1"/>
  <c r="EI715" i="1" s="1"/>
  <c r="EE728" i="1"/>
  <c r="EI728" i="1" s="1"/>
  <c r="ED702" i="1"/>
  <c r="EH702" i="1" s="1"/>
  <c r="EE779" i="1"/>
  <c r="EI779" i="1" s="1"/>
  <c r="EC796" i="1"/>
  <c r="EE747" i="1"/>
  <c r="EI747" i="1" s="1"/>
  <c r="ED804" i="1"/>
  <c r="EH804" i="1" s="1"/>
  <c r="ED818" i="1"/>
  <c r="EH818" i="1" s="1"/>
  <c r="EE909" i="1"/>
  <c r="EI909" i="1" s="1"/>
  <c r="ED843" i="1"/>
  <c r="EH843" i="1" s="1"/>
  <c r="EF859" i="1"/>
  <c r="EJ859" i="1" s="1"/>
  <c r="EF924" i="1"/>
  <c r="EJ924" i="1" s="1"/>
  <c r="EC858" i="1"/>
  <c r="EF846" i="1"/>
  <c r="EJ846" i="1" s="1"/>
  <c r="EC919" i="1"/>
  <c r="EE916" i="1"/>
  <c r="EI916" i="1" s="1"/>
  <c r="EC922" i="1"/>
  <c r="EC908" i="1"/>
  <c r="ED924" i="1"/>
  <c r="EH924" i="1" s="1"/>
  <c r="EE846" i="1"/>
  <c r="EI846" i="1" s="1"/>
  <c r="ED892" i="1"/>
  <c r="EH892" i="1" s="1"/>
  <c r="EF948" i="1"/>
  <c r="EJ948" i="1" s="1"/>
  <c r="EE935" i="1"/>
  <c r="EI935" i="1" s="1"/>
  <c r="ED1012" i="1"/>
  <c r="EH1012" i="1" s="1"/>
  <c r="EF1019" i="1"/>
  <c r="EJ1019" i="1" s="1"/>
  <c r="ED933" i="1"/>
  <c r="EH933" i="1" s="1"/>
  <c r="EC1013" i="1"/>
  <c r="ED935" i="1"/>
  <c r="EH935" i="1" s="1"/>
  <c r="EE1093" i="1"/>
  <c r="EI1093" i="1" s="1"/>
  <c r="EE1006" i="1"/>
  <c r="EI1006" i="1" s="1"/>
  <c r="EE1020" i="1"/>
  <c r="EI1020" i="1" s="1"/>
  <c r="EF1090" i="1"/>
  <c r="EJ1090" i="1" s="1"/>
  <c r="ED1009" i="1"/>
  <c r="EH1009" i="1" s="1"/>
  <c r="EC1048" i="1"/>
  <c r="ED1098" i="1"/>
  <c r="EH1098" i="1" s="1"/>
  <c r="EE1009" i="1"/>
  <c r="EI1009" i="1" s="1"/>
  <c r="EF1054" i="1"/>
  <c r="EJ1054" i="1" s="1"/>
  <c r="EC1087" i="1"/>
  <c r="EC1141" i="1"/>
  <c r="EE1105" i="1"/>
  <c r="EI1105" i="1" s="1"/>
  <c r="EF1151" i="1"/>
  <c r="EJ1151" i="1" s="1"/>
  <c r="EC1100" i="1"/>
  <c r="ED1112" i="1"/>
  <c r="EH1112" i="1" s="1"/>
  <c r="ED1054" i="1"/>
  <c r="EH1054" i="1" s="1"/>
  <c r="EC1150" i="1"/>
  <c r="ED1084" i="1"/>
  <c r="EH1084" i="1" s="1"/>
  <c r="EF1100" i="1"/>
  <c r="EJ1100" i="1" s="1"/>
  <c r="EC1187" i="1"/>
  <c r="EF1129" i="1"/>
  <c r="EJ1129" i="1" s="1"/>
  <c r="EC1139" i="1"/>
  <c r="ED1137" i="1"/>
  <c r="EH1137" i="1" s="1"/>
  <c r="EE1137" i="1"/>
  <c r="EI1137" i="1" s="1"/>
  <c r="EE1118" i="1"/>
  <c r="EI1118" i="1" s="1"/>
  <c r="EC1110" i="1"/>
  <c r="ED1136" i="1"/>
  <c r="EH1136" i="1" s="1"/>
  <c r="EE1191" i="1"/>
  <c r="EI1191" i="1" s="1"/>
  <c r="EE1236" i="1"/>
  <c r="EI1236" i="1" s="1"/>
  <c r="EE1176" i="1"/>
  <c r="EI1176" i="1" s="1"/>
  <c r="EC1165" i="1"/>
  <c r="EF1191" i="1"/>
  <c r="EJ1191" i="1" s="1"/>
  <c r="EE1209" i="1"/>
  <c r="EI1209" i="1" s="1"/>
  <c r="EF1198" i="1"/>
  <c r="EJ1198" i="1" s="1"/>
  <c r="ED1236" i="1"/>
  <c r="EH1236" i="1" s="1"/>
  <c r="EC1194" i="1"/>
  <c r="EF1283" i="1"/>
  <c r="EJ1283" i="1" s="1"/>
  <c r="ED1223" i="1"/>
  <c r="EH1223" i="1" s="1"/>
  <c r="ED1206" i="1"/>
  <c r="EH1206" i="1" s="1"/>
  <c r="EE1227" i="1"/>
  <c r="EI1227" i="1" s="1"/>
  <c r="EC1234" i="1"/>
  <c r="EE1251" i="1"/>
  <c r="EI1251" i="1" s="1"/>
  <c r="EE1201" i="1"/>
  <c r="EI1201" i="1" s="1"/>
  <c r="EC702" i="1"/>
  <c r="EF920" i="1"/>
  <c r="EJ920" i="1" s="1"/>
  <c r="ED915" i="1"/>
  <c r="EH915" i="1" s="1"/>
  <c r="EF1118" i="1"/>
  <c r="EJ1118" i="1" s="1"/>
  <c r="EF1084" i="1"/>
  <c r="EJ1084" i="1" s="1"/>
  <c r="EC1095" i="1"/>
  <c r="EE1119" i="1"/>
  <c r="EI1119" i="1" s="1"/>
  <c r="ED1233" i="1"/>
  <c r="EH1233" i="1" s="1"/>
  <c r="EE1219" i="1"/>
  <c r="EI1219" i="1" s="1"/>
  <c r="EC1222" i="1"/>
  <c r="ED1222" i="1"/>
  <c r="EH1222" i="1" s="1"/>
  <c r="EF1234" i="1"/>
  <c r="EJ1234" i="1" s="1"/>
  <c r="EE1252" i="1"/>
  <c r="EI1252" i="1" s="1"/>
  <c r="EE1279" i="1"/>
  <c r="EI1279" i="1" s="1"/>
  <c r="ED1299" i="1"/>
  <c r="EH1299" i="1" s="1"/>
  <c r="EE1305" i="1"/>
  <c r="EI1305" i="1" s="1"/>
  <c r="EC1288" i="1"/>
  <c r="EC1316" i="1"/>
  <c r="EE1317" i="1"/>
  <c r="EI1317" i="1" s="1"/>
  <c r="EF1305" i="1"/>
  <c r="EJ1305" i="1" s="1"/>
  <c r="EE1306" i="1"/>
  <c r="EI1306" i="1" s="1"/>
  <c r="ED1323" i="1"/>
  <c r="EH1323" i="1" s="1"/>
  <c r="EC1348" i="1"/>
  <c r="EF1342" i="1"/>
  <c r="EJ1342" i="1" s="1"/>
  <c r="EF1358" i="1"/>
  <c r="EJ1358" i="1" s="1"/>
  <c r="EE1346" i="1"/>
  <c r="EI1346" i="1" s="1"/>
  <c r="ED1358" i="1"/>
  <c r="EH1358" i="1" s="1"/>
  <c r="EC1382" i="1"/>
  <c r="EE1380" i="1"/>
  <c r="EI1380" i="1" s="1"/>
  <c r="EF1376" i="1"/>
  <c r="EJ1376" i="1" s="1"/>
  <c r="ED1384" i="1"/>
  <c r="EH1384" i="1" s="1"/>
  <c r="EE1393" i="1"/>
  <c r="EI1393" i="1" s="1"/>
  <c r="EE1377" i="1"/>
  <c r="EI1377" i="1" s="1"/>
  <c r="ED1373" i="1"/>
  <c r="EH1373" i="1" s="1"/>
  <c r="EE1388" i="1"/>
  <c r="EI1388" i="1" s="1"/>
  <c r="EF1400" i="1"/>
  <c r="EJ1400" i="1" s="1"/>
  <c r="EF1412" i="1"/>
  <c r="EJ1412" i="1" s="1"/>
  <c r="ED1400" i="1"/>
  <c r="EH1400" i="1" s="1"/>
  <c r="ED1409" i="1"/>
  <c r="EH1409" i="1" s="1"/>
  <c r="ED1419" i="1"/>
  <c r="EH1419" i="1" s="1"/>
  <c r="EC1467" i="1"/>
  <c r="EF1012" i="1"/>
  <c r="EJ1012" i="1" s="1"/>
  <c r="ED949" i="1"/>
  <c r="EH949" i="1" s="1"/>
  <c r="EC1024" i="1"/>
  <c r="EE1150" i="1"/>
  <c r="EI1150" i="1" s="1"/>
  <c r="EE1195" i="1"/>
  <c r="EI1195" i="1" s="1"/>
  <c r="EC1231" i="1"/>
  <c r="ED1178" i="1"/>
  <c r="EH1178" i="1" s="1"/>
  <c r="ED1219" i="1"/>
  <c r="EH1219" i="1" s="1"/>
  <c r="EC1233" i="1"/>
  <c r="EE1223" i="1"/>
  <c r="EI1223" i="1" s="1"/>
  <c r="ED1234" i="1"/>
  <c r="EH1234" i="1" s="1"/>
  <c r="EC1269" i="1"/>
  <c r="EC1281" i="1"/>
  <c r="EE1269" i="1"/>
  <c r="EI1269" i="1" s="1"/>
  <c r="EC1273" i="1"/>
  <c r="ED1305" i="1"/>
  <c r="EH1305" i="1" s="1"/>
  <c r="EC1308" i="1"/>
  <c r="EF1307" i="1"/>
  <c r="EJ1307" i="1" s="1"/>
  <c r="EC1349" i="1"/>
  <c r="EE1335" i="1"/>
  <c r="EI1335" i="1" s="1"/>
  <c r="EE1342" i="1"/>
  <c r="EI1342" i="1" s="1"/>
  <c r="EE1310" i="1"/>
  <c r="EI1310" i="1" s="1"/>
  <c r="EC1325" i="1"/>
  <c r="EC1324" i="1"/>
  <c r="EC1350" i="1"/>
  <c r="ED1383" i="1"/>
  <c r="EH1383" i="1" s="1"/>
  <c r="EE1385" i="1"/>
  <c r="EI1385" i="1" s="1"/>
  <c r="EC1401" i="1"/>
  <c r="EC1384" i="1"/>
  <c r="EF1394" i="1"/>
  <c r="EJ1394" i="1" s="1"/>
  <c r="EE1403" i="1"/>
  <c r="EI1403" i="1" s="1"/>
  <c r="EE1390" i="1"/>
  <c r="EI1390" i="1" s="1"/>
  <c r="ED1412" i="1"/>
  <c r="EH1412" i="1" s="1"/>
  <c r="EE1404" i="1"/>
  <c r="EI1404" i="1" s="1"/>
  <c r="EC740" i="1"/>
  <c r="ED868" i="1"/>
  <c r="EH868" i="1" s="1"/>
  <c r="EE1077" i="1"/>
  <c r="EI1077" i="1" s="1"/>
  <c r="EE1013" i="1"/>
  <c r="EI1013" i="1" s="1"/>
  <c r="EE1094" i="1"/>
  <c r="EI1094" i="1" s="1"/>
  <c r="EE1180" i="1"/>
  <c r="EI1180" i="1" s="1"/>
  <c r="EE1183" i="1"/>
  <c r="EI1183" i="1" s="1"/>
  <c r="ED1195" i="1"/>
  <c r="EH1195" i="1" s="1"/>
  <c r="EE1179" i="1"/>
  <c r="EI1179" i="1" s="1"/>
  <c r="EF1210" i="1"/>
  <c r="EJ1210" i="1" s="1"/>
  <c r="EC1201" i="1"/>
  <c r="EC1220" i="1"/>
  <c r="EE1267" i="1"/>
  <c r="EI1267" i="1" s="1"/>
  <c r="EF1242" i="1"/>
  <c r="EJ1242" i="1" s="1"/>
  <c r="ED1251" i="1"/>
  <c r="EH1251" i="1" s="1"/>
  <c r="ED1304" i="1"/>
  <c r="EH1304" i="1" s="1"/>
  <c r="EE1323" i="1"/>
  <c r="EI1323" i="1" s="1"/>
  <c r="ED1252" i="1"/>
  <c r="EH1252" i="1" s="1"/>
  <c r="EC1305" i="1"/>
  <c r="EC1340" i="1"/>
  <c r="EF1322" i="1"/>
  <c r="EJ1322" i="1" s="1"/>
  <c r="EF1310" i="1"/>
  <c r="EJ1310" i="1" s="1"/>
  <c r="EE1298" i="1"/>
  <c r="EI1298" i="1" s="1"/>
  <c r="EE1314" i="1"/>
  <c r="EI1314" i="1" s="1"/>
  <c r="EE1350" i="1"/>
  <c r="EI1350" i="1" s="1"/>
  <c r="ED1335" i="1"/>
  <c r="EH1335" i="1" s="1"/>
  <c r="ED1342" i="1"/>
  <c r="EH1342" i="1" s="1"/>
  <c r="EE1322" i="1"/>
  <c r="EI1322" i="1" s="1"/>
  <c r="EC1369" i="1"/>
  <c r="EE1372" i="1"/>
  <c r="EI1372" i="1" s="1"/>
  <c r="EC1345" i="1"/>
  <c r="EE1347" i="1"/>
  <c r="EI1347" i="1" s="1"/>
  <c r="EE1356" i="1"/>
  <c r="EI1356" i="1" s="1"/>
  <c r="EF1396" i="1"/>
  <c r="EJ1396" i="1" s="1"/>
  <c r="EF1385" i="1"/>
  <c r="EJ1385" i="1" s="1"/>
  <c r="EE1394" i="1"/>
  <c r="EI1394" i="1" s="1"/>
  <c r="EE1397" i="1"/>
  <c r="EI1397" i="1" s="1"/>
  <c r="EC1368" i="1"/>
  <c r="ED1381" i="1"/>
  <c r="EH1381" i="1" s="1"/>
  <c r="EE1373" i="1"/>
  <c r="EI1373" i="1" s="1"/>
  <c r="EC1390" i="1"/>
  <c r="EF1404" i="1"/>
  <c r="EJ1404" i="1" s="1"/>
  <c r="EE1368" i="1"/>
  <c r="EI1368" i="1" s="1"/>
  <c r="EE1389" i="1"/>
  <c r="EI1389" i="1" s="1"/>
  <c r="EC1397" i="1"/>
  <c r="EC1412" i="1"/>
  <c r="ED1408" i="1"/>
  <c r="EH1408" i="1" s="1"/>
  <c r="EE927" i="1"/>
  <c r="EI927" i="1" s="1"/>
  <c r="EE923" i="1"/>
  <c r="EI923" i="1" s="1"/>
  <c r="EF1098" i="1"/>
  <c r="EJ1098" i="1" s="1"/>
  <c r="EE1160" i="1"/>
  <c r="EI1160" i="1" s="1"/>
  <c r="EF1192" i="1"/>
  <c r="EJ1192" i="1" s="1"/>
  <c r="ED1213" i="1"/>
  <c r="EH1213" i="1" s="1"/>
  <c r="EF1220" i="1"/>
  <c r="EJ1220" i="1" s="1"/>
  <c r="EF1273" i="1"/>
  <c r="EJ1273" i="1" s="1"/>
  <c r="EC1258" i="1"/>
  <c r="EF1247" i="1"/>
  <c r="EJ1247" i="1" s="1"/>
  <c r="ED1258" i="1"/>
  <c r="EH1258" i="1" s="1"/>
  <c r="EC1265" i="1"/>
  <c r="EE1258" i="1"/>
  <c r="EI1258" i="1" s="1"/>
  <c r="EF1301" i="1"/>
  <c r="EJ1301" i="1" s="1"/>
  <c r="EF1288" i="1"/>
  <c r="EJ1288" i="1" s="1"/>
  <c r="EE1292" i="1"/>
  <c r="EI1292" i="1" s="1"/>
  <c r="EF1306" i="1"/>
  <c r="EJ1306" i="1" s="1"/>
  <c r="EC1300" i="1"/>
  <c r="EC1296" i="1"/>
  <c r="ED1309" i="1"/>
  <c r="EH1309" i="1" s="1"/>
  <c r="EC1307" i="1"/>
  <c r="EC1335" i="1"/>
  <c r="ED1310" i="1"/>
  <c r="EH1310" i="1" s="1"/>
  <c r="EC1342" i="1"/>
  <c r="EF1323" i="1"/>
  <c r="EJ1323" i="1" s="1"/>
  <c r="EC1355" i="1"/>
  <c r="ED1341" i="1"/>
  <c r="EH1341" i="1" s="1"/>
  <c r="ED1346" i="1"/>
  <c r="EH1346" i="1" s="1"/>
  <c r="ED1355" i="1"/>
  <c r="EH1355" i="1" s="1"/>
  <c r="EC1370" i="1"/>
  <c r="EC1347" i="1"/>
  <c r="EC1356" i="1"/>
  <c r="ED1369" i="1"/>
  <c r="EH1369" i="1" s="1"/>
  <c r="EF1405" i="1"/>
  <c r="EJ1405" i="1" s="1"/>
  <c r="EF1369" i="1"/>
  <c r="EJ1369" i="1" s="1"/>
  <c r="ED1394" i="1"/>
  <c r="EH1394" i="1" s="1"/>
  <c r="EC1376" i="1"/>
  <c r="ED1368" i="1"/>
  <c r="EH1368" i="1" s="1"/>
  <c r="EC1379" i="1"/>
  <c r="EF1384" i="1"/>
  <c r="EJ1384" i="1" s="1"/>
  <c r="EC1395" i="1"/>
  <c r="EC1404" i="1"/>
  <c r="ED1396" i="1"/>
  <c r="EH1396" i="1" s="1"/>
  <c r="EC1389" i="1"/>
  <c r="EC1409" i="1"/>
  <c r="ED1467" i="1"/>
  <c r="EC801" i="1"/>
  <c r="EE1085" i="1"/>
  <c r="EI1085" i="1" s="1"/>
  <c r="ED1220" i="1"/>
  <c r="EH1220" i="1" s="1"/>
  <c r="EC1174" i="1"/>
  <c r="EE1196" i="1"/>
  <c r="EI1196" i="1" s="1"/>
  <c r="EE1192" i="1"/>
  <c r="EI1192" i="1" s="1"/>
  <c r="EF1207" i="1"/>
  <c r="EJ1207" i="1" s="1"/>
  <c r="ED1221" i="1"/>
  <c r="EH1221" i="1" s="1"/>
  <c r="EE1259" i="1"/>
  <c r="EI1259" i="1" s="1"/>
  <c r="ED1260" i="1"/>
  <c r="EH1260" i="1" s="1"/>
  <c r="EE1260" i="1"/>
  <c r="EI1260" i="1" s="1"/>
  <c r="EC1292" i="1"/>
  <c r="ED1273" i="1"/>
  <c r="EH1273" i="1" s="1"/>
  <c r="EF1298" i="1"/>
  <c r="EJ1298" i="1" s="1"/>
  <c r="EF1315" i="1"/>
  <c r="EJ1315" i="1" s="1"/>
  <c r="EF1292" i="1"/>
  <c r="EJ1292" i="1" s="1"/>
  <c r="EE1301" i="1"/>
  <c r="EI1301" i="1" s="1"/>
  <c r="EF1313" i="1"/>
  <c r="EJ1313" i="1" s="1"/>
  <c r="EC1322" i="1"/>
  <c r="EC1315" i="1"/>
  <c r="EF1338" i="1"/>
  <c r="EJ1338" i="1" s="1"/>
  <c r="ED1325" i="1"/>
  <c r="EH1325" i="1" s="1"/>
  <c r="EF1346" i="1"/>
  <c r="EJ1346" i="1" s="1"/>
  <c r="EE1341" i="1"/>
  <c r="EI1341" i="1" s="1"/>
  <c r="ED1356" i="1"/>
  <c r="EH1356" i="1" s="1"/>
  <c r="ED1371" i="1"/>
  <c r="EH1371" i="1" s="1"/>
  <c r="EF1368" i="1"/>
  <c r="EJ1368" i="1" s="1"/>
  <c r="EF1360" i="1"/>
  <c r="EJ1360" i="1" s="1"/>
  <c r="EE1358" i="1"/>
  <c r="EI1358" i="1" s="1"/>
  <c r="EF1388" i="1"/>
  <c r="EJ1388" i="1" s="1"/>
  <c r="EC1394" i="1"/>
  <c r="EF1402" i="1"/>
  <c r="EJ1402" i="1" s="1"/>
  <c r="EC1396" i="1"/>
  <c r="EF1415" i="1"/>
  <c r="EJ1415" i="1" s="1"/>
  <c r="EC1392" i="1"/>
  <c r="EE1418" i="1"/>
  <c r="EI1418" i="1" s="1"/>
  <c r="ED1434" i="1"/>
  <c r="EC804" i="1"/>
  <c r="EE837" i="1"/>
  <c r="EI837" i="1" s="1"/>
  <c r="EF908" i="1"/>
  <c r="EJ908" i="1" s="1"/>
  <c r="EF848" i="1"/>
  <c r="EJ848" i="1" s="1"/>
  <c r="EE875" i="1"/>
  <c r="EI875" i="1" s="1"/>
  <c r="ED1024" i="1"/>
  <c r="EH1024" i="1" s="1"/>
  <c r="EF1007" i="1"/>
  <c r="EJ1007" i="1" s="1"/>
  <c r="EF1009" i="1"/>
  <c r="EJ1009" i="1" s="1"/>
  <c r="EC1038" i="1"/>
  <c r="EE1063" i="1"/>
  <c r="EI1063" i="1" s="1"/>
  <c r="EF1137" i="1"/>
  <c r="EJ1137" i="1" s="1"/>
  <c r="EC1077" i="1"/>
  <c r="EE1143" i="1"/>
  <c r="EI1143" i="1" s="1"/>
  <c r="EF1227" i="1"/>
  <c r="EJ1227" i="1" s="1"/>
  <c r="EC1143" i="1"/>
  <c r="EC1188" i="1"/>
  <c r="EF1244" i="1"/>
  <c r="EJ1244" i="1" s="1"/>
  <c r="ED1259" i="1"/>
  <c r="EH1259" i="1" s="1"/>
  <c r="EE1231" i="1"/>
  <c r="EI1231" i="1" s="1"/>
  <c r="ED1267" i="1"/>
  <c r="EH1267" i="1" s="1"/>
  <c r="EC1274" i="1"/>
  <c r="EF1299" i="1"/>
  <c r="EJ1299" i="1" s="1"/>
  <c r="ED1338" i="1"/>
  <c r="EH1338" i="1" s="1"/>
  <c r="EC1302" i="1"/>
  <c r="ED1288" i="1"/>
  <c r="EH1288" i="1" s="1"/>
  <c r="ED1301" i="1"/>
  <c r="EH1301" i="1" s="1"/>
  <c r="EF1302" i="1"/>
  <c r="EJ1302" i="1" s="1"/>
  <c r="ED1312" i="1"/>
  <c r="EH1312" i="1" s="1"/>
  <c r="EE1313" i="1"/>
  <c r="EI1313" i="1" s="1"/>
  <c r="EC1304" i="1"/>
  <c r="ED1317" i="1"/>
  <c r="EH1317" i="1" s="1"/>
  <c r="EC1310" i="1"/>
  <c r="EE1338" i="1"/>
  <c r="EI1338" i="1" s="1"/>
  <c r="EF1355" i="1"/>
  <c r="EJ1355" i="1" s="1"/>
  <c r="EE1325" i="1"/>
  <c r="EI1325" i="1" s="1"/>
  <c r="EF1335" i="1"/>
  <c r="EJ1335" i="1" s="1"/>
  <c r="EC1346" i="1"/>
  <c r="EF1343" i="1"/>
  <c r="EJ1343" i="1" s="1"/>
  <c r="EF1348" i="1"/>
  <c r="EJ1348" i="1" s="1"/>
  <c r="EC1374" i="1"/>
  <c r="ED1347" i="1"/>
  <c r="EH1347" i="1" s="1"/>
  <c r="ED1375" i="1"/>
  <c r="EH1375" i="1" s="1"/>
  <c r="EC1377" i="1"/>
  <c r="EC1360" i="1"/>
  <c r="EF1363" i="1"/>
  <c r="EJ1363" i="1" s="1"/>
  <c r="EF1390" i="1"/>
  <c r="EJ1390" i="1" s="1"/>
  <c r="EF1377" i="1"/>
  <c r="EJ1377" i="1" s="1"/>
  <c r="ED1388" i="1"/>
  <c r="EH1388" i="1" s="1"/>
  <c r="EE1384" i="1"/>
  <c r="EI1384" i="1" s="1"/>
  <c r="EC1387" i="1"/>
  <c r="EF1386" i="1"/>
  <c r="EJ1386" i="1" s="1"/>
  <c r="ED1404" i="1"/>
  <c r="EH1404" i="1" s="1"/>
  <c r="ED1415" i="1"/>
  <c r="EH1415" i="1" s="1"/>
  <c r="EE1412" i="1"/>
  <c r="EI1412" i="1" s="1"/>
  <c r="EF1467" i="1"/>
  <c r="EE694" i="1"/>
  <c r="EI694" i="1" s="1"/>
  <c r="ED817" i="1"/>
  <c r="EH817" i="1" s="1"/>
  <c r="EC903" i="1"/>
  <c r="EF933" i="1"/>
  <c r="EJ933" i="1" s="1"/>
  <c r="EE1021" i="1"/>
  <c r="EI1021" i="1" s="1"/>
  <c r="EC1099" i="1"/>
  <c r="EC1078" i="1"/>
  <c r="ED1182" i="1"/>
  <c r="EH1182" i="1" s="1"/>
  <c r="ED1208" i="1"/>
  <c r="EH1208" i="1" s="1"/>
  <c r="EE1198" i="1"/>
  <c r="EI1198" i="1" s="1"/>
  <c r="EF1258" i="1"/>
  <c r="EJ1258" i="1" s="1"/>
  <c r="EF1232" i="1"/>
  <c r="EJ1232" i="1" s="1"/>
  <c r="EF1260" i="1"/>
  <c r="EJ1260" i="1" s="1"/>
  <c r="EC1259" i="1"/>
  <c r="ED1231" i="1"/>
  <c r="EH1231" i="1" s="1"/>
  <c r="EE1234" i="1"/>
  <c r="EI1234" i="1" s="1"/>
  <c r="EE1246" i="1"/>
  <c r="EI1246" i="1" s="1"/>
  <c r="EC1235" i="1"/>
  <c r="EE1247" i="1"/>
  <c r="EI1247" i="1" s="1"/>
  <c r="ED1276" i="1"/>
  <c r="EH1276" i="1" s="1"/>
  <c r="EC1260" i="1"/>
  <c r="ED1269" i="1"/>
  <c r="EH1269" i="1" s="1"/>
  <c r="EC1299" i="1"/>
  <c r="EE1274" i="1"/>
  <c r="EI1274" i="1" s="1"/>
  <c r="EE1302" i="1"/>
  <c r="EI1302" i="1" s="1"/>
  <c r="EF1314" i="1"/>
  <c r="EJ1314" i="1" s="1"/>
  <c r="ED1313" i="1"/>
  <c r="EH1313" i="1" s="1"/>
  <c r="EF1356" i="1"/>
  <c r="EJ1356" i="1" s="1"/>
  <c r="EE1309" i="1"/>
  <c r="EI1309" i="1" s="1"/>
  <c r="EF1339" i="1"/>
  <c r="EJ1339" i="1" s="1"/>
  <c r="EF1347" i="1"/>
  <c r="EJ1347" i="1" s="1"/>
  <c r="EE1355" i="1"/>
  <c r="EI1355" i="1" s="1"/>
  <c r="EF1381" i="1"/>
  <c r="EJ1381" i="1" s="1"/>
  <c r="EC1358" i="1"/>
  <c r="EE1357" i="1"/>
  <c r="EI1357" i="1" s="1"/>
  <c r="EF1378" i="1"/>
  <c r="EJ1378" i="1" s="1"/>
  <c r="EF1373" i="1"/>
  <c r="EJ1373" i="1" s="1"/>
  <c r="ED1377" i="1"/>
  <c r="EH1377" i="1" s="1"/>
  <c r="ED1390" i="1"/>
  <c r="EH1390" i="1" s="1"/>
  <c r="EC1388" i="1"/>
  <c r="ED1363" i="1"/>
  <c r="EH1363" i="1" s="1"/>
  <c r="EE1363" i="1"/>
  <c r="EI1363" i="1" s="1"/>
  <c r="EE1381" i="1"/>
  <c r="EI1381" i="1" s="1"/>
  <c r="ED1392" i="1"/>
  <c r="EH1392" i="1" s="1"/>
  <c r="EC1413" i="1"/>
  <c r="EE1401" i="1"/>
  <c r="EI1401" i="1" s="1"/>
  <c r="EF1419" i="1"/>
  <c r="EJ1419" i="1" s="1"/>
  <c r="ED1410" i="1"/>
  <c r="EH1410" i="1" s="1"/>
  <c r="EC1415" i="1"/>
  <c r="ED1405" i="1"/>
  <c r="EH1405" i="1" s="1"/>
  <c r="EE1409" i="1"/>
  <c r="EI1409" i="1" s="1"/>
  <c r="EE1419" i="1"/>
  <c r="EI1419" i="1" s="1"/>
  <c r="ED728" i="1"/>
  <c r="EH728" i="1" s="1"/>
  <c r="EC746" i="1"/>
  <c r="ED891" i="1"/>
  <c r="EH891" i="1" s="1"/>
  <c r="EC853" i="1"/>
  <c r="ED903" i="1"/>
  <c r="EH903" i="1" s="1"/>
  <c r="EC917" i="1"/>
  <c r="EC1006" i="1"/>
  <c r="EF1179" i="1"/>
  <c r="EJ1179" i="1" s="1"/>
  <c r="ED1159" i="1"/>
  <c r="EH1159" i="1" s="1"/>
  <c r="ED1163" i="1"/>
  <c r="EH1163" i="1" s="1"/>
  <c r="EE1187" i="1"/>
  <c r="EI1187" i="1" s="1"/>
  <c r="ED1226" i="1"/>
  <c r="EH1226" i="1" s="1"/>
  <c r="EF1219" i="1"/>
  <c r="EJ1219" i="1" s="1"/>
  <c r="ED1217" i="1"/>
  <c r="EH1217" i="1" s="1"/>
  <c r="EF1231" i="1"/>
  <c r="EJ1231" i="1" s="1"/>
  <c r="ED1255" i="1"/>
  <c r="EH1255" i="1" s="1"/>
  <c r="EF1309" i="1"/>
  <c r="EJ1309" i="1" s="1"/>
  <c r="EE1299" i="1"/>
  <c r="EI1299" i="1" s="1"/>
  <c r="EE1283" i="1"/>
  <c r="EI1283" i="1" s="1"/>
  <c r="EE1288" i="1"/>
  <c r="EI1288" i="1" s="1"/>
  <c r="EF1296" i="1"/>
  <c r="EJ1296" i="1" s="1"/>
  <c r="EC1313" i="1"/>
  <c r="EC1312" i="1"/>
  <c r="ED1322" i="1"/>
  <c r="EH1322" i="1" s="1"/>
  <c r="ED1367" i="1"/>
  <c r="EH1367" i="1" s="1"/>
  <c r="EF1357" i="1"/>
  <c r="EJ1357" i="1" s="1"/>
  <c r="ED1345" i="1"/>
  <c r="EH1345" i="1" s="1"/>
  <c r="ED1350" i="1"/>
  <c r="EH1350" i="1" s="1"/>
  <c r="ED1379" i="1"/>
  <c r="EH1379" i="1" s="1"/>
  <c r="EC1364" i="1"/>
  <c r="EC1391" i="1"/>
  <c r="EE1369" i="1"/>
  <c r="EI1369" i="1" s="1"/>
  <c r="EC1385" i="1"/>
  <c r="EC1378" i="1"/>
  <c r="ED1385" i="1"/>
  <c r="EH1385" i="1" s="1"/>
  <c r="EC1371" i="1"/>
  <c r="ED1376" i="1"/>
  <c r="EH1376" i="1" s="1"/>
  <c r="EE1376" i="1"/>
  <c r="EI1376" i="1" s="1"/>
  <c r="EF1392" i="1"/>
  <c r="EJ1392" i="1" s="1"/>
  <c r="ED1402" i="1"/>
  <c r="EH1402" i="1" s="1"/>
  <c r="EE1434" i="1"/>
  <c r="EC1400" i="1"/>
  <c r="EE1400" i="1"/>
  <c r="EI1400" i="1" s="1"/>
  <c r="EF1418" i="1"/>
  <c r="EJ1418" i="1" s="1"/>
  <c r="EC1417" i="1"/>
  <c r="EE1467" i="1"/>
  <c r="ED50" i="1"/>
  <c r="EH50" i="1" s="1"/>
  <c r="ED894" i="1"/>
  <c r="EH894" i="1" s="1"/>
  <c r="ED558" i="1"/>
  <c r="EH558" i="1" s="1"/>
  <c r="ED468" i="1"/>
  <c r="EH468" i="1" s="1"/>
  <c r="ED22" i="1"/>
  <c r="EH22" i="1" s="1"/>
  <c r="ED1225" i="1" l="1"/>
  <c r="EH1225" i="1" s="1"/>
  <c r="ED25" i="1"/>
  <c r="EH25" i="1" s="1"/>
  <c r="ED98" i="1"/>
  <c r="EH98" i="1" s="1"/>
  <c r="Y1271" i="1" l="1"/>
  <c r="AD1271" i="1"/>
  <c r="BS1271" i="1"/>
  <c r="BX1271" i="1"/>
  <c r="CA1271" i="1"/>
  <c r="CB1271" i="1"/>
  <c r="CC1271" i="1"/>
  <c r="CD1271" i="1"/>
  <c r="CE1271" i="1"/>
  <c r="CF1271" i="1"/>
  <c r="CG1271" i="1"/>
  <c r="CH1271" i="1"/>
  <c r="CI1271" i="1"/>
  <c r="CK1271" i="1"/>
  <c r="CL1271" i="1"/>
  <c r="CM1271" i="1"/>
  <c r="CN1271" i="1"/>
  <c r="CO1271" i="1"/>
  <c r="CP1271" i="1"/>
  <c r="CQ1271" i="1"/>
  <c r="CR1271" i="1"/>
  <c r="CS1271" i="1"/>
  <c r="CT1271" i="1"/>
  <c r="Y1275" i="1"/>
  <c r="AD1275" i="1"/>
  <c r="BS1275" i="1"/>
  <c r="BX1275" i="1"/>
  <c r="CA1275" i="1"/>
  <c r="CB1275" i="1"/>
  <c r="CC1275" i="1"/>
  <c r="CD1275" i="1"/>
  <c r="CE1275" i="1"/>
  <c r="CF1275" i="1"/>
  <c r="CG1275" i="1"/>
  <c r="CH1275" i="1"/>
  <c r="CI1275" i="1"/>
  <c r="CK1275" i="1"/>
  <c r="CL1275" i="1"/>
  <c r="CM1275" i="1"/>
  <c r="CN1275" i="1"/>
  <c r="CO1275" i="1"/>
  <c r="CP1275" i="1"/>
  <c r="CQ1275" i="1"/>
  <c r="CR1275" i="1"/>
  <c r="CS1275" i="1"/>
  <c r="CT1275" i="1"/>
  <c r="Y1277" i="1"/>
  <c r="AD1277" i="1"/>
  <c r="BS1277" i="1"/>
  <c r="BX1277" i="1"/>
  <c r="CA1277" i="1"/>
  <c r="CB1277" i="1"/>
  <c r="CC1277" i="1"/>
  <c r="CD1277" i="1"/>
  <c r="CE1277" i="1"/>
  <c r="CF1277" i="1"/>
  <c r="CG1277" i="1"/>
  <c r="CH1277" i="1"/>
  <c r="CI1277" i="1"/>
  <c r="CK1277" i="1"/>
  <c r="CL1277" i="1"/>
  <c r="CM1277" i="1"/>
  <c r="CN1277" i="1"/>
  <c r="CO1277" i="1"/>
  <c r="CP1277" i="1"/>
  <c r="CQ1277" i="1"/>
  <c r="CR1277" i="1"/>
  <c r="CS1277" i="1"/>
  <c r="CT1277" i="1"/>
  <c r="Y1280" i="1"/>
  <c r="AD1280" i="1"/>
  <c r="BS1280" i="1"/>
  <c r="BX1280" i="1"/>
  <c r="CA1280" i="1"/>
  <c r="CB1280" i="1"/>
  <c r="CC1280" i="1"/>
  <c r="CD1280" i="1"/>
  <c r="CE1280" i="1"/>
  <c r="CF1280" i="1"/>
  <c r="CG1280" i="1"/>
  <c r="CH1280" i="1"/>
  <c r="CI1280" i="1"/>
  <c r="CK1280" i="1"/>
  <c r="CL1280" i="1"/>
  <c r="CM1280" i="1"/>
  <c r="CN1280" i="1"/>
  <c r="CO1280" i="1"/>
  <c r="CP1280" i="1"/>
  <c r="CQ1280" i="1"/>
  <c r="CR1280" i="1"/>
  <c r="CS1280" i="1"/>
  <c r="CT1280" i="1"/>
  <c r="Y1282" i="1"/>
  <c r="AD1282" i="1"/>
  <c r="BS1282" i="1"/>
  <c r="BX1282" i="1"/>
  <c r="CA1282" i="1"/>
  <c r="CB1282" i="1"/>
  <c r="CC1282" i="1"/>
  <c r="CD1282" i="1"/>
  <c r="CE1282" i="1"/>
  <c r="CF1282" i="1"/>
  <c r="CG1282" i="1"/>
  <c r="CH1282" i="1"/>
  <c r="CI1282" i="1"/>
  <c r="CK1282" i="1"/>
  <c r="CL1282" i="1"/>
  <c r="CM1282" i="1"/>
  <c r="CN1282" i="1"/>
  <c r="CO1282" i="1"/>
  <c r="CP1282" i="1"/>
  <c r="CQ1282" i="1"/>
  <c r="CR1282" i="1"/>
  <c r="CS1282" i="1"/>
  <c r="CT1282" i="1"/>
  <c r="Y1284" i="1"/>
  <c r="AD1284" i="1"/>
  <c r="BS1284" i="1"/>
  <c r="BX1284" i="1"/>
  <c r="CA1284" i="1"/>
  <c r="CB1284" i="1"/>
  <c r="CC1284" i="1"/>
  <c r="CD1284" i="1"/>
  <c r="CE1284" i="1"/>
  <c r="CF1284" i="1"/>
  <c r="CG1284" i="1"/>
  <c r="CH1284" i="1"/>
  <c r="CI1284" i="1"/>
  <c r="CK1284" i="1"/>
  <c r="CL1284" i="1"/>
  <c r="CM1284" i="1"/>
  <c r="CN1284" i="1"/>
  <c r="CO1284" i="1"/>
  <c r="CP1284" i="1"/>
  <c r="CQ1284" i="1"/>
  <c r="CR1284" i="1"/>
  <c r="CS1284" i="1"/>
  <c r="CT1284" i="1"/>
  <c r="Y1289" i="1"/>
  <c r="AD1289" i="1"/>
  <c r="BS1289" i="1"/>
  <c r="BX1289" i="1"/>
  <c r="CA1289" i="1"/>
  <c r="CB1289" i="1"/>
  <c r="CC1289" i="1"/>
  <c r="CD1289" i="1"/>
  <c r="CE1289" i="1"/>
  <c r="CF1289" i="1"/>
  <c r="CG1289" i="1"/>
  <c r="CH1289" i="1"/>
  <c r="CI1289" i="1"/>
  <c r="CK1289" i="1"/>
  <c r="CL1289" i="1"/>
  <c r="CM1289" i="1"/>
  <c r="CN1289" i="1"/>
  <c r="CO1289" i="1"/>
  <c r="CP1289" i="1"/>
  <c r="CQ1289" i="1"/>
  <c r="CR1289" i="1"/>
  <c r="CS1289" i="1"/>
  <c r="CT1289" i="1"/>
  <c r="Y1293" i="1"/>
  <c r="AD1293" i="1"/>
  <c r="BS1293" i="1"/>
  <c r="BX1293" i="1"/>
  <c r="CA1293" i="1"/>
  <c r="CB1293" i="1"/>
  <c r="CC1293" i="1"/>
  <c r="CD1293" i="1"/>
  <c r="CE1293" i="1"/>
  <c r="CF1293" i="1"/>
  <c r="CG1293" i="1"/>
  <c r="CH1293" i="1"/>
  <c r="CI1293" i="1"/>
  <c r="CK1293" i="1"/>
  <c r="CL1293" i="1"/>
  <c r="CM1293" i="1"/>
  <c r="CN1293" i="1"/>
  <c r="CO1293" i="1"/>
  <c r="CP1293" i="1"/>
  <c r="CQ1293" i="1"/>
  <c r="CR1293" i="1"/>
  <c r="CS1293" i="1"/>
  <c r="CT1293" i="1"/>
  <c r="Y1297" i="1"/>
  <c r="AD1297" i="1"/>
  <c r="BS1297" i="1"/>
  <c r="BX1297" i="1"/>
  <c r="CA1297" i="1"/>
  <c r="CB1297" i="1"/>
  <c r="CC1297" i="1"/>
  <c r="CD1297" i="1"/>
  <c r="CE1297" i="1"/>
  <c r="CF1297" i="1"/>
  <c r="CG1297" i="1"/>
  <c r="CH1297" i="1"/>
  <c r="CI1297" i="1"/>
  <c r="CK1297" i="1"/>
  <c r="CL1297" i="1"/>
  <c r="CM1297" i="1"/>
  <c r="CN1297" i="1"/>
  <c r="CO1297" i="1"/>
  <c r="CP1297" i="1"/>
  <c r="CQ1297" i="1"/>
  <c r="CR1297" i="1"/>
  <c r="CS1297" i="1"/>
  <c r="CT1297" i="1"/>
</calcChain>
</file>

<file path=xl/comments1.xml><?xml version="1.0" encoding="utf-8"?>
<comments xmlns="http://schemas.openxmlformats.org/spreadsheetml/2006/main">
  <authors>
    <author>Zhang, Lili (Janet.)</author>
    <author>Hong, Zhiping (ping.)</author>
    <author>Zhou, Qingmei (Q.)</author>
    <author>Xu, Yang (Y.)</author>
    <author>Xie, Yuan (Y.)</author>
    <author>Zhu, Huihui (H.)</author>
    <author>Zhang, Bingchan (B.)</author>
    <author>JWANG147</author>
  </authors>
  <commentList>
    <comment ref="AM5" authorId="0">
      <text>
        <r>
          <rPr>
            <i/>
            <sz val="9"/>
            <color indexed="81"/>
            <rFont val="宋体"/>
            <family val="3"/>
            <charset val="134"/>
          </rPr>
          <t>Zhang, Lili (Janet.):</t>
        </r>
        <r>
          <rPr>
            <b/>
            <sz val="9"/>
            <color indexed="81"/>
            <rFont val="宋体"/>
            <family val="3"/>
            <charset val="134"/>
          </rPr>
          <t xml:space="preserve">
Input the physical change content</t>
        </r>
      </text>
    </comment>
    <comment ref="DB5" authorId="1">
      <text>
        <r>
          <rPr>
            <b/>
            <sz val="9"/>
            <color indexed="81"/>
            <rFont val="宋体"/>
            <family val="3"/>
            <charset val="134"/>
          </rPr>
          <t>Hong, Zhiping (ping.):</t>
        </r>
        <r>
          <rPr>
            <i/>
            <sz val="9"/>
            <color indexed="81"/>
            <rFont val="宋体"/>
            <family val="3"/>
            <charset val="134"/>
          </rPr>
          <t xml:space="preserve">
If one concern is the latest status,please fill in with L,or keep it blank</t>
        </r>
      </text>
    </comment>
    <comment ref="DC5" authorId="1">
      <text>
        <r>
          <rPr>
            <b/>
            <sz val="9"/>
            <color indexed="81"/>
            <rFont val="宋体"/>
            <family val="3"/>
            <charset val="134"/>
          </rPr>
          <t>Hong, Zhiping (ping.):</t>
        </r>
        <r>
          <rPr>
            <i/>
            <sz val="9"/>
            <color indexed="81"/>
            <rFont val="宋体"/>
            <family val="3"/>
            <charset val="134"/>
          </rPr>
          <t xml:space="preserve">
If the base of this concern is the sourced status, please fill in with Y, or keep it blank</t>
        </r>
      </text>
    </comment>
    <comment ref="K5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5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K6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6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K64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64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K6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6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K7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7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K75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P75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 Part
</t>
        </r>
      </text>
    </comment>
    <comment ref="AG11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BL11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K11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G11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AP11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BL11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AG11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BL11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AG11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BL11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Amortized Tooling ￥80000
</t>
        </r>
      </text>
    </comment>
    <comment ref="Y119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Tire:269.91 </t>
        </r>
        <r>
          <rPr>
            <sz val="9"/>
            <color indexed="81"/>
            <rFont val="宋体"/>
            <family val="3"/>
            <charset val="134"/>
          </rPr>
          <t xml:space="preserve">含2017年年降；Alloy wheel：213.79平衡块：2.91 组装费：9.09
</t>
        </r>
      </text>
    </comment>
    <comment ref="AG14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12/22 Tooling bidding
</t>
        </r>
      </text>
    </comment>
    <comment ref="AH14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12/22 Tooling bidding
</t>
        </r>
      </text>
    </comment>
    <comment ref="BL14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12/22 Tooling bidding
</t>
        </r>
      </text>
    </comment>
    <comment ref="BM14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12/22 Tooling bidding
</t>
        </r>
      </text>
    </comment>
    <comment ref="AG19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新开模具550000RMB；原模具报废445859RMB
</t>
        </r>
      </text>
    </comment>
    <comment ref="AG19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新开模具550000RMB；原模具报废445859RMB
</t>
        </r>
      </text>
    </comment>
    <comment ref="BL19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新开模具550000RMB；原模具报废445859RMB
</t>
        </r>
      </text>
    </comment>
    <comment ref="O23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stage 6</t>
        </r>
      </text>
    </comment>
    <comment ref="AT23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stage 6</t>
        </r>
      </text>
    </comment>
    <comment ref="AG24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H24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L24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M24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G25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H25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L25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M25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G25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H25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L25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M25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G260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H260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L260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M260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G26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H26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L26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M26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G26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H26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L26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M26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G28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产能不足，复制模具
</t>
        </r>
      </text>
    </comment>
    <comment ref="AJ28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source on B515 MCA
</t>
        </r>
      </text>
    </comment>
    <comment ref="BL28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产能不足，复制模具
</t>
        </r>
      </text>
    </comment>
    <comment ref="AG29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AH29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L29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M29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AG30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AH30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L30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M30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AG30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AH30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L30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M30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O316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T316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P31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U31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Q320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V320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R32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W32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O328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T328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P329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U329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Q332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V332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R333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W333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O340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T340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P34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U341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Q344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V344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R345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W345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option
</t>
        </r>
      </text>
    </comment>
    <comment ref="AP358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MI from C346 MCA
</t>
        </r>
      </text>
    </comment>
    <comment ref="B42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Delete
</t>
        </r>
      </text>
    </comment>
    <comment ref="AH461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tier 2 tooling kick off in cyclelife</t>
        </r>
      </text>
    </comment>
    <comment ref="BM461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tier 2 tooling kick off in cyclelife</t>
        </r>
      </text>
    </comment>
    <comment ref="O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462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B512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MCA 使用T7电池，不需要垫块，所以删除（Bases使用T5电池，必须有垫块，所以该变更不能在Base阶段删除）
</t>
        </r>
      </text>
    </comment>
    <comment ref="B513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MCA 使用T7电池，不需要垫块，所以删除（Bases使用T5电池，必须有垫块，所以该变更不能在Base阶段删除）
</t>
        </r>
      </text>
    </comment>
    <comment ref="B514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MCA 使用T7电池，不需要垫块，所以删除（Bases使用T5电池，必须有垫块，所以该变更不能在Base阶段删除）
</t>
        </r>
      </text>
    </comment>
    <comment ref="B52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该变更已取消
</t>
        </r>
      </text>
    </comment>
    <comment ref="B52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该变更已取消
</t>
        </r>
      </text>
    </comment>
    <comment ref="AG55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H55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H573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tier 2 tooling kick off in cyclelife
</t>
        </r>
      </text>
    </comment>
    <comment ref="BM573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tier 2 tooling kick off in cyclelife
</t>
        </r>
      </text>
    </comment>
    <comment ref="O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574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BP583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Stage 5
</t>
        </r>
      </text>
    </comment>
    <comment ref="BP58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Stage5
</t>
        </r>
      </text>
    </comment>
    <comment ref="DC616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EC 选点时报价基于3EC，PA之后工程状态更新，所以现在QOP上以EC选点报价作为旧价格，QOP上新价格是设计变更后的报价
</t>
        </r>
      </text>
    </comment>
    <comment ref="AR637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New added by C13411329
</t>
        </r>
      </text>
    </comment>
    <comment ref="AG643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已经把模具费用放在F130A02上 9543879
</t>
        </r>
      </text>
    </comment>
    <comment ref="AG67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H67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L67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M67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G67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H67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L67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M67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G6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H6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L6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BM6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只记Varience,起始模具费9543879登记在F600K04-AAW
</t>
        </r>
      </text>
    </comment>
    <comment ref="AJ690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for C490 Base
</t>
        </r>
      </text>
    </comment>
    <comment ref="BO690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for C490 Base
</t>
        </r>
      </text>
    </comment>
    <comment ref="AG74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H74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L74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M742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G74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H74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L74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M744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G74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H74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L74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BM74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 
</t>
        </r>
      </text>
    </comment>
    <comment ref="AJ816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for C490 Base
</t>
        </r>
      </text>
    </comment>
    <comment ref="AJ817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for C490 Base
</t>
        </r>
      </text>
    </comment>
    <comment ref="BO817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for C490 Base
</t>
        </r>
      </text>
    </comment>
    <comment ref="B843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Stage 6
</t>
        </r>
      </text>
    </comment>
    <comment ref="S843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Stag6
</t>
        </r>
      </text>
    </comment>
    <comment ref="T843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843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L869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Confirm with Liu,chunyan  13228/13229</t>
        </r>
        <r>
          <rPr>
            <sz val="9"/>
            <color indexed="81"/>
            <rFont val="宋体"/>
            <family val="3"/>
            <charset val="134"/>
          </rPr>
          <t>是左右件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取消一个用同一件号</t>
        </r>
        <r>
          <rPr>
            <sz val="9"/>
            <color indexed="81"/>
            <rFont val="Tahoma"/>
            <family val="2"/>
          </rPr>
          <t>,total tooling</t>
        </r>
        <r>
          <rPr>
            <sz val="9"/>
            <color indexed="81"/>
            <rFont val="宋体"/>
            <family val="3"/>
            <charset val="134"/>
          </rPr>
          <t xml:space="preserve">：71000*2
</t>
        </r>
      </text>
    </comment>
    <comment ref="B873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Tooling issue, rejected to Pur
</t>
        </r>
      </text>
    </comment>
    <comment ref="B874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Tooling issue, rejected to Pur
</t>
        </r>
      </text>
    </comment>
    <comment ref="BL903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由于涉及变更，燃油管路与base的不一样，不能沿用base的模具，需要新开模
</t>
        </r>
      </text>
    </comment>
    <comment ref="B904" authorId="6">
      <text>
        <r>
          <rPr>
            <b/>
            <sz val="9"/>
            <color indexed="81"/>
            <rFont val="宋体"/>
            <family val="3"/>
            <charset val="134"/>
          </rPr>
          <t>Zhang, Bingchan (B.):</t>
        </r>
        <r>
          <rPr>
            <sz val="9"/>
            <color indexed="81"/>
            <rFont val="宋体"/>
            <family val="3"/>
            <charset val="134"/>
          </rPr>
          <t xml:space="preserve">
ED&amp;T 和采购确认中
</t>
        </r>
      </text>
    </comment>
    <comment ref="BL92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BM92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Tooling bidding
</t>
        </r>
      </text>
    </comment>
    <comment ref="AP927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New adding part through ECC process
</t>
        </r>
      </text>
    </comment>
    <comment ref="BL93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BM93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20170103 Tooling bidding结果
</t>
        </r>
      </text>
    </comment>
    <comment ref="EC101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Replace by LGW
</t>
        </r>
      </text>
    </comment>
    <comment ref="AH102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AH102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AH1029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BM1029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AH1030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BM1030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C/O C519 Job1</t>
        </r>
        <r>
          <rPr>
            <sz val="9"/>
            <color indexed="81"/>
            <rFont val="宋体"/>
            <family val="3"/>
            <charset val="134"/>
          </rPr>
          <t>时候不用开模</t>
        </r>
        <r>
          <rPr>
            <sz val="9"/>
            <color indexed="81"/>
            <rFont val="Tahoma"/>
            <family val="2"/>
          </rPr>
          <t>,cycle life</t>
        </r>
        <r>
          <rPr>
            <sz val="9"/>
            <color indexed="81"/>
            <rFont val="宋体"/>
            <family val="3"/>
            <charset val="134"/>
          </rPr>
          <t xml:space="preserve">开模
</t>
        </r>
      </text>
    </comment>
    <comment ref="AJ103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ED&amp;T </t>
        </r>
        <r>
          <rPr>
            <sz val="9"/>
            <color indexed="81"/>
            <rFont val="宋体"/>
            <family val="3"/>
            <charset val="134"/>
          </rPr>
          <t xml:space="preserve">取消
</t>
        </r>
      </text>
    </comment>
    <comment ref="O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1055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1056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1057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U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Z1058" authorId="3">
      <text>
        <r>
          <rPr>
            <b/>
            <sz val="9"/>
            <color indexed="81"/>
            <rFont val="宋体"/>
            <family val="3"/>
            <charset val="134"/>
          </rPr>
          <t>Xu, Yang (Y.):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J1116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AJ1117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AJ1118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BO1118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AJ111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BO1119" authorId="4">
      <text>
        <r>
          <rPr>
            <b/>
            <sz val="9"/>
            <color indexed="81"/>
            <rFont val="宋体"/>
            <family val="3"/>
            <charset val="134"/>
          </rPr>
          <t>Xie, Yuan (Y.):</t>
        </r>
        <r>
          <rPr>
            <sz val="9"/>
            <color indexed="81"/>
            <rFont val="宋体"/>
            <family val="3"/>
            <charset val="134"/>
          </rPr>
          <t xml:space="preserve">
实际total ED&amp;T 71862.5=1.25*57490
</t>
        </r>
      </text>
    </comment>
    <comment ref="BL1142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采购更新QOP，Sourcing 2216043 供应商美金报价,汇率原因
</t>
        </r>
      </text>
    </comment>
    <comment ref="J1161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Part delete
</t>
        </r>
      </text>
    </comment>
    <comment ref="J1165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Delete part
</t>
        </r>
      </text>
    </comment>
    <comment ref="O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24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T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24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D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油箱 sourcing：460.79 油泵：220.76 另收取油泵*3%的管理费用
</t>
        </r>
      </text>
    </comment>
    <comment ref="AT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24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O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P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Q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R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D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油箱 sourcing：460.79 油泵：220.76 另收取油泵*3%的管理费用
</t>
        </r>
      </text>
    </comment>
    <comment ref="AT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U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V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AW124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BJ6
</t>
        </r>
      </text>
    </comment>
    <comment ref="B124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Delete件
</t>
        </r>
      </text>
    </comment>
    <comment ref="AP1249" authorId="7">
      <text>
        <r>
          <rPr>
            <sz val="9"/>
            <color indexed="81"/>
            <rFont val="宋体"/>
            <family val="3"/>
            <charset val="134"/>
          </rPr>
          <t xml:space="preserve">The C/O cost decreased when sourcing
</t>
        </r>
      </text>
    </comment>
    <comment ref="D1253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Fox MT is import
</t>
        </r>
      </text>
    </comment>
    <comment ref="D1264" authorId="0">
      <text>
        <r>
          <rPr>
            <i/>
            <sz val="9"/>
            <color indexed="81"/>
            <rFont val="宋体"/>
            <family val="3"/>
            <charset val="134"/>
          </rPr>
          <t>Zhang, Lili (Janet.):</t>
        </r>
        <r>
          <rPr>
            <b/>
            <i/>
            <sz val="9"/>
            <color indexed="81"/>
            <rFont val="宋体"/>
            <family val="3"/>
            <charset val="134"/>
          </rPr>
          <t xml:space="preserve">
设计延用C520,C520选点供应商是浙江骆氏,由于项目时间紧急,团队建议直接延用C520选点供应商.
</t>
        </r>
      </text>
    </comment>
    <comment ref="D1265" authorId="0">
      <text>
        <r>
          <rPr>
            <i/>
            <sz val="9"/>
            <color indexed="81"/>
            <rFont val="宋体"/>
            <family val="3"/>
            <charset val="134"/>
          </rPr>
          <t>Zhang, Lili (Janet.):</t>
        </r>
        <r>
          <rPr>
            <b/>
            <i/>
            <sz val="9"/>
            <color indexed="81"/>
            <rFont val="宋体"/>
            <family val="3"/>
            <charset val="134"/>
          </rPr>
          <t xml:space="preserve">
设计延用C520,C520选点供应商是浙江骆氏,由于项目时间紧急,团队建议直接延用C520选点供应商.
</t>
        </r>
      </text>
    </comment>
    <comment ref="O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6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7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7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7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7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7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89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90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97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298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31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31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31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31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O138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T138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P138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U1383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38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384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R138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W1385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38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386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Q13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V1391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U13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AZ139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Beijing 6
</t>
        </r>
      </text>
    </comment>
    <comment ref="J1422" authorId="5">
      <text>
        <r>
          <rPr>
            <b/>
            <sz val="9"/>
            <color indexed="81"/>
            <rFont val="宋体"/>
            <family val="3"/>
            <charset val="134"/>
          </rPr>
          <t>Zhu, Huihui (H.):</t>
        </r>
        <r>
          <rPr>
            <sz val="9"/>
            <color indexed="81"/>
            <rFont val="宋体"/>
            <family val="3"/>
            <charset val="134"/>
          </rPr>
          <t xml:space="preserve">
Deleted
</t>
        </r>
      </text>
    </comment>
    <comment ref="S1464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T1464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1464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J1464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Stage5</t>
        </r>
        <r>
          <rPr>
            <sz val="9"/>
            <color indexed="81"/>
            <rFont val="宋体"/>
            <family val="3"/>
            <charset val="134"/>
          </rPr>
          <t xml:space="preserve">上已经Book ED&amp;T，Stage6没有新增ED&amp;T
</t>
        </r>
      </text>
    </comment>
    <comment ref="BO1464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ED&amp;T total</t>
        </r>
        <r>
          <rPr>
            <sz val="9"/>
            <color indexed="81"/>
            <rFont val="宋体"/>
            <family val="3"/>
            <charset val="134"/>
          </rPr>
          <t xml:space="preserve">数已经放在stage5上,不再在Stage6上Book
</t>
        </r>
      </text>
    </comment>
    <comment ref="S1465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T1465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1465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J1465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Stage5</t>
        </r>
        <r>
          <rPr>
            <sz val="9"/>
            <color indexed="81"/>
            <rFont val="宋体"/>
            <family val="3"/>
            <charset val="134"/>
          </rPr>
          <t xml:space="preserve">上已经Book ED&amp;T，Stage6没有新增ED&amp;T
</t>
        </r>
      </text>
    </comment>
    <comment ref="S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T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J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Stage5</t>
        </r>
        <r>
          <rPr>
            <sz val="9"/>
            <color indexed="81"/>
            <rFont val="宋体"/>
            <family val="3"/>
            <charset val="134"/>
          </rPr>
          <t xml:space="preserve">上已经Book ED&amp;T，Stage6没有新增ED&amp;T
</t>
        </r>
      </text>
    </comment>
    <comment ref="AX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Y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BA1466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S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T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X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Y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BA1467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D1468" authorId="2">
      <text>
        <r>
          <rPr>
            <b/>
            <sz val="9"/>
            <color indexed="81"/>
            <rFont val="宋体"/>
            <family val="3"/>
            <charset val="134"/>
          </rPr>
          <t>Zhou, Qingmei (Q.):</t>
        </r>
        <r>
          <rPr>
            <sz val="9"/>
            <color indexed="81"/>
            <rFont val="宋体"/>
            <family val="3"/>
            <charset val="134"/>
          </rPr>
          <t xml:space="preserve">
Fox MT is import
</t>
        </r>
      </text>
    </comment>
    <comment ref="T146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V146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AY146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  <comment ref="BA1468" authorId="4">
      <text>
        <r>
          <rPr>
            <b/>
            <sz val="9"/>
            <color indexed="81"/>
            <rFont val="Tahoma"/>
            <family val="2"/>
          </rPr>
          <t>Xie, Yuan (Y.):</t>
        </r>
        <r>
          <rPr>
            <sz val="9"/>
            <color indexed="81"/>
            <rFont val="Tahoma"/>
            <family val="2"/>
          </rPr>
          <t xml:space="preserve">
Stage6
</t>
        </r>
      </text>
    </comment>
  </commentList>
</comments>
</file>

<file path=xl/sharedStrings.xml><?xml version="1.0" encoding="utf-8"?>
<sst xmlns="http://schemas.openxmlformats.org/spreadsheetml/2006/main" count="26909" uniqueCount="2343">
  <si>
    <t>HIGH PRESSURE DUCT+PT09</t>
  </si>
  <si>
    <t>PT09</t>
  </si>
  <si>
    <t xml:space="preserve"> </t>
    <phoneticPr fontId="6" type="noConversion"/>
  </si>
  <si>
    <t xml:space="preserve"> </t>
  </si>
  <si>
    <t xml:space="preserve">&lt;PA&gt; Exchange </t>
    <phoneticPr fontId="3" type="noConversion"/>
  </si>
  <si>
    <t>New Parts</t>
    <phoneticPr fontId="9" type="noConversion"/>
  </si>
  <si>
    <t>New Parts</t>
    <phoneticPr fontId="3" type="noConversion"/>
  </si>
  <si>
    <t>Old Parts</t>
    <phoneticPr fontId="9" type="noConversion"/>
  </si>
  <si>
    <t>Old Parts</t>
    <phoneticPr fontId="3" type="noConversion"/>
  </si>
  <si>
    <t>Better or Worse</t>
    <phoneticPr fontId="9" type="noConversion"/>
  </si>
  <si>
    <t>New B/(W) Old</t>
    <phoneticPr fontId="3" type="noConversion"/>
  </si>
  <si>
    <t>Check with detail</t>
    <phoneticPr fontId="9" type="noConversion"/>
  </si>
  <si>
    <t>Latest status Check with Detail</t>
    <phoneticPr fontId="6" type="noConversion"/>
  </si>
  <si>
    <t>14529 </t>
  </si>
  <si>
    <t>Part Number</t>
  </si>
  <si>
    <t>Usage</t>
    <phoneticPr fontId="3" type="noConversion"/>
  </si>
  <si>
    <t>Piece cost</t>
    <phoneticPr fontId="3" type="noConversion"/>
  </si>
  <si>
    <t>Vendor Tooling</t>
    <phoneticPr fontId="3" type="noConversion"/>
  </si>
  <si>
    <t>ED&amp;T Quote</t>
  </si>
  <si>
    <t>Ex-work By Vehicle</t>
    <phoneticPr fontId="3" type="noConversion"/>
  </si>
  <si>
    <t>Landed cost By Vehicle</t>
    <phoneticPr fontId="3" type="noConversion"/>
  </si>
  <si>
    <t>Detail B/(W) Change log ---Landed cost By Vehicle</t>
    <phoneticPr fontId="3" type="noConversion"/>
  </si>
  <si>
    <t>Detail check</t>
    <phoneticPr fontId="3" type="noConversion"/>
  </si>
  <si>
    <t>B(W)</t>
    <phoneticPr fontId="3" type="noConversion"/>
  </si>
  <si>
    <t>Concern/PPS Number</t>
  </si>
  <si>
    <t>CBP</t>
  </si>
  <si>
    <t>Commodity Name</t>
  </si>
  <si>
    <t>PMT</t>
    <phoneticPr fontId="6" type="noConversion"/>
  </si>
  <si>
    <t>TH/PF</t>
    <phoneticPr fontId="6" type="noConversion"/>
  </si>
  <si>
    <t>Seg.</t>
    <phoneticPr fontId="6" type="noConversion"/>
  </si>
  <si>
    <t>Option/Bulk/Hardware/scrap tooling/PPS</t>
    <phoneticPr fontId="6" type="noConversion"/>
  </si>
  <si>
    <t>Prefix</t>
  </si>
  <si>
    <t xml:space="preserve">Base </t>
  </si>
  <si>
    <t>Suffix</t>
    <phoneticPr fontId="3" type="noConversion"/>
  </si>
  <si>
    <t>PN.</t>
    <phoneticPr fontId="3" type="noConversion"/>
  </si>
  <si>
    <t>4-Dr 1.5L Comfort MT</t>
    <phoneticPr fontId="6" type="noConversion"/>
  </si>
  <si>
    <t>4-Dr 1.5L Comfort AT</t>
    <phoneticPr fontId="6" type="noConversion"/>
  </si>
  <si>
    <t>4-Dr 1.5L Trend MT -CCM</t>
    <phoneticPr fontId="6" type="noConversion"/>
  </si>
  <si>
    <t>4-Dr 1.5L Trend AT</t>
    <phoneticPr fontId="6" type="noConversion"/>
  </si>
  <si>
    <t>4D 1.0 Fox Trend MT</t>
    <phoneticPr fontId="6" type="noConversion"/>
  </si>
  <si>
    <t>4D 1.0 Fox Trend AT</t>
    <phoneticPr fontId="6" type="noConversion"/>
  </si>
  <si>
    <t>4D 1.5 Dragon Titanium AT</t>
    <phoneticPr fontId="6" type="noConversion"/>
  </si>
  <si>
    <t>4D 1.0 Fox Titanium AT</t>
    <phoneticPr fontId="6" type="noConversion"/>
  </si>
  <si>
    <t>Average</t>
    <phoneticPr fontId="3" type="noConversion"/>
  </si>
  <si>
    <t>Ex-Work</t>
  </si>
  <si>
    <t>Packaging</t>
  </si>
  <si>
    <t>In-land Freight</t>
  </si>
  <si>
    <t>Base Amort. ED&amp;T</t>
    <phoneticPr fontId="6" type="noConversion"/>
  </si>
  <si>
    <t>MCA Amort. ED&amp;T</t>
    <phoneticPr fontId="6" type="noConversion"/>
  </si>
  <si>
    <t>Landed Cost</t>
  </si>
  <si>
    <t>Currency</t>
  </si>
  <si>
    <t>Job#1 Tooling</t>
  </si>
  <si>
    <t>Total Tooling</t>
  </si>
  <si>
    <t>Total ED&amp;T</t>
  </si>
  <si>
    <t>ED&amp;T Amortized Volume</t>
    <phoneticPr fontId="6" type="noConversion"/>
  </si>
  <si>
    <t>Upfront ED&amp;T</t>
  </si>
  <si>
    <t>Comments</t>
  </si>
  <si>
    <t xml:space="preserve">Base </t>
    <phoneticPr fontId="3" type="noConversion"/>
  </si>
  <si>
    <t>Suffix</t>
  </si>
  <si>
    <t>ED&amp;T Amortized Volume</t>
  </si>
  <si>
    <t>Average Vehicle effect</t>
    <phoneticPr fontId="3" type="noConversion"/>
  </si>
  <si>
    <t>Latest Status</t>
    <phoneticPr fontId="3" type="noConversion"/>
  </si>
  <si>
    <t>P-release</t>
    <phoneticPr fontId="6" type="noConversion"/>
  </si>
  <si>
    <t>JOB1/JOB1+90/Running Change</t>
    <phoneticPr fontId="3" type="noConversion"/>
  </si>
  <si>
    <t>PD Finance</t>
    <phoneticPr fontId="3" type="noConversion"/>
  </si>
  <si>
    <t>Approval</t>
  </si>
  <si>
    <t>Approval Date</t>
  </si>
  <si>
    <t>Part NO.&amp; PN NO.</t>
    <phoneticPr fontId="6" type="noConversion"/>
  </si>
  <si>
    <t>CR Check</t>
    <phoneticPr fontId="6" type="noConversion"/>
  </si>
  <si>
    <t>Comments</t>
    <phoneticPr fontId="6" type="noConversion"/>
  </si>
  <si>
    <t>Part No.</t>
    <phoneticPr fontId="3" type="noConversion"/>
  </si>
  <si>
    <t>Landed Cost</t>
    <phoneticPr fontId="3" type="noConversion"/>
  </si>
  <si>
    <t>VT</t>
    <phoneticPr fontId="3" type="noConversion"/>
  </si>
  <si>
    <t>ED&amp;T</t>
    <phoneticPr fontId="3" type="noConversion"/>
  </si>
  <si>
    <t>(RMB)</t>
  </si>
  <si>
    <t>(USD)</t>
    <phoneticPr fontId="3" type="noConversion"/>
  </si>
  <si>
    <t>(RMB)</t>
    <phoneticPr fontId="3" type="noConversion"/>
  </si>
  <si>
    <t>(Y)</t>
  </si>
  <si>
    <t>Material cost increased by 0.3RMB</t>
  </si>
  <si>
    <t>E100</t>
  </si>
  <si>
    <t>AM/FM Shark Fin Antenna</t>
  </si>
  <si>
    <t>JD8T</t>
  </si>
  <si>
    <t>19G461</t>
  </si>
  <si>
    <t>AAW</t>
  </si>
  <si>
    <t>CNY</t>
    <phoneticPr fontId="3" type="noConversion"/>
  </si>
  <si>
    <t>N</t>
    <phoneticPr fontId="3" type="noConversion"/>
  </si>
  <si>
    <t>Y</t>
    <phoneticPr fontId="3" type="noConversion"/>
  </si>
  <si>
    <t>JOB1</t>
    <phoneticPr fontId="3" type="noConversion"/>
  </si>
  <si>
    <t>Zhou, Qingmei</t>
    <phoneticPr fontId="3" type="noConversion"/>
  </si>
  <si>
    <t>Tooling cost increased by 210,000RMB</t>
  </si>
  <si>
    <t>JD8T-19G461-AAW</t>
  </si>
  <si>
    <t>CNY</t>
  </si>
  <si>
    <t>C13528650</t>
  </si>
  <si>
    <t>ABW</t>
    <phoneticPr fontId="3" type="noConversion"/>
  </si>
  <si>
    <t>Xie Yuan</t>
    <phoneticPr fontId="17" type="noConversion"/>
  </si>
  <si>
    <t>FRONT TOP MOUNT + CH029</t>
  </si>
  <si>
    <t>CH029</t>
  </si>
  <si>
    <t>Top Mount</t>
    <phoneticPr fontId="3" type="noConversion"/>
  </si>
  <si>
    <t>JD8C</t>
    <phoneticPr fontId="3" type="noConversion"/>
  </si>
  <si>
    <t>3K155 </t>
    <phoneticPr fontId="6" type="noConversion"/>
  </si>
  <si>
    <t>AA</t>
    <phoneticPr fontId="3" type="noConversion"/>
  </si>
  <si>
    <t>CE estimate reasonable</t>
    <phoneticPr fontId="3" type="noConversion"/>
  </si>
  <si>
    <t>Y</t>
  </si>
  <si>
    <t>18C612</t>
    <phoneticPr fontId="6" type="noConversion"/>
  </si>
  <si>
    <t>CV61</t>
  </si>
  <si>
    <t>B1B</t>
  </si>
  <si>
    <t>Zhu Huihui</t>
    <phoneticPr fontId="3" type="noConversion"/>
  </si>
  <si>
    <t>CONTRASYA/C-IT04-1/2</t>
  </si>
  <si>
    <t>IT04</t>
    <phoneticPr fontId="3" type="noConversion"/>
  </si>
  <si>
    <t>Manual CCH</t>
    <phoneticPr fontId="3" type="noConversion"/>
  </si>
  <si>
    <t>JD8T</t>
    <phoneticPr fontId="3" type="noConversion"/>
  </si>
  <si>
    <t>BA</t>
    <phoneticPr fontId="3" type="noConversion"/>
  </si>
  <si>
    <t>EATC</t>
    <phoneticPr fontId="3" type="noConversion"/>
  </si>
  <si>
    <t>CA</t>
    <phoneticPr fontId="3" type="noConversion"/>
  </si>
  <si>
    <t>incl. in above</t>
    <phoneticPr fontId="3" type="noConversion"/>
  </si>
  <si>
    <t>DA</t>
    <phoneticPr fontId="3" type="noConversion"/>
  </si>
  <si>
    <t>C13313401</t>
  </si>
  <si>
    <t>C13543734</t>
  </si>
  <si>
    <t>Y</t>
    <phoneticPr fontId="6" type="noConversion"/>
  </si>
  <si>
    <t>C13366549</t>
  </si>
  <si>
    <t>BB</t>
    <phoneticPr fontId="3" type="noConversion"/>
  </si>
  <si>
    <t>C13401408</t>
  </si>
  <si>
    <t>CB</t>
    <phoneticPr fontId="3" type="noConversion"/>
  </si>
  <si>
    <t>DASH INNER INSULATION+1T16-2-2</t>
  </si>
  <si>
    <t>IT16-2</t>
    <phoneticPr fontId="3" type="noConversion"/>
  </si>
  <si>
    <t>Insulation/NVH-Tophat</t>
    <phoneticPr fontId="3" type="noConversion"/>
  </si>
  <si>
    <t>JD8B</t>
    <phoneticPr fontId="3" type="noConversion"/>
  </si>
  <si>
    <t>F01688 </t>
    <phoneticPr fontId="6" type="noConversion"/>
  </si>
  <si>
    <t>ED8B</t>
    <phoneticPr fontId="3" type="noConversion"/>
  </si>
  <si>
    <t>AE</t>
    <phoneticPr fontId="3" type="noConversion"/>
  </si>
  <si>
    <t>HOOD INSULATION+IT16-2-1</t>
  </si>
  <si>
    <t>F16746 </t>
    <phoneticPr fontId="6" type="noConversion"/>
  </si>
  <si>
    <t>AB</t>
    <phoneticPr fontId="3" type="noConversion"/>
  </si>
  <si>
    <t>C13327124</t>
  </si>
  <si>
    <t>N</t>
  </si>
  <si>
    <t>C13461744</t>
  </si>
  <si>
    <t>IT16-2</t>
  </si>
  <si>
    <t>Insulation/NVH-Tophat</t>
  </si>
  <si>
    <t>JD8B</t>
  </si>
  <si>
    <t>F16746 </t>
  </si>
  <si>
    <t>AC</t>
  </si>
  <si>
    <t>AB</t>
  </si>
  <si>
    <t>JOB1</t>
  </si>
  <si>
    <t>Zhu Huihui</t>
  </si>
  <si>
    <t>A110E13267652055-BRKT ASY PK/TR</t>
  </si>
  <si>
    <t>B044</t>
    <phoneticPr fontId="3" type="noConversion"/>
  </si>
  <si>
    <t>Out sourcing stamping</t>
    <phoneticPr fontId="3" type="noConversion"/>
  </si>
  <si>
    <t>F46644</t>
    <phoneticPr fontId="6" type="noConversion"/>
  </si>
  <si>
    <t>F46645</t>
    <phoneticPr fontId="6" type="noConversion"/>
  </si>
  <si>
    <t>A110E13267652055-PACKAGE TRAY</t>
  </si>
  <si>
    <t>F46506</t>
    <phoneticPr fontId="6" type="noConversion"/>
  </si>
  <si>
    <t>AG</t>
    <phoneticPr fontId="3" type="noConversion"/>
  </si>
  <si>
    <t>SCCM+E013</t>
  </si>
  <si>
    <t>E013</t>
    <phoneticPr fontId="3" type="noConversion"/>
  </si>
  <si>
    <t>Steering column switch</t>
    <phoneticPr fontId="3" type="noConversion"/>
  </si>
  <si>
    <t>JD8T </t>
    <phoneticPr fontId="3" type="noConversion"/>
  </si>
  <si>
    <t>13N064 </t>
    <phoneticPr fontId="6" type="noConversion"/>
  </si>
  <si>
    <t>ED8T</t>
    <phoneticPr fontId="3" type="noConversion"/>
  </si>
  <si>
    <t>HLP-E012</t>
  </si>
  <si>
    <t>E012</t>
    <phoneticPr fontId="3" type="noConversion"/>
  </si>
  <si>
    <t>Headlamp switch</t>
    <phoneticPr fontId="3" type="noConversion"/>
  </si>
  <si>
    <t>13A024 </t>
    <phoneticPr fontId="6" type="noConversion"/>
  </si>
  <si>
    <t>AD</t>
    <phoneticPr fontId="3" type="noConversion"/>
  </si>
  <si>
    <t>C13427639-C490</t>
  </si>
  <si>
    <t>CRUISE CONTROL SWITCH+E096-1</t>
  </si>
  <si>
    <t>E096-1</t>
    <phoneticPr fontId="3" type="noConversion"/>
  </si>
  <si>
    <t>Steering Wheel Switch(Cruise Control )</t>
    <phoneticPr fontId="3" type="noConversion"/>
  </si>
  <si>
    <t>9E740</t>
    <phoneticPr fontId="6" type="noConversion"/>
  </si>
  <si>
    <t>C13387432</t>
  </si>
  <si>
    <t>Xie Yuan</t>
    <phoneticPr fontId="3" type="noConversion"/>
  </si>
  <si>
    <t>RADIO CONTROL SWITCH+E096-2</t>
  </si>
  <si>
    <t>E096-2</t>
    <phoneticPr fontId="3" type="noConversion"/>
  </si>
  <si>
    <t>Steering Wheel Switch (Radio Control )</t>
    <phoneticPr fontId="3" type="noConversion"/>
  </si>
  <si>
    <t>14K147</t>
    <phoneticPr fontId="6" type="noConversion"/>
  </si>
  <si>
    <t>Include with Cruise</t>
    <phoneticPr fontId="3" type="noConversion"/>
  </si>
  <si>
    <t>14K147</t>
    <phoneticPr fontId="17" type="noConversion"/>
  </si>
  <si>
    <t>A/C COMPRESSOR E02</t>
  </si>
  <si>
    <t>E02</t>
  </si>
  <si>
    <t>A/C Compressor</t>
  </si>
  <si>
    <t>19D629</t>
  </si>
  <si>
    <t>AA</t>
  </si>
  <si>
    <t>Zhou, Qingmei</t>
  </si>
  <si>
    <t>BA</t>
  </si>
  <si>
    <t>incl. in above</t>
  </si>
  <si>
    <t>C13504421</t>
  </si>
  <si>
    <t>REAR WHEEL ARCH LINER(HOT FORMING)+ET17-2</t>
  </si>
  <si>
    <t>ET17-1</t>
    <phoneticPr fontId="3" type="noConversion"/>
  </si>
  <si>
    <t>Wheel arch liners(Rear)</t>
    <phoneticPr fontId="3" type="noConversion"/>
  </si>
  <si>
    <t>F278B50</t>
    <phoneticPr fontId="6" type="noConversion"/>
  </si>
  <si>
    <t>需要重新开成型模及检具，另需增加一套冲切工装</t>
  </si>
  <si>
    <t>F278B51</t>
    <phoneticPr fontId="6" type="noConversion"/>
  </si>
  <si>
    <t>C13545987</t>
  </si>
  <si>
    <t>HEADLINER+IT90</t>
  </si>
  <si>
    <t>IT90</t>
    <phoneticPr fontId="3" type="noConversion"/>
  </si>
  <si>
    <t>Headliner (grab handle)</t>
    <phoneticPr fontId="3" type="noConversion"/>
  </si>
  <si>
    <t>F51918</t>
    <phoneticPr fontId="6" type="noConversion"/>
  </si>
  <si>
    <t>AAW</t>
    <phoneticPr fontId="3" type="noConversion"/>
  </si>
  <si>
    <t>AJW</t>
    <phoneticPr fontId="3" type="noConversion"/>
  </si>
  <si>
    <t>BAW</t>
    <phoneticPr fontId="3" type="noConversion"/>
  </si>
  <si>
    <t>BNW</t>
    <phoneticPr fontId="3" type="noConversion"/>
  </si>
  <si>
    <t>IT90</t>
  </si>
  <si>
    <t>Headliner (grab handle)</t>
  </si>
  <si>
    <t>F51918</t>
  </si>
  <si>
    <t>CAW</t>
  </si>
  <si>
    <t>ED8B</t>
  </si>
  <si>
    <t>CNW</t>
  </si>
  <si>
    <t>DAW</t>
  </si>
  <si>
    <r>
      <t>PPS</t>
    </r>
    <r>
      <rPr>
        <sz val="10"/>
        <color theme="1"/>
        <rFont val="宋体"/>
        <family val="3"/>
        <charset val="134"/>
      </rPr>
      <t>编号</t>
    </r>
    <r>
      <rPr>
        <sz val="10"/>
        <color theme="1"/>
        <rFont val="Arial"/>
        <family val="2"/>
      </rPr>
      <t xml:space="preserve">: CFMAR05-012  </t>
    </r>
    <phoneticPr fontId="3" type="noConversion"/>
  </si>
  <si>
    <t>BAW</t>
  </si>
  <si>
    <t>C13329106</t>
  </si>
  <si>
    <t>BBW</t>
    <phoneticPr fontId="3" type="noConversion"/>
  </si>
  <si>
    <t>CBW</t>
    <phoneticPr fontId="3" type="noConversion"/>
  </si>
  <si>
    <t>DBW</t>
    <phoneticPr fontId="3" type="noConversion"/>
  </si>
  <si>
    <t>C13500938</t>
  </si>
  <si>
    <t>C13505673</t>
  </si>
  <si>
    <t>BCW</t>
    <phoneticPr fontId="3" type="noConversion"/>
  </si>
  <si>
    <t>CCW</t>
    <phoneticPr fontId="3" type="noConversion"/>
  </si>
  <si>
    <t>DCW</t>
    <phoneticPr fontId="3" type="noConversion"/>
  </si>
  <si>
    <t>C13510830</t>
  </si>
  <si>
    <t>ACW</t>
  </si>
  <si>
    <t>ABW</t>
  </si>
  <si>
    <t>BDW</t>
  </si>
  <si>
    <t>BCW</t>
  </si>
  <si>
    <t>CDW</t>
  </si>
  <si>
    <t>CCW</t>
  </si>
  <si>
    <t>DDW</t>
  </si>
  <si>
    <t>DCW</t>
  </si>
  <si>
    <t>C13418775</t>
  </si>
  <si>
    <t>E024-2</t>
    <phoneticPr fontId="3" type="noConversion"/>
  </si>
  <si>
    <t>BMS</t>
    <phoneticPr fontId="3" type="noConversion"/>
  </si>
  <si>
    <t>10C679</t>
    <phoneticPr fontId="17" type="noConversion"/>
  </si>
  <si>
    <t>10C679</t>
  </si>
  <si>
    <t>JD8T-10C679-AA</t>
  </si>
  <si>
    <t>C13552132</t>
  </si>
  <si>
    <t>AC</t>
    <phoneticPr fontId="3" type="noConversion"/>
  </si>
  <si>
    <t>Zhu Huihui</t>
    <phoneticPr fontId="17" type="noConversion"/>
  </si>
  <si>
    <t>CHECKER COVER-ET116</t>
  </si>
  <si>
    <t>ET116</t>
    <phoneticPr fontId="3" type="noConversion"/>
  </si>
  <si>
    <t>Check Arm Cover</t>
  </si>
  <si>
    <t>A27206</t>
    <phoneticPr fontId="17" type="noConversion"/>
  </si>
  <si>
    <t>CHECKER COVER-ET116</t>
    <phoneticPr fontId="3" type="noConversion"/>
  </si>
  <si>
    <t>A27207</t>
    <phoneticPr fontId="17" type="noConversion"/>
  </si>
  <si>
    <t>C13341712</t>
  </si>
  <si>
    <t>PWS-E050</t>
  </si>
  <si>
    <t>E050</t>
    <phoneticPr fontId="3" type="noConversion"/>
  </si>
  <si>
    <t>Power Window Switches System</t>
    <phoneticPr fontId="3" type="noConversion"/>
  </si>
  <si>
    <t>14529 </t>
    <phoneticPr fontId="17" type="noConversion"/>
  </si>
  <si>
    <t>N</t>
    <phoneticPr fontId="17" type="noConversion"/>
  </si>
  <si>
    <t>Y</t>
    <phoneticPr fontId="17" type="noConversion"/>
  </si>
  <si>
    <t>C13342786</t>
  </si>
  <si>
    <t>JD8T-14529 -AA</t>
  </si>
  <si>
    <t>C13350904</t>
  </si>
  <si>
    <t>ED8T</t>
  </si>
  <si>
    <t>CA</t>
  </si>
  <si>
    <t>JD8T-14540-AA</t>
  </si>
  <si>
    <t>E050</t>
  </si>
  <si>
    <t>Power Window Switches System</t>
  </si>
  <si>
    <t>Xie Yuan</t>
  </si>
  <si>
    <t>IT8</t>
  </si>
  <si>
    <t>Door Trim - Front/Rear</t>
  </si>
  <si>
    <t>PMT2</t>
    <phoneticPr fontId="3" type="noConversion"/>
  </si>
  <si>
    <t>ED8B </t>
  </si>
  <si>
    <t>F237W20 </t>
  </si>
  <si>
    <t>AEW </t>
  </si>
  <si>
    <t>Zhang Bingchan</t>
    <phoneticPr fontId="3" type="noConversion"/>
  </si>
  <si>
    <t>F237W21</t>
  </si>
  <si>
    <t>F240A40</t>
  </si>
  <si>
    <t>ADW</t>
    <phoneticPr fontId="3" type="noConversion"/>
  </si>
  <si>
    <t>F240A41</t>
    <phoneticPr fontId="3" type="noConversion"/>
  </si>
  <si>
    <t>CAW</t>
    <phoneticPr fontId="3" type="noConversion"/>
  </si>
  <si>
    <t>HTR PLNM CHMB FRT+CQ LIAN WEI</t>
  </si>
  <si>
    <t>B041</t>
    <phoneticPr fontId="3" type="noConversion"/>
  </si>
  <si>
    <t>Stamping_outsource stamping &amp; welding assy-chunk 1</t>
    <phoneticPr fontId="3" type="noConversion"/>
  </si>
  <si>
    <t xml:space="preserve"> PF</t>
    <phoneticPr fontId="3" type="noConversion"/>
  </si>
  <si>
    <t>18B260</t>
    <phoneticPr fontId="6" type="noConversion"/>
  </si>
  <si>
    <t>WIPER MOUNT BRACKET+B056</t>
    <phoneticPr fontId="3" type="noConversion"/>
  </si>
  <si>
    <t>Stamping_outsource stamping &amp; welding assy-chunk 12</t>
    <phoneticPr fontId="3" type="noConversion"/>
  </si>
  <si>
    <t>F17496</t>
    <phoneticPr fontId="17" type="noConversion"/>
  </si>
  <si>
    <t>WIPER MOUNT BRACKET+B056</t>
  </si>
  <si>
    <t>F17497</t>
    <phoneticPr fontId="17" type="noConversion"/>
  </si>
  <si>
    <t>17'' TIRE-CH017-6</t>
  </si>
  <si>
    <t>CH017-6</t>
    <phoneticPr fontId="3" type="noConversion"/>
  </si>
  <si>
    <t>17" tire</t>
    <phoneticPr fontId="3" type="noConversion"/>
  </si>
  <si>
    <t>PCM BRACKET&amp;COVER + PT76</t>
  </si>
  <si>
    <t>PT76</t>
    <phoneticPr fontId="3" type="noConversion"/>
  </si>
  <si>
    <t>PCM bracket (Stage 5)</t>
    <phoneticPr fontId="3" type="noConversion"/>
  </si>
  <si>
    <t>JD8G</t>
    <phoneticPr fontId="3" type="noConversion"/>
  </si>
  <si>
    <t>12A659</t>
    <phoneticPr fontId="6" type="noConversion"/>
  </si>
  <si>
    <t>PCM bracket</t>
    <phoneticPr fontId="3" type="noConversion"/>
  </si>
  <si>
    <t>N</t>
    <phoneticPr fontId="6" type="noConversion"/>
  </si>
  <si>
    <t>C13533027</t>
  </si>
  <si>
    <t>12A532</t>
    <phoneticPr fontId="6" type="noConversion"/>
  </si>
  <si>
    <t>ATWU COOLER-PTO19-1</t>
  </si>
  <si>
    <t>PTO19-1</t>
    <phoneticPr fontId="3" type="noConversion"/>
  </si>
  <si>
    <t>ATWU Heater Fox</t>
    <phoneticPr fontId="3" type="noConversion"/>
  </si>
  <si>
    <t>JD8P</t>
    <phoneticPr fontId="3" type="noConversion"/>
  </si>
  <si>
    <t>7869</t>
    <phoneticPr fontId="6" type="noConversion"/>
  </si>
  <si>
    <t>ATWU COOLER-PTO19</t>
  </si>
  <si>
    <t>ATWU Heater Dragon</t>
    <phoneticPr fontId="3" type="noConversion"/>
  </si>
  <si>
    <t>F1FP</t>
    <phoneticPr fontId="3" type="noConversion"/>
  </si>
  <si>
    <t>CAC-PT50</t>
  </si>
  <si>
    <t>PT50</t>
    <phoneticPr fontId="3" type="noConversion"/>
  </si>
  <si>
    <t>CAC</t>
    <phoneticPr fontId="3" type="noConversion"/>
  </si>
  <si>
    <t>KV61</t>
    <phoneticPr fontId="3" type="noConversion"/>
  </si>
  <si>
    <t>6K775</t>
    <phoneticPr fontId="6" type="noConversion"/>
  </si>
  <si>
    <t>FB</t>
    <phoneticPr fontId="3" type="noConversion"/>
  </si>
  <si>
    <t>FA</t>
    <phoneticPr fontId="3" type="noConversion"/>
  </si>
  <si>
    <t>MASS DAMPER+CH096</t>
  </si>
  <si>
    <t>CH096</t>
    <phoneticPr fontId="3" type="noConversion"/>
  </si>
  <si>
    <t>Mass damper</t>
    <phoneticPr fontId="3" type="noConversion"/>
  </si>
  <si>
    <t>F422C30</t>
    <phoneticPr fontId="6" type="noConversion"/>
  </si>
  <si>
    <t>Milkrun</t>
    <phoneticPr fontId="3" type="noConversion"/>
  </si>
  <si>
    <t>C490MCA MT SHIFTER-PT02-1</t>
  </si>
  <si>
    <t>PT02-1</t>
    <phoneticPr fontId="3" type="noConversion"/>
  </si>
  <si>
    <t xml:space="preserve">MT Shifter </t>
    <phoneticPr fontId="3" type="noConversion"/>
  </si>
  <si>
    <t>JD8R</t>
    <phoneticPr fontId="3" type="noConversion"/>
  </si>
  <si>
    <t>7C453</t>
    <phoneticPr fontId="6" type="noConversion"/>
  </si>
  <si>
    <t>BAA</t>
    <phoneticPr fontId="3" type="noConversion"/>
  </si>
  <si>
    <t>BKA</t>
    <phoneticPr fontId="3" type="noConversion"/>
  </si>
  <si>
    <t>C13478708</t>
  </si>
  <si>
    <t>BAB</t>
    <phoneticPr fontId="3" type="noConversion"/>
  </si>
  <si>
    <t>BKB</t>
    <phoneticPr fontId="3" type="noConversion"/>
  </si>
  <si>
    <t>CO CONDENSER E057-2 1.0FOX</t>
  </si>
  <si>
    <t>E057-2</t>
    <phoneticPr fontId="3" type="noConversion"/>
  </si>
  <si>
    <t>Condenser</t>
    <phoneticPr fontId="3" type="noConversion"/>
  </si>
  <si>
    <t>F1F1</t>
    <phoneticPr fontId="3" type="noConversion"/>
  </si>
  <si>
    <t>BRAKE VACUUM HOSE BRACKET_CH063-1</t>
    <phoneticPr fontId="3" type="noConversion"/>
  </si>
  <si>
    <t>CH063-1</t>
    <phoneticPr fontId="3" type="noConversion"/>
  </si>
  <si>
    <t>Vacuum hose bracket</t>
    <phoneticPr fontId="3" type="noConversion"/>
  </si>
  <si>
    <t>CHS</t>
  </si>
  <si>
    <t>PF</t>
  </si>
  <si>
    <t>B</t>
  </si>
  <si>
    <t>19048</t>
    <phoneticPr fontId="6" type="noConversion"/>
  </si>
  <si>
    <t>JD8C</t>
  </si>
  <si>
    <t>19048</t>
  </si>
  <si>
    <t>C13336715</t>
  </si>
  <si>
    <t>CH063-1</t>
  </si>
  <si>
    <t>Vacuum hose bracket</t>
  </si>
  <si>
    <t>PMT3</t>
  </si>
  <si>
    <t>D</t>
    <phoneticPr fontId="3" type="noConversion"/>
  </si>
  <si>
    <t>19048</t>
    <phoneticPr fontId="3" type="noConversion"/>
  </si>
  <si>
    <t>JD8C-19048-AA</t>
  </si>
  <si>
    <t>ALLOYWHEEL+CH016+WANFENG</t>
  </si>
  <si>
    <t>CH016</t>
    <phoneticPr fontId="3" type="noConversion"/>
  </si>
  <si>
    <t>Alloy Wheel 15''</t>
    <phoneticPr fontId="3" type="noConversion"/>
  </si>
  <si>
    <t>Amortized</t>
    <phoneticPr fontId="3" type="noConversion"/>
  </si>
  <si>
    <t>ALLOYWHEEL+CH016+DICASTAL</t>
  </si>
  <si>
    <t>PMT3</t>
    <phoneticPr fontId="3" type="noConversion"/>
  </si>
  <si>
    <t>PF</t>
    <phoneticPr fontId="3" type="noConversion"/>
  </si>
  <si>
    <t>WTA+FORTUNE</t>
  </si>
  <si>
    <t>CH018+FORTUNE</t>
    <phoneticPr fontId="3" type="noConversion"/>
  </si>
  <si>
    <t>Wheels and Tires Assy</t>
  </si>
  <si>
    <t>JD8C </t>
  </si>
  <si>
    <t>1K003</t>
    <phoneticPr fontId="3" type="noConversion"/>
  </si>
  <si>
    <t>WTA+CAMSL</t>
  </si>
  <si>
    <t>CH018+CAMS</t>
    <phoneticPr fontId="3" type="noConversion"/>
  </si>
  <si>
    <t>C13498615</t>
  </si>
  <si>
    <t>ED8C</t>
    <phoneticPr fontId="3" type="noConversion"/>
  </si>
  <si>
    <t>EB</t>
    <phoneticPr fontId="3" type="noConversion"/>
  </si>
  <si>
    <t>C13514077</t>
  </si>
  <si>
    <t>Zhu Huihuii</t>
    <phoneticPr fontId="3" type="noConversion"/>
  </si>
  <si>
    <t>C13544827</t>
  </si>
  <si>
    <t>EA</t>
    <phoneticPr fontId="3" type="noConversion"/>
  </si>
  <si>
    <t>ATOC-PT67</t>
  </si>
  <si>
    <t>ATOC</t>
    <phoneticPr fontId="3" type="noConversion"/>
  </si>
  <si>
    <t>7K177</t>
    <phoneticPr fontId="6" type="noConversion"/>
  </si>
  <si>
    <t>VA</t>
    <phoneticPr fontId="3" type="noConversion"/>
  </si>
  <si>
    <t>RADIATOR-PT10</t>
    <phoneticPr fontId="21" type="noConversion"/>
  </si>
  <si>
    <t>PT10-2</t>
  </si>
  <si>
    <t>Radiator(FOX)</t>
    <phoneticPr fontId="3" type="noConversion"/>
  </si>
  <si>
    <t>VE</t>
    <phoneticPr fontId="3" type="noConversion"/>
  </si>
  <si>
    <t>WHEEL COVER_ET53</t>
    <phoneticPr fontId="21" type="noConversion"/>
  </si>
  <si>
    <t>ET53</t>
    <phoneticPr fontId="3" type="noConversion"/>
  </si>
  <si>
    <t>Wheel protective film</t>
    <phoneticPr fontId="3" type="noConversion"/>
  </si>
  <si>
    <t>BV61</t>
    <phoneticPr fontId="3" type="noConversion"/>
  </si>
  <si>
    <t>1A201</t>
    <phoneticPr fontId="6" type="noConversion"/>
  </si>
  <si>
    <t>C13306084</t>
  </si>
  <si>
    <t>ET53</t>
  </si>
  <si>
    <t>Wheel protective film</t>
  </si>
  <si>
    <t>BV61</t>
  </si>
  <si>
    <t>1A201</t>
  </si>
  <si>
    <t>C1A</t>
  </si>
  <si>
    <t>BV61-1A201-CA</t>
  </si>
  <si>
    <t>ED8C</t>
  </si>
  <si>
    <t>ED8C-1A201-AA</t>
  </si>
  <si>
    <t>ED8C-1A201-BA</t>
  </si>
  <si>
    <t>SMALL STAMPING BRACKET-DECKLID-B013</t>
    <phoneticPr fontId="21" type="noConversion"/>
  </si>
  <si>
    <t>B013</t>
    <phoneticPr fontId="3" type="noConversion"/>
  </si>
  <si>
    <t xml:space="preserve">Small Stamping Bracket </t>
    <phoneticPr fontId="3" type="noConversion"/>
  </si>
  <si>
    <t>F431F78</t>
    <phoneticPr fontId="6" type="noConversion"/>
  </si>
  <si>
    <t>F45046</t>
    <phoneticPr fontId="6" type="noConversion"/>
  </si>
  <si>
    <t>F45047</t>
    <phoneticPr fontId="6" type="noConversion"/>
  </si>
  <si>
    <t>DECKLID HINGE B03</t>
    <phoneticPr fontId="21" type="noConversion"/>
  </si>
  <si>
    <t>B03</t>
    <phoneticPr fontId="3" type="noConversion"/>
  </si>
  <si>
    <t>Decklid hinge</t>
    <phoneticPr fontId="3" type="noConversion"/>
  </si>
  <si>
    <t>F42700</t>
    <phoneticPr fontId="6" type="noConversion"/>
  </si>
  <si>
    <t>F42701</t>
    <phoneticPr fontId="6" type="noConversion"/>
  </si>
  <si>
    <t>F44890</t>
    <phoneticPr fontId="6" type="noConversion"/>
  </si>
  <si>
    <t>F44891</t>
    <phoneticPr fontId="6" type="noConversion"/>
  </si>
  <si>
    <t>F44858</t>
    <phoneticPr fontId="6" type="noConversion"/>
  </si>
  <si>
    <t>C13329112</t>
    <phoneticPr fontId="21" type="noConversion"/>
  </si>
  <si>
    <t>SCUFF PLATE+IT36</t>
    <phoneticPr fontId="21" type="noConversion"/>
  </si>
  <si>
    <t>IT36</t>
    <phoneticPr fontId="3" type="noConversion"/>
  </si>
  <si>
    <t>Exterior scuff plate</t>
    <phoneticPr fontId="3" type="noConversion"/>
  </si>
  <si>
    <t>132K14</t>
    <phoneticPr fontId="6" type="noConversion"/>
  </si>
  <si>
    <t>IT36</t>
  </si>
  <si>
    <t>132K15</t>
    <phoneticPr fontId="17" type="noConversion"/>
  </si>
  <si>
    <t>Exterior scuff plate</t>
  </si>
  <si>
    <t>C490-HOD-REINFS-B013-ZX-ZY</t>
    <phoneticPr fontId="21" type="noConversion"/>
  </si>
  <si>
    <t>B013</t>
  </si>
  <si>
    <t xml:space="preserve">Small Stamping Bracket </t>
  </si>
  <si>
    <t>16K658</t>
    <phoneticPr fontId="17" type="noConversion"/>
  </si>
  <si>
    <t>16K659</t>
    <phoneticPr fontId="17" type="noConversion"/>
  </si>
  <si>
    <t>16A762</t>
    <phoneticPr fontId="17" type="noConversion"/>
  </si>
  <si>
    <t>HOOD HINGE B02</t>
    <phoneticPr fontId="21" type="noConversion"/>
  </si>
  <si>
    <t>B02</t>
    <phoneticPr fontId="3" type="noConversion"/>
  </si>
  <si>
    <t>Hood Hinge</t>
  </si>
  <si>
    <t>F16800</t>
    <phoneticPr fontId="17" type="noConversion"/>
  </si>
  <si>
    <t>F16801</t>
    <phoneticPr fontId="17" type="noConversion"/>
  </si>
  <si>
    <t>C13342744</t>
    <phoneticPr fontId="21" type="noConversion"/>
  </si>
  <si>
    <t>SMALL STAMPING FENDER BRACKET-B013-ZX</t>
  </si>
  <si>
    <t>F16E038</t>
  </si>
  <si>
    <t>F16E039</t>
  </si>
  <si>
    <t>C13369158</t>
  </si>
  <si>
    <t>PEM BRACKET + B013-2</t>
  </si>
  <si>
    <t xml:space="preserve">B013-2 </t>
  </si>
  <si>
    <t>Sheet metal-Small stamping and bracket</t>
  </si>
  <si>
    <t>JD8G</t>
  </si>
  <si>
    <t>9D371</t>
    <phoneticPr fontId="3" type="noConversion"/>
  </si>
  <si>
    <t>9D371</t>
  </si>
  <si>
    <t>C13325329</t>
  </si>
  <si>
    <t>JD8G-9D371-AA</t>
  </si>
  <si>
    <t>COWL TOP+CQ BND PUSH</t>
  </si>
  <si>
    <t>B044</t>
  </si>
  <si>
    <t>Stamping_outsource stamping &amp; welding assy-chunk 12</t>
  </si>
  <si>
    <t>F02010</t>
  </si>
  <si>
    <t>AD</t>
  </si>
  <si>
    <t>CANISTER BRACKET B013-3</t>
  </si>
  <si>
    <t>B013-3</t>
  </si>
  <si>
    <t xml:space="preserve">Canister Bracket </t>
  </si>
  <si>
    <t>9D665</t>
  </si>
  <si>
    <t>WINDOW REGULATOR + B018</t>
  </si>
  <si>
    <t>B018</t>
  </si>
  <si>
    <t>Window Lift Assemblies/Regulators</t>
  </si>
  <si>
    <t>JD8B </t>
  </si>
  <si>
    <t>F23200</t>
  </si>
  <si>
    <t>AE</t>
  </si>
  <si>
    <t>F23201</t>
  </si>
  <si>
    <t>AG</t>
  </si>
  <si>
    <t>FRONT FOG LAMP+E20-1</t>
  </si>
  <si>
    <t>E20-1</t>
  </si>
  <si>
    <t>LED Fog Lamp</t>
  </si>
  <si>
    <t>JB3B</t>
  </si>
  <si>
    <t>AT TRANS VENT(FOX)-PT26-2</t>
  </si>
  <si>
    <t>PT56</t>
  </si>
  <si>
    <t>Trans Vent</t>
  </si>
  <si>
    <t>JD8P</t>
  </si>
  <si>
    <t>7034</t>
  </si>
  <si>
    <t>ED8P</t>
  </si>
  <si>
    <t>TRANS VENT(DRAGON)-PT26-1</t>
  </si>
  <si>
    <t>MAIN CARPET+1T17</t>
  </si>
  <si>
    <t>IT17</t>
    <phoneticPr fontId="3" type="noConversion"/>
  </si>
  <si>
    <t>Carpet</t>
  </si>
  <si>
    <t>JD8B</t>
    <phoneticPr fontId="6" type="noConversion"/>
  </si>
  <si>
    <t>F11454</t>
    <phoneticPr fontId="6" type="noConversion"/>
  </si>
  <si>
    <t>AAW</t>
    <phoneticPr fontId="6" type="noConversion"/>
  </si>
  <si>
    <t>ED8B</t>
    <phoneticPr fontId="6" type="noConversion"/>
  </si>
  <si>
    <t>AGW</t>
    <phoneticPr fontId="6" type="noConversion"/>
  </si>
  <si>
    <t>DECKLID TRIM+IT22-1</t>
  </si>
  <si>
    <t>IT22</t>
    <phoneticPr fontId="3" type="noConversion"/>
  </si>
  <si>
    <t xml:space="preserve">Cargo Trim </t>
  </si>
  <si>
    <t>F407A64</t>
    <phoneticPr fontId="6" type="noConversion"/>
  </si>
  <si>
    <t>C13345421</t>
  </si>
  <si>
    <t>ABW</t>
    <phoneticPr fontId="6" type="noConversion"/>
  </si>
  <si>
    <t>PACKAGE TRAY+IT23</t>
    <phoneticPr fontId="21" type="noConversion"/>
  </si>
  <si>
    <t>IT23</t>
    <phoneticPr fontId="3" type="noConversion"/>
  </si>
  <si>
    <t>Package Tray</t>
  </si>
  <si>
    <t>F46668</t>
    <phoneticPr fontId="6" type="noConversion"/>
  </si>
  <si>
    <t>AEW</t>
    <phoneticPr fontId="6" type="noConversion"/>
  </si>
  <si>
    <t>AC LINE E014</t>
    <phoneticPr fontId="21" type="noConversion"/>
  </si>
  <si>
    <t>E014</t>
    <phoneticPr fontId="3" type="noConversion"/>
  </si>
  <si>
    <t>AC Lines</t>
    <phoneticPr fontId="3" type="noConversion"/>
  </si>
  <si>
    <t>19A834</t>
    <phoneticPr fontId="6" type="noConversion"/>
  </si>
  <si>
    <t>AA</t>
    <phoneticPr fontId="6" type="noConversion"/>
  </si>
  <si>
    <t>AC</t>
    <phoneticPr fontId="6" type="noConversion"/>
  </si>
  <si>
    <t>19N601 </t>
    <phoneticPr fontId="6" type="noConversion"/>
  </si>
  <si>
    <t>AB</t>
    <phoneticPr fontId="6" type="noConversion"/>
  </si>
  <si>
    <t>BA</t>
    <phoneticPr fontId="6" type="noConversion"/>
  </si>
  <si>
    <t>19N602 </t>
    <phoneticPr fontId="6" type="noConversion"/>
  </si>
  <si>
    <t>AD</t>
    <phoneticPr fontId="6" type="noConversion"/>
  </si>
  <si>
    <t>19N651 </t>
    <phoneticPr fontId="6" type="noConversion"/>
  </si>
  <si>
    <t>REAR SEAT BELTS  AND BUCKLE IT01-2</t>
    <phoneticPr fontId="21" type="noConversion"/>
  </si>
  <si>
    <t>IT01-2</t>
    <phoneticPr fontId="3" type="noConversion"/>
  </si>
  <si>
    <t>Seat Belts-Rear</t>
    <phoneticPr fontId="3" type="noConversion"/>
  </si>
  <si>
    <t>611B64</t>
    <phoneticPr fontId="6" type="noConversion"/>
  </si>
  <si>
    <t>EC approved</t>
    <phoneticPr fontId="6" type="noConversion"/>
  </si>
  <si>
    <t>BBW</t>
    <phoneticPr fontId="6" type="noConversion"/>
  </si>
  <si>
    <t>611B68</t>
    <phoneticPr fontId="6" type="noConversion"/>
  </si>
  <si>
    <t>CBW</t>
    <phoneticPr fontId="6" type="noConversion"/>
  </si>
  <si>
    <t>611B69</t>
    <phoneticPr fontId="6" type="noConversion"/>
  </si>
  <si>
    <t>613K21</t>
    <phoneticPr fontId="6" type="noConversion"/>
  </si>
  <si>
    <t>BDW</t>
    <phoneticPr fontId="6" type="noConversion"/>
  </si>
  <si>
    <t>C13360171</t>
    <phoneticPr fontId="21" type="noConversion"/>
  </si>
  <si>
    <t>LOCKSET - B021</t>
    <phoneticPr fontId="21" type="noConversion"/>
  </si>
  <si>
    <t>B021</t>
    <phoneticPr fontId="3" type="noConversion"/>
  </si>
  <si>
    <t>Lock Sets</t>
    <phoneticPr fontId="3" type="noConversion"/>
  </si>
  <si>
    <t>F22050</t>
    <phoneticPr fontId="6" type="noConversion"/>
  </si>
  <si>
    <t>F22050 </t>
    <phoneticPr fontId="6" type="noConversion"/>
  </si>
  <si>
    <t>AH</t>
    <phoneticPr fontId="6" type="noConversion"/>
  </si>
  <si>
    <t>CA</t>
    <phoneticPr fontId="6" type="noConversion"/>
  </si>
  <si>
    <t>C13312678</t>
    <phoneticPr fontId="21" type="noConversion"/>
  </si>
  <si>
    <t>BB</t>
    <phoneticPr fontId="6" type="noConversion"/>
  </si>
  <si>
    <t>OCE:12.18, PTI 10%</t>
    <phoneticPr fontId="6" type="noConversion"/>
  </si>
  <si>
    <t>CB</t>
    <phoneticPr fontId="6" type="noConversion"/>
  </si>
  <si>
    <t>B024</t>
    <phoneticPr fontId="3" type="noConversion"/>
  </si>
  <si>
    <t>Decklid latch &amp; striker</t>
    <phoneticPr fontId="3" type="noConversion"/>
  </si>
  <si>
    <t>F43282 </t>
    <phoneticPr fontId="6" type="noConversion"/>
  </si>
  <si>
    <t>new adding cylinder cable</t>
    <phoneticPr fontId="6" type="noConversion"/>
  </si>
  <si>
    <t>Fastener</t>
    <phoneticPr fontId="3" type="noConversion"/>
  </si>
  <si>
    <t>W520412 </t>
    <phoneticPr fontId="6" type="noConversion"/>
  </si>
  <si>
    <t>S442 </t>
    <phoneticPr fontId="6" type="noConversion"/>
  </si>
  <si>
    <t>C13515285</t>
  </si>
  <si>
    <t>Bolt</t>
  </si>
  <si>
    <t>PMT4</t>
    <phoneticPr fontId="3" type="noConversion"/>
  </si>
  <si>
    <t>W500012 </t>
  </si>
  <si>
    <t>COWL GRILLE+ET9</t>
    <phoneticPr fontId="21" type="noConversion"/>
  </si>
  <si>
    <t>ET9</t>
    <phoneticPr fontId="3" type="noConversion"/>
  </si>
  <si>
    <t>Cowl Grille</t>
    <phoneticPr fontId="3" type="noConversion"/>
  </si>
  <si>
    <t>F02216</t>
    <phoneticPr fontId="6" type="noConversion"/>
  </si>
  <si>
    <t xml:space="preserve">模具竞标报过EC </t>
    <phoneticPr fontId="6" type="noConversion"/>
  </si>
  <si>
    <t>AK</t>
    <phoneticPr fontId="6" type="noConversion"/>
  </si>
  <si>
    <t>C13345475</t>
    <phoneticPr fontId="21" type="noConversion"/>
  </si>
  <si>
    <t>BCM BRACKET-E085</t>
    <phoneticPr fontId="21" type="noConversion"/>
  </si>
  <si>
    <t>E085</t>
    <phoneticPr fontId="3" type="noConversion"/>
  </si>
  <si>
    <t>BCM Bracket</t>
    <phoneticPr fontId="3" type="noConversion"/>
  </si>
  <si>
    <t>JD8T</t>
    <phoneticPr fontId="6" type="noConversion"/>
  </si>
  <si>
    <t>14A254</t>
    <phoneticPr fontId="6" type="noConversion"/>
  </si>
  <si>
    <t>C13458068</t>
  </si>
  <si>
    <r>
      <t xml:space="preserve">445859 </t>
    </r>
    <r>
      <rPr>
        <sz val="10"/>
        <rFont val="宋体"/>
        <family val="3"/>
        <charset val="134"/>
      </rPr>
      <t>模具报废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工程变化大</t>
    </r>
    <phoneticPr fontId="3" type="noConversion"/>
  </si>
  <si>
    <t>C13577995</t>
  </si>
  <si>
    <t>EDS BRACKET-B047</t>
    <phoneticPr fontId="21" type="noConversion"/>
  </si>
  <si>
    <t>B047</t>
    <phoneticPr fontId="3" type="noConversion"/>
  </si>
  <si>
    <t>EDS Bracket</t>
    <phoneticPr fontId="3" type="noConversion"/>
  </si>
  <si>
    <t>14A301</t>
    <phoneticPr fontId="6" type="noConversion"/>
  </si>
  <si>
    <t>ED8T</t>
    <phoneticPr fontId="6" type="noConversion"/>
  </si>
  <si>
    <t>C13504490</t>
  </si>
  <si>
    <t>FRONT DOOR BRACKET (NEW ADDED)-B013-5</t>
    <phoneticPr fontId="21" type="noConversion"/>
  </si>
  <si>
    <r>
      <t>B013-5</t>
    </r>
    <r>
      <rPr>
        <sz val="10"/>
        <color rgb="FF000000"/>
        <rFont val="Segoe UI"/>
        <family val="2"/>
      </rPr>
      <t> </t>
    </r>
    <phoneticPr fontId="3" type="noConversion"/>
  </si>
  <si>
    <t xml:space="preserve"> Front Door Bracket </t>
    <phoneticPr fontId="3" type="noConversion"/>
  </si>
  <si>
    <t>F21192 </t>
    <phoneticPr fontId="6" type="noConversion"/>
  </si>
  <si>
    <t>F21193</t>
    <phoneticPr fontId="6" type="noConversion"/>
  </si>
  <si>
    <t>C13372811</t>
  </si>
  <si>
    <r>
      <t>B013-5</t>
    </r>
    <r>
      <rPr>
        <sz val="10"/>
        <color rgb="FF000000"/>
        <rFont val="Segoe UI"/>
        <family val="2"/>
      </rPr>
      <t> </t>
    </r>
  </si>
  <si>
    <t xml:space="preserve"> Front Door Bracket </t>
  </si>
  <si>
    <t>F21192 </t>
  </si>
  <si>
    <t>F21193</t>
  </si>
  <si>
    <t>OS HANDLE-ET5</t>
    <phoneticPr fontId="21" type="noConversion"/>
  </si>
  <si>
    <t>ET5</t>
  </si>
  <si>
    <t>Exterior door handle</t>
    <phoneticPr fontId="3" type="noConversion"/>
  </si>
  <si>
    <t>PJD8B</t>
    <phoneticPr fontId="3" type="noConversion"/>
  </si>
  <si>
    <t>F22400</t>
    <phoneticPr fontId="17" type="noConversion"/>
  </si>
  <si>
    <t>F22401</t>
    <phoneticPr fontId="17" type="noConversion"/>
  </si>
  <si>
    <t>F26600</t>
    <phoneticPr fontId="17" type="noConversion"/>
  </si>
  <si>
    <t>F26601</t>
    <phoneticPr fontId="17" type="noConversion"/>
  </si>
  <si>
    <t>PED8B</t>
    <phoneticPr fontId="3" type="noConversion"/>
  </si>
  <si>
    <t>ACW</t>
    <phoneticPr fontId="3" type="noConversion"/>
  </si>
  <si>
    <t>FRONT WHEEL ARCH LINER+ET17-2</t>
    <phoneticPr fontId="21" type="noConversion"/>
  </si>
  <si>
    <t>ET17-2</t>
    <phoneticPr fontId="3" type="noConversion"/>
  </si>
  <si>
    <t>Wheel arch liners (front)</t>
    <phoneticPr fontId="3" type="noConversion"/>
  </si>
  <si>
    <t>F16114</t>
    <phoneticPr fontId="17" type="noConversion"/>
  </si>
  <si>
    <t>F16115</t>
    <phoneticPr fontId="17" type="noConversion"/>
  </si>
  <si>
    <t>C13329123</t>
    <phoneticPr fontId="21" type="noConversion"/>
  </si>
  <si>
    <t>C13346422</t>
    <phoneticPr fontId="21" type="noConversion"/>
  </si>
  <si>
    <t>EBUWE13267652003-LW AT VATIANT ONLY</t>
    <phoneticPr fontId="21" type="noConversion"/>
  </si>
  <si>
    <t>6A095 </t>
    <phoneticPr fontId="17" type="noConversion"/>
  </si>
  <si>
    <t>CE estimate incremental VT is reasonable</t>
    <phoneticPr fontId="3" type="noConversion"/>
  </si>
  <si>
    <t>3M51</t>
    <phoneticPr fontId="3" type="noConversion"/>
  </si>
  <si>
    <t>R6E042 </t>
    <phoneticPr fontId="17" type="noConversion"/>
  </si>
  <si>
    <t>AF</t>
    <phoneticPr fontId="3" type="noConversion"/>
  </si>
  <si>
    <t>C13325542</t>
  </si>
  <si>
    <t>CAC FAN+PT100</t>
    <phoneticPr fontId="21" type="noConversion"/>
  </si>
  <si>
    <t>PT100</t>
    <phoneticPr fontId="3" type="noConversion"/>
  </si>
  <si>
    <t>CAC Fan</t>
    <phoneticPr fontId="3" type="noConversion"/>
  </si>
  <si>
    <t>8C607</t>
    <phoneticPr fontId="17" type="noConversion"/>
  </si>
  <si>
    <t>C13418651</t>
  </si>
  <si>
    <t>JD81</t>
    <phoneticPr fontId="3" type="noConversion"/>
  </si>
  <si>
    <t>KV61</t>
  </si>
  <si>
    <t>8C607</t>
  </si>
  <si>
    <t>HIGH PRESSURE DUCT+PT09</t>
    <phoneticPr fontId="21" type="noConversion"/>
  </si>
  <si>
    <t>PT09</t>
    <phoneticPr fontId="3" type="noConversion"/>
  </si>
  <si>
    <t>High pressure duct</t>
    <phoneticPr fontId="3" type="noConversion"/>
  </si>
  <si>
    <t>6F075</t>
    <phoneticPr fontId="17" type="noConversion"/>
  </si>
  <si>
    <t>6C646</t>
    <phoneticPr fontId="17" type="noConversion"/>
  </si>
  <si>
    <t>C13309582</t>
  </si>
  <si>
    <t>High pressure duct</t>
  </si>
  <si>
    <t>6F075</t>
  </si>
  <si>
    <t>JD8G-6F075-BA</t>
  </si>
  <si>
    <t>C13500879</t>
  </si>
  <si>
    <t>C13531190</t>
  </si>
  <si>
    <t>BC</t>
    <phoneticPr fontId="3" type="noConversion"/>
  </si>
  <si>
    <t>JX61</t>
    <phoneticPr fontId="3" type="noConversion"/>
  </si>
  <si>
    <t>6F072</t>
    <phoneticPr fontId="17" type="noConversion"/>
  </si>
  <si>
    <t>CLEAN SIDE DUCT+PT07-3</t>
    <phoneticPr fontId="21" type="noConversion"/>
  </si>
  <si>
    <t>PT07-3</t>
    <phoneticPr fontId="3" type="noConversion"/>
  </si>
  <si>
    <t>Clean duct</t>
    <phoneticPr fontId="3" type="noConversion"/>
  </si>
  <si>
    <t>9C623</t>
    <phoneticPr fontId="17" type="noConversion"/>
  </si>
  <si>
    <t>C13310116</t>
  </si>
  <si>
    <t>9C623</t>
  </si>
  <si>
    <t>JD8G-9C623-BA</t>
  </si>
  <si>
    <t>C13423897</t>
  </si>
  <si>
    <t>UEGO/CMS SENSOR (DRAGON PFI) - PT25-1</t>
    <phoneticPr fontId="21" type="noConversion"/>
  </si>
  <si>
    <t>PT25-1</t>
    <phoneticPr fontId="3" type="noConversion"/>
  </si>
  <si>
    <r>
      <t>UEGO/CMS Sensor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Dragon Stage 6  / Dragon Stage 5</t>
    </r>
    <r>
      <rPr>
        <sz val="10"/>
        <color theme="1"/>
        <rFont val="宋体"/>
        <family val="3"/>
        <charset val="134"/>
      </rPr>
      <t>）</t>
    </r>
    <phoneticPr fontId="3" type="noConversion"/>
  </si>
  <si>
    <t>9F472</t>
    <phoneticPr fontId="17" type="noConversion"/>
  </si>
  <si>
    <t>HN1A</t>
    <phoneticPr fontId="3" type="noConversion"/>
  </si>
  <si>
    <t>9G444</t>
    <phoneticPr fontId="17" type="noConversion"/>
  </si>
  <si>
    <t>9Y460</t>
    <phoneticPr fontId="17" type="noConversion"/>
  </si>
  <si>
    <t>COOLING FAN+PT08</t>
    <phoneticPr fontId="21" type="noConversion"/>
  </si>
  <si>
    <t>PT08-3</t>
  </si>
  <si>
    <t>Cooling fan</t>
    <phoneticPr fontId="3" type="noConversion"/>
  </si>
  <si>
    <t>PT08-1</t>
    <phoneticPr fontId="3" type="noConversion"/>
  </si>
  <si>
    <t>RADIATOR-PT10-2</t>
    <phoneticPr fontId="21" type="noConversion"/>
  </si>
  <si>
    <t>PT10-2</t>
    <phoneticPr fontId="3" type="noConversion"/>
  </si>
  <si>
    <t>Radiator(Dragon)</t>
    <phoneticPr fontId="3" type="noConversion"/>
  </si>
  <si>
    <t>ENGINE MOUNT BRACKET-PT01-3</t>
    <phoneticPr fontId="21" type="noConversion"/>
  </si>
  <si>
    <t>PT01-3</t>
    <phoneticPr fontId="3" type="noConversion"/>
  </si>
  <si>
    <t>Engine mount bracket</t>
    <phoneticPr fontId="3" type="noConversion"/>
  </si>
  <si>
    <t>7M125</t>
    <phoneticPr fontId="17" type="noConversion"/>
  </si>
  <si>
    <t>7P247</t>
    <phoneticPr fontId="17" type="noConversion"/>
  </si>
  <si>
    <t>TAIL LAMP+E022</t>
    <phoneticPr fontId="21" type="noConversion"/>
  </si>
  <si>
    <t>E022</t>
    <phoneticPr fontId="3" type="noConversion"/>
  </si>
  <si>
    <t>Tail Lamp</t>
    <phoneticPr fontId="3" type="noConversion"/>
  </si>
  <si>
    <t>13A602</t>
    <phoneticPr fontId="17" type="noConversion"/>
  </si>
  <si>
    <t>13A603</t>
    <phoneticPr fontId="17" type="noConversion"/>
  </si>
  <si>
    <t>incl. in above</t>
    <phoneticPr fontId="17" type="noConversion"/>
  </si>
  <si>
    <t>13B414</t>
    <phoneticPr fontId="17" type="noConversion"/>
  </si>
  <si>
    <t>C13473170</t>
  </si>
  <si>
    <t>13B415</t>
    <phoneticPr fontId="17" type="noConversion"/>
  </si>
  <si>
    <t>HEAD LAMP+E023</t>
    <phoneticPr fontId="21" type="noConversion"/>
  </si>
  <si>
    <t>E023</t>
    <phoneticPr fontId="3" type="noConversion"/>
  </si>
  <si>
    <t>Head lamp</t>
    <phoneticPr fontId="3" type="noConversion"/>
  </si>
  <si>
    <t>13W029</t>
    <phoneticPr fontId="17" type="noConversion"/>
  </si>
  <si>
    <t>13W030</t>
    <phoneticPr fontId="17" type="noConversion"/>
  </si>
  <si>
    <t>incl. in above</t>
    <phoneticPr fontId="21" type="noConversion"/>
  </si>
  <si>
    <t>13D154</t>
    <phoneticPr fontId="17" type="noConversion"/>
  </si>
  <si>
    <t>13D155</t>
    <phoneticPr fontId="17" type="noConversion"/>
  </si>
  <si>
    <t>C13314289</t>
    <phoneticPr fontId="21" type="noConversion"/>
  </si>
  <si>
    <t>13D154 </t>
    <phoneticPr fontId="17" type="noConversion"/>
  </si>
  <si>
    <t>13D155 </t>
    <phoneticPr fontId="17" type="noConversion"/>
  </si>
  <si>
    <t>C13323488</t>
    <phoneticPr fontId="21" type="noConversion"/>
  </si>
  <si>
    <t>C13509786</t>
  </si>
  <si>
    <t>C13531146</t>
  </si>
  <si>
    <t>C13313415</t>
    <phoneticPr fontId="21" type="noConversion"/>
  </si>
  <si>
    <t>IT8</t>
    <phoneticPr fontId="3" type="noConversion"/>
  </si>
  <si>
    <t>Door Trim - Front/Rear</t>
    <phoneticPr fontId="3" type="noConversion"/>
  </si>
  <si>
    <t>F23942 </t>
    <phoneticPr fontId="17" type="noConversion"/>
  </si>
  <si>
    <t>BGW</t>
    <phoneticPr fontId="3" type="noConversion"/>
  </si>
  <si>
    <t>F27406 </t>
    <phoneticPr fontId="17" type="noConversion"/>
  </si>
  <si>
    <t>F27407 </t>
    <phoneticPr fontId="17" type="noConversion"/>
  </si>
  <si>
    <t>FRONT WIPER SYSTEM + E106</t>
    <phoneticPr fontId="21" type="noConversion"/>
  </si>
  <si>
    <t>E106</t>
  </si>
  <si>
    <t>wiper</t>
  </si>
  <si>
    <t>17500</t>
    <phoneticPr fontId="3" type="noConversion"/>
  </si>
  <si>
    <t>17B589</t>
    <phoneticPr fontId="17" type="noConversion"/>
  </si>
  <si>
    <t>17C495</t>
    <phoneticPr fontId="17" type="noConversion"/>
  </si>
  <si>
    <t>AT SHIFTER-PT02</t>
    <phoneticPr fontId="21" type="noConversion"/>
  </si>
  <si>
    <t>PT02</t>
    <phoneticPr fontId="3" type="noConversion"/>
  </si>
  <si>
    <t xml:space="preserve">Shifter Assembly - Automatic Transmission (AT) </t>
    <phoneticPr fontId="3" type="noConversion"/>
  </si>
  <si>
    <t>7K004</t>
    <phoneticPr fontId="3" type="noConversion"/>
  </si>
  <si>
    <t>ED8P</t>
    <phoneticPr fontId="3" type="noConversion"/>
  </si>
  <si>
    <t>BDW</t>
    <phoneticPr fontId="3" type="noConversion"/>
  </si>
  <si>
    <t>DAW</t>
    <phoneticPr fontId="3" type="noConversion"/>
  </si>
  <si>
    <t>C13495777</t>
  </si>
  <si>
    <t>PT83-1-FEAD-STRETCH BELT</t>
    <phoneticPr fontId="21" type="noConversion"/>
  </si>
  <si>
    <t>PT83-1</t>
    <phoneticPr fontId="3" type="noConversion"/>
  </si>
  <si>
    <t>Stretch Belt</t>
    <phoneticPr fontId="3" type="noConversion"/>
  </si>
  <si>
    <t>GN1G </t>
    <phoneticPr fontId="3" type="noConversion"/>
  </si>
  <si>
    <t>6C301 </t>
    <phoneticPr fontId="3" type="noConversion"/>
  </si>
  <si>
    <t>DYNAMIC SEALING-ET22</t>
    <phoneticPr fontId="21" type="noConversion"/>
  </si>
  <si>
    <t>ET22</t>
    <phoneticPr fontId="3" type="noConversion"/>
  </si>
  <si>
    <t>Hood seal</t>
    <phoneticPr fontId="3" type="noConversion"/>
  </si>
  <si>
    <t>F02824 </t>
    <phoneticPr fontId="3" type="noConversion"/>
  </si>
  <si>
    <t>component part change to consign part</t>
    <phoneticPr fontId="3" type="noConversion"/>
  </si>
  <si>
    <t>FENDER BRACKET (REINF ASY FRT FNDR INR BDY)-B013-4</t>
    <phoneticPr fontId="21" type="noConversion"/>
  </si>
  <si>
    <t>B046</t>
    <phoneticPr fontId="3" type="noConversion"/>
  </si>
  <si>
    <t>Stamping_Outsource small stamping+METAL BRACKET</t>
    <phoneticPr fontId="3" type="noConversion"/>
  </si>
  <si>
    <t>F16E060</t>
    <phoneticPr fontId="3" type="noConversion"/>
  </si>
  <si>
    <t>F16E061</t>
    <phoneticPr fontId="3" type="noConversion"/>
  </si>
  <si>
    <t>A110E13267652054-ROOF-BND PUSH</t>
    <phoneticPr fontId="21" type="noConversion"/>
  </si>
  <si>
    <t>Stamping_outsource stamping</t>
    <phoneticPr fontId="3" type="noConversion"/>
  </si>
  <si>
    <t>F422B64 </t>
    <phoneticPr fontId="3" type="noConversion"/>
  </si>
  <si>
    <t>C13330806</t>
    <phoneticPr fontId="21" type="noConversion"/>
  </si>
  <si>
    <t>C13323431</t>
    <phoneticPr fontId="21" type="noConversion"/>
  </si>
  <si>
    <t>F02010</t>
    <phoneticPr fontId="3" type="noConversion"/>
  </si>
  <si>
    <t>F422C30</t>
    <phoneticPr fontId="3" type="noConversion"/>
  </si>
  <si>
    <t>C13310998</t>
    <phoneticPr fontId="21" type="noConversion"/>
  </si>
  <si>
    <t>IT02-1</t>
    <phoneticPr fontId="3" type="noConversion"/>
  </si>
  <si>
    <t>Seat Belts-Front</t>
    <phoneticPr fontId="3" type="noConversion"/>
  </si>
  <si>
    <t>61208</t>
    <phoneticPr fontId="3" type="noConversion"/>
  </si>
  <si>
    <t>share with 61294</t>
  </si>
  <si>
    <t>61209</t>
    <phoneticPr fontId="3" type="noConversion"/>
  </si>
  <si>
    <t>61294</t>
    <phoneticPr fontId="3" type="noConversion"/>
  </si>
  <si>
    <t>61295</t>
    <phoneticPr fontId="3" type="noConversion"/>
  </si>
  <si>
    <t>PPS:CFMAR05-012</t>
    <phoneticPr fontId="21" type="noConversion"/>
  </si>
  <si>
    <t>C13576328</t>
  </si>
  <si>
    <t>C13355623</t>
  </si>
  <si>
    <t>W520201 </t>
  </si>
  <si>
    <t>S442 </t>
  </si>
  <si>
    <t>REAR BUMPER + ET12-2</t>
    <phoneticPr fontId="21" type="noConversion"/>
  </si>
  <si>
    <t>ET12-2</t>
    <phoneticPr fontId="3" type="noConversion"/>
  </si>
  <si>
    <t>Rear Bumper</t>
    <phoneticPr fontId="3" type="noConversion"/>
  </si>
  <si>
    <t>17K823</t>
    <phoneticPr fontId="3" type="noConversion"/>
  </si>
  <si>
    <t>17A881</t>
    <phoneticPr fontId="3" type="noConversion"/>
  </si>
  <si>
    <t>17A882</t>
    <phoneticPr fontId="3" type="noConversion"/>
  </si>
  <si>
    <t>17B861</t>
    <phoneticPr fontId="3" type="noConversion"/>
  </si>
  <si>
    <t>17E850</t>
    <phoneticPr fontId="3" type="noConversion"/>
  </si>
  <si>
    <t>17E851</t>
    <phoneticPr fontId="3" type="noConversion"/>
  </si>
  <si>
    <t>17B918</t>
    <phoneticPr fontId="3" type="noConversion"/>
  </si>
  <si>
    <t>C13328088</t>
    <phoneticPr fontId="21" type="noConversion"/>
  </si>
  <si>
    <t>AMBIENT LIGHTING + E04</t>
    <phoneticPr fontId="21" type="noConversion"/>
  </si>
  <si>
    <t>E04</t>
    <phoneticPr fontId="3" type="noConversion"/>
  </si>
  <si>
    <t>Ambient Lighting</t>
    <phoneticPr fontId="3" type="noConversion"/>
  </si>
  <si>
    <t>13E720</t>
    <phoneticPr fontId="3" type="noConversion"/>
  </si>
  <si>
    <t>14E078</t>
    <phoneticPr fontId="3" type="noConversion"/>
  </si>
  <si>
    <t>C13313407</t>
    <phoneticPr fontId="21" type="noConversion"/>
  </si>
  <si>
    <t>INSTRUMENT PANEL - IT91</t>
    <phoneticPr fontId="21" type="noConversion"/>
  </si>
  <si>
    <t>IT91</t>
    <phoneticPr fontId="3" type="noConversion"/>
  </si>
  <si>
    <t>Instrument Panel, IP Finish Panels</t>
    <phoneticPr fontId="3" type="noConversion"/>
  </si>
  <si>
    <t>MJD8B </t>
    <phoneticPr fontId="3" type="noConversion"/>
  </si>
  <si>
    <t>LBBA</t>
    <phoneticPr fontId="3" type="noConversion"/>
  </si>
  <si>
    <t>EAW</t>
    <phoneticPr fontId="3" type="noConversion"/>
  </si>
  <si>
    <t>FAW</t>
    <phoneticPr fontId="3" type="noConversion"/>
  </si>
  <si>
    <t>GAW</t>
    <phoneticPr fontId="3" type="noConversion"/>
  </si>
  <si>
    <t>HAW</t>
    <phoneticPr fontId="3" type="noConversion"/>
  </si>
  <si>
    <t>JAW</t>
    <phoneticPr fontId="3" type="noConversion"/>
  </si>
  <si>
    <t>KAW</t>
    <phoneticPr fontId="3" type="noConversion"/>
  </si>
  <si>
    <t>LAW</t>
    <phoneticPr fontId="3" type="noConversion"/>
  </si>
  <si>
    <t>MAW</t>
    <phoneticPr fontId="3" type="noConversion"/>
  </si>
  <si>
    <t>C13377581</t>
    <phoneticPr fontId="21" type="noConversion"/>
  </si>
  <si>
    <t>C13382613</t>
    <phoneticPr fontId="21" type="noConversion"/>
  </si>
  <si>
    <t>EBW</t>
    <phoneticPr fontId="3" type="noConversion"/>
  </si>
  <si>
    <t>FBW</t>
    <phoneticPr fontId="3" type="noConversion"/>
  </si>
  <si>
    <t>GBW</t>
    <phoneticPr fontId="3" type="noConversion"/>
  </si>
  <si>
    <t>HBW</t>
    <phoneticPr fontId="3" type="noConversion"/>
  </si>
  <si>
    <t>JBW</t>
    <phoneticPr fontId="3" type="noConversion"/>
  </si>
  <si>
    <t>KBW</t>
    <phoneticPr fontId="3" type="noConversion"/>
  </si>
  <si>
    <t>LBW</t>
    <phoneticPr fontId="3" type="noConversion"/>
  </si>
  <si>
    <t>MBW</t>
    <phoneticPr fontId="3" type="noConversion"/>
  </si>
  <si>
    <t>SMALL STAMPING BRACKE-ZX+B013-6</t>
    <phoneticPr fontId="21" type="noConversion"/>
  </si>
  <si>
    <t>Stamping_Outsource small stamping</t>
    <phoneticPr fontId="3" type="noConversion"/>
  </si>
  <si>
    <t>R6K034 </t>
    <phoneticPr fontId="3" type="noConversion"/>
  </si>
  <si>
    <t>AV61</t>
    <phoneticPr fontId="3" type="noConversion"/>
  </si>
  <si>
    <t>C13325542</t>
    <phoneticPr fontId="21" type="noConversion"/>
  </si>
  <si>
    <t>C490MCA MT SHIFTER CABLE-PT31</t>
    <phoneticPr fontId="21" type="noConversion"/>
  </si>
  <si>
    <t>PT31</t>
    <phoneticPr fontId="3" type="noConversion"/>
  </si>
  <si>
    <t>MT shifter cable</t>
    <phoneticPr fontId="3" type="noConversion"/>
  </si>
  <si>
    <t>7E395</t>
    <phoneticPr fontId="3" type="noConversion"/>
  </si>
  <si>
    <t>C13469735</t>
  </si>
  <si>
    <t>DB</t>
    <phoneticPr fontId="3" type="noConversion"/>
  </si>
  <si>
    <t>A150E13267652014</t>
    <phoneticPr fontId="21" type="noConversion"/>
  </si>
  <si>
    <t>E077</t>
    <phoneticPr fontId="3" type="noConversion"/>
  </si>
  <si>
    <t>Rear view camera</t>
    <phoneticPr fontId="3" type="noConversion"/>
  </si>
  <si>
    <t>19G490 </t>
    <phoneticPr fontId="3" type="noConversion"/>
  </si>
  <si>
    <t>C13510925</t>
  </si>
  <si>
    <t>WASHER SYSTEM + E052</t>
    <phoneticPr fontId="21" type="noConversion"/>
  </si>
  <si>
    <t>E052</t>
    <phoneticPr fontId="3" type="noConversion"/>
  </si>
  <si>
    <t xml:space="preserve">Washer Bottle Assy </t>
    <phoneticPr fontId="3" type="noConversion"/>
  </si>
  <si>
    <t>JD8B </t>
    <phoneticPr fontId="3" type="noConversion"/>
  </si>
  <si>
    <t>17K605 </t>
    <phoneticPr fontId="3" type="noConversion"/>
  </si>
  <si>
    <t>AA </t>
    <phoneticPr fontId="3" type="noConversion"/>
  </si>
  <si>
    <t>ED8B </t>
    <phoneticPr fontId="3" type="noConversion"/>
  </si>
  <si>
    <t>C13366593</t>
    <phoneticPr fontId="21" type="noConversion"/>
  </si>
  <si>
    <t>REAR CLOSURE CHROME STRIP-ET98</t>
    <phoneticPr fontId="21" type="noConversion"/>
  </si>
  <si>
    <t>ET98</t>
    <phoneticPr fontId="3" type="noConversion"/>
  </si>
  <si>
    <t>Rear closure chrome strip</t>
    <phoneticPr fontId="3" type="noConversion"/>
  </si>
  <si>
    <t>F42509</t>
    <phoneticPr fontId="17" type="noConversion"/>
  </si>
  <si>
    <t>F42509</t>
    <phoneticPr fontId="3" type="noConversion"/>
  </si>
  <si>
    <t>C13323436</t>
    <phoneticPr fontId="21" type="noConversion"/>
  </si>
  <si>
    <t>FRONT / REAR DOOR TRIM+ IT8</t>
    <phoneticPr fontId="21" type="noConversion"/>
  </si>
  <si>
    <t>F23943</t>
    <phoneticPr fontId="3" type="noConversion"/>
  </si>
  <si>
    <t>新开模,CE评估模具上涨合理</t>
    <phoneticPr fontId="3" type="noConversion"/>
  </si>
  <si>
    <t>F23943 </t>
    <phoneticPr fontId="3" type="noConversion"/>
  </si>
  <si>
    <t>AHW</t>
    <phoneticPr fontId="3" type="noConversion"/>
  </si>
  <si>
    <t>F240A40 </t>
    <phoneticPr fontId="3" type="noConversion"/>
  </si>
  <si>
    <t>F240A41 </t>
    <phoneticPr fontId="3" type="noConversion"/>
  </si>
  <si>
    <t>AEW</t>
    <phoneticPr fontId="3" type="noConversion"/>
  </si>
  <si>
    <t>F24184 </t>
    <phoneticPr fontId="3" type="noConversion"/>
  </si>
  <si>
    <t>F24185 </t>
    <phoneticPr fontId="3" type="noConversion"/>
  </si>
  <si>
    <t>F27442 </t>
    <phoneticPr fontId="3" type="noConversion"/>
  </si>
  <si>
    <t>F27443 </t>
    <phoneticPr fontId="3" type="noConversion"/>
  </si>
  <si>
    <t>C13351786</t>
    <phoneticPr fontId="21" type="noConversion"/>
  </si>
  <si>
    <t>F23942 </t>
  </si>
  <si>
    <t>F23942 </t>
    <phoneticPr fontId="3" type="noConversion"/>
  </si>
  <si>
    <t>F27406 </t>
  </si>
  <si>
    <t>F27406 </t>
    <phoneticPr fontId="3" type="noConversion"/>
  </si>
  <si>
    <t>F27407 </t>
  </si>
  <si>
    <t>F27407 </t>
    <phoneticPr fontId="3" type="noConversion"/>
  </si>
  <si>
    <t>BHW</t>
  </si>
  <si>
    <t>LABEL+IT29 C490MCA+XUNCHANG</t>
    <phoneticPr fontId="21" type="noConversion"/>
  </si>
  <si>
    <t>IT29</t>
    <phoneticPr fontId="3" type="noConversion"/>
  </si>
  <si>
    <t>Labels-New design</t>
    <phoneticPr fontId="3" type="noConversion"/>
  </si>
  <si>
    <t>19A688 </t>
    <phoneticPr fontId="3" type="noConversion"/>
  </si>
  <si>
    <t>1A514 </t>
    <phoneticPr fontId="3" type="noConversion"/>
  </si>
  <si>
    <t>C13576391</t>
  </si>
  <si>
    <t>GLASS - BACKLIT &amp; QUARTER GLASS &amp; REAR SIDE DOOR GLASS-ET2-51</t>
    <phoneticPr fontId="21" type="noConversion"/>
  </si>
  <si>
    <t>ET2</t>
    <phoneticPr fontId="3" type="noConversion"/>
  </si>
  <si>
    <t>Windshield and Other Fixed Glass</t>
    <phoneticPr fontId="3" type="noConversion"/>
  </si>
  <si>
    <t>F29700 </t>
    <phoneticPr fontId="3" type="noConversion"/>
  </si>
  <si>
    <r>
      <rPr>
        <sz val="10"/>
        <color theme="1"/>
        <rFont val="宋体"/>
        <family val="3"/>
        <charset val="134"/>
      </rPr>
      <t>新开模</t>
    </r>
    <r>
      <rPr>
        <sz val="10"/>
        <color theme="1"/>
        <rFont val="Arial"/>
        <family val="2"/>
      </rPr>
      <t/>
    </r>
    <phoneticPr fontId="3" type="noConversion"/>
  </si>
  <si>
    <t>BG</t>
    <phoneticPr fontId="3" type="noConversion"/>
  </si>
  <si>
    <t>F29701 </t>
    <phoneticPr fontId="3" type="noConversion"/>
  </si>
  <si>
    <t>F42004 </t>
    <phoneticPr fontId="3" type="noConversion"/>
  </si>
  <si>
    <t>AJ</t>
    <phoneticPr fontId="3" type="noConversion"/>
  </si>
  <si>
    <t>C13321856</t>
    <phoneticPr fontId="21" type="noConversion"/>
  </si>
  <si>
    <t>C13510830-1</t>
  </si>
  <si>
    <t>FIX GLASS-ET2-1</t>
    <phoneticPr fontId="21" type="noConversion"/>
  </si>
  <si>
    <t>F03100 </t>
    <phoneticPr fontId="3" type="noConversion"/>
  </si>
  <si>
    <t>AK</t>
    <phoneticPr fontId="3" type="noConversion"/>
  </si>
  <si>
    <t>C13321846</t>
    <phoneticPr fontId="21" type="noConversion"/>
  </si>
  <si>
    <t>C13315192</t>
    <phoneticPr fontId="21" type="noConversion"/>
  </si>
  <si>
    <t>F431F92 </t>
    <phoneticPr fontId="3" type="noConversion"/>
  </si>
  <si>
    <t>新增件</t>
    <phoneticPr fontId="3" type="noConversion"/>
  </si>
  <si>
    <t>W705212 </t>
    <phoneticPr fontId="3" type="noConversion"/>
  </si>
  <si>
    <t>S300 </t>
    <phoneticPr fontId="3" type="noConversion"/>
  </si>
  <si>
    <t>C13349943</t>
    <phoneticPr fontId="21" type="noConversion"/>
  </si>
  <si>
    <t>C490MCA-W708839-FDG9EE-001</t>
    <phoneticPr fontId="21" type="noConversion"/>
  </si>
  <si>
    <t>W708839 </t>
    <phoneticPr fontId="3" type="noConversion"/>
  </si>
  <si>
    <t>S403 </t>
    <phoneticPr fontId="3" type="noConversion"/>
  </si>
  <si>
    <t>SAB IT02-3</t>
    <phoneticPr fontId="21" type="noConversion"/>
  </si>
  <si>
    <t>IT02-3</t>
    <phoneticPr fontId="3" type="noConversion"/>
  </si>
  <si>
    <t xml:space="preserve">Side Air Bag (SAB) </t>
    <phoneticPr fontId="3" type="noConversion"/>
  </si>
  <si>
    <t>F611D10</t>
    <phoneticPr fontId="3" type="noConversion"/>
  </si>
  <si>
    <t>F611D11</t>
    <phoneticPr fontId="3" type="noConversion"/>
  </si>
  <si>
    <t>AGS + ET24</t>
    <phoneticPr fontId="21" type="noConversion"/>
  </si>
  <si>
    <t>ET24</t>
    <phoneticPr fontId="3" type="noConversion"/>
  </si>
  <si>
    <t>AGS</t>
    <phoneticPr fontId="3" type="noConversion"/>
  </si>
  <si>
    <t>C13468570</t>
  </si>
  <si>
    <r>
      <t>Zhu</t>
    </r>
    <r>
      <rPr>
        <sz val="10"/>
        <color theme="1"/>
        <rFont val="Arial"/>
        <family val="2"/>
      </rPr>
      <t xml:space="preserve"> Huihui</t>
    </r>
    <phoneticPr fontId="3" type="noConversion"/>
  </si>
  <si>
    <t>8A261</t>
    <phoneticPr fontId="3" type="noConversion"/>
  </si>
  <si>
    <t>DAB IT01-3</t>
    <phoneticPr fontId="21" type="noConversion"/>
  </si>
  <si>
    <t>IT01-3</t>
    <phoneticPr fontId="3" type="noConversion"/>
  </si>
  <si>
    <t>Air Bag Units - Drivers Side - DAB</t>
    <phoneticPr fontId="3" type="noConversion"/>
  </si>
  <si>
    <t>F042B85</t>
    <phoneticPr fontId="6" type="noConversion"/>
  </si>
  <si>
    <t>JD8ED8BB </t>
    <phoneticPr fontId="3" type="noConversion"/>
  </si>
  <si>
    <t>F042B85</t>
    <phoneticPr fontId="3" type="noConversion"/>
  </si>
  <si>
    <t>AH</t>
    <phoneticPr fontId="3" type="noConversion"/>
  </si>
  <si>
    <t>AIR DEFLECTOR+ET15</t>
    <phoneticPr fontId="21" type="noConversion"/>
  </si>
  <si>
    <t>ET8-1</t>
    <phoneticPr fontId="3" type="noConversion"/>
  </si>
  <si>
    <t>Radiator Air Deflector (lower)</t>
    <phoneticPr fontId="3" type="noConversion"/>
  </si>
  <si>
    <t>F8B384</t>
    <phoneticPr fontId="3" type="noConversion"/>
  </si>
  <si>
    <r>
      <rPr>
        <sz val="10"/>
        <color theme="1"/>
        <rFont val="宋体"/>
        <family val="3"/>
        <charset val="134"/>
      </rPr>
      <t>报价比</t>
    </r>
    <r>
      <rPr>
        <sz val="10"/>
        <color theme="1"/>
        <rFont val="Arial"/>
        <family val="2"/>
      </rPr>
      <t xml:space="preserve"> OCE</t>
    </r>
    <r>
      <rPr>
        <sz val="10"/>
        <color theme="1"/>
        <rFont val="宋体"/>
        <family val="3"/>
        <charset val="134"/>
      </rPr>
      <t>低</t>
    </r>
    <r>
      <rPr>
        <sz val="10"/>
        <color theme="1"/>
        <rFont val="Arial"/>
        <family val="2"/>
      </rPr>
      <t xml:space="preserve"> </t>
    </r>
    <phoneticPr fontId="3" type="noConversion"/>
  </si>
  <si>
    <t xml:space="preserve">  F8B384</t>
    <phoneticPr fontId="3" type="noConversion"/>
  </si>
  <si>
    <t>C13327258</t>
    <phoneticPr fontId="21" type="noConversion"/>
  </si>
  <si>
    <t>RADIATOR GRILLE + ET3</t>
    <phoneticPr fontId="21" type="noConversion"/>
  </si>
  <si>
    <t>ET3</t>
    <phoneticPr fontId="3" type="noConversion"/>
  </si>
  <si>
    <t>Radiator Grille</t>
    <phoneticPr fontId="3" type="noConversion"/>
  </si>
  <si>
    <t>COOLING HOSE -PT16</t>
    <phoneticPr fontId="21" type="noConversion"/>
  </si>
  <si>
    <t>PT16</t>
    <phoneticPr fontId="3" type="noConversion"/>
  </si>
  <si>
    <t>Cooling hoses</t>
    <phoneticPr fontId="3" type="noConversion"/>
  </si>
  <si>
    <t>8W005</t>
    <phoneticPr fontId="3" type="noConversion"/>
  </si>
  <si>
    <t>8A365</t>
    <phoneticPr fontId="3" type="noConversion"/>
  </si>
  <si>
    <t>C13471745</t>
  </si>
  <si>
    <t>PT16</t>
  </si>
  <si>
    <t>Cooling hoses</t>
  </si>
  <si>
    <t>JD81</t>
  </si>
  <si>
    <t>8A365</t>
  </si>
  <si>
    <t>模具报废</t>
  </si>
  <si>
    <t>8B274</t>
    <phoneticPr fontId="3" type="noConversion"/>
  </si>
  <si>
    <t>C13470835</t>
  </si>
  <si>
    <t>8B273</t>
    <phoneticPr fontId="3" type="noConversion"/>
  </si>
  <si>
    <t>8C351</t>
    <phoneticPr fontId="3" type="noConversion"/>
  </si>
  <si>
    <t>C13516033</t>
  </si>
  <si>
    <t>18K579</t>
    <phoneticPr fontId="3" type="noConversion"/>
  </si>
  <si>
    <t>18K580</t>
    <phoneticPr fontId="3" type="noConversion"/>
  </si>
  <si>
    <t>7G071</t>
    <phoneticPr fontId="3" type="noConversion"/>
  </si>
  <si>
    <t>6B851</t>
    <phoneticPr fontId="3" type="noConversion"/>
  </si>
  <si>
    <t>C13496348</t>
  </si>
  <si>
    <t>6B851</t>
  </si>
  <si>
    <t>CB</t>
  </si>
  <si>
    <t>DB</t>
  </si>
  <si>
    <t>DA</t>
  </si>
  <si>
    <t>8K501</t>
    <phoneticPr fontId="3" type="noConversion"/>
  </si>
  <si>
    <t>BRAKE TUBE_CH064</t>
    <phoneticPr fontId="21" type="noConversion"/>
  </si>
  <si>
    <t>CH064</t>
    <phoneticPr fontId="3" type="noConversion"/>
  </si>
  <si>
    <t>Brake lines</t>
    <phoneticPr fontId="3" type="noConversion"/>
  </si>
  <si>
    <t>2234 </t>
    <phoneticPr fontId="3" type="noConversion"/>
  </si>
  <si>
    <t>BE</t>
    <phoneticPr fontId="3" type="noConversion"/>
  </si>
  <si>
    <t>2263 </t>
    <phoneticPr fontId="3" type="noConversion"/>
  </si>
  <si>
    <t>2A040 </t>
    <phoneticPr fontId="3" type="noConversion"/>
  </si>
  <si>
    <t>DRAGON PFI HOT END-PT03-1</t>
    <phoneticPr fontId="21" type="noConversion"/>
  </si>
  <si>
    <t>PT03-1</t>
    <phoneticPr fontId="3" type="noConversion"/>
  </si>
  <si>
    <r>
      <t xml:space="preserve">Hot end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dragon</t>
    </r>
    <r>
      <rPr>
        <sz val="10"/>
        <color theme="1"/>
        <rFont val="宋体"/>
        <family val="3"/>
        <charset val="134"/>
      </rPr>
      <t>）-CN5</t>
    </r>
    <phoneticPr fontId="3" type="noConversion"/>
  </si>
  <si>
    <t>5E211</t>
    <phoneticPr fontId="3" type="noConversion"/>
  </si>
  <si>
    <t>PT03-1-stage 6</t>
    <phoneticPr fontId="3" type="noConversion"/>
  </si>
  <si>
    <r>
      <t xml:space="preserve">Hot end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dragon</t>
    </r>
    <r>
      <rPr>
        <sz val="10"/>
        <color theme="1"/>
        <rFont val="宋体"/>
        <family val="3"/>
        <charset val="134"/>
      </rPr>
      <t>）-CN6</t>
    </r>
    <phoneticPr fontId="3" type="noConversion"/>
  </si>
  <si>
    <t>STARTER IPR FOR C490MCA</t>
    <phoneticPr fontId="21" type="noConversion"/>
  </si>
  <si>
    <t>E10</t>
    <phoneticPr fontId="3" type="noConversion"/>
  </si>
  <si>
    <t>MT Starter motor</t>
    <phoneticPr fontId="3" type="noConversion"/>
  </si>
  <si>
    <t>JX6T</t>
    <phoneticPr fontId="3" type="noConversion"/>
  </si>
  <si>
    <t>11000 </t>
    <phoneticPr fontId="3" type="noConversion"/>
  </si>
  <si>
    <t>AT Starter Motor</t>
    <phoneticPr fontId="3" type="noConversion"/>
  </si>
  <si>
    <t>EATC HVAC E01</t>
    <phoneticPr fontId="21" type="noConversion"/>
  </si>
  <si>
    <t>E01</t>
    <phoneticPr fontId="3" type="noConversion"/>
  </si>
  <si>
    <t>EATC HVAC</t>
    <phoneticPr fontId="3" type="noConversion"/>
  </si>
  <si>
    <t>19B555 </t>
    <phoneticPr fontId="3" type="noConversion"/>
  </si>
  <si>
    <t>CA will be replaced by BA on C13365695</t>
    <phoneticPr fontId="6" type="noConversion"/>
  </si>
  <si>
    <t>C13365695</t>
    <phoneticPr fontId="21" type="noConversion"/>
  </si>
  <si>
    <t>MANUAL HVAC E01-1</t>
  </si>
  <si>
    <t>Manual HVAC</t>
  </si>
  <si>
    <t>19B555 </t>
  </si>
  <si>
    <t>FRONT SUBFRAME</t>
    <phoneticPr fontId="21" type="noConversion"/>
  </si>
  <si>
    <t>CH037</t>
    <phoneticPr fontId="3" type="noConversion"/>
  </si>
  <si>
    <t>Sub-Frame</t>
    <phoneticPr fontId="3" type="noConversion"/>
  </si>
  <si>
    <t>JD8C </t>
    <phoneticPr fontId="3" type="noConversion"/>
  </si>
  <si>
    <t>5019</t>
    <phoneticPr fontId="3" type="noConversion"/>
  </si>
  <si>
    <t>新增夹具，CE评估过</t>
    <phoneticPr fontId="3" type="noConversion"/>
  </si>
  <si>
    <t>BPE</t>
    <phoneticPr fontId="3" type="noConversion"/>
  </si>
  <si>
    <t>RESTRAINTS CONTROL MODULE &amp; G SENSOR-IT04</t>
    <phoneticPr fontId="21" type="noConversion"/>
  </si>
  <si>
    <t>Restraints Control Module(RCM)</t>
    <phoneticPr fontId="3" type="noConversion"/>
  </si>
  <si>
    <t>HS7T</t>
    <phoneticPr fontId="3" type="noConversion"/>
  </si>
  <si>
    <t>14B006</t>
    <phoneticPr fontId="3" type="noConversion"/>
  </si>
  <si>
    <t>14B321</t>
    <phoneticPr fontId="3" type="noConversion"/>
  </si>
  <si>
    <t>C13307822</t>
    <phoneticPr fontId="21" type="noConversion"/>
  </si>
  <si>
    <t>C13369085</t>
    <phoneticPr fontId="21" type="noConversion"/>
  </si>
  <si>
    <t>CC</t>
    <phoneticPr fontId="3" type="noConversion"/>
  </si>
  <si>
    <t>JD8T-14B321-CB</t>
  </si>
  <si>
    <t>C13547951</t>
  </si>
  <si>
    <t>CD</t>
    <phoneticPr fontId="3" type="noConversion"/>
  </si>
  <si>
    <t>Zhu Huihiu</t>
    <phoneticPr fontId="3" type="noConversion"/>
  </si>
  <si>
    <t>2018/31</t>
    <phoneticPr fontId="3" type="noConversion"/>
  </si>
  <si>
    <t>ECO BOOST BADGE+ET20-10</t>
    <phoneticPr fontId="21" type="noConversion"/>
  </si>
  <si>
    <t>ET20-10</t>
    <phoneticPr fontId="3" type="noConversion"/>
  </si>
  <si>
    <t>EcoBoost Badge</t>
    <phoneticPr fontId="3" type="noConversion"/>
  </si>
  <si>
    <t>R43156 </t>
    <phoneticPr fontId="3" type="noConversion"/>
  </si>
  <si>
    <t>C13349959</t>
    <phoneticPr fontId="21" type="noConversion"/>
  </si>
  <si>
    <t>LED SWITCH-ET76</t>
    <phoneticPr fontId="21" type="noConversion"/>
  </si>
  <si>
    <t>ET76</t>
    <phoneticPr fontId="3" type="noConversion"/>
  </si>
  <si>
    <t>LED Switch With License Plate Lamp</t>
    <phoneticPr fontId="3" type="noConversion"/>
  </si>
  <si>
    <t>19B514</t>
    <phoneticPr fontId="3" type="noConversion"/>
  </si>
  <si>
    <t xml:space="preserve">新开一副壳体模具，报过EC </t>
    <phoneticPr fontId="3" type="noConversion"/>
  </si>
  <si>
    <t>incl.above</t>
    <phoneticPr fontId="3" type="noConversion"/>
  </si>
  <si>
    <t>incl.above</t>
    <phoneticPr fontId="17" type="noConversion"/>
  </si>
  <si>
    <t>C13363277</t>
    <phoneticPr fontId="21" type="noConversion"/>
  </si>
  <si>
    <t>HOOD RELEASE CABLE - CVFD</t>
    <phoneticPr fontId="21" type="noConversion"/>
  </si>
  <si>
    <t>CH072-1</t>
    <phoneticPr fontId="3" type="noConversion"/>
  </si>
  <si>
    <t>Hood release cable &amp; handle assembly</t>
    <phoneticPr fontId="3" type="noConversion"/>
  </si>
  <si>
    <t>16A770</t>
    <phoneticPr fontId="3" type="noConversion"/>
  </si>
  <si>
    <t>16C657</t>
    <phoneticPr fontId="3" type="noConversion"/>
  </si>
  <si>
    <t>C13544740</t>
  </si>
  <si>
    <t>DOOR APPLIQUE+ET16</t>
    <phoneticPr fontId="21" type="noConversion"/>
  </si>
  <si>
    <t>ET16</t>
    <phoneticPr fontId="3" type="noConversion"/>
  </si>
  <si>
    <t>Door Capping</t>
    <phoneticPr fontId="3" type="noConversion"/>
  </si>
  <si>
    <t>F20898</t>
    <phoneticPr fontId="3" type="noConversion"/>
  </si>
  <si>
    <t>F20899</t>
    <phoneticPr fontId="3" type="noConversion"/>
  </si>
  <si>
    <t>F254A40</t>
    <phoneticPr fontId="3" type="noConversion"/>
  </si>
  <si>
    <t>F254A41</t>
    <phoneticPr fontId="3" type="noConversion"/>
  </si>
  <si>
    <t>F254A42</t>
    <phoneticPr fontId="3" type="noConversion"/>
  </si>
  <si>
    <t>F254A43</t>
    <phoneticPr fontId="3" type="noConversion"/>
  </si>
  <si>
    <t>DOOR SPEAR+ET96</t>
    <phoneticPr fontId="21" type="noConversion"/>
  </si>
  <si>
    <t>ET96</t>
    <phoneticPr fontId="3" type="noConversion"/>
  </si>
  <si>
    <t>Door Molding</t>
    <phoneticPr fontId="3" type="noConversion"/>
  </si>
  <si>
    <t>F20848</t>
    <phoneticPr fontId="3" type="noConversion"/>
  </si>
  <si>
    <t>F20849</t>
    <phoneticPr fontId="3" type="noConversion"/>
  </si>
  <si>
    <t>F25334</t>
    <phoneticPr fontId="3" type="noConversion"/>
  </si>
  <si>
    <t>F25335</t>
    <phoneticPr fontId="3" type="noConversion"/>
  </si>
  <si>
    <t>C13364415</t>
  </si>
  <si>
    <t>ET21</t>
  </si>
  <si>
    <t>Sealing - Static Glass Runs &amp; Belts</t>
  </si>
  <si>
    <t>PMT1</t>
  </si>
  <si>
    <t>TH</t>
  </si>
  <si>
    <t>BB</t>
  </si>
  <si>
    <t>C13458221</t>
  </si>
  <si>
    <t>Zhu  huihui</t>
    <phoneticPr fontId="3" type="noConversion"/>
  </si>
  <si>
    <t>incl.21510</t>
    <phoneticPr fontId="3" type="noConversion"/>
  </si>
  <si>
    <t>DOOR EXTERIOR MIRROR-E060</t>
  </si>
  <si>
    <t>E060</t>
  </si>
  <si>
    <t>Door Exterior Mirror</t>
  </si>
  <si>
    <t>17682</t>
  </si>
  <si>
    <t>17683</t>
  </si>
  <si>
    <t>HOOD RELEASE CABLE - CVFD</t>
    <phoneticPr fontId="3" type="noConversion"/>
  </si>
  <si>
    <t>C13389566</t>
  </si>
  <si>
    <t>IT28</t>
  </si>
  <si>
    <t>Battery tray</t>
  </si>
  <si>
    <t>J</t>
  </si>
  <si>
    <t>10A792</t>
    <phoneticPr fontId="3" type="noConversion"/>
  </si>
  <si>
    <t>CV61</t>
    <phoneticPr fontId="3" type="noConversion"/>
  </si>
  <si>
    <t>C13465229</t>
  </si>
  <si>
    <t>B</t>
    <phoneticPr fontId="6" type="noConversion"/>
  </si>
  <si>
    <t>C13478705</t>
  </si>
  <si>
    <t>BD</t>
    <phoneticPr fontId="3" type="noConversion"/>
  </si>
  <si>
    <t>CONSOLE BIN-IT7</t>
  </si>
  <si>
    <t>IT7</t>
  </si>
  <si>
    <t>Console Floor/Rear</t>
  </si>
  <si>
    <t>PMT2</t>
  </si>
  <si>
    <t>B</t>
    <phoneticPr fontId="3" type="noConversion"/>
  </si>
  <si>
    <t>F045L34</t>
  </si>
  <si>
    <t>C13385772-C490 MCA</t>
  </si>
  <si>
    <t>E02</t>
    <phoneticPr fontId="3" type="noConversion"/>
  </si>
  <si>
    <t>A/C Compressor</t>
    <phoneticPr fontId="3" type="noConversion"/>
  </si>
  <si>
    <t>19D629</t>
    <phoneticPr fontId="17" type="noConversion"/>
  </si>
  <si>
    <t>C13391300</t>
  </si>
  <si>
    <t>LBBA</t>
    <phoneticPr fontId="17" type="noConversion"/>
  </si>
  <si>
    <t>LCW</t>
    <phoneticPr fontId="3" type="noConversion"/>
  </si>
  <si>
    <t>MCW</t>
    <phoneticPr fontId="3" type="noConversion"/>
  </si>
  <si>
    <t>CMS PT25-1</t>
  </si>
  <si>
    <t>PMT4</t>
  </si>
  <si>
    <t>CLUTCH SLAVE CYLINDER-PT37</t>
  </si>
  <si>
    <t>PT37- S</t>
  </si>
  <si>
    <t>Clutch Master/Slave Cylinder (non-KC)</t>
  </si>
  <si>
    <t>H6B1</t>
    <phoneticPr fontId="3" type="noConversion"/>
  </si>
  <si>
    <t>7A564</t>
    <phoneticPr fontId="3" type="noConversion"/>
  </si>
  <si>
    <t>C13344655</t>
  </si>
  <si>
    <t>F045L34</t>
    <phoneticPr fontId="3" type="noConversion"/>
  </si>
  <si>
    <t>DRAGON PFH HEAT SHIELD-SU ZHOU EK</t>
  </si>
  <si>
    <t>B020</t>
    <phoneticPr fontId="3" type="noConversion"/>
  </si>
  <si>
    <t>Exhaust heat shield</t>
  </si>
  <si>
    <t>GN11</t>
    <phoneticPr fontId="3" type="noConversion"/>
  </si>
  <si>
    <t>9N454</t>
    <phoneticPr fontId="3" type="noConversion"/>
  </si>
  <si>
    <r>
      <t>PPS</t>
    </r>
    <r>
      <rPr>
        <sz val="10"/>
        <rFont val="宋体"/>
        <family val="3"/>
        <charset val="134"/>
      </rPr>
      <t>编号</t>
    </r>
    <r>
      <rPr>
        <sz val="10"/>
        <rFont val="Arial"/>
        <family val="2"/>
      </rPr>
      <t xml:space="preserve">: </t>
    </r>
    <phoneticPr fontId="3" type="noConversion"/>
  </si>
  <si>
    <t>C13453402</t>
  </si>
  <si>
    <t>STATIC SEALING-GLASS RUNS &amp; BELTS - ET21</t>
    <phoneticPr fontId="3" type="noConversion"/>
  </si>
  <si>
    <t>AJ</t>
  </si>
  <si>
    <t>BJ</t>
    <phoneticPr fontId="3" type="noConversion"/>
  </si>
  <si>
    <t>ET21</t>
    <phoneticPr fontId="3" type="noConversion"/>
  </si>
  <si>
    <t>PMT1</t>
    <phoneticPr fontId="3" type="noConversion"/>
  </si>
  <si>
    <t>TH</t>
    <phoneticPr fontId="3" type="noConversion"/>
  </si>
  <si>
    <t>Incl.in 20562</t>
    <phoneticPr fontId="3" type="noConversion"/>
  </si>
  <si>
    <t>C13458221</t>
    <phoneticPr fontId="3" type="noConversion"/>
  </si>
  <si>
    <t>Zhu huihui</t>
    <phoneticPr fontId="3" type="noConversion"/>
  </si>
  <si>
    <t>AH</t>
  </si>
  <si>
    <t xml:space="preserve">Incl.in 21510 </t>
    <phoneticPr fontId="3" type="noConversion"/>
  </si>
  <si>
    <t>Sealing - Static Glass Runs &amp; Belts</t>
    <phoneticPr fontId="3" type="noConversion"/>
  </si>
  <si>
    <t>Incl.in 25824</t>
    <phoneticPr fontId="3" type="noConversion"/>
  </si>
  <si>
    <t>SEAT  IT10</t>
  </si>
  <si>
    <t>IT10</t>
  </si>
  <si>
    <t>SEAT</t>
  </si>
  <si>
    <t>F130A02</t>
  </si>
  <si>
    <t>C13458989</t>
  </si>
  <si>
    <t>F130A03</t>
  </si>
  <si>
    <t>incl.above</t>
  </si>
  <si>
    <t>F618D00</t>
  </si>
  <si>
    <t>F618D01</t>
  </si>
  <si>
    <t>F600B28</t>
  </si>
  <si>
    <t>AKW</t>
  </si>
  <si>
    <t>ED8B-F600B28-AKW</t>
  </si>
  <si>
    <t>BNW</t>
  </si>
  <si>
    <t>ED8B-F600B28-BNW</t>
  </si>
  <si>
    <t>F600A30</t>
  </si>
  <si>
    <t>F600K04</t>
  </si>
  <si>
    <t>ATW</t>
  </si>
  <si>
    <t>ED8B-F600K04-ATW</t>
  </si>
  <si>
    <t>C13508888</t>
  </si>
  <si>
    <t>BSW</t>
  </si>
  <si>
    <t>ED8B-F600K04-BSW</t>
  </si>
  <si>
    <t>F600A31</t>
  </si>
  <si>
    <t>F600L05</t>
  </si>
  <si>
    <t>ASW</t>
  </si>
  <si>
    <t>ED8B-F600L05-ASW</t>
  </si>
  <si>
    <t>BRW</t>
  </si>
  <si>
    <t>ED8B-F600L05-BRW</t>
  </si>
  <si>
    <t>C13366582</t>
  </si>
  <si>
    <t>PT25-1</t>
  </si>
  <si>
    <t>UEGO/CMS Sensor（Dragon Stage 6  / Dragon Stage 5）</t>
  </si>
  <si>
    <t>9F472</t>
  </si>
  <si>
    <t>JX6A</t>
    <phoneticPr fontId="3" type="noConversion"/>
  </si>
  <si>
    <t>9G444</t>
  </si>
  <si>
    <t>HN1A</t>
  </si>
  <si>
    <t>BD</t>
  </si>
  <si>
    <t>H1BA</t>
    <phoneticPr fontId="3" type="noConversion"/>
  </si>
  <si>
    <t>9Y460</t>
  </si>
  <si>
    <t>C13344061</t>
    <phoneticPr fontId="3" type="noConversion"/>
  </si>
  <si>
    <t>C13306888</t>
  </si>
  <si>
    <t>PT07-3</t>
  </si>
  <si>
    <t>Clean duct</t>
  </si>
  <si>
    <t>JX61</t>
  </si>
  <si>
    <t>C13366708</t>
  </si>
  <si>
    <t>C13387751</t>
  </si>
  <si>
    <t>5E211</t>
  </si>
  <si>
    <t>C13353893</t>
  </si>
  <si>
    <t>B013-8</t>
    <phoneticPr fontId="3" type="noConversion"/>
  </si>
  <si>
    <t>Hot End Bracket</t>
    <phoneticPr fontId="3" type="noConversion"/>
  </si>
  <si>
    <t>5K291</t>
    <phoneticPr fontId="3" type="noConversion"/>
  </si>
  <si>
    <t>DC</t>
    <phoneticPr fontId="3" type="noConversion"/>
  </si>
  <si>
    <t>Tooling paied by C519</t>
    <phoneticPr fontId="3" type="noConversion"/>
  </si>
  <si>
    <t>C13408905</t>
  </si>
  <si>
    <t>B013-8</t>
  </si>
  <si>
    <t>Hot End Bracket</t>
  </si>
  <si>
    <t>D</t>
  </si>
  <si>
    <t>5K291</t>
  </si>
  <si>
    <t>DD</t>
  </si>
  <si>
    <t>Tooling paied by C519</t>
  </si>
  <si>
    <t>DC</t>
  </si>
  <si>
    <t>Zhu huihui</t>
  </si>
  <si>
    <t>C13466910</t>
  </si>
  <si>
    <t>DE</t>
    <phoneticPr fontId="3" type="noConversion"/>
  </si>
  <si>
    <t>Stage5&amp;stage6</t>
    <phoneticPr fontId="3" type="noConversion"/>
  </si>
  <si>
    <t>DD</t>
    <phoneticPr fontId="3" type="noConversion"/>
  </si>
  <si>
    <t>C13397531</t>
  </si>
  <si>
    <t>AIR CLEANER + PT07-3-4</t>
  </si>
  <si>
    <t>PT07-3-1</t>
  </si>
  <si>
    <t xml:space="preserve">Air Cleaner </t>
  </si>
  <si>
    <t>ED81</t>
    <phoneticPr fontId="3" type="noConversion"/>
  </si>
  <si>
    <t>9C662</t>
    <phoneticPr fontId="3" type="noConversion"/>
  </si>
  <si>
    <t>A140-E-13267652-010-PT04-COLD END</t>
  </si>
  <si>
    <t>PT04</t>
  </si>
  <si>
    <t>Muffler &amp; Output Pipe Assembly (Cold End)</t>
  </si>
  <si>
    <t>5K254</t>
    <phoneticPr fontId="3" type="noConversion"/>
  </si>
  <si>
    <t>C13306895</t>
  </si>
  <si>
    <t>C13361293</t>
  </si>
  <si>
    <t>C13361290</t>
  </si>
  <si>
    <t>C490MCA  PEM</t>
  </si>
  <si>
    <t>PT81</t>
  </si>
  <si>
    <t>PEM</t>
  </si>
  <si>
    <t>FU5A</t>
    <phoneticPr fontId="3" type="noConversion"/>
  </si>
  <si>
    <t>9D370</t>
    <phoneticPr fontId="3" type="noConversion"/>
  </si>
  <si>
    <t>KA</t>
    <phoneticPr fontId="3" type="noConversion"/>
  </si>
  <si>
    <t>C13400607</t>
  </si>
  <si>
    <t>C13390419</t>
  </si>
  <si>
    <t xml:space="preserve"> N</t>
  </si>
  <si>
    <t>ET24</t>
  </si>
  <si>
    <t>AGS</t>
  </si>
  <si>
    <t>BC</t>
  </si>
  <si>
    <t>CC</t>
  </si>
  <si>
    <t>Cb</t>
  </si>
  <si>
    <t>CONSOLE-IT7</t>
  </si>
  <si>
    <t>F044H83</t>
    <phoneticPr fontId="3" type="noConversion"/>
  </si>
  <si>
    <t>C13462485</t>
  </si>
  <si>
    <t>F045A06</t>
    <phoneticPr fontId="3" type="noConversion"/>
  </si>
  <si>
    <t>F046C00</t>
    <phoneticPr fontId="3" type="noConversion"/>
  </si>
  <si>
    <t>C13355619</t>
  </si>
  <si>
    <t>PT05-1</t>
  </si>
  <si>
    <t>RHS</t>
  </si>
  <si>
    <t>3B436</t>
  </si>
  <si>
    <t>JD8G-3B436-AA</t>
  </si>
  <si>
    <t>PT05</t>
  </si>
  <si>
    <t>JD8G-3B436-BA</t>
  </si>
  <si>
    <t>C13519278</t>
  </si>
  <si>
    <t>C13394304</t>
  </si>
  <si>
    <t>B041</t>
  </si>
  <si>
    <t>Stamping_outsource stamping &amp; welding assy-chunk 1</t>
  </si>
  <si>
    <t>BIW</t>
    <phoneticPr fontId="3" type="noConversion"/>
  </si>
  <si>
    <t>AV61</t>
  </si>
  <si>
    <t>R10525</t>
  </si>
  <si>
    <t>R10525</t>
    <phoneticPr fontId="3" type="noConversion"/>
  </si>
  <si>
    <t>C13355668</t>
  </si>
  <si>
    <t>JD8B-F600B28-CAW</t>
  </si>
  <si>
    <t>Zhang Bingchan</t>
  </si>
  <si>
    <t>JD8B-F600B28-DAW</t>
  </si>
  <si>
    <t>C13408620</t>
  </si>
  <si>
    <t>F17496</t>
    <phoneticPr fontId="3" type="noConversion"/>
  </si>
  <si>
    <t>CCB-B010</t>
  </si>
  <si>
    <t>B010</t>
  </si>
  <si>
    <t>Cross Car Beam</t>
  </si>
  <si>
    <t>D</t>
    <phoneticPr fontId="6" type="noConversion"/>
  </si>
  <si>
    <t>F04545</t>
    <phoneticPr fontId="3" type="noConversion"/>
  </si>
  <si>
    <t xml:space="preserve"> </t>
    <phoneticPr fontId="3" type="noConversion"/>
  </si>
  <si>
    <t>C13411329</t>
  </si>
  <si>
    <t>IT91</t>
  </si>
  <si>
    <t>Instrument Panel, IP Finish Panels</t>
  </si>
  <si>
    <t>F04293</t>
    <phoneticPr fontId="3" type="noConversion"/>
  </si>
  <si>
    <t>C13315187</t>
  </si>
  <si>
    <t>F610A62</t>
  </si>
  <si>
    <t>F64417</t>
  </si>
  <si>
    <t>F63804</t>
  </si>
  <si>
    <t>F66601</t>
  </si>
  <si>
    <t>F67244</t>
  </si>
  <si>
    <t>F600M65</t>
  </si>
  <si>
    <t>C13412374</t>
  </si>
  <si>
    <t>F62900</t>
  </si>
  <si>
    <t>F64416</t>
  </si>
  <si>
    <t>F63392</t>
  </si>
  <si>
    <t>F62901</t>
  </si>
  <si>
    <t>C13426240</t>
  </si>
  <si>
    <t>C13508888</t>
    <phoneticPr fontId="6" type="noConversion"/>
  </si>
  <si>
    <t>F600M64</t>
  </si>
  <si>
    <t>Delete</t>
    <phoneticPr fontId="3" type="noConversion"/>
  </si>
  <si>
    <t>DBW</t>
    <phoneticPr fontId="6" type="noConversion"/>
  </si>
  <si>
    <t>Zhu HuiHui</t>
    <phoneticPr fontId="6" type="noConversion"/>
  </si>
  <si>
    <t>C13426807-SEAT</t>
  </si>
  <si>
    <t>C13426836</t>
  </si>
  <si>
    <t>bolt-add</t>
  </si>
  <si>
    <t>Weldstuds</t>
  </si>
  <si>
    <t>N/A</t>
    <phoneticPr fontId="3" type="noConversion"/>
  </si>
  <si>
    <t>J</t>
    <phoneticPr fontId="6" type="noConversion"/>
  </si>
  <si>
    <t>W700121</t>
    <phoneticPr fontId="3" type="noConversion"/>
  </si>
  <si>
    <t>S403</t>
    <phoneticPr fontId="3" type="noConversion"/>
  </si>
  <si>
    <t>C13356541</t>
  </si>
  <si>
    <t>F600B28</t>
    <phoneticPr fontId="3" type="noConversion"/>
  </si>
  <si>
    <t>C13503302</t>
  </si>
  <si>
    <t>CBW</t>
  </si>
  <si>
    <t>C13494100</t>
  </si>
  <si>
    <t>CDW</t>
    <phoneticPr fontId="3" type="noConversion"/>
  </si>
  <si>
    <t>DDW</t>
    <phoneticPr fontId="3" type="noConversion"/>
  </si>
  <si>
    <t>C13423248</t>
  </si>
  <si>
    <t>B043</t>
  </si>
  <si>
    <t>Stamping_outsource stamping &amp; welding assy-chunk 3</t>
  </si>
  <si>
    <t>F10692</t>
    <phoneticPr fontId="3" type="noConversion"/>
  </si>
  <si>
    <t>PTO 132-FIXING - ENGINE STYLING OR NVH COVER</t>
  </si>
  <si>
    <t>PT01-2</t>
  </si>
  <si>
    <t>Support- Engine Cover</t>
  </si>
  <si>
    <t>JX6G</t>
  </si>
  <si>
    <t>6A957</t>
  </si>
  <si>
    <r>
      <t>PT64-ENGINE COVER</t>
    </r>
    <r>
      <rPr>
        <sz val="8"/>
        <color theme="1"/>
        <rFont val="宋体"/>
        <family val="3"/>
        <charset val="134"/>
      </rPr>
      <t>（</t>
    </r>
    <r>
      <rPr>
        <sz val="8"/>
        <color theme="1"/>
        <rFont val="Verdana"/>
        <family val="2"/>
      </rPr>
      <t xml:space="preserve">FOAM 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Verdana"/>
        <family val="2"/>
      </rPr>
      <t xml:space="preserve"> COST CATCH UP</t>
    </r>
    <phoneticPr fontId="6" type="noConversion"/>
  </si>
  <si>
    <t>PTO142</t>
  </si>
  <si>
    <t>Engine Cover</t>
  </si>
  <si>
    <t>6A949</t>
  </si>
  <si>
    <t>LA</t>
  </si>
  <si>
    <t>C13551095</t>
  </si>
  <si>
    <t>CONTI PCM_PT30-1</t>
  </si>
  <si>
    <t>PT30</t>
  </si>
  <si>
    <t>Powertrain/Transmission Control Modules (PCM, EEC, TCM, Driveline Control, Gear Shift Module)</t>
  </si>
  <si>
    <t>12A650</t>
  </si>
  <si>
    <t>C13497539</t>
  </si>
  <si>
    <t>C13546998</t>
  </si>
  <si>
    <t>C13497541</t>
  </si>
  <si>
    <t>IS HANDLE - IT9</t>
  </si>
  <si>
    <t>IT9</t>
    <phoneticPr fontId="3" type="noConversion"/>
  </si>
  <si>
    <t>Inside Release Handle</t>
  </si>
  <si>
    <t>F22600</t>
    <phoneticPr fontId="3" type="noConversion"/>
  </si>
  <si>
    <t>F22601</t>
    <phoneticPr fontId="3" type="noConversion"/>
  </si>
  <si>
    <t>F226A59</t>
    <phoneticPr fontId="3" type="noConversion"/>
  </si>
  <si>
    <t>F22B35</t>
    <phoneticPr fontId="3" type="noConversion"/>
  </si>
  <si>
    <t>C13429251</t>
  </si>
  <si>
    <t>Hardware001-3</t>
  </si>
  <si>
    <t>Tapping Screw(non-common part)</t>
  </si>
  <si>
    <t>W704310</t>
    <phoneticPr fontId="3" type="noConversion"/>
  </si>
  <si>
    <t>S307</t>
    <phoneticPr fontId="3" type="noConversion"/>
  </si>
  <si>
    <t>W502670</t>
    <phoneticPr fontId="3" type="noConversion"/>
  </si>
  <si>
    <t>S450B</t>
    <phoneticPr fontId="3" type="noConversion"/>
  </si>
  <si>
    <t>C13405592</t>
  </si>
  <si>
    <t>E023</t>
  </si>
  <si>
    <t>Head lamp</t>
  </si>
  <si>
    <t>13D154</t>
    <phoneticPr fontId="3" type="noConversion"/>
  </si>
  <si>
    <t>13D154 </t>
  </si>
  <si>
    <t>13D155</t>
    <phoneticPr fontId="3" type="noConversion"/>
  </si>
  <si>
    <t>13D155 </t>
  </si>
  <si>
    <t>C13409502</t>
  </si>
  <si>
    <t>F16114</t>
    <phoneticPr fontId="3" type="noConversion"/>
  </si>
  <si>
    <t>C13372774</t>
  </si>
  <si>
    <t>IT01-1</t>
  </si>
  <si>
    <t>Steering Wheel</t>
  </si>
  <si>
    <t>C13511713</t>
  </si>
  <si>
    <t>C13515993</t>
  </si>
  <si>
    <t>C13582065</t>
  </si>
  <si>
    <t>Base 1196529
MCA 1841710</t>
  </si>
  <si>
    <t>Base 1596578
MCA 558000</t>
  </si>
  <si>
    <t>C13403488</t>
  </si>
  <si>
    <t>STEERING WHEEL IT01-1</t>
  </si>
  <si>
    <t>JD8B-3600-AAW</t>
  </si>
  <si>
    <t xml:space="preserve">             -</t>
  </si>
  <si>
    <t>ED8B-3600-AH</t>
  </si>
  <si>
    <t xml:space="preserve">           -</t>
  </si>
  <si>
    <t>JD8B-3600-BAW</t>
  </si>
  <si>
    <t>EJW</t>
  </si>
  <si>
    <t>ED8B-3600-EJW</t>
  </si>
  <si>
    <t>JD8B-3600-CAW</t>
  </si>
  <si>
    <t>DKW</t>
  </si>
  <si>
    <t>ED8B-3600-DKW</t>
  </si>
  <si>
    <t>C13409503</t>
  </si>
  <si>
    <t>TBD</t>
    <phoneticPr fontId="3" type="noConversion"/>
  </si>
  <si>
    <t>new added</t>
    <phoneticPr fontId="3" type="noConversion"/>
  </si>
  <si>
    <t>C13436671</t>
  </si>
  <si>
    <t>NA</t>
    <phoneticPr fontId="3" type="noConversion"/>
  </si>
  <si>
    <t>SCREW 6X20 PC TI TFP TH</t>
  </si>
  <si>
    <t>W506976</t>
    <phoneticPr fontId="3" type="noConversion"/>
  </si>
  <si>
    <t>S442</t>
    <phoneticPr fontId="3" type="noConversion"/>
  </si>
  <si>
    <t>W713910</t>
    <phoneticPr fontId="3" type="noConversion"/>
  </si>
  <si>
    <t>C13509883</t>
  </si>
  <si>
    <t>EBUWE13081783006-IH WELD STUD</t>
  </si>
  <si>
    <t>J</t>
    <phoneticPr fontId="3" type="noConversion"/>
  </si>
  <si>
    <t>C13402478</t>
  </si>
  <si>
    <t>R16021</t>
    <phoneticPr fontId="3" type="noConversion"/>
  </si>
  <si>
    <t>BF</t>
    <phoneticPr fontId="3" type="noConversion"/>
  </si>
  <si>
    <t>LMM - B09</t>
  </si>
  <si>
    <t>B029</t>
  </si>
  <si>
    <t>Latch Mini Module</t>
  </si>
  <si>
    <t>F219A64</t>
    <phoneticPr fontId="3" type="noConversion"/>
  </si>
  <si>
    <t>F219A65</t>
    <phoneticPr fontId="3" type="noConversion"/>
  </si>
  <si>
    <t>inc. in above</t>
    <phoneticPr fontId="3" type="noConversion"/>
  </si>
  <si>
    <t>C13342713-MCA</t>
  </si>
  <si>
    <t>C13385843</t>
  </si>
  <si>
    <t>C13482970-MCA</t>
  </si>
  <si>
    <t>GOR - C490 MCA</t>
  </si>
  <si>
    <t>ET11</t>
  </si>
  <si>
    <t>Radiator Support/GOR/Bolster</t>
  </si>
  <si>
    <t>8B041</t>
    <phoneticPr fontId="3" type="noConversion"/>
  </si>
  <si>
    <t>DOOR SPEAR+ET96</t>
  </si>
  <si>
    <t>ET96</t>
  </si>
  <si>
    <t>Door Molding</t>
  </si>
  <si>
    <t>F20848</t>
    <phoneticPr fontId="17" type="noConversion"/>
  </si>
  <si>
    <t>F20849</t>
    <phoneticPr fontId="17" type="noConversion"/>
  </si>
  <si>
    <t>F25334</t>
    <phoneticPr fontId="17" type="noConversion"/>
  </si>
  <si>
    <t>F25335</t>
    <phoneticPr fontId="17" type="noConversion"/>
  </si>
  <si>
    <t>C13380418</t>
  </si>
  <si>
    <t>IT16-1</t>
  </si>
  <si>
    <t>Insulation/NVH-Platform</t>
  </si>
  <si>
    <t>R11448</t>
    <phoneticPr fontId="3" type="noConversion"/>
  </si>
  <si>
    <t>3M51</t>
  </si>
  <si>
    <t>R11448</t>
  </si>
  <si>
    <t>AY</t>
  </si>
  <si>
    <t>PT64-ENGINE COVER（FOAM）1.5</t>
  </si>
  <si>
    <t>PMT4</t>
    <phoneticPr fontId="6" type="noConversion"/>
  </si>
  <si>
    <t>JX6G</t>
    <phoneticPr fontId="3" type="noConversion"/>
  </si>
  <si>
    <t>6A949</t>
    <phoneticPr fontId="3" type="noConversion"/>
  </si>
  <si>
    <t>HC</t>
    <phoneticPr fontId="3" type="noConversion"/>
  </si>
  <si>
    <t>HA</t>
    <phoneticPr fontId="3" type="noConversion"/>
  </si>
  <si>
    <t>C13353681</t>
  </si>
  <si>
    <t>F02824</t>
  </si>
  <si>
    <t>C13446305-HOOD SEAL</t>
  </si>
  <si>
    <t>F02824</t>
    <phoneticPr fontId="3" type="noConversion"/>
  </si>
  <si>
    <t>C13448037</t>
  </si>
  <si>
    <t>13D154 </t>
    <phoneticPr fontId="3" type="noConversion"/>
  </si>
  <si>
    <t>C13469709</t>
  </si>
  <si>
    <t>13D155 </t>
    <phoneticPr fontId="3" type="noConversion"/>
  </si>
  <si>
    <t>C13552691</t>
  </si>
  <si>
    <t>13W029</t>
    <phoneticPr fontId="3" type="noConversion"/>
  </si>
  <si>
    <t>13W030</t>
    <phoneticPr fontId="3" type="noConversion"/>
  </si>
  <si>
    <t>C13553240</t>
  </si>
  <si>
    <t>CANISTER-CH052</t>
  </si>
  <si>
    <t>CH052</t>
  </si>
  <si>
    <t>Canister and Bracket Assembly - Fuel Vapor Storage (non-KC)</t>
  </si>
  <si>
    <t>9E857</t>
    <phoneticPr fontId="3" type="noConversion"/>
  </si>
  <si>
    <t>C13445184</t>
  </si>
  <si>
    <t>ET5</t>
    <phoneticPr fontId="3" type="noConversion"/>
  </si>
  <si>
    <t>F22400</t>
    <phoneticPr fontId="3" type="noConversion"/>
  </si>
  <si>
    <t>C13385843</t>
    <phoneticPr fontId="3" type="noConversion"/>
  </si>
  <si>
    <t>PJD8B</t>
  </si>
  <si>
    <t>F22401</t>
    <phoneticPr fontId="3" type="noConversion"/>
  </si>
  <si>
    <t>F26600</t>
    <phoneticPr fontId="3" type="noConversion"/>
  </si>
  <si>
    <t>F26601</t>
    <phoneticPr fontId="3" type="noConversion"/>
  </si>
  <si>
    <t>C13413562</t>
  </si>
  <si>
    <t>AV61-R16021-AG</t>
  </si>
  <si>
    <t>C13442129</t>
  </si>
  <si>
    <t>C13476315</t>
  </si>
  <si>
    <t>AFW</t>
    <phoneticPr fontId="3" type="noConversion"/>
  </si>
  <si>
    <t>BFW</t>
    <phoneticPr fontId="3" type="noConversion"/>
  </si>
  <si>
    <t>DFW</t>
    <phoneticPr fontId="3" type="noConversion"/>
  </si>
  <si>
    <t>C13508900</t>
  </si>
  <si>
    <t>AGW</t>
    <phoneticPr fontId="3" type="noConversion"/>
  </si>
  <si>
    <t>DGW</t>
    <phoneticPr fontId="3" type="noConversion"/>
  </si>
  <si>
    <t>C13523962</t>
  </si>
  <si>
    <t>F045A06</t>
  </si>
  <si>
    <t>AHW</t>
  </si>
  <si>
    <t>AGW</t>
  </si>
  <si>
    <t>BGW</t>
  </si>
  <si>
    <t>DHW</t>
  </si>
  <si>
    <t>DGW</t>
  </si>
  <si>
    <t>CFW</t>
    <phoneticPr fontId="3" type="noConversion"/>
  </si>
  <si>
    <t>C13439283</t>
  </si>
  <si>
    <t>C13467243 -1</t>
  </si>
  <si>
    <t>C13384684</t>
  </si>
  <si>
    <t>C13423896</t>
  </si>
  <si>
    <t>C13431485</t>
  </si>
  <si>
    <t>Incl.in CFW</t>
    <phoneticPr fontId="3" type="noConversion"/>
  </si>
  <si>
    <t>C13405367</t>
  </si>
  <si>
    <t>F600A30</t>
    <phoneticPr fontId="3" type="noConversion"/>
  </si>
  <si>
    <t>F600A31</t>
    <phoneticPr fontId="3" type="noConversion"/>
  </si>
  <si>
    <t>FRONT BUMPER + ET12-1</t>
  </si>
  <si>
    <t>ET12-1</t>
  </si>
  <si>
    <t>Front Bumper</t>
  </si>
  <si>
    <t>17D926</t>
    <phoneticPr fontId="3" type="noConversion"/>
  </si>
  <si>
    <t>17D927</t>
    <phoneticPr fontId="3" type="noConversion"/>
  </si>
  <si>
    <t>17K819</t>
    <phoneticPr fontId="3" type="noConversion"/>
  </si>
  <si>
    <t>C13448870</t>
  </si>
  <si>
    <t>IT9</t>
  </si>
  <si>
    <t>F22600</t>
  </si>
  <si>
    <t>F22601</t>
  </si>
  <si>
    <t>C13458421</t>
  </si>
  <si>
    <t>F266B35</t>
  </si>
  <si>
    <t>C13457096</t>
  </si>
  <si>
    <t>ET9</t>
  </si>
  <si>
    <t>Cowl Grille</t>
  </si>
  <si>
    <t>F02654</t>
    <phoneticPr fontId="3" type="noConversion"/>
  </si>
  <si>
    <t>C13536240</t>
  </si>
  <si>
    <t>F02655</t>
    <phoneticPr fontId="3" type="noConversion"/>
  </si>
  <si>
    <t>C13458964</t>
  </si>
  <si>
    <t>C13509843</t>
  </si>
  <si>
    <t>C13542347</t>
  </si>
  <si>
    <t>C13456027</t>
  </si>
  <si>
    <t>C13503288</t>
  </si>
  <si>
    <t>Has Report EC,have scrap tooling</t>
    <phoneticPr fontId="3" type="noConversion"/>
  </si>
  <si>
    <t>C13532479</t>
  </si>
  <si>
    <t>AE</t>
    <phoneticPr fontId="6" type="noConversion"/>
  </si>
  <si>
    <t>C13453878</t>
  </si>
  <si>
    <t>ET01</t>
  </si>
  <si>
    <t>Sunroof</t>
  </si>
  <si>
    <t>F518A30</t>
    <phoneticPr fontId="3" type="noConversion"/>
  </si>
  <si>
    <t>AKW</t>
    <phoneticPr fontId="3" type="noConversion"/>
  </si>
  <si>
    <t>C13347176-2</t>
  </si>
  <si>
    <t>C13531150</t>
  </si>
  <si>
    <t>ALW</t>
    <phoneticPr fontId="3" type="noConversion"/>
  </si>
  <si>
    <t>C13451225</t>
  </si>
  <si>
    <t>C490MCA_1.5L_EGTS_PT24-2_NGK</t>
    <phoneticPr fontId="3" type="noConversion"/>
  </si>
  <si>
    <t>PT24-2</t>
  </si>
  <si>
    <t>EGTS</t>
  </si>
  <si>
    <t>12B591</t>
    <phoneticPr fontId="3" type="noConversion"/>
  </si>
  <si>
    <t>C13440360</t>
  </si>
  <si>
    <t>B046-4</t>
  </si>
  <si>
    <t xml:space="preserve">Bracket - Cold Charge Duct to Engine or Body </t>
  </si>
  <si>
    <t>6C750</t>
    <phoneticPr fontId="3" type="noConversion"/>
  </si>
  <si>
    <t>C13454896</t>
  </si>
  <si>
    <t>CEW</t>
    <phoneticPr fontId="3" type="noConversion"/>
  </si>
  <si>
    <t>9C623</t>
    <phoneticPr fontId="3" type="noConversion"/>
  </si>
  <si>
    <t>C13453854</t>
  </si>
  <si>
    <t>C13453854</t>
    <phoneticPr fontId="3" type="noConversion"/>
  </si>
  <si>
    <t>C13457156</t>
  </si>
  <si>
    <t>C13467302</t>
  </si>
  <si>
    <t>F254A41</t>
  </si>
  <si>
    <t>F254A42</t>
  </si>
  <si>
    <t>F254A43</t>
  </si>
  <si>
    <t>C13422676</t>
    <phoneticPr fontId="3" type="noConversion"/>
  </si>
  <si>
    <t>C13495566</t>
  </si>
  <si>
    <t>C13448820</t>
  </si>
  <si>
    <t>C13454951</t>
  </si>
  <si>
    <t>B03</t>
  </si>
  <si>
    <t>Decklid hinge</t>
  </si>
  <si>
    <t>F42700</t>
    <phoneticPr fontId="3" type="noConversion"/>
  </si>
  <si>
    <t>F42701</t>
    <phoneticPr fontId="3" type="noConversion"/>
  </si>
  <si>
    <t>C13512463-DECKLID HINGE</t>
  </si>
  <si>
    <t>F44858</t>
    <phoneticPr fontId="3" type="noConversion"/>
  </si>
  <si>
    <t>C13507805</t>
  </si>
  <si>
    <t>F44890</t>
    <phoneticPr fontId="3" type="noConversion"/>
  </si>
  <si>
    <t>F44891</t>
    <phoneticPr fontId="3" type="noConversion"/>
  </si>
  <si>
    <t>C13454872</t>
  </si>
  <si>
    <t>C13446334</t>
  </si>
  <si>
    <t>8B273</t>
  </si>
  <si>
    <t>C13447615</t>
  </si>
  <si>
    <t>C13444268</t>
  </si>
  <si>
    <t>Exterior door handle</t>
  </si>
  <si>
    <t>F22401</t>
  </si>
  <si>
    <t>included in F22400</t>
    <phoneticPr fontId="3" type="noConversion"/>
  </si>
  <si>
    <t>C13508976</t>
  </si>
  <si>
    <t>C13441667</t>
  </si>
  <si>
    <t>C13465224</t>
  </si>
  <si>
    <t>CGW</t>
    <phoneticPr fontId="3" type="noConversion"/>
  </si>
  <si>
    <t>C13485161</t>
  </si>
  <si>
    <t>17K819</t>
  </si>
  <si>
    <t>AFW</t>
  </si>
  <si>
    <t>C13578199</t>
  </si>
  <si>
    <t>Wu Qianwei</t>
    <phoneticPr fontId="3" type="noConversion"/>
  </si>
  <si>
    <t>BFW</t>
  </si>
  <si>
    <t>C13463573-1</t>
  </si>
  <si>
    <t>BJW</t>
    <phoneticPr fontId="3" type="noConversion"/>
  </si>
  <si>
    <t>BKW</t>
    <phoneticPr fontId="3" type="noConversion"/>
  </si>
  <si>
    <t>CHW</t>
  </si>
  <si>
    <t>CFW</t>
  </si>
  <si>
    <t>CKW</t>
  </si>
  <si>
    <t>Wu Qianwei</t>
  </si>
  <si>
    <t>C13515234</t>
  </si>
  <si>
    <t>CJW</t>
    <phoneticPr fontId="6" type="noConversion"/>
  </si>
  <si>
    <t>ET3</t>
  </si>
  <si>
    <t>Radiator Grille</t>
  </si>
  <si>
    <t>C13439222</t>
  </si>
  <si>
    <t>C13332538</t>
  </si>
  <si>
    <t>C13372703</t>
    <phoneticPr fontId="3" type="noConversion"/>
  </si>
  <si>
    <t/>
  </si>
  <si>
    <t>C13372705</t>
    <phoneticPr fontId="3" type="noConversion"/>
  </si>
  <si>
    <t>C490MCA FILLER PIPE CH048-2 STAGE5</t>
  </si>
  <si>
    <t>CH048</t>
  </si>
  <si>
    <t>Fuel Filler Pipe and Hose Assembly (non-KC)</t>
  </si>
  <si>
    <t>ED8G</t>
    <phoneticPr fontId="3" type="noConversion"/>
  </si>
  <si>
    <t>C13299958</t>
  </si>
  <si>
    <t>C13367616</t>
  </si>
  <si>
    <t>C13470852</t>
  </si>
  <si>
    <t>C490MCA FUEL LINE CH049-1 FRESH AIR LINE</t>
  </si>
  <si>
    <t>CH049</t>
  </si>
  <si>
    <t>Fuel Lines and hoses (non-KC)</t>
  </si>
  <si>
    <t>9G271</t>
    <phoneticPr fontId="3" type="noConversion"/>
  </si>
  <si>
    <t>FDM - PT81</t>
  </si>
  <si>
    <t>CH046</t>
  </si>
  <si>
    <t>Fuel Delivery Module (Sender)</t>
  </si>
  <si>
    <t>9H307</t>
    <phoneticPr fontId="3" type="noConversion"/>
  </si>
  <si>
    <t>C13482944</t>
  </si>
  <si>
    <t>C13471744</t>
  </si>
  <si>
    <t>F22050</t>
    <phoneticPr fontId="3" type="noConversion"/>
  </si>
  <si>
    <t>incl. in JD8B-F22-5--BC</t>
    <phoneticPr fontId="3" type="noConversion"/>
  </si>
  <si>
    <t>C13437908</t>
  </si>
  <si>
    <t>C13517146</t>
  </si>
  <si>
    <t>C13459106-1</t>
  </si>
  <si>
    <t>C13466607</t>
  </si>
  <si>
    <t>132K14</t>
    <phoneticPr fontId="3" type="noConversion"/>
  </si>
  <si>
    <t>132K15</t>
    <phoneticPr fontId="3" type="noConversion"/>
  </si>
  <si>
    <t>C13469745</t>
  </si>
  <si>
    <t>2017/1026</t>
    <phoneticPr fontId="3" type="noConversion"/>
  </si>
  <si>
    <t>C13461817</t>
  </si>
  <si>
    <t>ET116</t>
  </si>
  <si>
    <t>A27206</t>
    <phoneticPr fontId="3" type="noConversion"/>
  </si>
  <si>
    <t>A27207</t>
    <phoneticPr fontId="3" type="noConversion"/>
  </si>
  <si>
    <t>C13468947</t>
  </si>
  <si>
    <t>E022</t>
  </si>
  <si>
    <t>Tail Lamp</t>
  </si>
  <si>
    <t>13A602</t>
    <phoneticPr fontId="3" type="noConversion"/>
  </si>
  <si>
    <t>C13467243</t>
  </si>
  <si>
    <t>IT13</t>
  </si>
  <si>
    <t>Rain Sensor cover lower</t>
  </si>
  <si>
    <t>17D550</t>
    <phoneticPr fontId="3" type="noConversion"/>
  </si>
  <si>
    <t>C13467542</t>
  </si>
  <si>
    <t>C13467429</t>
  </si>
  <si>
    <t>C13466216</t>
  </si>
  <si>
    <t>C13564684</t>
  </si>
  <si>
    <t>C13461717</t>
  </si>
  <si>
    <t>C13460015</t>
  </si>
  <si>
    <t>ET12-2</t>
  </si>
  <si>
    <t>Rear Bumper</t>
  </si>
  <si>
    <t>C13463439</t>
  </si>
  <si>
    <t>BEW</t>
    <phoneticPr fontId="3" type="noConversion"/>
  </si>
  <si>
    <t>C13507741</t>
  </si>
  <si>
    <r>
      <rPr>
        <sz val="10"/>
        <rFont val="宋体"/>
        <family val="3"/>
        <charset val="134"/>
      </rPr>
      <t>同</t>
    </r>
    <r>
      <rPr>
        <sz val="10"/>
        <rFont val="Arial"/>
        <family val="2"/>
      </rPr>
      <t>AGW</t>
    </r>
    <r>
      <rPr>
        <sz val="10"/>
        <rFont val="宋体"/>
        <family val="3"/>
        <charset val="134"/>
      </rPr>
      <t>共用</t>
    </r>
    <phoneticPr fontId="3" type="noConversion"/>
  </si>
  <si>
    <t>C13510854</t>
  </si>
  <si>
    <t>BHW</t>
    <phoneticPr fontId="3" type="noConversion"/>
  </si>
  <si>
    <t>C13532504</t>
  </si>
  <si>
    <t>C13559431</t>
  </si>
  <si>
    <t>17K823</t>
  </si>
  <si>
    <t>AJW</t>
  </si>
  <si>
    <t>BJW</t>
  </si>
  <si>
    <r>
      <rPr>
        <sz val="10"/>
        <rFont val="宋体"/>
        <family val="3"/>
        <charset val="134"/>
      </rPr>
      <t>同</t>
    </r>
    <r>
      <rPr>
        <sz val="10"/>
        <rFont val="Arial"/>
        <family val="2"/>
      </rPr>
      <t>AJW</t>
    </r>
    <r>
      <rPr>
        <sz val="10"/>
        <rFont val="宋体"/>
        <family val="3"/>
        <charset val="134"/>
      </rPr>
      <t>共用</t>
    </r>
  </si>
  <si>
    <r>
      <rPr>
        <sz val="10"/>
        <rFont val="宋体"/>
        <family val="3"/>
        <charset val="134"/>
      </rPr>
      <t>同</t>
    </r>
    <r>
      <rPr>
        <sz val="10"/>
        <rFont val="Arial"/>
        <family val="2"/>
      </rPr>
      <t>AGW</t>
    </r>
    <r>
      <rPr>
        <sz val="10"/>
        <rFont val="宋体"/>
        <family val="3"/>
        <charset val="134"/>
      </rPr>
      <t>共用</t>
    </r>
  </si>
  <si>
    <t>BKW</t>
  </si>
  <si>
    <r>
      <rPr>
        <sz val="10"/>
        <rFont val="宋体"/>
        <family val="3"/>
        <charset val="134"/>
      </rPr>
      <t>同</t>
    </r>
    <r>
      <rPr>
        <sz val="10"/>
        <rFont val="Arial"/>
        <family val="2"/>
      </rPr>
      <t>AJW</t>
    </r>
    <r>
      <rPr>
        <sz val="10"/>
        <rFont val="宋体"/>
        <family val="3"/>
        <charset val="134"/>
      </rPr>
      <t>共用</t>
    </r>
    <phoneticPr fontId="3" type="noConversion"/>
  </si>
  <si>
    <t>C13460207</t>
  </si>
  <si>
    <t>17B589</t>
    <phoneticPr fontId="3" type="noConversion"/>
  </si>
  <si>
    <t>17C495</t>
    <phoneticPr fontId="3" type="noConversion"/>
  </si>
  <si>
    <t>C13456105</t>
  </si>
  <si>
    <t>ET98</t>
  </si>
  <si>
    <t>Rear closure chrome strip</t>
  </si>
  <si>
    <t>C13466256</t>
  </si>
  <si>
    <t>C13450170</t>
  </si>
  <si>
    <t>ABW </t>
    <phoneticPr fontId="3" type="noConversion"/>
  </si>
  <si>
    <t>C13430287</t>
  </si>
  <si>
    <t>EDW</t>
    <phoneticPr fontId="3" type="noConversion"/>
  </si>
  <si>
    <t>FDW</t>
    <phoneticPr fontId="3" type="noConversion"/>
  </si>
  <si>
    <t>GDW</t>
    <phoneticPr fontId="3" type="noConversion"/>
  </si>
  <si>
    <t>HDW</t>
    <phoneticPr fontId="3" type="noConversion"/>
  </si>
  <si>
    <t>JDW</t>
    <phoneticPr fontId="3" type="noConversion"/>
  </si>
  <si>
    <t>KDW</t>
    <phoneticPr fontId="3" type="noConversion"/>
  </si>
  <si>
    <t>LDW</t>
    <phoneticPr fontId="3" type="noConversion"/>
  </si>
  <si>
    <t>MDW</t>
    <phoneticPr fontId="3" type="noConversion"/>
  </si>
  <si>
    <t>C13458068-IP</t>
  </si>
  <si>
    <t>DEW</t>
    <phoneticPr fontId="3" type="noConversion"/>
  </si>
  <si>
    <t>EEW</t>
    <phoneticPr fontId="3" type="noConversion"/>
  </si>
  <si>
    <t>FEW</t>
    <phoneticPr fontId="3" type="noConversion"/>
  </si>
  <si>
    <t>GEW</t>
    <phoneticPr fontId="3" type="noConversion"/>
  </si>
  <si>
    <t>HEW</t>
    <phoneticPr fontId="3" type="noConversion"/>
  </si>
  <si>
    <t>JEW</t>
    <phoneticPr fontId="3" type="noConversion"/>
  </si>
  <si>
    <t>KEW</t>
    <phoneticPr fontId="3" type="noConversion"/>
  </si>
  <si>
    <t>LEW</t>
    <phoneticPr fontId="3" type="noConversion"/>
  </si>
  <si>
    <t>MEW</t>
    <phoneticPr fontId="3" type="noConversion"/>
  </si>
  <si>
    <t>C13496374</t>
  </si>
  <si>
    <t>M+J867:AH876JD8B </t>
    <phoneticPr fontId="3" type="noConversion"/>
  </si>
  <si>
    <t>EFW</t>
    <phoneticPr fontId="3" type="noConversion"/>
  </si>
  <si>
    <t>FFW</t>
    <phoneticPr fontId="3" type="noConversion"/>
  </si>
  <si>
    <t>GFW</t>
    <phoneticPr fontId="3" type="noConversion"/>
  </si>
  <si>
    <t>HFW</t>
    <phoneticPr fontId="3" type="noConversion"/>
  </si>
  <si>
    <t>JFW</t>
    <phoneticPr fontId="3" type="noConversion"/>
  </si>
  <si>
    <t>KFW</t>
    <phoneticPr fontId="3" type="noConversion"/>
  </si>
  <si>
    <t>LFW</t>
    <phoneticPr fontId="3" type="noConversion"/>
  </si>
  <si>
    <t>MFW</t>
    <phoneticPr fontId="3" type="noConversion"/>
  </si>
  <si>
    <t>C13508902</t>
  </si>
  <si>
    <t>EGW</t>
    <phoneticPr fontId="3" type="noConversion"/>
  </si>
  <si>
    <t>FGW</t>
    <phoneticPr fontId="3" type="noConversion"/>
  </si>
  <si>
    <t>GGW</t>
    <phoneticPr fontId="3" type="noConversion"/>
  </si>
  <si>
    <t>HGW</t>
    <phoneticPr fontId="3" type="noConversion"/>
  </si>
  <si>
    <t>JGW</t>
    <phoneticPr fontId="3" type="noConversion"/>
  </si>
  <si>
    <t>KGW</t>
    <phoneticPr fontId="3" type="noConversion"/>
  </si>
  <si>
    <t>LGW</t>
    <phoneticPr fontId="3" type="noConversion"/>
  </si>
  <si>
    <t>MGW</t>
    <phoneticPr fontId="3" type="noConversion"/>
  </si>
  <si>
    <t>C13552331</t>
  </si>
  <si>
    <t>DELETE</t>
    <phoneticPr fontId="3" type="noConversion"/>
  </si>
  <si>
    <t>Replaced by LBBA LGW</t>
    <phoneticPr fontId="3" type="noConversion"/>
  </si>
  <si>
    <t>C13458948</t>
  </si>
  <si>
    <t>DCT FLR RR</t>
    <phoneticPr fontId="3" type="noConversion"/>
  </si>
  <si>
    <t>F018C16</t>
    <phoneticPr fontId="3" type="noConversion"/>
  </si>
  <si>
    <t>F018C16</t>
    <phoneticPr fontId="17" type="noConversion"/>
  </si>
  <si>
    <t>F018C17</t>
    <phoneticPr fontId="3" type="noConversion"/>
  </si>
  <si>
    <t>F018C17</t>
    <phoneticPr fontId="17" type="noConversion"/>
  </si>
  <si>
    <t>F01906 </t>
    <phoneticPr fontId="3" type="noConversion"/>
  </si>
  <si>
    <t>F01906 </t>
    <phoneticPr fontId="17" type="noConversion"/>
  </si>
  <si>
    <t>F01907 </t>
    <phoneticPr fontId="3" type="noConversion"/>
  </si>
  <si>
    <t>F01907 </t>
    <phoneticPr fontId="17" type="noConversion"/>
  </si>
  <si>
    <t>C13447769</t>
  </si>
  <si>
    <t>PT01-2</t>
    <phoneticPr fontId="3" type="noConversion"/>
  </si>
  <si>
    <t>RHS</t>
    <phoneticPr fontId="3" type="noConversion"/>
  </si>
  <si>
    <t>6F012</t>
    <phoneticPr fontId="3" type="noConversion"/>
  </si>
  <si>
    <t>6F012</t>
    <phoneticPr fontId="17" type="noConversion"/>
  </si>
  <si>
    <t>Roll Restrictor Bracket</t>
    <phoneticPr fontId="3" type="noConversion"/>
  </si>
  <si>
    <t>6P093</t>
    <phoneticPr fontId="3" type="noConversion"/>
  </si>
  <si>
    <t>6P093</t>
    <phoneticPr fontId="17" type="noConversion"/>
  </si>
  <si>
    <t>C13546103</t>
  </si>
  <si>
    <t>C490MCA-ALTERNATORIPR</t>
  </si>
  <si>
    <t>E05</t>
    <phoneticPr fontId="3" type="noConversion"/>
  </si>
  <si>
    <t>ALT ASY</t>
    <phoneticPr fontId="3" type="noConversion"/>
  </si>
  <si>
    <t>PMT5</t>
    <phoneticPr fontId="3" type="noConversion"/>
  </si>
  <si>
    <t>10300 </t>
    <phoneticPr fontId="3" type="noConversion"/>
  </si>
  <si>
    <t>GA </t>
    <phoneticPr fontId="3" type="noConversion"/>
  </si>
  <si>
    <t>10300 </t>
    <phoneticPr fontId="17" type="noConversion"/>
  </si>
  <si>
    <t>C13462123</t>
  </si>
  <si>
    <t>E05</t>
  </si>
  <si>
    <t>ALT ASY</t>
  </si>
  <si>
    <t>PMT5</t>
    <phoneticPr fontId="6" type="noConversion"/>
  </si>
  <si>
    <t>10300 </t>
  </si>
  <si>
    <t>GB</t>
    <phoneticPr fontId="3" type="noConversion"/>
  </si>
  <si>
    <t>JX6T</t>
  </si>
  <si>
    <t>GA </t>
  </si>
  <si>
    <t>JX6T-10300 -GA </t>
  </si>
  <si>
    <t>Milkrun</t>
  </si>
  <si>
    <t>HB</t>
    <phoneticPr fontId="3" type="noConversion"/>
  </si>
  <si>
    <t>HA</t>
  </si>
  <si>
    <t>JX6T-10300 -HA</t>
  </si>
  <si>
    <t>ESC MODULE+ CH061</t>
    <phoneticPr fontId="3" type="noConversion"/>
  </si>
  <si>
    <t>CH061</t>
  </si>
  <si>
    <t>ESC MODULE</t>
  </si>
  <si>
    <t>2B373</t>
    <phoneticPr fontId="3" type="noConversion"/>
  </si>
  <si>
    <t>E3B1</t>
  </si>
  <si>
    <t>2M110 </t>
  </si>
  <si>
    <t>ESC MODULE+ CH061</t>
  </si>
  <si>
    <t>Incl.above</t>
    <phoneticPr fontId="3" type="noConversion"/>
  </si>
  <si>
    <t>2C405 </t>
  </si>
  <si>
    <t>C13520696</t>
  </si>
  <si>
    <t>FRONT STRUT/REAR SHOCK+CH028</t>
  </si>
  <si>
    <t>B07-3</t>
  </si>
  <si>
    <t>Hood striker</t>
  </si>
  <si>
    <t>16A944</t>
  </si>
  <si>
    <t>C13553114</t>
  </si>
  <si>
    <t>REAR BADGE (TITANIUM)+ET20-2</t>
  </si>
  <si>
    <t>ET20-2</t>
  </si>
  <si>
    <t>TITANIUM badge</t>
  </si>
  <si>
    <t>TH</t>
    <phoneticPr fontId="17" type="noConversion"/>
  </si>
  <si>
    <t>NA</t>
    <phoneticPr fontId="17" type="noConversion"/>
  </si>
  <si>
    <t>GR2B</t>
  </si>
  <si>
    <t>BB</t>
    <phoneticPr fontId="17" type="noConversion"/>
  </si>
  <si>
    <t>SUNROOF SWITCH+E092</t>
  </si>
  <si>
    <t>E092</t>
  </si>
  <si>
    <t>SW.ASY.WDO.REG.CONTR.SNGL</t>
  </si>
  <si>
    <t>PMT5</t>
    <phoneticPr fontId="17" type="noConversion"/>
  </si>
  <si>
    <t>ED8T </t>
  </si>
  <si>
    <t>BA</t>
    <phoneticPr fontId="17" type="noConversion"/>
  </si>
  <si>
    <t>C490MCA DCU-E019</t>
  </si>
  <si>
    <t>E019</t>
  </si>
  <si>
    <t>DCU</t>
  </si>
  <si>
    <t>DG9T </t>
  </si>
  <si>
    <t>14B531</t>
  </si>
  <si>
    <t>EB </t>
  </si>
  <si>
    <t>GN15 </t>
  </si>
  <si>
    <t>14B531</t>
    <phoneticPr fontId="17" type="noConversion"/>
  </si>
  <si>
    <t>AA </t>
  </si>
  <si>
    <t>DCU</t>
    <phoneticPr fontId="3" type="noConversion"/>
  </si>
  <si>
    <t>14B533 </t>
  </si>
  <si>
    <t>BCM-E055</t>
    <phoneticPr fontId="17" type="noConversion"/>
  </si>
  <si>
    <t>E055</t>
  </si>
  <si>
    <t>BCM</t>
  </si>
  <si>
    <t>JU5T</t>
  </si>
  <si>
    <t>15604</t>
  </si>
  <si>
    <t>MCA</t>
  </si>
  <si>
    <t>BCM-E055</t>
  </si>
  <si>
    <t>KCA</t>
  </si>
  <si>
    <t>C13435285</t>
  </si>
  <si>
    <t>MCB</t>
    <phoneticPr fontId="3" type="noConversion"/>
  </si>
  <si>
    <t>JU5T-15604-MCA</t>
  </si>
  <si>
    <t>KCB</t>
    <phoneticPr fontId="3" type="noConversion"/>
  </si>
  <si>
    <t>JU5T-15604-KCA</t>
  </si>
  <si>
    <t>C13458066</t>
  </si>
  <si>
    <t>PMT5</t>
  </si>
  <si>
    <t>MCC</t>
  </si>
  <si>
    <t>MCB</t>
  </si>
  <si>
    <t>JU5T-15604-MCB</t>
  </si>
  <si>
    <t>KCC</t>
  </si>
  <si>
    <t>KCB</t>
  </si>
  <si>
    <t>JU5T-15604-KCB</t>
  </si>
  <si>
    <t>C13466589</t>
  </si>
  <si>
    <t>MCD</t>
    <phoneticPr fontId="3" type="noConversion"/>
  </si>
  <si>
    <t>KCD</t>
    <phoneticPr fontId="3" type="noConversion"/>
  </si>
  <si>
    <t>C13515063</t>
  </si>
  <si>
    <t>MCE</t>
    <phoneticPr fontId="3" type="noConversion"/>
  </si>
  <si>
    <t>MCD</t>
  </si>
  <si>
    <t>JU5T-15604-MCD</t>
  </si>
  <si>
    <t>KCE</t>
    <phoneticPr fontId="3" type="noConversion"/>
  </si>
  <si>
    <t>KCD</t>
  </si>
  <si>
    <t>JU5T-15604-KCD</t>
  </si>
  <si>
    <t>6MX65 TRANS&amp;TRANS OIL+PT90&amp;BLK-53</t>
  </si>
  <si>
    <t>PT90</t>
  </si>
  <si>
    <t>6MX65 trans</t>
  </si>
  <si>
    <t>JX6R</t>
  </si>
  <si>
    <t>ALA</t>
  </si>
  <si>
    <t>6MX65 TRANS&amp;TRANS OIL+PT90&amp;BLK-53</t>
    <phoneticPr fontId="3" type="noConversion"/>
  </si>
  <si>
    <t>CLA</t>
  </si>
  <si>
    <t>Blk-99</t>
  </si>
  <si>
    <t>Trans oil</t>
  </si>
  <si>
    <t>WSS </t>
    <phoneticPr fontId="3" type="noConversion"/>
  </si>
  <si>
    <t>M2C200</t>
    <phoneticPr fontId="3" type="noConversion"/>
  </si>
  <si>
    <t>D2</t>
    <phoneticPr fontId="3" type="noConversion"/>
  </si>
  <si>
    <t>WSS </t>
  </si>
  <si>
    <t>M2C200</t>
  </si>
  <si>
    <t>D2</t>
  </si>
  <si>
    <t>PT83-7-FEAD-S/S COVER</t>
  </si>
  <si>
    <t>PT83-7</t>
  </si>
  <si>
    <t>CVR-ACC.DRV</t>
  </si>
  <si>
    <t>6A247</t>
  </si>
  <si>
    <t>A1A</t>
  </si>
  <si>
    <t>C13509230</t>
  </si>
  <si>
    <t>A1B</t>
    <phoneticPr fontId="3" type="noConversion"/>
  </si>
  <si>
    <t>C490MCA FILLER PIPE CH048-1</t>
  </si>
  <si>
    <t>CH048-1</t>
  </si>
  <si>
    <t>fuel filler pipe</t>
    <phoneticPr fontId="3" type="noConversion"/>
  </si>
  <si>
    <t>Stage6</t>
    <phoneticPr fontId="3" type="noConversion"/>
  </si>
  <si>
    <t>C13344584</t>
  </si>
  <si>
    <t>EN01-E-13267652-014-PT03-4_DRAGON PFI CN6 CCC CATALYST</t>
  </si>
  <si>
    <t>PT03-4</t>
  </si>
  <si>
    <t>Catalyst-Dragon PFI Stg6</t>
  </si>
  <si>
    <t>5F228</t>
  </si>
  <si>
    <t>SA</t>
  </si>
  <si>
    <t>EN01-E-13267652-014-PT03-3 _DRAGON PFI CN5 CCC CATALYST</t>
  </si>
  <si>
    <t xml:space="preserve">PT03-3 </t>
  </si>
  <si>
    <t>RB</t>
  </si>
  <si>
    <t>HALFSHAFT+PT05</t>
  </si>
  <si>
    <t>LHS</t>
    <phoneticPr fontId="3" type="noConversion"/>
  </si>
  <si>
    <t>3B437</t>
  </si>
  <si>
    <t>HALFSHAFT+PT05</t>
    <phoneticPr fontId="3" type="noConversion"/>
  </si>
  <si>
    <t>HALFSHAFT PT05-1</t>
  </si>
  <si>
    <t>3B437</t>
    <phoneticPr fontId="3" type="noConversion"/>
  </si>
  <si>
    <t>3B436</t>
    <phoneticPr fontId="3" type="noConversion"/>
  </si>
  <si>
    <t>CLUS ASY INSTR-E03</t>
  </si>
  <si>
    <t>E03</t>
  </si>
  <si>
    <t>CLUS ASY INSTR</t>
  </si>
  <si>
    <t>10849</t>
  </si>
  <si>
    <t>C13349876</t>
  </si>
  <si>
    <t>C13423941</t>
  </si>
  <si>
    <t>JD8T-10849-AA</t>
  </si>
  <si>
    <t>JD8T-10849-BA</t>
  </si>
  <si>
    <t>C13518456</t>
  </si>
  <si>
    <t>C13528843</t>
  </si>
  <si>
    <t>C13568139</t>
  </si>
  <si>
    <t>PARKING AID SYSTEM_E035</t>
    <phoneticPr fontId="3" type="noConversion"/>
  </si>
  <si>
    <t>E035</t>
  </si>
  <si>
    <t>PARKING AID SYSTEM</t>
  </si>
  <si>
    <t>15K859</t>
  </si>
  <si>
    <t>ED8T </t>
    <phoneticPr fontId="3" type="noConversion"/>
  </si>
  <si>
    <t>15T850</t>
  </si>
  <si>
    <t>15K872</t>
  </si>
  <si>
    <t>15K870</t>
  </si>
  <si>
    <t>15K870</t>
    <phoneticPr fontId="3" type="noConversion"/>
  </si>
  <si>
    <t>C13313502</t>
  </si>
  <si>
    <t>JD8T-15K872-AA</t>
  </si>
  <si>
    <t>JD8T-15K870-AA</t>
  </si>
  <si>
    <t>CO - UEGO SENSOR-1.0FOX - PT25-1</t>
  </si>
  <si>
    <t>UEGO</t>
  </si>
  <si>
    <t>E1GA</t>
  </si>
  <si>
    <t>9Y460 </t>
  </si>
  <si>
    <t>ATWU MOUNTING BRACKET PT104</t>
  </si>
  <si>
    <t xml:space="preserve">PT104 </t>
  </si>
  <si>
    <t>ATWU Bracket</t>
  </si>
  <si>
    <t>JD8P </t>
  </si>
  <si>
    <t>7B147</t>
  </si>
  <si>
    <t>ENGINE MOUNT-PT01-2</t>
  </si>
  <si>
    <t>powertrain mount （Dragon 6MX65）</t>
  </si>
  <si>
    <t>6F012</t>
  </si>
  <si>
    <t>JD81-6F012-CA</t>
  </si>
  <si>
    <t>F1F1</t>
  </si>
  <si>
    <t>7M121</t>
  </si>
  <si>
    <t>HB</t>
  </si>
  <si>
    <t>F1F1-7M121-HB</t>
  </si>
  <si>
    <t>JD81 </t>
  </si>
  <si>
    <t>6P082</t>
  </si>
  <si>
    <t>JD81-6P082-CB</t>
  </si>
  <si>
    <t>6P093</t>
  </si>
  <si>
    <t>JD81-6P093-DA</t>
  </si>
  <si>
    <t>JD81-6P093-CA</t>
  </si>
  <si>
    <t>JD81-6F012-AA</t>
  </si>
  <si>
    <t>JD81-6P093-BA</t>
  </si>
  <si>
    <t>JD81-6P093-AA</t>
  </si>
  <si>
    <t>BRAKE DISC_CH102</t>
  </si>
  <si>
    <t>CH102</t>
  </si>
  <si>
    <t>Brake Disc</t>
  </si>
  <si>
    <t>JD8C-1125-AA</t>
  </si>
  <si>
    <t>2A315</t>
  </si>
  <si>
    <t>JD8C-2A315-AA</t>
  </si>
  <si>
    <t>RESTRAINTS CONTROL MODULE &amp; G SENSOR IPR.</t>
  </si>
  <si>
    <t>IT04</t>
  </si>
  <si>
    <t>Restraints Control Module(RCM)</t>
  </si>
  <si>
    <t>HS7T</t>
  </si>
  <si>
    <t>14B006</t>
  </si>
  <si>
    <t>HS7T-14B006-AA</t>
  </si>
  <si>
    <t>14B321</t>
  </si>
  <si>
    <t>JD8T-14B321-BA</t>
  </si>
  <si>
    <t>JD8T-14B321-CA</t>
  </si>
  <si>
    <t>C13307822</t>
  </si>
  <si>
    <t>C490MCA TPMS SENSOR-E118</t>
  </si>
  <si>
    <t>E118</t>
  </si>
  <si>
    <t>TPMS Sensor</t>
  </si>
  <si>
    <t>NA</t>
  </si>
  <si>
    <t>F2GT </t>
  </si>
  <si>
    <t>1A180</t>
  </si>
  <si>
    <t>CC </t>
  </si>
  <si>
    <t>F2GT -1A180-CC </t>
  </si>
  <si>
    <t xml:space="preserve">PPS-CFMAR05-012  </t>
    <phoneticPr fontId="3" type="noConversion"/>
  </si>
  <si>
    <t>C13544284</t>
  </si>
  <si>
    <t>C490MCA CPV BRACKET PT103</t>
  </si>
  <si>
    <t>PT103</t>
  </si>
  <si>
    <t>Fuel vapor line bracket</t>
  </si>
  <si>
    <t>9F931</t>
  </si>
  <si>
    <t>JD8G-9F931-AA</t>
  </si>
  <si>
    <t>FOX UPG HOT END-PT03-2</t>
  </si>
  <si>
    <t>PT03-2</t>
  </si>
  <si>
    <t>Hot end （fox）</t>
  </si>
  <si>
    <t>AB</t>
    <phoneticPr fontId="17" type="noConversion"/>
  </si>
  <si>
    <t>AA</t>
    <phoneticPr fontId="17" type="noConversion"/>
  </si>
  <si>
    <t>C490MCA_PASSIVEKEY_E029</t>
  </si>
  <si>
    <t>E029</t>
  </si>
  <si>
    <t>Passive Key</t>
  </si>
  <si>
    <t>HS7T </t>
  </si>
  <si>
    <t>15K601 </t>
  </si>
  <si>
    <t>C13501399</t>
  </si>
  <si>
    <t>TOC LINE-PT56</t>
  </si>
  <si>
    <t>MT Starter motor</t>
  </si>
  <si>
    <t>7A031</t>
  </si>
  <si>
    <t>7H420</t>
  </si>
  <si>
    <t>7R081</t>
  </si>
  <si>
    <t>PARK BRAKE CONTROL ASSEMBLY _CH067</t>
    <phoneticPr fontId="3" type="noConversion"/>
  </si>
  <si>
    <t>CH067</t>
  </si>
  <si>
    <t>PARKING LEVEL DARK</t>
  </si>
  <si>
    <t>AA3JM7</t>
    <phoneticPr fontId="3" type="noConversion"/>
  </si>
  <si>
    <t>ED8C </t>
  </si>
  <si>
    <t>AA3JU6</t>
    <phoneticPr fontId="3" type="noConversion"/>
  </si>
  <si>
    <t>C13556944</t>
  </si>
  <si>
    <t>COIL SPRING+CH025</t>
    <phoneticPr fontId="3" type="noConversion"/>
  </si>
  <si>
    <t>CH025</t>
  </si>
  <si>
    <t>Front Coil Spring</t>
  </si>
  <si>
    <t>COIL SPRING+CH025</t>
  </si>
  <si>
    <t>Flow through TVM</t>
    <phoneticPr fontId="3" type="noConversion"/>
  </si>
  <si>
    <t>C13532426</t>
  </si>
  <si>
    <t>ESCL(ELECTRONIC STEERING COLUMN LOCK HOUSING) + CH005</t>
  </si>
  <si>
    <t>CH005</t>
  </si>
  <si>
    <t>ESCL</t>
  </si>
  <si>
    <t>GN15</t>
    <phoneticPr fontId="3" type="noConversion"/>
  </si>
  <si>
    <t>3F880</t>
    <phoneticPr fontId="3" type="noConversion"/>
  </si>
  <si>
    <t>C1A</t>
    <phoneticPr fontId="3" type="noConversion"/>
  </si>
  <si>
    <t>GN15</t>
  </si>
  <si>
    <t>3F880</t>
  </si>
  <si>
    <t>C13461743</t>
  </si>
  <si>
    <t>C1B</t>
    <phoneticPr fontId="3" type="noConversion"/>
  </si>
  <si>
    <t>C13549078</t>
  </si>
  <si>
    <t>C1C</t>
    <phoneticPr fontId="3" type="noConversion"/>
  </si>
  <si>
    <t>C490MCA CLUTCH PEDAL_CH066</t>
  </si>
  <si>
    <t>CH066</t>
  </si>
  <si>
    <t>CLTUCH PEDAL</t>
  </si>
  <si>
    <t>7B633</t>
    <phoneticPr fontId="3" type="noConversion"/>
  </si>
  <si>
    <t>7B633 </t>
  </si>
  <si>
    <t>C13348159</t>
  </si>
  <si>
    <t>Hardware001-1</t>
  </si>
  <si>
    <t>BOLT&amp;WSHR M6X20 HX NP CON</t>
  </si>
  <si>
    <t>W505424 </t>
    <phoneticPr fontId="3" type="noConversion"/>
  </si>
  <si>
    <t>EN01-E-13189241-029-PT03-5-1-CCC CATALYST</t>
  </si>
  <si>
    <t xml:space="preserve">PT03-5-1 </t>
  </si>
  <si>
    <t>Catalyst</t>
  </si>
  <si>
    <t>5F228</t>
    <phoneticPr fontId="3" type="noConversion"/>
  </si>
  <si>
    <t>YA</t>
    <phoneticPr fontId="3" type="noConversion"/>
  </si>
  <si>
    <t>STEERING GEAR &amp; LINKAGE ASSY + CH003-1</t>
  </si>
  <si>
    <t>CH003-1</t>
  </si>
  <si>
    <t>Steering Gear &amp; Linkage Assy</t>
  </si>
  <si>
    <t>3A500</t>
    <phoneticPr fontId="3" type="noConversion"/>
  </si>
  <si>
    <t>3A500</t>
  </si>
  <si>
    <t>C13531242</t>
  </si>
  <si>
    <t>SMART DATA LINK CONNECTOR - E134</t>
    <phoneticPr fontId="3" type="noConversion"/>
  </si>
  <si>
    <t>E134</t>
  </si>
  <si>
    <t>SDLC</t>
    <phoneticPr fontId="3" type="noConversion"/>
  </si>
  <si>
    <t>14F642</t>
    <phoneticPr fontId="3" type="noConversion"/>
  </si>
  <si>
    <t>14F642</t>
  </si>
  <si>
    <t>C13526353</t>
  </si>
  <si>
    <t>C490MCA-BATTERY IPR</t>
  </si>
  <si>
    <t>E024-1</t>
  </si>
  <si>
    <t>Start/Stop Battery(T7)</t>
  </si>
  <si>
    <t>GV4T</t>
  </si>
  <si>
    <t>10655 </t>
  </si>
  <si>
    <t>GV4T</t>
    <phoneticPr fontId="3" type="noConversion"/>
  </si>
  <si>
    <t>C13504417</t>
  </si>
  <si>
    <t>DRAGON PFI EXHAUST GASKET-PTO60-2</t>
  </si>
  <si>
    <t>PTO60-2</t>
  </si>
  <si>
    <t>Exhaust Gasket</t>
  </si>
  <si>
    <t>GN11 </t>
    <phoneticPr fontId="3" type="noConversion"/>
  </si>
  <si>
    <t>GN11 </t>
  </si>
  <si>
    <t>ULCR - E056 C490MCA</t>
  </si>
  <si>
    <t>E056</t>
  </si>
  <si>
    <t>ULCR</t>
  </si>
  <si>
    <t>JD8T </t>
  </si>
  <si>
    <t>18C815 </t>
  </si>
  <si>
    <t>CK</t>
    <phoneticPr fontId="3" type="noConversion"/>
  </si>
  <si>
    <t>BK</t>
    <phoneticPr fontId="3" type="noConversion"/>
  </si>
  <si>
    <t>C13401472</t>
  </si>
  <si>
    <t>JD8T -18C815 -AA</t>
  </si>
  <si>
    <t>JD8T -18C815 -BA</t>
  </si>
  <si>
    <t>FRONT STRUT/REAR SHOCK+CH028</t>
    <phoneticPr fontId="3" type="noConversion"/>
  </si>
  <si>
    <t>CH028-1</t>
  </si>
  <si>
    <t>FRONT STRUT/REAR SHOCK</t>
  </si>
  <si>
    <t>18045 </t>
  </si>
  <si>
    <t>ED8C </t>
    <phoneticPr fontId="3" type="noConversion"/>
  </si>
  <si>
    <t>18K001</t>
  </si>
  <si>
    <t>C13404506</t>
  </si>
  <si>
    <t>C13504541</t>
  </si>
  <si>
    <t>JD8C -18K001-BA</t>
  </si>
  <si>
    <t>STEERING COLUMN + CH004</t>
    <phoneticPr fontId="3" type="noConversion"/>
  </si>
  <si>
    <t>CH004</t>
  </si>
  <si>
    <t xml:space="preserve">STEERING COLUMN </t>
  </si>
  <si>
    <t>3D071 </t>
  </si>
  <si>
    <t>FD8C </t>
  </si>
  <si>
    <t>AD </t>
  </si>
  <si>
    <t>milk run</t>
  </si>
  <si>
    <t>C13517193</t>
    <phoneticPr fontId="3" type="noConversion"/>
  </si>
  <si>
    <t>BRAKE VACUUM BOOSTER_CH062</t>
    <phoneticPr fontId="3" type="noConversion"/>
  </si>
  <si>
    <t>CH062</t>
  </si>
  <si>
    <t>BRAKE VACUUM BOOSTER</t>
  </si>
  <si>
    <t>EV61</t>
  </si>
  <si>
    <t>2B195</t>
  </si>
  <si>
    <t>BRAKE VACUUM BOOSTER_CH062</t>
  </si>
  <si>
    <t>LD</t>
    <phoneticPr fontId="3" type="noConversion"/>
  </si>
  <si>
    <t>C13326248</t>
  </si>
  <si>
    <t>EV61-2B195-GA </t>
  </si>
  <si>
    <t>JD8C-2B195-BA</t>
  </si>
  <si>
    <t>JD8C-2B195-AA</t>
  </si>
  <si>
    <t>EV61-2B195-HC</t>
  </si>
  <si>
    <t>BOLTS+HARDWARE001-1+CHONGQING DELONGSHENG</t>
    <phoneticPr fontId="3" type="noConversion"/>
  </si>
  <si>
    <t>HARDWARE001-1</t>
  </si>
  <si>
    <t>BOLTS</t>
  </si>
  <si>
    <t>na</t>
    <phoneticPr fontId="3" type="noConversion"/>
  </si>
  <si>
    <t>W711557</t>
  </si>
  <si>
    <t>S450</t>
  </si>
  <si>
    <t>BOLTS+HARDWARE001-1+CHONGQING DELONGSHENG</t>
  </si>
  <si>
    <t>W715134</t>
  </si>
  <si>
    <t>W715729</t>
  </si>
  <si>
    <t>S437</t>
  </si>
  <si>
    <t>W715752</t>
  </si>
  <si>
    <t>S442</t>
  </si>
  <si>
    <t>W715871</t>
  </si>
  <si>
    <t>W718254</t>
  </si>
  <si>
    <t>BOLTS+HARDWARE001-1+NINGBO CHANGHUA</t>
  </si>
  <si>
    <t>W709396</t>
  </si>
  <si>
    <t>W712428</t>
  </si>
  <si>
    <t>W716745</t>
  </si>
  <si>
    <t>S450B</t>
  </si>
  <si>
    <t>NUTS+HARDWARE001-2+CHONGQING DELONGSHENG</t>
    <phoneticPr fontId="3" type="noConversion"/>
  </si>
  <si>
    <t>HARDWARE001-2</t>
  </si>
  <si>
    <t>NUTS</t>
  </si>
  <si>
    <t>W520101</t>
  </si>
  <si>
    <t>NUTS+HARDWARE001-2+CHONGQING DELONGSHENG</t>
  </si>
  <si>
    <t>W520213</t>
  </si>
  <si>
    <t>S440</t>
  </si>
  <si>
    <t>W713760</t>
  </si>
  <si>
    <t>W714098</t>
  </si>
  <si>
    <t>W719799</t>
  </si>
  <si>
    <t>W719080</t>
  </si>
  <si>
    <t>W719514</t>
  </si>
  <si>
    <t>W716102</t>
  </si>
  <si>
    <t>S300</t>
  </si>
  <si>
    <t>W520764</t>
  </si>
  <si>
    <t>W520761</t>
  </si>
  <si>
    <t>BOLTS+HARDWARE001-1+CHONGQING JINHAI</t>
    <phoneticPr fontId="3" type="noConversion"/>
  </si>
  <si>
    <t>W500014</t>
  </si>
  <si>
    <t>-W500014-S437</t>
  </si>
  <si>
    <t>BOLTS+HARDWARE001-1+CHONGQING JINHAI</t>
  </si>
  <si>
    <t>W500215</t>
  </si>
  <si>
    <t>-W500215-S450B</t>
  </si>
  <si>
    <t>W707103</t>
  </si>
  <si>
    <t>S439</t>
  </si>
  <si>
    <t>-W707103-S439</t>
  </si>
  <si>
    <t>W716272</t>
  </si>
  <si>
    <t>S900</t>
  </si>
  <si>
    <t>-W716272-S900</t>
  </si>
  <si>
    <t>C13459994</t>
  </si>
  <si>
    <t>na</t>
  </si>
  <si>
    <t>W716576</t>
  </si>
  <si>
    <t>-W716576-S442</t>
  </si>
  <si>
    <t>TAPPING SCREW+HARDWARE001-3+SHANGHAI AUTOCRAFT</t>
    <phoneticPr fontId="3" type="noConversion"/>
  </si>
  <si>
    <t>HARDWARE001-3</t>
  </si>
  <si>
    <t>TAPPING SCREW</t>
  </si>
  <si>
    <t>W505276</t>
  </si>
  <si>
    <t>S307</t>
  </si>
  <si>
    <t>-W505276-S307</t>
  </si>
  <si>
    <t>TAPPING SCREW+HARDWARE001-3+SHANGHAI AUTOCRAFT</t>
  </si>
  <si>
    <t>W506976</t>
  </si>
  <si>
    <t>S303</t>
  </si>
  <si>
    <t>-W506976-S303</t>
  </si>
  <si>
    <t>W702816</t>
  </si>
  <si>
    <t>-W702816-S307</t>
  </si>
  <si>
    <t>W708322</t>
  </si>
  <si>
    <t>S424</t>
  </si>
  <si>
    <t>-W708322-S424</t>
  </si>
  <si>
    <t>W709721</t>
  </si>
  <si>
    <t>S451</t>
  </si>
  <si>
    <t>-W709721-S451</t>
  </si>
  <si>
    <t>W716659</t>
  </si>
  <si>
    <t>S450L</t>
  </si>
  <si>
    <t>-W716659-S450L</t>
  </si>
  <si>
    <t>W718492</t>
  </si>
  <si>
    <t>-W718492-S439</t>
  </si>
  <si>
    <t>W505253</t>
  </si>
  <si>
    <t>-W505253-S439</t>
  </si>
  <si>
    <t>W719640</t>
  </si>
  <si>
    <t>-W719640-S451</t>
  </si>
  <si>
    <t>TAPPING SCREW+HARDWARE001-3+SHANGHAI RITAI</t>
    <phoneticPr fontId="3" type="noConversion"/>
  </si>
  <si>
    <t>W505261</t>
  </si>
  <si>
    <t>-W505261-S450L</t>
  </si>
  <si>
    <t>TAPPING SCREW+HARDWARE001-3+SHANGHAI RITAI</t>
  </si>
  <si>
    <t>W715235</t>
  </si>
  <si>
    <t>NUTS+HARDWARE001-2+NINGBO CHANGHUA</t>
    <phoneticPr fontId="3" type="noConversion"/>
  </si>
  <si>
    <t>W709923 </t>
  </si>
  <si>
    <t>S437 </t>
  </si>
  <si>
    <t>-W715235-S442</t>
  </si>
  <si>
    <t>NUTS+HARDWARE001-2+NINGBO CHANGHUA</t>
  </si>
  <si>
    <t>W710771</t>
  </si>
  <si>
    <t>VACUUM HOSE_CH063</t>
    <phoneticPr fontId="3" type="noConversion"/>
  </si>
  <si>
    <t>CH063</t>
  </si>
  <si>
    <t>VACUUM HOS</t>
  </si>
  <si>
    <t>VACUUM HOSE_CH063</t>
  </si>
  <si>
    <t>C13482961</t>
  </si>
  <si>
    <t>C13423214</t>
    <phoneticPr fontId="3" type="noConversion"/>
  </si>
  <si>
    <t>CH016- Center cover</t>
  </si>
  <si>
    <t>center cover</t>
  </si>
  <si>
    <t>6M21</t>
    <phoneticPr fontId="3" type="noConversion"/>
  </si>
  <si>
    <t>1003 </t>
  </si>
  <si>
    <t>C13437928</t>
  </si>
  <si>
    <t>CH069</t>
  </si>
  <si>
    <t>Jack Assembly  (non-KC)</t>
  </si>
  <si>
    <t>SEAT WIRING-E09-4</t>
    <phoneticPr fontId="3" type="noConversion"/>
  </si>
  <si>
    <t>E09-4</t>
  </si>
  <si>
    <t>SEAT WIRING</t>
  </si>
  <si>
    <t>JU5T</t>
    <phoneticPr fontId="3" type="noConversion"/>
  </si>
  <si>
    <t>14D230</t>
    <phoneticPr fontId="3" type="noConversion"/>
  </si>
  <si>
    <t>FAA</t>
    <phoneticPr fontId="3" type="noConversion"/>
  </si>
  <si>
    <t>EC Approve</t>
    <phoneticPr fontId="3" type="noConversion"/>
  </si>
  <si>
    <t>EU5T</t>
    <phoneticPr fontId="3" type="noConversion"/>
  </si>
  <si>
    <t>14D230</t>
  </si>
  <si>
    <t>FJC</t>
    <phoneticPr fontId="3" type="noConversion"/>
  </si>
  <si>
    <t>SEAT WIRING-E09-4</t>
  </si>
  <si>
    <t>14D231</t>
    <phoneticPr fontId="3" type="noConversion"/>
  </si>
  <si>
    <t>FGA</t>
    <phoneticPr fontId="3" type="noConversion"/>
  </si>
  <si>
    <t>FHC</t>
    <phoneticPr fontId="3" type="noConversion"/>
  </si>
  <si>
    <t>FHA</t>
    <phoneticPr fontId="3" type="noConversion"/>
  </si>
  <si>
    <t>C13446290</t>
  </si>
  <si>
    <t>CH041-1</t>
  </si>
  <si>
    <t>Stabilizer Bar (Front -- Solid/Tubular)</t>
  </si>
  <si>
    <t>5482 </t>
  </si>
  <si>
    <t>C13472215</t>
  </si>
  <si>
    <t>ABS Sensor</t>
  </si>
  <si>
    <t>BV6T</t>
    <phoneticPr fontId="3" type="noConversion"/>
  </si>
  <si>
    <t>2C204</t>
    <phoneticPr fontId="3" type="noConversion"/>
  </si>
  <si>
    <t>C13449279</t>
    <phoneticPr fontId="3" type="noConversion"/>
  </si>
  <si>
    <t>PT09</t>
    <phoneticPr fontId="27" type="noConversion"/>
  </si>
  <si>
    <t>High Pressure Duct</t>
  </si>
  <si>
    <t xml:space="preserve">PMT4 </t>
    <phoneticPr fontId="3" type="noConversion"/>
  </si>
  <si>
    <t>B1</t>
    <phoneticPr fontId="3" type="noConversion"/>
  </si>
  <si>
    <t>6F072</t>
    <phoneticPr fontId="3" type="noConversion"/>
  </si>
  <si>
    <t>C13454875</t>
  </si>
  <si>
    <t>E107</t>
    <phoneticPr fontId="3" type="noConversion"/>
  </si>
  <si>
    <t>2nd 12V powerpoint</t>
    <phoneticPr fontId="6" type="noConversion"/>
  </si>
  <si>
    <t>BB5T</t>
    <phoneticPr fontId="3" type="noConversion"/>
  </si>
  <si>
    <t>19A487</t>
  </si>
  <si>
    <t>C13510850</t>
  </si>
  <si>
    <t>6R33 </t>
    <phoneticPr fontId="3" type="noConversion"/>
  </si>
  <si>
    <t>19G247</t>
  </si>
  <si>
    <t>C13463573</t>
  </si>
  <si>
    <t>E20</t>
  </si>
  <si>
    <t>Foglamp (non-KC)</t>
  </si>
  <si>
    <t>2N11</t>
    <phoneticPr fontId="3" type="noConversion"/>
  </si>
  <si>
    <t>15201 </t>
  </si>
  <si>
    <t>C13459106</t>
  </si>
  <si>
    <t>E032</t>
  </si>
  <si>
    <t>Rear door lock switch</t>
  </si>
  <si>
    <r>
      <t>N</t>
    </r>
    <r>
      <rPr>
        <sz val="10"/>
        <color theme="1"/>
        <rFont val="Arial"/>
        <family val="2"/>
      </rPr>
      <t>A</t>
    </r>
    <phoneticPr fontId="3" type="noConversion"/>
  </si>
  <si>
    <t>JB3T</t>
    <phoneticPr fontId="3" type="noConversion"/>
  </si>
  <si>
    <t>14017 </t>
  </si>
  <si>
    <t>Localization</t>
    <phoneticPr fontId="3" type="noConversion"/>
  </si>
  <si>
    <t>C13477518</t>
  </si>
  <si>
    <t>Blk-63</t>
    <phoneticPr fontId="3" type="noConversion"/>
  </si>
  <si>
    <t>C490MCA White gold</t>
  </si>
  <si>
    <t>TH</t>
    <phoneticPr fontId="28" type="noConversion"/>
  </si>
  <si>
    <t>AA5HQH </t>
    <phoneticPr fontId="3" type="noConversion"/>
  </si>
  <si>
    <t>C490MCA Blue metallic</t>
  </si>
  <si>
    <t>AA5JCT</t>
    <phoneticPr fontId="3" type="noConversion"/>
  </si>
  <si>
    <t>C490MCA Rich Copper</t>
  </si>
  <si>
    <t>AA5KRC</t>
    <phoneticPr fontId="3" type="noConversion"/>
  </si>
  <si>
    <t>B013-12-C490MCA DRAGON PFI EXHAUST BRACKET</t>
  </si>
  <si>
    <t>Exhaust Bracket</t>
  </si>
  <si>
    <t>PF</t>
    <phoneticPr fontId="28" type="noConversion"/>
  </si>
  <si>
    <t>C13414263</t>
  </si>
  <si>
    <t>C13522060</t>
  </si>
  <si>
    <t>A140-E-13310073-004-COLD END</t>
  </si>
  <si>
    <t>PT04</t>
    <phoneticPr fontId="3" type="noConversion"/>
  </si>
  <si>
    <t>Cold End</t>
  </si>
  <si>
    <t>5E292</t>
    <phoneticPr fontId="3" type="noConversion"/>
  </si>
  <si>
    <t>C13415700</t>
  </si>
  <si>
    <t>FUEL TANK - CH046</t>
  </si>
  <si>
    <t>CH046</t>
    <phoneticPr fontId="3" type="noConversion"/>
  </si>
  <si>
    <r>
      <t>Fuel tank</t>
    </r>
    <r>
      <rPr>
        <sz val="10"/>
        <color theme="1"/>
        <rFont val="Verdana"/>
        <family val="2"/>
      </rPr>
      <t>（</t>
    </r>
    <r>
      <rPr>
        <sz val="10"/>
        <color theme="1"/>
        <rFont val="Arial"/>
        <family val="2"/>
      </rPr>
      <t>stage6</t>
    </r>
    <r>
      <rPr>
        <sz val="10"/>
        <color theme="1"/>
        <rFont val="Verdana"/>
        <family val="2"/>
      </rPr>
      <t>）</t>
    </r>
  </si>
  <si>
    <t>9K007</t>
    <phoneticPr fontId="3" type="noConversion"/>
  </si>
  <si>
    <t>C13441197</t>
  </si>
  <si>
    <t>FUEL TANK - CH046-2</t>
  </si>
  <si>
    <t>Fuel Tank</t>
  </si>
  <si>
    <r>
      <t>Change in Usage cause the better of 314.02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PD</t>
    </r>
    <r>
      <rPr>
        <sz val="10"/>
        <color theme="1"/>
        <rFont val="宋体"/>
        <family val="3"/>
        <charset val="134"/>
      </rPr>
      <t>说要改款新油箱</t>
    </r>
    <phoneticPr fontId="3" type="noConversion"/>
  </si>
  <si>
    <t>PCV HOSE PT26</t>
  </si>
  <si>
    <t>PTO69--1.0stage6</t>
    <phoneticPr fontId="3" type="noConversion"/>
  </si>
  <si>
    <t>PCV  Tube</t>
  </si>
  <si>
    <t>B1</t>
  </si>
  <si>
    <t>H6BG</t>
    <phoneticPr fontId="3" type="noConversion"/>
  </si>
  <si>
    <t>Old part in PPL is Import part in ICA,but Base has localization</t>
    <phoneticPr fontId="3" type="noConversion"/>
  </si>
  <si>
    <t>C13458068-HUSH PANEL FIXING</t>
  </si>
  <si>
    <t>RETAINER 6.4 PIN SPL PLA</t>
  </si>
  <si>
    <t>W710210</t>
    <phoneticPr fontId="3" type="noConversion"/>
  </si>
  <si>
    <t>C13512463</t>
  </si>
  <si>
    <t>Lisence Plate PAD</t>
  </si>
  <si>
    <t>LK1S71</t>
    <phoneticPr fontId="3" type="noConversion"/>
  </si>
  <si>
    <t>A43539</t>
    <phoneticPr fontId="3" type="noConversion"/>
  </si>
  <si>
    <t>C13458068-HUSH PANEL</t>
  </si>
  <si>
    <t>IT15-1</t>
    <phoneticPr fontId="3" type="noConversion"/>
  </si>
  <si>
    <t>PAD I/PNL LWR</t>
  </si>
  <si>
    <t>A044C98 </t>
    <phoneticPr fontId="3" type="noConversion"/>
  </si>
  <si>
    <t>C13503368</t>
  </si>
  <si>
    <t>Blk-70</t>
    <phoneticPr fontId="3" type="noConversion"/>
  </si>
  <si>
    <t>brake fluid</t>
  </si>
  <si>
    <t>WSS</t>
    <phoneticPr fontId="3" type="noConversion"/>
  </si>
  <si>
    <t>M6C65 </t>
  </si>
  <si>
    <t>A216MED</t>
    <phoneticPr fontId="3" type="noConversion"/>
  </si>
  <si>
    <t>A216ME</t>
    <phoneticPr fontId="3" type="noConversion"/>
  </si>
  <si>
    <t>C13500934</t>
  </si>
  <si>
    <t>IT101</t>
    <phoneticPr fontId="3" type="noConversion"/>
  </si>
  <si>
    <t>Wire bracket</t>
  </si>
  <si>
    <t>14536 </t>
  </si>
  <si>
    <t>PCM(1.0L FOX+6F15)+PT30</t>
  </si>
  <si>
    <t>PT30</t>
    <phoneticPr fontId="3" type="noConversion"/>
  </si>
  <si>
    <r>
      <t>PCM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Fox AT</t>
    </r>
    <r>
      <rPr>
        <sz val="10"/>
        <color theme="1"/>
        <rFont val="宋体"/>
        <family val="3"/>
        <charset val="134"/>
      </rPr>
      <t>）</t>
    </r>
    <phoneticPr fontId="3" type="noConversion"/>
  </si>
  <si>
    <t>12A650</t>
    <phoneticPr fontId="17" type="noConversion"/>
  </si>
  <si>
    <t>C13497543</t>
  </si>
  <si>
    <r>
      <t>PCM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Fox AT</t>
    </r>
    <r>
      <rPr>
        <sz val="10"/>
        <color theme="1"/>
        <rFont val="宋体"/>
        <family val="3"/>
        <charset val="134"/>
      </rPr>
      <t>）</t>
    </r>
  </si>
  <si>
    <t>C13547001</t>
  </si>
  <si>
    <t>FC</t>
    <phoneticPr fontId="3" type="noConversion"/>
  </si>
  <si>
    <t>PCM(1.5L DRAGON+6MX65)+PT30</t>
  </si>
  <si>
    <r>
      <t xml:space="preserve">PCM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Dragon stage5</t>
    </r>
    <r>
      <rPr>
        <sz val="10"/>
        <color theme="1"/>
        <rFont val="宋体"/>
        <family val="3"/>
        <charset val="134"/>
      </rPr>
      <t>）</t>
    </r>
    <phoneticPr fontId="3" type="noConversion"/>
  </si>
  <si>
    <t>C13497477</t>
  </si>
  <si>
    <t>C13546996</t>
  </si>
  <si>
    <t>A110E13189241044</t>
    <phoneticPr fontId="3" type="noConversion"/>
  </si>
  <si>
    <t>ET20-3</t>
    <phoneticPr fontId="3" type="noConversion"/>
  </si>
  <si>
    <t>rear oval</t>
  </si>
  <si>
    <t>GR2B</t>
    <phoneticPr fontId="3" type="noConversion"/>
  </si>
  <si>
    <t>402A16</t>
  </si>
  <si>
    <t>JOB2</t>
    <phoneticPr fontId="3" type="noConversion"/>
  </si>
  <si>
    <t>C13517255</t>
  </si>
  <si>
    <t>R01610 </t>
  </si>
  <si>
    <t>ED9B</t>
    <phoneticPr fontId="3" type="noConversion"/>
  </si>
  <si>
    <t>C13463497</t>
  </si>
  <si>
    <t>PT25-2</t>
    <phoneticPr fontId="3" type="noConversion"/>
  </si>
  <si>
    <t>CMS Sensor(Fox)</t>
  </si>
  <si>
    <t>C13519647</t>
  </si>
  <si>
    <t>body side tail lamp</t>
  </si>
  <si>
    <t>13404 </t>
  </si>
  <si>
    <t>ED8B-13404-DA</t>
  </si>
  <si>
    <t>C13530153</t>
  </si>
  <si>
    <t>CH027-11</t>
    <phoneticPr fontId="3" type="noConversion"/>
  </si>
  <si>
    <t>Spring Pad-Front lower</t>
    <phoneticPr fontId="6" type="noConversion"/>
  </si>
  <si>
    <t>ACD</t>
    <phoneticPr fontId="3" type="noConversion"/>
  </si>
  <si>
    <t>5414 </t>
  </si>
  <si>
    <t>C13553884</t>
  </si>
  <si>
    <t>C490MCA FUEL LINE CH049</t>
  </si>
  <si>
    <t>CH049</t>
    <phoneticPr fontId="3" type="noConversion"/>
  </si>
  <si>
    <t>9A322</t>
    <phoneticPr fontId="3" type="noConversion"/>
  </si>
  <si>
    <t>CH049-Stage6</t>
    <phoneticPr fontId="3" type="noConversion"/>
  </si>
  <si>
    <t>9C047</t>
    <phoneticPr fontId="3" type="noConversion"/>
  </si>
  <si>
    <t>9D289</t>
    <phoneticPr fontId="3" type="noConversion"/>
  </si>
  <si>
    <t>C13376015</t>
  </si>
  <si>
    <t>C13471750</t>
  </si>
  <si>
    <t>C490MCA FUEL LINE CH049</t>
    <phoneticPr fontId="3" type="noConversion"/>
  </si>
  <si>
    <t>9D333</t>
    <phoneticPr fontId="3" type="noConversion"/>
  </si>
  <si>
    <t>9D683</t>
    <phoneticPr fontId="3" type="noConversion"/>
  </si>
  <si>
    <t>C13326292</t>
  </si>
  <si>
    <t>9J280</t>
    <phoneticPr fontId="3" type="noConversion"/>
  </si>
  <si>
    <t>9L291</t>
    <phoneticPr fontId="3" type="noConversion"/>
  </si>
  <si>
    <t>C13537826</t>
    <phoneticPr fontId="3" type="noConversion"/>
  </si>
  <si>
    <t>C13471750</t>
    <phoneticPr fontId="3" type="noConversion"/>
  </si>
  <si>
    <t>9S327</t>
    <phoneticPr fontId="3" type="noConversion"/>
  </si>
  <si>
    <t>C13470852</t>
    <phoneticPr fontId="6" type="noConversion"/>
  </si>
  <si>
    <t>EDS-E09</t>
  </si>
  <si>
    <t>E09</t>
    <phoneticPr fontId="3" type="noConversion"/>
  </si>
  <si>
    <t>Wiring Assembly EDS-- Engine Control, Instrument Panel, Main Body, Battery Cables</t>
    <phoneticPr fontId="6" type="noConversion"/>
  </si>
  <si>
    <t>14014 </t>
    <phoneticPr fontId="3" type="noConversion"/>
  </si>
  <si>
    <t>HB </t>
    <phoneticPr fontId="3" type="noConversion"/>
  </si>
  <si>
    <t>14014 </t>
  </si>
  <si>
    <t>BA </t>
    <phoneticPr fontId="3" type="noConversion"/>
  </si>
  <si>
    <t>JB </t>
    <phoneticPr fontId="3" type="noConversion"/>
  </si>
  <si>
    <t>CA </t>
    <phoneticPr fontId="3" type="noConversion"/>
  </si>
  <si>
    <t>FC </t>
    <phoneticPr fontId="3" type="noConversion"/>
  </si>
  <si>
    <t>DA </t>
    <phoneticPr fontId="3" type="noConversion"/>
  </si>
  <si>
    <t>LB </t>
    <phoneticPr fontId="3" type="noConversion"/>
  </si>
  <si>
    <t>EA </t>
    <phoneticPr fontId="3" type="noConversion"/>
  </si>
  <si>
    <t>GC </t>
    <phoneticPr fontId="3" type="noConversion"/>
  </si>
  <si>
    <t>FA </t>
    <phoneticPr fontId="3" type="noConversion"/>
  </si>
  <si>
    <t>HA </t>
    <phoneticPr fontId="3" type="noConversion"/>
  </si>
  <si>
    <t>JA </t>
    <phoneticPr fontId="3" type="noConversion"/>
  </si>
  <si>
    <t>KA </t>
    <phoneticPr fontId="3" type="noConversion"/>
  </si>
  <si>
    <t>LA </t>
    <phoneticPr fontId="3" type="noConversion"/>
  </si>
  <si>
    <t>MA </t>
    <phoneticPr fontId="3" type="noConversion"/>
  </si>
  <si>
    <t>NA </t>
    <phoneticPr fontId="3" type="noConversion"/>
  </si>
  <si>
    <t>RA </t>
    <phoneticPr fontId="3" type="noConversion"/>
  </si>
  <si>
    <t>TA </t>
    <phoneticPr fontId="3" type="noConversion"/>
  </si>
  <si>
    <t>UA </t>
    <phoneticPr fontId="3" type="noConversion"/>
  </si>
  <si>
    <t>VA </t>
    <phoneticPr fontId="3" type="noConversion"/>
  </si>
  <si>
    <t>14324 </t>
  </si>
  <si>
    <t>AC </t>
    <phoneticPr fontId="3" type="noConversion"/>
  </si>
  <si>
    <t>14335 </t>
  </si>
  <si>
    <t>AD </t>
    <phoneticPr fontId="3" type="noConversion"/>
  </si>
  <si>
    <t>BD </t>
    <phoneticPr fontId="3" type="noConversion"/>
  </si>
  <si>
    <t>C13481687</t>
  </si>
  <si>
    <t>EB </t>
    <phoneticPr fontId="3" type="noConversion"/>
  </si>
  <si>
    <t>14401 </t>
  </si>
  <si>
    <t>KB </t>
    <phoneticPr fontId="3" type="noConversion"/>
  </si>
  <si>
    <t>HC </t>
    <phoneticPr fontId="3" type="noConversion"/>
  </si>
  <si>
    <t>MB </t>
    <phoneticPr fontId="3" type="noConversion"/>
  </si>
  <si>
    <t>FB </t>
    <phoneticPr fontId="3" type="noConversion"/>
  </si>
  <si>
    <t>PA </t>
    <phoneticPr fontId="3" type="noConversion"/>
  </si>
  <si>
    <t>JB</t>
    <phoneticPr fontId="3" type="noConversion"/>
  </si>
  <si>
    <t>LB</t>
    <phoneticPr fontId="3" type="noConversion"/>
  </si>
  <si>
    <t>NB</t>
    <phoneticPr fontId="3" type="noConversion"/>
  </si>
  <si>
    <t>14632 </t>
  </si>
  <si>
    <t>AG </t>
    <phoneticPr fontId="3" type="noConversion"/>
  </si>
  <si>
    <t>14633 </t>
  </si>
  <si>
    <t>14A280 </t>
  </si>
  <si>
    <t>C13421328</t>
  </si>
  <si>
    <t>14A584 </t>
  </si>
  <si>
    <t>AE </t>
    <phoneticPr fontId="3" type="noConversion"/>
  </si>
  <si>
    <t>C13422427NEW</t>
  </si>
  <si>
    <t>14B079 </t>
  </si>
  <si>
    <t>14F302 </t>
  </si>
  <si>
    <t>14K138 </t>
  </si>
  <si>
    <t>14K733 </t>
  </si>
  <si>
    <t>AN </t>
    <phoneticPr fontId="3" type="noConversion"/>
  </si>
  <si>
    <t>HF </t>
    <phoneticPr fontId="3" type="noConversion"/>
  </si>
  <si>
    <t>GS </t>
    <phoneticPr fontId="3" type="noConversion"/>
  </si>
  <si>
    <t>JG </t>
    <phoneticPr fontId="3" type="noConversion"/>
  </si>
  <si>
    <t>SA </t>
    <phoneticPr fontId="3" type="noConversion"/>
  </si>
  <si>
    <t>15K868 </t>
  </si>
  <si>
    <t>AB </t>
    <phoneticPr fontId="3" type="noConversion"/>
  </si>
  <si>
    <t>17N443 </t>
  </si>
  <si>
    <t>2C055 </t>
  </si>
  <si>
    <t>AF </t>
    <phoneticPr fontId="3" type="noConversion"/>
  </si>
  <si>
    <t>BRACKET_B013-9_C490MCA</t>
  </si>
  <si>
    <t>PT20</t>
    <phoneticPr fontId="3" type="noConversion"/>
  </si>
  <si>
    <t>氧传感器卡子</t>
  </si>
  <si>
    <t>7G91</t>
    <phoneticPr fontId="3" type="noConversion"/>
  </si>
  <si>
    <t>14A206 </t>
    <phoneticPr fontId="3" type="noConversion"/>
  </si>
  <si>
    <t>C13500941</t>
  </si>
  <si>
    <t>IT97</t>
    <phoneticPr fontId="3" type="noConversion"/>
  </si>
  <si>
    <t>遮阳板左侧</t>
  </si>
  <si>
    <t>F04100</t>
  </si>
  <si>
    <t>遮阳板盖板左侧</t>
  </si>
  <si>
    <t>F04101</t>
  </si>
  <si>
    <t>C13568260</t>
  </si>
  <si>
    <t>遮阳板盖板</t>
  </si>
  <si>
    <t>F040A26</t>
  </si>
  <si>
    <t>-</t>
    <phoneticPr fontId="3" type="noConversion"/>
  </si>
  <si>
    <t>C13529409</t>
  </si>
  <si>
    <t>CH034-1</t>
    <phoneticPr fontId="3" type="noConversion"/>
  </si>
  <si>
    <t>Front lower control arm</t>
  </si>
  <si>
    <t>3A423</t>
  </si>
  <si>
    <t>3A423</t>
    <phoneticPr fontId="3" type="noConversion"/>
  </si>
  <si>
    <t>3A424</t>
  </si>
  <si>
    <t>3A424</t>
    <phoneticPr fontId="3" type="noConversion"/>
  </si>
  <si>
    <t>W711560</t>
  </si>
  <si>
    <t>6MX65 TRANS+PT90</t>
  </si>
  <si>
    <t>PT90</t>
    <phoneticPr fontId="3" type="noConversion"/>
  </si>
  <si>
    <t>6MX65 transmission</t>
  </si>
  <si>
    <t>JX6R</t>
    <phoneticPr fontId="3" type="noConversion"/>
  </si>
  <si>
    <t>ALA</t>
    <phoneticPr fontId="3" type="noConversion"/>
  </si>
  <si>
    <t>CLA</t>
    <phoneticPr fontId="3" type="noConversion"/>
  </si>
  <si>
    <r>
      <rPr>
        <sz val="10"/>
        <color theme="1"/>
        <rFont val="宋体"/>
        <family val="3"/>
        <charset val="134"/>
      </rPr>
      <t>未上</t>
    </r>
    <r>
      <rPr>
        <sz val="10"/>
        <color theme="1"/>
        <rFont val="Arial"/>
        <family val="2"/>
      </rPr>
      <t>EC</t>
    </r>
    <r>
      <rPr>
        <sz val="10"/>
        <color theme="1"/>
        <rFont val="宋体"/>
        <family val="3"/>
        <charset val="134"/>
      </rPr>
      <t>会的原因：</t>
    </r>
    <r>
      <rPr>
        <sz val="10"/>
        <color theme="1"/>
        <rFont val="Arial"/>
        <family val="2"/>
      </rPr>
      <t>H</t>
    </r>
    <r>
      <rPr>
        <sz val="10"/>
        <color theme="1"/>
        <rFont val="宋体"/>
        <family val="3"/>
        <charset val="134"/>
      </rPr>
      <t>开头的子零件合并到了</t>
    </r>
    <r>
      <rPr>
        <sz val="10"/>
        <color theme="1"/>
        <rFont val="Arial"/>
        <family val="2"/>
      </rPr>
      <t>ALA/CLA</t>
    </r>
    <r>
      <rPr>
        <sz val="10"/>
        <color theme="1"/>
        <rFont val="宋体"/>
        <family val="3"/>
        <charset val="134"/>
      </rPr>
      <t>里面，且有当时的的</t>
    </r>
    <r>
      <rPr>
        <sz val="10"/>
        <color theme="1"/>
        <rFont val="Arial"/>
        <family val="2"/>
      </rPr>
      <t>Ecpaper</t>
    </r>
    <phoneticPr fontId="3" type="noConversion"/>
  </si>
  <si>
    <t>C13496799</t>
  </si>
  <si>
    <t>ALB</t>
    <phoneticPr fontId="3" type="noConversion"/>
  </si>
  <si>
    <t>CLB</t>
    <phoneticPr fontId="3" type="noConversion"/>
  </si>
  <si>
    <t>ET73</t>
    <phoneticPr fontId="3" type="noConversion"/>
  </si>
  <si>
    <t>Flexible rear speed lip</t>
  </si>
  <si>
    <t>F104C20</t>
    <phoneticPr fontId="6" type="noConversion"/>
  </si>
  <si>
    <t>F104C20</t>
    <phoneticPr fontId="3" type="noConversion"/>
  </si>
  <si>
    <t>F104C21</t>
    <phoneticPr fontId="6" type="noConversion"/>
  </si>
  <si>
    <t>F104C21</t>
    <phoneticPr fontId="3" type="noConversion"/>
  </si>
  <si>
    <t>C13453915</t>
  </si>
  <si>
    <t>PTO188</t>
    <phoneticPr fontId="3" type="noConversion"/>
  </si>
  <si>
    <t>Oil Pan Cover</t>
  </si>
  <si>
    <t>6B771</t>
    <phoneticPr fontId="6" type="noConversion"/>
  </si>
  <si>
    <t>NEW ADDED</t>
    <phoneticPr fontId="3" type="noConversion"/>
  </si>
  <si>
    <t>C13555230</t>
  </si>
  <si>
    <t>IT15-2</t>
  </si>
  <si>
    <t>Engine Undershield</t>
  </si>
  <si>
    <t>6P013</t>
    <phoneticPr fontId="6" type="noConversion"/>
  </si>
  <si>
    <t>CG</t>
    <phoneticPr fontId="3" type="noConversion"/>
  </si>
  <si>
    <t>6P013</t>
    <phoneticPr fontId="3" type="noConversion"/>
  </si>
  <si>
    <r>
      <rPr>
        <sz val="8"/>
        <color rgb="FFFF0000"/>
        <rFont val="宋体"/>
        <family val="3"/>
        <charset val="134"/>
      </rPr>
      <t>由</t>
    </r>
    <r>
      <rPr>
        <sz val="8"/>
        <color rgb="FFFF0000"/>
        <rFont val="Verdana"/>
        <family val="2"/>
      </rPr>
      <t>AV61-6P03-CG</t>
    </r>
    <r>
      <rPr>
        <sz val="8"/>
        <color rgb="FFFF0000"/>
        <rFont val="宋体"/>
        <family val="3"/>
        <charset val="134"/>
      </rPr>
      <t>替换</t>
    </r>
    <phoneticPr fontId="6" type="noConversion"/>
  </si>
  <si>
    <r>
      <rPr>
        <sz val="8"/>
        <color rgb="FFFF0000"/>
        <rFont val="宋体"/>
        <family val="3"/>
        <charset val="134"/>
      </rPr>
      <t>由</t>
    </r>
    <r>
      <rPr>
        <sz val="8"/>
        <color rgb="FFFF0000"/>
        <rFont val="Verdana"/>
        <family val="2"/>
      </rPr>
      <t>F1F1-6P013-AA</t>
    </r>
    <r>
      <rPr>
        <sz val="8"/>
        <color rgb="FFFF0000"/>
        <rFont val="宋体"/>
        <family val="3"/>
        <charset val="134"/>
      </rPr>
      <t>替换</t>
    </r>
    <phoneticPr fontId="6" type="noConversion"/>
  </si>
  <si>
    <t>6P013 </t>
    <phoneticPr fontId="3" type="noConversion"/>
  </si>
  <si>
    <t>C13552219</t>
  </si>
  <si>
    <t>PNL ASY BDY SD REINF INR</t>
  </si>
  <si>
    <t>F025K20</t>
    <phoneticPr fontId="6" type="noConversion"/>
  </si>
  <si>
    <t>F025K20</t>
    <phoneticPr fontId="3" type="noConversion"/>
  </si>
  <si>
    <t>F025K21</t>
    <phoneticPr fontId="6" type="noConversion"/>
  </si>
  <si>
    <t>F025K21</t>
    <phoneticPr fontId="3" type="noConversion"/>
  </si>
  <si>
    <t>PNL W/SHLD HDR INR</t>
  </si>
  <si>
    <t>F03410</t>
    <phoneticPr fontId="6" type="noConversion"/>
  </si>
  <si>
    <t>F03410</t>
    <phoneticPr fontId="3" type="noConversion"/>
  </si>
  <si>
    <t>C13531214-AUTONEUM</t>
  </si>
  <si>
    <t>FOAM BLOCK</t>
  </si>
  <si>
    <t>F278C62</t>
    <phoneticPr fontId="6" type="noConversion"/>
  </si>
  <si>
    <t>INS BDY SD PLR</t>
  </si>
  <si>
    <t>F32284 </t>
    <phoneticPr fontId="6" type="noConversion"/>
  </si>
  <si>
    <t>C13584879</t>
  </si>
  <si>
    <t>B020-1</t>
    <phoneticPr fontId="3" type="noConversion"/>
  </si>
  <si>
    <t>Fuel line heat shield</t>
  </si>
  <si>
    <t>PMT1</t>
    <phoneticPr fontId="6" type="noConversion"/>
  </si>
  <si>
    <t>4M51</t>
    <phoneticPr fontId="6" type="noConversion"/>
  </si>
  <si>
    <t>9S336</t>
    <phoneticPr fontId="6" type="noConversion"/>
  </si>
  <si>
    <t xml:space="preserve">Mckinsey </t>
  </si>
  <si>
    <t>C13386623</t>
  </si>
  <si>
    <t>Headlamp</t>
  </si>
  <si>
    <t>BL</t>
    <phoneticPr fontId="3" type="noConversion"/>
  </si>
  <si>
    <t>Mckinsey</t>
    <phoneticPr fontId="3" type="noConversion"/>
  </si>
  <si>
    <t>,l</t>
    <phoneticPr fontId="3" type="noConversion"/>
  </si>
  <si>
    <t>1.0 Fox Stage6</t>
    <phoneticPr fontId="3" type="noConversion"/>
  </si>
  <si>
    <t>1.0 FOX PCV TUBE-PTO69 C490ICA</t>
  </si>
  <si>
    <t>PTO69--1.0stage6</t>
  </si>
  <si>
    <t>H6BG</t>
  </si>
  <si>
    <t>H6BG-6758-AA</t>
  </si>
  <si>
    <t>C490ICA 1.0L FOX CN6 COLD END-PT04</t>
  </si>
  <si>
    <t>PT04- stage 6 1.0 Fox</t>
    <phoneticPr fontId="3" type="noConversion"/>
  </si>
  <si>
    <t>Cold End</t>
    <phoneticPr fontId="3" type="noConversion"/>
  </si>
  <si>
    <t>KD8G</t>
    <phoneticPr fontId="3" type="noConversion"/>
  </si>
  <si>
    <t>‘5E292</t>
    <phoneticPr fontId="3" type="noConversion"/>
  </si>
  <si>
    <t>H6BG-6758-AB</t>
    <phoneticPr fontId="3" type="noConversion"/>
  </si>
  <si>
    <t>KD8G</t>
  </si>
  <si>
    <t>5E292</t>
  </si>
  <si>
    <t>C13463499</t>
  </si>
  <si>
    <t>PT03-2-C490ICA 1.0L FOX CN6 EXHAUST HOT END</t>
    <phoneticPr fontId="3" type="noConversion"/>
  </si>
  <si>
    <t>1.0L FOX CN6 EXHAUST HOT END</t>
  </si>
  <si>
    <t>KD81</t>
    <phoneticPr fontId="3" type="noConversion"/>
  </si>
  <si>
    <t>JD81-5E211-AC</t>
  </si>
  <si>
    <t>C13479977</t>
  </si>
  <si>
    <t>PT03-1</t>
  </si>
  <si>
    <t>KD81</t>
  </si>
  <si>
    <t>PT24-2-EGTS 1.0T CN6-C490ICA</t>
  </si>
  <si>
    <t>EGTS</t>
    <phoneticPr fontId="3" type="noConversion"/>
  </si>
  <si>
    <t>12B591</t>
    <phoneticPr fontId="17" type="noConversion"/>
  </si>
  <si>
    <t>PT30-PCM 1.0T CN6-C490ICA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</si>
</sst>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_);_(@_)"/>
    <numFmt numFmtId="178" formatCode="_(* #,##0_);_(* \(#,##0\);_(* &quot;-&quot;??_);_(@_)"/>
    <numFmt numFmtId="179" formatCode="#,##0.00_);\(#,##0.00\)"/>
    <numFmt numFmtId="180" formatCode="_-* #,##0.00_-;\-* #,##0.00_-;_-* &quot;-&quot;??_-;_-@_-"/>
    <numFmt numFmtId="181" formatCode="0.0%"/>
    <numFmt numFmtId="182" formatCode="0.0"/>
    <numFmt numFmtId="183" formatCode="_(* #,##0.0_);_(* \(#,##0.0\);_(* &quot;-&quot;_);_(@_)"/>
    <numFmt numFmtId="184" formatCode="_ * #,##0_ ;_ * \-#,##0_ ;_ * &quot;-&quot;??_ ;_ @_ "/>
    <numFmt numFmtId="185" formatCode="_(* #,##0.0000_);_(* \(#,##0.0000\);_(* &quot;-&quot;_);_(@_)"/>
    <numFmt numFmtId="186" formatCode="0.000"/>
    <numFmt numFmtId="187" formatCode="_(* #,##0.000_);_(* \(#,##0.000\);_(* &quot;-&quot;_);_(@_)"/>
    <numFmt numFmtId="188" formatCode="_ * #,##0.0000_ ;_ * \-#,##0.0000_ ;_ * &quot;-&quot;??_ ;_ @_ "/>
    <numFmt numFmtId="189" formatCode="_(* #,##0.000000_);_(* \(#,##0.000000\);_(* &quot;-&quot;_);_(@_)"/>
    <numFmt numFmtId="190" formatCode="_(* #,##0.00000_);_(* \(#,##0.00000\);_(* &quot;-&quot;_);_(@_)"/>
    <numFmt numFmtId="191" formatCode="_-* #,##0.00\ [$€-1]_-;\-* #,##0.00\ [$€-1]_-;_-* &quot;-&quot;??\ [$€-1]_-"/>
    <numFmt numFmtId="192" formatCode="&quot;$&quot;#,##0_);&quot;$&quot;* \(#,##0\)"/>
    <numFmt numFmtId="193" formatCode="_-* #,##0\ _F_-;\-* #,##0\ _F_-;_-* &quot;-&quot;\ _F_-;_-@_-"/>
    <numFmt numFmtId="194" formatCode=";[Red]\-0;"/>
    <numFmt numFmtId="195" formatCode="0.00000000"/>
    <numFmt numFmtId="196" formatCode="_(\¥* #,##0_);\(\¥#,##0\)"/>
    <numFmt numFmtId="197" formatCode=";;;"/>
    <numFmt numFmtId="198" formatCode="_(&quot;$&quot;* #,##0.0_);_(&quot;$&quot;* \(#,##0.0\);_(&quot;$&quot;* &quot;-&quot;??_);_(@_)"/>
    <numFmt numFmtId="199" formatCode="_-&quot;£&quot;* #,##0.000_-;\-&quot;£&quot;* #,##0.000_-;_-&quot;£&quot;* &quot;-&quot;??_-;_-@_-"/>
    <numFmt numFmtId="200" formatCode="&quot;$&quot;* #,##0\ ;&quot;$&quot;* \(#,##0\)"/>
    <numFmt numFmtId="201" formatCode="_(* #,##0_);_(* \(#,##0\);_(* &quot; - &quot;_);_(@_)"/>
    <numFmt numFmtId="202" formatCode="_-* #,##0.00\ _D_M_-;\-* #,##0.00\ _D_M_-;_-* &quot;-&quot;??\ _D_M_-;_-@_-"/>
    <numFmt numFmtId="203" formatCode="0.0000__"/>
    <numFmt numFmtId="204" formatCode="&quot;$&quot;* #,##0_);[Red]&quot;$&quot;* \(#,##0\)"/>
    <numFmt numFmtId="205" formatCode="&quot;Revised&quot;\ m/d/yy\ h:mm"/>
    <numFmt numFmtId="206" formatCode="&quot;$&quot;* #,##0.00_);[Red]&quot;$&quot;* \(#,##0.00\)"/>
    <numFmt numFmtId="207" formatCode=".0."/>
    <numFmt numFmtId="208" formatCode="0_)%;\(0\)%"/>
    <numFmt numFmtId="209" formatCode="_(&quot;$&quot;* #,##0.0_);_(&quot;$&quot;* \(#,##0.0\);_(&quot;$&quot;* &quot;-  &quot;_);_(@_)"/>
    <numFmt numFmtId="210" formatCode="0.0\ %;\(0.0\)%"/>
    <numFmt numFmtId="211" formatCode="0.0000%"/>
    <numFmt numFmtId="212" formatCode="_(* #,##0.00_);_(* \(#,##0.00\);_(* &quot;-&quot;??_);_(@_)"/>
    <numFmt numFmtId="213" formatCode="&quot;$&quot;#,##0_);[Red]\(&quot;$&quot;#,##0\)"/>
    <numFmt numFmtId="214" formatCode="&quot;$&quot;#,##0.00_);[Red]\(&quot;$&quot;#,##0.00\)"/>
    <numFmt numFmtId="215" formatCode="[$-409]mmmm\ d\,\ yyyy;@"/>
    <numFmt numFmtId="216" formatCode="[$-409]d\-mmm\-yy;@"/>
    <numFmt numFmtId="217" formatCode="&quot;\&quot;#,##0.00;[Red]&quot;\&quot;\-#,##0.00"/>
    <numFmt numFmtId="218" formatCode="&quot;\&quot;#,##0;[Red]&quot;\&quot;\-#,##0"/>
    <numFmt numFmtId="219" formatCode="mmm\.yy"/>
    <numFmt numFmtId="220" formatCode="&quot;$&quot;* ##0.0\ ;&quot;$&quot;* \(##0.0\);&quot;$&quot;* &quot;N/A &quot;"/>
    <numFmt numFmtId="221" formatCode="#,##0_);[Red]\ \(#,##0\)"/>
    <numFmt numFmtId="222" formatCode="hh:mm\ AM/PM_)"/>
    <numFmt numFmtId="223" formatCode="#,##0.0_);[Red]\(#,##0.0\)"/>
    <numFmt numFmtId="224" formatCode="_(* #,##0.0_);_(* \(#,##0.0\);_(* &quot;0&quot;_);_(@_)"/>
    <numFmt numFmtId="225" formatCode="_(* #,##0.0_)\ \ ;_(* \(#,##0.0\)\ \ ;_(* &quot;-&quot;??_);_(@_)"/>
    <numFmt numFmtId="226" formatCode="_ * #,##0.00_)&quot;£&quot;_ ;_ * \(#,##0.00\)&quot;£&quot;_ ;_ * &quot;-&quot;??_)&quot;£&quot;_ ;_ @_ "/>
    <numFmt numFmtId="227" formatCode="[&lt;=9999999]###\-####;\(###\)\ ###\-####"/>
    <numFmt numFmtId="228" formatCode="###\-###\-####"/>
    <numFmt numFmtId="229" formatCode="m/d;@"/>
    <numFmt numFmtId="230" formatCode="_(&quot;$&quot;* #,##0_);_(&quot;$&quot;* \(#,##0\);_(&quot;$&quot;* &quot;(TBD)&quot;;_(@_)"/>
    <numFmt numFmtId="231" formatCode="#,##0_);\(#,##0\);&quot;-  &quot;"/>
    <numFmt numFmtId="232" formatCode="#,##0.000000000_);[Red]\(#,##0.000000000\)"/>
    <numFmt numFmtId="233" formatCode="&quot;£&quot;#,##0;\-&quot;£&quot;#,##0"/>
    <numFmt numFmtId="234" formatCode="&quot;$&quot;#,##0.00;\-&quot;$&quot;#,##0.00"/>
    <numFmt numFmtId="235" formatCode="0.0000000000"/>
    <numFmt numFmtId="236" formatCode="_(* #,##0.0_)\ ;_(* \(#,##0.0\)\ ;_(* &quot;-&quot;??_);_(@_)"/>
    <numFmt numFmtId="237" formatCode="0.0_);\(0.0\)"/>
    <numFmt numFmtId="238" formatCode="_(&quot;$&quot;* #,##0_);_(&quot;$&quot;* \(#,##0\);_(&quot;$&quot;* &quot;-&quot;??_);_(@_)"/>
    <numFmt numFmtId="239" formatCode="_-* #,##0.0_-;\-* #,##0.0_-;_-* &quot;-&quot;??_-;_-@_-"/>
    <numFmt numFmtId="240" formatCode="#,##0.00&quot; F&quot;_);\(#,##0.00&quot; F&quot;\)"/>
    <numFmt numFmtId="241" formatCode="_-&quot;$&quot;* #,##0_-;\-&quot;$&quot;* #,##0_-;_-&quot;$&quot;* &quot;-&quot;_-;_-@_-"/>
    <numFmt numFmtId="242" formatCode="General_)"/>
    <numFmt numFmtId="243" formatCode="0\);"/>
    <numFmt numFmtId="244" formatCode="#,##0.0000_);\(#,##0.0000\)"/>
    <numFmt numFmtId="245" formatCode="_([$€-2]* #,##0.00_);_([$€-2]* \(#,##0.00\);_([$€-2]* &quot;-&quot;??_)"/>
    <numFmt numFmtId="246" formatCode="0.0_)%;\(0.0\)%"/>
    <numFmt numFmtId="247" formatCode="_(&quot;$&quot;* #,##0.0;_(&quot;$&quot;* \(#,##0.0\);_(&quot;$&quot;* &quot;0.0&quot;;_(@\)"/>
    <numFmt numFmtId="248" formatCode="_(* #,##0.000_);_(* \(#,##0.000\);_(* &quot;-&quot;???_);_(@_)"/>
    <numFmt numFmtId="249" formatCode="0.000&quot;%&quot;"/>
    <numFmt numFmtId="250" formatCode="_(* #,##0.0_);_(* \(#,##0.0\);_(* #,##0_);_(@_)"/>
    <numFmt numFmtId="251" formatCode="###0.0_);[Red]\(###0.0\)"/>
    <numFmt numFmtId="252" formatCode="_(* #,##0.0_);_(* \(#,##0.0\);_(* &quot;-&quot;??_);_(@_)"/>
    <numFmt numFmtId="253" formatCode="."/>
    <numFmt numFmtId="254" formatCode="&quot;$&quot;#,##0.00;\(&quot;$&quot;#,##0.00\)"/>
    <numFmt numFmtId="255" formatCode="_(* #,##0_);_(* \(#,##0\);_(* &quot;TBD&quot;_);_(@_)"/>
    <numFmt numFmtId="256" formatCode="0.00000"/>
    <numFmt numFmtId="257" formatCode="###0.0000;[Red]\-###0.0000"/>
    <numFmt numFmtId="258" formatCode="\$\ #,##0.00_);[Red]\$\(#,##0.00\);\$\ \ \ \-\ \ "/>
    <numFmt numFmtId="259" formatCode="0;[Red]\(0\)"/>
    <numFmt numFmtId="260" formatCode="_(* #,##0_);_(* \(#,##0\);_(* &quot;(TBD)&quot;;_(@_)"/>
    <numFmt numFmtId="261" formatCode="\+0\ ;\-0\ ;"/>
    <numFmt numFmtId="262" formatCode="#,##0.0000"/>
    <numFmt numFmtId="263" formatCode=".00"/>
    <numFmt numFmtId="264" formatCode="0.0_)"/>
    <numFmt numFmtId="265" formatCode="_-* #,##0.00\ &quot;F&quot;_-;\-* #,##0.00\ &quot;F&quot;_-;_-* &quot;-&quot;??\ &quot;F&quot;_-;_-@_-"/>
    <numFmt numFmtId="266" formatCode="#,##0.00000;[Red]\-#,##0.00000"/>
    <numFmt numFmtId="267" formatCode="_-* #,##0\ _D_M_-;\-* #,##0\ _D_M_-;_-* &quot;-&quot;\ _D_M_-;_-@_-"/>
    <numFmt numFmtId="268" formatCode="&quot;US$&quot;#,##0.00_);\(&quot;US$&quot;#,##0.00\)"/>
    <numFmt numFmtId="269" formatCode="#,##0.0"/>
    <numFmt numFmtId="270" formatCode="_-* #,##0_-;\-* #,##0_-;_-* &quot;-&quot;_-;_-@_-"/>
    <numFmt numFmtId="271" formatCode="&quot;$&quot;#,##0.0_);[Red]\(&quot;$&quot;#,##0.0\)"/>
    <numFmt numFmtId="272" formatCode="###0.0000000_);[Red]\(###0.0000000\)"/>
    <numFmt numFmtId="273" formatCode="&quot;$&quot;#,##0_);\(&quot;$&quot;#,##0\);\ &quot;$   - &quot;"/>
    <numFmt numFmtId="274" formatCode="0\ %\ "/>
    <numFmt numFmtId="275" formatCode="0__"/>
    <numFmt numFmtId="276" formatCode="mmmm\ d\,\ yyyy"/>
    <numFmt numFmtId="277" formatCode="0_);[Red]\(0\)"/>
    <numFmt numFmtId="278" formatCode="0.000%"/>
    <numFmt numFmtId="279" formatCode="0;[Red]\-0;"/>
    <numFmt numFmtId="280" formatCode="_(&quot;$&quot;* #,##0.0_);_(&quot;$&quot;* \(#,##0.0\);_(&quot;$&quot;* &quot;-&quot;_);_(@_)"/>
    <numFmt numFmtId="281" formatCode="0.0%;[Red]\(0.0%\)"/>
    <numFmt numFmtId="282" formatCode="0.00000_ ;[Red]\-0.00000\ "/>
    <numFmt numFmtId="283" formatCode="#,##0;\(#,##0\)"/>
    <numFmt numFmtId="284" formatCode="#,##0;[Red]\(#,##0\)"/>
    <numFmt numFmtId="285" formatCode="#,##0.00;[Red]\(#,##0.00\)"/>
    <numFmt numFmtId="286" formatCode="&quot;SFr.&quot;#,##0.00;&quot;SFr.&quot;\-#,##0.00"/>
    <numFmt numFmtId="287" formatCode="0.0000"/>
    <numFmt numFmtId="288" formatCode="#,##0.0000_)"/>
    <numFmt numFmtId="289" formatCode="#,##0\ &quot;F&quot;;\-#,##0\ &quot;F&quot;"/>
    <numFmt numFmtId="290" formatCode="dd\-mmm\-yy_)"/>
    <numFmt numFmtId="291" formatCode="_(&quot;$&quot;* #,##0.0_);_(&quot;$&quot;* \(#,##0.0\);_(&quot;$&quot;* &quot;(*)&quot;??_);_(@_)"/>
    <numFmt numFmtId="292" formatCode="_(* #,##0.0_);_(* \(#,##0.0\);_(* &quot;0 &quot;_);_(@_)"/>
    <numFmt numFmtId="293" formatCode="_(* #,##0.0_);_(* \(#,##0.0\);_(@_)"/>
    <numFmt numFmtId="294" formatCode="_(&quot;$&quot;* #,##0.0_);_(&quot;$&quot;* \(#,##0.0\);_(&quot;$&quot;* &quot;0&quot;_);_(@_)"/>
    <numFmt numFmtId="295" formatCode="_(* #,##0.00_);_(* \(#,##0.00\);_(@_)"/>
    <numFmt numFmtId="296" formatCode="_(&quot;$&quot;* #,##0_);_(&quot;$&quot;* \(#,##0\);_(&quot;$&quot;* &quot;*  &quot;_);_(@_)"/>
    <numFmt numFmtId="297" formatCode="#,##0.0_);\(#,##0.0\)"/>
    <numFmt numFmtId="298" formatCode="_(* #,##0.00_);_(* \(#,##0.00\);_(* &quot;0 &quot;_);_(@_)"/>
    <numFmt numFmtId="299" formatCode="&quot;$&quot;* #,##0_);\(&quot;$&quot;* #,##0\)"/>
    <numFmt numFmtId="300" formatCode="&quot;$&quot;#,##0_ \);\(&quot;$&quot;#,##0\ \)"/>
    <numFmt numFmtId="301" formatCode="000"/>
    <numFmt numFmtId="302" formatCode="[Red]0;[Red]\-0;[Color16]\O\K"/>
    <numFmt numFmtId="303" formatCode="_-* #,##0\ &quot;F&quot;_-;\-* #,##0\ &quot;F&quot;_-;_-* &quot;-&quot;\ &quot;F&quot;_-;_-@_-"/>
    <numFmt numFmtId="304" formatCode="\$#,##0.00;[Red]\-\$#,##0.00"/>
    <numFmt numFmtId="305" formatCode="&quot;$&quot;* #,##0\ _);\(&quot;$&quot;* #,##0\ \)"/>
    <numFmt numFmtId="306" formatCode="&quot;$&quot;*#\,##0\ _);\(&quot;$&quot;* #,##0\ \)"/>
    <numFmt numFmtId="307" formatCode="0.00\ \ \ \ \ ;\(0.00\)\ \ \ \ "/>
    <numFmt numFmtId="308" formatCode="0.000\ \ \ \ \ ;\(0.000\)\ \ \ \ "/>
    <numFmt numFmtId="309" formatCode="_(&quot;$&quot;* #,##0.0_);_(&quot;$&quot;* \(#,##0.0\);_(&quot;$&quot;* &quot;       *&quot;??_);_(@_)"/>
    <numFmt numFmtId="310" formatCode="_(&quot;$&quot;* #,##0.0_);_(&quot;$&quot;* \(#,##0.0\);_(&quot;$&quot;* &quot;    *&quot;??_);_(@_)"/>
    <numFmt numFmtId="311" formatCode="_(&quot;$&quot;* #,##0.00_);_(&quot;$&quot;* \(#,##0.00\);_(&quot;$&quot;* &quot;-&quot;??_);_(@_)"/>
    <numFmt numFmtId="312" formatCode="\t0.00%"/>
    <numFmt numFmtId="313" formatCode="[$-409]dd\-mmm\-yy;@"/>
    <numFmt numFmtId="314" formatCode="[$€-2]\ #,##0.000_);\([$€-2]\ #,##0.000\)"/>
  </numFmts>
  <fonts count="120">
    <font>
      <sz val="10"/>
      <color theme="1"/>
      <name val="Arial"/>
      <family val="2"/>
    </font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i/>
      <sz val="10"/>
      <name val="Arial MT"/>
    </font>
    <font>
      <b/>
      <sz val="10"/>
      <color theme="0"/>
      <name val="Arial"/>
      <family val="2"/>
    </font>
    <font>
      <sz val="8"/>
      <name val="Arial"/>
      <family val="2"/>
    </font>
    <font>
      <u val="singleAccounting"/>
      <sz val="9"/>
      <color indexed="8"/>
      <name val="Arial"/>
      <family val="2"/>
    </font>
    <font>
      <b/>
      <u val="singleAccounting"/>
      <sz val="10"/>
      <name val="Arial"/>
      <family val="2"/>
    </font>
    <font>
      <sz val="10"/>
      <color theme="0" tint="-0.14999847407452621"/>
      <name val="Arial"/>
      <family val="2"/>
    </font>
    <font>
      <u val="singleAccounting"/>
      <sz val="10"/>
      <name val="Arial"/>
      <family val="2"/>
    </font>
    <font>
      <u val="singleAccounting"/>
      <sz val="9"/>
      <name val="Arial"/>
      <family val="2"/>
    </font>
    <font>
      <u val="singleAccounting"/>
      <sz val="9"/>
      <color indexed="12"/>
      <name val="Arial"/>
      <family val="2"/>
    </font>
    <font>
      <sz val="9"/>
      <color theme="1"/>
      <name val="Arial"/>
      <family val="2"/>
    </font>
    <font>
      <sz val="8"/>
      <name val="Times New Roman"/>
      <family val="1"/>
    </font>
    <font>
      <sz val="8"/>
      <color theme="1"/>
      <name val="Verdana"/>
      <family val="2"/>
    </font>
    <font>
      <sz val="10"/>
      <color theme="1"/>
      <name val="宋体"/>
      <family val="3"/>
      <charset val="134"/>
    </font>
    <font>
      <sz val="10"/>
      <color rgb="FFFF0000"/>
      <name val="Arial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Segoe UI"/>
      <family val="2"/>
    </font>
    <font>
      <sz val="10"/>
      <color theme="1"/>
      <name val="Arial"/>
      <family val="2"/>
      <charset val="134"/>
    </font>
    <font>
      <sz val="8"/>
      <color theme="1"/>
      <name val="宋体"/>
      <family val="3"/>
      <charset val="134"/>
    </font>
    <font>
      <sz val="10"/>
      <color indexed="8"/>
      <name val="Arial"/>
      <family val="2"/>
    </font>
    <font>
      <sz val="9"/>
      <name val="Arial"/>
      <family val="2"/>
      <charset val="134"/>
    </font>
    <font>
      <sz val="7.65"/>
      <name val="Arial"/>
      <family val="2"/>
    </font>
    <font>
      <sz val="10"/>
      <color theme="1"/>
      <name val="Verdana"/>
      <family val="2"/>
    </font>
    <font>
      <sz val="10"/>
      <color theme="9" tint="-0.249977111117893"/>
      <name val="Arial"/>
      <family val="2"/>
    </font>
    <font>
      <sz val="8"/>
      <color rgb="FFFF0000"/>
      <name val="宋体"/>
      <family val="3"/>
      <charset val="134"/>
    </font>
    <font>
      <sz val="8"/>
      <color rgb="FFFF0000"/>
      <name val="Verdana"/>
      <family val="2"/>
    </font>
    <font>
      <b/>
      <sz val="10"/>
      <color theme="1"/>
      <name val="Arial"/>
      <family val="2"/>
    </font>
    <font>
      <sz val="8"/>
      <name val="Verdana"/>
      <family val="2"/>
    </font>
    <font>
      <i/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宋体"/>
      <family val="3"/>
      <charset val="134"/>
    </font>
    <font>
      <sz val="12"/>
      <name val="新細明體"/>
      <family val="1"/>
      <charset val="136"/>
    </font>
    <font>
      <sz val="10"/>
      <name val="Courier"/>
      <family val="3"/>
    </font>
    <font>
      <sz val="12"/>
      <name val="Osaka"/>
      <family val="3"/>
      <charset val="128"/>
    </font>
    <font>
      <sz val="9"/>
      <name val="Arial MT"/>
      <family val="2"/>
    </font>
    <font>
      <sz val="10"/>
      <name val="MS Sans Serif"/>
      <family val="2"/>
    </font>
    <font>
      <sz val="10"/>
      <name val="Times New Roman"/>
      <family val="1"/>
    </font>
    <font>
      <sz val="8.5"/>
      <name val="LinePrinter"/>
      <family val="2"/>
    </font>
    <font>
      <sz val="11"/>
      <name val="‚l‚r ‚oƒSƒVƒbƒN"/>
      <family val="3"/>
    </font>
    <font>
      <sz val="11"/>
      <name val="Arial"/>
      <family val="2"/>
    </font>
    <font>
      <sz val="10"/>
      <name val="Prestige Elite"/>
      <family val="1"/>
    </font>
    <font>
      <sz val="12"/>
      <name val="Courier"/>
      <family val="3"/>
    </font>
    <font>
      <sz val="12"/>
      <name val="ｷsｲﾓｩ愰 "/>
      <family val="1"/>
      <charset val="128"/>
    </font>
    <font>
      <sz val="12"/>
      <name val="Times New Roman"/>
      <family val="1"/>
    </font>
    <font>
      <sz val="11"/>
      <name val="?? ?????"/>
      <family val="3"/>
      <charset val="128"/>
    </font>
    <font>
      <sz val="10"/>
      <name val="????"/>
      <family val="3"/>
      <charset val="128"/>
    </font>
    <font>
      <u/>
      <sz val="12"/>
      <color indexed="36"/>
      <name val="Osaka"/>
      <family val="3"/>
      <charset val="128"/>
    </font>
    <font>
      <u/>
      <sz val="12"/>
      <color indexed="12"/>
      <name val="Osaka"/>
      <family val="3"/>
      <charset val="128"/>
    </font>
    <font>
      <sz val="18"/>
      <name val="??????"/>
      <family val="3"/>
      <charset val="128"/>
    </font>
    <font>
      <sz val="13.5"/>
      <name val="System"/>
      <family val="2"/>
    </font>
    <font>
      <sz val="12"/>
      <name val="????"/>
      <family val="3"/>
      <charset val="128"/>
    </font>
    <font>
      <sz val="10"/>
      <name val="?? ?????"/>
      <family val="3"/>
      <charset val="128"/>
    </font>
    <font>
      <b/>
      <sz val="10"/>
      <name val="?? ?????"/>
      <family val="3"/>
      <charset val="128"/>
    </font>
    <font>
      <b/>
      <u/>
      <sz val="10"/>
      <name val="?? ?????"/>
      <family val="3"/>
      <charset val="128"/>
    </font>
    <font>
      <u/>
      <sz val="10"/>
      <color indexed="36"/>
      <name val="Arial"/>
      <family val="2"/>
    </font>
    <font>
      <sz val="11"/>
      <name val="??’c"/>
      <family val="3"/>
      <charset val="128"/>
    </font>
    <font>
      <u/>
      <sz val="11"/>
      <color indexed="12"/>
      <name val="?l?r ?o?S?V?b?N"/>
      <family val="3"/>
    </font>
    <font>
      <b/>
      <sz val="8"/>
      <color indexed="8"/>
      <name val="MS Sans Serif"/>
      <family val="2"/>
    </font>
    <font>
      <b/>
      <i/>
      <sz val="8"/>
      <color indexed="8"/>
      <name val="MS Sans Serif"/>
      <family val="2"/>
    </font>
    <font>
      <sz val="10"/>
      <color indexed="8"/>
      <name val="MS Sans Serif"/>
      <family val="2"/>
    </font>
    <font>
      <b/>
      <sz val="10"/>
      <color indexed="9"/>
      <name val="MS Sans Serif"/>
      <family val="2"/>
    </font>
    <font>
      <b/>
      <sz val="10"/>
      <color indexed="12"/>
      <name val="Times New Roman"/>
      <family val="1"/>
    </font>
    <font>
      <b/>
      <sz val="10"/>
      <color indexed="8"/>
      <name val="MS Sans Serif"/>
      <family val="2"/>
    </font>
    <font>
      <b/>
      <i/>
      <sz val="8"/>
      <name val="MS Sans Serif"/>
      <family val="2"/>
    </font>
    <font>
      <b/>
      <sz val="8"/>
      <name val="MS Sans Serif"/>
      <family val="2"/>
    </font>
    <font>
      <sz val="8"/>
      <name val="Helv"/>
      <family val="2"/>
    </font>
    <font>
      <u/>
      <sz val="12"/>
      <color indexed="36"/>
      <name val="Times New Roman"/>
      <family val="1"/>
    </font>
    <font>
      <u/>
      <sz val="11"/>
      <color indexed="36"/>
      <name val="lr oSVbN"/>
      <family val="3"/>
      <charset val="128"/>
    </font>
    <font>
      <sz val="11"/>
      <name val="lr oSVbN"/>
      <family val="3"/>
      <charset val="128"/>
    </font>
    <font>
      <sz val="10"/>
      <name val="JaguarJC"/>
      <family val="2"/>
    </font>
    <font>
      <sz val="10"/>
      <name val="Palatino"/>
      <family val="1"/>
    </font>
    <font>
      <sz val="12"/>
      <name val="宋体"/>
      <family val="3"/>
      <charset val="134"/>
    </font>
    <font>
      <sz val="10"/>
      <name val="Helv"/>
      <family val="2"/>
    </font>
    <font>
      <sz val="8"/>
      <name val="LinePri"/>
      <family val="2"/>
    </font>
    <font>
      <sz val="12"/>
      <name val="Arial"/>
      <family val="2"/>
    </font>
    <font>
      <b/>
      <sz val="8.5"/>
      <name val="LinePrinter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2"/>
      <name val="Helv"/>
      <family val="2"/>
    </font>
    <font>
      <sz val="11"/>
      <color theme="0"/>
      <name val="宋体"/>
      <family val="3"/>
      <charset val="134"/>
      <scheme val="minor"/>
    </font>
    <font>
      <sz val="11"/>
      <color theme="0"/>
      <name val="Calibri"/>
      <family val="2"/>
    </font>
    <font>
      <b/>
      <sz val="12"/>
      <name val="MS Sans Serif"/>
      <family val="2"/>
    </font>
    <font>
      <sz val="12"/>
      <name val="¹UAAA¼"/>
      <family val="2"/>
      <charset val="129"/>
    </font>
    <font>
      <sz val="8"/>
      <name val="MS Sans Serif"/>
      <family val="2"/>
    </font>
    <font>
      <sz val="12"/>
      <name val="CG Times (W1)"/>
      <family val="1"/>
    </font>
    <font>
      <sz val="10"/>
      <color rgb="FF9C0006"/>
      <name val="Arial"/>
      <family val="2"/>
      <charset val="134"/>
    </font>
    <font>
      <b/>
      <sz val="8"/>
      <name val="Arial Rounded MT Bold"/>
      <family val="2"/>
    </font>
    <font>
      <u/>
      <sz val="7.5"/>
      <color indexed="36"/>
      <name val="Arial"/>
      <family val="2"/>
    </font>
    <font>
      <u/>
      <sz val="12"/>
      <color indexed="36"/>
      <name val="Arial"/>
      <family val="2"/>
    </font>
    <font>
      <sz val="10"/>
      <color indexed="12"/>
      <name val="Arial"/>
      <family val="2"/>
    </font>
    <font>
      <sz val="10"/>
      <name val="CL Futura CondensedLight"/>
      <family val="2"/>
    </font>
    <font>
      <sz val="10"/>
      <color indexed="20"/>
      <name val="Arial"/>
      <family val="2"/>
    </font>
    <font>
      <sz val="11"/>
      <name val="ＭＳ Ｐゴシック"/>
      <family val="2"/>
      <charset val="128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8"/>
      <name val="Times New Roman"/>
      <family val="1"/>
    </font>
    <font>
      <i/>
      <sz val="10"/>
      <color indexed="10"/>
      <name val="Arial"/>
      <family val="2"/>
    </font>
    <font>
      <b/>
      <sz val="9"/>
      <name val="Arial"/>
      <family val="2"/>
    </font>
    <font>
      <sz val="6.5"/>
      <name val="MS Sans Serif"/>
      <family val="2"/>
    </font>
    <font>
      <sz val="10"/>
      <name val="MS Serif"/>
      <family val="1"/>
    </font>
    <font>
      <b/>
      <i/>
      <sz val="16"/>
      <name val="Helv"/>
      <family val="2"/>
    </font>
    <font>
      <sz val="11"/>
      <color theme="1"/>
      <name val="宋体"/>
      <family val="3"/>
      <charset val="134"/>
      <scheme val="minor"/>
    </font>
    <font>
      <u/>
      <sz val="11"/>
      <color indexed="12"/>
      <name val="ＭＳ Ｐゴシック"/>
      <family val="2"/>
      <charset val="128"/>
    </font>
    <font>
      <sz val="11"/>
      <color theme="1"/>
      <name val="宋体"/>
      <family val="2"/>
      <scheme val="minor"/>
    </font>
    <font>
      <u/>
      <sz val="8.25"/>
      <color indexed="36"/>
      <name val="Arial"/>
      <family val="2"/>
    </font>
    <font>
      <u/>
      <sz val="11"/>
      <color indexed="36"/>
      <name val="ＭＳ Ｐゴシック"/>
      <family val="2"/>
      <charset val="128"/>
    </font>
  </fonts>
  <fills count="4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1"/>
      </patternFill>
    </fill>
    <fill>
      <patternFill patternType="solid">
        <fgColor indexed="22"/>
        <bgColor indexed="64"/>
      </patternFill>
    </fill>
    <fill>
      <patternFill patternType="solid">
        <fgColor indexed="12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gray125">
        <fgColor indexed="13"/>
        <bgColor indexed="9"/>
      </patternFill>
    </fill>
    <fill>
      <patternFill patternType="solid">
        <fgColor indexed="55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Dashed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4016">
    <xf numFmtId="0" fontId="0" fillId="0" borderId="0">
      <alignment vertical="center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24" fillId="0" borderId="0">
      <alignment vertical="center"/>
    </xf>
    <xf numFmtId="0" fontId="4" fillId="0" borderId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0" fontId="41" fillId="0" borderId="0" applyFill="0" applyBorder="0" applyAlignment="0" applyProtection="0"/>
    <xf numFmtId="192" fontId="41" fillId="0" borderId="0" applyFill="0" applyBorder="0" applyAlignment="0" applyProtection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40" fontId="42" fillId="0" borderId="0"/>
    <xf numFmtId="0" fontId="43" fillId="0" borderId="0"/>
    <xf numFmtId="0" fontId="44" fillId="0" borderId="0"/>
    <xf numFmtId="38" fontId="45" fillId="0" borderId="0" applyFont="0" applyFill="0" applyBorder="0" applyAlignment="0" applyProtection="0"/>
    <xf numFmtId="0" fontId="4" fillId="0" borderId="0"/>
    <xf numFmtId="1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5" fillId="0" borderId="0" applyFont="0" applyFill="0" applyBorder="0" applyProtection="0">
      <alignment horizontal="right"/>
    </xf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7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198" fontId="48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200" fontId="47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8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5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47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208" fontId="47" fillId="0" borderId="0" applyFont="0" applyFill="0" applyBorder="0" applyAlignment="0" applyProtection="0"/>
    <xf numFmtId="209" fontId="4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47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0" fontId="47" fillId="0" borderId="0" applyFont="0" applyFill="0" applyBorder="0" applyAlignment="0" applyProtection="0"/>
    <xf numFmtId="10" fontId="47" fillId="0" borderId="0" applyFont="0" applyFill="0" applyBorder="0" applyAlignment="0" applyProtection="0"/>
    <xf numFmtId="0" fontId="45" fillId="0" borderId="0"/>
    <xf numFmtId="37" fontId="51" fillId="0" borderId="0"/>
    <xf numFmtId="0" fontId="45" fillId="0" borderId="0"/>
    <xf numFmtId="37" fontId="42" fillId="0" borderId="0"/>
    <xf numFmtId="0" fontId="52" fillId="0" borderId="0"/>
    <xf numFmtId="0" fontId="53" fillId="0" borderId="0"/>
    <xf numFmtId="0" fontId="45" fillId="0" borderId="0"/>
    <xf numFmtId="0" fontId="45" fillId="0" borderId="0"/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12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/>
    <xf numFmtId="43" fontId="26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/>
    <xf numFmtId="3" fontId="5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3" fillId="0" borderId="0"/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213" fontId="45" fillId="0" borderId="0" applyFont="0" applyFill="0" applyBorder="0" applyAlignment="0" applyProtection="0"/>
    <xf numFmtId="214" fontId="45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45" fillId="0" borderId="0" applyFont="0" applyFill="0" applyBorder="0" applyAlignment="0" applyProtection="0"/>
    <xf numFmtId="0" fontId="43" fillId="0" borderId="0"/>
    <xf numFmtId="0" fontId="44" fillId="0" borderId="0"/>
    <xf numFmtId="0" fontId="4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7" fillId="13" borderId="3">
      <alignment horizontal="center" wrapText="1"/>
    </xf>
    <xf numFmtId="0" fontId="68" fillId="13" borderId="4"/>
    <xf numFmtId="0" fontId="67" fillId="13" borderId="1">
      <alignment horizontal="center" vertical="top" wrapText="1"/>
    </xf>
    <xf numFmtId="0" fontId="67" fillId="0" borderId="1">
      <alignment horizontal="center" vertical="top" wrapText="1"/>
    </xf>
    <xf numFmtId="0" fontId="69" fillId="0" borderId="0"/>
    <xf numFmtId="0" fontId="67" fillId="13" borderId="4">
      <protection locked="0"/>
    </xf>
    <xf numFmtId="0" fontId="67" fillId="0" borderId="4">
      <protection locked="0"/>
    </xf>
    <xf numFmtId="0" fontId="67" fillId="0" borderId="0"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5" fontId="4" fillId="0" borderId="0"/>
    <xf numFmtId="216" fontId="4" fillId="0" borderId="0"/>
    <xf numFmtId="0" fontId="4" fillId="0" borderId="0"/>
    <xf numFmtId="0" fontId="44" fillId="0" borderId="0"/>
    <xf numFmtId="0" fontId="4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Protection="0"/>
    <xf numFmtId="0" fontId="45" fillId="0" borderId="0" applyFont="0" applyFill="0" applyBorder="0" applyAlignment="0" applyProtection="0"/>
    <xf numFmtId="0" fontId="4" fillId="0" borderId="0"/>
    <xf numFmtId="0" fontId="45" fillId="0" borderId="0" applyFont="0" applyFill="0" applyBorder="0" applyAlignment="0" applyProtection="0"/>
    <xf numFmtId="0" fontId="44" fillId="0" borderId="0"/>
    <xf numFmtId="0" fontId="26" fillId="0" borderId="0">
      <alignment vertical="top"/>
    </xf>
    <xf numFmtId="0" fontId="26" fillId="0" borderId="0">
      <alignment vertical="top"/>
    </xf>
    <xf numFmtId="3" fontId="69" fillId="14" borderId="5">
      <alignment vertical="top"/>
    </xf>
    <xf numFmtId="0" fontId="69" fillId="0" borderId="5" applyNumberFormat="0"/>
    <xf numFmtId="0" fontId="69" fillId="14" borderId="5">
      <alignment horizontal="right" vertical="top" wrapText="1"/>
    </xf>
    <xf numFmtId="0" fontId="69" fillId="0" borderId="5">
      <alignment vertical="top" wrapText="1"/>
    </xf>
    <xf numFmtId="0" fontId="69" fillId="0" borderId="0">
      <protection hidden="1"/>
    </xf>
    <xf numFmtId="0" fontId="70" fillId="15" borderId="0">
      <alignment vertical="top"/>
    </xf>
    <xf numFmtId="0" fontId="71" fillId="0" borderId="0"/>
    <xf numFmtId="0" fontId="72" fillId="16" borderId="0"/>
    <xf numFmtId="0" fontId="73" fillId="17" borderId="0" applyNumberFormat="0" applyBorder="0">
      <alignment horizontal="left" vertical="top"/>
    </xf>
    <xf numFmtId="0" fontId="74" fillId="17" borderId="0" applyNumberFormat="0" applyBorder="0">
      <alignment vertical="top"/>
    </xf>
    <xf numFmtId="0" fontId="74" fillId="0" borderId="6"/>
    <xf numFmtId="0" fontId="67" fillId="0" borderId="0"/>
    <xf numFmtId="0" fontId="44" fillId="0" borderId="0"/>
    <xf numFmtId="0" fontId="44" fillId="0" borderId="0"/>
    <xf numFmtId="215" fontId="4" fillId="0" borderId="0"/>
    <xf numFmtId="216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217" fontId="65" fillId="0" borderId="0" applyFont="0" applyFill="0" applyBorder="0" applyAlignment="0" applyProtection="0"/>
    <xf numFmtId="218" fontId="65" fillId="0" borderId="0" applyFont="0" applyFill="0" applyBorder="0" applyAlignment="0" applyProtection="0"/>
    <xf numFmtId="207" fontId="4" fillId="0" borderId="0" applyFont="0" applyFill="0" applyBorder="0" applyAlignment="0" applyProtection="0"/>
    <xf numFmtId="217" fontId="65" fillId="0" borderId="0" applyFont="0" applyFill="0" applyBorder="0" applyAlignment="0" applyProtection="0"/>
    <xf numFmtId="219" fontId="75" fillId="0" borderId="0" applyFont="0" applyFill="0" applyBorder="0" applyAlignment="0" applyProtection="0"/>
    <xf numFmtId="218" fontId="6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18" borderId="0"/>
    <xf numFmtId="9" fontId="4" fillId="18" borderId="0"/>
    <xf numFmtId="0" fontId="7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77" fillId="0" borderId="0" applyNumberFormat="0" applyFill="0" applyBorder="0" applyAlignment="0" applyProtection="0">
      <alignment vertical="top"/>
      <protection locked="0"/>
    </xf>
    <xf numFmtId="217" fontId="78" fillId="0" borderId="0" applyFont="0" applyFill="0" applyBorder="0" applyAlignment="0" applyProtection="0"/>
    <xf numFmtId="218" fontId="78" fillId="0" borderId="0" applyFont="0" applyFill="0" applyBorder="0" applyAlignment="0" applyProtection="0"/>
    <xf numFmtId="0" fontId="78" fillId="0" borderId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2" fontId="79" fillId="0" borderId="0"/>
    <xf numFmtId="37" fontId="8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3" fontId="47" fillId="0" borderId="0" applyFont="0" applyFill="0" applyBorder="0" applyAlignment="0" applyProtection="0"/>
    <xf numFmtId="181" fontId="79" fillId="0" borderId="0"/>
    <xf numFmtId="197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81" fillId="0" borderId="0" applyFont="0" applyFill="0" applyBorder="0" applyAlignment="0" applyProtection="0"/>
    <xf numFmtId="197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7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9" fontId="4" fillId="0" borderId="0" applyFont="0" applyFill="0" applyBorder="0" applyAlignment="0" applyProtection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82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3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9" fillId="0" borderId="0" applyFont="0" applyFill="0" applyBorder="0" applyAlignment="0" applyProtection="0">
      <protection locked="0"/>
    </xf>
    <xf numFmtId="221" fontId="9" fillId="0" borderId="0" applyFont="0" applyFill="0" applyBorder="0" applyAlignment="0" applyProtection="0">
      <protection locked="0"/>
    </xf>
    <xf numFmtId="221" fontId="9" fillId="0" borderId="0" applyFont="0" applyFill="0" applyBorder="0" applyAlignment="0" applyProtection="0">
      <protection locked="0"/>
    </xf>
    <xf numFmtId="221" fontId="9" fillId="0" borderId="0" applyFont="0" applyFill="0" applyBorder="0" applyAlignment="0" applyProtection="0">
      <protection locked="0"/>
    </xf>
    <xf numFmtId="197" fontId="9" fillId="0" borderId="0" applyFont="0" applyFill="0" applyBorder="0" applyAlignment="0" applyProtection="0">
      <protection locked="0"/>
    </xf>
    <xf numFmtId="197" fontId="9" fillId="0" borderId="0" applyFont="0" applyFill="0" applyBorder="0" applyAlignment="0" applyProtection="0">
      <protection locked="0"/>
    </xf>
    <xf numFmtId="197" fontId="9" fillId="0" borderId="0" applyFont="0" applyFill="0" applyBorder="0" applyAlignment="0" applyProtection="0">
      <protection locked="0"/>
    </xf>
    <xf numFmtId="197" fontId="9" fillId="0" borderId="0" applyFont="0" applyFill="0" applyBorder="0" applyAlignment="0" applyProtection="0">
      <protection locked="0"/>
    </xf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17" fontId="4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83" fillId="0" borderId="0" applyFont="0" applyFill="0" applyBorder="0" applyAlignment="0" applyProtection="0"/>
    <xf numFmtId="221" fontId="83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221" fontId="83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6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51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52" fontId="82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06" fontId="84" fillId="0" borderId="0" applyFont="0" applyFill="0" applyBorder="0" applyAlignment="0" applyProtection="0"/>
    <xf numFmtId="197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11" fontId="84" fillId="0" borderId="0" applyFont="0" applyFill="0" applyBorder="0" applyAlignment="0" applyProtection="0"/>
    <xf numFmtId="197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1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223" fontId="8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3" fontId="4" fillId="0" borderId="0" applyFont="0" applyFill="0" applyBorder="0" applyAlignment="0" applyProtection="0">
      <alignment horizontal="right"/>
      <protection locked="0"/>
    </xf>
    <xf numFmtId="223" fontId="4" fillId="0" borderId="0" applyFont="0" applyFill="0" applyBorder="0" applyAlignment="0" applyProtection="0">
      <alignment horizontal="right"/>
      <protection locked="0"/>
    </xf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" fillId="0" borderId="0" applyFont="0" applyFill="0" applyBorder="0" applyAlignment="0" applyProtection="0">
      <alignment horizontal="right"/>
      <protection locked="0"/>
    </xf>
    <xf numFmtId="239" fontId="4" fillId="0" borderId="0" applyFont="0" applyFill="0" applyBorder="0" applyAlignment="0" applyProtection="0">
      <alignment horizontal="right"/>
      <protection locked="0"/>
    </xf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7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8" fontId="4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1" fontId="8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197" fontId="8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197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61" fontId="45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17" fontId="4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9" fontId="4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1" fillId="0" borderId="0" applyFont="0" applyFill="0" applyBorder="0" applyAlignment="0" applyProtection="0"/>
    <xf numFmtId="221" fontId="47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62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64" fontId="45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47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06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11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06" fontId="84" fillId="0" borderId="0" applyFont="0" applyFill="0" applyBorder="0" applyAlignment="0" applyProtection="0"/>
    <xf numFmtId="0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9" fillId="0" borderId="0" applyFont="0" applyFill="0" applyBorder="0" applyAlignment="0" applyProtection="0">
      <protection locked="0"/>
    </xf>
    <xf numFmtId="221" fontId="9" fillId="0" borderId="0" applyFont="0" applyFill="0" applyBorder="0" applyAlignment="0" applyProtection="0">
      <protection locked="0"/>
    </xf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65" fontId="45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82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21" fontId="8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48" fontId="8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68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3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66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38" fontId="46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17" fontId="49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0" fontId="82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70" fontId="42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70" fontId="42" fillId="0" borderId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9" fontId="45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06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11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21" fontId="83" fillId="0" borderId="0" applyFont="0" applyFill="0" applyBorder="0" applyAlignment="0" applyProtection="0">
      <protection locked="0"/>
    </xf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06" fontId="8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21" fontId="4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64" fontId="45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9" fontId="45" fillId="0" borderId="0" applyFont="0" applyFill="0" applyBorder="0" applyAlignment="0" applyProtection="0"/>
    <xf numFmtId="239" fontId="45" fillId="0" borderId="0" applyFont="0" applyFill="0" applyBorder="0" applyAlignment="0" applyProtection="0"/>
    <xf numFmtId="271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64" fontId="45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61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0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21" fontId="85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21" fontId="85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35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0" fontId="45" fillId="0" borderId="7"/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46" fontId="4" fillId="0" borderId="0">
      <alignment horizontal="right"/>
    </xf>
    <xf numFmtId="24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46" fontId="4" fillId="0" borderId="0">
      <alignment horizontal="right"/>
    </xf>
    <xf numFmtId="24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35" fontId="4" fillId="0" borderId="0">
      <alignment horizontal="right"/>
    </xf>
    <xf numFmtId="235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53" fontId="4" fillId="0" borderId="0">
      <alignment horizontal="right"/>
    </xf>
    <xf numFmtId="253" fontId="4" fillId="0" borderId="0">
      <alignment horizontal="right"/>
    </xf>
    <xf numFmtId="235" fontId="4" fillId="0" borderId="0">
      <alignment horizontal="right"/>
    </xf>
    <xf numFmtId="235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46" fontId="4" fillId="0" borderId="0">
      <alignment horizontal="right"/>
    </xf>
    <xf numFmtId="24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246" fontId="4" fillId="0" borderId="0">
      <alignment horizontal="right"/>
    </xf>
    <xf numFmtId="246" fontId="4" fillId="0" borderId="0">
      <alignment horizontal="right"/>
    </xf>
    <xf numFmtId="268" fontId="4" fillId="0" borderId="0">
      <alignment horizontal="right"/>
    </xf>
    <xf numFmtId="268" fontId="4" fillId="0" borderId="0">
      <alignment horizontal="right"/>
    </xf>
    <xf numFmtId="197" fontId="4" fillId="0" borderId="0">
      <alignment horizontal="right"/>
    </xf>
    <xf numFmtId="197" fontId="4" fillId="0" borderId="0">
      <alignment horizontal="right"/>
    </xf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1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215" fontId="86" fillId="19" borderId="0" applyNumberFormat="0" applyBorder="0" applyAlignment="0" applyProtection="0"/>
    <xf numFmtId="0" fontId="86" fillId="19" borderId="0" applyNumberFormat="0" applyBorder="0" applyAlignment="0" applyProtection="0"/>
    <xf numFmtId="216" fontId="86" fillId="19" borderId="0" applyNumberFormat="0" applyBorder="0" applyAlignment="0" applyProtection="0"/>
    <xf numFmtId="0" fontId="87" fillId="19" borderId="0" applyNumberFormat="0" applyBorder="0" applyAlignment="0" applyProtection="0">
      <alignment vertical="center"/>
    </xf>
    <xf numFmtId="216" fontId="86" fillId="19" borderId="0" applyNumberFormat="0" applyBorder="0" applyAlignment="0" applyProtection="0"/>
    <xf numFmtId="215" fontId="86" fillId="20" borderId="0" applyNumberFormat="0" applyBorder="0" applyAlignment="0" applyProtection="0"/>
    <xf numFmtId="0" fontId="86" fillId="20" borderId="0" applyNumberFormat="0" applyBorder="0" applyAlignment="0" applyProtection="0"/>
    <xf numFmtId="216" fontId="86" fillId="20" borderId="0" applyNumberFormat="0" applyBorder="0" applyAlignment="0" applyProtection="0"/>
    <xf numFmtId="0" fontId="87" fillId="20" borderId="0" applyNumberFormat="0" applyBorder="0" applyAlignment="0" applyProtection="0">
      <alignment vertical="center"/>
    </xf>
    <xf numFmtId="216" fontId="86" fillId="20" borderId="0" applyNumberFormat="0" applyBorder="0" applyAlignment="0" applyProtection="0"/>
    <xf numFmtId="215" fontId="86" fillId="21" borderId="0" applyNumberFormat="0" applyBorder="0" applyAlignment="0" applyProtection="0"/>
    <xf numFmtId="0" fontId="86" fillId="21" borderId="0" applyNumberFormat="0" applyBorder="0" applyAlignment="0" applyProtection="0"/>
    <xf numFmtId="216" fontId="86" fillId="21" borderId="0" applyNumberFormat="0" applyBorder="0" applyAlignment="0" applyProtection="0"/>
    <xf numFmtId="0" fontId="87" fillId="21" borderId="0" applyNumberFormat="0" applyBorder="0" applyAlignment="0" applyProtection="0">
      <alignment vertical="center"/>
    </xf>
    <xf numFmtId="216" fontId="86" fillId="21" borderId="0" applyNumberFormat="0" applyBorder="0" applyAlignment="0" applyProtection="0"/>
    <xf numFmtId="215" fontId="86" fillId="22" borderId="0" applyNumberFormat="0" applyBorder="0" applyAlignment="0" applyProtection="0"/>
    <xf numFmtId="0" fontId="86" fillId="22" borderId="0" applyNumberFormat="0" applyBorder="0" applyAlignment="0" applyProtection="0"/>
    <xf numFmtId="216" fontId="86" fillId="22" borderId="0" applyNumberFormat="0" applyBorder="0" applyAlignment="0" applyProtection="0"/>
    <xf numFmtId="0" fontId="87" fillId="22" borderId="0" applyNumberFormat="0" applyBorder="0" applyAlignment="0" applyProtection="0">
      <alignment vertical="center"/>
    </xf>
    <xf numFmtId="216" fontId="86" fillId="22" borderId="0" applyNumberFormat="0" applyBorder="0" applyAlignment="0" applyProtection="0"/>
    <xf numFmtId="215" fontId="86" fillId="23" borderId="0" applyNumberFormat="0" applyBorder="0" applyAlignment="0" applyProtection="0"/>
    <xf numFmtId="0" fontId="86" fillId="23" borderId="0" applyNumberFormat="0" applyBorder="0" applyAlignment="0" applyProtection="0"/>
    <xf numFmtId="216" fontId="86" fillId="23" borderId="0" applyNumberFormat="0" applyBorder="0" applyAlignment="0" applyProtection="0"/>
    <xf numFmtId="0" fontId="87" fillId="23" borderId="0" applyNumberFormat="0" applyBorder="0" applyAlignment="0" applyProtection="0">
      <alignment vertical="center"/>
    </xf>
    <xf numFmtId="216" fontId="86" fillId="23" borderId="0" applyNumberFormat="0" applyBorder="0" applyAlignment="0" applyProtection="0"/>
    <xf numFmtId="215" fontId="86" fillId="24" borderId="0" applyNumberFormat="0" applyBorder="0" applyAlignment="0" applyProtection="0"/>
    <xf numFmtId="0" fontId="86" fillId="24" borderId="0" applyNumberFormat="0" applyBorder="0" applyAlignment="0" applyProtection="0"/>
    <xf numFmtId="216" fontId="86" fillId="24" borderId="0" applyNumberFormat="0" applyBorder="0" applyAlignment="0" applyProtection="0"/>
    <xf numFmtId="0" fontId="87" fillId="24" borderId="0" applyNumberFormat="0" applyBorder="0" applyAlignment="0" applyProtection="0">
      <alignment vertical="center"/>
    </xf>
    <xf numFmtId="216" fontId="86" fillId="24" borderId="0" applyNumberFormat="0" applyBorder="0" applyAlignment="0" applyProtection="0"/>
    <xf numFmtId="213" fontId="45" fillId="0" borderId="0" applyFont="0" applyFill="0" applyBorder="0" applyAlignment="0" applyProtection="0"/>
    <xf numFmtId="214" fontId="45" fillId="0" borderId="0" applyFont="0" applyFill="0" applyBorder="0" applyAlignment="0" applyProtection="0"/>
    <xf numFmtId="0" fontId="86" fillId="25" borderId="0" applyNumberFormat="0" applyBorder="0" applyAlignment="0" applyProtection="0"/>
    <xf numFmtId="0" fontId="86" fillId="26" borderId="0" applyNumberFormat="0" applyBorder="0" applyAlignment="0" applyProtection="0"/>
    <xf numFmtId="0" fontId="86" fillId="27" borderId="0" applyNumberFormat="0" applyBorder="0" applyAlignment="0" applyProtection="0"/>
    <xf numFmtId="0" fontId="86" fillId="22" borderId="0" applyNumberFormat="0" applyBorder="0" applyAlignment="0" applyProtection="0"/>
    <xf numFmtId="0" fontId="86" fillId="25" borderId="0" applyNumberFormat="0" applyBorder="0" applyAlignment="0" applyProtection="0"/>
    <xf numFmtId="0" fontId="86" fillId="28" borderId="0" applyNumberFormat="0" applyBorder="0" applyAlignment="0" applyProtection="0"/>
    <xf numFmtId="215" fontId="86" fillId="25" borderId="0" applyNumberFormat="0" applyBorder="0" applyAlignment="0" applyProtection="0"/>
    <xf numFmtId="0" fontId="86" fillId="25" borderId="0" applyNumberFormat="0" applyBorder="0" applyAlignment="0" applyProtection="0"/>
    <xf numFmtId="216" fontId="86" fillId="25" borderId="0" applyNumberFormat="0" applyBorder="0" applyAlignment="0" applyProtection="0"/>
    <xf numFmtId="0" fontId="87" fillId="25" borderId="0" applyNumberFormat="0" applyBorder="0" applyAlignment="0" applyProtection="0">
      <alignment vertical="center"/>
    </xf>
    <xf numFmtId="216" fontId="86" fillId="25" borderId="0" applyNumberFormat="0" applyBorder="0" applyAlignment="0" applyProtection="0"/>
    <xf numFmtId="215" fontId="86" fillId="26" borderId="0" applyNumberFormat="0" applyBorder="0" applyAlignment="0" applyProtection="0"/>
    <xf numFmtId="0" fontId="86" fillId="26" borderId="0" applyNumberFormat="0" applyBorder="0" applyAlignment="0" applyProtection="0"/>
    <xf numFmtId="216" fontId="86" fillId="26" borderId="0" applyNumberFormat="0" applyBorder="0" applyAlignment="0" applyProtection="0"/>
    <xf numFmtId="0" fontId="87" fillId="26" borderId="0" applyNumberFormat="0" applyBorder="0" applyAlignment="0" applyProtection="0">
      <alignment vertical="center"/>
    </xf>
    <xf numFmtId="216" fontId="86" fillId="26" borderId="0" applyNumberFormat="0" applyBorder="0" applyAlignment="0" applyProtection="0"/>
    <xf numFmtId="215" fontId="86" fillId="27" borderId="0" applyNumberFormat="0" applyBorder="0" applyAlignment="0" applyProtection="0"/>
    <xf numFmtId="0" fontId="86" fillId="27" borderId="0" applyNumberFormat="0" applyBorder="0" applyAlignment="0" applyProtection="0"/>
    <xf numFmtId="216" fontId="86" fillId="27" borderId="0" applyNumberFormat="0" applyBorder="0" applyAlignment="0" applyProtection="0"/>
    <xf numFmtId="0" fontId="87" fillId="27" borderId="0" applyNumberFormat="0" applyBorder="0" applyAlignment="0" applyProtection="0">
      <alignment vertical="center"/>
    </xf>
    <xf numFmtId="216" fontId="86" fillId="27" borderId="0" applyNumberFormat="0" applyBorder="0" applyAlignment="0" applyProtection="0"/>
    <xf numFmtId="215" fontId="86" fillId="22" borderId="0" applyNumberFormat="0" applyBorder="0" applyAlignment="0" applyProtection="0"/>
    <xf numFmtId="0" fontId="86" fillId="22" borderId="0" applyNumberFormat="0" applyBorder="0" applyAlignment="0" applyProtection="0"/>
    <xf numFmtId="216" fontId="86" fillId="22" borderId="0" applyNumberFormat="0" applyBorder="0" applyAlignment="0" applyProtection="0"/>
    <xf numFmtId="0" fontId="87" fillId="22" borderId="0" applyNumberFormat="0" applyBorder="0" applyAlignment="0" applyProtection="0">
      <alignment vertical="center"/>
    </xf>
    <xf numFmtId="216" fontId="86" fillId="22" borderId="0" applyNumberFormat="0" applyBorder="0" applyAlignment="0" applyProtection="0"/>
    <xf numFmtId="215" fontId="86" fillId="25" borderId="0" applyNumberFormat="0" applyBorder="0" applyAlignment="0" applyProtection="0"/>
    <xf numFmtId="0" fontId="86" fillId="25" borderId="0" applyNumberFormat="0" applyBorder="0" applyAlignment="0" applyProtection="0"/>
    <xf numFmtId="216" fontId="86" fillId="25" borderId="0" applyNumberFormat="0" applyBorder="0" applyAlignment="0" applyProtection="0"/>
    <xf numFmtId="0" fontId="87" fillId="25" borderId="0" applyNumberFormat="0" applyBorder="0" applyAlignment="0" applyProtection="0">
      <alignment vertical="center"/>
    </xf>
    <xf numFmtId="216" fontId="86" fillId="25" borderId="0" applyNumberFormat="0" applyBorder="0" applyAlignment="0" applyProtection="0"/>
    <xf numFmtId="215" fontId="86" fillId="28" borderId="0" applyNumberFormat="0" applyBorder="0" applyAlignment="0" applyProtection="0"/>
    <xf numFmtId="0" fontId="86" fillId="28" borderId="0" applyNumberFormat="0" applyBorder="0" applyAlignment="0" applyProtection="0"/>
    <xf numFmtId="216" fontId="86" fillId="28" borderId="0" applyNumberFormat="0" applyBorder="0" applyAlignment="0" applyProtection="0"/>
    <xf numFmtId="0" fontId="87" fillId="28" borderId="0" applyNumberFormat="0" applyBorder="0" applyAlignment="0" applyProtection="0">
      <alignment vertical="center"/>
    </xf>
    <xf numFmtId="216" fontId="86" fillId="28" borderId="0" applyNumberFormat="0" applyBorder="0" applyAlignment="0" applyProtection="0"/>
    <xf numFmtId="0" fontId="88" fillId="29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2" borderId="0" applyNumberFormat="0" applyBorder="0" applyAlignment="0" applyProtection="0"/>
    <xf numFmtId="215" fontId="88" fillId="29" borderId="0" applyNumberFormat="0" applyBorder="0" applyAlignment="0" applyProtection="0"/>
    <xf numFmtId="0" fontId="88" fillId="29" borderId="0" applyNumberFormat="0" applyBorder="0" applyAlignment="0" applyProtection="0"/>
    <xf numFmtId="216" fontId="88" fillId="29" borderId="0" applyNumberFormat="0" applyBorder="0" applyAlignment="0" applyProtection="0"/>
    <xf numFmtId="0" fontId="89" fillId="29" borderId="0" applyNumberFormat="0" applyBorder="0" applyAlignment="0" applyProtection="0">
      <alignment vertical="center"/>
    </xf>
    <xf numFmtId="216" fontId="88" fillId="29" borderId="0" applyNumberFormat="0" applyBorder="0" applyAlignment="0" applyProtection="0"/>
    <xf numFmtId="215" fontId="88" fillId="26" borderId="0" applyNumberFormat="0" applyBorder="0" applyAlignment="0" applyProtection="0"/>
    <xf numFmtId="0" fontId="88" fillId="26" borderId="0" applyNumberFormat="0" applyBorder="0" applyAlignment="0" applyProtection="0"/>
    <xf numFmtId="216" fontId="88" fillId="26" borderId="0" applyNumberFormat="0" applyBorder="0" applyAlignment="0" applyProtection="0"/>
    <xf numFmtId="0" fontId="89" fillId="26" borderId="0" applyNumberFormat="0" applyBorder="0" applyAlignment="0" applyProtection="0">
      <alignment vertical="center"/>
    </xf>
    <xf numFmtId="216" fontId="88" fillId="26" borderId="0" applyNumberFormat="0" applyBorder="0" applyAlignment="0" applyProtection="0"/>
    <xf numFmtId="215" fontId="88" fillId="27" borderId="0" applyNumberFormat="0" applyBorder="0" applyAlignment="0" applyProtection="0"/>
    <xf numFmtId="0" fontId="88" fillId="27" borderId="0" applyNumberFormat="0" applyBorder="0" applyAlignment="0" applyProtection="0"/>
    <xf numFmtId="216" fontId="88" fillId="27" borderId="0" applyNumberFormat="0" applyBorder="0" applyAlignment="0" applyProtection="0"/>
    <xf numFmtId="0" fontId="89" fillId="27" borderId="0" applyNumberFormat="0" applyBorder="0" applyAlignment="0" applyProtection="0">
      <alignment vertical="center"/>
    </xf>
    <xf numFmtId="216" fontId="88" fillId="27" borderId="0" applyNumberFormat="0" applyBorder="0" applyAlignment="0" applyProtection="0"/>
    <xf numFmtId="215" fontId="88" fillId="30" borderId="0" applyNumberFormat="0" applyBorder="0" applyAlignment="0" applyProtection="0"/>
    <xf numFmtId="0" fontId="88" fillId="30" borderId="0" applyNumberFormat="0" applyBorder="0" applyAlignment="0" applyProtection="0"/>
    <xf numFmtId="216" fontId="88" fillId="30" borderId="0" applyNumberFormat="0" applyBorder="0" applyAlignment="0" applyProtection="0"/>
    <xf numFmtId="0" fontId="89" fillId="30" borderId="0" applyNumberFormat="0" applyBorder="0" applyAlignment="0" applyProtection="0">
      <alignment vertical="center"/>
    </xf>
    <xf numFmtId="216" fontId="88" fillId="30" borderId="0" applyNumberFormat="0" applyBorder="0" applyAlignment="0" applyProtection="0"/>
    <xf numFmtId="215" fontId="88" fillId="31" borderId="0" applyNumberFormat="0" applyBorder="0" applyAlignment="0" applyProtection="0"/>
    <xf numFmtId="0" fontId="88" fillId="31" borderId="0" applyNumberFormat="0" applyBorder="0" applyAlignment="0" applyProtection="0"/>
    <xf numFmtId="216" fontId="88" fillId="31" borderId="0" applyNumberFormat="0" applyBorder="0" applyAlignment="0" applyProtection="0"/>
    <xf numFmtId="0" fontId="89" fillId="31" borderId="0" applyNumberFormat="0" applyBorder="0" applyAlignment="0" applyProtection="0">
      <alignment vertical="center"/>
    </xf>
    <xf numFmtId="216" fontId="88" fillId="31" borderId="0" applyNumberFormat="0" applyBorder="0" applyAlignment="0" applyProtection="0"/>
    <xf numFmtId="215" fontId="88" fillId="32" borderId="0" applyNumberFormat="0" applyBorder="0" applyAlignment="0" applyProtection="0"/>
    <xf numFmtId="0" fontId="88" fillId="32" borderId="0" applyNumberFormat="0" applyBorder="0" applyAlignment="0" applyProtection="0"/>
    <xf numFmtId="216" fontId="88" fillId="32" borderId="0" applyNumberFormat="0" applyBorder="0" applyAlignment="0" applyProtection="0"/>
    <xf numFmtId="0" fontId="89" fillId="32" borderId="0" applyNumberFormat="0" applyBorder="0" applyAlignment="0" applyProtection="0">
      <alignment vertical="center"/>
    </xf>
    <xf numFmtId="216" fontId="88" fillId="32" borderId="0" applyNumberFormat="0" applyBorder="0" applyAlignment="0" applyProtection="0"/>
    <xf numFmtId="204" fontId="4" fillId="0" borderId="3">
      <alignment horizontal="center"/>
    </xf>
    <xf numFmtId="204" fontId="4" fillId="0" borderId="3">
      <alignment horizontal="center"/>
    </xf>
    <xf numFmtId="252" fontId="9" fillId="0" borderId="8" applyFont="0" applyFill="0" applyBorder="0" applyAlignment="0" applyProtection="0">
      <alignment horizontal="center"/>
    </xf>
    <xf numFmtId="252" fontId="9" fillId="0" borderId="8" applyFont="0" applyFill="0" applyBorder="0" applyAlignment="0" applyProtection="0">
      <alignment horizontal="center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238" fontId="4" fillId="0" borderId="0" applyFill="0" applyBorder="0" applyProtection="0">
      <alignment horizontal="right"/>
    </xf>
    <xf numFmtId="178" fontId="9" fillId="0" borderId="0" applyFill="0" applyBorder="0" applyProtection="0">
      <alignment horizontal="right"/>
    </xf>
    <xf numFmtId="178" fontId="9" fillId="0" borderId="0" applyFill="0" applyBorder="0" applyProtection="0">
      <alignment horizontal="right"/>
    </xf>
    <xf numFmtId="267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0" fontId="90" fillId="0" borderId="1" applyBorder="0"/>
    <xf numFmtId="215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215" fontId="90" fillId="0" borderId="1" applyBorder="0"/>
    <xf numFmtId="215" fontId="90" fillId="0" borderId="1" applyBorder="0"/>
    <xf numFmtId="216" fontId="90" fillId="0" borderId="1" applyBorder="0"/>
    <xf numFmtId="216" fontId="90" fillId="0" borderId="1" applyBorder="0"/>
    <xf numFmtId="0" fontId="90" fillId="0" borderId="1" applyBorder="0"/>
    <xf numFmtId="0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216" fontId="90" fillId="0" borderId="1" applyBorder="0"/>
    <xf numFmtId="0" fontId="88" fillId="33" borderId="0" applyNumberFormat="0" applyBorder="0" applyAlignment="0" applyProtection="0"/>
    <xf numFmtId="215" fontId="91" fillId="3" borderId="0" applyNumberFormat="0" applyBorder="0" applyAlignment="0" applyProtection="0"/>
    <xf numFmtId="215" fontId="91" fillId="3" borderId="0" applyNumberFormat="0" applyBorder="0" applyAlignment="0" applyProtection="0"/>
    <xf numFmtId="216" fontId="91" fillId="3" borderId="0" applyNumberFormat="0" applyBorder="0" applyAlignment="0" applyProtection="0"/>
    <xf numFmtId="216" fontId="91" fillId="3" borderId="0" applyNumberFormat="0" applyBorder="0" applyAlignment="0" applyProtection="0"/>
    <xf numFmtId="216" fontId="91" fillId="3" borderId="0" applyNumberFormat="0" applyBorder="0" applyAlignment="0" applyProtection="0"/>
    <xf numFmtId="216" fontId="91" fillId="3" borderId="0" applyNumberFormat="0" applyBorder="0" applyAlignment="0" applyProtection="0"/>
    <xf numFmtId="0" fontId="91" fillId="3" borderId="0" applyNumberFormat="0" applyBorder="0" applyAlignment="0" applyProtection="0"/>
    <xf numFmtId="216" fontId="91" fillId="3" borderId="0" applyNumberFormat="0" applyBorder="0" applyAlignment="0" applyProtection="0"/>
    <xf numFmtId="216" fontId="91" fillId="3" borderId="0" applyNumberFormat="0" applyBorder="0" applyAlignment="0" applyProtection="0"/>
    <xf numFmtId="0" fontId="92" fillId="3" borderId="0" applyNumberFormat="0" applyBorder="0" applyAlignment="0" applyProtection="0"/>
    <xf numFmtId="0" fontId="88" fillId="34" borderId="0" applyNumberFormat="0" applyBorder="0" applyAlignment="0" applyProtection="0"/>
    <xf numFmtId="0" fontId="88" fillId="35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6" borderId="0" applyNumberFormat="0" applyBorder="0" applyAlignment="0" applyProtection="0"/>
    <xf numFmtId="25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95" fillId="37" borderId="9" applyNumberFormat="0" applyFont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44" fillId="0" borderId="0"/>
    <xf numFmtId="0" fontId="81" fillId="0" borderId="0"/>
    <xf numFmtId="0" fontId="81" fillId="0" borderId="0"/>
    <xf numFmtId="0" fontId="4" fillId="0" borderId="0"/>
    <xf numFmtId="0" fontId="4" fillId="0" borderId="0"/>
    <xf numFmtId="0" fontId="44" fillId="0" borderId="0"/>
    <xf numFmtId="0" fontId="81" fillId="0" borderId="0"/>
    <xf numFmtId="0" fontId="81" fillId="0" borderId="0"/>
    <xf numFmtId="37" fontId="96" fillId="0" borderId="0"/>
    <xf numFmtId="0" fontId="97" fillId="2" borderId="0" applyNumberFormat="0" applyBorder="0" applyAlignment="0" applyProtection="0">
      <alignment vertical="center"/>
    </xf>
    <xf numFmtId="275" fontId="98" fillId="38" borderId="7" applyNumberFormat="0" applyAlignment="0">
      <alignment horizontal="right"/>
    </xf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277" fontId="4" fillId="0" borderId="0" applyNumberFormat="0" applyAlignment="0">
      <alignment horizontal="left"/>
    </xf>
    <xf numFmtId="176" fontId="101" fillId="0" borderId="10" applyNumberFormat="0" applyBorder="0" applyAlignment="0"/>
    <xf numFmtId="278" fontId="4" fillId="0" borderId="0"/>
    <xf numFmtId="278" fontId="4" fillId="0" borderId="0"/>
    <xf numFmtId="252" fontId="4" fillId="0" borderId="11" applyFont="0" applyFill="0" applyBorder="0" applyAlignment="0" applyProtection="0"/>
    <xf numFmtId="252" fontId="4" fillId="0" borderId="11" applyFont="0" applyFill="0" applyBorder="0" applyAlignment="0" applyProtection="0"/>
    <xf numFmtId="176" fontId="49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279" fontId="45" fillId="0" borderId="0" applyFont="0" applyFill="0" applyBorder="0" applyProtection="0">
      <alignment horizontal="right"/>
    </xf>
    <xf numFmtId="278" fontId="17" fillId="0" borderId="0" applyFont="0" applyFill="0" applyBorder="0" applyAlignment="0" applyProtection="0"/>
    <xf numFmtId="280" fontId="26" fillId="0" borderId="12">
      <alignment horizontal="left"/>
    </xf>
    <xf numFmtId="247" fontId="4" fillId="0" borderId="13" applyBorder="0">
      <alignment horizontal="right"/>
    </xf>
    <xf numFmtId="0" fontId="103" fillId="0" borderId="0" applyNumberFormat="0" applyFill="0" applyBorder="0" applyProtection="0">
      <alignment horizontal="left"/>
    </xf>
    <xf numFmtId="0" fontId="94" fillId="0" borderId="0"/>
    <xf numFmtId="0" fontId="94" fillId="0" borderId="0"/>
    <xf numFmtId="281" fontId="4" fillId="0" borderId="0" applyFill="0" applyBorder="0" applyAlignment="0"/>
    <xf numFmtId="281" fontId="4" fillId="0" borderId="0" applyFill="0" applyBorder="0" applyAlignment="0"/>
    <xf numFmtId="282" fontId="104" fillId="0" borderId="0" applyFill="0" applyBorder="0" applyAlignment="0"/>
    <xf numFmtId="283" fontId="4" fillId="0" borderId="0" applyFill="0" applyBorder="0" applyAlignment="0"/>
    <xf numFmtId="283" fontId="4" fillId="0" borderId="0" applyFill="0" applyBorder="0" applyAlignment="0"/>
    <xf numFmtId="204" fontId="4" fillId="0" borderId="3">
      <alignment horizontal="center"/>
    </xf>
    <xf numFmtId="204" fontId="4" fillId="0" borderId="3">
      <alignment horizontal="center"/>
    </xf>
    <xf numFmtId="186" fontId="105" fillId="0" borderId="0" applyFill="0" applyBorder="0" applyAlignment="0"/>
    <xf numFmtId="284" fontId="4" fillId="0" borderId="0" applyFill="0" applyBorder="0" applyAlignment="0"/>
    <xf numFmtId="284" fontId="4" fillId="0" borderId="0" applyFill="0" applyBorder="0" applyAlignment="0"/>
    <xf numFmtId="285" fontId="4" fillId="0" borderId="0" applyFill="0" applyBorder="0" applyAlignment="0"/>
    <xf numFmtId="285" fontId="4" fillId="0" borderId="0" applyFill="0" applyBorder="0" applyAlignment="0"/>
    <xf numFmtId="204" fontId="4" fillId="0" borderId="3" applyFill="0" applyProtection="0">
      <alignment horizontal="center"/>
    </xf>
    <xf numFmtId="204" fontId="4" fillId="0" borderId="3" applyFill="0" applyProtection="0">
      <alignment horizontal="center"/>
    </xf>
    <xf numFmtId="281" fontId="4" fillId="0" borderId="0" applyFill="0" applyBorder="0" applyAlignment="0"/>
    <xf numFmtId="281" fontId="4" fillId="0" borderId="0" applyFill="0" applyBorder="0" applyAlignment="0"/>
    <xf numFmtId="286" fontId="4" fillId="0" borderId="0" applyFill="0" applyBorder="0" applyAlignment="0"/>
    <xf numFmtId="286" fontId="4" fillId="0" borderId="0" applyFill="0" applyBorder="0" applyAlignment="0"/>
    <xf numFmtId="287" fontId="4" fillId="0" borderId="0" applyFill="0" applyBorder="0" applyAlignment="0"/>
    <xf numFmtId="288" fontId="42" fillId="0" borderId="0" applyFill="0" applyBorder="0" applyAlignment="0"/>
    <xf numFmtId="289" fontId="42" fillId="0" borderId="0" applyFill="0" applyBorder="0" applyAlignment="0"/>
    <xf numFmtId="287" fontId="4" fillId="0" borderId="0" applyFill="0" applyBorder="0" applyAlignment="0"/>
    <xf numFmtId="0" fontId="106" fillId="37" borderId="14" applyNumberFormat="0" applyAlignment="0" applyProtection="0"/>
    <xf numFmtId="0" fontId="107" fillId="0" borderId="0"/>
    <xf numFmtId="215" fontId="107" fillId="0" borderId="0"/>
    <xf numFmtId="216" fontId="107" fillId="0" borderId="0"/>
    <xf numFmtId="216" fontId="107" fillId="0" borderId="0"/>
    <xf numFmtId="216" fontId="107" fillId="0" borderId="0"/>
    <xf numFmtId="216" fontId="107" fillId="0" borderId="0"/>
    <xf numFmtId="216" fontId="107" fillId="0" borderId="0"/>
    <xf numFmtId="216" fontId="107" fillId="0" borderId="0"/>
    <xf numFmtId="215" fontId="107" fillId="0" borderId="0"/>
    <xf numFmtId="215" fontId="107" fillId="0" borderId="0"/>
    <xf numFmtId="216" fontId="107" fillId="0" borderId="0"/>
    <xf numFmtId="216" fontId="107" fillId="0" borderId="0"/>
    <xf numFmtId="0" fontId="107" fillId="0" borderId="0"/>
    <xf numFmtId="0" fontId="107" fillId="0" borderId="0"/>
    <xf numFmtId="216" fontId="107" fillId="0" borderId="0"/>
    <xf numFmtId="216" fontId="107" fillId="0" borderId="0"/>
    <xf numFmtId="216" fontId="107" fillId="0" borderId="0"/>
    <xf numFmtId="216" fontId="107" fillId="0" borderId="0"/>
    <xf numFmtId="0" fontId="75" fillId="0" borderId="0" applyFill="0" applyBorder="0" applyAlignment="0" applyProtection="0">
      <alignment horizontal="center"/>
    </xf>
    <xf numFmtId="39" fontId="75" fillId="0" borderId="0" applyFill="0" applyBorder="0" applyAlignment="0" applyProtection="0"/>
    <xf numFmtId="38" fontId="45" fillId="0" borderId="0" applyFont="0" applyFill="0" applyBorder="0" applyAlignment="0" applyProtection="0"/>
    <xf numFmtId="0" fontId="108" fillId="39" borderId="15" applyNumberFormat="0" applyAlignment="0" applyProtection="0"/>
    <xf numFmtId="242" fontId="109" fillId="0" borderId="0">
      <alignment horizontal="center"/>
    </xf>
    <xf numFmtId="242" fontId="109" fillId="0" borderId="1">
      <alignment horizontal="center"/>
    </xf>
    <xf numFmtId="0" fontId="110" fillId="0" borderId="0" applyNumberFormat="0" applyFill="0" applyBorder="0" applyProtection="0">
      <alignment horizontal="right"/>
    </xf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290" fontId="4" fillId="0" borderId="0"/>
    <xf numFmtId="0" fontId="111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2" fontId="45" fillId="0" borderId="0" applyFont="0" applyFill="0" applyBorder="0" applyAlignment="0" applyProtection="0">
      <alignment horizontal="centerContinuous"/>
    </xf>
    <xf numFmtId="291" fontId="45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3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4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4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5" fontId="111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40" fontId="95" fillId="0" borderId="0" applyFont="0" applyFill="0" applyBorder="0" applyAlignment="0" applyProtection="0"/>
    <xf numFmtId="296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297" fontId="45" fillId="0" borderId="0" applyFont="0" applyFill="0" applyBorder="0" applyAlignment="0" applyProtection="0"/>
    <xf numFmtId="39" fontId="45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99" fontId="45" fillId="0" borderId="0" applyFont="0" applyFill="0" applyBorder="0" applyAlignment="0" applyProtection="0">
      <alignment horizontal="centerContinuous"/>
    </xf>
    <xf numFmtId="300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255" fontId="111" fillId="0" borderId="0" applyFont="0" applyFill="0" applyBorder="0" applyAlignment="0" applyProtection="0">
      <alignment horizontal="centerContinuous"/>
    </xf>
    <xf numFmtId="26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26" fillId="0" borderId="0">
      <alignment vertical="center"/>
    </xf>
    <xf numFmtId="301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297" fontId="45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39" fontId="45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212" fontId="86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5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6" fillId="0" borderId="0">
      <alignment vertical="center"/>
    </xf>
    <xf numFmtId="212" fontId="4" fillId="0" borderId="0" applyFont="0" applyFill="0" applyBorder="0" applyAlignment="0" applyProtection="0"/>
    <xf numFmtId="0" fontId="26" fillId="0" borderId="0">
      <alignment vertical="center"/>
    </xf>
    <xf numFmtId="212" fontId="45" fillId="0" borderId="0" applyFont="0" applyFill="0" applyBorder="0" applyAlignment="0" applyProtection="0"/>
    <xf numFmtId="212" fontId="45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/>
    <xf numFmtId="0" fontId="26" fillId="0" borderId="0">
      <alignment vertical="center"/>
    </xf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283" fontId="46" fillId="0" borderId="0"/>
    <xf numFmtId="0" fontId="4" fillId="0" borderId="0"/>
    <xf numFmtId="0" fontId="4" fillId="0" borderId="0"/>
    <xf numFmtId="0" fontId="26" fillId="0" borderId="0">
      <alignment vertical="center"/>
    </xf>
    <xf numFmtId="37" fontId="4" fillId="0" borderId="0" applyFont="0" applyFill="0" applyBorder="0" applyAlignment="0" applyProtection="0">
      <alignment horizontal="right"/>
    </xf>
    <xf numFmtId="37" fontId="4" fillId="0" borderId="0" applyFont="0" applyFill="0" applyBorder="0" applyAlignment="0" applyProtection="0">
      <alignment horizontal="right"/>
    </xf>
    <xf numFmtId="0" fontId="26" fillId="0" borderId="0">
      <alignment vertical="center"/>
    </xf>
    <xf numFmtId="37" fontId="4" fillId="0" borderId="0" applyFont="0" applyFill="0" applyBorder="0" applyAlignment="0" applyProtection="0">
      <alignment horizontal="right"/>
    </xf>
    <xf numFmtId="37" fontId="4" fillId="0" borderId="0" applyFont="0" applyFill="0" applyBorder="0" applyAlignment="0" applyProtection="0">
      <alignment horizontal="right"/>
    </xf>
    <xf numFmtId="37" fontId="81" fillId="0" borderId="0" applyFont="0" applyFill="0" applyBorder="0" applyAlignment="0" applyProtection="0">
      <alignment horizontal="right"/>
    </xf>
    <xf numFmtId="37" fontId="4" fillId="0" borderId="0" applyFont="0" applyFill="0" applyBorder="0" applyAlignment="0" applyProtection="0">
      <alignment horizontal="right"/>
    </xf>
    <xf numFmtId="0" fontId="4" fillId="0" borderId="0"/>
    <xf numFmtId="0" fontId="26" fillId="0" borderId="0">
      <alignment vertical="center"/>
    </xf>
    <xf numFmtId="40" fontId="45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0" fontId="112" fillId="0" borderId="0" applyNumberFormat="0">
      <alignment horizontal="center" vertical="top" wrapText="1"/>
    </xf>
    <xf numFmtId="0" fontId="4" fillId="0" borderId="0"/>
    <xf numFmtId="0" fontId="26" fillId="0" borderId="0">
      <alignment vertical="center"/>
    </xf>
    <xf numFmtId="302" fontId="46" fillId="0" borderId="0" applyFont="0" applyFill="0" applyBorder="0" applyAlignment="0" applyProtection="0">
      <alignment horizontal="center"/>
      <protection locked="0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3" fillId="0" borderId="0" applyNumberFormat="0" applyAlignment="0">
      <alignment horizontal="left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2" fillId="0" borderId="0" applyNumberFormat="0" applyAlignment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303" fontId="4" fillId="0" borderId="0">
      <alignment horizontal="center"/>
    </xf>
    <xf numFmtId="303" fontId="4" fillId="0" borderId="0">
      <alignment horizontal="center"/>
    </xf>
    <xf numFmtId="303" fontId="4" fillId="0" borderId="0">
      <alignment horizontal="center"/>
    </xf>
    <xf numFmtId="303" fontId="4" fillId="0" borderId="0">
      <alignment horizontal="center"/>
    </xf>
    <xf numFmtId="304" fontId="46" fillId="0" borderId="0">
      <alignment horizontal="center"/>
    </xf>
    <xf numFmtId="303" fontId="4" fillId="0" borderId="0">
      <alignment horizontal="center"/>
    </xf>
    <xf numFmtId="0" fontId="4" fillId="0" borderId="0"/>
    <xf numFmtId="0" fontId="4" fillId="0" borderId="0"/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5" fontId="45" fillId="0" borderId="0" applyFont="0" applyFill="0" applyBorder="0" applyAlignment="0" applyProtection="0">
      <alignment horizontal="centerContinuous"/>
    </xf>
    <xf numFmtId="306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206" fontId="95" fillId="0" borderId="0" applyFont="0" applyFill="0" applyBorder="0" applyAlignment="0" applyProtection="0"/>
    <xf numFmtId="0" fontId="4" fillId="0" borderId="0"/>
    <xf numFmtId="0" fontId="4" fillId="0" borderId="0"/>
    <xf numFmtId="0" fontId="26" fillId="0" borderId="0">
      <alignment vertical="center"/>
    </xf>
    <xf numFmtId="307" fontId="4" fillId="0" borderId="0" applyFont="0" applyFill="0" applyBorder="0" applyAlignment="0" applyProtection="0"/>
    <xf numFmtId="307" fontId="4" fillId="0" borderId="0" applyFont="0" applyFill="0" applyBorder="0" applyAlignment="0" applyProtection="0"/>
    <xf numFmtId="0" fontId="26" fillId="0" borderId="0">
      <alignment vertical="center"/>
    </xf>
    <xf numFmtId="307" fontId="4" fillId="0" borderId="0" applyFont="0" applyFill="0" applyBorder="0" applyAlignment="0" applyProtection="0"/>
    <xf numFmtId="307" fontId="4" fillId="0" borderId="0" applyFont="0" applyFill="0" applyBorder="0" applyAlignment="0" applyProtection="0"/>
    <xf numFmtId="307" fontId="4" fillId="0" borderId="0" applyFont="0" applyFill="0" applyBorder="0" applyAlignment="0" applyProtection="0"/>
    <xf numFmtId="0" fontId="4" fillId="0" borderId="0"/>
    <xf numFmtId="0" fontId="4" fillId="0" borderId="0"/>
    <xf numFmtId="0" fontId="26" fillId="0" borderId="0">
      <alignment vertical="center"/>
    </xf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26" fillId="0" borderId="0">
      <alignment vertical="center"/>
    </xf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4" fillId="0" borderId="0"/>
    <xf numFmtId="0" fontId="4" fillId="0" borderId="0"/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111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296" fontId="45" fillId="0" borderId="0" applyFont="0" applyFill="0" applyBorder="0" applyAlignment="0" applyProtection="0">
      <alignment horizontal="centerContinuous"/>
    </xf>
    <xf numFmtId="310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1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09" fontId="45" fillId="0" borderId="0" applyFont="0" applyFill="0" applyBorder="0" applyAlignment="0" applyProtection="0">
      <alignment horizontal="centerContinuous"/>
    </xf>
    <xf numFmtId="181" fontId="45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86" fillId="0" borderId="0"/>
    <xf numFmtId="0" fontId="86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86" fillId="0" borderId="0"/>
    <xf numFmtId="0" fontId="86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86" fillId="0" borderId="0"/>
    <xf numFmtId="0" fontId="86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Font="0" applyFill="0" applyBorder="0" applyAlignment="0" applyProtection="0">
      <alignment horizontal="centerContinuous"/>
    </xf>
    <xf numFmtId="0" fontId="4" fillId="0" borderId="0" applyFont="0" applyFill="0" applyBorder="0" applyAlignment="0" applyProtection="0">
      <alignment horizontal="centerContinuous"/>
    </xf>
    <xf numFmtId="0" fontId="4" fillId="0" borderId="0"/>
    <xf numFmtId="0" fontId="4" fillId="0" borderId="0"/>
    <xf numFmtId="0" fontId="86" fillId="0" borderId="0"/>
    <xf numFmtId="0" fontId="86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/>
    <xf numFmtId="0" fontId="4" fillId="0" borderId="0"/>
    <xf numFmtId="0" fontId="86" fillId="0" borderId="0"/>
    <xf numFmtId="0" fontId="86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311" fontId="4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311" fontId="4" fillId="0" borderId="0" applyFont="0" applyFill="0" applyBorder="0" applyAlignment="0" applyProtection="0"/>
    <xf numFmtId="0" fontId="26" fillId="0" borderId="0">
      <alignment vertical="center"/>
    </xf>
    <xf numFmtId="0" fontId="86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312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 applyFont="0" applyFill="0" applyBorder="0" applyAlignment="0" applyProtection="0"/>
    <xf numFmtId="0" fontId="26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26" fillId="0" borderId="0">
      <alignment vertical="center"/>
    </xf>
    <xf numFmtId="0" fontId="86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86" fillId="0" borderId="0"/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11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313" fontId="4" fillId="0" borderId="0">
      <alignment vertical="top"/>
    </xf>
    <xf numFmtId="0" fontId="115" fillId="0" borderId="0">
      <alignment vertical="center"/>
    </xf>
    <xf numFmtId="0" fontId="4" fillId="0" borderId="0">
      <protection locked="0"/>
    </xf>
    <xf numFmtId="0" fontId="87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>
      <protection locked="0"/>
    </xf>
    <xf numFmtId="0" fontId="4" fillId="0" borderId="0"/>
    <xf numFmtId="0" fontId="26" fillId="0" borderId="0">
      <alignment vertical="center"/>
    </xf>
    <xf numFmtId="0" fontId="4" fillId="0" borderId="0">
      <protection locked="0"/>
    </xf>
    <xf numFmtId="0" fontId="26" fillId="0" borderId="0">
      <alignment vertical="center"/>
    </xf>
    <xf numFmtId="314" fontId="4" fillId="0" borderId="0"/>
    <xf numFmtId="0" fontId="2" fillId="0" borderId="0"/>
    <xf numFmtId="0" fontId="4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>
      <protection locked="0"/>
    </xf>
    <xf numFmtId="0" fontId="26" fillId="0" borderId="0">
      <alignment vertical="center"/>
    </xf>
    <xf numFmtId="0" fontId="2" fillId="0" borderId="0"/>
    <xf numFmtId="0" fontId="4" fillId="0" borderId="0"/>
    <xf numFmtId="0" fontId="86" fillId="0" borderId="0"/>
    <xf numFmtId="0" fontId="86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86" fillId="0" borderId="0"/>
    <xf numFmtId="0" fontId="86" fillId="0" borderId="0"/>
    <xf numFmtId="0" fontId="2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/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>
      <protection locked="0"/>
    </xf>
    <xf numFmtId="0" fontId="4" fillId="0" borderId="0">
      <protection locked="0"/>
    </xf>
    <xf numFmtId="0" fontId="4" fillId="0" borderId="0"/>
    <xf numFmtId="0" fontId="26" fillId="0" borderId="0">
      <alignment vertical="center"/>
    </xf>
    <xf numFmtId="0" fontId="4" fillId="0" borderId="0">
      <protection locked="0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4" fillId="0" borderId="0"/>
    <xf numFmtId="0" fontId="4" fillId="0" borderId="0" applyNumberFormat="0" applyFill="0" applyBorder="0" applyAlignment="0" applyProtection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38" fontId="45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26" fillId="0" borderId="0">
      <alignment vertical="center"/>
    </xf>
    <xf numFmtId="9" fontId="4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2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213" fontId="45" fillId="0" borderId="0" applyFont="0" applyFill="0" applyBorder="0" applyAlignment="0" applyProtection="0"/>
    <xf numFmtId="214" fontId="45" fillId="0" borderId="0" applyFont="0" applyFill="0" applyBorder="0" applyAlignment="0" applyProtection="0"/>
    <xf numFmtId="0" fontId="26" fillId="0" borderId="0">
      <alignment vertical="center"/>
    </xf>
    <xf numFmtId="214" fontId="45" fillId="0" borderId="0" applyFont="0" applyFill="0" applyBorder="0" applyAlignment="0" applyProtection="0"/>
    <xf numFmtId="214" fontId="45" fillId="0" borderId="0" applyFont="0" applyFill="0" applyBorder="0" applyAlignment="0" applyProtection="0"/>
    <xf numFmtId="0" fontId="26" fillId="0" borderId="0">
      <alignment vertical="center"/>
    </xf>
    <xf numFmtId="214" fontId="45" fillId="0" borderId="0" applyFont="0" applyFill="0" applyBorder="0" applyAlignment="0" applyProtection="0"/>
    <xf numFmtId="0" fontId="26" fillId="0" borderId="0">
      <alignment vertical="center"/>
    </xf>
    <xf numFmtId="214" fontId="45" fillId="0" borderId="0" applyFont="0" applyFill="0" applyBorder="0" applyAlignment="0" applyProtection="0"/>
    <xf numFmtId="0" fontId="26" fillId="0" borderId="0">
      <alignment vertical="center"/>
    </xf>
    <xf numFmtId="214" fontId="45" fillId="0" borderId="0" applyFont="0" applyFill="0" applyBorder="0" applyAlignment="0" applyProtection="0"/>
    <xf numFmtId="0" fontId="26" fillId="0" borderId="0">
      <alignment vertical="center"/>
    </xf>
    <xf numFmtId="311" fontId="53" fillId="0" borderId="0" applyFon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4" fillId="0" borderId="0"/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9" fontId="4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9" fontId="4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9" fontId="81" fillId="0" borderId="0" applyFont="0" applyFill="0" applyBorder="0" applyAlignment="0" applyProtection="0"/>
    <xf numFmtId="0" fontId="26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8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11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86" fillId="0" borderId="0"/>
    <xf numFmtId="0" fontId="4" fillId="0" borderId="0"/>
    <xf numFmtId="0" fontId="118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26" fillId="0" borderId="0">
      <alignment vertical="center"/>
    </xf>
    <xf numFmtId="0" fontId="26" fillId="0" borderId="0">
      <alignment vertical="center"/>
    </xf>
    <xf numFmtId="0" fontId="86" fillId="0" borderId="0"/>
    <xf numFmtId="0" fontId="4" fillId="0" borderId="0"/>
    <xf numFmtId="0" fontId="26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115" fillId="0" borderId="0">
      <alignment vertical="center"/>
    </xf>
    <xf numFmtId="0" fontId="24" fillId="0" borderId="0">
      <alignment vertical="center"/>
    </xf>
    <xf numFmtId="0" fontId="87" fillId="0" borderId="0">
      <alignment vertical="center"/>
    </xf>
    <xf numFmtId="0" fontId="117" fillId="0" borderId="0"/>
    <xf numFmtId="0" fontId="4" fillId="0" borderId="0"/>
    <xf numFmtId="0" fontId="8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191" fontId="24" fillId="0" borderId="0">
      <alignment vertical="center"/>
    </xf>
    <xf numFmtId="0" fontId="81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86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115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1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11" fontId="2" fillId="0" borderId="0" applyFont="0" applyFill="0" applyBorder="0" applyAlignment="0" applyProtection="0"/>
    <xf numFmtId="311" fontId="4" fillId="0" borderId="0" applyFont="0" applyFill="0" applyBorder="0" applyAlignment="0" applyProtection="0"/>
    <xf numFmtId="44" fontId="24" fillId="0" borderId="0" applyFont="0" applyFill="0" applyBorder="0" applyAlignment="0" applyProtection="0">
      <alignment vertical="center"/>
    </xf>
    <xf numFmtId="213" fontId="45" fillId="0" borderId="0" applyFont="0" applyFill="0" applyBorder="0" applyAlignment="0" applyProtection="0"/>
    <xf numFmtId="214" fontId="45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212" fontId="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12" fontId="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3" fontId="8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7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86" fillId="0" borderId="0"/>
    <xf numFmtId="0" fontId="86" fillId="0" borderId="0"/>
    <xf numFmtId="0" fontId="86" fillId="0" borderId="0"/>
    <xf numFmtId="38" fontId="45" fillId="0" borderId="0" applyFont="0" applyFill="0" applyBorder="0" applyAlignment="0" applyProtection="0"/>
    <xf numFmtId="0" fontId="43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86" fillId="0" borderId="0"/>
    <xf numFmtId="0" fontId="45" fillId="0" borderId="0" applyFont="0" applyFill="0" applyBorder="0" applyAlignment="0" applyProtection="0"/>
    <xf numFmtId="0" fontId="45" fillId="0" borderId="0"/>
    <xf numFmtId="0" fontId="86" fillId="0" borderId="0"/>
    <xf numFmtId="0" fontId="86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86" fillId="0" borderId="0"/>
    <xf numFmtId="0" fontId="4" fillId="0" borderId="0"/>
    <xf numFmtId="0" fontId="2" fillId="0" borderId="0">
      <alignment vertical="center"/>
    </xf>
  </cellStyleXfs>
  <cellXfs count="391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1" applyFont="1" applyFill="1" applyBorder="1"/>
    <xf numFmtId="44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4" borderId="0" xfId="0" applyFont="1" applyFill="1">
      <alignment vertical="center"/>
    </xf>
    <xf numFmtId="177" fontId="0" fillId="0" borderId="0" xfId="0" applyNumberFormat="1" applyFill="1">
      <alignment vertical="center"/>
    </xf>
    <xf numFmtId="0" fontId="4" fillId="0" borderId="0" xfId="2" applyFont="1" applyFill="1" applyBorder="1" applyAlignment="1">
      <alignment horizontal="left"/>
    </xf>
    <xf numFmtId="0" fontId="4" fillId="0" borderId="0" xfId="2" applyFont="1" applyFill="1" applyBorder="1" applyAlignment="1">
      <alignment horizontal="center"/>
    </xf>
    <xf numFmtId="0" fontId="4" fillId="0" borderId="0" xfId="2" applyFont="1" applyFill="1" applyBorder="1"/>
    <xf numFmtId="9" fontId="7" fillId="0" borderId="0" xfId="3" applyNumberFormat="1" applyFont="1" applyFill="1" applyBorder="1" applyAlignment="1" applyProtection="1">
      <alignment horizontal="center"/>
    </xf>
    <xf numFmtId="9" fontId="4" fillId="0" borderId="0" xfId="1" applyNumberFormat="1" applyFont="1" applyFill="1" applyBorder="1" applyAlignment="1">
      <alignment horizontal="center"/>
    </xf>
    <xf numFmtId="9" fontId="0" fillId="0" borderId="0" xfId="0" applyNumberFormat="1" applyFill="1" applyAlignment="1">
      <alignment horizontal="center" vertical="center"/>
    </xf>
    <xf numFmtId="43" fontId="8" fillId="0" borderId="0" xfId="3" applyNumberFormat="1" applyFont="1" applyFill="1" applyBorder="1" applyAlignment="1" applyProtection="1">
      <alignment horizontal="center" textRotation="90"/>
      <protection locked="0"/>
    </xf>
    <xf numFmtId="0" fontId="10" fillId="0" borderId="0" xfId="4" applyFont="1" applyFill="1" applyAlignment="1">
      <alignment horizontal="center" wrapText="1"/>
    </xf>
    <xf numFmtId="0" fontId="10" fillId="4" borderId="0" xfId="4" applyFont="1" applyFill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43" fontId="11" fillId="0" borderId="0" xfId="3" applyFont="1" applyFill="1" applyBorder="1" applyAlignment="1">
      <alignment horizontal="centerContinuous" shrinkToFit="1"/>
    </xf>
    <xf numFmtId="0" fontId="12" fillId="0" borderId="0" xfId="0" applyFont="1" applyFill="1" applyAlignment="1">
      <alignment horizontal="centerContinuous" vertical="center"/>
    </xf>
    <xf numFmtId="0" fontId="0" fillId="0" borderId="1" xfId="0" applyFill="1" applyBorder="1" applyAlignment="1">
      <alignment horizontal="centerContinuous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13" fillId="0" borderId="0" xfId="2" applyFont="1" applyFill="1" applyBorder="1" applyAlignment="1">
      <alignment horizontal="centerContinuous"/>
    </xf>
    <xf numFmtId="0" fontId="13" fillId="0" borderId="0" xfId="2" applyFont="1" applyFill="1" applyBorder="1" applyAlignment="1">
      <alignment horizontal="left"/>
    </xf>
    <xf numFmtId="0" fontId="13" fillId="0" borderId="0" xfId="0" applyFont="1" applyFill="1" applyAlignment="1">
      <alignment horizontal="centerContinuous" vertical="center"/>
    </xf>
    <xf numFmtId="0" fontId="0" fillId="0" borderId="0" xfId="0" applyFont="1" applyFill="1" applyAlignment="1">
      <alignment horizontal="centerContinuous" vertical="center"/>
    </xf>
    <xf numFmtId="43" fontId="13" fillId="0" borderId="0" xfId="3" applyFont="1" applyFill="1" applyBorder="1" applyAlignment="1">
      <alignment horizontal="centerContinuous" shrinkToFit="1"/>
    </xf>
    <xf numFmtId="43" fontId="8" fillId="0" borderId="0" xfId="3" applyNumberFormat="1" applyFont="1" applyFill="1" applyBorder="1" applyAlignment="1" applyProtection="1">
      <alignment horizontal="center" textRotation="90"/>
      <protection locked="0"/>
    </xf>
    <xf numFmtId="0" fontId="14" fillId="0" borderId="0" xfId="2" applyFont="1" applyFill="1" applyAlignment="1">
      <alignment horizontal="left" wrapText="1"/>
    </xf>
    <xf numFmtId="0" fontId="14" fillId="0" borderId="0" xfId="2" applyFont="1" applyFill="1" applyAlignment="1">
      <alignment horizontal="center" wrapText="1"/>
    </xf>
    <xf numFmtId="178" fontId="15" fillId="0" borderId="0" xfId="3" applyNumberFormat="1" applyFont="1" applyFill="1" applyBorder="1" applyAlignment="1" applyProtection="1">
      <alignment horizontal="center" wrapText="1"/>
    </xf>
    <xf numFmtId="0" fontId="10" fillId="0" borderId="0" xfId="4" applyFont="1" applyFill="1" applyAlignment="1">
      <alignment horizontal="center" wrapText="1"/>
    </xf>
    <xf numFmtId="0" fontId="10" fillId="0" borderId="0" xfId="4" applyFont="1" applyFill="1" applyAlignment="1">
      <alignment horizontal="left" wrapText="1"/>
    </xf>
    <xf numFmtId="0" fontId="10" fillId="0" borderId="0" xfId="4" applyFont="1" applyFill="1" applyAlignment="1">
      <alignment horizontal="center"/>
    </xf>
    <xf numFmtId="43" fontId="13" fillId="0" borderId="0" xfId="3" applyFont="1" applyFill="1" applyBorder="1" applyAlignment="1" applyProtection="1">
      <alignment horizontal="center" wrapText="1"/>
      <protection locked="0"/>
    </xf>
    <xf numFmtId="0" fontId="16" fillId="0" borderId="0" xfId="0" applyFont="1" applyFill="1">
      <alignment vertical="center"/>
    </xf>
    <xf numFmtId="43" fontId="14" fillId="0" borderId="0" xfId="3" applyFont="1" applyFill="1" applyBorder="1" applyAlignment="1" applyProtection="1">
      <alignment horizontal="center" wrapText="1"/>
    </xf>
    <xf numFmtId="43" fontId="15" fillId="0" borderId="0" xfId="3" applyFont="1" applyFill="1" applyBorder="1" applyAlignment="1" applyProtection="1">
      <alignment horizontal="center" wrapText="1"/>
    </xf>
    <xf numFmtId="43" fontId="14" fillId="0" borderId="0" xfId="3" applyFont="1" applyFill="1" applyBorder="1" applyAlignment="1" applyProtection="1">
      <alignment horizontal="center" wrapText="1"/>
      <protection locked="0"/>
    </xf>
    <xf numFmtId="0" fontId="6" fillId="0" borderId="0" xfId="0" applyFont="1" applyFill="1">
      <alignment vertical="center"/>
    </xf>
    <xf numFmtId="179" fontId="14" fillId="0" borderId="0" xfId="3" applyNumberFormat="1" applyFont="1" applyFill="1" applyBorder="1" applyAlignment="1" applyProtection="1">
      <alignment horizontal="center" wrapText="1"/>
      <protection locked="0"/>
    </xf>
    <xf numFmtId="14" fontId="14" fillId="4" borderId="0" xfId="2" applyNumberFormat="1" applyFont="1" applyFill="1" applyAlignment="1">
      <alignment horizontal="center" wrapText="1"/>
    </xf>
    <xf numFmtId="43" fontId="15" fillId="5" borderId="0" xfId="3" applyFont="1" applyFill="1" applyBorder="1" applyAlignment="1" applyProtection="1">
      <alignment horizontal="center" wrapText="1"/>
    </xf>
    <xf numFmtId="178" fontId="14" fillId="0" borderId="0" xfId="0" applyNumberFormat="1" applyFont="1" applyFill="1" applyAlignment="1">
      <alignment horizontal="center" wrapText="1"/>
    </xf>
    <xf numFmtId="43" fontId="15" fillId="0" borderId="0" xfId="3" applyNumberFormat="1" applyFont="1" applyFill="1" applyBorder="1" applyAlignment="1" applyProtection="1">
      <alignment horizontal="center" wrapText="1"/>
      <protection locked="0"/>
    </xf>
    <xf numFmtId="43" fontId="15" fillId="0" borderId="0" xfId="3" applyNumberFormat="1" applyFont="1" applyFill="1" applyBorder="1" applyAlignment="1" applyProtection="1">
      <alignment horizontal="center" wrapText="1"/>
    </xf>
    <xf numFmtId="179" fontId="15" fillId="0" borderId="0" xfId="3" applyNumberFormat="1" applyFont="1" applyFill="1" applyBorder="1" applyAlignment="1" applyProtection="1">
      <alignment horizontal="center" wrapText="1"/>
      <protection locked="0"/>
    </xf>
    <xf numFmtId="0" fontId="16" fillId="0" borderId="0" xfId="0" applyFont="1" applyFill="1" applyAlignment="1">
      <alignment horizontal="center" vertical="center"/>
    </xf>
    <xf numFmtId="0" fontId="4" fillId="0" borderId="0" xfId="1" applyFont="1" applyFill="1" applyBorder="1"/>
    <xf numFmtId="9" fontId="4" fillId="0" borderId="0" xfId="3" applyNumberFormat="1" applyFont="1" applyFill="1" applyBorder="1" applyAlignment="1" applyProtection="1">
      <alignment horizontal="center"/>
    </xf>
    <xf numFmtId="180" fontId="4" fillId="0" borderId="0" xfId="3" applyNumberFormat="1" applyFont="1" applyFill="1" applyBorder="1" applyAlignment="1" applyProtection="1">
      <alignment horizontal="center"/>
    </xf>
    <xf numFmtId="179" fontId="4" fillId="0" borderId="0" xfId="3" applyNumberFormat="1" applyFont="1" applyFill="1" applyBorder="1" applyAlignment="1" applyProtection="1">
      <alignment horizontal="center" shrinkToFit="1"/>
    </xf>
    <xf numFmtId="0" fontId="4" fillId="0" borderId="0" xfId="1" applyFont="1" applyFill="1" applyBorder="1" applyAlignment="1">
      <alignment horizontal="center"/>
    </xf>
    <xf numFmtId="0" fontId="0" fillId="0" borderId="0" xfId="0" applyFill="1" applyAlignment="1">
      <alignment horizontal="right" vertical="center"/>
    </xf>
    <xf numFmtId="181" fontId="4" fillId="0" borderId="0" xfId="3" applyNumberFormat="1" applyFont="1" applyFill="1" applyBorder="1" applyAlignment="1" applyProtection="1">
      <alignment horizontal="center"/>
    </xf>
    <xf numFmtId="14" fontId="0" fillId="0" borderId="0" xfId="0" applyNumberForma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/>
    </xf>
    <xf numFmtId="177" fontId="4" fillId="0" borderId="0" xfId="1" quotePrefix="1" applyNumberFormat="1" applyFont="1" applyFill="1" applyBorder="1" applyAlignment="1">
      <alignment horizontal="right"/>
    </xf>
    <xf numFmtId="176" fontId="4" fillId="0" borderId="0" xfId="1" applyNumberFormat="1" applyFont="1" applyFill="1" applyBorder="1" applyAlignment="1">
      <alignment horizontal="right"/>
    </xf>
    <xf numFmtId="14" fontId="0" fillId="0" borderId="0" xfId="0" applyNumberFormat="1" applyFill="1">
      <alignment vertical="center"/>
    </xf>
    <xf numFmtId="177" fontId="4" fillId="0" borderId="0" xfId="1" applyNumberFormat="1" applyFont="1" applyFill="1" applyBorder="1" applyAlignment="1">
      <alignment horizontal="right"/>
    </xf>
    <xf numFmtId="182" fontId="0" fillId="0" borderId="0" xfId="0" applyNumberFormat="1" applyFill="1">
      <alignment vertical="center"/>
    </xf>
    <xf numFmtId="176" fontId="0" fillId="0" borderId="0" xfId="0" applyNumberFormat="1" applyFont="1" applyFill="1">
      <alignment vertical="center"/>
    </xf>
    <xf numFmtId="0" fontId="18" fillId="0" borderId="0" xfId="0" applyFont="1" applyFill="1">
      <alignment vertical="center"/>
    </xf>
    <xf numFmtId="183" fontId="4" fillId="0" borderId="0" xfId="1" applyNumberFormat="1" applyFont="1" applyFill="1" applyBorder="1" applyAlignment="1">
      <alignment horizontal="right"/>
    </xf>
    <xf numFmtId="176" fontId="4" fillId="0" borderId="0" xfId="1" applyNumberFormat="1" applyFont="1" applyFill="1" applyBorder="1" applyAlignment="1">
      <alignment horizontal="left"/>
    </xf>
    <xf numFmtId="0" fontId="16" fillId="0" borderId="0" xfId="0" applyFont="1" applyFill="1" applyAlignment="1"/>
    <xf numFmtId="176" fontId="4" fillId="0" borderId="0" xfId="1" applyNumberFormat="1" applyFont="1" applyFill="1" applyBorder="1"/>
    <xf numFmtId="176" fontId="4" fillId="0" borderId="0" xfId="1" applyNumberFormat="1" applyFont="1" applyFill="1" applyBorder="1" applyAlignment="1"/>
    <xf numFmtId="176" fontId="4" fillId="0" borderId="0" xfId="1" applyNumberFormat="1" applyFont="1" applyFill="1" applyBorder="1" applyAlignment="1">
      <alignment horizontal="right" vertical="top"/>
    </xf>
    <xf numFmtId="41" fontId="0" fillId="0" borderId="0" xfId="0" applyNumberFormat="1" applyFill="1">
      <alignment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>
      <alignment vertical="center"/>
    </xf>
    <xf numFmtId="0" fontId="20" fillId="0" borderId="0" xfId="1" applyFont="1" applyFill="1" applyBorder="1"/>
    <xf numFmtId="0" fontId="20" fillId="0" borderId="0" xfId="0" applyFont="1" applyFill="1" applyAlignment="1">
      <alignment horizontal="center" vertical="center"/>
    </xf>
    <xf numFmtId="177" fontId="20" fillId="0" borderId="0" xfId="1" quotePrefix="1" applyNumberFormat="1" applyFont="1" applyFill="1" applyBorder="1" applyAlignment="1">
      <alignment horizontal="right"/>
    </xf>
    <xf numFmtId="177" fontId="20" fillId="0" borderId="0" xfId="0" applyNumberFormat="1" applyFont="1" applyFill="1">
      <alignment vertical="center"/>
    </xf>
    <xf numFmtId="176" fontId="20" fillId="0" borderId="0" xfId="1" applyNumberFormat="1" applyFont="1" applyFill="1" applyBorder="1" applyAlignment="1"/>
    <xf numFmtId="176" fontId="20" fillId="0" borderId="0" xfId="0" applyNumberFormat="1" applyFont="1" applyFill="1">
      <alignment vertical="center"/>
    </xf>
    <xf numFmtId="176" fontId="20" fillId="0" borderId="0" xfId="1" applyNumberFormat="1" applyFont="1" applyFill="1" applyBorder="1" applyAlignment="1">
      <alignment horizontal="right" vertical="top"/>
    </xf>
    <xf numFmtId="14" fontId="20" fillId="0" borderId="0" xfId="0" applyNumberFormat="1" applyFont="1" applyFill="1">
      <alignment vertical="center"/>
    </xf>
    <xf numFmtId="182" fontId="20" fillId="0" borderId="0" xfId="0" applyNumberFormat="1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top"/>
    </xf>
    <xf numFmtId="0" fontId="4" fillId="0" borderId="0" xfId="1" applyFont="1" applyFill="1" applyBorder="1" applyAlignment="1">
      <alignment horizontal="right"/>
    </xf>
    <xf numFmtId="0" fontId="4" fillId="0" borderId="0" xfId="0" applyFont="1" applyFill="1" applyAlignment="1"/>
    <xf numFmtId="0" fontId="0" fillId="0" borderId="0" xfId="0" applyFont="1" applyFill="1" applyAlignment="1">
      <alignment horizontal="right" vertical="center"/>
    </xf>
    <xf numFmtId="182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184" fontId="0" fillId="0" borderId="0" xfId="0" applyNumberFormat="1" applyFont="1" applyFill="1">
      <alignment vertical="center"/>
    </xf>
    <xf numFmtId="177" fontId="4" fillId="0" borderId="0" xfId="0" applyNumberFormat="1" applyFont="1" applyFill="1" applyAlignment="1">
      <alignment horizontal="right"/>
    </xf>
    <xf numFmtId="176" fontId="4" fillId="0" borderId="0" xfId="0" applyNumberFormat="1" applyFont="1" applyFill="1" applyAlignment="1"/>
    <xf numFmtId="177" fontId="0" fillId="0" borderId="0" xfId="1" applyNumberFormat="1" applyFont="1" applyFill="1" applyBorder="1" applyAlignment="1">
      <alignment vertical="center"/>
    </xf>
    <xf numFmtId="43" fontId="0" fillId="0" borderId="0" xfId="0" applyNumberFormat="1" applyFont="1" applyFill="1">
      <alignment vertical="center"/>
    </xf>
    <xf numFmtId="0" fontId="4" fillId="0" borderId="0" xfId="0" applyFont="1" applyFill="1" applyAlignment="1">
      <alignment vertical="center"/>
    </xf>
    <xf numFmtId="0" fontId="18" fillId="0" borderId="2" xfId="0" applyFont="1" applyFill="1" applyBorder="1">
      <alignment vertical="center"/>
    </xf>
    <xf numFmtId="185" fontId="4" fillId="0" borderId="0" xfId="1" applyNumberFormat="1" applyFont="1" applyFill="1" applyBorder="1" applyAlignment="1">
      <alignment horizontal="right"/>
    </xf>
    <xf numFmtId="14" fontId="4" fillId="0" borderId="0" xfId="0" applyNumberFormat="1" applyFont="1" applyFill="1" applyAlignment="1">
      <alignment horizontal="left"/>
    </xf>
    <xf numFmtId="0" fontId="0" fillId="0" borderId="0" xfId="1" applyFont="1" applyFill="1" applyBorder="1"/>
    <xf numFmtId="182" fontId="0" fillId="0" borderId="0" xfId="0" applyNumberFormat="1" applyFont="1" applyFill="1">
      <alignment vertical="center"/>
    </xf>
    <xf numFmtId="177" fontId="0" fillId="0" borderId="0" xfId="0" applyNumberFormat="1" applyFont="1" applyFill="1">
      <alignment vertical="center"/>
    </xf>
    <xf numFmtId="176" fontId="0" fillId="0" borderId="0" xfId="1" applyNumberFormat="1" applyFont="1" applyFill="1" applyBorder="1"/>
    <xf numFmtId="176" fontId="0" fillId="0" borderId="0" xfId="1" applyNumberFormat="1" applyFont="1" applyFill="1" applyBorder="1" applyAlignment="1">
      <alignment horizontal="right" vertical="top"/>
    </xf>
    <xf numFmtId="177" fontId="0" fillId="0" borderId="0" xfId="1" quotePrefix="1" applyNumberFormat="1" applyFont="1" applyFill="1" applyBorder="1" applyAlignment="1">
      <alignment horizontal="right"/>
    </xf>
    <xf numFmtId="177" fontId="0" fillId="0" borderId="0" xfId="0" applyNumberFormat="1" applyFont="1" applyFill="1" applyAlignment="1">
      <alignment horizontal="right"/>
    </xf>
    <xf numFmtId="176" fontId="0" fillId="0" borderId="0" xfId="1" applyNumberFormat="1" applyFont="1" applyFill="1" applyBorder="1" applyAlignment="1">
      <alignment horizontal="right"/>
    </xf>
    <xf numFmtId="14" fontId="0" fillId="0" borderId="0" xfId="0" applyNumberFormat="1" applyFont="1" applyFill="1">
      <alignment vertical="center"/>
    </xf>
    <xf numFmtId="0" fontId="19" fillId="0" borderId="0" xfId="0" applyFont="1" applyFill="1">
      <alignment vertical="center"/>
    </xf>
    <xf numFmtId="177" fontId="0" fillId="0" borderId="0" xfId="1" quotePrefix="1" applyNumberFormat="1" applyFont="1" applyFill="1" applyBorder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4" fillId="0" borderId="0" xfId="0" applyFont="1" applyFill="1">
      <alignment vertical="center"/>
    </xf>
    <xf numFmtId="186" fontId="0" fillId="0" borderId="0" xfId="0" applyNumberFormat="1" applyFill="1">
      <alignment vertical="center"/>
    </xf>
    <xf numFmtId="176" fontId="4" fillId="0" borderId="0" xfId="1" applyNumberFormat="1" applyFont="1" applyFill="1" applyBorder="1" applyAlignment="1">
      <alignment horizontal="center"/>
    </xf>
    <xf numFmtId="49" fontId="4" fillId="0" borderId="0" xfId="0" applyNumberFormat="1" applyFont="1" applyFill="1">
      <alignment vertical="center"/>
    </xf>
    <xf numFmtId="177" fontId="4" fillId="0" borderId="0" xfId="1" applyNumberFormat="1" applyFont="1" applyFill="1" applyBorder="1" applyAlignment="1">
      <alignment horizontal="right" vertical="top"/>
    </xf>
    <xf numFmtId="0" fontId="2" fillId="0" borderId="0" xfId="5" applyNumberFormat="1" applyFont="1" applyFill="1" applyAlignment="1">
      <alignment horizontal="left"/>
    </xf>
    <xf numFmtId="43" fontId="4" fillId="0" borderId="0" xfId="1" applyNumberFormat="1" applyFont="1" applyFill="1" applyBorder="1" applyAlignment="1">
      <alignment horizontal="right" vertical="top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84" fontId="4" fillId="0" borderId="0" xfId="0" applyNumberFormat="1" applyFont="1" applyFill="1">
      <alignment vertical="center"/>
    </xf>
    <xf numFmtId="182" fontId="4" fillId="0" borderId="0" xfId="0" applyNumberFormat="1" applyFont="1" applyFill="1">
      <alignment vertical="center"/>
    </xf>
    <xf numFmtId="177" fontId="4" fillId="0" borderId="0" xfId="0" applyNumberFormat="1" applyFont="1" applyFill="1">
      <alignment vertical="center"/>
    </xf>
    <xf numFmtId="176" fontId="4" fillId="0" borderId="0" xfId="0" applyNumberFormat="1" applyFont="1" applyFill="1">
      <alignment vertical="center"/>
    </xf>
    <xf numFmtId="14" fontId="4" fillId="0" borderId="0" xfId="0" applyNumberFormat="1" applyFont="1" applyFill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ont="1" applyFill="1">
      <alignment vertical="center"/>
    </xf>
    <xf numFmtId="0" fontId="0" fillId="5" borderId="0" xfId="0" applyFill="1">
      <alignment vertical="center"/>
    </xf>
    <xf numFmtId="0" fontId="0" fillId="5" borderId="0" xfId="0" applyFont="1" applyFill="1" applyAlignment="1">
      <alignment horizontal="left" vertical="center"/>
    </xf>
    <xf numFmtId="0" fontId="4" fillId="5" borderId="0" xfId="1" applyFont="1" applyFill="1" applyBorder="1"/>
    <xf numFmtId="0" fontId="0" fillId="5" borderId="0" xfId="0" applyFill="1" applyAlignment="1">
      <alignment horizontal="center" vertical="center"/>
    </xf>
    <xf numFmtId="182" fontId="0" fillId="5" borderId="0" xfId="0" applyNumberFormat="1" applyFill="1">
      <alignment vertical="center"/>
    </xf>
    <xf numFmtId="177" fontId="0" fillId="5" borderId="0" xfId="0" applyNumberFormat="1" applyFill="1">
      <alignment vertical="center"/>
    </xf>
    <xf numFmtId="176" fontId="4" fillId="5" borderId="0" xfId="1" applyNumberFormat="1" applyFont="1" applyFill="1" applyBorder="1"/>
    <xf numFmtId="176" fontId="4" fillId="5" borderId="0" xfId="1" applyNumberFormat="1" applyFont="1" applyFill="1" applyBorder="1" applyAlignment="1">
      <alignment horizontal="right" vertical="top"/>
    </xf>
    <xf numFmtId="177" fontId="4" fillId="5" borderId="0" xfId="1" quotePrefix="1" applyNumberFormat="1" applyFont="1" applyFill="1" applyBorder="1" applyAlignment="1">
      <alignment horizontal="right"/>
    </xf>
    <xf numFmtId="177" fontId="4" fillId="5" borderId="0" xfId="0" applyNumberFormat="1" applyFont="1" applyFill="1" applyAlignment="1">
      <alignment horizontal="right"/>
    </xf>
    <xf numFmtId="14" fontId="0" fillId="5" borderId="0" xfId="0" applyNumberFormat="1" applyFill="1">
      <alignment vertical="center"/>
    </xf>
    <xf numFmtId="0" fontId="0" fillId="5" borderId="0" xfId="0" applyFont="1" applyFill="1" applyAlignment="1">
      <alignment vertical="center"/>
    </xf>
    <xf numFmtId="187" fontId="4" fillId="0" borderId="0" xfId="1" applyNumberFormat="1" applyFont="1" applyFill="1" applyBorder="1" applyAlignment="1">
      <alignment horizontal="right"/>
    </xf>
    <xf numFmtId="177" fontId="4" fillId="6" borderId="0" xfId="1" quotePrefix="1" applyNumberFormat="1" applyFont="1" applyFill="1" applyBorder="1" applyAlignment="1">
      <alignment horizontal="right"/>
    </xf>
    <xf numFmtId="14" fontId="0" fillId="0" borderId="0" xfId="0" applyNumberFormat="1" applyFill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43" fontId="4" fillId="0" borderId="0" xfId="1" applyNumberFormat="1" applyFont="1" applyFill="1" applyBorder="1" applyAlignment="1">
      <alignment horizontal="right"/>
    </xf>
    <xf numFmtId="188" fontId="4" fillId="0" borderId="0" xfId="1" applyNumberFormat="1" applyFont="1" applyFill="1" applyBorder="1" applyAlignment="1">
      <alignment horizontal="right"/>
    </xf>
    <xf numFmtId="0" fontId="0" fillId="0" borderId="0" xfId="0" applyFont="1" applyFill="1" applyAlignment="1">
      <alignment horizontal="left" vertical="top"/>
    </xf>
    <xf numFmtId="0" fontId="4" fillId="0" borderId="0" xfId="0" applyNumberFormat="1" applyFont="1" applyFill="1" applyAlignment="1"/>
    <xf numFmtId="0" fontId="4" fillId="0" borderId="0" xfId="0" applyFont="1" applyFill="1" applyAlignment="1">
      <alignment horizontal="left" vertical="top"/>
    </xf>
    <xf numFmtId="0" fontId="0" fillId="0" borderId="0" xfId="0" applyNumberFormat="1" applyFill="1" applyAlignment="1"/>
    <xf numFmtId="0" fontId="4" fillId="0" borderId="0" xfId="0" applyFont="1" applyFill="1" applyBorder="1" applyAlignment="1">
      <alignment horizontal="left"/>
    </xf>
    <xf numFmtId="176" fontId="4" fillId="0" borderId="0" xfId="1" quotePrefix="1" applyNumberFormat="1" applyFont="1" applyFill="1" applyBorder="1" applyAlignment="1"/>
    <xf numFmtId="176" fontId="4" fillId="0" borderId="0" xfId="1" quotePrefix="1" applyNumberFormat="1" applyFont="1" applyFill="1" applyBorder="1" applyAlignment="1">
      <alignment horizontal="right"/>
    </xf>
    <xf numFmtId="0" fontId="4" fillId="0" borderId="0" xfId="0" applyNumberFormat="1" applyFont="1" applyFill="1" applyAlignment="1">
      <alignment vertical="center"/>
    </xf>
    <xf numFmtId="0" fontId="0" fillId="5" borderId="0" xfId="0" applyFont="1" applyFill="1" applyAlignment="1">
      <alignment horizontal="left" vertical="top"/>
    </xf>
    <xf numFmtId="184" fontId="0" fillId="5" borderId="0" xfId="0" applyNumberFormat="1" applyFont="1" applyFill="1">
      <alignment vertical="center"/>
    </xf>
    <xf numFmtId="0" fontId="4" fillId="0" borderId="0" xfId="0" applyFont="1" applyFill="1" applyAlignment="1">
      <alignment horizontal="left"/>
    </xf>
    <xf numFmtId="14" fontId="4" fillId="0" borderId="0" xfId="0" applyNumberFormat="1" applyFont="1" applyFill="1" applyAlignment="1">
      <alignment horizontal="center" vertical="center"/>
    </xf>
    <xf numFmtId="184" fontId="4" fillId="0" borderId="0" xfId="1" quotePrefix="1" applyNumberFormat="1" applyFont="1" applyFill="1" applyBorder="1" applyAlignment="1">
      <alignment horizontal="right"/>
    </xf>
    <xf numFmtId="187" fontId="4" fillId="0" borderId="0" xfId="1" applyNumberFormat="1" applyFont="1" applyFill="1" applyBorder="1" applyAlignment="1">
      <alignment horizontal="right" vertical="top"/>
    </xf>
    <xf numFmtId="0" fontId="0" fillId="0" borderId="0" xfId="0" quotePrefix="1" applyFont="1" applyFill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177" fontId="4" fillId="7" borderId="0" xfId="1" quotePrefix="1" applyNumberFormat="1" applyFont="1" applyFill="1" applyBorder="1" applyAlignment="1">
      <alignment horizontal="right"/>
    </xf>
    <xf numFmtId="41" fontId="4" fillId="0" borderId="0" xfId="1" quotePrefix="1" applyNumberFormat="1" applyFont="1" applyFill="1" applyBorder="1" applyAlignment="1"/>
    <xf numFmtId="39" fontId="4" fillId="0" borderId="0" xfId="1" quotePrefix="1" applyNumberFormat="1" applyFont="1" applyFill="1" applyBorder="1" applyAlignment="1"/>
    <xf numFmtId="176" fontId="4" fillId="7" borderId="0" xfId="1" applyNumberFormat="1" applyFont="1" applyFill="1" applyBorder="1" applyAlignment="1">
      <alignment horizontal="right"/>
    </xf>
    <xf numFmtId="184" fontId="0" fillId="0" borderId="0" xfId="0" applyNumberFormat="1" applyFont="1" applyFill="1" applyAlignment="1">
      <alignment vertical="center"/>
    </xf>
    <xf numFmtId="184" fontId="0" fillId="0" borderId="0" xfId="1" applyNumberFormat="1" applyFont="1" applyFill="1" applyBorder="1" applyAlignment="1">
      <alignment vertical="center"/>
    </xf>
    <xf numFmtId="41" fontId="4" fillId="0" borderId="0" xfId="0" applyNumberFormat="1" applyFont="1" applyFill="1" applyAlignment="1"/>
    <xf numFmtId="41" fontId="4" fillId="0" borderId="0" xfId="0" applyNumberFormat="1" applyFont="1" applyFill="1" applyAlignment="1">
      <alignment horizontal="right" vertical="top"/>
    </xf>
    <xf numFmtId="184" fontId="0" fillId="0" borderId="0" xfId="0" applyNumberFormat="1" applyFill="1" applyAlignment="1">
      <alignment vertical="center"/>
    </xf>
    <xf numFmtId="41" fontId="4" fillId="0" borderId="0" xfId="0" applyNumberFormat="1" applyFont="1" applyFill="1" applyAlignment="1">
      <alignment horizontal="right"/>
    </xf>
    <xf numFmtId="0" fontId="26" fillId="0" borderId="0" xfId="0" applyFont="1" applyFill="1" applyAlignment="1"/>
    <xf numFmtId="0" fontId="0" fillId="0" borderId="0" xfId="0" quotePrefix="1" applyFill="1" applyAlignment="1">
      <alignment horizontal="center" vertical="center"/>
    </xf>
    <xf numFmtId="44" fontId="0" fillId="0" borderId="0" xfId="0" applyNumberFormat="1" applyFont="1" applyFill="1">
      <alignment vertical="center"/>
    </xf>
    <xf numFmtId="43" fontId="4" fillId="0" borderId="0" xfId="1" quotePrefix="1" applyNumberFormat="1" applyFont="1" applyFill="1" applyBorder="1" applyAlignment="1">
      <alignment horizontal="right"/>
    </xf>
    <xf numFmtId="176" fontId="4" fillId="5" borderId="0" xfId="1" applyNumberFormat="1" applyFont="1" applyFill="1" applyBorder="1" applyAlignment="1">
      <alignment horizontal="right"/>
    </xf>
    <xf numFmtId="0" fontId="0" fillId="8" borderId="0" xfId="0" applyFill="1">
      <alignment vertical="center"/>
    </xf>
    <xf numFmtId="0" fontId="0" fillId="8" borderId="0" xfId="0" applyFont="1" applyFill="1" applyAlignment="1">
      <alignment horizontal="left" vertical="top"/>
    </xf>
    <xf numFmtId="0" fontId="0" fillId="8" borderId="0" xfId="0" applyFont="1" applyFill="1" applyAlignment="1">
      <alignment horizontal="left" vertical="center"/>
    </xf>
    <xf numFmtId="0" fontId="4" fillId="8" borderId="0" xfId="1" applyFont="1" applyFill="1" applyBorder="1"/>
    <xf numFmtId="0" fontId="0" fillId="8" borderId="0" xfId="0" applyFill="1" applyAlignment="1">
      <alignment horizontal="center" vertical="center"/>
    </xf>
    <xf numFmtId="184" fontId="0" fillId="8" borderId="0" xfId="0" applyNumberFormat="1" applyFont="1" applyFill="1">
      <alignment vertical="center"/>
    </xf>
    <xf numFmtId="182" fontId="0" fillId="8" borderId="0" xfId="0" applyNumberFormat="1" applyFill="1">
      <alignment vertical="center"/>
    </xf>
    <xf numFmtId="177" fontId="4" fillId="8" borderId="0" xfId="1" quotePrefix="1" applyNumberFormat="1" applyFont="1" applyFill="1" applyBorder="1" applyAlignment="1">
      <alignment horizontal="right"/>
    </xf>
    <xf numFmtId="177" fontId="4" fillId="8" borderId="0" xfId="0" applyNumberFormat="1" applyFont="1" applyFill="1" applyAlignment="1">
      <alignment horizontal="right"/>
    </xf>
    <xf numFmtId="177" fontId="0" fillId="8" borderId="0" xfId="0" applyNumberFormat="1" applyFill="1">
      <alignment vertical="center"/>
    </xf>
    <xf numFmtId="176" fontId="4" fillId="8" borderId="0" xfId="1" applyNumberFormat="1" applyFont="1" applyFill="1" applyBorder="1"/>
    <xf numFmtId="176" fontId="4" fillId="8" borderId="0" xfId="1" applyNumberFormat="1" applyFont="1" applyFill="1" applyBorder="1" applyAlignment="1"/>
    <xf numFmtId="176" fontId="4" fillId="8" borderId="0" xfId="1" applyNumberFormat="1" applyFont="1" applyFill="1" applyBorder="1" applyAlignment="1">
      <alignment horizontal="right" vertical="top"/>
    </xf>
    <xf numFmtId="0" fontId="0" fillId="8" borderId="0" xfId="0" applyFont="1" applyFill="1">
      <alignment vertical="center"/>
    </xf>
    <xf numFmtId="176" fontId="4" fillId="8" borderId="0" xfId="0" applyNumberFormat="1" applyFont="1" applyFill="1" applyAlignment="1"/>
    <xf numFmtId="176" fontId="4" fillId="8" borderId="0" xfId="1" applyNumberFormat="1" applyFont="1" applyFill="1" applyBorder="1" applyAlignment="1">
      <alignment horizontal="right"/>
    </xf>
    <xf numFmtId="14" fontId="0" fillId="8" borderId="0" xfId="0" applyNumberFormat="1" applyFill="1">
      <alignment vertical="center"/>
    </xf>
    <xf numFmtId="176" fontId="0" fillId="5" borderId="0" xfId="0" applyNumberForma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 applyAlignment="1">
      <alignment vertical="center"/>
    </xf>
    <xf numFmtId="0" fontId="0" fillId="9" borderId="0" xfId="0" applyFont="1" applyFill="1">
      <alignment vertical="center"/>
    </xf>
    <xf numFmtId="0" fontId="0" fillId="9" borderId="0" xfId="0" applyFont="1" applyFill="1" applyAlignment="1">
      <alignment horizontal="left" vertical="top"/>
    </xf>
    <xf numFmtId="0" fontId="0" fillId="9" borderId="0" xfId="0" applyFont="1" applyFill="1" applyAlignment="1">
      <alignment horizontal="left" vertical="center"/>
    </xf>
    <xf numFmtId="0" fontId="4" fillId="9" borderId="0" xfId="1" applyFont="1" applyFill="1" applyBorder="1"/>
    <xf numFmtId="0" fontId="0" fillId="9" borderId="0" xfId="0" applyFill="1" applyAlignment="1">
      <alignment horizontal="center" vertical="center"/>
    </xf>
    <xf numFmtId="184" fontId="0" fillId="9" borderId="0" xfId="0" applyNumberFormat="1" applyFont="1" applyFill="1">
      <alignment vertical="center"/>
    </xf>
    <xf numFmtId="182" fontId="0" fillId="9" borderId="0" xfId="0" applyNumberFormat="1" applyFill="1">
      <alignment vertical="center"/>
    </xf>
    <xf numFmtId="177" fontId="4" fillId="9" borderId="0" xfId="1" quotePrefix="1" applyNumberFormat="1" applyFont="1" applyFill="1" applyBorder="1" applyAlignment="1">
      <alignment horizontal="right"/>
    </xf>
    <xf numFmtId="177" fontId="0" fillId="9" borderId="0" xfId="0" applyNumberFormat="1" applyFill="1">
      <alignment vertical="center"/>
    </xf>
    <xf numFmtId="176" fontId="4" fillId="9" borderId="0" xfId="1" applyNumberFormat="1" applyFont="1" applyFill="1" applyBorder="1"/>
    <xf numFmtId="176" fontId="4" fillId="9" borderId="0" xfId="1" applyNumberFormat="1" applyFont="1" applyFill="1" applyBorder="1" applyAlignment="1">
      <alignment horizontal="right" vertical="top"/>
    </xf>
    <xf numFmtId="176" fontId="4" fillId="9" borderId="0" xfId="1" applyNumberFormat="1" applyFont="1" applyFill="1" applyBorder="1" applyAlignment="1">
      <alignment horizontal="right"/>
    </xf>
    <xf numFmtId="14" fontId="0" fillId="9" borderId="0" xfId="0" applyNumberFormat="1" applyFill="1">
      <alignment vertical="center"/>
    </xf>
    <xf numFmtId="0" fontId="4" fillId="8" borderId="0" xfId="0" applyFont="1" applyFill="1" applyAlignment="1">
      <alignment vertical="center"/>
    </xf>
    <xf numFmtId="176" fontId="4" fillId="9" borderId="0" xfId="1" applyNumberFormat="1" applyFont="1" applyFill="1" applyBorder="1" applyAlignment="1"/>
    <xf numFmtId="176" fontId="4" fillId="5" borderId="0" xfId="1" applyNumberFormat="1" applyFont="1" applyFill="1" applyBorder="1" applyAlignment="1"/>
    <xf numFmtId="187" fontId="0" fillId="0" borderId="0" xfId="0" applyNumberFormat="1" applyFill="1">
      <alignment vertical="center"/>
    </xf>
    <xf numFmtId="0" fontId="4" fillId="5" borderId="0" xfId="0" applyFont="1" applyFill="1">
      <alignment vertical="center"/>
    </xf>
    <xf numFmtId="187" fontId="4" fillId="5" borderId="0" xfId="1" applyNumberFormat="1" applyFont="1" applyFill="1" applyBorder="1" applyAlignment="1">
      <alignment horizontal="right"/>
    </xf>
    <xf numFmtId="0" fontId="0" fillId="10" borderId="0" xfId="0" applyFill="1">
      <alignment vertical="center"/>
    </xf>
    <xf numFmtId="0" fontId="4" fillId="10" borderId="0" xfId="0" applyFont="1" applyFill="1">
      <alignment vertical="center"/>
    </xf>
    <xf numFmtId="0" fontId="0" fillId="10" borderId="0" xfId="0" applyFont="1" applyFill="1">
      <alignment vertical="center"/>
    </xf>
    <xf numFmtId="0" fontId="0" fillId="10" borderId="0" xfId="0" applyFont="1" applyFill="1" applyAlignment="1">
      <alignment horizontal="left" vertical="top"/>
    </xf>
    <xf numFmtId="0" fontId="0" fillId="10" borderId="0" xfId="0" applyFont="1" applyFill="1" applyAlignment="1">
      <alignment horizontal="left" vertical="center"/>
    </xf>
    <xf numFmtId="0" fontId="4" fillId="10" borderId="0" xfId="1" applyFont="1" applyFill="1" applyBorder="1"/>
    <xf numFmtId="0" fontId="0" fillId="10" borderId="0" xfId="0" applyFill="1" applyAlignment="1">
      <alignment horizontal="center" vertical="center"/>
    </xf>
    <xf numFmtId="184" fontId="0" fillId="10" borderId="0" xfId="0" applyNumberFormat="1" applyFont="1" applyFill="1">
      <alignment vertical="center"/>
    </xf>
    <xf numFmtId="182" fontId="0" fillId="10" borderId="0" xfId="0" applyNumberFormat="1" applyFill="1">
      <alignment vertical="center"/>
    </xf>
    <xf numFmtId="177" fontId="4" fillId="10" borderId="0" xfId="1" quotePrefix="1" applyNumberFormat="1" applyFont="1" applyFill="1" applyBorder="1" applyAlignment="1">
      <alignment horizontal="right"/>
    </xf>
    <xf numFmtId="177" fontId="0" fillId="10" borderId="0" xfId="0" applyNumberFormat="1" applyFill="1">
      <alignment vertical="center"/>
    </xf>
    <xf numFmtId="176" fontId="4" fillId="10" borderId="0" xfId="1" applyNumberFormat="1" applyFont="1" applyFill="1" applyBorder="1"/>
    <xf numFmtId="176" fontId="4" fillId="10" borderId="0" xfId="1" applyNumberFormat="1" applyFont="1" applyFill="1" applyBorder="1" applyAlignment="1">
      <alignment horizontal="right" vertical="top"/>
    </xf>
    <xf numFmtId="176" fontId="4" fillId="10" borderId="0" xfId="1" applyNumberFormat="1" applyFont="1" applyFill="1" applyBorder="1" applyAlignment="1">
      <alignment horizontal="right"/>
    </xf>
    <xf numFmtId="177" fontId="4" fillId="10" borderId="0" xfId="1" applyNumberFormat="1" applyFont="1" applyFill="1" applyBorder="1" applyAlignment="1">
      <alignment horizontal="right"/>
    </xf>
    <xf numFmtId="14" fontId="0" fillId="10" borderId="0" xfId="0" applyNumberFormat="1" applyFill="1">
      <alignment vertical="center"/>
    </xf>
    <xf numFmtId="177" fontId="4" fillId="5" borderId="0" xfId="1" applyNumberFormat="1" applyFont="1" applyFill="1" applyBorder="1" applyAlignment="1">
      <alignment horizontal="right"/>
    </xf>
    <xf numFmtId="2" fontId="0" fillId="0" borderId="0" xfId="0" applyNumberFormat="1" applyFont="1" applyFill="1">
      <alignment vertical="center"/>
    </xf>
    <xf numFmtId="1" fontId="0" fillId="0" borderId="0" xfId="0" applyNumberFormat="1" applyFill="1">
      <alignment vertical="center"/>
    </xf>
    <xf numFmtId="0" fontId="20" fillId="0" borderId="0" xfId="0" applyFont="1" applyFill="1" applyAlignment="1">
      <alignment horizontal="left" vertical="top"/>
    </xf>
    <xf numFmtId="189" fontId="4" fillId="0" borderId="0" xfId="1" applyNumberFormat="1" applyFont="1" applyFill="1" applyBorder="1" applyAlignment="1">
      <alignment horizontal="right"/>
    </xf>
    <xf numFmtId="0" fontId="4" fillId="0" borderId="0" xfId="1" applyFont="1" applyFill="1" applyBorder="1" applyAlignment="1"/>
    <xf numFmtId="177" fontId="0" fillId="0" borderId="0" xfId="0" applyNumberFormat="1" applyFill="1" applyAlignment="1">
      <alignment vertical="center"/>
    </xf>
    <xf numFmtId="190" fontId="4" fillId="0" borderId="0" xfId="1" applyNumberFormat="1" applyFont="1" applyFill="1" applyBorder="1" applyAlignment="1">
      <alignment horizontal="right"/>
    </xf>
    <xf numFmtId="0" fontId="0" fillId="0" borderId="0" xfId="1" applyFont="1" applyFill="1" applyBorder="1" applyAlignment="1">
      <alignment vertical="center"/>
    </xf>
    <xf numFmtId="183" fontId="4" fillId="0" borderId="0" xfId="0" applyNumberFormat="1" applyFont="1" applyFill="1" applyAlignment="1">
      <alignment horizontal="right"/>
    </xf>
    <xf numFmtId="41" fontId="4" fillId="0" borderId="0" xfId="1" quotePrefix="1" applyNumberFormat="1" applyFont="1" applyFill="1" applyBorder="1" applyAlignment="1">
      <alignment horizontal="right"/>
    </xf>
    <xf numFmtId="0" fontId="0" fillId="6" borderId="0" xfId="0" applyFill="1">
      <alignment vertical="center"/>
    </xf>
    <xf numFmtId="0" fontId="0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0" fontId="4" fillId="6" borderId="0" xfId="0" applyFont="1" applyFill="1" applyAlignment="1"/>
    <xf numFmtId="0" fontId="0" fillId="6" borderId="0" xfId="0" applyFill="1" applyAlignment="1">
      <alignment horizontal="center" vertical="center"/>
    </xf>
    <xf numFmtId="0" fontId="4" fillId="6" borderId="0" xfId="1" applyFont="1" applyFill="1" applyBorder="1" applyAlignment="1">
      <alignment horizontal="right"/>
    </xf>
    <xf numFmtId="182" fontId="0" fillId="6" borderId="0" xfId="0" applyNumberFormat="1" applyFill="1">
      <alignment vertical="center"/>
    </xf>
    <xf numFmtId="177" fontId="4" fillId="6" borderId="0" xfId="1" applyNumberFormat="1" applyFont="1" applyFill="1" applyBorder="1" applyAlignment="1">
      <alignment horizontal="right"/>
    </xf>
    <xf numFmtId="177" fontId="0" fillId="6" borderId="0" xfId="0" applyNumberFormat="1" applyFill="1">
      <alignment vertical="center"/>
    </xf>
    <xf numFmtId="183" fontId="4" fillId="6" borderId="0" xfId="1" applyNumberFormat="1" applyFont="1" applyFill="1" applyBorder="1" applyAlignment="1">
      <alignment horizontal="right"/>
    </xf>
    <xf numFmtId="176" fontId="0" fillId="6" borderId="0" xfId="0" applyNumberFormat="1" applyFill="1">
      <alignment vertical="center"/>
    </xf>
    <xf numFmtId="0" fontId="0" fillId="6" borderId="0" xfId="0" applyFont="1" applyFill="1">
      <alignment vertical="center"/>
    </xf>
    <xf numFmtId="182" fontId="0" fillId="6" borderId="0" xfId="0" applyNumberFormat="1" applyFill="1" applyAlignment="1">
      <alignment vertical="center"/>
    </xf>
    <xf numFmtId="177" fontId="4" fillId="6" borderId="0" xfId="0" applyNumberFormat="1" applyFont="1" applyFill="1" applyAlignment="1">
      <alignment horizontal="right"/>
    </xf>
    <xf numFmtId="183" fontId="4" fillId="6" borderId="0" xfId="0" applyNumberFormat="1" applyFont="1" applyFill="1" applyAlignment="1">
      <alignment horizontal="right"/>
    </xf>
    <xf numFmtId="14" fontId="0" fillId="6" borderId="0" xfId="0" applyNumberFormat="1" applyFill="1">
      <alignment vertical="center"/>
    </xf>
    <xf numFmtId="0" fontId="4" fillId="0" borderId="0" xfId="0" applyFont="1" applyFill="1" applyBorder="1" applyAlignment="1">
      <alignment horizontal="right"/>
    </xf>
    <xf numFmtId="176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82" fontId="4" fillId="0" borderId="0" xfId="0" applyNumberFormat="1" applyFont="1" applyFill="1" applyAlignment="1">
      <alignment vertical="center"/>
    </xf>
    <xf numFmtId="0" fontId="0" fillId="6" borderId="0" xfId="0" applyFill="1" applyAlignment="1">
      <alignment horizontal="left" vertical="top"/>
    </xf>
    <xf numFmtId="176" fontId="4" fillId="6" borderId="0" xfId="1" applyNumberFormat="1" applyFont="1" applyFill="1" applyBorder="1" applyAlignment="1">
      <alignment horizontal="right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ill="1" applyBorder="1" applyAlignment="1">
      <alignment horizontal="left" vertical="center"/>
    </xf>
    <xf numFmtId="49" fontId="4" fillId="0" borderId="0" xfId="0" applyNumberFormat="1" applyFont="1" applyFill="1" applyBorder="1">
      <alignment vertical="center"/>
    </xf>
    <xf numFmtId="0" fontId="4" fillId="0" borderId="0" xfId="0" applyFont="1" applyFill="1" applyBorder="1" applyAlignment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 vertical="center"/>
    </xf>
    <xf numFmtId="182" fontId="0" fillId="0" borderId="0" xfId="0" applyNumberFormat="1" applyFill="1" applyBorder="1">
      <alignment vertical="center"/>
    </xf>
    <xf numFmtId="0" fontId="0" fillId="0" borderId="0" xfId="0" applyFill="1" applyBorder="1" applyAlignment="1">
      <alignment vertical="center"/>
    </xf>
    <xf numFmtId="177" fontId="0" fillId="0" borderId="0" xfId="0" applyNumberFormat="1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6" borderId="0" xfId="0" applyFont="1" applyFill="1" applyBorder="1">
      <alignment vertical="center"/>
    </xf>
    <xf numFmtId="0" fontId="0" fillId="6" borderId="0" xfId="0" applyFill="1" applyBorder="1">
      <alignment vertical="center"/>
    </xf>
    <xf numFmtId="0" fontId="0" fillId="6" borderId="0" xfId="0" applyFill="1" applyBorder="1" applyAlignment="1">
      <alignment horizontal="left" vertical="center"/>
    </xf>
    <xf numFmtId="49" fontId="4" fillId="6" borderId="0" xfId="0" applyNumberFormat="1" applyFont="1" applyFill="1" applyBorder="1">
      <alignment vertical="center"/>
    </xf>
    <xf numFmtId="0" fontId="4" fillId="6" borderId="0" xfId="0" applyFont="1" applyFill="1" applyBorder="1" applyAlignment="1"/>
    <xf numFmtId="0" fontId="0" fillId="6" borderId="0" xfId="0" applyFill="1" applyBorder="1" applyAlignment="1">
      <alignment horizontal="center" vertical="center"/>
    </xf>
    <xf numFmtId="182" fontId="0" fillId="6" borderId="0" xfId="0" applyNumberFormat="1" applyFill="1" applyBorder="1">
      <alignment vertical="center"/>
    </xf>
    <xf numFmtId="177" fontId="0" fillId="6" borderId="0" xfId="0" applyNumberFormat="1" applyFill="1" applyBorder="1">
      <alignment vertical="center"/>
    </xf>
    <xf numFmtId="0" fontId="4" fillId="11" borderId="0" xfId="1" applyFont="1" applyFill="1" applyBorder="1" applyAlignment="1">
      <alignment horizontal="right"/>
    </xf>
    <xf numFmtId="14" fontId="0" fillId="0" borderId="0" xfId="0" applyNumberFormat="1" applyFill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0" xfId="1" applyFont="1" applyFill="1" applyBorder="1" applyAlignment="1">
      <alignment horizontal="right"/>
    </xf>
    <xf numFmtId="177" fontId="0" fillId="0" borderId="0" xfId="1" applyNumberFormat="1" applyFont="1" applyFill="1" applyBorder="1" applyAlignment="1">
      <alignment horizontal="right"/>
    </xf>
    <xf numFmtId="41" fontId="0" fillId="0" borderId="0" xfId="1" applyNumberFormat="1" applyFont="1" applyFill="1" applyBorder="1" applyAlignment="1">
      <alignment horizontal="right"/>
    </xf>
    <xf numFmtId="0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top"/>
    </xf>
    <xf numFmtId="0" fontId="0" fillId="0" borderId="0" xfId="0" applyNumberFormat="1" applyFill="1" applyAlignment="1">
      <alignment horizontal="left" vertical="center"/>
    </xf>
    <xf numFmtId="176" fontId="4" fillId="0" borderId="0" xfId="0" applyNumberFormat="1" applyFont="1" applyFill="1" applyBorder="1" applyAlignment="1">
      <alignment horizontal="right"/>
    </xf>
    <xf numFmtId="176" fontId="4" fillId="5" borderId="0" xfId="0" applyNumberFormat="1" applyFont="1" applyFill="1" applyBorder="1" applyAlignment="1">
      <alignment horizontal="right"/>
    </xf>
    <xf numFmtId="176" fontId="20" fillId="0" borderId="0" xfId="0" applyNumberFormat="1" applyFont="1" applyFill="1" applyBorder="1" applyAlignment="1">
      <alignment horizontal="right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NumberFormat="1" applyFill="1" applyAlignment="1">
      <alignment horizontal="center" vertical="center"/>
    </xf>
    <xf numFmtId="0" fontId="0" fillId="5" borderId="0" xfId="0" applyFont="1" applyFill="1" applyAlignment="1">
      <alignment horizontal="center" vertical="top"/>
    </xf>
    <xf numFmtId="0" fontId="0" fillId="5" borderId="0" xfId="0" applyNumberFormat="1" applyFill="1" applyAlignment="1">
      <alignment horizontal="left" vertical="center"/>
    </xf>
    <xf numFmtId="0" fontId="4" fillId="5" borderId="0" xfId="1" applyFont="1" applyFill="1" applyBorder="1" applyAlignment="1">
      <alignment horizontal="right"/>
    </xf>
    <xf numFmtId="0" fontId="4" fillId="5" borderId="0" xfId="0" applyFont="1" applyFill="1" applyAlignment="1">
      <alignment horizontal="right"/>
    </xf>
    <xf numFmtId="176" fontId="20" fillId="5" borderId="0" xfId="0" applyNumberFormat="1" applyFont="1" applyFill="1" applyBorder="1" applyAlignment="1">
      <alignment horizontal="right"/>
    </xf>
    <xf numFmtId="41" fontId="4" fillId="5" borderId="0" xfId="0" applyNumberFormat="1" applyFont="1" applyFill="1" applyAlignment="1">
      <alignment horizontal="right"/>
    </xf>
    <xf numFmtId="0" fontId="4" fillId="5" borderId="0" xfId="0" applyFont="1" applyFill="1" applyAlignment="1"/>
    <xf numFmtId="0" fontId="0" fillId="5" borderId="0" xfId="0" applyNumberFormat="1" applyFont="1" applyFill="1" applyAlignment="1">
      <alignment vertical="center"/>
    </xf>
    <xf numFmtId="41" fontId="20" fillId="0" borderId="0" xfId="0" applyNumberFormat="1" applyFont="1" applyFill="1" applyAlignment="1">
      <alignment horizontal="right"/>
    </xf>
    <xf numFmtId="0" fontId="0" fillId="12" borderId="0" xfId="0" applyFill="1" applyAlignment="1">
      <alignment horizontal="left" vertical="center"/>
    </xf>
    <xf numFmtId="0" fontId="0" fillId="12" borderId="0" xfId="0" applyFont="1" applyFill="1">
      <alignment vertical="center"/>
    </xf>
    <xf numFmtId="0" fontId="0" fillId="12" borderId="0" xfId="0" applyFont="1" applyFill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12" borderId="0" xfId="0" applyFont="1" applyFill="1" applyAlignment="1">
      <alignment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ont="1" applyFill="1" applyAlignment="1">
      <alignment horizontal="center" vertical="top"/>
    </xf>
    <xf numFmtId="0" fontId="0" fillId="12" borderId="0" xfId="0" applyNumberForma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4" fillId="12" borderId="0" xfId="1" applyFont="1" applyFill="1" applyBorder="1"/>
    <xf numFmtId="0" fontId="4" fillId="12" borderId="0" xfId="1" applyFont="1" applyFill="1" applyBorder="1" applyAlignment="1">
      <alignment horizontal="right"/>
    </xf>
    <xf numFmtId="0" fontId="4" fillId="12" borderId="0" xfId="0" applyFont="1" applyFill="1" applyAlignment="1">
      <alignment horizontal="right"/>
    </xf>
    <xf numFmtId="177" fontId="0" fillId="12" borderId="0" xfId="0" applyNumberFormat="1" applyFill="1">
      <alignment vertical="center"/>
    </xf>
    <xf numFmtId="177" fontId="4" fillId="12" borderId="0" xfId="1" applyNumberFormat="1" applyFont="1" applyFill="1" applyBorder="1" applyAlignment="1">
      <alignment horizontal="right"/>
    </xf>
    <xf numFmtId="176" fontId="4" fillId="12" borderId="0" xfId="0" applyNumberFormat="1" applyFont="1" applyFill="1" applyBorder="1" applyAlignment="1">
      <alignment horizontal="right"/>
    </xf>
    <xf numFmtId="41" fontId="4" fillId="12" borderId="0" xfId="0" applyNumberFormat="1" applyFont="1" applyFill="1" applyAlignment="1">
      <alignment horizontal="right"/>
    </xf>
    <xf numFmtId="0" fontId="4" fillId="12" borderId="0" xfId="0" applyFont="1" applyFill="1" applyAlignment="1"/>
    <xf numFmtId="0" fontId="0" fillId="12" borderId="0" xfId="0" applyNumberFormat="1" applyFont="1" applyFill="1" applyAlignment="1">
      <alignment vertical="center"/>
    </xf>
    <xf numFmtId="176" fontId="4" fillId="12" borderId="0" xfId="1" applyNumberFormat="1" applyFont="1" applyFill="1" applyBorder="1" applyAlignment="1">
      <alignment horizontal="right"/>
    </xf>
    <xf numFmtId="41" fontId="0" fillId="12" borderId="0" xfId="0" applyNumberFormat="1" applyFill="1">
      <alignment vertical="center"/>
    </xf>
    <xf numFmtId="14" fontId="0" fillId="12" borderId="0" xfId="0" applyNumberFormat="1" applyFill="1">
      <alignment vertical="center"/>
    </xf>
    <xf numFmtId="177" fontId="4" fillId="12" borderId="0" xfId="1" quotePrefix="1" applyNumberFormat="1" applyFont="1" applyFill="1" applyBorder="1" applyAlignment="1">
      <alignment horizontal="right"/>
    </xf>
    <xf numFmtId="177" fontId="4" fillId="7" borderId="0" xfId="1" applyNumberFormat="1" applyFont="1" applyFill="1" applyBorder="1" applyAlignment="1">
      <alignment horizontal="right"/>
    </xf>
    <xf numFmtId="0" fontId="0" fillId="7" borderId="0" xfId="0" applyFill="1">
      <alignment vertical="center"/>
    </xf>
    <xf numFmtId="0" fontId="0" fillId="7" borderId="0" xfId="0" applyNumberFormat="1" applyFont="1" applyFill="1" applyAlignment="1">
      <alignment vertical="center"/>
    </xf>
    <xf numFmtId="41" fontId="0" fillId="7" borderId="0" xfId="0" applyNumberFormat="1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ont="1" applyFill="1">
      <alignment vertical="center"/>
    </xf>
    <xf numFmtId="0" fontId="0" fillId="7" borderId="0" xfId="0" applyFont="1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ont="1" applyFill="1" applyAlignment="1">
      <alignment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Font="1" applyFill="1" applyAlignment="1">
      <alignment horizontal="center" vertical="top"/>
    </xf>
    <xf numFmtId="0" fontId="0" fillId="7" borderId="0" xfId="0" applyNumberForma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4" fillId="7" borderId="0" xfId="1" applyFont="1" applyFill="1" applyBorder="1"/>
    <xf numFmtId="0" fontId="4" fillId="7" borderId="0" xfId="1" applyFont="1" applyFill="1" applyBorder="1" applyAlignment="1">
      <alignment horizontal="right"/>
    </xf>
    <xf numFmtId="0" fontId="4" fillId="7" borderId="0" xfId="0" applyFont="1" applyFill="1" applyAlignment="1">
      <alignment horizontal="right"/>
    </xf>
    <xf numFmtId="177" fontId="0" fillId="7" borderId="0" xfId="0" applyNumberFormat="1" applyFill="1">
      <alignment vertical="center"/>
    </xf>
    <xf numFmtId="176" fontId="4" fillId="7" borderId="0" xfId="0" applyNumberFormat="1" applyFont="1" applyFill="1" applyBorder="1" applyAlignment="1">
      <alignment horizontal="right"/>
    </xf>
    <xf numFmtId="41" fontId="4" fillId="7" borderId="0" xfId="0" applyNumberFormat="1" applyFont="1" applyFill="1" applyAlignment="1">
      <alignment horizontal="right"/>
    </xf>
    <xf numFmtId="14" fontId="0" fillId="7" borderId="0" xfId="0" applyNumberFormat="1" applyFill="1">
      <alignment vertical="center"/>
    </xf>
    <xf numFmtId="0" fontId="30" fillId="0" borderId="0" xfId="0" applyFont="1" applyFill="1" applyAlignment="1">
      <alignment horizontal="left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horizontal="left" vertical="top"/>
    </xf>
    <xf numFmtId="0" fontId="30" fillId="0" borderId="0" xfId="0" applyFont="1" applyFill="1" applyAlignment="1">
      <alignment vertical="center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top"/>
    </xf>
    <xf numFmtId="0" fontId="30" fillId="0" borderId="0" xfId="0" applyNumberFormat="1" applyFont="1" applyFill="1" applyAlignment="1">
      <alignment horizontal="left" vertical="center"/>
    </xf>
    <xf numFmtId="0" fontId="30" fillId="0" borderId="0" xfId="0" applyFont="1" applyFill="1" applyAlignment="1">
      <alignment horizontal="center" vertical="center"/>
    </xf>
    <xf numFmtId="0" fontId="30" fillId="0" borderId="0" xfId="1" applyFont="1" applyFill="1" applyBorder="1"/>
    <xf numFmtId="0" fontId="30" fillId="0" borderId="0" xfId="1" applyFont="1" applyFill="1" applyBorder="1" applyAlignment="1">
      <alignment horizontal="right"/>
    </xf>
    <xf numFmtId="0" fontId="30" fillId="0" borderId="0" xfId="0" applyFont="1" applyFill="1" applyAlignment="1">
      <alignment horizontal="right"/>
    </xf>
    <xf numFmtId="177" fontId="30" fillId="0" borderId="0" xfId="0" applyNumberFormat="1" applyFont="1" applyFill="1">
      <alignment vertical="center"/>
    </xf>
    <xf numFmtId="177" fontId="30" fillId="0" borderId="0" xfId="1" applyNumberFormat="1" applyFont="1" applyFill="1" applyBorder="1" applyAlignment="1">
      <alignment horizontal="right"/>
    </xf>
    <xf numFmtId="176" fontId="30" fillId="0" borderId="0" xfId="0" applyNumberFormat="1" applyFont="1" applyFill="1" applyBorder="1" applyAlignment="1">
      <alignment horizontal="right"/>
    </xf>
    <xf numFmtId="41" fontId="30" fillId="0" borderId="0" xfId="0" applyNumberFormat="1" applyFont="1" applyFill="1" applyAlignment="1">
      <alignment horizontal="right"/>
    </xf>
    <xf numFmtId="0" fontId="30" fillId="0" borderId="0" xfId="0" applyFont="1" applyFill="1" applyAlignment="1"/>
    <xf numFmtId="177" fontId="30" fillId="0" borderId="0" xfId="1" quotePrefix="1" applyNumberFormat="1" applyFont="1" applyFill="1" applyBorder="1" applyAlignment="1">
      <alignment horizontal="right"/>
    </xf>
    <xf numFmtId="176" fontId="30" fillId="0" borderId="0" xfId="1" applyNumberFormat="1" applyFont="1" applyFill="1" applyBorder="1" applyAlignment="1">
      <alignment horizontal="right"/>
    </xf>
    <xf numFmtId="0" fontId="30" fillId="0" borderId="0" xfId="0" applyNumberFormat="1" applyFont="1" applyFill="1" applyAlignment="1">
      <alignment vertical="center"/>
    </xf>
    <xf numFmtId="41" fontId="30" fillId="0" borderId="0" xfId="0" applyNumberFormat="1" applyFont="1" applyFill="1">
      <alignment vertical="center"/>
    </xf>
    <xf numFmtId="14" fontId="30" fillId="0" borderId="0" xfId="0" applyNumberFormat="1" applyFont="1" applyFill="1">
      <alignment vertical="center"/>
    </xf>
    <xf numFmtId="182" fontId="4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left"/>
    </xf>
    <xf numFmtId="0" fontId="20" fillId="0" borderId="0" xfId="1" applyFont="1" applyFill="1" applyBorder="1" applyAlignment="1">
      <alignment horizontal="center"/>
    </xf>
    <xf numFmtId="0" fontId="33" fillId="0" borderId="0" xfId="0" applyFont="1" applyFill="1" applyAlignment="1">
      <alignment horizontal="left" vertical="center"/>
    </xf>
    <xf numFmtId="9" fontId="0" fillId="0" borderId="0" xfId="0" applyNumberFormat="1" applyFont="1" applyFill="1">
      <alignment vertical="center"/>
    </xf>
    <xf numFmtId="0" fontId="33" fillId="0" borderId="0" xfId="0" applyFont="1" applyFill="1">
      <alignment vertical="center"/>
    </xf>
    <xf numFmtId="191" fontId="0" fillId="0" borderId="0" xfId="1" applyNumberFormat="1" applyFont="1" applyFill="1" applyBorder="1" applyAlignment="1">
      <alignment vertical="center"/>
    </xf>
    <xf numFmtId="191" fontId="0" fillId="0" borderId="0" xfId="6" applyNumberFormat="1" applyFont="1" applyFill="1" applyBorder="1" applyAlignment="1" applyProtection="1">
      <alignment vertical="center"/>
    </xf>
    <xf numFmtId="176" fontId="4" fillId="0" borderId="0" xfId="0" applyNumberFormat="1" applyFont="1" applyFill="1" applyAlignment="1">
      <alignment horizontal="right"/>
    </xf>
    <xf numFmtId="0" fontId="20" fillId="4" borderId="0" xfId="0" applyFont="1" applyFill="1">
      <alignment vertical="center"/>
    </xf>
    <xf numFmtId="0" fontId="34" fillId="0" borderId="0" xfId="0" applyFont="1" applyFill="1">
      <alignment vertical="center"/>
    </xf>
    <xf numFmtId="11" fontId="0" fillId="0" borderId="0" xfId="0" applyNumberFormat="1" applyFill="1" applyAlignment="1">
      <alignment horizontal="left" vertical="center"/>
    </xf>
  </cellXfs>
  <cellStyles count="54016">
    <cellStyle name=" " xfId="7"/>
    <cellStyle name=" _111 key data master" xfId="8"/>
    <cellStyle name=" _111 key data master_Copy of J97 Profit vs T6 Profit" xfId="9"/>
    <cellStyle name=" _111 key data master_GCP Platform Profits" xfId="10"/>
    <cellStyle name=" _2002BP AS" xfId="11"/>
    <cellStyle name=" _2002BP AS_Copy of J97 Profit vs T6 Profit" xfId="12"/>
    <cellStyle name=" _2002BP AS1" xfId="13"/>
    <cellStyle name=" _2002BP AS1_Copy of J97 Profit vs T6 Profit" xfId="14"/>
    <cellStyle name=" _AOC Package dtd 2002-08-12" xfId="15"/>
    <cellStyle name=" _AOC Package dtd 2002-08-12_Copy of J97 Profit vs T6 Profit" xfId="16"/>
    <cellStyle name=" _AS" xfId="17"/>
    <cellStyle name=" _AS_Copy of J97 Profit vs T6 Profit" xfId="18"/>
    <cellStyle name=" _AUS 1p11 Management Package Update" xfId="19"/>
    <cellStyle name=" _AUS 1p11 Management Package Update_Copy of J97 Profit vs T6 Profit" xfId="20"/>
    <cellStyle name=" _AUS 1p11 Management Package Update_GCP Platform Profits" xfId="21"/>
    <cellStyle name=" _Book25" xfId="22"/>
    <cellStyle name=" _Book25_Copy of J97 Profit vs T6 Profit" xfId="23"/>
    <cellStyle name=" _Copy of J97 Profit vs T6 Profit" xfId="24"/>
    <cellStyle name=" _Feb2001" xfId="25"/>
    <cellStyle name=" _Feb2001_Copy of J97 Profit vs T6 Profit" xfId="26"/>
    <cellStyle name=" _Feb2001_GCP Platform Profits" xfId="27"/>
    <cellStyle name=" _FIP 111 Mgt Summary_Feb19_FAP Subm" xfId="28"/>
    <cellStyle name=" _FIP 111 Mgt Summary_Feb19_FAP Subm_Copy of J97 Profit vs T6 Profit" xfId="29"/>
    <cellStyle name=" _FIP 111 Mgt Summary_Feb19_FAP Subm_GCP Platform Profits" xfId="30"/>
    <cellStyle name=" _GCP Platform Profits" xfId="31"/>
    <cellStyle name=" _key data page" xfId="32"/>
    <cellStyle name=" _key data page_Copy of J97 Profit vs T6 Profit" xfId="33"/>
    <cellStyle name=" _Profit outlook.xls Chart 1" xfId="34"/>
    <cellStyle name=" _Profit outlook.xls Chart 1_Copy of J97 Profit vs T6 Profit" xfId="35"/>
    <cellStyle name=" _Profit outlook.xls Chart 1_GCP Platform Profits" xfId="36"/>
    <cellStyle name=" _Profit outlook.xls Chart 13" xfId="37"/>
    <cellStyle name=" _Profit outlook.xls Chart 13_Copy of J97 Profit vs T6 Profit" xfId="38"/>
    <cellStyle name=" _Profit outlook.xls Chart 13_GCP Platform Profits" xfId="39"/>
    <cellStyle name=" _Profit outlook.xls Chart 14" xfId="40"/>
    <cellStyle name=" _Profit outlook.xls Chart 14_Copy of J97 Profit vs T6 Profit" xfId="41"/>
    <cellStyle name=" _Profit outlook.xls Chart 14_GCP Platform Profits" xfId="42"/>
    <cellStyle name=" _Profit outlook.xls Chart 2" xfId="43"/>
    <cellStyle name=" _Profit outlook.xls Chart 2_Copy of J97 Profit vs T6 Profit" xfId="44"/>
    <cellStyle name=" _Profit outlook.xls Chart 2_GCP Platform Profits" xfId="45"/>
    <cellStyle name=" _Profit outlook.xls Chart 3" xfId="46"/>
    <cellStyle name=" _Profit outlook.xls Chart 3_Copy of J97 Profit vs T6 Profit" xfId="47"/>
    <cellStyle name=" _Profit outlook.xls Chart 3_GCP Platform Profits" xfId="48"/>
    <cellStyle name=" _Profit outlook.xls Chart 4" xfId="49"/>
    <cellStyle name=" _Profit outlook.xls Chart 4_Copy of J97 Profit vs T6 Profit" xfId="50"/>
    <cellStyle name=" _Profit outlook.xls Chart 4_GCP Platform Profits" xfId="51"/>
    <cellStyle name=" _Profit outlook.xls Chart 5" xfId="52"/>
    <cellStyle name=" _Profit outlook.xls Chart 5_Copy of J97 Profit vs T6 Profit" xfId="53"/>
    <cellStyle name=" _Profit outlook.xls Chart 5_GCP Platform Profits" xfId="54"/>
    <cellStyle name=" _Profit outlook.xls Chart 6" xfId="55"/>
    <cellStyle name=" _Profit outlook.xls Chart 6_Copy of J97 Profit vs T6 Profit" xfId="56"/>
    <cellStyle name=" _Profit outlook.xls Chart 6_GCP Platform Profits" xfId="57"/>
    <cellStyle name=" _Roadmap &amp; Risks" xfId="58"/>
    <cellStyle name=" _Roadmap &amp; Risks_Copy of J97 Profit vs T6 Profit" xfId="59"/>
    <cellStyle name=" _Taiwan" xfId="60"/>
    <cellStyle name=" _Taiwan_0+12 R&amp;O" xfId="61"/>
    <cellStyle name=" _Taiwan_0+12 R&amp;O (2)" xfId="62"/>
    <cellStyle name=" _Taiwan_1st Half Total Cost" xfId="63"/>
    <cellStyle name=" _Taiwan_1st Half Total Cost_0+12 R&amp;O" xfId="64"/>
    <cellStyle name=" _Taiwan_1st Half Total Cost_0+12 R&amp;O (2)" xfId="65"/>
    <cellStyle name=" _Taiwan_1st Half Total Cost_Affordable Business Structure" xfId="66"/>
    <cellStyle name=" _Taiwan_1st Half Total Cost_Affordable Business Structure_0+12 R&amp;O" xfId="67"/>
    <cellStyle name=" _Taiwan_1st Half Total Cost_Affordable Business Structure_0+12 R&amp;O (2)" xfId="68"/>
    <cellStyle name=" _Taiwan_1st Half Total Cost_BP Key Assumptions" xfId="69"/>
    <cellStyle name=" _Taiwan_1st Half Total Cost_BP Key Assumptions_0+12 R&amp;O" xfId="70"/>
    <cellStyle name=" _Taiwan_1st Half Total Cost_BP Key Assumptions_0+12 R&amp;O (2)" xfId="71"/>
    <cellStyle name=" _Taiwan_1st Half Total Cost_Task" xfId="72"/>
    <cellStyle name=" _Taiwan_1st Half Total Cost_Task_0+12 R&amp;O" xfId="73"/>
    <cellStyle name=" _Taiwan_1st Half Total Cost_Task_0+12 R&amp;O (2)" xfId="74"/>
    <cellStyle name=" _Taiwan_1st Half Total Cost_TTLCOST BACKUP" xfId="75"/>
    <cellStyle name=" _Taiwan_1st Half Total Cost_TTLCOST BACKUP_0+12 R&amp;O (2)" xfId="76"/>
    <cellStyle name=" _Taiwan_1st Half Total Cost_Updated R&amp;O - 1999" xfId="77"/>
    <cellStyle name=" _Taiwan_1st Half Total Cost_Updated R&amp;O - 1999_0+12 R&amp;O" xfId="78"/>
    <cellStyle name=" _Taiwan_1st Half Total Cost_Updated R&amp;O - 1999_0+12 R&amp;O (2)" xfId="79"/>
    <cellStyle name=" _Taiwan_1st Half Total Cost_Vehicle Line Profit" xfId="80"/>
    <cellStyle name=" _Taiwan_1st Half Total Cost_Vehicle Line Profit_0+12 R&amp;O" xfId="81"/>
    <cellStyle name=" _Taiwan_1st Half Total Cost_Vehicle Line Profit_0+12 R&amp;O (2)" xfId="82"/>
    <cellStyle name=" _Taiwan_Affordable Business Structure" xfId="83"/>
    <cellStyle name=" _Taiwan_Affordable Business Structure_0+12 R&amp;O" xfId="84"/>
    <cellStyle name=" _Taiwan_Affordable Business Structure_0+12 R&amp;O (2)" xfId="85"/>
    <cellStyle name=" _Taiwan_Affordable Business Structure_BP Key Assumptions" xfId="86"/>
    <cellStyle name=" _Taiwan_Affordable Business Structure_BP Key Assumptions_0+12 R&amp;O" xfId="87"/>
    <cellStyle name=" _Taiwan_Affordable Business Structure_BP Key Assumptions_0+12 R&amp;O (2)" xfId="88"/>
    <cellStyle name=" _Taiwan_Affordable Business Structure_Task" xfId="89"/>
    <cellStyle name=" _Taiwan_Affordable Business Structure_Task_0+12 R&amp;O" xfId="90"/>
    <cellStyle name=" _Taiwan_Affordable Business Structure_Task_0+12 R&amp;O (2)" xfId="91"/>
    <cellStyle name=" _Taiwan_Affordable Business Structure_TTLCOST BACKUP" xfId="92"/>
    <cellStyle name=" _Taiwan_Affordable Business Structure_TTLCOST BACKUP_0+12 R&amp;O (2)" xfId="93"/>
    <cellStyle name=" _Taiwan_Affordable Business Structure_Updated R&amp;O - 1999" xfId="94"/>
    <cellStyle name=" _Taiwan_Affordable Business Structure_Updated R&amp;O - 1999_0+12 R&amp;O" xfId="95"/>
    <cellStyle name=" _Taiwan_Affordable Business Structure_Updated R&amp;O - 1999_0+12 R&amp;O (2)" xfId="96"/>
    <cellStyle name=" _Taiwan_Affordable Business Structure_Vehicle Line Profit" xfId="97"/>
    <cellStyle name=" _Taiwan_Affordable Business Structure_Vehicle Line Profit_0+12 R&amp;O" xfId="98"/>
    <cellStyle name=" _Taiwan_Affordable Business Structure_Vehicle Line Profit_0+12 R&amp;O (2)" xfId="99"/>
    <cellStyle name=" _Taiwan_BP Key Assumptions" xfId="100"/>
    <cellStyle name=" _Taiwan_BP Key Assumptions_0+12 R&amp;O" xfId="101"/>
    <cellStyle name=" _Taiwan_BP Key Assumptions_0+12 R&amp;O (2)" xfId="102"/>
    <cellStyle name=" _Taiwan_KD&amp;BU Study" xfId="103"/>
    <cellStyle name=" _Taiwan_KD&amp;BU Study_0+12 R&amp;O" xfId="104"/>
    <cellStyle name=" _Taiwan_KD&amp;BU Study_0+12 R&amp;O (2)" xfId="105"/>
    <cellStyle name=" _Taiwan_KD&amp;BU Study_Affordable Business Structure" xfId="106"/>
    <cellStyle name=" _Taiwan_KD&amp;BU Study_Affordable Business Structure_0+12 R&amp;O" xfId="107"/>
    <cellStyle name=" _Taiwan_KD&amp;BU Study_Affordable Business Structure_0+12 R&amp;O (2)" xfId="108"/>
    <cellStyle name=" _Taiwan_KD&amp;BU Study_BP Key Assumptions" xfId="109"/>
    <cellStyle name=" _Taiwan_KD&amp;BU Study_BP Key Assumptions_0+12 R&amp;O" xfId="110"/>
    <cellStyle name=" _Taiwan_KD&amp;BU Study_BP Key Assumptions_0+12 R&amp;O (2)" xfId="111"/>
    <cellStyle name=" _Taiwan_KD&amp;BU Study_Task" xfId="112"/>
    <cellStyle name=" _Taiwan_KD&amp;BU Study_Task_0+12 R&amp;O" xfId="113"/>
    <cellStyle name=" _Taiwan_KD&amp;BU Study_Task_0+12 R&amp;O (2)" xfId="114"/>
    <cellStyle name=" _Taiwan_KD&amp;BU Study_TTLCOST BACKUP" xfId="115"/>
    <cellStyle name=" _Taiwan_KD&amp;BU Study_TTLCOST BACKUP_0+12 R&amp;O (2)" xfId="116"/>
    <cellStyle name=" _Taiwan_KD&amp;BU Study_Updated R&amp;O - 1999" xfId="117"/>
    <cellStyle name=" _Taiwan_KD&amp;BU Study_Updated R&amp;O - 1999_0+12 R&amp;O" xfId="118"/>
    <cellStyle name=" _Taiwan_KD&amp;BU Study_Updated R&amp;O - 1999_0+12 R&amp;O (2)" xfId="119"/>
    <cellStyle name=" _Taiwan_KD&amp;BU Study_Vehicle Line Profit" xfId="120"/>
    <cellStyle name=" _Taiwan_KD&amp;BU Study_Vehicle Line Profit_0+12 R&amp;O" xfId="121"/>
    <cellStyle name=" _Taiwan_KD&amp;BU Study_Vehicle Line Profit_0+12 R&amp;O (2)" xfId="122"/>
    <cellStyle name=" _Taiwan_Task" xfId="123"/>
    <cellStyle name=" _Taiwan_Task_0+12 R&amp;O" xfId="124"/>
    <cellStyle name=" _Taiwan_Task_0+12 R&amp;O (2)" xfId="125"/>
    <cellStyle name=" _Taiwan_TTLCOST BACKUP" xfId="126"/>
    <cellStyle name=" _Taiwan_TTLCOST BACKUP_0+12 R&amp;O" xfId="127"/>
    <cellStyle name=" _Taiwan_TTLCOST BACKUP_0+12 R&amp;O (2)" xfId="128"/>
    <cellStyle name=" _Taiwan_TTLCOST BACKUP_Affordable Business Structure" xfId="129"/>
    <cellStyle name=" _Taiwan_TTLCOST BACKUP_Affordable Business Structure_0+12 R&amp;O" xfId="130"/>
    <cellStyle name=" _Taiwan_TTLCOST BACKUP_Affordable Business Structure_0+12 R&amp;O (2)" xfId="131"/>
    <cellStyle name=" _Taiwan_TTLCOST BACKUP_BP Key Assumptions" xfId="132"/>
    <cellStyle name=" _Taiwan_TTLCOST BACKUP_BP Key Assumptions_0+12 R&amp;O" xfId="133"/>
    <cellStyle name=" _Taiwan_TTLCOST BACKUP_BP Key Assumptions_0+12 R&amp;O (2)" xfId="134"/>
    <cellStyle name=" _Taiwan_TTLCOST BACKUP_Task" xfId="135"/>
    <cellStyle name=" _Taiwan_TTLCOST BACKUP_Task_0+12 R&amp;O" xfId="136"/>
    <cellStyle name=" _Taiwan_TTLCOST BACKUP_Task_0+12 R&amp;O (2)" xfId="137"/>
    <cellStyle name=" _Taiwan_TTLCOST BACKUP_Updated R&amp;O - 1999" xfId="138"/>
    <cellStyle name=" _Taiwan_TTLCOST BACKUP_Updated R&amp;O - 1999_0+12 R&amp;O" xfId="139"/>
    <cellStyle name=" _Taiwan_TTLCOST BACKUP_Updated R&amp;O - 1999_0+12 R&amp;O (2)" xfId="140"/>
    <cellStyle name=" _Taiwan_TTLCOST BACKUP_Vehicle Line Profit" xfId="141"/>
    <cellStyle name=" _Taiwan_TTLCOST BACKUP_Vehicle Line Profit_0+12 R&amp;O" xfId="142"/>
    <cellStyle name=" _Taiwan_TTLCOST BACKUP_Vehicle Line Profit_0+12 R&amp;O (2)" xfId="143"/>
    <cellStyle name=" _Taiwan_Updated R&amp;O - 1998" xfId="144"/>
    <cellStyle name=" _Taiwan_Updated R&amp;O - 1998_0+12 R&amp;O" xfId="145"/>
    <cellStyle name=" _Taiwan_Updated R&amp;O - 1998_0+12 R&amp;O (2)" xfId="146"/>
    <cellStyle name=" _Taiwan_Updated R&amp;O - 1999" xfId="147"/>
    <cellStyle name=" _Taiwan_Updated R&amp;O - 1999_0+12 R&amp;O" xfId="148"/>
    <cellStyle name=" _Taiwan_Updated R&amp;O - 1999_0+12 R&amp;O (2)" xfId="149"/>
    <cellStyle name=" _Taiwan_Vehicle Line Profit" xfId="150"/>
    <cellStyle name=" _Taiwan_Vehicle Line Profit_0+12 R&amp;O" xfId="151"/>
    <cellStyle name=" _Taiwan_Vehicle Line Profit_0+12 R&amp;O (2)" xfId="152"/>
    <cellStyle name=" 1" xfId="153"/>
    <cellStyle name=" 1 2" xfId="154"/>
    <cellStyle name=" 2" xfId="155"/>
    <cellStyle name="_x000a_mouse.drv=lm" xfId="156"/>
    <cellStyle name="_x0007__x000b_" xfId="157"/>
    <cellStyle name="$" xfId="158"/>
    <cellStyle name="$ 2" xfId="159"/>
    <cellStyle name="$ 2 2" xfId="160"/>
    <cellStyle name="$ 3" xfId="161"/>
    <cellStyle name="$ 3 2" xfId="162"/>
    <cellStyle name="$ 4" xfId="163"/>
    <cellStyle name="$ 4 2" xfId="164"/>
    <cellStyle name="$ w/o $" xfId="165"/>
    <cellStyle name="$_#624" xfId="166"/>
    <cellStyle name="$_#624_'11MY PA Status _mini BP submission_7_9_08" xfId="167"/>
    <cellStyle name="$_#624_2006_Metrics_ver_h_adjusted on march_20" xfId="168"/>
    <cellStyle name="$_#624_2007 Containment Plan" xfId="169"/>
    <cellStyle name="$_#624_2007 vs 2006 01 23 07" xfId="170"/>
    <cellStyle name="$_#624_2007 workload_cost outlook" xfId="171"/>
    <cellStyle name="$_#624_2008 Eng Matl Task Identified 01_18_08" xfId="172"/>
    <cellStyle name="$_#624_2008 Engineering AB 06132007" xfId="173"/>
    <cellStyle name="$_#624_2008 Headcount Plan" xfId="174"/>
    <cellStyle name="$_#624_2008CY Prototype Material Budget" xfId="175"/>
    <cellStyle name="$_#624_April 2004 Somp Deck" xfId="176"/>
    <cellStyle name="$_#624_Billings" xfId="177"/>
    <cellStyle name="$_#624_Billings 09 07Upd" xfId="178"/>
    <cellStyle name="$_#624_Book13" xfId="179"/>
    <cellStyle name="$_#624_C307 August SoMP deck2" xfId="180"/>
    <cellStyle name="$_#624_C307 September SoMP deck" xfId="181"/>
    <cellStyle name="$_#624_CD340 PMM Filing 16.09.04" xfId="182"/>
    <cellStyle name="$_#624_CD340 SoMP August" xfId="183"/>
    <cellStyle name="$_#624_CD340 SoMP EOC May 12 ver2" xfId="184"/>
    <cellStyle name="$_#624_CD340 SoMP July" xfId="185"/>
    <cellStyle name="$_#624_CD340 SoMP mar 121" xfId="186"/>
    <cellStyle name="$_#624_CD340 SoMP mar 9" xfId="187"/>
    <cellStyle name="$_#624_CD340 SoMP March 30" xfId="188"/>
    <cellStyle name="$_#624_DRL 6.13 Material Summary_v.1" xfId="189"/>
    <cellStyle name="$_#624_EDt var" xfId="190"/>
    <cellStyle name="$_#624_EDT_Fcst732" xfId="191"/>
    <cellStyle name="$_#624_Engineering_Cost_2007-2009" xfId="192"/>
    <cellStyle name="$_#624_Finance_May 2004 Somp Deck" xfId="193"/>
    <cellStyle name="$_#624_Forecast_724" xfId="194"/>
    <cellStyle name="$_#624_Forecast_725_Metrics_Deck" xfId="195"/>
    <cellStyle name="$_#624_Forecast_726_p6" xfId="196"/>
    <cellStyle name="$_#624_Forecast_727_Submission" xfId="197"/>
    <cellStyle name="$_#624_Forecast_729_Metrics_Deck" xfId="198"/>
    <cellStyle name="$_#624_Forecast_730_FINAL" xfId="199"/>
    <cellStyle name="$_#624_Forecast_730_Metrics_Deck" xfId="200"/>
    <cellStyle name="$_#624_Forecast_730_Submission V2" xfId="201"/>
    <cellStyle name="$_#624_Forecast_731_FINAL" xfId="202"/>
    <cellStyle name="$_#624_Forecast_731_Metrics_Data" xfId="203"/>
    <cellStyle name="$_#624_Forecast_732_Metrics_Data" xfId="204"/>
    <cellStyle name="$_#624_Forecast_733_0+12_FINAL" xfId="205"/>
    <cellStyle name="$_#624_Inv.9.1 SREM Input" xfId="206"/>
    <cellStyle name="$_#624_Inv.9.2 2007A By 2007 Activity 070315" xfId="207"/>
    <cellStyle name="$_#624_JJP 13 June Mgmt Summary_v3" xfId="208"/>
    <cellStyle name="$_#624_July 2004 Somp PD Cont Margin Review" xfId="209"/>
    <cellStyle name="$_#624_June 18th v4" xfId="210"/>
    <cellStyle name="$_#624_March 2004 Somp Deck2 - After Margin Meeting" xfId="211"/>
    <cellStyle name="$_#624_March 2004 Somp Deck3 - March 22 2004" xfId="212"/>
    <cellStyle name="$_#624_Metrics_1007_EDT" xfId="213"/>
    <cellStyle name="$_#624_NEWEST" xfId="214"/>
    <cellStyle name="$_#624_PMM Finance Slides Excel Backup_v15 " xfId="215"/>
    <cellStyle name="$_#624_PMM Finance Slides Excel Backup_v15  2" xfId="216"/>
    <cellStyle name="$_#624_R-O sum" xfId="217"/>
    <cellStyle name="$_#624_settle pattern" xfId="218"/>
    <cellStyle name="$_#624_Summary RS 10-13-06" xfId="219"/>
    <cellStyle name="$_#624_U204" xfId="220"/>
    <cellStyle name="$_#624_V126HOOD" xfId="221"/>
    <cellStyle name="$_(120) Forecast Package FINAL p1 6" xfId="222"/>
    <cellStyle name="$_03 18 04 cycle plan" xfId="223"/>
    <cellStyle name="$_03 18 04 cycle plan 2" xfId="224"/>
    <cellStyle name="$_09 Escape Engine Comparison 1_10" xfId="225"/>
    <cellStyle name="$_09 Escape Engine Comparison 1_10 2" xfId="226"/>
    <cellStyle name="$_1+11PBR.3.17" xfId="227"/>
    <cellStyle name="$_1+11PBR.3.17 2" xfId="228"/>
    <cellStyle name="$_'11MY PA Status _mini BP submission_7_9_08" xfId="229"/>
    <cellStyle name="$_18_Wheels_Tires" xfId="230"/>
    <cellStyle name="$_18_Wheels_Tires 2" xfId="231"/>
    <cellStyle name="$_1999B2A Retail FPV" xfId="232"/>
    <cellStyle name="$_1999B2A Retail FPV 2" xfId="233"/>
    <cellStyle name="$_1999B2A Retail FPV_(120) Forecast Package FINAL p1 6" xfId="234"/>
    <cellStyle name="$_1999B2A Retail FPV_(120) Forecast Package FINAL p1 6 2" xfId="235"/>
    <cellStyle name="$_2000a_v2" xfId="236"/>
    <cellStyle name="$_2000a_v2 2" xfId="237"/>
    <cellStyle name="$_2000a_v2_(120) Forecast Package FINAL p1 6" xfId="238"/>
    <cellStyle name="$_2000a_v2_(120) Forecast Package FINAL p1 6 2" xfId="239"/>
    <cellStyle name="$_2003NACBG_June_SBG_June6_061903_900pm" xfId="240"/>
    <cellStyle name="$_2005 Global ARM_TVM Summary 57 ForecastFINAL071405" xfId="241"/>
    <cellStyle name="$_2005 Global ARM_TVM Summary 57 ForecastFINAL071405 2" xfId="242"/>
    <cellStyle name="$_2005 Operating Cash Flow Task incl PAG detail 210 update6" xfId="243"/>
    <cellStyle name="$_2005 U204 PA JAPAN_input" xfId="244"/>
    <cellStyle name="$_2005 U204 PA JAPAN_input 2" xfId="245"/>
    <cellStyle name="$_2006 Budget Update_RLS" xfId="246"/>
    <cellStyle name="$_2006 P150 2006 _mkteqSum_May_US" xfId="247"/>
    <cellStyle name="$_2006 P150 2006 _mkteqSum_May_US 2" xfId="248"/>
    <cellStyle name="$_2006 P150 2006 _mkteqSum_May_US_Official" xfId="249"/>
    <cellStyle name="$_2006 P150 2006 _mkteqSum_May_US_Official 2" xfId="250"/>
    <cellStyle name="$_2006 P150 SI-2007 SI_mkteqSum-US" xfId="251"/>
    <cellStyle name="$_2006 P150 SI-2007 SI_mkteqSum-US 2" xfId="252"/>
    <cellStyle name="$_2006_Metrics_ver_h_adjusted on march_20" xfId="253"/>
    <cellStyle name="$_2006B_Inventory V8 3 060506" xfId="254"/>
    <cellStyle name="$_2007MY Pricing Review - Navigator Showroom Spider" xfId="255"/>
    <cellStyle name="$_2007MY Pricing Review - Navigator Showroom Spider 2" xfId="256"/>
    <cellStyle name="$_2007MY Pricing Review - Showroom Spider - 10-11-05 Revised" xfId="257"/>
    <cellStyle name="$_2007MY Pricing Review - Showroom Spider - 10-11-05 Revised 2" xfId="258"/>
    <cellStyle name="$_2008CY Prototype Material Budget" xfId="259"/>
    <cellStyle name="$_4l Roadmap 2004_09_01 " xfId="260"/>
    <cellStyle name="$_6+6 YOYbprI-Iv2" xfId="261"/>
    <cellStyle name="$_6+6 YOYbprI-Iv2 2" xfId="262"/>
    <cellStyle name="$_6+6 YOYbprI-Iv3" xfId="263"/>
    <cellStyle name="$_6+6 YOYbprI-Iv3 2" xfId="264"/>
    <cellStyle name="$_7+5 YOYbprI-I" xfId="265"/>
    <cellStyle name="$_7+5 YOYbprI-I 2" xfId="266"/>
    <cellStyle name="$_99D_Apr" xfId="267"/>
    <cellStyle name="$_99D_Apr_(120) Forecast Package FINAL p1 6" xfId="268"/>
    <cellStyle name="$_April 2004 Somp Deck" xfId="269"/>
    <cellStyle name="$_Att III September '04 SBG Templates v1" xfId="270"/>
    <cellStyle name="$_August Update 2004 thru 2008_ 082003_noon" xfId="271"/>
    <cellStyle name="$_Book2" xfId="272"/>
    <cellStyle name="$_Book2 2" xfId="273"/>
    <cellStyle name="$_Book2_1" xfId="274"/>
    <cellStyle name="$_Book2_1 2" xfId="275"/>
    <cellStyle name="$_Book2_2012 U22X P525 PS Study Matrix 1-27-08 " xfId="276"/>
    <cellStyle name="$_Book6" xfId="277"/>
    <cellStyle name="$_C307 August SoMP deck2" xfId="278"/>
    <cellStyle name="$_C307 September SoMP deck" xfId="279"/>
    <cellStyle name="$_Calculations" xfId="280"/>
    <cellStyle name="$_Calculations 2" xfId="281"/>
    <cellStyle name="$_CD340 PMM Filing 16.09.04" xfId="282"/>
    <cellStyle name="$_CD340 SoMP August" xfId="283"/>
    <cellStyle name="$_CD340 SoMP EOC May 12 ver2" xfId="284"/>
    <cellStyle name="$_CD340 SoMP July" xfId="285"/>
    <cellStyle name="$_CD340 SoMP mar 121" xfId="286"/>
    <cellStyle name="$_CD340 SoMP mar 9" xfId="287"/>
    <cellStyle name="$_CD340 SoMP March 30" xfId="288"/>
    <cellStyle name="$_check" xfId="289"/>
    <cellStyle name="$_check 2" xfId="290"/>
    <cellStyle name="$_Cost Metrics &amp; Key Assumptions Template" xfId="291"/>
    <cellStyle name="$_Demars Review_Big Bore Pricing 092303" xfId="292"/>
    <cellStyle name="$_Demars Review_Big Bore Pricing 092303 2" xfId="293"/>
    <cellStyle name="$_DRL 6.13 Material Summary_v.1" xfId="294"/>
    <cellStyle name="$_EMS August PBR" xfId="295"/>
    <cellStyle name="$_EMS August PBR 2" xfId="296"/>
    <cellStyle name="$_EngComp_NAT_Sep5" xfId="297"/>
    <cellStyle name="$_EngComp_NAT_Sep5 2" xfId="298"/>
    <cellStyle name="$_Equip Adj Vs Highlander and Pilot_v3" xfId="299"/>
    <cellStyle name="$_Equip Adj Vs Highlander and Pilot_v3 2" xfId="300"/>
    <cellStyle name="$_Explorer Rev Build-up" xfId="301"/>
    <cellStyle name="$_Explorer Rev Build-up 2" xfId="302"/>
    <cellStyle name="$_ExplorerMixand rates_USprogram" xfId="303"/>
    <cellStyle name="$_ExplorerMixand rates_USprogram 2" xfId="304"/>
    <cellStyle name="$_Feb 3 2006 IACM Status" xfId="305"/>
    <cellStyle name="$_Feb PRC Escape" xfId="306"/>
    <cellStyle name="$_Feb PRC Escape 2" xfId="307"/>
    <cellStyle name="$_FINAL October Proposal -- Lyons" xfId="308"/>
    <cellStyle name="$_FINAL October Proposal -- Lyons 2" xfId="309"/>
    <cellStyle name="$_Finance_May 2004 Somp Deck" xfId="310"/>
    <cellStyle name="$_Fringe Calc 0807" xfId="311"/>
    <cellStyle name="$_Global 8+4 YOYbprI-I" xfId="312"/>
    <cellStyle name="$_Global 8+4 YOYbprI-I 2" xfId="313"/>
    <cellStyle name="$_in proc opps w_Volume " xfId="314"/>
    <cellStyle name="$_Inv.9.1 SREM Input" xfId="315"/>
    <cellStyle name="$_Inv.9.2 2007A By 2007 Activity 070315" xfId="316"/>
    <cellStyle name="$_JDC Review 3-17-05" xfId="317"/>
    <cellStyle name="$_JJP 13 June Mgmt Summary_v3" xfId="318"/>
    <cellStyle name="$_July 2004 Somp PD Cont Margin Review" xfId="319"/>
    <cellStyle name="$_June 18th v4" xfId="320"/>
    <cellStyle name="$_March 2004 Somp Deck2 - After Margin Meeting" xfId="321"/>
    <cellStyle name="$_March 2004 Somp Deck3 - March 22 2004" xfId="322"/>
    <cellStyle name="$_Market Equation Reconciliation - 2005BP Status vs PA - Expedition Navigator - MC Review" xfId="323"/>
    <cellStyle name="$_Market Equation Reconciliation - 2005BP Status vs PA - Expedition Navigator - MC Review 2" xfId="324"/>
    <cellStyle name="$_May '04 SBG Templates(5-3-04)" xfId="325"/>
    <cellStyle name="$_mkt inquiry instructions" xfId="326"/>
    <cellStyle name="$_mkt inquiry instructions 2" xfId="327"/>
    <cellStyle name="$_New Zealand Mondeo - TP as approved " xfId="328"/>
    <cellStyle name="$_Nov 11 Deep Dive Workplan" xfId="329"/>
    <cellStyle name="$_Nov 11 Deep Dive Workplan 2" xfId="330"/>
    <cellStyle name="$_October 2005 PBR" xfId="331"/>
    <cellStyle name="$_Orion SI Volume - PMM Status " xfId="332"/>
    <cellStyle name="$_P221_2008.5_Mkt Eqt ko_v6" xfId="333"/>
    <cellStyle name="$_P221_2008.5_Mkt Eqt ko_v6 2" xfId="334"/>
    <cellStyle name="$_Panel 2.xls Global Mkt Equation" xfId="335"/>
    <cellStyle name="$_Panel 2.xls Global Mkt EquationAviator" xfId="336"/>
    <cellStyle name="$_PPM Volume Summary " xfId="337"/>
    <cellStyle name="$_Revenue Updated" xfId="338"/>
    <cellStyle name="$_Revenue Updated 2" xfId="339"/>
    <cellStyle name="$_Sept 2004 Profit Update 9 04_800am" xfId="340"/>
    <cellStyle name="$_settle pattern" xfId="341"/>
    <cellStyle name="$_settle pattern 2" xfId="342"/>
    <cellStyle name="$_Status Update 10-19-05" xfId="343"/>
    <cellStyle name="$_Status Update 10-19-05 2" xfId="344"/>
    <cellStyle name="$_Transit Pricing - Jan 2002 " xfId="345"/>
    <cellStyle name="$_U.S. Mkt Eq 4-dr Explorer" xfId="346"/>
    <cellStyle name="$_U.S. Mkt Eq 4-dr Explorer 2" xfId="347"/>
    <cellStyle name="$_U.S. Mkt Eq 4-dr Explorer PPR Alt 3" xfId="348"/>
    <cellStyle name="$_U.S. Mkt Eq 4-dr Explorer PPR Alt 3 2" xfId="349"/>
    <cellStyle name="$_U204_01M" xfId="350"/>
    <cellStyle name="$_U251 4 door Explorer Info to Profit" xfId="351"/>
    <cellStyle name="$_U251 4 door Explorer Info to Profit 2" xfId="352"/>
    <cellStyle name="$_U251 Pre-SI Market Inquiry(incl mktequ,ex sumry, etc)" xfId="353"/>
    <cellStyle name="$_U251 Pre-SI Market Inquiry(incl mktequ,ex sumry, etc) 2" xfId="354"/>
    <cellStyle name="$_U251_PA_Series_final_dec7" xfId="355"/>
    <cellStyle name="$_U251_PA_Series_final_dec7 2" xfId="356"/>
    <cellStyle name="$_Update Detail" xfId="357"/>
    <cellStyle name="$_Update Detail 2" xfId="358"/>
    <cellStyle name="$_US - Roll Sheet Post &lt;PA&gt;" xfId="359"/>
    <cellStyle name="$_US - Roll Sheet Post &lt;PA&gt; 2" xfId="360"/>
    <cellStyle name="$_US Avg Rev Post &lt;PA&gt;" xfId="361"/>
    <cellStyle name="$_US Avg Rev Post &lt;PA&gt; 2" xfId="362"/>
    <cellStyle name="$_Variance- SI vs SC" xfId="363"/>
    <cellStyle name="$_WDMO 07MY Mix Rate  Equip Rev by Region11" xfId="364"/>
    <cellStyle name="$_WDMO 07MY Mix Rate  Equip Rev by Region11 2" xfId="365"/>
    <cellStyle name="$_WDMO Market Inquiry Explorer U251" xfId="366"/>
    <cellStyle name="$_WDMO Market Inquiry Explorer U251 2" xfId="367"/>
    <cellStyle name="$_WDMO Market Inquiry Explorer U251-Ver. Final" xfId="368"/>
    <cellStyle name="$_WDMO Market Inquiry Explorer U251-Ver. Final 2" xfId="369"/>
    <cellStyle name="$_X200BusPlan" xfId="370"/>
    <cellStyle name="$_X200BusPlan 2" xfId="371"/>
    <cellStyle name="$_XXRoll Sheets (Input) 2004BP1" xfId="372"/>
    <cellStyle name="$_XXRoll Sheets (Input) 2004BP1 2" xfId="373"/>
    <cellStyle name="$0" xfId="374"/>
    <cellStyle name="$0 2" xfId="375"/>
    <cellStyle name="$0.0" xfId="376"/>
    <cellStyle name="$0.0 2" xfId="377"/>
    <cellStyle name="$0.00" xfId="378"/>
    <cellStyle name="$0.00 2" xfId="379"/>
    <cellStyle name="$0.00 3" xfId="380"/>
    <cellStyle name="$0_!!!GO" xfId="381"/>
    <cellStyle name="$one" xfId="382"/>
    <cellStyle name="$one 2" xfId="383"/>
    <cellStyle name="$two" xfId="384"/>
    <cellStyle name="$two 2" xfId="385"/>
    <cellStyle name="%" xfId="386"/>
    <cellStyle name="%0" xfId="387"/>
    <cellStyle name="%0.0" xfId="388"/>
    <cellStyle name="%0.0 2" xfId="389"/>
    <cellStyle name="%0.0 3" xfId="390"/>
    <cellStyle name="%0_!!!GO" xfId="391"/>
    <cellStyle name="%one" xfId="392"/>
    <cellStyle name="%one 2" xfId="393"/>
    <cellStyle name="%two" xfId="394"/>
    <cellStyle name="%two 2" xfId="395"/>
    <cellStyle name="､@ｯ・  Design " xfId="396"/>
    <cellStyle name="､@ｯ・12% 584 4Q " xfId="397"/>
    <cellStyle name="､@ｯ・98 design  " xfId="398"/>
    <cellStyle name="､@ｯ・BT57HBvsMarch " xfId="399"/>
    <cellStyle name="､@ｯ・C206twn_041224 J97U ME (CC) " xfId="400"/>
    <cellStyle name="､@ｯ・CDT115_  Design " xfId="401"/>
    <cellStyle name="､@ｯ・design " xfId="402"/>
    <cellStyle name="､@ｯ・Per Unit " xfId="403"/>
    <cellStyle name="､d､ﾀｦ・  Design " xfId="404"/>
    <cellStyle name="､d､ﾀｦ・0]_  Design " xfId="405"/>
    <cellStyle name="､d､ﾀｦ・98 design  " xfId="406"/>
    <cellStyle name="､d､ﾀｦ・BT57HBvsMarch " xfId="407"/>
    <cellStyle name="､d､ﾀｦ・design " xfId="408"/>
    <cellStyle name="､d､ﾀｦ・Per Unit " xfId="409"/>
    <cellStyle name="､d､ﾀｦ・Per Unit_Bongo Per Unit " xfId="410"/>
    <cellStyle name="?? [0.00]_DENSO___" xfId="411"/>
    <cellStyle name="????" xfId="412"/>
    <cellStyle name="???? [0.00]_laroux" xfId="413"/>
    <cellStyle name="????????????_3 ???? ???" xfId="414"/>
    <cellStyle name="???????_3 ???? ???" xfId="415"/>
    <cellStyle name="?????18" xfId="416"/>
    <cellStyle name="????_DEPT14Z1" xfId="417"/>
    <cellStyle name="???10" xfId="418"/>
    <cellStyle name="???12" xfId="419"/>
    <cellStyle name="??_____??? (2)" xfId="420"/>
    <cellStyle name="??1" xfId="421"/>
    <cellStyle name="??2" xfId="422"/>
    <cellStyle name="??3" xfId="423"/>
    <cellStyle name="?\旨巧?Y?I?n?C?pー???“?N" xfId="424"/>
    <cellStyle name="?…?a唇?e [0.00]_，T×I" xfId="425"/>
    <cellStyle name="?…?a唇?e_，T×I" xfId="426"/>
    <cellStyle name="?f??[0]_6_6 R&amp;O " xfId="427"/>
    <cellStyle name="?f??_6_6 R&amp;O " xfId="428"/>
    <cellStyle name="?n?C?pー???“?N" xfId="429"/>
    <cellStyle name="?W準_，T×I" xfId="430"/>
    <cellStyle name="_'11MY PA Status _mini BP submission_7_9_08" xfId="431"/>
    <cellStyle name="_2005 Seat Material Budget Detail 03102005" xfId="432"/>
    <cellStyle name="_B1-B3" xfId="433"/>
    <cellStyle name="_B1-B3 111" xfId="434"/>
    <cellStyle name="_Book4" xfId="435"/>
    <cellStyle name="_Budget 2005_11-29-04_b" xfId="436"/>
    <cellStyle name="_C346 draft ESWP total070620" xfId="437"/>
    <cellStyle name="_C346 draft ESWP total070620_Book1" xfId="438"/>
    <cellStyle name="_C346 RFQ Quote Status Report20100222" xfId="439"/>
    <cellStyle name="_C346 RFQ Tracker" xfId="440"/>
    <cellStyle name="_CD391 Purchasing Master" xfId="441"/>
    <cellStyle name="_China Status July 08" xfId="442"/>
    <cellStyle name="_ColHeading" xfId="443"/>
    <cellStyle name="_ColSegTitle" xfId="444"/>
    <cellStyle name="_ColStub" xfId="445"/>
    <cellStyle name="_ColStubBW" xfId="446"/>
    <cellStyle name="_ColStubUnused" xfId="447"/>
    <cellStyle name="_ColTitle" xfId="448"/>
    <cellStyle name="_ColTitleBW" xfId="449"/>
    <cellStyle name="_ColTitleUnused" xfId="450"/>
    <cellStyle name="_CPA Package Tracking List_2010-05-19" xfId="451"/>
    <cellStyle name="_CPA sourcing status tracker" xfId="452"/>
    <cellStyle name="_CPA sourcing status tracker (3)" xfId="453"/>
    <cellStyle name="_CPA sourcing status tracker (Oct-13)_ PA Quality" xfId="454"/>
    <cellStyle name="_CPA sourcing status tracker (Oct-13)_ PA Quality_Book1" xfId="455"/>
    <cellStyle name="_CPA sourcing status tracker_new" xfId="456"/>
    <cellStyle name="_CPA sourcing status tracker_PD" xfId="457"/>
    <cellStyle name="_CPA sourcing status tracker33" xfId="458"/>
    <cellStyle name="_CPATemplate" xfId="459"/>
    <cellStyle name="_CPATemplate 2" xfId="460"/>
    <cellStyle name="_CPATemplate 3" xfId="461"/>
    <cellStyle name="_Detail" xfId="462"/>
    <cellStyle name="_EESEWalkbetweenVersions" xfId="463"/>
    <cellStyle name="_ET_STYLE_NoName_00_" xfId="464"/>
    <cellStyle name="_ET_STYLE_NoName_00__C346 cost Tracker091215 " xfId="465"/>
    <cellStyle name="_ET_STYLE_NoName_00__CD391 Purchasing Master" xfId="466"/>
    <cellStyle name="_Global Marketing Template Slides (2)" xfId="467"/>
    <cellStyle name="_Job Last List - Pengxi " xfId="468"/>
    <cellStyle name="_June 18th v4" xfId="469"/>
    <cellStyle name="_new Summary" xfId="470"/>
    <cellStyle name="_Non Top 122 Commodities-tracking file" xfId="471"/>
    <cellStyle name="_Non Top 122 Commodities-tracking file_CPA sourcing status tracker (Oct-13)_ PA Quality" xfId="472"/>
    <cellStyle name="_Output" xfId="473"/>
    <cellStyle name="_OutputBW" xfId="474"/>
    <cellStyle name="_OutputSpecial" xfId="475"/>
    <cellStyle name="_OutputSpecialBW" xfId="476"/>
    <cellStyle name="_OutputUnused" xfId="477"/>
    <cellStyle name="_ReportHeader" xfId="478"/>
    <cellStyle name="_ReportHeaderBW" xfId="479"/>
    <cellStyle name="_ReportHeaderUnused" xfId="480"/>
    <cellStyle name="_RowSegTitle" xfId="481"/>
    <cellStyle name="_RowStub" xfId="482"/>
    <cellStyle name="_RowStubBW" xfId="483"/>
    <cellStyle name="_RowStubUnused" xfId="484"/>
    <cellStyle name="_Status excluding J" xfId="485"/>
    <cellStyle name="_Summary" xfId="486"/>
    <cellStyle name="_SWRMDelta" xfId="487"/>
    <cellStyle name="_SWRMDelta 2" xfId="488"/>
    <cellStyle name="_SWRMDelta 3" xfId="489"/>
    <cellStyle name="_top-122 " xfId="490"/>
    <cellStyle name="_top-122 20100329" xfId="491"/>
    <cellStyle name="_top-122 20100412" xfId="492"/>
    <cellStyle name="’E］Y [0.00]_，T×I" xfId="493"/>
    <cellStyle name="’E］Y_，T×I" xfId="494"/>
    <cellStyle name="’Ê‰Ý [0.00]_!!!GO" xfId="495"/>
    <cellStyle name="’E‰Y [0.00]_，T×I" xfId="496"/>
    <cellStyle name="’Ê‰Ý_!!!GO" xfId="497"/>
    <cellStyle name="’E‰Y_，T×I" xfId="498"/>
    <cellStyle name="£_2000(1+11)_FHO Aus U204 SC_R_J87R Escape Indonesia PA After Update 14-01-05 " xfId="499"/>
    <cellStyle name="£_2000(1+11)_FHO Aus U204 SC_R_Thailand J87 Escape PA After Update 14-01-05 " xfId="500"/>
    <cellStyle name="£_2000(1+11)_J14XY Job#1 KD Kit TP Approval Request 2004-01-23 " xfId="501"/>
    <cellStyle name="£_2000(1+11)_J87 Job Last Job# Walk FMCP BU 25-01-05  " xfId="502"/>
    <cellStyle name="£_2000(1+11)_J87R Escape Indonesia PA After Update 14-01-05 " xfId="503"/>
    <cellStyle name="£_2000(1+11)_Mazda_SP_Cost 07-02-05 " xfId="504"/>
    <cellStyle name="£_2000(1+11)_Mazda_SP_Cost 25-01-05 " xfId="505"/>
    <cellStyle name="£_2000(1+11)_Thailand J87 Escape PA After Update 14-01-05 " xfId="506"/>
    <cellStyle name="£_2000(3+9)_FHO Aus U204 SC_R_J87R Escape Indonesia PA After Update 14-01-05 " xfId="507"/>
    <cellStyle name="£_2000(3+9)_FHO Aus U204 SC_R_Thailand J87 Escape PA After Update 14-01-05 " xfId="508"/>
    <cellStyle name="£_2000(3+9)_J14XY Job#1 KD Kit TP Approval Request 2004-01-23 " xfId="509"/>
    <cellStyle name="£_2000(3+9)_J87 Job Last Job# Walk FMCP BU 25-01-05  " xfId="510"/>
    <cellStyle name="£_2000(3+9)_J87R Escape Indonesia PA After Update 14-01-05 " xfId="511"/>
    <cellStyle name="£_2000(3+9)_Mazda_SP_Cost 07-02-05 " xfId="512"/>
    <cellStyle name="£_2000(3+9)_Mazda_SP_Cost 25-01-05 " xfId="513"/>
    <cellStyle name="£_2000(3+9)_Thailand J87 Escape PA After Update 14-01-05 " xfId="514"/>
    <cellStyle name="£_2000(5+7)TK_FHO Aus U204 SC_R_J87R Escape Indonesia PA After Update 14-01-05 " xfId="515"/>
    <cellStyle name="£_2000(5+7)TK_FHO Aus U204 SC_R_Thailand J87 Escape PA After Update 14-01-05 " xfId="516"/>
    <cellStyle name="£_2000(5+7)TK_J14XY Job#1 KD Kit TP Approval Request 2004-01-23 " xfId="517"/>
    <cellStyle name="£_2000(5+7)TK_J87 Job Last Job# Walk FMCP BU 25-01-05  " xfId="518"/>
    <cellStyle name="£_2000(5+7)TK_J87R Escape Indonesia PA After Update 14-01-05 " xfId="519"/>
    <cellStyle name="£_2000(5+7)TK_Mazda_SP_Cost 07-02-05 " xfId="520"/>
    <cellStyle name="£_2000(5+7)TK_Mazda_SP_Cost 25-01-05 " xfId="521"/>
    <cellStyle name="£_2000(5+7)TK_Thailand J87 Escape PA After Update 14-01-05 " xfId="522"/>
    <cellStyle name="£_2000(6+6)_2001 by Qtr (IOI)_FHO Aus U204 SC_R_J87R Escape Indonesia PA After Update 14-01-05 " xfId="523"/>
    <cellStyle name="£_2000(6+6)_2001 by Qtr (IOI)_FHO Aus U204 SC_R_Thailand J87 Escape PA After Update 14-01-05 " xfId="524"/>
    <cellStyle name="£_2000(6+6)_2001 by Qtr (IOI)_J14XY Job#1 KD Kit TP Approval Request 2004-01-23 " xfId="525"/>
    <cellStyle name="£_2000(6+6)_2001 by Qtr (IOI)_J87 Job Last Job# Walk FMCP BU 25-01-05  " xfId="526"/>
    <cellStyle name="£_2000(6+6)_2001 by Qtr (IOI)_J87R Escape Indonesia PA After Update 14-01-05 " xfId="527"/>
    <cellStyle name="£_2000(6+6)_2001 by Qtr (IOI)_Mazda_SP_Cost 07-02-05 " xfId="528"/>
    <cellStyle name="£_2000(6+6)_2001 by Qtr (IOI)_Mazda_SP_Cost 25-01-05 " xfId="529"/>
    <cellStyle name="£_2000(6+6)_2001 by Qtr (IOI)_Thailand J87 Escape PA After Update 14-01-05 " xfId="530"/>
    <cellStyle name="£_2000(6+6)_FHO Aus U204 SC_R_J87R Escape Indonesia PA After Update 14-01-05 " xfId="531"/>
    <cellStyle name="£_2000(6+6)_FHO Aus U204 SC_R_Thailand J87 Escape PA After Update 14-01-05 " xfId="532"/>
    <cellStyle name="£_2000(6+6)_J14XY Job#1 KD Kit TP Approval Request 2004-01-23 " xfId="533"/>
    <cellStyle name="£_2000(6+6)_J87 Job Last Job# Walk FMCP BU 25-01-05  " xfId="534"/>
    <cellStyle name="£_2000(6+6)_J87R Escape Indonesia PA After Update 14-01-05 " xfId="535"/>
    <cellStyle name="£_2000(6+6)_Mazda_SP_Cost 07-02-05 " xfId="536"/>
    <cellStyle name="£_2000(6+6)_Mazda_SP_Cost 25-01-05 " xfId="537"/>
    <cellStyle name="£_2000(6+6)_Thailand J87 Escape PA After Update 14-01-05 " xfId="538"/>
    <cellStyle name="£_2000BP(YOY)_FHO Aus U204 SC_R_J87R Escape Indonesia PA After Update 14-01-05 " xfId="539"/>
    <cellStyle name="£_2000BP(YOY)_FHO Aus U204 SC_R_Thailand J87 Escape PA After Update 14-01-05 " xfId="540"/>
    <cellStyle name="£_2000BP(YOY)_J14XY Job#1 KD Kit TP Approval Request 2004-01-23 " xfId="541"/>
    <cellStyle name="£_2000BP(YOY)_J87 Job Last Job# Walk FMCP BU 25-01-05  " xfId="542"/>
    <cellStyle name="£_2000BP(YOY)_J87R Escape Indonesia PA After Update 14-01-05 " xfId="543"/>
    <cellStyle name="£_2000BP(YOY)_Mazda_SP_Cost 07-02-05 " xfId="544"/>
    <cellStyle name="£_2000BP(YOY)_Mazda_SP_Cost 25-01-05 " xfId="545"/>
    <cellStyle name="£_2000BP(YOY)_Thailand J87 Escape PA After Update 14-01-05 " xfId="546"/>
    <cellStyle name="£_FHO Aus U204 SC_R_J87R Escape Indonesia PA After Update 14-01-05 " xfId="547"/>
    <cellStyle name="£_FHO Aus U204 SC_R_Thailand J87 Escape PA After Update 14-01-05 " xfId="548"/>
    <cellStyle name="£_J14XY Job#1 KD Kit TP Approval Request 2004-01-23 " xfId="549"/>
    <cellStyle name="£_J87 Job Last Job# Walk FMCP BU 25-01-05  " xfId="550"/>
    <cellStyle name="£_J87R Escape Indonesia PA After Update 14-01-05 " xfId="551"/>
    <cellStyle name="£_Mazda_SP_Cost 07-02-05 " xfId="552"/>
    <cellStyle name="£_Mazda_SP_Cost 25-01-05 " xfId="553"/>
    <cellStyle name="£_Thailand J87 Escape PA After Update 14-01-05 " xfId="554"/>
    <cellStyle name="¤@¯EVa. Vol and seg" xfId="555"/>
    <cellStyle name="¤@¯ë_Va. Vol and seg" xfId="556"/>
    <cellStyle name="¥_2.FVL U204 Rollforward Jan 2002 US Parts Cost_J14XY Job#1 KD Kit TP Approval Request 2004-01-23 " xfId="557"/>
    <cellStyle name="¥_FNZ C206F Rollforward Jan 2002 - MC New Cost_J14XY Job#1 KD Kit TP Approval Request 2004-01-23 " xfId="558"/>
    <cellStyle name="¥_FVL U204 03 BGT " xfId="559"/>
    <cellStyle name="¥_FVL U204 03 BGT _J14XY Job#1 KD Kit TP Approval Request 2004-01-23 " xfId="560"/>
    <cellStyle name="¥_J14XY Job#1 KD Kit TP Approval Request 2004-01-23 " xfId="561"/>
    <cellStyle name="¥_philippines-new5_2.FVL U204 Rollforward Jan 2002 US Parts Cost_J14XY Job#1 KD Kit TP Approval Request 2004-01-23 " xfId="562"/>
    <cellStyle name="¥_philippines-new5_FHO Aus U204 SC_R_J87R Escape Indonesia PA After Update 14-01-05 " xfId="563"/>
    <cellStyle name="¥_philippines-new5_FHO Aus U204 SC_R_Thailand J87 Escape PA After Update 14-01-05 " xfId="564"/>
    <cellStyle name="¥_philippines-new5_FVL U204 03 BGT " xfId="565"/>
    <cellStyle name="¥_philippines-new5_FVL U204 03 BGT _J14XY Job#1 KD Kit TP Approval Request 2004-01-23 " xfId="566"/>
    <cellStyle name="¥_philippines-new5_J14XY Job#1 KD Kit TP Approval Request 2004-01-23 " xfId="567"/>
    <cellStyle name="¥_philippines-new5_J87 Job Last Job# Walk FMCP BU 25-01-05  " xfId="568"/>
    <cellStyle name="¥_philippines-new5_J87R Escape Indonesia PA After Update 14-01-05 " xfId="569"/>
    <cellStyle name="¥_philippines-new5_Mazda_SP_Cost 07-02-05 " xfId="570"/>
    <cellStyle name="¥_philippines-new5_Mazda_SP_Cost 25-01-05 " xfId="571"/>
    <cellStyle name="¥_philippines-new5_Thailand J87 Escape PA After Update 14-01-05 " xfId="572"/>
    <cellStyle name="¥_philippines-new5_Vietnam-New Nov00_2.FVL U204 Rollforward Jan 2002 US Parts Cost_J14XY Job#1 KD Kit TP Approval Request 2004-01-23 " xfId="573"/>
    <cellStyle name="¥_philippines-new5_Vietnam-New Nov00_FHO Aus U204 SC_R_J87R Escape Indonesia PA After Update 14-01-05 " xfId="574"/>
    <cellStyle name="¥_philippines-new5_Vietnam-New Nov00_FHO Aus U204 SC_R_Thailand J87 Escape PA After Update 14-01-05 " xfId="575"/>
    <cellStyle name="¥_philippines-new5_Vietnam-New Nov00_FVL U204 03 BGT " xfId="576"/>
    <cellStyle name="¥_philippines-new5_Vietnam-New Nov00_FVL U204 03 BGT _J14XY Job#1 KD Kit TP Approval Request 2004-01-23 " xfId="577"/>
    <cellStyle name="¥_philippines-new5_Vietnam-New Nov00_J14XY Job#1 KD Kit TP Approval Request 2004-01-23 " xfId="578"/>
    <cellStyle name="¥_philippines-new5_Vietnam-New Nov00_J87 Job Last Job# Walk FMCP BU 25-01-05  " xfId="579"/>
    <cellStyle name="¥_philippines-new5_Vietnam-New Nov00_J87R Escape Indonesia PA After Update 14-01-05 " xfId="580"/>
    <cellStyle name="¥_philippines-new5_Vietnam-New Nov00_Mazda_SP_Cost 07-02-05 " xfId="581"/>
    <cellStyle name="¥_philippines-new5_Vietnam-New Nov00_Mazda_SP_Cost 25-01-05 " xfId="582"/>
    <cellStyle name="¥_philippines-new5_Vietnam-New Nov00_Thailand J87 Escape PA After Update 14-01-05 " xfId="583"/>
    <cellStyle name="¥_philippines-new7_2.FVL U204 Rollforward Jan 2002 US Parts Cost_J14XY Job#1 KD Kit TP Approval Request 2004-01-23 " xfId="584"/>
    <cellStyle name="¥_philippines-new7_FHO Aus U204 SC_R_J87R Escape Indonesia PA After Update 14-01-05 " xfId="585"/>
    <cellStyle name="¥_philippines-new7_FHO Aus U204 SC_R_Thailand J87 Escape PA After Update 14-01-05 " xfId="586"/>
    <cellStyle name="¥_philippines-new7_FVL U204 03 BGT " xfId="587"/>
    <cellStyle name="¥_philippines-new7_FVL U204 03 BGT _J14XY Job#1 KD Kit TP Approval Request 2004-01-23 " xfId="588"/>
    <cellStyle name="¥_philippines-new7_J14XY Job#1 KD Kit TP Approval Request 2004-01-23 " xfId="589"/>
    <cellStyle name="¥_philippines-new7_J87 Job Last Job# Walk FMCP BU 25-01-05  " xfId="590"/>
    <cellStyle name="¥_philippines-new7_J87R Escape Indonesia PA After Update 14-01-05 " xfId="591"/>
    <cellStyle name="¥_philippines-new7_Mazda_SP_Cost 07-02-05 " xfId="592"/>
    <cellStyle name="¥_philippines-new7_Mazda_SP_Cost 25-01-05 " xfId="593"/>
    <cellStyle name="¥_philippines-new7_Thailand J87 Escape PA After Update 14-01-05 " xfId="594"/>
    <cellStyle name="¥_philippines-new7_Vietnam-New Nov00_2.FVL U204 Rollforward Jan 2002 US Parts Cost_J14XY Job#1 KD Kit TP Approval Request 2004-01-23 " xfId="595"/>
    <cellStyle name="¥_philippines-new7_Vietnam-New Nov00_FHO Aus U204 SC_R_J87R Escape Indonesia PA After Update 14-01-05 " xfId="596"/>
    <cellStyle name="¥_philippines-new7_Vietnam-New Nov00_FHO Aus U204 SC_R_Thailand J87 Escape PA After Update 14-01-05 " xfId="597"/>
    <cellStyle name="¥_philippines-new7_Vietnam-New Nov00_FVL U204 03 BGT " xfId="598"/>
    <cellStyle name="¥_philippines-new7_Vietnam-New Nov00_FVL U204 03 BGT _J14XY Job#1 KD Kit TP Approval Request 2004-01-23 " xfId="599"/>
    <cellStyle name="¥_philippines-new7_Vietnam-New Nov00_J14XY Job#1 KD Kit TP Approval Request 2004-01-23 " xfId="600"/>
    <cellStyle name="¥_philippines-new7_Vietnam-New Nov00_J87 Job Last Job# Walk FMCP BU 25-01-05  " xfId="601"/>
    <cellStyle name="¥_philippines-new7_Vietnam-New Nov00_J87R Escape Indonesia PA After Update 14-01-05 " xfId="602"/>
    <cellStyle name="¥_philippines-new7_Vietnam-New Nov00_Mazda_SP_Cost 07-02-05 " xfId="603"/>
    <cellStyle name="¥_philippines-new7_Vietnam-New Nov00_Mazda_SP_Cost 25-01-05 " xfId="604"/>
    <cellStyle name="¥_philippines-new7_Vietnam-New Nov00_Thailand J87 Escape PA After Update 14-01-05 " xfId="605"/>
    <cellStyle name="¥_U204 freshening (2)_FHO Aus U204 SC_R_J87R Escape Indonesia PA After Update 14-01-05 " xfId="606"/>
    <cellStyle name="¥_U204 freshening (2)_FHO Aus U204 SC_R_Thailand J87 Escape PA After Update 14-01-05 " xfId="607"/>
    <cellStyle name="¥_U204 freshening (2)_J87 Job Last Job# Walk FMCP BU 25-01-05  " xfId="608"/>
    <cellStyle name="¥_U204 freshening (2)_J87R Escape Indonesia PA After Update 14-01-05 " xfId="609"/>
    <cellStyle name="¥_U204 freshening (2)_Mazda_SP_Cost 07-02-05 " xfId="610"/>
    <cellStyle name="¥_U204 freshening (2)_Mazda_SP_Cost 25-01-05 " xfId="611"/>
    <cellStyle name="¥_U204 freshening (2)_Thailand J87 Escape PA After Update 14-01-05 " xfId="612"/>
    <cellStyle name="¥_Vietnam-base-reply-25-9_2.FVL U204 Rollforward Jan 2002 US Parts Cost_J14XY Job#1 KD Kit TP Approval Request 2004-01-23 " xfId="613"/>
    <cellStyle name="¥_Vietnam-base-reply-25-9_FHO Aus U204 SC_R_J87R Escape Indonesia PA After Update 14-01-05 " xfId="614"/>
    <cellStyle name="¥_Vietnam-base-reply-25-9_FHO Aus U204 SC_R_Thailand J87 Escape PA After Update 14-01-05 " xfId="615"/>
    <cellStyle name="¥_Vietnam-base-reply-25-9_FVL U204 03 BGT " xfId="616"/>
    <cellStyle name="¥_Vietnam-base-reply-25-9_FVL U204 03 BGT _J14XY Job#1 KD Kit TP Approval Request 2004-01-23 " xfId="617"/>
    <cellStyle name="¥_Vietnam-base-reply-25-9_J14XY Job#1 KD Kit TP Approval Request 2004-01-23 " xfId="618"/>
    <cellStyle name="¥_Vietnam-base-reply-25-9_J87 Job Last Job# Walk FMCP BU 25-01-05  " xfId="619"/>
    <cellStyle name="¥_Vietnam-base-reply-25-9_J87R Escape Indonesia PA After Update 14-01-05 " xfId="620"/>
    <cellStyle name="¥_Vietnam-base-reply-25-9_Mazda_SP_Cost 07-02-05 " xfId="621"/>
    <cellStyle name="¥_Vietnam-base-reply-25-9_Mazda_SP_Cost 25-01-05 " xfId="622"/>
    <cellStyle name="¥_Vietnam-base-reply-25-9_Thailand J87 Escape PA After Update 14-01-05 " xfId="623"/>
    <cellStyle name="=C:\WINDOWS\SYSTEM32\COMMAND.COM" xfId="624"/>
    <cellStyle name="=C:\WINDOWS\SYSTEM32\COMMAND.COM 2" xfId="625"/>
    <cellStyle name="•\Ž¦Ï‚Ý‚ÌƒnƒCƒp[ƒŠƒ“ƒN" xfId="626"/>
    <cellStyle name="•W?_!!!GO" xfId="627"/>
    <cellStyle name="•W€_!!!GO" xfId="628"/>
    <cellStyle name="•W_!!!GO" xfId="629"/>
    <cellStyle name="\¦ÏÝÌnCp[N" xfId="630"/>
    <cellStyle name="ÊÝ [0.00]_#13 7.4.97 " xfId="631"/>
    <cellStyle name="ÊÝ_#13 7.4.97 " xfId="632"/>
    <cellStyle name="W_#13 7.4.97 " xfId="633"/>
    <cellStyle name="0" xfId="634"/>
    <cellStyle name="0 2" xfId="635"/>
    <cellStyle name="0 3" xfId="636"/>
    <cellStyle name="0%" xfId="637"/>
    <cellStyle name="0,000" xfId="638"/>
    <cellStyle name="0.0" xfId="639"/>
    <cellStyle name="0.0 2" xfId="640"/>
    <cellStyle name="0.0 2 2" xfId="641"/>
    <cellStyle name="0.0%" xfId="642"/>
    <cellStyle name="0.0_(120) Forecast Package FINAL p1 6" xfId="643"/>
    <cellStyle name="0.00" xfId="644"/>
    <cellStyle name="0_!!!GO" xfId="645"/>
    <cellStyle name="0_!!!GO 2" xfId="646"/>
    <cellStyle name="0_!!!GO 3" xfId="647"/>
    <cellStyle name="0_!!!GO_(120) Forecast Package FINAL p1 6" xfId="648"/>
    <cellStyle name="0_!!!GO_(120) Forecast Package FINAL p1 6 2" xfId="649"/>
    <cellStyle name="0_!!!GO_05MY Crown Vic Job Last Mix &amp; Rates" xfId="650"/>
    <cellStyle name="0_!!!GO_1" xfId="651"/>
    <cellStyle name="0_!!!GO_1 2" xfId="652"/>
    <cellStyle name="0_!!!GO_1_(120) Forecast Package FINAL p1 6" xfId="653"/>
    <cellStyle name="0_!!!GO_1_(120) Forecast Package FINAL p1 6 2" xfId="654"/>
    <cellStyle name="0_!!!GO_1+11PBR.3.17" xfId="655"/>
    <cellStyle name="0_!!!GO_1+11PBR.3.17 2" xfId="656"/>
    <cellStyle name="0_!!!GO_2005 Global ARM_TVM Summary 57 ForecastFINAL071405" xfId="657"/>
    <cellStyle name="0_!!!GO_2005 Global ARM_TVM Summary 57 ForecastFINAL071405 2" xfId="658"/>
    <cellStyle name="0_!!!GO_2006 Budget Update_RLS" xfId="659"/>
    <cellStyle name="0_!!!GO_2006 Budget Update_RLS 2" xfId="660"/>
    <cellStyle name="0_!!!GO_2006_Metrics_ver_h_adjusted on march_20" xfId="661"/>
    <cellStyle name="0_!!!GO_2006_Metrics_ver_h_adjusted on march_20 2" xfId="662"/>
    <cellStyle name="0_!!!GO_2007 Concern tracker 05-02-2005 " xfId="663"/>
    <cellStyle name="0_!!!GO_2007 Concern tracker 05-02-2005  2" xfId="664"/>
    <cellStyle name="0_!!!GO_4l Roadmap 2004_09_01 " xfId="665"/>
    <cellStyle name="0_!!!GO_6+6 YOYbprI-Iv2" xfId="666"/>
    <cellStyle name="0_!!!GO_6+6 YOYbprI-Iv2 2" xfId="667"/>
    <cellStyle name="0_!!!GO_6+6 YOYbprI-Iv3" xfId="668"/>
    <cellStyle name="0_!!!GO_6+6 YOYbprI-Iv3 2" xfId="669"/>
    <cellStyle name="0_!!!GO_7+5 YOYbprI-I" xfId="670"/>
    <cellStyle name="0_!!!GO_7+5 YOYbprI-I 2" xfId="671"/>
    <cellStyle name="0_!!!GO_Aviator Contribution Cost Walk" xfId="672"/>
    <cellStyle name="0_!!!GO_Aviator Contribution Cost Walk 2" xfId="673"/>
    <cellStyle name="0_!!!GO_Bluetooth Business Case 8_21_SC1(approved)" xfId="674"/>
    <cellStyle name="0_!!!GO_Bluetooth Business Case 8_21_SC1(approved) 2" xfId="675"/>
    <cellStyle name="0_!!!GO_Capless Fuel Fill Business Case Requirements 5-30-06 1pm VERSION WF28 (3)" xfId="676"/>
    <cellStyle name="0_!!!GO_Capless Fuel Fill Business Case Requirements 5-30-06 1pm VERSION WF28 (3) 2" xfId="677"/>
    <cellStyle name="0_!!!GO_CD132 Health actual " xfId="678"/>
    <cellStyle name="0_!!!GO_December 2001 SoMP Final - submitted" xfId="679"/>
    <cellStyle name="0_!!!GO_December 2001 SoMP Final - submitted 2" xfId="680"/>
    <cellStyle name="0_!!!GO_Dick Langley data 030305" xfId="681"/>
    <cellStyle name="0_!!!GO_Dick Langley data 030305 2" xfId="682"/>
    <cellStyle name="0_!!!GO_DRL 6.13 Material Summary_v.1" xfId="683"/>
    <cellStyle name="0_!!!GO_DRL 6.13 Material Summary_v.1 2" xfId="684"/>
    <cellStyle name="0_!!!GO_EMS August PBR" xfId="685"/>
    <cellStyle name="0_!!!GO_EMS August PBR 2" xfId="686"/>
    <cellStyle name="0_!!!GO_Feb 3 2006 IACM Status" xfId="687"/>
    <cellStyle name="0_!!!GO_Feb 3 2006 IACM Status 2" xfId="688"/>
    <cellStyle name="0_!!!GO_Global 8+4 YOYbprI-I" xfId="689"/>
    <cellStyle name="0_!!!GO_Global 8+4 YOYbprI-I 2" xfId="690"/>
    <cellStyle name="0_!!!GO_HealthDevChart15.10.01" xfId="691"/>
    <cellStyle name="0_!!!GO_HealthDevChart15.10.01 2" xfId="692"/>
    <cellStyle name="0_!!!GO_January 2002 SoMP 3.0" xfId="693"/>
    <cellStyle name="0_!!!GO_January 2002 SoMP 3.0 2" xfId="694"/>
    <cellStyle name="0_!!!GO_JDC Review 3-17-05" xfId="695"/>
    <cellStyle name="0_!!!GO_JDC Review 3-17-05 2" xfId="696"/>
    <cellStyle name="0_!!!GO_JJP 13 June Mgmt Summary_v3" xfId="697"/>
    <cellStyle name="0_!!!GO_JJP 13 June Mgmt Summary_v3 2" xfId="698"/>
    <cellStyle name="0_!!!GO_LT Cost C1 DW10 MPS6 April 11_2005 " xfId="699"/>
    <cellStyle name="0_!!!GO_m205-Jan-02-somp-4-8" xfId="700"/>
    <cellStyle name="0_!!!GO_m205-Jan-02-somp-4-8 2" xfId="701"/>
    <cellStyle name="0_!!!GO_Material" xfId="702"/>
    <cellStyle name="0_!!!GO_Material 2" xfId="703"/>
    <cellStyle name="0_!!!GO_Material_(120) Forecast Package FINAL p1 6" xfId="704"/>
    <cellStyle name="0_!!!GO_Material_(120) Forecast Package FINAL p1 6 2" xfId="705"/>
    <cellStyle name="0_!!!GO_Material_04 Budget Summary" xfId="706"/>
    <cellStyle name="0_!!!GO_Material_04 Budget Summary 2" xfId="707"/>
    <cellStyle name="0_!!!GO_Material_06 Budget Template" xfId="708"/>
    <cellStyle name="0_!!!GO_Material_06 Budget Template 2" xfId="709"/>
    <cellStyle name="0_!!!GO_Material_12 4 03 Revised Inventory" xfId="710"/>
    <cellStyle name="0_!!!GO_Material_12 4 03 Revised Inventory 2" xfId="711"/>
    <cellStyle name="0_!!!GO_Material_1f - Forecast Detail 2+10 Total VDEC" xfId="712"/>
    <cellStyle name="0_!!!GO_Material_1f - Forecast Detail 2+10 Total VDEC 2" xfId="713"/>
    <cellStyle name="0_!!!GO_Material_1f - Forecast Detail 3+9 Total VDEC" xfId="714"/>
    <cellStyle name="0_!!!GO_Material_1f - Forecast Detail 3+9 Total VDEC 2" xfId="715"/>
    <cellStyle name="0_!!!GO_Material_1f - Forecast Detail 4+8 VDEC Total (2)" xfId="716"/>
    <cellStyle name="0_!!!GO_Material_1f - Forecast Detail 4+8 VDEC Total (2) 2" xfId="717"/>
    <cellStyle name="0_!!!GO_Material_2003 111 Prototype Metrics p3--SUV-BOF  PTAC-v1" xfId="718"/>
    <cellStyle name="0_!!!GO_Material_2003 111 Prototype Metrics p3--SUV-BOF  PTAC-v1 2" xfId="719"/>
    <cellStyle name="0_!!!GO_Material_2003 8+4 Prototype Metrics p3--SUV-BOF &amp; PTAC-v1" xfId="720"/>
    <cellStyle name="0_!!!GO_Material_2003 8+4 Prototype Metrics p3--SUV-BOF &amp; PTAC-v1 2" xfId="721"/>
    <cellStyle name="0_!!!GO_Material_2003-2008 Stub Update  Inventory 07-15-03v2" xfId="722"/>
    <cellStyle name="0_!!!GO_Material_2003-2008 Stub Update  Inventory 07-15-03v2 2" xfId="723"/>
    <cellStyle name="0_!!!GO_Material_2004 Budget 0711 Status" xfId="724"/>
    <cellStyle name="0_!!!GO_Material_2004 Budget 0711 Status 2" xfId="725"/>
    <cellStyle name="0_!!!GO_Material_2004 Program Inventory V11v21" xfId="726"/>
    <cellStyle name="0_!!!GO_Material_2004 Program Inventory V11v21 2" xfId="727"/>
    <cellStyle name="0_!!!GO_Material_2005 Budget WIP_082304_2005 Focus" xfId="728"/>
    <cellStyle name="0_!!!GO_Material_2005 Budget WIP_082304_2005 Focus 2" xfId="729"/>
    <cellStyle name="0_!!!GO_Material_2006 VDEC Budget" xfId="730"/>
    <cellStyle name="0_!!!GO_Material_2006 VDEC Budget 2" xfId="731"/>
    <cellStyle name="0_!!!GO_Material_AP builds" xfId="732"/>
    <cellStyle name="0_!!!GO_Material_AP builds 2" xfId="733"/>
    <cellStyle name="0_!!!GO_Material_BOF_EOE" xfId="734"/>
    <cellStyle name="0_!!!GO_Material_BOF_EOE 2" xfId="735"/>
    <cellStyle name="0_!!!GO_Material_Budget 2005_11-29-04_b" xfId="736"/>
    <cellStyle name="0_!!!GO_Material_Budget 2005_11-29-04_b 2" xfId="737"/>
    <cellStyle name="0_!!!GO_Material_EESEWalkbetweenVersions" xfId="738"/>
    <cellStyle name="0_!!!GO_Material_EESEWalkbetweenVersions 2" xfId="739"/>
    <cellStyle name="0_!!!GO_Material_Feb 13 Mtg Outcome" xfId="740"/>
    <cellStyle name="0_!!!GO_Material_Feb 13 Mtg Outcome 2" xfId="741"/>
    <cellStyle name="0_!!!GO_Material_Headcount Reduction-Rebalance Plan Update to Feb" xfId="742"/>
    <cellStyle name="0_!!!GO_Material_Headcount Reduction-Rebalance Plan Update to Feb 2" xfId="743"/>
    <cellStyle name="0_!!!GO_Material_Indirect Expense OF_TT_NOV" xfId="744"/>
    <cellStyle name="0_!!!GO_Material_Indirect Expense OF_TT_NOV 2" xfId="745"/>
    <cellStyle name="0_!!!GO_Material_Inventory - Small3 Material Breakout" xfId="746"/>
    <cellStyle name="0_!!!GO_Material_Inventory - Small3 Material Breakout 2" xfId="747"/>
    <cellStyle name="0_!!!GO_Material_Metrics Page 3 - Major Proto Builds" xfId="748"/>
    <cellStyle name="0_!!!GO_Material_Metrics Page 3 - Major Proto Builds 2" xfId="749"/>
    <cellStyle name="0_!!!GO_Material_Metrics Page 3 - Major Proto Builds FINAL" xfId="750"/>
    <cellStyle name="0_!!!GO_Material_Metrics Page 3 - Major Proto Builds FINAL 2" xfId="751"/>
    <cellStyle name="0_!!!GO_Material_Metrics Proto Page1-022703" xfId="752"/>
    <cellStyle name="0_!!!GO_Material_Metrics Proto Page1-022703 2" xfId="753"/>
    <cellStyle name="0_!!!GO_Material_Metrics Proto Page1-022703_(120) Forecast Package FINAL p1 6" xfId="754"/>
    <cellStyle name="0_!!!GO_Material_Metrics Proto Page1-022703_(120) Forecast Package FINAL p1 6 2" xfId="755"/>
    <cellStyle name="0_!!!GO_Material_Monthly_Cost_Review_Jan" xfId="756"/>
    <cellStyle name="0_!!!GO_Material_Monthly_Cost_Review_Jan 2" xfId="757"/>
    <cellStyle name="0_!!!GO_Material_NonEFT9204EESE" xfId="758"/>
    <cellStyle name="0_!!!GO_Material_NonEFT9204EESE 2" xfId="759"/>
    <cellStyle name="0_!!!GO_Material_NonEFT9302004" xfId="760"/>
    <cellStyle name="0_!!!GO_Material_NonEFT9302004 2" xfId="761"/>
    <cellStyle name="0_!!!GO_Material_OF FEB BPR" xfId="762"/>
    <cellStyle name="0_!!!GO_Material_OF FEB BPR 2" xfId="763"/>
    <cellStyle name="0_!!!GO_Material_OF FEB BPR_(120) Forecast Package FINAL p1 6" xfId="764"/>
    <cellStyle name="0_!!!GO_Material_OF FEB BPR_(120) Forecast Package FINAL p1 6 2" xfId="765"/>
    <cellStyle name="0_!!!GO_Material_OF JAN BPR1" xfId="766"/>
    <cellStyle name="0_!!!GO_Material_OF JAN BPR1 2" xfId="767"/>
    <cellStyle name="0_!!!GO_Material_OF JAN BPR1_(120) Forecast Package FINAL p1 6" xfId="768"/>
    <cellStyle name="0_!!!GO_Material_OF JAN BPR1_(120) Forecast Package FINAL p1 6 2" xfId="769"/>
    <cellStyle name="0_!!!GO_Material_Page 3 - Bedsheet" xfId="770"/>
    <cellStyle name="0_!!!GO_Material_Page 3 - Bedsheet 2" xfId="771"/>
    <cellStyle name="0_!!!GO_Material_page 3 FINAL" xfId="772"/>
    <cellStyle name="0_!!!GO_Material_page 3 FINAL 2" xfId="773"/>
    <cellStyle name="0_!!!GO_Material_Platform and Testing Updates" xfId="774"/>
    <cellStyle name="0_!!!GO_Material_Platform and Testing Updates 2" xfId="775"/>
    <cellStyle name="0_!!!GO_Material_PTAC JAN Std Fcst Pkg" xfId="776"/>
    <cellStyle name="0_!!!GO_Material_PTAC JAN Std Fcst Pkg 2" xfId="777"/>
    <cellStyle name="0_!!!GO_Material_PTE 2006 2+10" xfId="778"/>
    <cellStyle name="0_!!!GO_Material_PTE 2006 2+10 2" xfId="779"/>
    <cellStyle name="0_!!!GO_Material_TT FEB Std Fcst Pkg V3.0" xfId="780"/>
    <cellStyle name="0_!!!GO_Material_TT FEB Std Fcst Pkg V3.0 2" xfId="781"/>
    <cellStyle name="0_!!!GO_Material_TT_Element of Expense_2+10" xfId="782"/>
    <cellStyle name="0_!!!GO_Material_TT_Element of Expense_2+10 2" xfId="783"/>
    <cellStyle name="0_!!!GO_Material_VDEC 2006 2+10 v2" xfId="784"/>
    <cellStyle name="0_!!!GO_Material_VDEC 2006 2+10 v2 2" xfId="785"/>
    <cellStyle name="0_!!!GO_Material_VDEC material 10+2 I2I bud per" xfId="786"/>
    <cellStyle name="0_!!!GO_Material_VDEC material 10+2 I2I bud per 2" xfId="787"/>
    <cellStyle name="0_!!!GO_Material_VDEC material 11+1 I2I bud per" xfId="788"/>
    <cellStyle name="0_!!!GO_Material_VDEC material 11+1 I2I bud per 2" xfId="789"/>
    <cellStyle name="0_!!!GO_Material_VDEC material p3f" xfId="790"/>
    <cellStyle name="0_!!!GO_Material_VDEC material p3f 2" xfId="791"/>
    <cellStyle name="0_!!!GO_Material_VDEC page 4 (3+9)" xfId="792"/>
    <cellStyle name="0_!!!GO_Material_VDEC page 4 (3+9) 2" xfId="793"/>
    <cellStyle name="0_!!!GO_Material_Workload Inventory Format_102805" xfId="794"/>
    <cellStyle name="0_!!!GO_Material_Workload Inventory Format_102805 2" xfId="795"/>
    <cellStyle name="0_!!!GO_Material_YE Target Revised as of Sept 8 2003 - v8" xfId="796"/>
    <cellStyle name="0_!!!GO_Material_YE Target Revised as of Sept 8 2003 - v8 2" xfId="797"/>
    <cellStyle name="0_!!!GO_May 24 JDC, DJP Review (slides and agenda)" xfId="798"/>
    <cellStyle name="0_!!!GO_May 24 JDC, DJP Review (slides and agenda) 2" xfId="799"/>
    <cellStyle name="0_!!!GO_Nov 11 Deep Dive Workplan" xfId="800"/>
    <cellStyle name="0_!!!GO_Nov 11 Deep Dive Workplan 2" xfId="801"/>
    <cellStyle name="0_!!!GO_October 2005 PBR" xfId="802"/>
    <cellStyle name="0_!!!GO_October 2005 PBR 2" xfId="803"/>
    <cellStyle name="0_!!!GO_P221_SOMP_01_12_Calc" xfId="804"/>
    <cellStyle name="0_!!!GO_P221_SOMP_01_12_Calc 2" xfId="805"/>
    <cellStyle name="0_!!!GO_P221_SOMP_01_12_Calc_CD340 PMM Filing 16.09.04" xfId="806"/>
    <cellStyle name="0_!!!GO_P221_SOMP_01_12_Calc_CD340 PMM Filing 16.09.04 2" xfId="807"/>
    <cellStyle name="0_!!!GO_P221_SOMP_01_12_Calc_SOMP_CD340 (11.11.04)" xfId="808"/>
    <cellStyle name="0_!!!GO_P221_SOMP_01_12_Calc_SOMP_CD340 (11.11.04) 2" xfId="809"/>
    <cellStyle name="0_!!!GO_P221_SOMP_01_12_Calc_VO Labour Status # 7" xfId="810"/>
    <cellStyle name="0_!!!GO_P221_SOMP_01_12_Calc_VO Labour Status # 7 2" xfId="811"/>
    <cellStyle name="0_!!!GO_PAG August 14 Status" xfId="812"/>
    <cellStyle name="0_!!!GO_PAG August 14 Status 2" xfId="813"/>
    <cellStyle name="0_!!!GO_PAG August 14 Status_June 18th v4" xfId="814"/>
    <cellStyle name="0_!!!GO_PAG August 14 Status_June 18th v4 2" xfId="815"/>
    <cellStyle name="0_!!!GO_PMM Finance Slides Excel Backup_v15 " xfId="816"/>
    <cellStyle name="0_!!!GO_PMM Finance Slides Excel Backup_v15  2" xfId="817"/>
    <cellStyle name="0_!!!GO_Revised BOM" xfId="818"/>
    <cellStyle name="0_!!!GO_ROS Tracker - May 23rd DRAFT 10 pm" xfId="819"/>
    <cellStyle name="0_!!!GO_ROS Tracker - May 23rd DRAFT 10 pm 2" xfId="820"/>
    <cellStyle name="0_!!!GO_settle pattern" xfId="821"/>
    <cellStyle name="0_!!!GO_settle pattern 2" xfId="822"/>
    <cellStyle name="0_!!!GO_TFLE Benchmarking" xfId="823"/>
    <cellStyle name="0_!!!GO_TFLE Benchmarking 2" xfId="824"/>
    <cellStyle name="0_#3 MAM 2003 models 2nd Qtr. 06.20.2003" xfId="825"/>
    <cellStyle name="0_#3 MAM 2003 models 2nd Qtr. 06.20.2003 2" xfId="826"/>
    <cellStyle name="0_#656 Presentation" xfId="827"/>
    <cellStyle name="0_#656 Presentation 2" xfId="828"/>
    <cellStyle name="0_#660 y-o-y" xfId="829"/>
    <cellStyle name="0_#660 y-o-y 2" xfId="830"/>
    <cellStyle name="0_(10+2) I-t-I Mgt Sum" xfId="831"/>
    <cellStyle name="0_(10+2) I-t-I Mgt Sum 2" xfId="832"/>
    <cellStyle name="0_(111) 2002 CSVs" xfId="833"/>
    <cellStyle name="0_(111) 2002 CSVs 2" xfId="834"/>
    <cellStyle name="0_(120) Forecast Package FINAL p1 6" xfId="835"/>
    <cellStyle name="0_(210) 2002 CSVs" xfId="836"/>
    <cellStyle name="0_(210) 2002 CSVs 2" xfId="837"/>
    <cellStyle name="0_(39) 2002 CSVs" xfId="838"/>
    <cellStyle name="0_(39) 2002 CSVs 2" xfId="839"/>
    <cellStyle name="0_0+12 Forecast Final OCM 2" xfId="840"/>
    <cellStyle name="0_0+12 Forecast Final OCM 2_(120) Forecast Package FINAL p1 6" xfId="841"/>
    <cellStyle name="0_02 Element of Expense Template" xfId="842"/>
    <cellStyle name="0_02 Element of Expense Template_(120) Forecast Package FINAL p1 6" xfId="843"/>
    <cellStyle name="0_02_01 NACBGTotal" xfId="844"/>
    <cellStyle name="0_02_01 NACBGTotal 2" xfId="845"/>
    <cellStyle name="0_0214 DRL 650 Review" xfId="846"/>
    <cellStyle name="0_0214 DRL 650 Review 2" xfId="847"/>
    <cellStyle name="0_0214 DRL 650 Review_(120) Forecast Package FINAL p1 6" xfId="848"/>
    <cellStyle name="0_0214 DRL 650 Review_(120) Forecast Package FINAL p1 6 2" xfId="849"/>
    <cellStyle name="0_02-All-In-Cy-Facer 1f #2" xfId="850"/>
    <cellStyle name="0_02-All-In-Cy-Facer 1f #2 2" xfId="851"/>
    <cellStyle name="0_03 18 04 cycle plan" xfId="852"/>
    <cellStyle name="0_03 18 04 cycle plan 2" xfId="853"/>
    <cellStyle name="0_04 Budget 092903" xfId="854"/>
    <cellStyle name="0_04 Budget 092903 2" xfId="855"/>
    <cellStyle name="0_04 EN PA Investment" xfId="856"/>
    <cellStyle name="0_041224 J97U ME (CC) " xfId="857"/>
    <cellStyle name="0_0508BPwhl_020604_Variable Marketing" xfId="858"/>
    <cellStyle name="0_0508BPwhl_020604_Variable Marketing 2" xfId="859"/>
    <cellStyle name="0_06MY Package Price Strategy proposal v3" xfId="860"/>
    <cellStyle name="0_06MY Package Price Strategy proposal v3 2" xfId="861"/>
    <cellStyle name="0_07_08 D333 020706" xfId="862"/>
    <cellStyle name="0_07_08 D333 020706 2" xfId="863"/>
    <cellStyle name="0_0815 OCM" xfId="864"/>
    <cellStyle name="0_0815 OCM 2" xfId="865"/>
    <cellStyle name="0_0815 OCM_(120) Forecast Package FINAL p1 6" xfId="866"/>
    <cellStyle name="0_0815 OCM_(120) Forecast Package FINAL p1 6 2" xfId="867"/>
    <cellStyle name="0_082703Ver2WWwholesales" xfId="868"/>
    <cellStyle name="0_082703Ver2WWwholesales 2" xfId="869"/>
    <cellStyle name="0_08MY Price Strategy Fusion Milan Master Deck Sync" xfId="870"/>
    <cellStyle name="0_08MY Price Strategy Fusion Milan Master Deck Sync 2" xfId="871"/>
    <cellStyle name="0_10 April SOMP Glidepathl" xfId="872"/>
    <cellStyle name="0_10 April SOMP Glidepathl 2" xfId="873"/>
    <cellStyle name="0_10MY P415 ME Slides" xfId="874"/>
    <cellStyle name="0_10MY P415 ME Slides 2" xfId="875"/>
    <cellStyle name="0_11f_11_Manufacturing" xfId="876"/>
    <cellStyle name="0_11f_11_Manufacturing 2" xfId="877"/>
    <cellStyle name="0_11f_11_Manufacturing_(120) Forecast Package FINAL p1 6" xfId="878"/>
    <cellStyle name="0_11f_11_Manufacturing_(120) Forecast Package FINAL p1 6 2" xfId="879"/>
    <cellStyle name="0_'11MY PA Status _mini BP submission_7_9_08" xfId="880"/>
    <cellStyle name="0_12+0+12 LM Attach 4's" xfId="881"/>
    <cellStyle name="0_12+0+12 LM Attach 4's 2" xfId="882"/>
    <cellStyle name="0_120_1_sent_out" xfId="883"/>
    <cellStyle name="0_120_1_sent_out 2" xfId="884"/>
    <cellStyle name="0_120_3_sent_out_CSV" xfId="885"/>
    <cellStyle name="0_120_3_sent_out_CSV 2" xfId="886"/>
    <cellStyle name="0_122003" xfId="887"/>
    <cellStyle name="0_122003 2" xfId="888"/>
    <cellStyle name="0_1f - Forecast Detail 4+8 VDEC Total (2)" xfId="889"/>
    <cellStyle name="0_1-year Scorecard  v4" xfId="890"/>
    <cellStyle name="0_1-year Scorecard  v4 2" xfId="891"/>
    <cellStyle name="0_2.3L DISI vs. 2.0L DISI TC v3" xfId="892"/>
    <cellStyle name="0_2.3L DISI vs. 2.0L DISI TC v3 2" xfId="893"/>
    <cellStyle name="0_2.3L DISI vs. 2.0L DISI TC v5" xfId="894"/>
    <cellStyle name="0_2.3L DISI vs. 2.0L DISI TC v5 2" xfId="895"/>
    <cellStyle name="0_2000 (11+1) " xfId="896"/>
    <cellStyle name="0_2000 Business Plan (93)" xfId="897"/>
    <cellStyle name="0_2000 Business Plan (93) 2" xfId="898"/>
    <cellStyle name="0_2000 Business Plan (93) rev2" xfId="899"/>
    <cellStyle name="0_2000 Business Plan (93) rev2 2" xfId="900"/>
    <cellStyle name="0_2000 Business Plan (93) rev2_(120) Forecast Package FINAL p1 6" xfId="901"/>
    <cellStyle name="0_2000 Business Plan (93) rev2_(120) Forecast Package FINAL p1 6 2" xfId="902"/>
    <cellStyle name="0_2000 Business Plan (93) rev5" xfId="903"/>
    <cellStyle name="0_2000 Business Plan (93) rev5 2" xfId="904"/>
    <cellStyle name="0_2000 Business Plan (93) rev5_(120) Forecast Package FINAL p1 6" xfId="905"/>
    <cellStyle name="0_2000 Business Plan (93) rev5_(120) Forecast Package FINAL p1 6 2" xfId="906"/>
    <cellStyle name="0_2000 Business Plan (93)_(120) Forecast Package FINAL p1 6" xfId="907"/>
    <cellStyle name="0_2000 Business Plan (93)_(120) Forecast Package FINAL p1 6 2" xfId="908"/>
    <cellStyle name="0_2000canadaslides" xfId="909"/>
    <cellStyle name="0_2000canadaslides_(120) Forecast Package FINAL p1 6" xfId="910"/>
    <cellStyle name="0_2000canadaslides_651" xfId="911"/>
    <cellStyle name="0_2000canadaslides_651_(120) Forecast Package FINAL p1 6" xfId="912"/>
    <cellStyle name="0_2001 0+12 forecast support 2-24-01" xfId="913"/>
    <cellStyle name="0_2001 0+12 forecast support 2-24-01 2" xfId="914"/>
    <cellStyle name="0_2001 0+12 forecast support 2-24-01_(120) Forecast Package FINAL p1 6" xfId="915"/>
    <cellStyle name="0_2001 0+12 forecast support 2-24-01_(120) Forecast Package FINAL p1 6 2" xfId="916"/>
    <cellStyle name="0_2001 111" xfId="917"/>
    <cellStyle name="0_2001 111_(120) Forecast Package FINAL p1 6" xfId="918"/>
    <cellStyle name="0_2001 210a" xfId="919"/>
    <cellStyle name="0_2001 210a_(120) Forecast Package FINAL p1 6" xfId="920"/>
    <cellStyle name="0_2001 BP Review LM - Jan_1_22" xfId="921"/>
    <cellStyle name="0_2001 BP Review LM - Jan_1_22 2" xfId="922"/>
    <cellStyle name="0_2001 BP Review LM - Jan_1_22_(120) Forecast Package FINAL p1 6" xfId="923"/>
    <cellStyle name="0_2001 BP Review LM - Jan_1_22_(120) Forecast Package FINAL p1 6 2" xfId="924"/>
    <cellStyle name="0_2001 BP Summary" xfId="925"/>
    <cellStyle name="0_2001 BP Summary 2" xfId="926"/>
    <cellStyle name="0_2001 BP v1" xfId="927"/>
    <cellStyle name="0_2001 BP v1 2" xfId="928"/>
    <cellStyle name="0_2001 Cost Challenge" xfId="929"/>
    <cellStyle name="0_2001 Cost Challenge 2" xfId="930"/>
    <cellStyle name="0_2001 Cost Challenge_(120) Forecast Package FINAL p1 6" xfId="931"/>
    <cellStyle name="0_2001 Cost Challenge_(120) Forecast Package FINAL p1 6 2" xfId="932"/>
    <cellStyle name="0_2001 Forecast" xfId="933"/>
    <cellStyle name="0_2001 Forecast 2" xfId="934"/>
    <cellStyle name="0_2001 Metrics - Spending Related" xfId="935"/>
    <cellStyle name="0_2001 Metrics - Spending Related 2" xfId="936"/>
    <cellStyle name="0_2001 Metrics - Spending Related_(120) Forecast Package FINAL p1 6" xfId="937"/>
    <cellStyle name="0_2001 Metrics - Spending Related_(120) Forecast Package FINAL p1 6 2" xfId="938"/>
    <cellStyle name="0_2001 NAC Functional Headcount Commitment Levels Annual Avg as of 7_19_01_Other Detail" xfId="939"/>
    <cellStyle name="0_2001 Summary_Sep25" xfId="940"/>
    <cellStyle name="0_2001 Summary_Sep25 2" xfId="941"/>
    <cellStyle name="0_2001 Summary_Sep25_(120) Forecast Package FINAL p1 6" xfId="942"/>
    <cellStyle name="0_2001 Summary_Sep25_(120) Forecast Package FINAL p1 6 2" xfId="943"/>
    <cellStyle name="0_2001.Commitment.PSC.Review.112900.v1" xfId="944"/>
    <cellStyle name="0_2001.Commitment.PSC.Review.112900.v1 2" xfId="945"/>
    <cellStyle name="0_2001.Commitment.PSC.Review.112900.v1_(120) Forecast Package FINAL p1 6" xfId="946"/>
    <cellStyle name="0_2001.Commitment.PSC.Review.112900.v1_(120) Forecast Package FINAL p1 6 2" xfId="947"/>
    <cellStyle name="0_2001.CPU.walk" xfId="948"/>
    <cellStyle name="0_2001.CPU.walk 2" xfId="949"/>
    <cellStyle name="0_2001.CPU.walk_(120) Forecast Package FINAL p1 6" xfId="950"/>
    <cellStyle name="0_2001.CPU.walk_(120) Forecast Package FINAL p1 6 2" xfId="951"/>
    <cellStyle name="0_2001-1113 PMM Workbook_FINAL" xfId="952"/>
    <cellStyle name="0_2001-1113 PMM Workbook_FINAL 2" xfId="953"/>
    <cellStyle name="0_2001-1113 PMM Workbook_FINAL_(120) Forecast Package FINAL p1 6" xfId="954"/>
    <cellStyle name="0_2001-1113 PMM Workbook_FINAL_(120) Forecast Package FINAL p1 6 2" xfId="955"/>
    <cellStyle name="0_2001A PCB Facer 300701" xfId="956"/>
    <cellStyle name="0_2001A PCB Facer EXTERNAL 010801" xfId="957"/>
    <cellStyle name="0_2001Forecast" xfId="958"/>
    <cellStyle name="0_2001Forecast 2" xfId="959"/>
    <cellStyle name="0_2001Forecast_(120) Forecast Package FINAL p1 6" xfId="960"/>
    <cellStyle name="0_2001Forecast_(120) Forecast Package FINAL p1 6 2" xfId="961"/>
    <cellStyle name="0_2001Forecast_02 to 04RiskAdjustedOutlook_3_4" xfId="962"/>
    <cellStyle name="0_2001Forecast_02 to 04RiskAdjustedOutlook_3_4 2" xfId="963"/>
    <cellStyle name="0_2001Forecast_19 income statement" xfId="964"/>
    <cellStyle name="0_2001Forecast_19 income statement 2" xfId="965"/>
    <cellStyle name="0_2001Forecast_19 income statement_(120) Forecast Package FINAL p1 6" xfId="966"/>
    <cellStyle name="0_2001Forecast_19 income statement_(120) Forecast Package FINAL p1 6 2" xfId="967"/>
    <cellStyle name="0_2001Forecast_2" xfId="968"/>
    <cellStyle name="0_2001Forecast_2 2" xfId="969"/>
    <cellStyle name="0_2001Forecast_2_(120) Forecast Package FINAL p1 6" xfId="970"/>
    <cellStyle name="0_2001Forecast_2_(120) Forecast Package FINAL p1 6 2" xfId="971"/>
    <cellStyle name="0_2001Forecast_2_RO_Sept10" xfId="972"/>
    <cellStyle name="0_2001Forecast_2_RO_Sept10 2" xfId="973"/>
    <cellStyle name="0_2001Forecast_2_RO_Sept10_(120) Forecast Package FINAL p1 6" xfId="974"/>
    <cellStyle name="0_2001Forecast_2_RO_Sept10_(120) Forecast Package FINAL p1 6 2" xfId="975"/>
    <cellStyle name="0_2001Forecast_income statement_10_09" xfId="976"/>
    <cellStyle name="0_2001Forecast_income statement_10_09 2" xfId="977"/>
    <cellStyle name="0_2001Forecast_income statement_10_09_(120) Forecast Package FINAL p1 6" xfId="978"/>
    <cellStyle name="0_2001Forecast_income statement_10_09_(120) Forecast Package FINAL p1 6 2" xfId="979"/>
    <cellStyle name="0_2001Forecast_Lm bud perf" xfId="980"/>
    <cellStyle name="0_2001Forecast_Lm bud perf 2" xfId="981"/>
    <cellStyle name="0_2001Forecast_LM IncomeStatement5p7v2 " xfId="982"/>
    <cellStyle name="0_2001Forecast_LM IncomeStatement5p7v2  2" xfId="983"/>
    <cellStyle name="0_2001Forecast_LM4p8ForecastMay30v1" xfId="984"/>
    <cellStyle name="0_2001Forecast_LM4p8ForecastMay30v1 2" xfId="985"/>
    <cellStyle name="0_2001Forecast_NA CBG 12+0 Actual Draft" xfId="986"/>
    <cellStyle name="0_2001Forecast_NA CBG 12+0 Actual Draft 2" xfId="987"/>
    <cellStyle name="0_2001PCPa10_TS" xfId="988"/>
    <cellStyle name="0_2002 012 LincMercv4" xfId="989"/>
    <cellStyle name="0_2002 012 LincMercv4 2" xfId="990"/>
    <cellStyle name="0_2002 012 LincMercv6" xfId="991"/>
    <cellStyle name="0_2002 012 LincMercv6 2" xfId="992"/>
    <cellStyle name="0_2002 Base Glide Path 4_12_02_v1" xfId="993"/>
    <cellStyle name="0_2002 Base Glide Path 4_12_02_v1_(120) Forecast Package FINAL p1 6" xfId="994"/>
    <cellStyle name="0_2002 BudgetCal@15364" xfId="995"/>
    <cellStyle name="0_2002 Contracts Page" xfId="996"/>
    <cellStyle name="0_2002 Contracts Page 2" xfId="997"/>
    <cellStyle name="0_2002 Contracts Page v2" xfId="998"/>
    <cellStyle name="0_2002 Contracts Page v2 2" xfId="999"/>
    <cellStyle name="0_2002 Contracts Page v2_(120) Forecast Package FINAL p1 6" xfId="1000"/>
    <cellStyle name="0_2002 Contracts Page v2_(120) Forecast Package FINAL p1 6 2" xfId="1001"/>
    <cellStyle name="0_2002 Contracts Page_(120) Forecast Package FINAL p1 6" xfId="1002"/>
    <cellStyle name="0_2002 Contracts Page_(120) Forecast Package FINAL p1 6 2" xfId="1003"/>
    <cellStyle name="0_2002 Elem by Qtr 1_30_02" xfId="1004"/>
    <cellStyle name="0_2002 Elem by Qtr 1_30_02 2" xfId="1005"/>
    <cellStyle name="0_2002 Elem by Qtr 1_30_02_(120) Forecast Package FINAL p1 6" xfId="1006"/>
    <cellStyle name="0_2002 Elem by Qtr 1_30_02_(120) Forecast Package FINAL p1 6 2" xfId="1007"/>
    <cellStyle name="0_2002 Elem by Qtr 2_09_02 For Operations" xfId="1008"/>
    <cellStyle name="0_2002 Elem by Qtr 2_09_02 For Operations 2" xfId="1009"/>
    <cellStyle name="0_2002 Elem by Qtr 2_09_02 For Operations_(120) Forecast Package FINAL p1 6" xfId="1010"/>
    <cellStyle name="0_2002 Elem by Qtr 2_09_02 For Operations_(120) Forecast Package FINAL p1 6 2" xfId="1011"/>
    <cellStyle name="0_2002 Elem by Qtr4+8 Performance Package" xfId="1012"/>
    <cellStyle name="0_2002 Elem by Qtr4+8 Performance Package 2" xfId="1013"/>
    <cellStyle name="0_2002 Pers Target 8_1_01" xfId="1014"/>
    <cellStyle name="0_2002 Pers Target 8_1_01_(120) Forecast Package FINAL p1 6" xfId="1015"/>
    <cellStyle name="0_2002 Prioritiesv2" xfId="1016"/>
    <cellStyle name="0_2002 Prioritiesv2 2" xfId="1017"/>
    <cellStyle name="0_2002 Prioritiesv3" xfId="1018"/>
    <cellStyle name="0_2002 Prioritiesv3 2" xfId="1019"/>
    <cellStyle name="0_2002 PSO Inv 09-18-01 (15366) with Material updates" xfId="1020"/>
    <cellStyle name="0_2002 PSO Inv 09-18-01 (15366) with Material updates_(120) Forecast Package FINAL p1 6" xfId="1021"/>
    <cellStyle name="0_2002 Segmentation Preliminary Deck 6-5-02" xfId="1022"/>
    <cellStyle name="0_2002 Segmentation Preliminary Deck 6-5-02 2" xfId="1023"/>
    <cellStyle name="0_2002 Staffing Plan Feb Ver 6" xfId="1024"/>
    <cellStyle name="0_2002 Staffing Plan Feb Ver 6_(120) Forecast Package FINAL p1 6" xfId="1025"/>
    <cellStyle name="0_2002_2003_Restated_1-22-03" xfId="1026"/>
    <cellStyle name="0_2002_2003_Restated_1-22-03_(120) Forecast Package FINAL p1 6" xfId="1027"/>
    <cellStyle name="0_2002_Status_919" xfId="1028"/>
    <cellStyle name="0_2002_Status_919_(120) Forecast Package FINAL p1 6" xfId="1029"/>
    <cellStyle name="0_2002-04 Financials June PSC_6_16" xfId="1030"/>
    <cellStyle name="0_2002-04 Financials June PSC_6_16 2" xfId="1031"/>
    <cellStyle name="0_2003 2+10 Base Glide Path" xfId="1032"/>
    <cellStyle name="0_2003 2+10 Base Glide Path_(120) Forecast Package FINAL p1 6" xfId="1033"/>
    <cellStyle name="0_2003 39 Base Glide Path2" xfId="1034"/>
    <cellStyle name="0_2003 39 Base Glide Path2_(120) Forecast Package FINAL p1 6" xfId="1035"/>
    <cellStyle name="0_2003 57 Prototype Metrics p3--SUV-BOF  PTAC-v2" xfId="1036"/>
    <cellStyle name="0_2003 Billing" xfId="1037"/>
    <cellStyle name="0_2003 Billings #675" xfId="1038"/>
    <cellStyle name="0_2003 Billings #676" xfId="1039"/>
    <cellStyle name="0_2003 Budget Development 8_13_03" xfId="1040"/>
    <cellStyle name="0_2003 Budget Development 8_13_03 2" xfId="1041"/>
    <cellStyle name="0_2003 Capacity FD  Version 3.0" xfId="1042"/>
    <cellStyle name="0_2003 Capacity FD  Version 3.0 2" xfId="1043"/>
    <cellStyle name="0_2003 Cost performance tracking" xfId="1044"/>
    <cellStyle name="0_2003 Cost performance tracking 2" xfId="1045"/>
    <cellStyle name="0_2003 Financials Jag Aug PSC v2" xfId="1046"/>
    <cellStyle name="0_2003 Financials Jag Aug PSC v2 2" xfId="1047"/>
    <cellStyle name="0_2003 Financials Jag Aug PSC v3" xfId="1048"/>
    <cellStyle name="0_2003 Financials Jag Aug PSC v3 2" xfId="1049"/>
    <cellStyle name="0_2003 Financials LR Aug PSC v3" xfId="1050"/>
    <cellStyle name="0_2003 Financials LR Aug PSC v3 2" xfId="1051"/>
    <cellStyle name="0_2003 Inventory 06-04-021" xfId="1052"/>
    <cellStyle name="0_2003 r&amp;o" xfId="1053"/>
    <cellStyle name="0_2003 r&amp;o 2" xfId="1054"/>
    <cellStyle name="0_2003 v2 2002 (10+2)" xfId="1055"/>
    <cellStyle name="0_2003 v2 2002 (10+2) 2" xfId="1056"/>
    <cellStyle name="0_2003.25 Parts List" xfId="1057"/>
    <cellStyle name="0_2003.25 Parts List 2" xfId="1058"/>
    <cellStyle name="0_2003.25 Parts List_June 18th v4" xfId="1059"/>
    <cellStyle name="0_2003.25 Parts List_June 18th v4 2" xfId="1060"/>
    <cellStyle name="0_2003_Headcount_Targets_Feb20" xfId="1061"/>
    <cellStyle name="0_2003_Headcount_Targets_Feb20 2" xfId="1062"/>
    <cellStyle name="0_2003_Mat'l_Detail_July_233" xfId="1063"/>
    <cellStyle name="0_2003_Prototype Detail_June12" xfId="1064"/>
    <cellStyle name="0_2003-4-1 CAP - CY -  HPU Report3" xfId="1065"/>
    <cellStyle name="0_2003-4-1 CAP - CY -  HPU Report3 2" xfId="1066"/>
    <cellStyle name="0_2003BP Timing.v2" xfId="1067"/>
    <cellStyle name="0_2003BP Timing.v2 2" xfId="1068"/>
    <cellStyle name="0_2003CY Prototype Material Budget-STATUS TRACKER (6+6 FORECAST)" xfId="1069"/>
    <cellStyle name="0_2003IncState(3+9)_May13" xfId="1070"/>
    <cellStyle name="0_2003IncState(3+9)_May13 2" xfId="1071"/>
    <cellStyle name="0_2004 (210) Freight ARM" xfId="1072"/>
    <cellStyle name="0_2004 (210) Freight ARM 2" xfId="1073"/>
    <cellStyle name="0_2004 Budget (10+2) Update v3" xfId="1074"/>
    <cellStyle name="0_2004 Budget (10+2) Update v3 2" xfId="1075"/>
    <cellStyle name="0_2004 Budget _ Other Mat'l Detail_MLS101503" xfId="1076"/>
    <cellStyle name="0_2004 Budget 0711 Status" xfId="1077"/>
    <cellStyle name="0_2004 Budget 0711 Status 2" xfId="1078"/>
    <cellStyle name="0_2004 Budget Opps List Small Car 092403" xfId="1079"/>
    <cellStyle name="0_2004 Budget PF3 Submission 1002" xfId="1080"/>
    <cellStyle name="0_2004 Budget Status 092303" xfId="1081"/>
    <cellStyle name="0_2004 CY Budget Summary Pkg_110703jfr" xfId="1082"/>
    <cellStyle name="0_2004 en114  (PA) 10-24-01" xfId="1083"/>
    <cellStyle name="0_2004 Inventory 04-25-03" xfId="1084"/>
    <cellStyle name="0_2004 Small Inventory Template 7 17 03" xfId="1085"/>
    <cellStyle name="0_2004_FCGetc_Preliminary_Budget" xfId="1086"/>
    <cellStyle name="0_2004CY FWO Approvals 6-23-04_EESE" xfId="1087"/>
    <cellStyle name="0_2005 Budget WIP_082304_2005 Focus" xfId="1088"/>
    <cellStyle name="0_2005 Budget-Russia (Market Assessment Production)" xfId="1089"/>
    <cellStyle name="0_2005 Budget-Russia (Market Assessment Production) 2" xfId="1090"/>
    <cellStyle name="0_2005 Global ARM_TVM Summary 012 ForecastFinal022205" xfId="1091"/>
    <cellStyle name="0_2005 Global ARM_TVM Summary 012 ForecastFinal022205 2" xfId="1092"/>
    <cellStyle name="0_2005 Global ARM_TVM Summary 57 ForecastFINAL071405" xfId="1093"/>
    <cellStyle name="0_2005 Global ARM_TVM Summary 57 ForecastFINAL071405 2" xfId="1094"/>
    <cellStyle name="0_2005 NAE EOE Budget20305" xfId="1095"/>
    <cellStyle name="0_2005 U204 CC Market Inquiry 5 22 03" xfId="1096"/>
    <cellStyle name="0_2005 U204 CC Market Inquiry 5 22 03 2" xfId="1097"/>
    <cellStyle name="0_2005 U204 CC Market Inquiry info for major mrkts (Mexico)" xfId="1098"/>
    <cellStyle name="0_2005 U204 CC Market Inquiry info for major mrkts (Mexico) 2" xfId="1099"/>
    <cellStyle name="0_2005 V10 to V12.5 Final Walk" xfId="1100"/>
    <cellStyle name="0_2005_Budget_RLS_followup_111705" xfId="1101"/>
    <cellStyle name="0_2005_Budget_RLS_followup_111705 2" xfId="1102"/>
    <cellStyle name="0_2006 Budget NA v02" xfId="1103"/>
    <cellStyle name="0_2006 Budget Update_RLS" xfId="1104"/>
    <cellStyle name="0_2006 F236 SI Submission SBU" xfId="1105"/>
    <cellStyle name="0_2006 F236 SI Submission SBU 2" xfId="1106"/>
    <cellStyle name="0_2006 P150 2006 _mkteqSum_May_US" xfId="1107"/>
    <cellStyle name="0_2006 P150 2006 _mkteqSum_May_US 2" xfId="1108"/>
    <cellStyle name="0_2006 VDEC Budget" xfId="1109"/>
    <cellStyle name="0_2006_Metrics_ver_h_adjusted on march_20" xfId="1110"/>
    <cellStyle name="0_2006MY Escape Package and Price Strategy Template2" xfId="1111"/>
    <cellStyle name="0_2006MY Escape Package and Price Strategy Template2 2" xfId="1112"/>
    <cellStyle name="0_2007 Concern tracker 05-02-2005 " xfId="1113"/>
    <cellStyle name="0_2007 Concern tracker 05-02-2005  2" xfId="1114"/>
    <cellStyle name="0_2007 Lexus Deck Ver 1 0 (2)" xfId="1115"/>
    <cellStyle name="0_2007 Lexus Deck Ver 1 0 (2) 2" xfId="1116"/>
    <cellStyle name="0_2008MY D258 - D333 Price Strategy v2.6" xfId="1117"/>
    <cellStyle name="0_2008MY D258 - D333 Price Strategy v2.6 2" xfId="1118"/>
    <cellStyle name="0_2008MY D258 - D333 Price Strategy v2.7" xfId="1119"/>
    <cellStyle name="0_2008MY D258 - D333 Price Strategy v2.7 2" xfId="1120"/>
    <cellStyle name="0_210 1-Pager Residual Value" xfId="1121"/>
    <cellStyle name="0_210 1-Pager Residual Value 2" xfId="1122"/>
    <cellStyle name="0_2-10 Forecast 03142001r" xfId="1123"/>
    <cellStyle name="0_2-10 Forecast 03142001r_(120) Forecast Package FINAL p1 6" xfId="1124"/>
    <cellStyle name="0_21F" xfId="1125"/>
    <cellStyle name="0_21F 2" xfId="1126"/>
    <cellStyle name="0_21F_June 18th v4" xfId="1127"/>
    <cellStyle name="0_21F_June 18th v4 2" xfId="1128"/>
    <cellStyle name="0_21F_SOMP_CD340 (11.11.04)" xfId="1129"/>
    <cellStyle name="0_21F_SOMP_CD340 (11.11.04) 2" xfId="1130"/>
    <cellStyle name="0_21F_VO Labour Status # 7" xfId="1131"/>
    <cellStyle name="0_21F_VO Labour Status # 7 2" xfId="1132"/>
    <cellStyle name="0_21F_VO Labour Status # 7_June 18th v4" xfId="1133"/>
    <cellStyle name="0_21F_VO Labour Status # 7_June 18th v4 2" xfId="1134"/>
    <cellStyle name="0_27-04-04-SoMP-CD340v0" xfId="1135"/>
    <cellStyle name="0_3+9 VE Material and Tooling" xfId="1136"/>
    <cellStyle name="0_4) Company Service Vehicles (2+10)" xfId="1137"/>
    <cellStyle name="0_4) Company Service Vehicles (2+10) 2" xfId="1138"/>
    <cellStyle name="0_4) Company Service Vehicles (2+10)_June 18th v4" xfId="1139"/>
    <cellStyle name="0_4) Company Service Vehicles (2+10)_June 18th v4 2" xfId="1140"/>
    <cellStyle name="0_4_3 summary" xfId="1141"/>
    <cellStyle name="0_4_3 summary 2" xfId="1142"/>
    <cellStyle name="0_4_Act_AprFV02_graph" xfId="1143"/>
    <cellStyle name="0_4_Act_AprFV02_graph 2" xfId="1144"/>
    <cellStyle name="0_48 Income Statement PF3 " xfId="1145"/>
    <cellStyle name="0_48 Income Statement PF3  2" xfId="1146"/>
    <cellStyle name="0_4l Roadmap 2004_09_01 " xfId="1147"/>
    <cellStyle name="0_5.4L 3V Program Sept 01 TFLE" xfId="1148"/>
    <cellStyle name="0_5.4L 3V Program Sept 01 TFLE 2" xfId="1149"/>
    <cellStyle name="0_5.4L 3V Program Sept 01 TFLE_CD340 PMM Filing 16.09.04" xfId="1150"/>
    <cellStyle name="0_5.4L 3V Program Sept 01 TFLE_CD340 PMM Filing 16.09.04 2" xfId="1151"/>
    <cellStyle name="0_5.4L 3V Program Sept 01 TFLE_SOMP_CD340 (11.11.04)" xfId="1152"/>
    <cellStyle name="0_5.4L 3V Program Sept 01 TFLE_SOMP_CD340 (11.11.04) 2" xfId="1153"/>
    <cellStyle name="0_5.4L 3V Program Sept 01 TFLE_VO Labour Status # 7" xfId="1154"/>
    <cellStyle name="0_5.4L 3V Program Sept 01 TFLE_VO Labour Status # 7 2" xfId="1155"/>
    <cellStyle name="0_57 Actual status_CSV Functions meeting (Summary)" xfId="1156"/>
    <cellStyle name="0_57 Actual status_CSV Functions meeting (Summary) 2" xfId="1157"/>
    <cellStyle name="0_5-year Scorecard v7" xfId="1158"/>
    <cellStyle name="0_5-year Scorecard v7 2" xfId="1159"/>
    <cellStyle name="0_6_2_EngDirMtg_v1" xfId="1160"/>
    <cellStyle name="0_6_2_EngDirMtg_v1_(120) Forecast Package FINAL p1 6" xfId="1161"/>
    <cellStyle name="0_638 CostPerf" xfId="1162"/>
    <cellStyle name="0_638 CostPerf 2" xfId="1163"/>
    <cellStyle name="0_638 CostPerf_(120) Forecast Package FINAL p1 6" xfId="1164"/>
    <cellStyle name="0_638 CostPerf_(120) Forecast Package FINAL p1 6 2" xfId="1165"/>
    <cellStyle name="0_651 stamping.backup" xfId="1166"/>
    <cellStyle name="0_651 stamping.backup 2" xfId="1167"/>
    <cellStyle name="0_651 stamping.backup_(120) Forecast Package FINAL p1 6" xfId="1168"/>
    <cellStyle name="0_651 stamping.backup_(120) Forecast Package FINAL p1 6 2" xfId="1169"/>
    <cellStyle name="0_664Reduction_Mar03Act" xfId="1170"/>
    <cellStyle name="0_664Reduction_Mar03Act_(120) Forecast Package FINAL p1 6" xfId="1171"/>
    <cellStyle name="0_674 accruals detail" xfId="1172"/>
    <cellStyle name="0_680 accruals detail" xfId="1173"/>
    <cellStyle name="0_6F status Update 2-24-03" xfId="1174"/>
    <cellStyle name="0_6R Trans - Draft F - Oct 15 Update" xfId="1175"/>
    <cellStyle name="0_6R Trans - Draft F - Oct 15 Update 2" xfId="1176"/>
    <cellStyle name="0_6R Trans - Draft F - Oct 15 Update_(120) Forecast Package FINAL p1 6" xfId="1177"/>
    <cellStyle name="0_6R Trans - Draft F - Oct 15 Update_(120) Forecast Package FINAL p1 6 2" xfId="1178"/>
    <cellStyle name="0_7+5 Allocations" xfId="1179"/>
    <cellStyle name="0_7+5 Income Statement v2" xfId="1180"/>
    <cellStyle name="0_7+5 Income Statement v2 2" xfId="1181"/>
    <cellStyle name="0_7+5 Income Statement v5" xfId="1182"/>
    <cellStyle name="0_7+5 Income Statement v5 2" xfId="1183"/>
    <cellStyle name="0_7+5 PMM" xfId="1184"/>
    <cellStyle name="0_7+5 PMM 2" xfId="1185"/>
    <cellStyle name="0_7+5September5_OCM" xfId="1186"/>
    <cellStyle name="0_7+5September5_OCM 2" xfId="1187"/>
    <cellStyle name="0_7+5September5_OCM_(120) Forecast Package FINAL p1 6" xfId="1188"/>
    <cellStyle name="0_7+5September5_OCM_(120) Forecast Package FINAL p1 6 2" xfId="1189"/>
    <cellStyle name="0_75 Forecast1" xfId="1190"/>
    <cellStyle name="0_75 Forecast1 2" xfId="1191"/>
    <cellStyle name="0_75 Forecast1_(120) Forecast Package FINAL p1 6" xfId="1192"/>
    <cellStyle name="0_75 Forecast1_(120) Forecast Package FINAL p1 6 2" xfId="1193"/>
    <cellStyle name="0_8+4" xfId="1194"/>
    <cellStyle name="0_8+4 2" xfId="1195"/>
    <cellStyle name="0_84 Headcount Proposal" xfId="1196"/>
    <cellStyle name="0_84 Headcount Proposal 2" xfId="1197"/>
    <cellStyle name="0_84 Headcount Proposal_(120) Forecast Package FINAL p1 6" xfId="1198"/>
    <cellStyle name="0_84 Headcount Proposal_(120) Forecast Package FINAL p1 6 2" xfId="1199"/>
    <cellStyle name="0_9 + 3 Final_OCM_Oct17_(AccrNotDelayed)" xfId="1200"/>
    <cellStyle name="0_9 + 3 Final_OCM_Oct17_(AccrNotDelayed)_(120) Forecast Package FINAL p1 6" xfId="1201"/>
    <cellStyle name="0_9-25 Headcount Pages" xfId="1202"/>
    <cellStyle name="0_96 Plan" xfId="1203"/>
    <cellStyle name="0_96 Plan 2" xfId="1204"/>
    <cellStyle name="0_97BUSPLN" xfId="1205"/>
    <cellStyle name="0_97BUSPLN 2" xfId="1206"/>
    <cellStyle name="0_98Plan to 75 Forecast Walk" xfId="1207"/>
    <cellStyle name="0_98Plan to 75 Forecast Walk 2" xfId="1208"/>
    <cellStyle name="0_99A Compact" xfId="1209"/>
    <cellStyle name="0_99A Compact 2" xfId="1210"/>
    <cellStyle name="0_99A Sub-Compact" xfId="1211"/>
    <cellStyle name="0_99A Sub-Compact 2" xfId="1212"/>
    <cellStyle name="0_ABS Revenue - 2002BP" xfId="1213"/>
    <cellStyle name="0_acsg2001" xfId="1214"/>
    <cellStyle name="0_acsg2001_(120) Forecast Package FINAL p1 6" xfId="1215"/>
    <cellStyle name="0_Actual - Graph Feb FV_send out" xfId="1216"/>
    <cellStyle name="0_Actual - Graph Feb FV_send out 2" xfId="1217"/>
    <cellStyle name="0_Actuals and Heacount -- Speranza" xfId="1218"/>
    <cellStyle name="0_Actuals and Heacount -- Speranza_(120) Forecast Package FINAL p1 6" xfId="1219"/>
    <cellStyle name="0_Actuals Jan FV_sent out_excl. Budget" xfId="1220"/>
    <cellStyle name="0_Actuals Jan FV_sent out_excl. Budget 2" xfId="1221"/>
    <cellStyle name="0_agency_12 month look" xfId="1222"/>
    <cellStyle name="0_agency_12 month look 2" xfId="1223"/>
    <cellStyle name="0_Alt Fuel Programs" xfId="1224"/>
    <cellStyle name="0_Alt Fuel Programs 2" xfId="1225"/>
    <cellStyle name="0_Alt Fuel Programs_(120) Forecast Package FINAL p1 6" xfId="1226"/>
    <cellStyle name="0_Alt Fuel Programs_(120) Forecast Package FINAL p1 6 2" xfId="1227"/>
    <cellStyle name="0_appen" xfId="1228"/>
    <cellStyle name="0_appen_(120) Forecast Package FINAL p1 6" xfId="1229"/>
    <cellStyle name="0_Apr02_Metrics_5-16-02" xfId="1230"/>
    <cellStyle name="0_Apr02_Metrics_5-16-02_(120) Forecast Package FINAL p1 6" xfId="1231"/>
    <cellStyle name="0_Apr02_PersMetrics_5-15-02" xfId="1232"/>
    <cellStyle name="0_Apr02_PersMetrics_5-15-02_(120) Forecast Package FINAL p1 6" xfId="1233"/>
    <cellStyle name="0_Apr2001 DRL Metrics" xfId="1234"/>
    <cellStyle name="0_Apr2001 DRL Metrics_(120) Forecast Package FINAL p1 6" xfId="1235"/>
    <cellStyle name="0_April Metrics" xfId="1236"/>
    <cellStyle name="0_April Metrics Zero May Commit" xfId="1237"/>
    <cellStyle name="0_April Metrics Zero May Commit_(120) Forecast Package FINAL p1 6" xfId="1238"/>
    <cellStyle name="0_April Metrics_(120) Forecast Package FINAL p1 6" xfId="1239"/>
    <cellStyle name="0_April SoMP File" xfId="1240"/>
    <cellStyle name="0_April SoMP File 2" xfId="1241"/>
    <cellStyle name="0_April SoMP File_Filing" xfId="1242"/>
    <cellStyle name="0_April SoMP File_Filing 2" xfId="1243"/>
    <cellStyle name="0_April SoMP_V227" xfId="1244"/>
    <cellStyle name="0_April SoMP_V227 2" xfId="1245"/>
    <cellStyle name="0_ARM 151004 DRAFT" xfId="1246"/>
    <cellStyle name="0_ARM 151004 DRAFT 2" xfId="1247"/>
    <cellStyle name="0_ARM 1-page - 48 CSV Input (DRAFT 27May)1" xfId="1248"/>
    <cellStyle name="0_ARM 1-page - 48 CSV Input (DRAFT 27May)1 2" xfId="1249"/>
    <cellStyle name="0_ARM 6+6 Sales Inv_V.1.1" xfId="1250"/>
    <cellStyle name="0_ARM 6+6 Sales Inv_V.1.1 2" xfId="1251"/>
    <cellStyle name="0_ARM Fixed Marketing 2004 102 Forecast" xfId="1252"/>
    <cellStyle name="0_ARM Fixed Marketing 2004 102 Forecast 2" xfId="1253"/>
    <cellStyle name="0_ARM Fixed Marketing 2004 84 Forecast" xfId="1254"/>
    <cellStyle name="0_ARM Fixed Marketing 2004 84 Forecast 2" xfId="1255"/>
    <cellStyle name="0_ARM input (66)" xfId="1256"/>
    <cellStyle name="0_ARM input (66) 2" xfId="1257"/>
    <cellStyle name="0_ARM Input 75" xfId="1258"/>
    <cellStyle name="0_ARM Input 75 2" xfId="1259"/>
    <cellStyle name="0_ARM Inventory Sales 9+3 upd" xfId="1260"/>
    <cellStyle name="0_ARM Inventory Sales 9+3 upd 2" xfId="1261"/>
    <cellStyle name="0_ARM Inventory Sales 9+3 upd_June 18th v4" xfId="1262"/>
    <cellStyle name="0_ARM Inventory Sales 9+3 upd_June 18th v4 2" xfId="1263"/>
    <cellStyle name="0_ARM Inventory_Sales Input" xfId="1264"/>
    <cellStyle name="0_ARM Inventory_Sales Input 2" xfId="1265"/>
    <cellStyle name="0_ARM Report 30-09-041" xfId="1266"/>
    <cellStyle name="0_ARM Report 30-09-041 2" xfId="1267"/>
    <cellStyle name="0_ARM Report 30-09-04Final" xfId="1268"/>
    <cellStyle name="0_ARM Report 30-09-04Final 2" xfId="1269"/>
    <cellStyle name="0_ARM Template Freight Transportation 331B" xfId="1270"/>
    <cellStyle name="0_ARM Template Freight Transportation 331B 2" xfId="1271"/>
    <cellStyle name="0_ARM(10+2) Finished Vehicles" xfId="1272"/>
    <cellStyle name="0_ARM(10+2) Finished Vehicles 2" xfId="1273"/>
    <cellStyle name="0_ARM(10+2) Finished Vehicles_upd" xfId="1274"/>
    <cellStyle name="0_ARM(10+2) Finished Vehicles_upd 2" xfId="1275"/>
    <cellStyle name="0_ARM-FCSD-(75)" xfId="1276"/>
    <cellStyle name="0_ARM-FCSD-(75) 2" xfId="1277"/>
    <cellStyle name="0_ARM-FCSD-(93)" xfId="1278"/>
    <cellStyle name="0_ARM-FCSD-(93) 2" xfId="1279"/>
    <cellStyle name="0_ARMSales30.10.03" xfId="1280"/>
    <cellStyle name="0_ARMSales30.10.03 2" xfId="1281"/>
    <cellStyle name="0_Assembly Risks and Opps 210 v2" xfId="1282"/>
    <cellStyle name="0_Assembly Risks and Opps 210 v2 2" xfId="1283"/>
    <cellStyle name="0_Assembly Risks and Opps 210 v2_(120) Forecast Package FINAL p1 6" xfId="1284"/>
    <cellStyle name="0_Assembly Risks and Opps 210 v2_(120) Forecast Package FINAL p1 6 2" xfId="1285"/>
    <cellStyle name="0_Assembly Risks and Opps 48.v2" xfId="1286"/>
    <cellStyle name="0_Assembly Risks and Opps 48.v2 2" xfId="1287"/>
    <cellStyle name="0_Assembly Risks and Opps 48.v2_(120) Forecast Package FINAL p1 6" xfId="1288"/>
    <cellStyle name="0_Assembly Risks and Opps 48.v2_(120) Forecast Package FINAL p1 6 2" xfId="1289"/>
    <cellStyle name="0_Att.2-CSV units (8+4)" xfId="1290"/>
    <cellStyle name="0_Att.2-CSV units (8+4) 2" xfId="1291"/>
    <cellStyle name="0_Att.2-CSV units (Submitted)" xfId="1292"/>
    <cellStyle name="0_Att.2-CSV units (Submitted) 2" xfId="1293"/>
    <cellStyle name="0_Attachment 1 CSV" xfId="1294"/>
    <cellStyle name="0_Attachment 1 CSV 2" xfId="1295"/>
    <cellStyle name="0_attachment3" xfId="1296"/>
    <cellStyle name="0_attachment3 2" xfId="1297"/>
    <cellStyle name="0_attachment3_120_1_sent_out" xfId="1298"/>
    <cellStyle name="0_attachment3_120_1_sent_out 2" xfId="1299"/>
    <cellStyle name="0_attachment3_4_Act_AprFV02_graph" xfId="1300"/>
    <cellStyle name="0_attachment3_4_Act_AprFV02_graph 2" xfId="1301"/>
    <cellStyle name="0_attachment3_Actual - Graph Feb FV_send out" xfId="1302"/>
    <cellStyle name="0_attachment3_Actual - Graph Feb FV_send out 2" xfId="1303"/>
    <cellStyle name="0_attachment3_Actuals Jan FV_sent out_excl. Budget" xfId="1304"/>
    <cellStyle name="0_attachment3_Actuals Jan FV_sent out_excl. Budget 2" xfId="1305"/>
    <cellStyle name="0_attachment3_AUSTRIA" xfId="1306"/>
    <cellStyle name="0_attachment3_AUSTRIA 011002" xfId="1307"/>
    <cellStyle name="0_attachment3_AUSTRIA 011002 2" xfId="1308"/>
    <cellStyle name="0_attachment3_AUSTRIA 2" xfId="1309"/>
    <cellStyle name="0_attachment3_Austria December graph" xfId="1310"/>
    <cellStyle name="0_attachment3_Austria December graph 2" xfId="1311"/>
    <cellStyle name="0_attachment3_Austria November graph" xfId="1312"/>
    <cellStyle name="0_attachment3_Austria November graph 2" xfId="1313"/>
    <cellStyle name="0_attachment3_Austria_1" xfId="1314"/>
    <cellStyle name="0_attachment3_Austria_1 2" xfId="1315"/>
    <cellStyle name="0_attachment3_Belgium December graph" xfId="1316"/>
    <cellStyle name="0_attachment3_Belgium December graph 2" xfId="1317"/>
    <cellStyle name="0_attachment3_Belgium November graph" xfId="1318"/>
    <cellStyle name="0_attachment3_Belgium November graph 2" xfId="1319"/>
    <cellStyle name="0_attachment3_Book1" xfId="1320"/>
    <cellStyle name="0_attachment3_Book1 2" xfId="1321"/>
    <cellStyle name="0_attachment3_Britain December graph" xfId="1322"/>
    <cellStyle name="0_attachment3_Britain December graph 2" xfId="1323"/>
    <cellStyle name="0_attachment3_Britain November graph" xfId="1324"/>
    <cellStyle name="0_attachment3_Britain November graph 2" xfId="1325"/>
    <cellStyle name="0_attachment3_Czech December graph" xfId="1326"/>
    <cellStyle name="0_attachment3_Czech December graph 2" xfId="1327"/>
    <cellStyle name="0_attachment3_Czech November graph" xfId="1328"/>
    <cellStyle name="0_attachment3_Czech November graph 2" xfId="1329"/>
    <cellStyle name="0_attachment3_Denmark December graph" xfId="1330"/>
    <cellStyle name="0_attachment3_Denmark December graph 2" xfId="1331"/>
    <cellStyle name="0_attachment3_Denmark November graph" xfId="1332"/>
    <cellStyle name="0_attachment3_Denmark November graph 2" xfId="1333"/>
    <cellStyle name="0_attachment3_February 2002 NL" xfId="1334"/>
    <cellStyle name="0_attachment3_February 2002 NL 2" xfId="1335"/>
    <cellStyle name="0_attachment3_Finland December graph" xfId="1336"/>
    <cellStyle name="0_attachment3_Finland December graph 2" xfId="1337"/>
    <cellStyle name="0_attachment3_Finland November graph" xfId="1338"/>
    <cellStyle name="0_attachment3_Finland November graph 2" xfId="1339"/>
    <cellStyle name="0_attachment3_FoG graph 0402" xfId="1340"/>
    <cellStyle name="0_attachment3_FoG graph 0402 2" xfId="1341"/>
    <cellStyle name="0_attachment3_France December graph" xfId="1342"/>
    <cellStyle name="0_attachment3_France December graph 2" xfId="1343"/>
    <cellStyle name="0_attachment3_France November graph" xfId="1344"/>
    <cellStyle name="0_attachment3_France November graph 2" xfId="1345"/>
    <cellStyle name="0_attachment3_Germany December graph" xfId="1346"/>
    <cellStyle name="0_attachment3_Germany December graph 2" xfId="1347"/>
    <cellStyle name="0_attachment3_Germany November graph" xfId="1348"/>
    <cellStyle name="0_attachment3_Germany November graph 2" xfId="1349"/>
    <cellStyle name="0_attachment3_Graph - Austria" xfId="1350"/>
    <cellStyle name="0_attachment3_Graph - Austria 2" xfId="1351"/>
    <cellStyle name="0_attachment3_Graph_Apr2002" xfId="1352"/>
    <cellStyle name="0_attachment3_Graph_Apr2002 2" xfId="1353"/>
    <cellStyle name="0_attachment3_Graph_Greece_2002_04" xfId="1354"/>
    <cellStyle name="0_attachment3_Graph_Greece_2002_04 2" xfId="1355"/>
    <cellStyle name="0_attachment3_Graph_Portugal" xfId="1356"/>
    <cellStyle name="0_attachment3_Graph_Portugal 2" xfId="1357"/>
    <cellStyle name="0_attachment3_Graphs 04.02-2" xfId="1358"/>
    <cellStyle name="0_attachment3_Graphs 04.02-2 2" xfId="1359"/>
    <cellStyle name="0_attachment3_Graphs send out (48)_Denmark" xfId="1360"/>
    <cellStyle name="0_attachment3_Graphs send out (48)_Denmark 2" xfId="1361"/>
    <cellStyle name="0_attachment3_Graphs send out (48)_Norway" xfId="1362"/>
    <cellStyle name="0_attachment3_Graphs send out (48)_Norway 2" xfId="1363"/>
    <cellStyle name="0_attachment3_Graphs send out 0302" xfId="1364"/>
    <cellStyle name="0_attachment3_Graphs send out 0302 2" xfId="1365"/>
    <cellStyle name="0_attachment3_Graphs send out 042002" xfId="1366"/>
    <cellStyle name="0_attachment3_Graphs send out 042002 2" xfId="1367"/>
    <cellStyle name="0_attachment3_Graphs send out 042002_FoG_new" xfId="1368"/>
    <cellStyle name="0_attachment3_Graphs send out 042002_FoG_new 2" xfId="1369"/>
    <cellStyle name="0_attachment3_Greece December graph" xfId="1370"/>
    <cellStyle name="0_attachment3_Greece December graph 2" xfId="1371"/>
    <cellStyle name="0_attachment3_Greece November graph" xfId="1372"/>
    <cellStyle name="0_attachment3_Greece November graph 2" xfId="1373"/>
    <cellStyle name="0_attachment3_Hungary December graph" xfId="1374"/>
    <cellStyle name="0_attachment3_Hungary December graph 2" xfId="1375"/>
    <cellStyle name="0_attachment3_Hungary November graph" xfId="1376"/>
    <cellStyle name="0_attachment3_Hungary November graph 2" xfId="1377"/>
    <cellStyle name="0_attachment3_Inventory 010705" xfId="1378"/>
    <cellStyle name="0_attachment3_Inventory 010705 2" xfId="1379"/>
    <cellStyle name="0_attachment3_Inventory 2001 08 Austria" xfId="1380"/>
    <cellStyle name="0_attachment3_Inventory 2001 08 Austria 2" xfId="1381"/>
    <cellStyle name="0_attachment3_Inventory Graph Switzerland 2002 04" xfId="1382"/>
    <cellStyle name="0_attachment3_Inventory Graph Switzerland 2002 04 2" xfId="1383"/>
    <cellStyle name="0_attachment3_InvIrelandApril02" xfId="1384"/>
    <cellStyle name="0_attachment3_InvIrelandApril02 2" xfId="1385"/>
    <cellStyle name="0_attachment3_Ireland December graph" xfId="1386"/>
    <cellStyle name="0_attachment3_Ireland December graph 2" xfId="1387"/>
    <cellStyle name="0_attachment3_Irland November graph" xfId="1388"/>
    <cellStyle name="0_attachment3_Irland November graph 2" xfId="1389"/>
    <cellStyle name="0_attachment3_Italy December graph" xfId="1390"/>
    <cellStyle name="0_attachment3_Italy December graph 2" xfId="1391"/>
    <cellStyle name="0_attachment3_Italy November graph" xfId="1392"/>
    <cellStyle name="0_attachment3_Italy November graph 2" xfId="1393"/>
    <cellStyle name="0_attachment3_January 2002 NL" xfId="1394"/>
    <cellStyle name="0_attachment3_January 2002 NL 2" xfId="1395"/>
    <cellStyle name="0_attachment3_July Inventory Reports" xfId="1396"/>
    <cellStyle name="0_attachment3_July Inventory Reports 2" xfId="1397"/>
    <cellStyle name="0_attachment3_March 2002 NL" xfId="1398"/>
    <cellStyle name="0_attachment3_March 2002 NL 2" xfId="1399"/>
    <cellStyle name="0_attachment3_Netherlands November graph" xfId="1400"/>
    <cellStyle name="0_attachment3_Netherlands November graph 2" xfId="1401"/>
    <cellStyle name="0_attachment3_Norway December graph" xfId="1402"/>
    <cellStyle name="0_attachment3_Norway December graph 2" xfId="1403"/>
    <cellStyle name="0_attachment3_Norway November graph" xfId="1404"/>
    <cellStyle name="0_attachment3_Norway November graph 2" xfId="1405"/>
    <cellStyle name="0_attachment3_Poland December graph" xfId="1406"/>
    <cellStyle name="0_attachment3_Poland December graph 2" xfId="1407"/>
    <cellStyle name="0_attachment3_Poland November graph" xfId="1408"/>
    <cellStyle name="0_attachment3_Poland November graph 2" xfId="1409"/>
    <cellStyle name="0_attachment3_Portugal  December graph" xfId="1410"/>
    <cellStyle name="0_attachment3_Portugal  December graph 2" xfId="1411"/>
    <cellStyle name="0_attachment3_Portugal November graph" xfId="1412"/>
    <cellStyle name="0_attachment3_Portugal November graph 2" xfId="1413"/>
    <cellStyle name="0_attachment3_Russia November graph" xfId="1414"/>
    <cellStyle name="0_attachment3_Russia November graph 2" xfId="1415"/>
    <cellStyle name="0_attachment3_Spain December graph" xfId="1416"/>
    <cellStyle name="0_attachment3_Spain December graph 2" xfId="1417"/>
    <cellStyle name="0_attachment3_Spain November graph" xfId="1418"/>
    <cellStyle name="0_attachment3_Spain November graph 2" xfId="1419"/>
    <cellStyle name="0_attachment3_Sweden December graph" xfId="1420"/>
    <cellStyle name="0_attachment3_Sweden December graph 2" xfId="1421"/>
    <cellStyle name="0_attachment3_Sweden November graph" xfId="1422"/>
    <cellStyle name="0_attachment3_Sweden November graph 2" xfId="1423"/>
    <cellStyle name="0_attachment3_Switzerland December graph" xfId="1424"/>
    <cellStyle name="0_attachment3_Switzerland December graph 2" xfId="1425"/>
    <cellStyle name="0_attachment3_Switzerland November graph" xfId="1426"/>
    <cellStyle name="0_attachment3_Switzerland November graph 2" xfId="1427"/>
    <cellStyle name="0_Aug 07 Somp Deck" xfId="1428"/>
    <cellStyle name="0_Aug 07 Somp Deck 2" xfId="1429"/>
    <cellStyle name="0_Aug_LM_Plan_rev6.5" xfId="1430"/>
    <cellStyle name="0_Aug_LM_Plan_rev6.5_(120) Forecast Package FINAL p1 6" xfId="1431"/>
    <cellStyle name="0_Aug_LM_Plan_rev6.51" xfId="1432"/>
    <cellStyle name="0_Aug_LM_Plan_rev6.51_(120) Forecast Package FINAL p1 6" xfId="1433"/>
    <cellStyle name="0_AUGUST LVC REPORT1" xfId="1434"/>
    <cellStyle name="0_AUGUST LVC REPORT1 2" xfId="1435"/>
    <cellStyle name="0_AUGUST LVC REPORT1_(120) Forecast Package FINAL p1 6" xfId="1436"/>
    <cellStyle name="0_AUGUST LVC REPORT1_(120) Forecast Package FINAL p1 6 2" xfId="1437"/>
    <cellStyle name="0_August RMS Status vs Estimates" xfId="1438"/>
    <cellStyle name="0_August RMS Status vs Estimates - Detailed-10-13-01" xfId="1439"/>
    <cellStyle name="0_August RMS Status vs Estimates_(120) Forecast Package FINAL p1 6" xfId="1440"/>
    <cellStyle name="0_AUSTRIA" xfId="1441"/>
    <cellStyle name="0_AUSTRIA 011002" xfId="1442"/>
    <cellStyle name="0_AUSTRIA 011002 2" xfId="1443"/>
    <cellStyle name="0_AUSTRIA 2" xfId="1444"/>
    <cellStyle name="0_Austria December graph" xfId="1445"/>
    <cellStyle name="0_Austria December graph 2" xfId="1446"/>
    <cellStyle name="0_Austria November graph" xfId="1447"/>
    <cellStyle name="0_Austria November graph 2" xfId="1448"/>
    <cellStyle name="0_Austria_1" xfId="1449"/>
    <cellStyle name="0_Austria_1 2" xfId="1450"/>
    <cellStyle name="0_Austria_1_June 18th v4" xfId="1451"/>
    <cellStyle name="0_Austria_1_June 18th v4 2" xfId="1452"/>
    <cellStyle name="0_AvgRev_U387_PA_Jun24 (6-28 PMCM Review) 3-Series" xfId="1453"/>
    <cellStyle name="0_AvgRev_U387_PA_Jun24 (6-28 PMCM Review) 3-Series 2" xfId="1454"/>
    <cellStyle name="0_AvgRev_U387_SA_Aug21" xfId="1455"/>
    <cellStyle name="0_AvgRev_U387_SA_Aug21 2" xfId="1456"/>
    <cellStyle name="0_AvgRev_U387_SA_Aug25" xfId="1457"/>
    <cellStyle name="0_AvgRev_U387_SA_Aug25 2" xfId="1458"/>
    <cellStyle name="0_AvgRev_U387_SA_Sep22" xfId="1459"/>
    <cellStyle name="0_AvgRev_U387_SA_Sep22 2" xfId="1460"/>
    <cellStyle name="0_AvgRev_U388_SA_Aug18" xfId="1461"/>
    <cellStyle name="0_AvgRev_U388_SA_Aug18 2" xfId="1462"/>
    <cellStyle name="0_Aviator Contribution Cost Walk" xfId="1463"/>
    <cellStyle name="0_Aviator-PaymentWalks" xfId="1464"/>
    <cellStyle name="0_Aviator-PaymentWalks 2" xfId="1465"/>
    <cellStyle name="0_AviatorU251-SISC-VMUpdate" xfId="1466"/>
    <cellStyle name="0_AviatorU251-SISC-VMUpdate 2" xfId="1467"/>
    <cellStyle name="0_AZDX Plan Historical Data" xfId="1468"/>
    <cellStyle name="0_AZDX Plan Historical Data 2" xfId="1469"/>
    <cellStyle name="0_B.Clemens.Backup.v3" xfId="1470"/>
    <cellStyle name="0_B.Clemens.Backup.v3 2" xfId="1471"/>
    <cellStyle name="0_B.Clemens.Backup.v3_(120) Forecast Package FINAL p1 6" xfId="1472"/>
    <cellStyle name="0_B.Clemens.Backup.v3_(120) Forecast Package FINAL p1 6 2" xfId="1473"/>
    <cellStyle name="0_b_car" xfId="1474"/>
    <cellStyle name="0_B2XX_June_SOMP_Draft_1" xfId="1475"/>
    <cellStyle name="0_B2XX_June_SOMP_Draft_1 2" xfId="1476"/>
    <cellStyle name="0_B2XXAugSOMPGlidepathNewvsAugSOMP" xfId="1477"/>
    <cellStyle name="0_B2XXAugSOMPGlidepathNewvsAugSOMP 2" xfId="1478"/>
    <cellStyle name="0_B2XXJanuary2002SOMPGlidepathNew" xfId="1479"/>
    <cellStyle name="0_B2XXJanuary2002SOMPGlidepathNew 2" xfId="1480"/>
    <cellStyle name="0_B2XXJulySOMPGlidepathNew" xfId="1481"/>
    <cellStyle name="0_B2XXJulySOMPGlidepathNew 2" xfId="1482"/>
    <cellStyle name="0_B2XXOctoberSOMPGlidepathNew" xfId="1483"/>
    <cellStyle name="0_B2XXOctoberSOMPGlidepathNew 2" xfId="1484"/>
    <cellStyle name="0_B2XXSeptSOMPGlidepathNewvsAugSOMP" xfId="1485"/>
    <cellStyle name="0_B2XXSeptSOMPGlidepathNewvsAugSOMP 2" xfId="1486"/>
    <cellStyle name="0_B2XXSOMPGlidepath_01_05" xfId="1487"/>
    <cellStyle name="0_B2XXSOMPGlidepath_01_05 2" xfId="1488"/>
    <cellStyle name="0_Backup of na production volumes" xfId="1489"/>
    <cellStyle name="0_Backup of na production volumes_(120) Forecast Package FINAL p1 6" xfId="1490"/>
    <cellStyle name="0_Backup of na production volumes_2000canadaslides" xfId="1491"/>
    <cellStyle name="0_Backup of na production volumes_2000canadaslides_(120) Forecast Package FINAL p1 6" xfId="1492"/>
    <cellStyle name="0_Backup of na production volumes_2000canadaslides_651" xfId="1493"/>
    <cellStyle name="0_Backup of na production volumes_2000canadaslides_651_(120) Forecast Package FINAL p1 6" xfId="1494"/>
    <cellStyle name="0_Backup of na production volumes_2001 111" xfId="1495"/>
    <cellStyle name="0_Backup of na production volumes_2001 111_(120) Forecast Package FINAL p1 6" xfId="1496"/>
    <cellStyle name="0_Backup of na production volumes_2001 210a" xfId="1497"/>
    <cellStyle name="0_Backup of na production volumes_2001 210a_(120) Forecast Package FINAL p1 6" xfId="1498"/>
    <cellStyle name="0_Backup of na production volumes_2001psc728" xfId="1499"/>
    <cellStyle name="0_Backup of na production volumes_2001psc728_(120) Forecast Package FINAL p1 6" xfId="1500"/>
    <cellStyle name="0_Backup of na production volumes_acsg2001" xfId="1501"/>
    <cellStyle name="0_Backup of na production volumes_acsg2001_(120) Forecast Package FINAL p1 6" xfId="1502"/>
    <cellStyle name="0_Backup of na production volumes_appen" xfId="1503"/>
    <cellStyle name="0_Backup of na production volumes_appen_(120) Forecast Package FINAL p1 6" xfId="1504"/>
    <cellStyle name="0_Backup of na production volumes_AprilIMIOCM" xfId="1505"/>
    <cellStyle name="0_Backup of na production volumes_AprilIMIOCM_(120) Forecast Package FINAL p1 6" xfId="1506"/>
    <cellStyle name="0_Backup of na production volumes_Book2" xfId="1507"/>
    <cellStyle name="0_Backup of na production volumes_Book2_(120) Forecast Package FINAL p1 6" xfId="1508"/>
    <cellStyle name="0_Backup of na production volumes_Can_Sat" xfId="1509"/>
    <cellStyle name="0_Backup of na production volumes_Can_Sat_(120) Forecast Package FINAL p1 6" xfId="1510"/>
    <cellStyle name="0_Backup of na production volumes_Credit(111)" xfId="1511"/>
    <cellStyle name="0_Backup of na production volumes_Credit(111)_(120) Forecast Package FINAL p1 6" xfId="1512"/>
    <cellStyle name="0_Backup of na production volumes_Credit(210)" xfId="1513"/>
    <cellStyle name="0_Backup of na production volumes_Credit(210)_(120) Forecast Package FINAL p1 6" xfId="1514"/>
    <cellStyle name="0_Backup of na production volumes_ECM 651" xfId="1515"/>
    <cellStyle name="0_Backup of na production volumes_ECM 651_(120) Forecast Package FINAL p1 6" xfId="1516"/>
    <cellStyle name="0_Backup of na production volumes_ecmdeck647" xfId="1517"/>
    <cellStyle name="0_Backup of na production volumes_ecmdeck647_(120) Forecast Package FINAL p1 6" xfId="1518"/>
    <cellStyle name="0_Backup of na production volumes_LMECM 650" xfId="1519"/>
    <cellStyle name="0_Backup of na production volumes_LMECM 650_(120) Forecast Package FINAL p1 6" xfId="1520"/>
    <cellStyle name="0_Backup of na production volumes_South America Metrics for MS 1p11" xfId="1521"/>
    <cellStyle name="0_Backup of na production volumes_South America Metrics for MS 1p11_(120) Forecast Package FINAL p1 6" xfId="1522"/>
    <cellStyle name="0_Backup of na production volumes_South America Metrics for MS 2p10" xfId="1523"/>
    <cellStyle name="0_Backup of na production volumes_South America Metrics for MS 2p10_(120) Forecast Package FINAL p1 6" xfId="1524"/>
    <cellStyle name="0_Backup of na production volumes_US_Meeting_1112001" xfId="1525"/>
    <cellStyle name="0_Backup of na production volumes_US_Meeting_1112001_(120) Forecast Package FINAL p1 6" xfId="1526"/>
    <cellStyle name="0_Backup of na production volumes_US_Meeting_1112001March" xfId="1527"/>
    <cellStyle name="0_Backup of na production volumes_US_Meeting_1112001March_(120) Forecast Package FINAL p1 6" xfId="1528"/>
    <cellStyle name="0_BaseGlidePath_May-02" xfId="1529"/>
    <cellStyle name="0_BaseGlidePath_May-02_(120) Forecast Package FINAL p1 6" xfId="1530"/>
    <cellStyle name="0_BE91 75ps" xfId="1531"/>
    <cellStyle name="0_Belgium December graph" xfId="1532"/>
    <cellStyle name="0_Belgium December graph 2" xfId="1533"/>
    <cellStyle name="0_Belgium November graph" xfId="1534"/>
    <cellStyle name="0_Belgium November graph 2" xfId="1535"/>
    <cellStyle name="0_Belgium November graph_June 18th v4" xfId="1536"/>
    <cellStyle name="0_Belgium November graph_June 18th v4 2" xfId="1537"/>
    <cellStyle name="0_bf101001" xfId="1538"/>
    <cellStyle name="0_bf101001 2" xfId="1539"/>
    <cellStyle name="0_Big graph" xfId="1540"/>
    <cellStyle name="0_Big graph 2" xfId="1541"/>
    <cellStyle name="0_Big graph_Page 1f" xfId="1542"/>
    <cellStyle name="0_Big graph_Page 1f 2" xfId="1543"/>
    <cellStyle name="0_BIT#7 Walk v10 9-22-05" xfId="1544"/>
    <cellStyle name="0_BIT#7 Walk v10 9-22-05 2" xfId="1545"/>
    <cellStyle name="0_Bluetooth Business Case 8_21_SC1(approved)" xfId="1546"/>
    <cellStyle name="0_Bluetooth Business Case 8_21_SC1(approved) 2" xfId="1547"/>
    <cellStyle name="0_Bluetooth financials - Business Case41" xfId="1548"/>
    <cellStyle name="0_Book1" xfId="1549"/>
    <cellStyle name="0_Book1 2" xfId="1550"/>
    <cellStyle name="0_Book1_(120) Forecast Package FINAL p1 6" xfId="1551"/>
    <cellStyle name="0_Book1_(120) Forecast Package FINAL p1 6 2" xfId="1552"/>
    <cellStyle name="0_Book1_07 to 08MY Escape (3)" xfId="1553"/>
    <cellStyle name="0_Book1_07 to 08MY Escape (3) 2" xfId="1554"/>
    <cellStyle name="0_Book1_08MY Escape 2005 Bus. Plan MktEqn 8_4" xfId="1555"/>
    <cellStyle name="0_Book1_08MY Escape 2005 Bus. Plan MktEqn 8_4 2" xfId="1556"/>
    <cellStyle name="0_Book1_08MY Escape MktEqn Final 09 PSC" xfId="1557"/>
    <cellStyle name="0_Book1_08MY Escape MktEqn Final 09 PSC 2" xfId="1558"/>
    <cellStyle name="0_Book1_08MY Price Strategy Fusion Milan Master Deck Sync" xfId="1559"/>
    <cellStyle name="0_Book1_08MY Price Strategy Fusion Milan Master Deck Sync 2" xfId="1560"/>
    <cellStyle name="0_Book1_09 Escape PSC backup 3_2" xfId="1561"/>
    <cellStyle name="0_Book1_09 Escape PSC backup 3_2 2" xfId="1562"/>
    <cellStyle name="0_Book1_1" xfId="1563"/>
    <cellStyle name="0_Book1_1 2" xfId="1564"/>
    <cellStyle name="0_Book1_1_June 18th v4" xfId="1565"/>
    <cellStyle name="0_Book1_1_June 18th v4 2" xfId="1566"/>
    <cellStyle name="0_Book1_'11MY PA Status _mini BP submission_7_9_08" xfId="1567"/>
    <cellStyle name="0_Book1_2006MY Escape Pkg-Price Strategy 4 pager v3.7 - FINAL - Main" xfId="1568"/>
    <cellStyle name="0_Book1_2006MY Escape Pkg-Price Strategy 4 pager v3.7 - FINAL - Main 2" xfId="1569"/>
    <cellStyle name="0_Book1_2007 Lexus Deck Ver 1 0 (2)" xfId="1570"/>
    <cellStyle name="0_Book1_2007 Lexus Deck Ver 1 0 (2) 2" xfId="1571"/>
    <cellStyle name="0_Book1_2007MY Escape &amp; Mariner Price Strategy_2-Pager_v5 (Offsite)" xfId="1572"/>
    <cellStyle name="0_Book1_2007MY Escape &amp; Mariner Price Strategy_2-Pager_v5 (Offsite) 2" xfId="1573"/>
    <cellStyle name="0_Book1_2007MY Expedition 4 Pager - 13-14% Margin - 3-16-06 AG Review " xfId="1574"/>
    <cellStyle name="0_Book1_2007MY Expedition 4 Pager - 13-14% Margin - 3-16-06 AG Review  2" xfId="1575"/>
    <cellStyle name="0_Book1_2007MY Navigator 4 Pager - Latest - 2K Ultimate - 3-16-06 AG Review " xfId="1576"/>
    <cellStyle name="0_Book1_2007MY Navigator 4 Pager - Latest - 2K Ultimate - 3-16-06 AG Review  2" xfId="1577"/>
    <cellStyle name="0_Book1_2007MY Pricing Review - Navigator Showroom Spider" xfId="1578"/>
    <cellStyle name="0_Book1_2007MY Pricing Review - Navigator Showroom Spider 2" xfId="1579"/>
    <cellStyle name="0_Book1_2007MY Pricing Review - Showroom Spider - 10-11-05 Revised" xfId="1580"/>
    <cellStyle name="0_Book1_2007MY Pricing Review - Showroom Spider - 10-11-05 Revised 2" xfId="1581"/>
    <cellStyle name="0_Book1_2008MY Thermometer Charts - updated with Tims EACs - vs 07MY Competition - Jan 2007" xfId="1582"/>
    <cellStyle name="0_Book1_2008MY Thermometer Charts - updated with Tims EACs - vs 07MY Competition - Jan 2007 2" xfId="1583"/>
    <cellStyle name="0_Book1_2009MY U377 PS PSRM" xfId="1584"/>
    <cellStyle name="0_Book1_2009MY U377 PS PSRM 2" xfId="1585"/>
    <cellStyle name="0_Book1_April 2004 Somp Deck" xfId="1586"/>
    <cellStyle name="0_Book1_April 2004 Somp Deck 2" xfId="1587"/>
    <cellStyle name="0_Book1_ARM 151004 DRAFT" xfId="1588"/>
    <cellStyle name="0_Book1_ARM 1-page - 48 CSV Input (DRAFT 27May)1" xfId="1589"/>
    <cellStyle name="0_Book1_ARM 1-page - 48 CSV Input (DRAFT 27May)1 2" xfId="1590"/>
    <cellStyle name="0_Book1_ARM Fixed Marketing 2004 102 Forecast" xfId="1591"/>
    <cellStyle name="0_Book1_ARM Fixed Marketing 2004 102 Forecast 2" xfId="1592"/>
    <cellStyle name="0_Book1_ARM Fixed Marketing 2004 84 Forecast" xfId="1593"/>
    <cellStyle name="0_Book1_ARM Fixed Marketing 2004 84 Forecast 2" xfId="1594"/>
    <cellStyle name="0_Book1_ARM Input 75" xfId="1595"/>
    <cellStyle name="0_Book1_ARM Input 75 2" xfId="1596"/>
    <cellStyle name="0_Book1_ARM Report 30-09-041" xfId="1597"/>
    <cellStyle name="0_Book1_ARM Report 30-09-041 2" xfId="1598"/>
    <cellStyle name="0_Book1_ARM Report 30-09-04Final" xfId="1599"/>
    <cellStyle name="0_Book1_ARM Report 30-09-04Final 2" xfId="1600"/>
    <cellStyle name="0_Book1_ARM-FCSD-(75)" xfId="1601"/>
    <cellStyle name="0_Book1_ARM-FCSD-(75) 2" xfId="1602"/>
    <cellStyle name="0_Book1_ARM-FCSD-(93)" xfId="1603"/>
    <cellStyle name="0_Book1_ARM-FCSD-(93) 2" xfId="1604"/>
    <cellStyle name="0_Book1_Book31" xfId="1605"/>
    <cellStyle name="0_Book1_Book31 2" xfId="1606"/>
    <cellStyle name="0_Book1_Brand Premium Summary" xfId="1607"/>
    <cellStyle name="0_Book1_Brand Premium Summary 1112205" xfId="1608"/>
    <cellStyle name="0_Book1_Brand Premium Summary 1112205 2" xfId="1609"/>
    <cellStyle name="0_Book1_Brand Premium Summary 2" xfId="1610"/>
    <cellStyle name="0_Book1_C307 August SoMP deck2" xfId="1611"/>
    <cellStyle name="0_Book1_C307 August SoMP deck2 2" xfId="1612"/>
    <cellStyle name="0_Book1_C307 September SoMP deck" xfId="1613"/>
    <cellStyle name="0_Book1_C307 September SoMP deck 2" xfId="1614"/>
    <cellStyle name="0_Book1_CD378 PA 10-9-03 - PA var Mktg" xfId="1615"/>
    <cellStyle name="0_Book1_CD378 PA 10-9-03 - PA var Mktg 2" xfId="1616"/>
    <cellStyle name="0_Book1_CD378 PR 1-21-04" xfId="1617"/>
    <cellStyle name="0_Book1_CD378 PR 1-21-04 2" xfId="1618"/>
    <cellStyle name="0_Book1_CSV (84) Status" xfId="1619"/>
    <cellStyle name="0_Book1_CSV (84) Status 2" xfId="1620"/>
    <cellStyle name="0_Book1_CSV 1-pager" xfId="1621"/>
    <cellStyle name="0_Book1_CSV 1-pager (2)" xfId="1622"/>
    <cellStyle name="0_Book1_CSV 1-pager (2) 2" xfId="1623"/>
    <cellStyle name="0_Book1_CSV 1-pager 2" xfId="1624"/>
    <cellStyle name="0_Book1_CSV 1-pager 3" xfId="1625"/>
    <cellStyle name="0_Book1_CSV 1-pager 4" xfId="1626"/>
    <cellStyle name="0_Book1_CSV 1-pager 5" xfId="1627"/>
    <cellStyle name="0_Book1_CSV 1-pager 6" xfId="1628"/>
    <cellStyle name="0_Book1_CSV 1-pager 7" xfId="1629"/>
    <cellStyle name="0_Book1_CSV 1-pager 8" xfId="1630"/>
    <cellStyle name="0_Book1_CSV Page (84)" xfId="1631"/>
    <cellStyle name="0_Book1_CSV Page (84) 2" xfId="1632"/>
    <cellStyle name="0_Book1_D333L(h)" xfId="1633"/>
    <cellStyle name="0_Book1_D333L(h) 2" xfId="1634"/>
    <cellStyle name="0_Book1_D333L(KO Final)" xfId="1635"/>
    <cellStyle name="0_Book1_D333L(KO Final) 2" xfId="1636"/>
    <cellStyle name="0_Book1_Expedition 2006MY Price Strategy_FINAL" xfId="1637"/>
    <cellStyle name="0_Book1_Expedition 2006MY Price Strategy_FINAL 2" xfId="1638"/>
    <cellStyle name="0_Book1_FINAL October Proposal -- Lyons" xfId="1639"/>
    <cellStyle name="0_Book1_FINAL October Proposal -- Lyons 2" xfId="1640"/>
    <cellStyle name="0_Book1_Finance_May 2004 Somp Deck" xfId="1641"/>
    <cellStyle name="0_Book1_Finance_May 2004 Somp Deck 2" xfId="1642"/>
    <cellStyle name="0_Book1_FM 1-pager" xfId="1643"/>
    <cellStyle name="0_Book1_FM 1-pager 2" xfId="1644"/>
    <cellStyle name="0_Book1_Fusion and Milan Price Strategy_2-Pager --Summary Deck" xfId="1645"/>
    <cellStyle name="0_Book1_Fusion and Milan Price Strategy_2-Pager --Summary Deck 2" xfId="1646"/>
    <cellStyle name="0_Book1_Inventory 1-pager" xfId="1647"/>
    <cellStyle name="0_Book1_Inventory 1-pager 2" xfId="1648"/>
    <cellStyle name="0_Book1_Inventory at 210" xfId="1649"/>
    <cellStyle name="0_Book1_Inventory at 210 2" xfId="1650"/>
    <cellStyle name="0_Book1_Inventory at 4+8" xfId="1651"/>
    <cellStyle name="0_Book1_Inventory at 4+8 2" xfId="1652"/>
    <cellStyle name="0_Book1_July 2004 Somp PD Cont Margin Review" xfId="1653"/>
    <cellStyle name="0_Book1_July 2004 Somp PD Cont Margin Review 2" xfId="1654"/>
    <cellStyle name="0_Book1_June 18th v4" xfId="1655"/>
    <cellStyle name="0_Book1_March 2004 Somp Deck2 - After Margin Meeting" xfId="1656"/>
    <cellStyle name="0_Book1_March 2004 Somp Deck2 - After Margin Meeting 2" xfId="1657"/>
    <cellStyle name="0_Book1_March 2004 Somp Deck3 - March 22 2004" xfId="1658"/>
    <cellStyle name="0_Book1_March 2004 Somp Deck3 - March 22 2004 2" xfId="1659"/>
    <cellStyle name="0_Book1_Market Equation Reconciliation - 2005BP Status vs PA - Expedition Navigator - MC Review" xfId="1660"/>
    <cellStyle name="0_Book1_Market Equation Reconciliation - 2005BP Status vs PA - Expedition Navigator - MC Review 2" xfId="1661"/>
    <cellStyle name="0_Book1_Mix Master File" xfId="1662"/>
    <cellStyle name="0_Book1_Mix Master File 2" xfId="1663"/>
    <cellStyle name="0_Book1_Mountaineer Trim Spider 10.27.04 REVISED 11.03.04 MTG W PG" xfId="1664"/>
    <cellStyle name="0_Book1_Mountaineer Trim Spider 10.27.04 REVISED 11.03.04 MTG W PG 2" xfId="1665"/>
    <cellStyle name="0_Book1_Navigator 2006MY Price Strategy_FINAL" xfId="1666"/>
    <cellStyle name="0_Book1_Navigator 2006MY Price Strategy_FINAL 2" xfId="1667"/>
    <cellStyle name="0_Book1_PA1_SI(updated3_26_04)VM&amp;ProfitImprovements" xfId="1668"/>
    <cellStyle name="0_Book1_PA1_SI(updated3_26_04)VM&amp;ProfitImprovements 2" xfId="1669"/>
    <cellStyle name="0_Book1_PMM Finance Slides Excel Backup_v15 " xfId="1670"/>
    <cellStyle name="0_Book1_PMM Finance Slides Excel Backup_v15  2" xfId="1671"/>
    <cellStyle name="0_Book1_Pool Car Directive Summary Status 31May" xfId="1672"/>
    <cellStyle name="0_Book1_Pool Car Directive Summary Status 31May 2" xfId="1673"/>
    <cellStyle name="0_Book1_PSRM Backup Slides" xfId="1674"/>
    <cellStyle name="0_Book1_PSRM Backup Slides 2" xfId="1675"/>
    <cellStyle name="0_Book1_Sept SoMP" xfId="1676"/>
    <cellStyle name="0_Book1_Sept SoMP 2" xfId="1677"/>
    <cellStyle name="0_Book1_Sister Vehicle EAC" xfId="1678"/>
    <cellStyle name="0_Book1_Sister Vehicle EAC 2" xfId="1679"/>
    <cellStyle name="0_Book1_Status Update 10-19-05" xfId="1680"/>
    <cellStyle name="0_Book1_Status Update 10-19-05 2" xfId="1681"/>
    <cellStyle name="0_Book1_SUV wheelbase Premium Summary" xfId="1682"/>
    <cellStyle name="0_Book1_SUV wheelbase Premium Summary 2" xfId="1683"/>
    <cellStyle name="0_Book1_TRANS PRICE RELATIONSHIPS12" xfId="1684"/>
    <cellStyle name="0_Book1_TRANS PRICE RELATIONSHIPS12 2" xfId="1685"/>
    <cellStyle name="0_Book1_Transaction Price Futuring for PST Milestone 072506" xfId="1686"/>
    <cellStyle name="0_Book1_Transaction Price Futuring for PST Milestone 072506 2" xfId="1687"/>
    <cellStyle name="0_Book1_Trim Spiders Proposed" xfId="1688"/>
    <cellStyle name="0_Book1_Trim Spiders Proposed 2" xfId="1689"/>
    <cellStyle name="0_Book1_U377 MBO PA - Study Response MP&amp;L 9-3-04 " xfId="1690"/>
    <cellStyle name="0_Book1_U388 2 Series Nav" xfId="1691"/>
    <cellStyle name="0_Book1_U388 2 Series Nav 2" xfId="1692"/>
    <cellStyle name="0_Book1_YE Walk (75 to 84)" xfId="1693"/>
    <cellStyle name="0_Book1_YE Walk (75 to 84) 2" xfId="1694"/>
    <cellStyle name="0_Book10" xfId="1695"/>
    <cellStyle name="0_Book10 2" xfId="1696"/>
    <cellStyle name="0_Book12" xfId="1697"/>
    <cellStyle name="0_Book12 2" xfId="1698"/>
    <cellStyle name="0_Book12_U377 MBO PA - Study Response MP&amp;L 9-3-04 " xfId="1699"/>
    <cellStyle name="0_Book2" xfId="1700"/>
    <cellStyle name="0_Book2 2" xfId="1701"/>
    <cellStyle name="0_Book2_(120) Forecast Package FINAL p1 6" xfId="1702"/>
    <cellStyle name="0_Book2_07 to 08MY Escape (3)" xfId="1703"/>
    <cellStyle name="0_Book2_08MY Escape 2005 Bus. Plan MktEqn 8_4" xfId="1704"/>
    <cellStyle name="0_Book2_08MY Escape 2005 Bus. Plan MktEqn 8_4 2" xfId="1705"/>
    <cellStyle name="0_Book2_08MY Escape MktEqn Final 09 PSC" xfId="1706"/>
    <cellStyle name="0_Book2_08MY Escape MktEqn Final 09 PSC 2" xfId="1707"/>
    <cellStyle name="0_Book2_08MY Price Strategy Fusion Milan Master Deck Sync" xfId="1708"/>
    <cellStyle name="0_Book2_09 Escape PSC backup 3_2" xfId="1709"/>
    <cellStyle name="0_Book2_1" xfId="1710"/>
    <cellStyle name="0_Book2_1 2" xfId="1711"/>
    <cellStyle name="0_Book2_1_(120) Forecast Package FINAL p1 6" xfId="1712"/>
    <cellStyle name="0_Book2_1_(120) Forecast Package FINAL p1 6 2" xfId="1713"/>
    <cellStyle name="0_Book2_1_2012 U22X P525 PS Study Matrix 1-27-08 " xfId="1714"/>
    <cellStyle name="0_Book2_'11MY PA Status _mini BP submission_7_9_08" xfId="1715"/>
    <cellStyle name="0_Book2_2006 Trends 05-15-06 rev1" xfId="1716"/>
    <cellStyle name="0_Book2_2006 Trends 05-15-06 rev1 2" xfId="1717"/>
    <cellStyle name="0_Book2_2006MY Escape Pkg-Price Strategy 4 pager v3.7 - FINAL - Main" xfId="1718"/>
    <cellStyle name="0_Book2_2007 Concern tracker 05-02-2005 " xfId="1719"/>
    <cellStyle name="0_Book2_2007 Concern tracker 05-02-2005  2" xfId="1720"/>
    <cellStyle name="0_Book2_2007 Lexus Deck Ver 1 0 (2)" xfId="1721"/>
    <cellStyle name="0_Book2_2007MY Escape &amp; Mariner Price Strategy_2-Pager_v5 (Offsite)" xfId="1722"/>
    <cellStyle name="0_Book2_2007MY Expedition 4 Pager - 13-14% Margin - 3-16-06 AG Review " xfId="1723"/>
    <cellStyle name="0_Book2_2007MY Navigator 4 Pager - Latest - 2K Ultimate - 3-16-06 AG Review " xfId="1724"/>
    <cellStyle name="0_Book2_2007MY Pricing Review - Navigator Showroom Spider" xfId="1725"/>
    <cellStyle name="0_Book2_2007MY Pricing Review - Showroom Spider - 10-11-05 Revised" xfId="1726"/>
    <cellStyle name="0_Book2_2008MY Thermometer Charts - updated with Tims EACs - vs 07MY Competition - Jan 2007" xfId="1727"/>
    <cellStyle name="0_Book2_2009MY U377 PS PSRM" xfId="1728"/>
    <cellStyle name="0_Book2_4+8_ED&amp;TLevels" xfId="1729"/>
    <cellStyle name="0_Book2_4+8_ED&amp;TLevels 2" xfId="1730"/>
    <cellStyle name="0_Book2_Book31" xfId="1731"/>
    <cellStyle name="0_Book2_Book31 2" xfId="1732"/>
    <cellStyle name="0_Book2_Brand Premium Summary" xfId="1733"/>
    <cellStyle name="0_Book2_Brand Premium Summary 1112205" xfId="1734"/>
    <cellStyle name="0_Book2_Brand Premium Summary 1112205 2" xfId="1735"/>
    <cellStyle name="0_Book2_Brand Premium Summary 2" xfId="1736"/>
    <cellStyle name="0_Book2_CPARSOrders_111507" xfId="1737"/>
    <cellStyle name="0_Book2_CPARSOrders_111507 2" xfId="1738"/>
    <cellStyle name="0_Book2_EDT_Fcst732" xfId="1739"/>
    <cellStyle name="0_Book2_Expedition 2006MY Price Strategy_FINAL" xfId="1740"/>
    <cellStyle name="0_Book2_FINAL October Proposal -- Lyons" xfId="1741"/>
    <cellStyle name="0_Book2_FINAL October Proposal -- Lyons 2" xfId="1742"/>
    <cellStyle name="0_Book2_Fusion and Milan Price Strategy_2-Pager --Summary Deck" xfId="1743"/>
    <cellStyle name="0_Book2_June 18th v4" xfId="1744"/>
    <cellStyle name="0_Book2_Market Equation Reconciliation - 2005BP Status vs PA - Expedition Navigator - MC Review" xfId="1745"/>
    <cellStyle name="0_Book2_Market Equation Reconciliation - 2005BP Status vs PA - Expedition Navigator - MC Review 2" xfId="1746"/>
    <cellStyle name="0_Book2_Mini-Plan EDT estimate (3)" xfId="1747"/>
    <cellStyle name="0_Book2_Mini-Plan EDT estimate (3) 2" xfId="1748"/>
    <cellStyle name="0_Book2_Mini-Plan EDT estimate (4)" xfId="1749"/>
    <cellStyle name="0_Book2_Mini-Plan EDT estimate (4) 2" xfId="1750"/>
    <cellStyle name="0_Book2_Mini-Plan EDT estimate_04_11" xfId="1751"/>
    <cellStyle name="0_Book2_Mini-Plan EDT estimate_04_11 (2)" xfId="1752"/>
    <cellStyle name="0_Book2_Mini-Plan EDT estimate_04_11 (2) 2" xfId="1753"/>
    <cellStyle name="0_Book2_Mini-Plan EDT estimate_04_11 2" xfId="1754"/>
    <cellStyle name="0_Book2_Mini-Plan EDT estimate_04_11 3" xfId="1755"/>
    <cellStyle name="0_Book2_Mini-Plan EDT estimate_04_11 4" xfId="1756"/>
    <cellStyle name="0_Book2_Mini-Plan EDT estimate_04_11 5" xfId="1757"/>
    <cellStyle name="0_Book2_Mini-Plan EDT estimate_04_11 6" xfId="1758"/>
    <cellStyle name="0_Book2_Mini-Plan EDT estimate_04_11 7" xfId="1759"/>
    <cellStyle name="0_Book2_Mini-Plan EDT estimate_04_11 8" xfId="1760"/>
    <cellStyle name="0_Book2_Mix Master File" xfId="1761"/>
    <cellStyle name="0_Book2_Monthly Cost Review Dec" xfId="1762"/>
    <cellStyle name="0_Book2_Mountaineer Trim Spider 10.27.04 REVISED 11.03.04 MTG W PG" xfId="1763"/>
    <cellStyle name="0_Book2_Mountaineer Trim Spider 10.27.04 REVISED 11.03.04 MTG W PG 2" xfId="1764"/>
    <cellStyle name="0_Book2_Navigator 2006MY Price Strategy_FINAL" xfId="1765"/>
    <cellStyle name="0_Book2_PSRM Backup Slides" xfId="1766"/>
    <cellStyle name="0_Book2_Sept SoMP" xfId="1767"/>
    <cellStyle name="0_Book2_Sept SoMP 2" xfId="1768"/>
    <cellStyle name="0_Book2_Sister Vehicle EAC" xfId="1769"/>
    <cellStyle name="0_Book2_Status Update 10-19-05" xfId="1770"/>
    <cellStyle name="0_Book2_Status Update 10-19-05 2" xfId="1771"/>
    <cellStyle name="0_Book2_SUV wheelbase Premium Summary" xfId="1772"/>
    <cellStyle name="0_Book2_SUV wheelbase Premium Summary 2" xfId="1773"/>
    <cellStyle name="0_Book2_TRANS PRICE RELATIONSHIPS12" xfId="1774"/>
    <cellStyle name="0_Book2_TRANS PRICE RELATIONSHIPS12 2" xfId="1775"/>
    <cellStyle name="0_Book2_Transaction Price Futuring for PST Milestone 072506" xfId="1776"/>
    <cellStyle name="0_Book2_Transaction Price Futuring for PST Milestone 072506 2" xfId="1777"/>
    <cellStyle name="0_Book2_Trim Spiders Proposed" xfId="1778"/>
    <cellStyle name="0_Book2_Trim Spiders Proposed 2" xfId="1779"/>
    <cellStyle name="0_Book2_U377 MBO PA - Study Response MP&amp;L 9-3-04 " xfId="1780"/>
    <cellStyle name="0_Book2_U388 2 Series Nav" xfId="1781"/>
    <cellStyle name="0_Book2_U388 2 Series Nav 2" xfId="1782"/>
    <cellStyle name="0_Book3" xfId="1783"/>
    <cellStyle name="0_Book3 2" xfId="1784"/>
    <cellStyle name="0_Book3_'11MY PA Status _mini BP submission_7_9_08" xfId="1785"/>
    <cellStyle name="0_Book3_'11MY PA Status _mini BP submission_7_9_08 2" xfId="1786"/>
    <cellStyle name="0_Book3_2005 Operating Cash Flow Task incl PAG detail 210 update6" xfId="1787"/>
    <cellStyle name="0_Book3_2005 Operating Cash Flow Task incl PAG detail 210 update6 2" xfId="1788"/>
    <cellStyle name="0_Book3_June 18th v4" xfId="1789"/>
    <cellStyle name="0_Book3_June 18th v4 2" xfId="1790"/>
    <cellStyle name="0_Book31" xfId="1791"/>
    <cellStyle name="0_Book31 2" xfId="1792"/>
    <cellStyle name="0_Book31_1" xfId="1793"/>
    <cellStyle name="0_Book31_1 2" xfId="1794"/>
    <cellStyle name="0_Book4" xfId="1795"/>
    <cellStyle name="0_Book4 2" xfId="1796"/>
    <cellStyle name="0_Book5" xfId="1797"/>
    <cellStyle name="0_Book5 2" xfId="1798"/>
    <cellStyle name="0_Bordeaux" xfId="1799"/>
    <cellStyle name="0_Bordeaux 2" xfId="1800"/>
    <cellStyle name="0_Bordeaux_(120) Forecast Package FINAL p1 6" xfId="1801"/>
    <cellStyle name="0_Bordeaux_(120) Forecast Package FINAL p1 6 2" xfId="1802"/>
    <cellStyle name="0_BPSummary-L_M June CP Issue to Issue" xfId="1803"/>
    <cellStyle name="0_BPSummary-L_M June CP Issue to Issue 2" xfId="1804"/>
    <cellStyle name="0_BPSummary-L_M June CP Issue to Issue_(120) Forecast Package FINAL p1 6" xfId="1805"/>
    <cellStyle name="0_BPSummary-L_M June CP Issue to Issue_(120) Forecast Package FINAL p1 6 2" xfId="1806"/>
    <cellStyle name="0_Brand Premium Summary" xfId="1807"/>
    <cellStyle name="0_Brand Premium Summary 1112205" xfId="1808"/>
    <cellStyle name="0_Brand Premium Summary 1112205 2" xfId="1809"/>
    <cellStyle name="0_Brand Premium Summary 2" xfId="1810"/>
    <cellStyle name="0_Britain December graph" xfId="1811"/>
    <cellStyle name="0_Britain December graph 2" xfId="1812"/>
    <cellStyle name="0_Britain November graph" xfId="1813"/>
    <cellStyle name="0_Britain November graph 2" xfId="1814"/>
    <cellStyle name="0_Britain November graph_June 18th v4" xfId="1815"/>
    <cellStyle name="0_Britain November graph_June 18th v4 2" xfId="1816"/>
    <cellStyle name="0_Budget 2005_11-29-04_b" xfId="1817"/>
    <cellStyle name="0_Budget deck Jan 7" xfId="1818"/>
    <cellStyle name="0_Budget deck Jan 7 2" xfId="1819"/>
    <cellStyle name="0_Budget Packagerev0718" xfId="1820"/>
    <cellStyle name="0_Budget Performance --- Big Chunks" xfId="1821"/>
    <cellStyle name="0_Budget Performance --- Big Chunks 2" xfId="1822"/>
    <cellStyle name="0_Budget Sub. 7 28 03  Prototype Counts1" xfId="1823"/>
    <cellStyle name="0_Business Plan-stamping spending and assets" xfId="1824"/>
    <cellStyle name="0_Business Plan-stamping spending and assets 2" xfId="1825"/>
    <cellStyle name="0_Business Plan-stamping spending and assets_(120) Forecast Package FINAL p1 6" xfId="1826"/>
    <cellStyle name="0_Business Plan-stamping spending and assets_(120) Forecast Package FINAL p1 6 2" xfId="1827"/>
    <cellStyle name="0_BV226_1120" xfId="1828"/>
    <cellStyle name="0_BV226_1120 2" xfId="1829"/>
    <cellStyle name="0_BV226_1120_eng" xfId="1830"/>
    <cellStyle name="0_BV226_1120_eng 2" xfId="1831"/>
    <cellStyle name="0_BV226_11201" xfId="1832"/>
    <cellStyle name="0_BV226_11201 2" xfId="1833"/>
    <cellStyle name="0_BV226_Jan29_Incl_CP_Upd" xfId="1834"/>
    <cellStyle name="0_BV226_Jan29_Incl_CP_Upd 2" xfId="1835"/>
    <cellStyle name="0_BV226N Facer Pg Charts" xfId="1836"/>
    <cellStyle name="0_BV226N Facer Pg Charts 2" xfId="1837"/>
    <cellStyle name="0_BV226N Facer Pg Charts1" xfId="1838"/>
    <cellStyle name="0_BV226N Facer Pg Charts1 2" xfId="1839"/>
    <cellStyle name="0_C170 Mkt Eqn - A. Reberg - 2-23-04" xfId="1840"/>
    <cellStyle name="0_C170 Mkt Eqn - A. Reberg - 2-23-04 2" xfId="1841"/>
    <cellStyle name="0_C214 Cost Status July3 Glidepath" xfId="1842"/>
    <cellStyle name="0_C214 Cost Status July3 Glidepath 2" xfId="1843"/>
    <cellStyle name="0_C214 FS" xfId="1844"/>
    <cellStyle name="0_C214 July somp_roadmap 07b" xfId="1845"/>
    <cellStyle name="0_C214 July somp_roadmap 07b 2" xfId="1846"/>
    <cellStyle name="0_C214 somp_roadmap 18.II (July03)" xfId="1847"/>
    <cellStyle name="0_C214 somp_roadmap 18.II (July03) 2" xfId="1848"/>
    <cellStyle name="0_C214 somp_roadmap 19" xfId="1849"/>
    <cellStyle name="0_C214 somp_roadmap 19 -- SoMP $(100)" xfId="1850"/>
    <cellStyle name="0_C214 somp_roadmap 19 -- SoMP $(100) 2" xfId="1851"/>
    <cellStyle name="0_C214 somp_roadmap 19 2" xfId="1852"/>
    <cellStyle name="0_C214 somp_roadmap 19 3" xfId="1853"/>
    <cellStyle name="0_C214 somp_roadmap 19 4" xfId="1854"/>
    <cellStyle name="0_C214 somp_roadmap 19 5" xfId="1855"/>
    <cellStyle name="0_C214 somp_roadmap 19 6" xfId="1856"/>
    <cellStyle name="0_C214 somp_roadmap 19 7" xfId="1857"/>
    <cellStyle name="0_C214 somp_roadmap 19 8" xfId="1858"/>
    <cellStyle name="0_C214 somp_roadmap 21.1" xfId="1859"/>
    <cellStyle name="0_C214 somp_roadmap 21.1 2" xfId="1860"/>
    <cellStyle name="0_C214 somp_roadmap 21.1_C214FS_EOC" xfId="1861"/>
    <cellStyle name="0_C214 somp_roadmap 21.1_C214FS_EOC 2" xfId="1862"/>
    <cellStyle name="0_C214 somp_roadmap 21.1_DK Cost Review September15" xfId="1863"/>
    <cellStyle name="0_C214 somp_roadmap 21.1_DK Cost Review September15 2" xfId="1864"/>
    <cellStyle name="0_C214FS_EOC" xfId="1865"/>
    <cellStyle name="0_C214FS_EOC 2" xfId="1866"/>
    <cellStyle name="0_C307 Risk August 81" xfId="1867"/>
    <cellStyle name="0_C307 Risk August 81 2" xfId="1868"/>
    <cellStyle name="0_C307 Roadmap April 14" xfId="1869"/>
    <cellStyle name="0_C307 Roadmap April 14 2" xfId="1870"/>
    <cellStyle name="0_C307 Roadmap April 8 Final" xfId="1871"/>
    <cellStyle name="0_C307 Roadmap April 8 Final 2" xfId="1872"/>
    <cellStyle name="0_C307 Roadmap Jan 15 2" xfId="1873"/>
    <cellStyle name="0_C307 Roadmap Jan 15 2 2" xfId="1874"/>
    <cellStyle name="0_C307 Roadmap Jan 21 " xfId="1875"/>
    <cellStyle name="0_C307 Roadmap Jan 21  2" xfId="1876"/>
    <cellStyle name="0_C307 Roadmap Jan 22 " xfId="1877"/>
    <cellStyle name="0_C307 Roadmap Jan 22  2" xfId="1878"/>
    <cellStyle name="0_C307 Roadmap March 06 " xfId="1879"/>
    <cellStyle name="0_C307 Roadmap March 06  2" xfId="1880"/>
    <cellStyle name="0_C307 Roadmap March 11" xfId="1881"/>
    <cellStyle name="0_C307 Roadmap March 11 2" xfId="1882"/>
    <cellStyle name="0_C307 Roadmap March 31" xfId="1883"/>
    <cellStyle name="0_C307 Roadmap March 31 2" xfId="1884"/>
    <cellStyle name="0_C307 Roadmap May" xfId="1885"/>
    <cellStyle name="0_C307 Roadmap May 2" xfId="1886"/>
    <cellStyle name="0_C307 Roadmap May2" xfId="1887"/>
    <cellStyle name="0_C307 Roadmap May2 2" xfId="1888"/>
    <cellStyle name="0_C307 SoMP Deck July03" xfId="1889"/>
    <cellStyle name="0_C307 SoMP Deck July03 2" xfId="1890"/>
    <cellStyle name="0_C307 SoMP Roadmap July09" xfId="1891"/>
    <cellStyle name="0_C307 SoMP Roadmap July09 2" xfId="1892"/>
    <cellStyle name="0_Calendarised 2004 Budget Jag Input v4" xfId="1893"/>
    <cellStyle name="0_Calendarised 2004 Budget Jag Input v4 2" xfId="1894"/>
    <cellStyle name="0_Calendarised 2004 Budget LR Input v4" xfId="1895"/>
    <cellStyle name="0_Calendarised 2004 Budget LR Input v4 2" xfId="1896"/>
    <cellStyle name="0_Calendarised 2004 Budget v7 Update" xfId="1897"/>
    <cellStyle name="0_Calendarised 2004 Budget v7 Update 2" xfId="1898"/>
    <cellStyle name="0_Can_Sat" xfId="1899"/>
    <cellStyle name="0_Can_Sat_(120) Forecast Package FINAL p1 6" xfId="1900"/>
    <cellStyle name="0_Cap Spending  (02-11-02)" xfId="1901"/>
    <cellStyle name="0_Cap Spending  (02-11-02) 2" xfId="1902"/>
    <cellStyle name="0_Cap Spending  (02-11-02)_(120) Forecast Package FINAL p1 6" xfId="1903"/>
    <cellStyle name="0_Cap Spending  (02-11-02)_(120) Forecast Package FINAL p1 6 2" xfId="1904"/>
    <cellStyle name="0_Capless Fuel Fill Business Case Requirements 5-30-06 1pm VERSION WF28 (3)" xfId="1905"/>
    <cellStyle name="0_Capless Fuel Fill Business Case Requirements 5-30-06 1pm VERSION WF28 (3) 2" xfId="1906"/>
    <cellStyle name="0_Cap-Utilitization VO" xfId="1907"/>
    <cellStyle name="0_Cap-Utilitization VO 2" xfId="1908"/>
    <cellStyle name="0_Cap-Utilitization VO_(120) Forecast Package FINAL p1 6" xfId="1909"/>
    <cellStyle name="0_Cap-Utilitization VO_(120) Forecast Package FINAL p1 6 2" xfId="1910"/>
    <cellStyle name="0_Cartoons" xfId="1911"/>
    <cellStyle name="0_Cartoons 2" xfId="1912"/>
    <cellStyle name="0_Cash and Asset Meeting Deck 1201" xfId="1913"/>
    <cellStyle name="0_Cash and Asset Meeting Deck 1201 2" xfId="1914"/>
    <cellStyle name="0_Cash and Asset Meeting Deck 1201_June 18th v4" xfId="1915"/>
    <cellStyle name="0_Cash and Asset Meeting Deck 1201_June 18th v4 2" xfId="1916"/>
    <cellStyle name="0_Cash and Asset Meeting Deck 2004 (6+6)DRAFT" xfId="1917"/>
    <cellStyle name="0_Cash and Asset Meeting Deck 2004 (6+6)DRAFT 2" xfId="1918"/>
    <cellStyle name="0_Cash and Asset Meeting Deck 2004 (6+6)DRAFT_June 18th v4" xfId="1919"/>
    <cellStyle name="0_Cash and Asset Meeting Deck 2004 (6+6)DRAFT_June 18th v4 2" xfId="1920"/>
    <cellStyle name="0_Cash and Asset Meeting Deck 2004 (66)_Final" xfId="1921"/>
    <cellStyle name="0_Cash and Asset Meeting Deck 2004 (66)_Final 2" xfId="1922"/>
    <cellStyle name="0_Cash and Asset Meeting Deck 2004 (66)_Final_June 18th v4" xfId="1923"/>
    <cellStyle name="0_Cash and Asset Meeting Deck 2004 (66)_Final_June 18th v4 2" xfId="1924"/>
    <cellStyle name="0_Cash and Asset Meeting Deck 210" xfId="1925"/>
    <cellStyle name="0_Cash and Asset Meeting Deck 210 2" xfId="1926"/>
    <cellStyle name="0_Cash and Asset Meeting Deck 210_June 18th v4" xfId="1927"/>
    <cellStyle name="0_Cash and Asset Meeting Deck 210_June 18th v4 2" xfId="1928"/>
    <cellStyle name="0_Cash and Asset Meeting Deck 6+6_V1.1" xfId="1929"/>
    <cellStyle name="0_Cash and Asset Meeting Deck 6+6_V1.1 2" xfId="1930"/>
    <cellStyle name="0_Cash and Asset Meeting Deck 6+6_V1.1_June 18th v4" xfId="1931"/>
    <cellStyle name="0_Cash and Asset Meeting Deck 6+6_V1.1_June 18th v4 2" xfId="1932"/>
    <cellStyle name="0_Cash and Asset Meeting Deck 75_V1.1" xfId="1933"/>
    <cellStyle name="0_Cash and Asset Meeting Deck 75_V1.1 2" xfId="1934"/>
    <cellStyle name="0_Cash and Asset Meeting Deck 75_V1.1_June 18th v4" xfId="1935"/>
    <cellStyle name="0_Cash and Asset Meeting Deck 75_V1.1_June 18th v4 2" xfId="1936"/>
    <cellStyle name="0_Cash and Asset Meeting Deck 9+3" xfId="1937"/>
    <cellStyle name="0_Cash and Asset Meeting Deck 9+3 2" xfId="1938"/>
    <cellStyle name="0_Cash and Asset Meeting Deck 9+3_June 18th v4" xfId="1939"/>
    <cellStyle name="0_Cash and Asset Meeting Deck 9+3_June 18th v4 2" xfId="1940"/>
    <cellStyle name="0_Cash and Asset Meeting Deck July" xfId="1941"/>
    <cellStyle name="0_Cash and Asset Meeting Deck July 2" xfId="1942"/>
    <cellStyle name="0_Cash and Asset Meeting Deck July_June 18th v4" xfId="1943"/>
    <cellStyle name="0_Cash and Asset Meeting Deck July_June 18th v4 2" xfId="1944"/>
    <cellStyle name="0_Cash and Asset Meeting Deck September 7+5" xfId="1945"/>
    <cellStyle name="0_Cash and Asset Meeting Deck September 7+5 2" xfId="1946"/>
    <cellStyle name="0_Cash and Asset Meeting Deck September 7+5_June 18th v4" xfId="1947"/>
    <cellStyle name="0_Cash and Asset Meeting Deck September 7+5_June 18th v4 2" xfId="1948"/>
    <cellStyle name="0_Cash and Asset Meeting Deck September 93" xfId="1949"/>
    <cellStyle name="0_Cash and Asset Meeting Deck September 93 2" xfId="1950"/>
    <cellStyle name="0_Cash and Asset Meeting Deck September 93_June 18th v4" xfId="1951"/>
    <cellStyle name="0_Cash and Asset Meeting Deck September 93_June 18th v4 2" xfId="1952"/>
    <cellStyle name="0_Cash Pack 0729 REV (George's total pack)" xfId="1953"/>
    <cellStyle name="0_Cash Pack 0729 REV (George's total pack) 2" xfId="1954"/>
    <cellStyle name="0_CC-1" xfId="1955"/>
    <cellStyle name="0_CC-1 2" xfId="1956"/>
    <cellStyle name="0_C-Car 2001 Business Plan Deck 4bscore" xfId="1957"/>
    <cellStyle name="0_C-Car Scorecard_E" xfId="1958"/>
    <cellStyle name="0_CCarproforma_balanced scorecard" xfId="1959"/>
    <cellStyle name="0_CCarproforma_balanced scorecard 2" xfId="1960"/>
    <cellStyle name="0_CD 378  09MY_ PS_ file buildup 8-05-05" xfId="1961"/>
    <cellStyle name="0_CD 378  09MY_ PS_ file buildup 8-05-05 2" xfId="1962"/>
    <cellStyle name="0_CD132 Health actual " xfId="1963"/>
    <cellStyle name="0_CD132 SVA-Red 15-03-01" xfId="1964"/>
    <cellStyle name="0_CD132 SVA-Red 15-03-01 2" xfId="1965"/>
    <cellStyle name="0_CD340 SI VLR 2.9.02 " xfId="1966"/>
    <cellStyle name="0_CD340-345 Genk Freight Issue#6 2004-01-16 update" xfId="1967"/>
    <cellStyle name="0_CD340-345 Genk Freight Issue#6 2004-01-16 update 2" xfId="1968"/>
    <cellStyle name="0_CD340-345 Genk Freight Issue#6 2004-01-16 update_SOMP_CD340 (11.11.04)" xfId="1969"/>
    <cellStyle name="0_CD340-345 Genk Freight Issue#6 2004-01-16 update_SOMP_CD340 (11.11.04) 2" xfId="1970"/>
    <cellStyle name="0_CD340-345 Genk Freight Issue#6 2004-01-16 update_VO Labour Status # 7" xfId="1971"/>
    <cellStyle name="0_CD340-345 Genk Freight Issue#6 2004-01-16 update_VO Labour Status # 7 2" xfId="1972"/>
    <cellStyle name="0_CD378 Mkt Eqn - AC - 5-13-031" xfId="1973"/>
    <cellStyle name="0_CD378 Mkt Eqn - AC - 5-13-031 2" xfId="1974"/>
    <cellStyle name="0_CD378 Mkt Eqn - S. Smith - 5-29-03" xfId="1975"/>
    <cellStyle name="0_CD378 Mkt Eqn - S. Smith - 5-29-03 2" xfId="1976"/>
    <cellStyle name="0_CD378 PA 10-9-03 - PA var Mktg" xfId="1977"/>
    <cellStyle name="0_CD378 PA 10-9-03 - PA var Mktg 2" xfId="1978"/>
    <cellStyle name="0_CD378 PA1_Options_Comm - AC - 5-22-031" xfId="1979"/>
    <cellStyle name="0_CD378 PA1_Options_Comm - AC - 5-22-031 2" xfId="1980"/>
    <cellStyle name="0_CD378 PR 1-21-04" xfId="1981"/>
    <cellStyle name="0_CD378 PR 1-21-04 2" xfId="1982"/>
    <cellStyle name="0_CD378VMDraft2" xfId="1983"/>
    <cellStyle name="0_CD378VMDraft2 2" xfId="1984"/>
    <cellStyle name="0_CD378VMDraft7Back-up(May 27-2003-50-70milfreshapradjust)" xfId="1985"/>
    <cellStyle name="0_CD378VMDraft7Back-up(May 27-2003-50-70milfreshapradjust) 2" xfId="1986"/>
    <cellStyle name="0_CD3XX  PA - SOMP#7 Status" xfId="1987"/>
    <cellStyle name="0_CD3XX  PA - SOMP#7 Status 2" xfId="1988"/>
    <cellStyle name="0_CD3XX  PA - SOMP#7 Status_June 18th v4" xfId="1989"/>
    <cellStyle name="0_CD3XX  PA - SOMP#7 Status_June 18th v4 2" xfId="1990"/>
    <cellStyle name="0_CD3xx Variable Marketing Change_rev1a" xfId="1991"/>
    <cellStyle name="0_CD3xx Variable Marketing Change_rev1a 2" xfId="1992"/>
    <cellStyle name="0_CD-Car Business Plan 2001E" xfId="1993"/>
    <cellStyle name="0_CD-Car Business Plan 2001G" xfId="1994"/>
    <cellStyle name="0_CD-Europe section5NA3 EP03" xfId="1995"/>
    <cellStyle name="0_CD-Europe section5NA3 EP06" xfId="1996"/>
    <cellStyle name="0_Centrals at Aug 13 Target" xfId="1997"/>
    <cellStyle name="0_Clutch-Total" xfId="1998"/>
    <cellStyle name="0_Combined Assumptions_6_17" xfId="1999"/>
    <cellStyle name="0_Combined Assumptions_6_17 2" xfId="2000"/>
    <cellStyle name="0_commodity_190701" xfId="2001"/>
    <cellStyle name="0_commodity_190701 2" xfId="2002"/>
    <cellStyle name="0_Consolidators" xfId="2003"/>
    <cellStyle name="0_Consolidators 2" xfId="2004"/>
    <cellStyle name="0_Constr.Stock AdjSum" xfId="2005"/>
    <cellStyle name="0_Constr.Stock AdjSum 2" xfId="2006"/>
    <cellStyle name="0_Contr. Margin by series" xfId="2007"/>
    <cellStyle name="0_Contr. Margin by series 2" xfId="2008"/>
    <cellStyle name="0_Controllers.Review.CBG" xfId="2009"/>
    <cellStyle name="0_Controllers.Review.CBG 2" xfId="2010"/>
    <cellStyle name="0_Controllers.Review.CBG_(120) Forecast Package FINAL p1 6" xfId="2011"/>
    <cellStyle name="0_Controllers.Review.CBG_(120) Forecast Package FINAL p1 6 2" xfId="2012"/>
    <cellStyle name="0_Copy of VEE 2005 CY Budget Program Inventory 080204 Status " xfId="2013"/>
    <cellStyle name="0_Corporate.Review.11+1" xfId="2014"/>
    <cellStyle name="0_Corporate.Review.11+1 2" xfId="2015"/>
    <cellStyle name="0_Corporate.Review.11+1_(120) Forecast Package FINAL p1 6" xfId="2016"/>
    <cellStyle name="0_Corporate.Review.11+1_(120) Forecast Package FINAL p1 6 2" xfId="2017"/>
    <cellStyle name="0_Corporate.Review.Fcst.9+3" xfId="2018"/>
    <cellStyle name="0_Corporate.Review.Fcst.9+3 2" xfId="2019"/>
    <cellStyle name="0_Corporate.Review.Fcst.9+3_(120) Forecast Package FINAL p1 6" xfId="2020"/>
    <cellStyle name="0_Corporate.Review.Fcst.9+3_(120) Forecast Package FINAL p1 6 2" xfId="2021"/>
    <cellStyle name="0_Cost and Quality Budget Migration_110504" xfId="2022"/>
    <cellStyle name="0_Cost Proforma" xfId="2023"/>
    <cellStyle name="0_Cost Proforma_(120) Forecast Package FINAL p1 6" xfId="2024"/>
    <cellStyle name="0_Cost Proforma1" xfId="2025"/>
    <cellStyle name="0_Cost Proforma1_(120) Forecast Package FINAL p1 6" xfId="2026"/>
    <cellStyle name="0_Cost Review August07" xfId="2027"/>
    <cellStyle name="0_Cost Review August07 2" xfId="2028"/>
    <cellStyle name="0_Cost Walk" xfId="2029"/>
    <cellStyle name="0_Cost Walk 11-20" xfId="2030"/>
    <cellStyle name="0_Cost Walk 11-20 2" xfId="2031"/>
    <cellStyle name="0_Cost Walk 11-20_CD340 PMM Filing 16.09.04" xfId="2032"/>
    <cellStyle name="0_Cost Walk 11-20_CD340 PMM Filing 16.09.04 2" xfId="2033"/>
    <cellStyle name="0_Cost Walk 11-20_SOMP_CD340 (11.11.04)" xfId="2034"/>
    <cellStyle name="0_Cost Walk 11-20_SOMP_CD340 (11.11.04) 2" xfId="2035"/>
    <cellStyle name="0_Cost Walk 11-20_VO Labour Status # 7" xfId="2036"/>
    <cellStyle name="0_Cost Walk 11-20_VO Labour Status # 7 2" xfId="2037"/>
    <cellStyle name="0_Cost Walk_(120) Forecast Package FINAL p1 6" xfId="2038"/>
    <cellStyle name="0_Cost.Structure.5+7.FY" xfId="2039"/>
    <cellStyle name="0_Cost.Structure.5+7.FY 2" xfId="2040"/>
    <cellStyle name="0_Cost.Structure.5+7.FY_(120) Forecast Package FINAL p1 6" xfId="2041"/>
    <cellStyle name="0_Cost.Structure.5+7.FY_(120) Forecast Package FINAL p1 6 2" xfId="2042"/>
    <cellStyle name="0_Cost.Structure.6+6.FY" xfId="2043"/>
    <cellStyle name="0_Cost.Structure.6+6.FY 2" xfId="2044"/>
    <cellStyle name="0_Cost.Structure.6+6.FY_(120) Forecast Package FINAL p1 6" xfId="2045"/>
    <cellStyle name="0_Cost.Structure.6+6.FY_(120) Forecast Package FINAL p1 6 2" xfId="2046"/>
    <cellStyle name="0_Cost.Structure.7+5.FY" xfId="2047"/>
    <cellStyle name="0_Cost.Structure.7+5.FY 2" xfId="2048"/>
    <cellStyle name="0_Cost.Structure.7+5.FY.v2" xfId="2049"/>
    <cellStyle name="0_Cost.Structure.7+5.FY.v2 2" xfId="2050"/>
    <cellStyle name="0_Cost.Structure.7+5.FY_(120) Forecast Package FINAL p1 6" xfId="2051"/>
    <cellStyle name="0_Cost.Structure.7+5.FY_(120) Forecast Package FINAL p1 6 2" xfId="2052"/>
    <cellStyle name="0_costs020702" xfId="2053"/>
    <cellStyle name="0_costs020702 2" xfId="2054"/>
    <cellStyle name="0_costs020702_CD340 PMM Filing 16.09.04" xfId="2055"/>
    <cellStyle name="0_costs020702_CD340 PMM Filing 16.09.04 2" xfId="2056"/>
    <cellStyle name="0_costs020702_SOMP_CD340 (11.11.04)" xfId="2057"/>
    <cellStyle name="0_costs020702_SOMP_CD340 (11.11.04) 2" xfId="2058"/>
    <cellStyle name="0_costs020702_SOMP_CD340 (11.11.04)_June 18th v4" xfId="2059"/>
    <cellStyle name="0_costs020702_SOMP_CD340 (11.11.04)_June 18th v4 2" xfId="2060"/>
    <cellStyle name="0_costs020702_VO Labour Status # 7" xfId="2061"/>
    <cellStyle name="0_costs020702_VO Labour Status # 7 2" xfId="2062"/>
    <cellStyle name="0_costs2f" xfId="2063"/>
    <cellStyle name="0_costs2f 2" xfId="2064"/>
    <cellStyle name="0_costs2f_(120) Forecast Package FINAL p1 6" xfId="2065"/>
    <cellStyle name="0_costs2f_(120) Forecast Package FINAL p1 6 2" xfId="2066"/>
    <cellStyle name="0_cover" xfId="2067"/>
    <cellStyle name="0_cover 2" xfId="2068"/>
    <cellStyle name="0_Cover)" xfId="2069"/>
    <cellStyle name="0_Cover) 2" xfId="2070"/>
    <cellStyle name="0_cover_(120) Forecast Package FINAL p1 6" xfId="2071"/>
    <cellStyle name="0_cover_(120) Forecast Package FINAL p1 6 2" xfId="2072"/>
    <cellStyle name="0_Cover_801" xfId="2073"/>
    <cellStyle name="0_Cover_801_(120) Forecast Package FINAL p1 6" xfId="2074"/>
    <cellStyle name="0_Coverpage" xfId="2075"/>
    <cellStyle name="0_Coverpage 2" xfId="2076"/>
    <cellStyle name="0_Coverpage_(120) Forecast Package FINAL p1 6" xfId="2077"/>
    <cellStyle name="0_Coverpage_(120) Forecast Package FINAL p1 6 2" xfId="2078"/>
    <cellStyle name="0_CPT110201" xfId="2079"/>
    <cellStyle name="0_CPT110201 2" xfId="2080"/>
    <cellStyle name="0_Credit(111)" xfId="2081"/>
    <cellStyle name="0_Credit(111)_(120) Forecast Package FINAL p1 6" xfId="2082"/>
    <cellStyle name="0_Credit(210)" xfId="2083"/>
    <cellStyle name="0_Credit(210)_(120) Forecast Package FINAL p1 6" xfId="2084"/>
    <cellStyle name="0_CSV" xfId="2085"/>
    <cellStyle name="0_CSV (84) Status" xfId="2086"/>
    <cellStyle name="0_CSV (84) Status 2" xfId="2087"/>
    <cellStyle name="0_CSV 1-pager" xfId="2088"/>
    <cellStyle name="0_CSV 1-pager (2)" xfId="2089"/>
    <cellStyle name="0_CSV 1-pager (2) 2" xfId="2090"/>
    <cellStyle name="0_CSV 1-pager 2" xfId="2091"/>
    <cellStyle name="0_CSV 1-pager 3" xfId="2092"/>
    <cellStyle name="0_CSV 1-pager 4" xfId="2093"/>
    <cellStyle name="0_CSV 1-pager 5" xfId="2094"/>
    <cellStyle name="0_CSV 1-pager 6" xfId="2095"/>
    <cellStyle name="0_CSV 1-pager 7" xfId="2096"/>
    <cellStyle name="0_CSV 1-pager 8" xfId="2097"/>
    <cellStyle name="0_CSV 2" xfId="2098"/>
    <cellStyle name="0_CSV 3" xfId="2099"/>
    <cellStyle name="0_CSV 4" xfId="2100"/>
    <cellStyle name="0_CSV 5" xfId="2101"/>
    <cellStyle name="0_CSV 6" xfId="2102"/>
    <cellStyle name="0_CSV 66 Status1" xfId="2103"/>
    <cellStyle name="0_CSV 66 Status1 2" xfId="2104"/>
    <cellStyle name="0_CSV 66 Status1_June 18th v4" xfId="2105"/>
    <cellStyle name="0_CSV 66 Status1_June 18th v4 2" xfId="2106"/>
    <cellStyle name="0_CSV 7" xfId="2107"/>
    <cellStyle name="0_CSV 8" xfId="2108"/>
    <cellStyle name="0_CSV Budget_BSM" xfId="2109"/>
    <cellStyle name="0_CSV Budget_BSM 2" xfId="2110"/>
    <cellStyle name="0_CSV Page (84)" xfId="2111"/>
    <cellStyle name="0_CSV Page (84) 2" xfId="2112"/>
    <cellStyle name="0_CSV reporting 3+9_Functions" xfId="2113"/>
    <cellStyle name="0_CSV reporting 3+9_Functions 2" xfId="2114"/>
    <cellStyle name="0_CSV reporting 4+8_Functions_JR" xfId="2115"/>
    <cellStyle name="0_CSV reporting 4+8_Functions_JR 2" xfId="2116"/>
    <cellStyle name="0_CSV reporting 4+8_Functions_new layout" xfId="2117"/>
    <cellStyle name="0_CSV reporting 4+8_Functions_new layout 2" xfId="2118"/>
    <cellStyle name="0_CSV reporting 4+8_Functions_new layout_MG" xfId="2119"/>
    <cellStyle name="0_CSV reporting 4+8_Functions_new layout_MG 2" xfId="2120"/>
    <cellStyle name="0_CSV reporting Functions(2+10)" xfId="2121"/>
    <cellStyle name="0_CSV reporting Functions(2+10) 2" xfId="2122"/>
    <cellStyle name="0_CSV reporting Functions(3+9)" xfId="2123"/>
    <cellStyle name="0_CSV reporting Functions(3+9) 2" xfId="2124"/>
    <cellStyle name="0_CSV reporting Functions(39)" xfId="2125"/>
    <cellStyle name="0_CSV reporting Functions(39) 2" xfId="2126"/>
    <cellStyle name="0_CSV reporting Functions(4+8)" xfId="2127"/>
    <cellStyle name="0_CSV reporting Functions(4+8) 2" xfId="2128"/>
    <cellStyle name="0_CSV reporting Functions(5+7)" xfId="2129"/>
    <cellStyle name="0_CSV reporting Functions(5+7) 2" xfId="2130"/>
    <cellStyle name="0_CSV reporting Functions(6+6)" xfId="2131"/>
    <cellStyle name="0_CSV reporting Functions(6+6) 2" xfId="2132"/>
    <cellStyle name="0_CSV reporting Functions(7+5)" xfId="2133"/>
    <cellStyle name="0_CSV reporting Functions(7+5) 2" xfId="2134"/>
    <cellStyle name="0_CSV reporting Functions(8+4)" xfId="2135"/>
    <cellStyle name="0_CSV reporting Functions(8+4) 2" xfId="2136"/>
    <cellStyle name="0_CSV reporting Functions(9+3)" xfId="2137"/>
    <cellStyle name="0_CSV reporting Functions(9+3) 2" xfId="2138"/>
    <cellStyle name="0_CSV Roadmap" xfId="2139"/>
    <cellStyle name="0_CSV Roadmap 2" xfId="2140"/>
    <cellStyle name="0_CSV Roadmap_June 18th v4" xfId="2141"/>
    <cellStyle name="0_CSV Roadmap_June 18th v4 2" xfId="2142"/>
    <cellStyle name="0_CSV Strawman_Budget" xfId="2143"/>
    <cellStyle name="0_CSV Strawman_Budget 2" xfId="2144"/>
    <cellStyle name="0_CSV Strawman_Budget_June 18th v4" xfId="2145"/>
    <cellStyle name="0_CSV Strawman_Budget_June 18th v4 2" xfId="2146"/>
    <cellStyle name="0_CSV_48 Status (update)1" xfId="2147"/>
    <cellStyle name="0_CSV_48 Status (update)1 2" xfId="2148"/>
    <cellStyle name="0_CSV_48 Status (update)1_June 18th v4" xfId="2149"/>
    <cellStyle name="0_CSV_48 Status (update)1_June 18th v4 2" xfId="2150"/>
    <cellStyle name="0_CSV_June 18th v4" xfId="2151"/>
    <cellStyle name="0_CSV_June 18th v4 2" xfId="2152"/>
    <cellStyle name="0_CSVRoadMap" xfId="2153"/>
    <cellStyle name="0_CSVRoadMap 2" xfId="2154"/>
    <cellStyle name="0_CSV's'" xfId="2155"/>
    <cellStyle name="0_CSV's' 2" xfId="2156"/>
    <cellStyle name="0_CSVs units_(10+2)" xfId="2157"/>
    <cellStyle name="0_CSVs units_(10+2) 2" xfId="2158"/>
    <cellStyle name="0_CSVs units_(9+3) Summary" xfId="2159"/>
    <cellStyle name="0_CSVs units_(9+3) Summary 2" xfId="2160"/>
    <cellStyle name="0_CSVSales" xfId="2161"/>
    <cellStyle name="0_CSVSales 2" xfId="2162"/>
    <cellStyle name="0_CVTemp_02Com" xfId="2163"/>
    <cellStyle name="0_CVTemp_02Com 2" xfId="2164"/>
    <cellStyle name="0_CY2001_Absolute Pagel" xfId="2165"/>
    <cellStyle name="0_CY2001_Absolute Pagel 2" xfId="2166"/>
    <cellStyle name="0_CY2001_Absolute Pagel_02 to 04RiskAdjustedOutlook_3_4" xfId="2167"/>
    <cellStyle name="0_CY2001_Absolute Pagel_02 to 04RiskAdjustedOutlook_3_4 2" xfId="2168"/>
    <cellStyle name="0_CY2001_Absolute Pagel_19 income statement" xfId="2169"/>
    <cellStyle name="0_CY2001_Absolute Pagel_19 income statement 2" xfId="2170"/>
    <cellStyle name="0_CY2001_Absolute Pagel_2" xfId="2171"/>
    <cellStyle name="0_CY2001_Absolute Pagel_2 2" xfId="2172"/>
    <cellStyle name="0_CY2001_Absolute Pagel_2_RO_Sept10" xfId="2173"/>
    <cellStyle name="0_CY2001_Absolute Pagel_2_RO_Sept10 2" xfId="2174"/>
    <cellStyle name="0_CY2001_Absolute Pagel_income statement_10_09" xfId="2175"/>
    <cellStyle name="0_CY2001_Absolute Pagel_income statement_10_09 2" xfId="2176"/>
    <cellStyle name="0_CY2001_Absolute Pagel_Lm bud perf" xfId="2177"/>
    <cellStyle name="0_CY2001_Absolute Pagel_Lm bud perf 2" xfId="2178"/>
    <cellStyle name="0_CY2001_Absolute Pagel_LM IncomeStatement5p7v2 " xfId="2179"/>
    <cellStyle name="0_CY2001_Absolute Pagel_LM IncomeStatement5p7v2  2" xfId="2180"/>
    <cellStyle name="0_CY2001_Absolute Pagel_LM4p8ForecastMay30v1" xfId="2181"/>
    <cellStyle name="0_CY2001_Absolute Pagel_LM4p8ForecastMay30v1 2" xfId="2182"/>
    <cellStyle name="0_CY2001_Absolute Pagel_NA CBG 12+0 Actual Draft" xfId="2183"/>
    <cellStyle name="0_CY2001_Absolute Pagel_NA CBG 12+0 Actual Draft 2" xfId="2184"/>
    <cellStyle name="0_Cycle Plan Alternatives (V.3)" xfId="2185"/>
    <cellStyle name="0_Cycle Plan Alternatives (V.3) 2" xfId="2186"/>
    <cellStyle name="0_Czech December graph" xfId="2187"/>
    <cellStyle name="0_Czech December graph 2" xfId="2188"/>
    <cellStyle name="0_Czech November graph" xfId="2189"/>
    <cellStyle name="0_Czech November graph 2" xfId="2190"/>
    <cellStyle name="0_D219_D258 Comparison with D341" xfId="2191"/>
    <cellStyle name="0_D219_D258 Comparison with D341 2" xfId="2192"/>
    <cellStyle name="0_D219-D258 PR Residuals 4-28-03 " xfId="2193"/>
    <cellStyle name="0_D219-D258 PR Residuals 4-28-03  2" xfId="2194"/>
    <cellStyle name="0_D333L(h)" xfId="2195"/>
    <cellStyle name="0_D333L(h) 2" xfId="2196"/>
    <cellStyle name="0_D333L(KO Final)" xfId="2197"/>
    <cellStyle name="0_D333L(KO Final) 2" xfId="2198"/>
    <cellStyle name="0_D385 - PA  04-04-06" xfId="2199"/>
    <cellStyle name="0_D385 - PA  04-04-06 2" xfId="2200"/>
    <cellStyle name="0_D385 - PA  10-25-05" xfId="2201"/>
    <cellStyle name="0_D385 - PA  10-25-05 2" xfId="2202"/>
    <cellStyle name="0_D472 PS MktEqn 031706" xfId="2203"/>
    <cellStyle name="0_D472 PS MktEqn 031706 2" xfId="2204"/>
    <cellStyle name="0_D472 PS MktEqn 032406 " xfId="2205"/>
    <cellStyle name="0_D472 PS MktEqn 032406  2" xfId="2206"/>
    <cellStyle name="0_D472 PSC Fancydetail Comp 061005" xfId="2207"/>
    <cellStyle name="0_D472 PSC Fancydetail Comp 061005 2" xfId="2208"/>
    <cellStyle name="0_DC Accrual Calculations 685i" xfId="2209"/>
    <cellStyle name="0_DCARS - Navigator detail - Jan SOMP" xfId="2210"/>
    <cellStyle name="0_DCARS - Navigator detail - Jan SOMP 2" xfId="2211"/>
    <cellStyle name="0_DEA Form to match Turbo Tax Form Example" xfId="2212"/>
    <cellStyle name="0_Dec14 yoy" xfId="2213"/>
    <cellStyle name="0_Dec14 yoy 2" xfId="2214"/>
    <cellStyle name="0_December 2001 SoMP Final - submitted" xfId="2215"/>
    <cellStyle name="0_December 2001 SoMP Final - submitted 2" xfId="2216"/>
    <cellStyle name="0_DEF_FACT (2)" xfId="2217"/>
    <cellStyle name="0_DEF_FACT (2) 2" xfId="2218"/>
    <cellStyle name="0_DEF_FACT (2)_SOMP_CD340 (11.11.04)" xfId="2219"/>
    <cellStyle name="0_DEF_FACT (2)_SOMP_CD340 (11.11.04) 2" xfId="2220"/>
    <cellStyle name="0_DEF_FACT (2)_VO Labour Status # 7" xfId="2221"/>
    <cellStyle name="0_DEF_FACT (2)_VO Labour Status # 7 2" xfId="2222"/>
    <cellStyle name="0_Denmark December graph" xfId="2223"/>
    <cellStyle name="0_Denmark December graph 2" xfId="2224"/>
    <cellStyle name="0_Denmark November graph" xfId="2225"/>
    <cellStyle name="0_Denmark November graph 2" xfId="2226"/>
    <cellStyle name="0_Derive Edge Align MY FINAL" xfId="2227"/>
    <cellStyle name="0_Derive Edge Align MY FINAL 2" xfId="2228"/>
    <cellStyle name="0_DieselStV for MT Review Mar 14" xfId="2229"/>
    <cellStyle name="0_DieselStV for MT Review Mar 14 2" xfId="2230"/>
    <cellStyle name="0_DieselStV for MT Review Mar 14_SOMP_CD340 (11.11.04)" xfId="2231"/>
    <cellStyle name="0_DieselStV for MT Review Mar 14_SOMP_CD340 (11.11.04) 2" xfId="2232"/>
    <cellStyle name="0_DieselStV for MT Review Mar 14_VO Labour Status # 7" xfId="2233"/>
    <cellStyle name="0_DieselStV for MT Review Mar 14_VO Labour Status # 7 2" xfId="2234"/>
    <cellStyle name="0_dir track  04 to 08 " xfId="2235"/>
    <cellStyle name="0_dir track  04 to 08  2" xfId="2236"/>
    <cellStyle name="0_Dist" xfId="2237"/>
    <cellStyle name="0_DK Cost Review September15" xfId="2238"/>
    <cellStyle name="0_DK Cost Review September15 2" xfId="2239"/>
    <cellStyle name="0_Drawdown plan10+2 incl. (11+1) risk" xfId="2240"/>
    <cellStyle name="0_Drawdown plan10+2 incl. (11+1) risk 2" xfId="2241"/>
    <cellStyle name="0_DRL Metrics 2001" xfId="2242"/>
    <cellStyle name="0_drl.fpv.backup.v4" xfId="2243"/>
    <cellStyle name="0_drl.fpv.backup.v4 2" xfId="2244"/>
    <cellStyle name="0_DRLPJDBC.Review.CBG.Fcst.7+5" xfId="2245"/>
    <cellStyle name="0_DRLPJDBC.Review.CBG.Fcst.7+5 2" xfId="2246"/>
    <cellStyle name="0_DRLPJDBC.Review.CBG.Fcst.8+4" xfId="2247"/>
    <cellStyle name="0_DRLPJDBC.Review.CBG.Fcst.8+4 2" xfId="2248"/>
    <cellStyle name="0_EAC_U388_SA_Jul28" xfId="2249"/>
    <cellStyle name="0_EAC_U388_SA_Jul28 2" xfId="2250"/>
    <cellStyle name="0_ECM slide" xfId="2251"/>
    <cellStyle name="0_ECM slide 2" xfId="2252"/>
    <cellStyle name="0_ECM_638 Europe" xfId="2253"/>
    <cellStyle name="0_ECM_638 Europe 2" xfId="2254"/>
    <cellStyle name="0_ECM_639 Europe" xfId="2255"/>
    <cellStyle name="0_ECM_639 Europe 2" xfId="2256"/>
    <cellStyle name="0_ECM_640 Europe" xfId="2257"/>
    <cellStyle name="0_ECM_640 Europe 2" xfId="2258"/>
    <cellStyle name="0_ecmdeck647" xfId="2259"/>
    <cellStyle name="0_Economic Assumptions " xfId="2260"/>
    <cellStyle name="0_Economic Assumptions  2" xfId="2261"/>
    <cellStyle name="0_EOC Paper 230701_final_4" xfId="2262"/>
    <cellStyle name="0_EOC Paper 230701_final_4 2" xfId="2263"/>
    <cellStyle name="0_EOC Paper 230701_final_4_SOMP_CD340 (11.11.04)" xfId="2264"/>
    <cellStyle name="0_EOC Paper 230701_final_4_SOMP_CD340 (11.11.04) 2" xfId="2265"/>
    <cellStyle name="0_EOC Paper 230701_final_4_VO Labour Status # 7" xfId="2266"/>
    <cellStyle name="0_EOC Paper 230701_final_4_VO Labour Status # 7 2" xfId="2267"/>
    <cellStyle name="0_EOC Paper 230701_final_41" xfId="2268"/>
    <cellStyle name="0_EOC Paper 230701_final_41 2" xfId="2269"/>
    <cellStyle name="0_EOC Paper 230701_final_41_SOMP_CD340 (11.11.04)" xfId="2270"/>
    <cellStyle name="0_EOC Paper 230701_final_41_SOMP_CD340 (11.11.04) 2" xfId="2271"/>
    <cellStyle name="0_EOC Paper 230701_final_41_VO Labour Status # 7" xfId="2272"/>
    <cellStyle name="0_EOC Paper 230701_final_41_VO Labour Status # 7 2" xfId="2273"/>
    <cellStyle name="0_Escape 07MY HEV SI VM Update 05-27-03" xfId="2274"/>
    <cellStyle name="0_Escape 07MY HEV SI VM Update 05-27-03 2" xfId="2275"/>
    <cellStyle name="0_EU BP_Ccar_31" xfId="2276"/>
    <cellStyle name="0_EU BP_Ccar_31 2" xfId="2277"/>
    <cellStyle name="0_EU BP_CDcar_3" xfId="2278"/>
    <cellStyle name="0_EU BP_CDcar_3 2" xfId="2279"/>
    <cellStyle name="0_Exec_Inv_Mar04" xfId="2280"/>
    <cellStyle name="0_Exec_Inv_Mar04 2" xfId="2281"/>
    <cellStyle name="0_Exhaust" xfId="2282"/>
    <cellStyle name="0_Exhaust 2" xfId="2283"/>
    <cellStyle name="0_Exhaust 3" xfId="2284"/>
    <cellStyle name="0_Exhaust_1" xfId="2285"/>
    <cellStyle name="0_Explorer Transaction Price Metrics Template" xfId="2286"/>
    <cellStyle name="0_Explorer Transaction Price Metrics Template 2" xfId="2287"/>
    <cellStyle name="0_F236 _SC_ VO Management Review 1-17-03" xfId="2288"/>
    <cellStyle name="0_F236 _SC_ VO Management Review 1-17-03 2" xfId="2289"/>
    <cellStyle name="0_F236 MPIM (SI)6-v2" xfId="2290"/>
    <cellStyle name="0_F236 MPIM (SI)6-v2 2" xfId="2291"/>
    <cellStyle name="0_F236 SC 1-15-03 Matrix " xfId="2292"/>
    <cellStyle name="0_F236 SC 1-15-03 Matrix  2" xfId="2293"/>
    <cellStyle name="0_F236(7) Executive Summary" xfId="2294"/>
    <cellStyle name="0_F236(7) Executive Summary 2" xfId="2295"/>
    <cellStyle name="0_F236_PM_Costs_082002" xfId="2296"/>
    <cellStyle name="0_F236_PM_Costs_082002 2" xfId="2297"/>
    <cellStyle name="0_F251 VO Management Review1" xfId="2298"/>
    <cellStyle name="0_F251 VO Management Review1 2" xfId="2299"/>
    <cellStyle name="0_Fcst.10+2.Detail.Review" xfId="2300"/>
    <cellStyle name="0_Fcst.10+2.Detail.Review 2" xfId="2301"/>
    <cellStyle name="0_fcst645_9-25_OCM" xfId="2302"/>
    <cellStyle name="0_Feb L-M CP Proposal (2-12-02)" xfId="2303"/>
    <cellStyle name="0_Feb L-M CP Proposal (2-12-02) 2" xfId="2304"/>
    <cellStyle name="0_Feb PRC Escape" xfId="2305"/>
    <cellStyle name="0_Feb PRC Escape 2" xfId="2306"/>
    <cellStyle name="0_February 2002 NL" xfId="2307"/>
    <cellStyle name="0_February 2002 NL 2" xfId="2308"/>
    <cellStyle name="0_FENECH" xfId="2309"/>
    <cellStyle name="0_FENECH 2" xfId="2310"/>
    <cellStyle name="0_FENECH.v2" xfId="2311"/>
    <cellStyle name="0_FENECH.v2 2" xfId="2312"/>
    <cellStyle name="0_Final 2000 Bgt by Qtr" xfId="2313"/>
    <cellStyle name="0_Finland December graph" xfId="2314"/>
    <cellStyle name="0_Finland December graph 2" xfId="2315"/>
    <cellStyle name="0_Finland November graph" xfId="2316"/>
    <cellStyle name="0_Finland November graph 2" xfId="2317"/>
    <cellStyle name="0_FM 1-pager" xfId="2318"/>
    <cellStyle name="0_FM 1-pager 2" xfId="2319"/>
    <cellStyle name="0_Focus Update Analysis 08MY SI" xfId="2320"/>
    <cellStyle name="0_Focus Update Analysis 08MY SI 2" xfId="2321"/>
    <cellStyle name="0_FoG graph 0402" xfId="2322"/>
    <cellStyle name="0_FoG graph 0402 2" xfId="2323"/>
    <cellStyle name="0_FOM Review_June 12a" xfId="2324"/>
    <cellStyle name="0_FOM Review_June 12a 2" xfId="2325"/>
    <cellStyle name="0_Forecast" xfId="2326"/>
    <cellStyle name="0_Forecast_57_Prop #644_Aug8Fin" xfId="2327"/>
    <cellStyle name="0_Forecast_CBG_Aug21" xfId="2328"/>
    <cellStyle name="0_FP2000" xfId="2329"/>
    <cellStyle name="0_FP2000 2" xfId="2330"/>
    <cellStyle name="0_FP2000_02 to 04RiskAdjustedOutlook_3_4" xfId="2331"/>
    <cellStyle name="0_FP2000_02 to 04RiskAdjustedOutlook_3_4 2" xfId="2332"/>
    <cellStyle name="0_FP2000_19 income statement" xfId="2333"/>
    <cellStyle name="0_FP2000_19 income statement 2" xfId="2334"/>
    <cellStyle name="0_FP2000_2" xfId="2335"/>
    <cellStyle name="0_FP2000_2 2" xfId="2336"/>
    <cellStyle name="0_FP2000_2_RO_Sept10" xfId="2337"/>
    <cellStyle name="0_FP2000_2_RO_Sept10 2" xfId="2338"/>
    <cellStyle name="0_FP2000_income statement_10_09" xfId="2339"/>
    <cellStyle name="0_FP2000_income statement_10_09 2" xfId="2340"/>
    <cellStyle name="0_FP2000_Lm bud perf" xfId="2341"/>
    <cellStyle name="0_FP2000_Lm bud perf 2" xfId="2342"/>
    <cellStyle name="0_FP2000_LM IncomeStatement5p7v2 " xfId="2343"/>
    <cellStyle name="0_FP2000_LM IncomeStatement5p7v2  2" xfId="2344"/>
    <cellStyle name="0_FP2000_LM4p8ForecastMay30v1" xfId="2345"/>
    <cellStyle name="0_FP2000_LM4p8ForecastMay30v1 2" xfId="2346"/>
    <cellStyle name="0_FP2000_NA CBG 12+0 Actual Draft" xfId="2347"/>
    <cellStyle name="0_FP2000_NA CBG 12+0 Actual Draft 2" xfId="2348"/>
    <cellStyle name="0_France December graph" xfId="2349"/>
    <cellStyle name="0_France December graph 2" xfId="2350"/>
    <cellStyle name="0_France November graph" xfId="2351"/>
    <cellStyle name="0_France November graph 2" xfId="2352"/>
    <cellStyle name="0_Freight Performance (1+11) Tracking - JF Review" xfId="2353"/>
    <cellStyle name="0_Freight Performance (1+11) Tracking - JF Review 2" xfId="2354"/>
    <cellStyle name="0_Freight Performance (12+0) Tracking - JF Review" xfId="2355"/>
    <cellStyle name="0_Freight Performance (12+0) Tracking - JF Review 2" xfId="2356"/>
    <cellStyle name="0_Freight Performance (39) Tracking - JF Review" xfId="2357"/>
    <cellStyle name="0_Freight Performance (39) Tracking - JF Review 2" xfId="2358"/>
    <cellStyle name="0_Freight Performance (4+8) Tracking - JF Review" xfId="2359"/>
    <cellStyle name="0_Freight Performance (4+8) Tracking - JF Review 2" xfId="2360"/>
    <cellStyle name="0_Freight Performance (48) Tracking - JF Review" xfId="2361"/>
    <cellStyle name="0_Freight Performance (48) Tracking - JF Review 2" xfId="2362"/>
    <cellStyle name="0_Freight Performance (6+6) Tracking - JF Review" xfId="2363"/>
    <cellStyle name="0_Freight Performance (6+6) Tracking - JF Review 2" xfId="2364"/>
    <cellStyle name="0_FS SOMP Template3" xfId="2365"/>
    <cellStyle name="0_FS SOMP Template3 2" xfId="2366"/>
    <cellStyle name="0_FS SOMP Template3_CD340 PMM Filing 16.09.04" xfId="2367"/>
    <cellStyle name="0_FS SOMP Template3_CD340 PMM Filing 16.09.04 2" xfId="2368"/>
    <cellStyle name="0_FS SOMP Template3_SOMP_CD340 (11.11.04)" xfId="2369"/>
    <cellStyle name="0_FS SOMP Template3_SOMP_CD340 (11.11.04) 2" xfId="2370"/>
    <cellStyle name="0_FS SOMP Template3_VO Labour Status # 7" xfId="2371"/>
    <cellStyle name="0_FS SOMP Template3_VO Labour Status # 7 2" xfId="2372"/>
    <cellStyle name="0_FS_SoMP_C214" xfId="2373"/>
    <cellStyle name="0_FS_SoMP_C214 2" xfId="2374"/>
    <cellStyle name="0_Functional Staffing Reqmt Allocation_Summ_6_8" xfId="2375"/>
    <cellStyle name="0_Fusion and Milan Price Strategy_2-Pager --Summary Deck" xfId="2376"/>
    <cellStyle name="0_Fusion and Milan Price Strategy_2-Pager --Summary Deck 2" xfId="2377"/>
    <cellStyle name="0_FV" xfId="2378"/>
    <cellStyle name="0_FV 2" xfId="2379"/>
    <cellStyle name="0_FV GRAPH" xfId="2380"/>
    <cellStyle name="0_FV GRAPH 2" xfId="2381"/>
    <cellStyle name="0_FV Perf" xfId="2382"/>
    <cellStyle name="0_FV Perf 2" xfId="2383"/>
    <cellStyle name="0_FV Roadmap" xfId="2384"/>
    <cellStyle name="0_FV Roadmap 2" xfId="2385"/>
    <cellStyle name="0_FV Summary" xfId="2386"/>
    <cellStyle name="0_FV Summary 2" xfId="2387"/>
    <cellStyle name="0_FVSales" xfId="2388"/>
    <cellStyle name="0_FVSales 2" xfId="2389"/>
    <cellStyle name="0_g1" xfId="2390"/>
    <cellStyle name="0_Germany December graph" xfId="2391"/>
    <cellStyle name="0_Germany December graph 2" xfId="2392"/>
    <cellStyle name="0_Germany November graph" xfId="2393"/>
    <cellStyle name="0_Germany November graph 2" xfId="2394"/>
    <cellStyle name="0_GLeigh" xfId="2395"/>
    <cellStyle name="0_GM Pwr Pack Spiders -- John-Doug Backup V2 Incl. Proposal" xfId="2396"/>
    <cellStyle name="0_GM Pwr Pack Spiders -- John-Doug Backup V2 Incl. Proposal 2" xfId="2397"/>
    <cellStyle name="0_Graph - Austria" xfId="2398"/>
    <cellStyle name="0_Graph - Austria 2" xfId="2399"/>
    <cellStyle name="0_Graph_Apr2002" xfId="2400"/>
    <cellStyle name="0_Graph_Apr2002 2" xfId="2401"/>
    <cellStyle name="0_Graph_Greece_2002_04" xfId="2402"/>
    <cellStyle name="0_Graph_Greece_2002_04 2" xfId="2403"/>
    <cellStyle name="0_Graph_Portugal" xfId="2404"/>
    <cellStyle name="0_Graph_Portugal 2" xfId="2405"/>
    <cellStyle name="0_Graphs 04.02-2" xfId="2406"/>
    <cellStyle name="0_Graphs 04.02-2 2" xfId="2407"/>
    <cellStyle name="0_Graphs send out (48)_Denmark" xfId="2408"/>
    <cellStyle name="0_Graphs send out (48)_Denmark 2" xfId="2409"/>
    <cellStyle name="0_Graphs send out (48)_Norway" xfId="2410"/>
    <cellStyle name="0_Graphs send out (48)_Norway 2" xfId="2411"/>
    <cellStyle name="0_Graphs send out 0302" xfId="2412"/>
    <cellStyle name="0_Graphs send out 0302 2" xfId="2413"/>
    <cellStyle name="0_Graphs send out 042002" xfId="2414"/>
    <cellStyle name="0_Graphs send out 042002 2" xfId="2415"/>
    <cellStyle name="0_Graphs send out 042002_FoG_new" xfId="2416"/>
    <cellStyle name="0_Graphs send out 042002_FoG_new 2" xfId="2417"/>
    <cellStyle name="0_Greece December graph" xfId="2418"/>
    <cellStyle name="0_Greece December graph 2" xfId="2419"/>
    <cellStyle name="0_Greece November graph" xfId="2420"/>
    <cellStyle name="0_Greece November graph 2" xfId="2421"/>
    <cellStyle name="0_Ground Rules" xfId="2422"/>
    <cellStyle name="0_Halle N" xfId="2423"/>
    <cellStyle name="0_Halle N 2" xfId="2424"/>
    <cellStyle name="0_HealthDevChart15.10.01" xfId="2425"/>
    <cellStyle name="0_HPV_CPV_Attrition Charts 03-31-03" xfId="2426"/>
    <cellStyle name="0_HPV_CPV_Attrition Charts 03-31-03 2" xfId="2427"/>
    <cellStyle name="0_Hungary December graph" xfId="2428"/>
    <cellStyle name="0_Hungary December graph 2" xfId="2429"/>
    <cellStyle name="0_Hungary November graph" xfId="2430"/>
    <cellStyle name="0_Hungary November graph 2" xfId="2431"/>
    <cellStyle name="0_hurricane segtracks" xfId="2432"/>
    <cellStyle name="0_hurricane segtracks 2" xfId="2433"/>
    <cellStyle name="0_I6 in CD3xx_v6" xfId="2434"/>
    <cellStyle name="0_I6 in CD3xx_v6 2" xfId="2435"/>
    <cellStyle name="0_I6 in CD3xx_v6_SOMP_CD340 (11.11.04)" xfId="2436"/>
    <cellStyle name="0_I6 in CD3xx_v6_SOMP_CD340 (11.11.04) 2" xfId="2437"/>
    <cellStyle name="0_I6 in CD3xx_v6_VO Labour Status # 7" xfId="2438"/>
    <cellStyle name="0_I6 in CD3xx_v6_VO Labour Status # 7 2" xfId="2439"/>
    <cellStyle name="0_IM_POU" xfId="2440"/>
    <cellStyle name="0_IM_POU 2" xfId="2441"/>
    <cellStyle name="0_IMI 11_21_00Rev1" xfId="2442"/>
    <cellStyle name="0_IMI Forecast 638a" xfId="2443"/>
    <cellStyle name="0_IMI Forecast 638a_2000canadaslides" xfId="2444"/>
    <cellStyle name="0_IMI Forecast 638a_2000canadaslides_651" xfId="2445"/>
    <cellStyle name="0_IMI Forecast 638a_2001 111" xfId="2446"/>
    <cellStyle name="0_IMI Forecast 638a_2001 210a" xfId="2447"/>
    <cellStyle name="0_IMI Forecast 638a_2001psc728" xfId="2448"/>
    <cellStyle name="0_IMI Forecast 638a_acsg2001" xfId="2449"/>
    <cellStyle name="0_IMI Forecast 638a_appen" xfId="2450"/>
    <cellStyle name="0_IMI Forecast 638a_AprilIMIOCM" xfId="2451"/>
    <cellStyle name="0_IMI Forecast 638a_Book2" xfId="2452"/>
    <cellStyle name="0_IMI Forecast 638a_Can_Sat" xfId="2453"/>
    <cellStyle name="0_IMI Forecast 638a_Credit(111)" xfId="2454"/>
    <cellStyle name="0_IMI Forecast 638a_Credit(210)" xfId="2455"/>
    <cellStyle name="0_IMI Forecast 638a_ecmdeck647" xfId="2456"/>
    <cellStyle name="0_IMI Forecast 638a_US_Meeting_1112001" xfId="2457"/>
    <cellStyle name="0_IMI Forecast 638a_US_Meeting_1112001March" xfId="2458"/>
    <cellStyle name="0_IMI ForecastTD" xfId="2459"/>
    <cellStyle name="0_IMI ForecastTD 2" xfId="2460"/>
    <cellStyle name="0_IMI.020201r" xfId="2461"/>
    <cellStyle name="0_IMI.020201r 2" xfId="2462"/>
    <cellStyle name="0_IMI.Review.041901.v1" xfId="2463"/>
    <cellStyle name="0_IMI.Review.041901.v1 2" xfId="2464"/>
    <cellStyle name="0_IMI.Review.1103" xfId="2465"/>
    <cellStyle name="0_IMI.Review.1103 2" xfId="2466"/>
    <cellStyle name="0_IMI.Review.8+4.v2" xfId="2467"/>
    <cellStyle name="0_IMI.Review.8+4.v2 2" xfId="2468"/>
    <cellStyle name="0_IMI.Review.Fcst.8+4" xfId="2469"/>
    <cellStyle name="0_IMI.Review.Fcst.8+4 2" xfId="2470"/>
    <cellStyle name="0_imiroad619" xfId="2471"/>
    <cellStyle name="0_imiroad619 2" xfId="2472"/>
    <cellStyle name="0_Income Statement by Yr revised" xfId="2473"/>
    <cellStyle name="0_Income Statement by Yr revised 2" xfId="2474"/>
    <cellStyle name="0_InglisDeck642" xfId="2475"/>
    <cellStyle name="0_InglisDeck642_AprilIMIOCM" xfId="2476"/>
    <cellStyle name="0_Instructions" xfId="2477"/>
    <cellStyle name="0_Intake" xfId="2478"/>
    <cellStyle name="0_Inventory 010705" xfId="2479"/>
    <cellStyle name="0_Inventory 010705 2" xfId="2480"/>
    <cellStyle name="0_Inventory 1-pager" xfId="2481"/>
    <cellStyle name="0_Inventory 1-pager 2" xfId="2482"/>
    <cellStyle name="0_Inventory 2001 08 Austria" xfId="2483"/>
    <cellStyle name="0_Inventory 2001 08 Austria 2" xfId="2484"/>
    <cellStyle name="0_Inventory at 210" xfId="2485"/>
    <cellStyle name="0_Inventory at 210 2" xfId="2486"/>
    <cellStyle name="0_Inventory at 4+8" xfId="2487"/>
    <cellStyle name="0_Inventory at 4+8 2" xfId="2488"/>
    <cellStyle name="0_Inventory by category" xfId="2489"/>
    <cellStyle name="0_Inventory by category 2" xfId="2490"/>
    <cellStyle name="0_Inventory by category_March24''" xfId="2491"/>
    <cellStyle name="0_Inventory by category_March24'' 2" xfId="2492"/>
    <cellStyle name="0_Inventory by country (5+7 status)" xfId="2493"/>
    <cellStyle name="0_Inventory by country (5+7 status) 2" xfId="2494"/>
    <cellStyle name="0_Inventory correction" xfId="2495"/>
    <cellStyle name="0_Inventory correction 2" xfId="2496"/>
    <cellStyle name="0_Inventory Graph Switzerland 2002 04" xfId="2497"/>
    <cellStyle name="0_Inventory Graph Switzerland 2002 04 2" xfId="2498"/>
    <cellStyle name="0_Inventory_upd" xfId="2499"/>
    <cellStyle name="0_Inventory_upd 2" xfId="2500"/>
    <cellStyle name="0_Invest File SBP" xfId="2501"/>
    <cellStyle name="0_Invest File SBP 2" xfId="2502"/>
    <cellStyle name="0_Investment Consol 5_15_02" xfId="2503"/>
    <cellStyle name="0_Investment Consol 5_15_02 2" xfId="2504"/>
    <cellStyle name="0_Investment Summary" xfId="2505"/>
    <cellStyle name="0_Investment Summary 2" xfId="2506"/>
    <cellStyle name="0_Investment Tracker_05_20_02 revise to tie to 1107" xfId="2507"/>
    <cellStyle name="0_Investment Tracker_05_20_02 revise to tie to 1107 2" xfId="2508"/>
    <cellStyle name="0_Investment TrackingDetail#17New" xfId="2509"/>
    <cellStyle name="0_Investment TrackingDetail#17New 2" xfId="2510"/>
    <cellStyle name="0_investment110101" xfId="2511"/>
    <cellStyle name="0_InvIrelandApril02" xfId="2512"/>
    <cellStyle name="0_InvIrelandApril02 2" xfId="2513"/>
    <cellStyle name="0_Ireland December graph" xfId="2514"/>
    <cellStyle name="0_Ireland December graph 2" xfId="2515"/>
    <cellStyle name="0_Irland November graph" xfId="2516"/>
    <cellStyle name="0_Irland November graph 2" xfId="2517"/>
    <cellStyle name="0_Italy December graph" xfId="2518"/>
    <cellStyle name="0_Italy December graph 2" xfId="2519"/>
    <cellStyle name="0_Italy November graph" xfId="2520"/>
    <cellStyle name="0_Italy November graph 2" xfId="2521"/>
    <cellStyle name="0_J&amp;LR Structure v2" xfId="2522"/>
    <cellStyle name="0_J&amp;LR Structure v2 2" xfId="2523"/>
    <cellStyle name="0_Jag 012 Input 030121" xfId="2524"/>
    <cellStyle name="0_Jag 012 Input 030121 2" xfId="2525"/>
    <cellStyle name="0_Jag 48 Input 020515" xfId="2526"/>
    <cellStyle name="0_Jag 48 Input 020515 2" xfId="2527"/>
    <cellStyle name="0_Jag 75 Input 020819" xfId="2528"/>
    <cellStyle name="0_Jag 75 Input 020819 2" xfId="2529"/>
    <cellStyle name="0_Jag Cash" xfId="2530"/>
    <cellStyle name="0_Jag Cash 2" xfId="2531"/>
    <cellStyle name="0_Jag sept metrics 04" xfId="2532"/>
    <cellStyle name="0_Jag sept metrics 04 2" xfId="2533"/>
    <cellStyle name="0_jan 30 PSC" xfId="2534"/>
    <cellStyle name="0_jan 30 PSC 2" xfId="2535"/>
    <cellStyle name="0_January 2002 NL" xfId="2536"/>
    <cellStyle name="0_January 2002 NL 2" xfId="2537"/>
    <cellStyle name="0_January 2002 SoMP 3.0" xfId="2538"/>
    <cellStyle name="0_January 2002 SoMP 3.0 2" xfId="2539"/>
    <cellStyle name="0_Jaques Issue to Issue" xfId="2540"/>
    <cellStyle name="0_Jaques Issue to Issue 2" xfId="2541"/>
    <cellStyle name="0_JCG_042005" xfId="2542"/>
    <cellStyle name="0_JD Review 01-03-2005 " xfId="2543"/>
    <cellStyle name="0_JD Review 01-03-2005  2" xfId="2544"/>
    <cellStyle name="0_JJP.Review.1023" xfId="2545"/>
    <cellStyle name="0_JJP.Review.1023 2" xfId="2546"/>
    <cellStyle name="0_JL_J1 Cost Walk" xfId="2547"/>
    <cellStyle name="0_JL_J1 Cost Walk 2" xfId="2548"/>
    <cellStyle name="0_JLR 2002 48 v10" xfId="2549"/>
    <cellStyle name="0_JLR 2002 48 v10 2" xfId="2550"/>
    <cellStyle name="0_JLR 2002 48 v5" xfId="2551"/>
    <cellStyle name="0_JLR 2002 48 v5 2" xfId="2552"/>
    <cellStyle name="0_JLR 2002 48 v6" xfId="2553"/>
    <cellStyle name="0_JLR 2002 48 v6 2" xfId="2554"/>
    <cellStyle name="0_JLR 2002 48 v7" xfId="2555"/>
    <cellStyle name="0_JLR 2002 48 v7 2" xfId="2556"/>
    <cellStyle name="0_JLR 2002 48 v82" xfId="2557"/>
    <cellStyle name="0_JLR 2002 48 v82 2" xfId="2558"/>
    <cellStyle name="0_JLR 84 Business Structure" xfId="2559"/>
    <cellStyle name="0_JLR 84 Business Structure 2" xfId="2560"/>
    <cellStyle name="0_JLR Vs Budget(DA)" xfId="2561"/>
    <cellStyle name="0_JLR Vs Budget(DA) 2" xfId="2562"/>
    <cellStyle name="0_July 10 mfields v3" xfId="2563"/>
    <cellStyle name="0_July 10 mfields v3 2" xfId="2564"/>
    <cellStyle name="0_July 2002 NL" xfId="2565"/>
    <cellStyle name="0_July 2002 NL 2" xfId="2566"/>
    <cellStyle name="0_JULY CYCLE PLAN ACTIONS" xfId="2567"/>
    <cellStyle name="0_JULY CYCLE PLAN ACTIONS 2" xfId="2568"/>
    <cellStyle name="0_July Inventory Reports" xfId="2569"/>
    <cellStyle name="0_July Inventory Reports 2" xfId="2570"/>
    <cellStyle name="0_July Pictel CSV" xfId="2571"/>
    <cellStyle name="0_July Pictel CSV 2" xfId="2572"/>
    <cellStyle name="0_jun26 presdraft2" xfId="2573"/>
    <cellStyle name="0_jun26 presdraft2 2" xfId="2574"/>
    <cellStyle name="0_June 18th v4" xfId="2575"/>
    <cellStyle name="0_June 2001 SOMP V8V10 r2" xfId="2576"/>
    <cellStyle name="0_June 2001 SOMP V8V10 r2 2" xfId="2577"/>
    <cellStyle name="0_June 2001 SOMP V8V10 r2_CD340 PMM Filing 16.09.04" xfId="2578"/>
    <cellStyle name="0_June 2001 SOMP V8V10 r2_CD340 PMM Filing 16.09.04 2" xfId="2579"/>
    <cellStyle name="0_June 2001 SOMP V8V10 r2_SOMP_CD340 (11.11.04)" xfId="2580"/>
    <cellStyle name="0_June 2001 SOMP V8V10 r2_SOMP_CD340 (11.11.04) 2" xfId="2581"/>
    <cellStyle name="0_June 2001 SOMP V8V10 r2_VO Labour Status # 7" xfId="2582"/>
    <cellStyle name="0_June 2001 SOMP V8V10 r2_VO Labour Status # 7 2" xfId="2583"/>
    <cellStyle name="0_June Freeze Status launch Index" xfId="2584"/>
    <cellStyle name="0_June Freeze Status launch Index 2" xfId="2585"/>
    <cellStyle name="0_June Freeze Status launch Index_SOMP_CD340 (11.11.04)" xfId="2586"/>
    <cellStyle name="0_June Freeze Status launch Index_SOMP_CD340 (11.11.04) 2" xfId="2587"/>
    <cellStyle name="0_June Freeze Status launch Index_VO Labour Status # 7" xfId="2588"/>
    <cellStyle name="0_June Freeze Status launch Index_VO Labour Status # 7 2" xfId="2589"/>
    <cellStyle name="0_June Metrics Summary" xfId="2590"/>
    <cellStyle name="0_June Metrics Summary 2" xfId="2591"/>
    <cellStyle name="0_June Update for 2004 Inc Stmt" xfId="2592"/>
    <cellStyle name="0_June Update for 2004 Inc Stmt 2" xfId="2593"/>
    <cellStyle name="0_key assumptions1" xfId="2594"/>
    <cellStyle name="0_key assumptions1 2" xfId="2595"/>
    <cellStyle name="0_Key Metrics wip" xfId="2596"/>
    <cellStyle name="0_Key Metrics wip 2" xfId="2597"/>
    <cellStyle name="0_Large Car Segment" xfId="2598"/>
    <cellStyle name="0_Large Car Segment 2" xfId="2599"/>
    <cellStyle name="0_Last 1000 Feature Car Financials" xfId="2600"/>
    <cellStyle name="0_Latches-DD2-BCase-1108a" xfId="2601"/>
    <cellStyle name="0_Latches-DD2-BCase-1108a 2" xfId="2602"/>
    <cellStyle name="0_Launch" xfId="2603"/>
    <cellStyle name="0_Launch 2" xfId="2604"/>
    <cellStyle name="0_Launch Cost FS" xfId="2605"/>
    <cellStyle name="0_Launch Cost FS 2" xfId="2606"/>
    <cellStyle name="0_LaunchBusPlan w 020501cycleplanchanges" xfId="2607"/>
    <cellStyle name="0_LaunchBusPlan w 020501cycleplanchanges 2" xfId="2608"/>
    <cellStyle name="0_lincmercury" xfId="2609"/>
    <cellStyle name="0_lincmercury 2" xfId="2610"/>
    <cellStyle name="0_Lincoln MKZ Transaction prices" xfId="2611"/>
    <cellStyle name="0_Lincoln MKZ Transaction prices 2" xfId="2612"/>
    <cellStyle name="0_Lion Investment and Allocations 02 05 02" xfId="2613"/>
    <cellStyle name="0_Lion Investment and Allocations 02 05 02 2" xfId="2614"/>
    <cellStyle name="0_Lion V6 Volumes - Supplier Info Comparison" xfId="2615"/>
    <cellStyle name="0_Lion V6 Volumes - Supplier Info Comparison 2" xfId="2616"/>
    <cellStyle name="0_Lion V6 Volumes - Supplier Info Comparison_CD340 PMM Filing 16.09.04" xfId="2617"/>
    <cellStyle name="0_Lion V6 Volumes - Supplier Info Comparison_CD340 PMM Filing 16.09.04 2" xfId="2618"/>
    <cellStyle name="0_Lion V6 Volumes - Supplier Info Comparison_SOMP_CD340 (11.11.04)" xfId="2619"/>
    <cellStyle name="0_Lion V6 Volumes - Supplier Info Comparison_SOMP_CD340 (11.11.04) 2" xfId="2620"/>
    <cellStyle name="0_Lion V6 Volumes - Supplier Info Comparison_VO Labour Status # 7" xfId="2621"/>
    <cellStyle name="0_Lion V6 Volumes - Supplier Info Comparison_VO Labour Status # 7 2" xfId="2622"/>
    <cellStyle name="0_Lm bud perf" xfId="2623"/>
    <cellStyle name="0_Lm bud perf 2" xfId="2624"/>
    <cellStyle name="0_L-M CP (2-20-02)" xfId="2625"/>
    <cellStyle name="0_L-M CP (2-20-02) 2" xfId="2626"/>
    <cellStyle name="0_LM IncomeStatement5p7v2 " xfId="2627"/>
    <cellStyle name="0_LM IncomeStatement5p7v2  2" xfId="2628"/>
    <cellStyle name="0_lm.panel" xfId="2629"/>
    <cellStyle name="0_LM_BPSummary_Mar18" xfId="2630"/>
    <cellStyle name="0_LM_BPSummary_Mar18 2" xfId="2631"/>
    <cellStyle name="0_LM_HCWALK" xfId="2632"/>
    <cellStyle name="0_LM_HCWALK 2" xfId="2633"/>
    <cellStyle name="0_LM2001BPBackupFinancialsFeb13v2" xfId="2634"/>
    <cellStyle name="0_LM2001BPBackupFinancialsFeb13v2 2" xfId="2635"/>
    <cellStyle name="0_LM2001BPJan31v2" xfId="2636"/>
    <cellStyle name="0_LM2001BPJan31v2 2" xfId="2637"/>
    <cellStyle name="0_LM2001BPRevTargetFeb12v2" xfId="2638"/>
    <cellStyle name="0_LM2001BPRevTargetFeb12v2 2" xfId="2639"/>
    <cellStyle name="0_LM2002-2004JunePSCv10" xfId="2640"/>
    <cellStyle name="0_LM2002-2004JunePSCv10 2" xfId="2641"/>
    <cellStyle name="0_LM2002-2004JunePSCv7" xfId="2642"/>
    <cellStyle name="0_LM2002-2004JunePSCv7 2" xfId="2643"/>
    <cellStyle name="0_LM2002-2004JunePSCv8" xfId="2644"/>
    <cellStyle name="0_LM2002-2004JunePSCv8 2" xfId="2645"/>
    <cellStyle name="0_LM2002-2004JunePSCv9" xfId="2646"/>
    <cellStyle name="0_LM2002-2004JunePSCv9 2" xfId="2647"/>
    <cellStyle name="0_LM4p8ForecastMay30v1" xfId="2648"/>
    <cellStyle name="0_LM4p8ForecastMay30v1 2" xfId="2649"/>
    <cellStyle name="0_LM664April19vd1" xfId="2650"/>
    <cellStyle name="0_LM664April19vd1 2" xfId="2651"/>
    <cellStyle name="0_LM664April24Risk adj" xfId="2652"/>
    <cellStyle name="0_LM664April24Risk adj 2" xfId="2653"/>
    <cellStyle name="0_LMCostPerf#666v1" xfId="2654"/>
    <cellStyle name="0_LMCostPerf#666v1 2" xfId="2655"/>
    <cellStyle name="0_LM-ECM slide" xfId="2656"/>
    <cellStyle name="0_LM-ECM slide 2" xfId="2657"/>
    <cellStyle name="0_LR (210) 2003" xfId="2658"/>
    <cellStyle name="0_LR (210) 2003 2" xfId="2659"/>
    <cellStyle name="0_LR 012 Input 030121" xfId="2660"/>
    <cellStyle name="0_LR 012 Input 030121 2" xfId="2661"/>
    <cellStyle name="0_LR 48 Input 020515" xfId="2662"/>
    <cellStyle name="0_LR 48 Input 020515 2" xfId="2663"/>
    <cellStyle name="0_LR 75 Input 020819" xfId="2664"/>
    <cellStyle name="0_LR 75 Input 020819 2" xfId="2665"/>
    <cellStyle name="0_LT Cost C1 DW10 MPS6 April 11_2005 " xfId="2666"/>
    <cellStyle name="0_LVC MATERIAL FORECAST 10-12" xfId="2667"/>
    <cellStyle name="0_LVC MATERIAL FORECAST 10-12 2" xfId="2668"/>
    <cellStyle name="0_LVC MATERIAL FORECAST 10-16" xfId="2669"/>
    <cellStyle name="0_LVC MATERIAL FORECAST 10-16 2" xfId="2670"/>
    <cellStyle name="0_LVC Monthly Budget - Final" xfId="2671"/>
    <cellStyle name="0_LVC Monthly Budget With Subtotal" xfId="2672"/>
    <cellStyle name="0_LVC Monthly Detail" xfId="2673"/>
    <cellStyle name="0_LVC Year-end 2000" xfId="2674"/>
    <cellStyle name="0_LVC_ForecastAug08_TKraus_FINAL" xfId="2675"/>
    <cellStyle name="0_M205 FS SOMP - Jan 2002" xfId="2676"/>
    <cellStyle name="0_M205 FS SOMP - Jan 2002 2" xfId="2677"/>
    <cellStyle name="0_M205 FS SOMP - Jan 2002_CD340 PMM Filing 16.09.04" xfId="2678"/>
    <cellStyle name="0_M205 FS SOMP - Jan 2002_CD340 PMM Filing 16.09.04 2" xfId="2679"/>
    <cellStyle name="0_M205 FS SOMP - Jan 2002_SOMP_CD340 (11.11.04)" xfId="2680"/>
    <cellStyle name="0_M205 FS SOMP - Jan 2002_SOMP_CD340 (11.11.04) 2" xfId="2681"/>
    <cellStyle name="0_M205 FS SOMP - Jan 2002_VO Labour Status # 7" xfId="2682"/>
    <cellStyle name="0_M205 FS SOMP - Jan 2002_VO Labour Status # 7 2" xfId="2683"/>
    <cellStyle name="0_MAM REPORT DEC01 revised 2000" xfId="2684"/>
    <cellStyle name="0_MAM REPORT DEC01 revised 2000 2" xfId="2685"/>
    <cellStyle name="0_MAM REPORT FEB20 2001" xfId="2686"/>
    <cellStyle name="0_MAM REPORT FEB20 2001 2" xfId="2687"/>
    <cellStyle name="0_MANUF" xfId="2688"/>
    <cellStyle name="0_MANUF 2" xfId="2689"/>
    <cellStyle name="0_Mar SoMP File_Final" xfId="2690"/>
    <cellStyle name="0_Mar SoMP File_Final 2" xfId="2691"/>
    <cellStyle name="0_Mar15_glidepath_draft5" xfId="2692"/>
    <cellStyle name="0_Mar15_glidepath_draft5 2" xfId="2693"/>
    <cellStyle name="0_March 2002 NL" xfId="2694"/>
    <cellStyle name="0_March 2002 NL 2" xfId="2695"/>
    <cellStyle name="0_Mars" xfId="2696"/>
    <cellStyle name="0_Mars 2" xfId="2697"/>
    <cellStyle name="0_Mars_CD340 PMM Filing 16.09.04" xfId="2698"/>
    <cellStyle name="0_Mars_CD340 PMM Filing 16.09.04 2" xfId="2699"/>
    <cellStyle name="0_Mars_SOMP_CD340 (11.11.04)" xfId="2700"/>
    <cellStyle name="0_Mars_SOMP_CD340 (11.11.04) 2" xfId="2701"/>
    <cellStyle name="0_Mars_VO Labour Status # 7" xfId="2702"/>
    <cellStyle name="0_Mars_VO Labour Status # 7 2" xfId="2703"/>
    <cellStyle name="0_Material" xfId="2704"/>
    <cellStyle name="0_May 16 VLR Financials_FINAL" xfId="2705"/>
    <cellStyle name="0_May 16 VLR Financials_FINAL 2" xfId="2706"/>
    <cellStyle name="0_May 2001 NAC Functional Budget_Baseline" xfId="2707"/>
    <cellStyle name="0_May 24 JDC, DJP Review (slides and agenda)" xfId="2708"/>
    <cellStyle name="0_May 24 JDC, DJP Review (slides and agenda) 2" xfId="2709"/>
    <cellStyle name="0_MAY ACTUALS" xfId="2710"/>
    <cellStyle name="0_MAY ACTUALS 2" xfId="2711"/>
    <cellStyle name="0_May Functional Personnel Status - Lifestyle Chassis" xfId="2712"/>
    <cellStyle name="0_May Functional Personnel Status_Updated With June RMS_Functional May Actuals2" xfId="2713"/>
    <cellStyle name="0_MDSlidesSep" xfId="2714"/>
    <cellStyle name="0_MDSlidesSep 2" xfId="2715"/>
    <cellStyle name="0_ME PTO 10-04" xfId="2716"/>
    <cellStyle name="0_METRICS SUMMARY 0702" xfId="2717"/>
    <cellStyle name="0_METRICS SUMMARY 0702 2" xfId="2718"/>
    <cellStyle name="0_metrics summary2" xfId="2719"/>
    <cellStyle name="0_metrics summary2 2" xfId="2720"/>
    <cellStyle name="0_Metrics_Summary" xfId="2721"/>
    <cellStyle name="0_Metrics_Summary 2" xfId="2722"/>
    <cellStyle name="0_metrics2" xfId="2723"/>
    <cellStyle name="0_MetricsJ" xfId="2724"/>
    <cellStyle name="0_MetricsJ 2" xfId="2725"/>
    <cellStyle name="0_Mfg Gateway Consensus Mtg Jan29_V2" xfId="2726"/>
    <cellStyle name="0_Mfg Gateway Consensus Mtg Jan29_V2 2" xfId="2727"/>
    <cellStyle name="0_Mfg.2000BPlan.Review.1030" xfId="2728"/>
    <cellStyle name="0_Mfg.2000BPlan.Review.1030 2" xfId="2729"/>
    <cellStyle name="0_Mike P" xfId="2730"/>
    <cellStyle name="0_Mike P 2" xfId="2731"/>
    <cellStyle name="0_Milan Transaction slide backup" xfId="2732"/>
    <cellStyle name="0_Milan Transaction slide backup 2" xfId="2733"/>
    <cellStyle name="0_MntrMrktEq(PA)April14th" xfId="2734"/>
    <cellStyle name="0_MntrMrktEq(PA)April14th 2" xfId="2735"/>
    <cellStyle name="0_mnwcst_4_21" xfId="2736"/>
    <cellStyle name="0_mnwcst_4_21 2" xfId="2737"/>
    <cellStyle name="0_Module1" xfId="2738"/>
    <cellStyle name="0_Module1 2" xfId="2739"/>
    <cellStyle name="0_Mondeo-P-Jan " xfId="2740"/>
    <cellStyle name="0_Monthly Budget PK" xfId="2741"/>
    <cellStyle name="0_MonthlyMetricsMay-6-15" xfId="2742"/>
    <cellStyle name="0_MonthlyMetricsMay-6-15 2" xfId="2743"/>
    <cellStyle name="0_MOT.0502.Review.v1" xfId="2744"/>
    <cellStyle name="0_MOT.0502.Review.v1 2" xfId="2745"/>
    <cellStyle name="0_mp&amp;l.PJD.v1" xfId="2746"/>
    <cellStyle name="0_mp&amp;l.PJD.v1 2" xfId="2747"/>
    <cellStyle name="0_MPL.v2" xfId="2748"/>
    <cellStyle name="0_MPL.v2 2" xfId="2749"/>
    <cellStyle name="0_Multimedia Exec Summaryv7b" xfId="2750"/>
    <cellStyle name="0_Multimedia Exec Summaryv7b 2" xfId="2751"/>
    <cellStyle name="0_mxnc_4_21" xfId="2752"/>
    <cellStyle name="0_mxnc_4_21 2" xfId="2753"/>
    <cellStyle name="0_N.A. Region Spdg Rel Cost 5-71" xfId="2754"/>
    <cellStyle name="0_N.A. Region Spdg Rel Cost 5-71 2" xfId="2755"/>
    <cellStyle name="0_NA 99 HC Slide" xfId="2756"/>
    <cellStyle name="0_NA 99 HC Slide 2" xfId="2757"/>
    <cellStyle name="0_NA 99 HC Slide_2000canadaslides" xfId="2758"/>
    <cellStyle name="0_NA 99 HC Slide_2000canadaslides 2" xfId="2759"/>
    <cellStyle name="0_NA 99 HC Slide_2000canadaslides_651" xfId="2760"/>
    <cellStyle name="0_NA 99 HC Slide_2000canadaslides_651 2" xfId="2761"/>
    <cellStyle name="0_NA 99 HC Slide_2001 111" xfId="2762"/>
    <cellStyle name="0_NA 99 HC Slide_2001 111 2" xfId="2763"/>
    <cellStyle name="0_NA 99 HC Slide_2001 210a" xfId="2764"/>
    <cellStyle name="0_NA 99 HC Slide_2001 210a 2" xfId="2765"/>
    <cellStyle name="0_NA 99 HC Slide_2001psc728" xfId="2766"/>
    <cellStyle name="0_NA 99 HC Slide_acsg2001" xfId="2767"/>
    <cellStyle name="0_NA 99 HC Slide_acsg2001 2" xfId="2768"/>
    <cellStyle name="0_NA 99 HC Slide_appen" xfId="2769"/>
    <cellStyle name="0_NA 99 HC Slide_appen 2" xfId="2770"/>
    <cellStyle name="0_NA 99 HC Slide_AprilIMIOCM" xfId="2771"/>
    <cellStyle name="0_NA 99 HC Slide_Book2" xfId="2772"/>
    <cellStyle name="0_NA 99 HC Slide_Book2 2" xfId="2773"/>
    <cellStyle name="0_NA 99 HC Slide_Can_Sat" xfId="2774"/>
    <cellStyle name="0_NA 99 HC Slide_Can_Sat 2" xfId="2775"/>
    <cellStyle name="0_NA 99 HC Slide_Credit(111)" xfId="2776"/>
    <cellStyle name="0_NA 99 HC Slide_Credit(111) 2" xfId="2777"/>
    <cellStyle name="0_NA 99 HC Slide_Credit(210)" xfId="2778"/>
    <cellStyle name="0_NA 99 HC Slide_Credit(210) 2" xfId="2779"/>
    <cellStyle name="0_NA 99 HC Slide_ECM 651" xfId="2780"/>
    <cellStyle name="0_NA 99 HC Slide_ECM 651 2" xfId="2781"/>
    <cellStyle name="0_NA 99 HC Slide_ecmdeck647" xfId="2782"/>
    <cellStyle name="0_NA 99 HC Slide_ecmdeck647 2" xfId="2783"/>
    <cellStyle name="0_NA 99 HC Slide_LMECM 650" xfId="2784"/>
    <cellStyle name="0_NA 99 HC Slide_LMECM 650 2" xfId="2785"/>
    <cellStyle name="0_NA 99 HC Slide_South America Metrics for MS 1p11" xfId="2786"/>
    <cellStyle name="0_NA 99 HC Slide_South America Metrics for MS 1p11 2" xfId="2787"/>
    <cellStyle name="0_NA 99 HC Slide_South America Metrics for MS 2p10" xfId="2788"/>
    <cellStyle name="0_NA 99 HC Slide_South America Metrics for MS 2p10 2" xfId="2789"/>
    <cellStyle name="0_NA 99 HC Slide_US_Meeting_1112001" xfId="2790"/>
    <cellStyle name="0_NA 99 HC Slide_US_Meeting_1112001 2" xfId="2791"/>
    <cellStyle name="0_NA 99 HC Slide_US_Meeting_1112001March" xfId="2792"/>
    <cellStyle name="0_NA 99 HC Slide_US_Meeting_1112001March 2" xfId="2793"/>
    <cellStyle name="0_NA Truck CBG Total -- Jan 2001 SoMP -- 1-8 OCM1" xfId="2794"/>
    <cellStyle name="0_NA Truck CBG Total -- Jan 2001 SoMP -- 1-8 OCM1 2" xfId="2795"/>
    <cellStyle name="0_NA.Fcst.650" xfId="2796"/>
    <cellStyle name="0_NA.Fcst.650 2" xfId="2797"/>
    <cellStyle name="0_NA_Car_Financials_101801_lower volume" xfId="2798"/>
    <cellStyle name="0_NA_Car_Financials_101801_lower volume 2" xfId="2799"/>
    <cellStyle name="0_NAM.PJD.Fcst649.Backup.v2" xfId="2800"/>
    <cellStyle name="0_NAM.PJD.Fcst649.Backup.v2 2" xfId="2801"/>
    <cellStyle name="0_NAMfg.00BPlan.1129.v1" xfId="2802"/>
    <cellStyle name="0_NAMfg.00BPlan.1129.v1 2" xfId="2803"/>
    <cellStyle name="0_NAMfg.00BPlan.1129.v2" xfId="2804"/>
    <cellStyle name="0_NAMfg.00BPlan.1129.v2 2" xfId="2805"/>
    <cellStyle name="0_ndpc0301" xfId="2806"/>
    <cellStyle name="0_ndpc1200" xfId="2807"/>
    <cellStyle name="0_Netherlands November graph" xfId="2808"/>
    <cellStyle name="0_Netherlands November graph 2" xfId="2809"/>
    <cellStyle name="0_Next Steps" xfId="2810"/>
    <cellStyle name="0_Next Steps 2" xfId="2811"/>
    <cellStyle name="0_non-product -stamp bus unit" xfId="2812"/>
    <cellStyle name="0_non-product -stamp bus unit 2" xfId="2813"/>
    <cellStyle name="0_Norway December graph" xfId="2814"/>
    <cellStyle name="0_Norway December graph 2" xfId="2815"/>
    <cellStyle name="0_Norway November graph" xfId="2816"/>
    <cellStyle name="0_Norway November graph 2" xfId="2817"/>
    <cellStyle name="0_Nov 19 S&amp;BG input templates v2" xfId="2818"/>
    <cellStyle name="0_Nov 19 S&amp;BG input templates v2 2" xfId="2819"/>
    <cellStyle name="0_Nov27_PWL_Pkg_Jan12Update_ofMat'l_Page" xfId="2820"/>
    <cellStyle name="0_Nov27_PWL_Pkg_Jan12Update_ofMat'l_Page 2" xfId="2821"/>
    <cellStyle name="0_Oakville_mop" xfId="2822"/>
    <cellStyle name="0_Oakville_mop 2" xfId="2823"/>
    <cellStyle name="0_P131-U137 Durability-Quality Cost Increases 4+8" xfId="2824"/>
    <cellStyle name="0_P131-U137 Durability-Quality Cost Increases 4+8 2" xfId="2825"/>
    <cellStyle name="0_P221 Base Configurations - all configs 2-14-03 Forecast v3" xfId="2826"/>
    <cellStyle name="0_P221 Base Configurations - all configs 2-14-03 Forecast v3 2" xfId="2827"/>
    <cellStyle name="0_P221 VM Summary9  for MO" xfId="2828"/>
    <cellStyle name="0_P221 VM Summary9  for MO 2" xfId="2829"/>
    <cellStyle name="0_P221 VM Summary9  for MO2" xfId="2830"/>
    <cellStyle name="0_P221 VM Summary9  for MO2 2" xfId="2831"/>
    <cellStyle name="0_P221 ZBE Analysis" xfId="2832"/>
    <cellStyle name="0_P221 ZBE Analysis 2" xfId="2833"/>
    <cellStyle name="0_P221_SOMP_01_12_Calc" xfId="2834"/>
    <cellStyle name="0_P221_SOMP_01_12_Calc 2" xfId="2835"/>
    <cellStyle name="0_P221_SOMP_01_12_Calc_CD340 PMM Filing 16.09.04" xfId="2836"/>
    <cellStyle name="0_P221_SOMP_01_12_Calc_CD340 PMM Filing 16.09.04 2" xfId="2837"/>
    <cellStyle name="0_P221_SOMP_01_12_Calc_SOMP_CD340 (11.11.04)" xfId="2838"/>
    <cellStyle name="0_P221_SOMP_01_12_Calc_SOMP_CD340 (11.11.04) 2" xfId="2839"/>
    <cellStyle name="0_P221_SOMP_01_12_Calc_VO Labour Status # 7" xfId="2840"/>
    <cellStyle name="0_P221_SOMP_01_12_Calc_VO Labour Status # 7 2" xfId="2841"/>
    <cellStyle name="0_P2f" xfId="2842"/>
    <cellStyle name="0_P2f 2" xfId="2843"/>
    <cellStyle name="0_P356 SI Content revised 4-23" xfId="2844"/>
    <cellStyle name="0_P356 SI Content revised 4-23 2" xfId="2845"/>
    <cellStyle name="0_P356 SI Content revised 4-23_mbodenmi" xfId="2846"/>
    <cellStyle name="0_P356 SI Content revised 4-23_mbodenmi 2" xfId="2847"/>
    <cellStyle name="0_PA1_SI(updated3_26_04)VM&amp;ProfitImprovements" xfId="2848"/>
    <cellStyle name="0_PA1_SI(updated3_26_04)VM&amp;ProfitImprovements 2" xfId="2849"/>
    <cellStyle name="0_PAB_BC_rev41" xfId="2850"/>
    <cellStyle name="0_PAB_BC_rev41 2" xfId="2851"/>
    <cellStyle name="0_PAG -- 3+9 2003v5" xfId="2852"/>
    <cellStyle name="0_PAG -- 3+9 2003v5 2" xfId="2853"/>
    <cellStyle name="0_PAG -- 4+8 2003 v6" xfId="2854"/>
    <cellStyle name="0_PAG -- 4+8 2003 v6 2" xfId="2855"/>
    <cellStyle name="0_PAG -- 5+7 2003 v6" xfId="2856"/>
    <cellStyle name="0_PAG -- 5+7 2003 v6 2" xfId="2857"/>
    <cellStyle name="0_PAG 2002 BPlan Nov 1 Latest v11" xfId="2858"/>
    <cellStyle name="0_PAG 2002 BPlan Nov 1 Latest v11 2" xfId="2859"/>
    <cellStyle name="0_PAG 2003-04 updated 5+7" xfId="2860"/>
    <cellStyle name="0_PAG 2003-04 updated 5+7 2" xfId="2861"/>
    <cellStyle name="0_PAG 2003-04 YoY Explanations v2" xfId="2862"/>
    <cellStyle name="0_PAG 2003-04 YoY Explanations v2 2" xfId="2863"/>
    <cellStyle name="0_PAG 2004 Budget T &amp; P and R's &amp; O's" xfId="2864"/>
    <cellStyle name="0_PAG 2004 Budget T &amp; P and R's &amp; O's 2" xfId="2865"/>
    <cellStyle name="0_PAG 9+3 total" xfId="2866"/>
    <cellStyle name="0_PAG 9+3 total 2" xfId="2867"/>
    <cellStyle name="0_PAG August 14 Status" xfId="2868"/>
    <cellStyle name="0_PAG August 14 Status 2" xfId="2869"/>
    <cellStyle name="0_pag board jan 10Rev" xfId="2870"/>
    <cellStyle name="0_pag board jan 10Rev 2" xfId="2871"/>
    <cellStyle name="0_PAG Budget deck Jan 8" xfId="2872"/>
    <cellStyle name="0_PAG Budget deck Jan 8 2" xfId="2873"/>
    <cellStyle name="0_PAG Business Plan v1.2" xfId="2874"/>
    <cellStyle name="0_PAG Business Plan v1.2 2" xfId="2875"/>
    <cellStyle name="0_PAG Calendarised 2004 Budet - Derek backup" xfId="2876"/>
    <cellStyle name="0_PAG Calendarised 2004 Budet - Derek backup 2" xfId="2877"/>
    <cellStyle name="0_PAG Calendarised 2004 Budet - Derek backupUpdateJan15 - new risksCostPerfUpdate" xfId="2878"/>
    <cellStyle name="0_PAG Calendarised 2004 Budet - Derek backupUpdateJan15 - new risksCostPerfUpdate 2" xfId="2879"/>
    <cellStyle name="0_PAG consol 0+12" xfId="2880"/>
    <cellStyle name="0_PAG consol 0+12 2" xfId="2881"/>
    <cellStyle name="0_PAG consol 3+9 v3" xfId="2882"/>
    <cellStyle name="0_PAG consol 3+9 v3 2" xfId="2883"/>
    <cellStyle name="0_PAG consol 4+8" xfId="2884"/>
    <cellStyle name="0_PAG consol 4+8 2" xfId="2885"/>
    <cellStyle name="0_PAG consol 84v3" xfId="2886"/>
    <cellStyle name="0_PAG consol 84v3 2" xfId="2887"/>
    <cellStyle name="0_PAG consol 9+3 DRAFT" xfId="2888"/>
    <cellStyle name="0_PAG consol 9+3 DRAFT 2" xfId="2889"/>
    <cellStyle name="0_PAG consol 93" xfId="2890"/>
    <cellStyle name="0_PAG consol 93 2" xfId="2891"/>
    <cellStyle name="0_Page 1f" xfId="2892"/>
    <cellStyle name="0_Page 1f 2" xfId="2893"/>
    <cellStyle name="0_Page 3- Volvo" xfId="2894"/>
    <cellStyle name="0_Page 3- Volvo 2" xfId="2895"/>
    <cellStyle name="0_Panel 2.xls Global Mkt Equation" xfId="2896"/>
    <cellStyle name="0_Panel 2.xls Global Mkt Equation 2" xfId="2897"/>
    <cellStyle name="0_Paula" xfId="2898"/>
    <cellStyle name="0_Paula 2" xfId="2899"/>
    <cellStyle name="0_PHYSICAL ASSUMPTIONS may22" xfId="2900"/>
    <cellStyle name="0_PHYSICAL ASSUMPTIONS may22 2" xfId="2901"/>
    <cellStyle name="0_PJD review" xfId="2902"/>
    <cellStyle name="0_PJD review 2" xfId="2903"/>
    <cellStyle name="0_PJD Review June 17" xfId="2904"/>
    <cellStyle name="0_PJD Review June 17 2" xfId="2905"/>
    <cellStyle name="0_PJD.Fcst651.2+10.R&amp;O.v1" xfId="2906"/>
    <cellStyle name="0_PJD.Fcst651.2+10.R&amp;O.v1 2" xfId="2907"/>
    <cellStyle name="0_PJD.Fcst652.3+9.R&amp;O.v1" xfId="2908"/>
    <cellStyle name="0_PJD.Fcst652.3+9.R&amp;O.v1 2" xfId="2909"/>
    <cellStyle name="0_PJD.Final.v5" xfId="2910"/>
    <cellStyle name="0_PJD.Final.v5 2" xfId="2911"/>
    <cellStyle name="0_PJD.MOT.032801" xfId="2912"/>
    <cellStyle name="0_PJD.MOT.032801 2" xfId="2913"/>
    <cellStyle name="0_PJD.Review.0822" xfId="2914"/>
    <cellStyle name="0_PJD.Review.0822 2" xfId="2915"/>
    <cellStyle name="0_PJD.Review.0831" xfId="2916"/>
    <cellStyle name="0_PJD.Review.0831 2" xfId="2917"/>
    <cellStyle name="0_PJDDRL.Forecast.Detail.Review" xfId="2918"/>
    <cellStyle name="0_PJDDRL.Forecast.Detail.Review 2" xfId="2919"/>
    <cellStyle name="0_PMM Finance Slides Excel Backup_v15 " xfId="2920"/>
    <cellStyle name="0_PMM Finance Slides Excel Backup_v15  2" xfId="2921"/>
    <cellStyle name="0_Poland December graph" xfId="2922"/>
    <cellStyle name="0_Poland December graph 2" xfId="2923"/>
    <cellStyle name="0_Poland November graph" xfId="2924"/>
    <cellStyle name="0_Poland November graph 2" xfId="2925"/>
    <cellStyle name="0_Pool Car Directive Summary Status 31May" xfId="2926"/>
    <cellStyle name="0_Pool Car Directive Summary Status 31May 2" xfId="2927"/>
    <cellStyle name="0_Portugal  December graph" xfId="2928"/>
    <cellStyle name="0_Portugal  December graph 2" xfId="2929"/>
    <cellStyle name="0_Portugal November graph" xfId="2930"/>
    <cellStyle name="0_Portugal November graph 2" xfId="2931"/>
    <cellStyle name="0_Powertrain Graphs" xfId="2932"/>
    <cellStyle name="0_Powertrain Graphs 2" xfId="2933"/>
    <cellStyle name="0_powertrain_260301" xfId="2934"/>
    <cellStyle name="0_PPR Apr 17" xfId="2935"/>
    <cellStyle name="0_PPR Apr 17 2" xfId="2936"/>
    <cellStyle name="0_Prelim BP" xfId="2937"/>
    <cellStyle name="0_Prelim BP 2" xfId="2938"/>
    <cellStyle name="0_Prelim BP_02 to 04RiskAdjustedOutlook_3_4" xfId="2939"/>
    <cellStyle name="0_Prelim BP_02 to 04RiskAdjustedOutlook_3_4 2" xfId="2940"/>
    <cellStyle name="0_Prelim BP_19 income statement" xfId="2941"/>
    <cellStyle name="0_Prelim BP_19 income statement 2" xfId="2942"/>
    <cellStyle name="0_Prelim BP_2" xfId="2943"/>
    <cellStyle name="0_Prelim BP_2 2" xfId="2944"/>
    <cellStyle name="0_Prelim BP_2_RO_Sept10" xfId="2945"/>
    <cellStyle name="0_Prelim BP_2_RO_Sept10 2" xfId="2946"/>
    <cellStyle name="0_Prelim BP_income statement_10_09" xfId="2947"/>
    <cellStyle name="0_Prelim BP_income statement_10_09 2" xfId="2948"/>
    <cellStyle name="0_Prelim BP_Lm bud perf" xfId="2949"/>
    <cellStyle name="0_Prelim BP_Lm bud perf 2" xfId="2950"/>
    <cellStyle name="0_Prelim BP_LM IncomeStatement5p7v2 " xfId="2951"/>
    <cellStyle name="0_Prelim BP_LM IncomeStatement5p7v2  2" xfId="2952"/>
    <cellStyle name="0_Prelim BP_LM4p8ForecastMay30v1" xfId="2953"/>
    <cellStyle name="0_Prelim BP_LM4p8ForecastMay30v1 2" xfId="2954"/>
    <cellStyle name="0_Prelim BP_NA CBG 12+0 Actual Draft" xfId="2955"/>
    <cellStyle name="0_Prelim BP_NA CBG 12+0 Actual Draft 2" xfId="2956"/>
    <cellStyle name="0_Production 2004" xfId="2957"/>
    <cellStyle name="0_Production 2004 2" xfId="2958"/>
    <cellStyle name="0_Program metrics 251102" xfId="2959"/>
    <cellStyle name="0_Program metrics 251102 2" xfId="2960"/>
    <cellStyle name="0_program_volumes_010302" xfId="2961"/>
    <cellStyle name="0_program_volumes_090201" xfId="2962"/>
    <cellStyle name="0_promatrix3" xfId="2963"/>
    <cellStyle name="0_promatrix3 2" xfId="2964"/>
    <cellStyle name="0_Proposed Forecast Stub" xfId="2965"/>
    <cellStyle name="0_Proposed Forecast Stub 2" xfId="2966"/>
    <cellStyle name="0_PSCPAGv13_5" xfId="2967"/>
    <cellStyle name="0_PSCPAGv13_5 2" xfId="2968"/>
    <cellStyle name="0_pto.DL detail fcst 3_20_10" xfId="2969"/>
    <cellStyle name="0_pto.DL detail fcst 3_20_10 2" xfId="2970"/>
    <cellStyle name="0_R&amp;O and Vol pages" xfId="2971"/>
    <cellStyle name="0_R&amp;O and Vol pages 2" xfId="2972"/>
    <cellStyle name="0_Ranger Input_Residuals_May" xfId="2973"/>
    <cellStyle name="0_Ranger Input_Residuals_May 2" xfId="2974"/>
    <cellStyle name="0_Ranger Transaction Price Metrics" xfId="2975"/>
    <cellStyle name="0_Ranger Transaction Price Metrics 2" xfId="2976"/>
    <cellStyle name="0_Recipients" xfId="2977"/>
    <cellStyle name="0_Recipients 2" xfId="2978"/>
    <cellStyle name="0_Regional MAM 2001 models 4th Qtr BOBR" xfId="2979"/>
    <cellStyle name="0_Regional MAM 2001 models 4th Qtr BOBR 2" xfId="2980"/>
    <cellStyle name="0_Residual Value 1-Pager" xfId="2981"/>
    <cellStyle name="0_Residual Value 1-Pager 2" xfId="2982"/>
    <cellStyle name="0_Retail and Wholesale Summary 2002B Published" xfId="2983"/>
    <cellStyle name="0_Retail and Wholesale Summary 2002B Published 2" xfId="2984"/>
    <cellStyle name="0_Retail and Wholesale Summary 2003A Plus Cons" xfId="2985"/>
    <cellStyle name="0_Retail and Wholesale Summary 2003A Plus Cons 2" xfId="2986"/>
    <cellStyle name="0_Retail and Wholesale Summary 2003B Cons Ver3.0" xfId="2987"/>
    <cellStyle name="0_Retail and Wholesale Summary 2003B Cons Ver3.0 2" xfId="2988"/>
    <cellStyle name="0_Retail and Wholesale Summary 2003B Tasked Ver3.1" xfId="2989"/>
    <cellStyle name="0_Retail and Wholesale Summary 2003B Tasked Ver3.1 2" xfId="2990"/>
    <cellStyle name="0_Rev. Euro Stat" xfId="2991"/>
    <cellStyle name="0_Revenue Continuum - FINAL 062107" xfId="2992"/>
    <cellStyle name="0_Revenue Continuum - FINAL 062107 2" xfId="2993"/>
    <cellStyle name="0_Revised BOM" xfId="2994"/>
    <cellStyle name="0_revised commitment summary AC" xfId="2995"/>
    <cellStyle name="0_revised commitment summary AC 2" xfId="2996"/>
    <cellStyle name="0_rev-roll" xfId="2997"/>
    <cellStyle name="0_rev-roll 2" xfId="2998"/>
    <cellStyle name="0_rf102201" xfId="2999"/>
    <cellStyle name="0_rf102201 2" xfId="3000"/>
    <cellStyle name="0_ROS Tracker - May 23rd DRAFT 10 pm" xfId="3001"/>
    <cellStyle name="0_ROS Tracker - May 23rd DRAFT 10 pm 2" xfId="3002"/>
    <cellStyle name="0_Russia November graph" xfId="3003"/>
    <cellStyle name="0_Russia November graph 2" xfId="3004"/>
    <cellStyle name="0_Sable Cost Walk 11-4" xfId="3005"/>
    <cellStyle name="0_Sable Cost Walk 11-4 2" xfId="3006"/>
    <cellStyle name="0_SAB-SAC take rate analysis " xfId="3007"/>
    <cellStyle name="0_SAB-SAC take rate analysis  2" xfId="3008"/>
    <cellStyle name="0_Salary Headcount" xfId="3009"/>
    <cellStyle name="0_Salary Headcount 2" xfId="3010"/>
    <cellStyle name="0_Salary Headcount_02 to 04RiskAdjustedOutlook_3_4" xfId="3011"/>
    <cellStyle name="0_Salary Headcount_02 to 04RiskAdjustedOutlook_3_4 2" xfId="3012"/>
    <cellStyle name="0_Salary Headcount_06MY Package Price Strategy proposal v3" xfId="3013"/>
    <cellStyle name="0_Salary Headcount_'11MY PA Status _mini BP submission_7_9_08" xfId="3014"/>
    <cellStyle name="0_Salary Headcount_19 income statement" xfId="3015"/>
    <cellStyle name="0_Salary Headcount_19 income statement 2" xfId="3016"/>
    <cellStyle name="0_Salary Headcount_2" xfId="3017"/>
    <cellStyle name="0_Salary Headcount_2 2" xfId="3018"/>
    <cellStyle name="0_Salary Headcount_2_RO_Sept10" xfId="3019"/>
    <cellStyle name="0_Salary Headcount_2_RO_Sept10 2" xfId="3020"/>
    <cellStyle name="0_Salary Headcount_2006_Metrics_ver_h_adjusted on march_20" xfId="3021"/>
    <cellStyle name="0_Salary Headcount_2006MY Escape Package and Price Strategy Template2" xfId="3022"/>
    <cellStyle name="0_Salary Headcount_2006MY Escape Package and Price Strategy Template2 2" xfId="3023"/>
    <cellStyle name="0_Salary Headcount_2007 Concern tracker 05-02-2005 " xfId="3024"/>
    <cellStyle name="0_Salary Headcount_4l Roadmap 2004_09_01 " xfId="3025"/>
    <cellStyle name="0_Salary Headcount_Book31" xfId="3026"/>
    <cellStyle name="0_Salary Headcount_CD378 PA 10-9-03 - PA var Mktg" xfId="3027"/>
    <cellStyle name="0_Salary Headcount_CD378 PA 10-9-03 - PA var Mktg 2" xfId="3028"/>
    <cellStyle name="0_Salary Headcount_CD378 PR 1-21-04" xfId="3029"/>
    <cellStyle name="0_Salary Headcount_CD378 PR 1-21-04 2" xfId="3030"/>
    <cellStyle name="0_Salary Headcount_Controllers.Review.CBG" xfId="3031"/>
    <cellStyle name="0_Salary Headcount_D333L(h)" xfId="3032"/>
    <cellStyle name="0_Salary Headcount_D333L(KO Final)" xfId="3033"/>
    <cellStyle name="0_Salary Headcount_GM Pwr Pack Spiders -- John-Doug Backup V2 Incl. Proposal" xfId="3034"/>
    <cellStyle name="0_Salary Headcount_GM Pwr Pack Spiders -- John-Doug Backup V2 Incl. Proposal 2" xfId="3035"/>
    <cellStyle name="0_Salary Headcount_income statement_10_09" xfId="3036"/>
    <cellStyle name="0_Salary Headcount_income statement_10_09 2" xfId="3037"/>
    <cellStyle name="0_Salary Headcount_Lm bud perf" xfId="3038"/>
    <cellStyle name="0_Salary Headcount_Lm bud perf 2" xfId="3039"/>
    <cellStyle name="0_Salary Headcount_LM IncomeStatement5p7v2 " xfId="3040"/>
    <cellStyle name="0_Salary Headcount_LM4p8ForecastMay30v1" xfId="3041"/>
    <cellStyle name="0_Salary Headcount_NA CBG 12+0 Actual Draft" xfId="3042"/>
    <cellStyle name="0_Salary Headcount_NA CBG 12+0 Actual Draft 2" xfId="3043"/>
    <cellStyle name="0_Salary Headcount_PA1_SI(updated3_26_04)VM&amp;ProfitImprovements" xfId="3044"/>
    <cellStyle name="0_Salary Headcount_PA1_SI(updated3_26_04)VM&amp;ProfitImprovements 2" xfId="3045"/>
    <cellStyle name="0_Salary Headcount_U377 MBO PA - Study Response MP&amp;L 9-3-04 " xfId="3046"/>
    <cellStyle name="0_Sales" xfId="3047"/>
    <cellStyle name="0_Sales 2" xfId="3048"/>
    <cellStyle name="0_Sales Graph" xfId="3049"/>
    <cellStyle name="0_Sales Graph 2" xfId="3050"/>
    <cellStyle name="0_Sales Input" xfId="3051"/>
    <cellStyle name="0_Sales Input 2" xfId="3052"/>
    <cellStyle name="0_Sales Pages" xfId="3053"/>
    <cellStyle name="0_Sales Pages 2" xfId="3054"/>
    <cellStyle name="0_Sales Summary" xfId="3055"/>
    <cellStyle name="0_Sales Summary 2" xfId="3056"/>
    <cellStyle name="0_SBP for Master Deck" xfId="3057"/>
    <cellStyle name="0_SBP for Master Deck 2" xfId="3058"/>
    <cellStyle name="0_Seats_BC_rev8" xfId="3059"/>
    <cellStyle name="0_Seats_BC_rev8 2" xfId="3060"/>
    <cellStyle name="0_Seats_BC_rev9_jay" xfId="3061"/>
    <cellStyle name="0_Seats_BC_rev9_jay 2" xfId="3062"/>
    <cellStyle name="0_seats_v3" xfId="3063"/>
    <cellStyle name="0_seats_v3 2" xfId="3064"/>
    <cellStyle name="0_Sept 24 SBG Volvo Cars" xfId="3065"/>
    <cellStyle name="0_Sept 24 SBG Volvo Cars 2" xfId="3066"/>
    <cellStyle name="0_September Roadmap List3" xfId="3067"/>
    <cellStyle name="0_September Roadmap List3 2" xfId="3068"/>
    <cellStyle name="0_Series Spiders" xfId="3069"/>
    <cellStyle name="0_Series Spiders 2" xfId="3070"/>
    <cellStyle name="0_Sheet1" xfId="3071"/>
    <cellStyle name="0_Sheet1 2" xfId="3072"/>
    <cellStyle name="0_Sheet1_settle pattern" xfId="3073"/>
    <cellStyle name="0_Sigma Zetec DOHC #667 " xfId="3074"/>
    <cellStyle name="0_Sigma Zetec DOHC #667  2" xfId="3075"/>
    <cellStyle name="0_Sigma Zetec DOHC #669 " xfId="3076"/>
    <cellStyle name="0_Sigma Zetec DOHC #669  2" xfId="3077"/>
    <cellStyle name="0_somp_roadmap 08" xfId="3078"/>
    <cellStyle name="0_somp_roadmap 08 2" xfId="3079"/>
    <cellStyle name="0_somp_roadmap 11" xfId="3080"/>
    <cellStyle name="0_somp_roadmap 11 2" xfId="3081"/>
    <cellStyle name="0_somp_roadmap 13" xfId="3082"/>
    <cellStyle name="0_somp_roadmap 13 2" xfId="3083"/>
    <cellStyle name="0_somp_roadmap 131" xfId="3084"/>
    <cellStyle name="0_somp_roadmap 131 2" xfId="3085"/>
    <cellStyle name="0_somp_roadmap 14" xfId="3086"/>
    <cellStyle name="0_somp_roadmap 14 2" xfId="3087"/>
    <cellStyle name="0_somp_roadmap 15" xfId="3088"/>
    <cellStyle name="0_somp_roadmap 15 2" xfId="3089"/>
    <cellStyle name="0_somp_roadmap 151" xfId="3090"/>
    <cellStyle name="0_somp_roadmap 151 2" xfId="3091"/>
    <cellStyle name="0_somp_roadmap 16" xfId="3092"/>
    <cellStyle name="0_somp_roadmap 16 2" xfId="3093"/>
    <cellStyle name="0_somp_roadmap 8b" xfId="3094"/>
    <cellStyle name="0_somp_roadmap 8b 2" xfId="3095"/>
    <cellStyle name="0_South america" xfId="3096"/>
    <cellStyle name="0_South america 2" xfId="3097"/>
    <cellStyle name="0_South america Metrics for MS" xfId="3098"/>
    <cellStyle name="0_South america Metrics for MS 2" xfId="3099"/>
    <cellStyle name="0_South America Metrics for MS 6p6" xfId="3100"/>
    <cellStyle name="0_South America Metrics for MS 6p6 2" xfId="3101"/>
    <cellStyle name="0_South America Metrics for MS 7p5" xfId="3102"/>
    <cellStyle name="0_South America Metrics for MS 7p5 2" xfId="3103"/>
    <cellStyle name="0_South America Metrics for MS 8p4" xfId="3104"/>
    <cellStyle name="0_South America Metrics for MS 8p4 2" xfId="3105"/>
    <cellStyle name="0_South America Metrics for MS 9p3" xfId="3106"/>
    <cellStyle name="0_South America Metrics for MS 9p3 2" xfId="3107"/>
    <cellStyle name="0_Spain December graph" xfId="3108"/>
    <cellStyle name="0_Spain December graph 2" xfId="3109"/>
    <cellStyle name="0_Spain November graph" xfId="3110"/>
    <cellStyle name="0_Spain November graph 2" xfId="3111"/>
    <cellStyle name="0_Stage V Ph 1 Dsl Tracking Charts" xfId="3112"/>
    <cellStyle name="0_Stage V Ph 1 Dsl Tracking Charts 2" xfId="3113"/>
    <cellStyle name="0_Stage V Ph 1 Dsl Tracking Charts v2" xfId="3114"/>
    <cellStyle name="0_Stage V Ph 1 Dsl Tracking Charts v2 2" xfId="3115"/>
    <cellStyle name="0_Stair_PA2_" xfId="3116"/>
    <cellStyle name="0_stamping spending &amp; assets" xfId="3117"/>
    <cellStyle name="0_stamping spending &amp; assets 2" xfId="3118"/>
    <cellStyle name="0_statusroadmap bw prior" xfId="3119"/>
    <cellStyle name="0_statusroadmap bw prior 2" xfId="3120"/>
    <cellStyle name="0_Sub B" xfId="3121"/>
    <cellStyle name="0_Sub B  B Car Cycle Plan Facer" xfId="3122"/>
    <cellStyle name="0_Sub B  B Car Cycle Plan Facer 2" xfId="3123"/>
    <cellStyle name="0_Sub B 2" xfId="3124"/>
    <cellStyle name="0_Sub B 3" xfId="3125"/>
    <cellStyle name="0_Sub B 4" xfId="3126"/>
    <cellStyle name="0_Sub B 5" xfId="3127"/>
    <cellStyle name="0_Sub B 6" xfId="3128"/>
    <cellStyle name="0_Sub B 7" xfId="3129"/>
    <cellStyle name="0_Sub B 8" xfId="3130"/>
    <cellStyle name="0_Sub B_1" xfId="3131"/>
    <cellStyle name="0_Sub B_1 2" xfId="3132"/>
    <cellStyle name="0_Sub B_1_Page 1f" xfId="3133"/>
    <cellStyle name="0_Sub B_1_Page 1f 2" xfId="3134"/>
    <cellStyle name="0_Sub B_Page 1f" xfId="3135"/>
    <cellStyle name="0_Sub B_Page 1f 2" xfId="3136"/>
    <cellStyle name="0_Submission1" xfId="3137"/>
    <cellStyle name="0_Submission1 2" xfId="3138"/>
    <cellStyle name="0_Summary" xfId="3139"/>
    <cellStyle name="0_Summary - April SoMP - Filed" xfId="3140"/>
    <cellStyle name="0_Summary - April SoMP - Filed 2" xfId="3141"/>
    <cellStyle name="0_Summary - April SoMP - Filed_CD340 PMM Filing 16.09.04" xfId="3142"/>
    <cellStyle name="0_Summary - April SoMP - Filed_CD340 PMM Filing 16.09.04 2" xfId="3143"/>
    <cellStyle name="0_Summary - April SoMP - Filed_SOMP_CD340 (11.11.04)" xfId="3144"/>
    <cellStyle name="0_Summary - April SoMP - Filed_SOMP_CD340 (11.11.04) 2" xfId="3145"/>
    <cellStyle name="0_Summary - April SoMP - Filed_VO Labour Status # 7" xfId="3146"/>
    <cellStyle name="0_Summary - April SoMP - Filed_VO Labour Status # 7 2" xfId="3147"/>
    <cellStyle name="0_Summary -- Vehicle Line Target Plans Example" xfId="3148"/>
    <cellStyle name="0_Summary All Functions_incl. PA Task v2" xfId="3149"/>
    <cellStyle name="0_Summary All Functions_incl. PA Task v2 2" xfId="3150"/>
    <cellStyle name="0_Summary Forecast" xfId="3151"/>
    <cellStyle name="0_Summary Forecast 2" xfId="3152"/>
    <cellStyle name="0_Summary Words Rewrite" xfId="3153"/>
    <cellStyle name="0_Summary Words Rewrite 2" xfId="3154"/>
    <cellStyle name="0_Summary_2000canadaslides" xfId="3155"/>
    <cellStyle name="0_Summary_2000canadaslides_651" xfId="3156"/>
    <cellStyle name="0_Summary_2001 111" xfId="3157"/>
    <cellStyle name="0_Summary_2001 210a" xfId="3158"/>
    <cellStyle name="0_Summary_2001psc728" xfId="3159"/>
    <cellStyle name="0_Summary_acsg2001" xfId="3160"/>
    <cellStyle name="0_Summary_appen" xfId="3161"/>
    <cellStyle name="0_Summary_AprilIMIOCM" xfId="3162"/>
    <cellStyle name="0_Summary_Book2" xfId="3163"/>
    <cellStyle name="0_Summary_Can_Sat" xfId="3164"/>
    <cellStyle name="0_Summary_Credit(111)" xfId="3165"/>
    <cellStyle name="0_Summary_Credit(210)" xfId="3166"/>
    <cellStyle name="0_Summary_ECM 651" xfId="3167"/>
    <cellStyle name="0_Summary_ecmdeck647" xfId="3168"/>
    <cellStyle name="0_Summary_LMECM 650" xfId="3169"/>
    <cellStyle name="0_Summary_South America Metrics for MS 1p11" xfId="3170"/>
    <cellStyle name="0_Summary_South America Metrics for MS 2p10" xfId="3171"/>
    <cellStyle name="0_Summary_US_Meeting_1112001" xfId="3172"/>
    <cellStyle name="0_Summary_US_Meeting_1112001March" xfId="3173"/>
    <cellStyle name="0_summary1" xfId="3174"/>
    <cellStyle name="0_summary1 2" xfId="3175"/>
    <cellStyle name="0_SUV wheelbase Premium Summary" xfId="3176"/>
    <cellStyle name="0_SUV wheelbase Premium Summary 2" xfId="3177"/>
    <cellStyle name="0_sw_v3" xfId="3178"/>
    <cellStyle name="0_sw_v3 2" xfId="3179"/>
    <cellStyle name="0_SWDAB_BC_rev6" xfId="3180"/>
    <cellStyle name="0_SWDAB_BC_rev6 2" xfId="3181"/>
    <cellStyle name="0_SWDAB_BC_rev8" xfId="3182"/>
    <cellStyle name="0_SWDAB_BC_rev8 2" xfId="3183"/>
    <cellStyle name="0_Sweden December graph" xfId="3184"/>
    <cellStyle name="0_Sweden December graph 2" xfId="3185"/>
    <cellStyle name="0_Sweden November graph" xfId="3186"/>
    <cellStyle name="0_Sweden November graph 2" xfId="3187"/>
    <cellStyle name="0_Switzerland December graph" xfId="3188"/>
    <cellStyle name="0_Switzerland December graph 2" xfId="3189"/>
    <cellStyle name="0_Switzerland November graph" xfId="3190"/>
    <cellStyle name="0_Switzerland November graph 2" xfId="3191"/>
    <cellStyle name="0_Taurus-Five Hundred" xfId="3192"/>
    <cellStyle name="0_Taurus-Five Hundred 2" xfId="3193"/>
    <cellStyle name="0_TFLE Benchmarking" xfId="3194"/>
    <cellStyle name="0_TFLE Benchmarking 2" xfId="3195"/>
    <cellStyle name="0_Timing" xfId="3196"/>
    <cellStyle name="0_Total" xfId="3197"/>
    <cellStyle name="0_Total 2" xfId="3198"/>
    <cellStyle name="0_Total Graphs 022003" xfId="3199"/>
    <cellStyle name="0_Total Graphs 022003 2" xfId="3200"/>
    <cellStyle name="0_Total Inventory" xfId="3201"/>
    <cellStyle name="0_Total Inventory 2" xfId="3202"/>
    <cellStyle name="0_Total.Mfg.v2.4+8.Update" xfId="3203"/>
    <cellStyle name="0_Total.Mfg.v2.4+8.Update 2" xfId="3204"/>
    <cellStyle name="0_Total_02 to 04RiskAdjustedOutlook_3_4" xfId="3205"/>
    <cellStyle name="0_Total_02 to 04RiskAdjustedOutlook_3_4 2" xfId="3206"/>
    <cellStyle name="0_Total_06MY Package Price Strategy proposal v3" xfId="3207"/>
    <cellStyle name="0_Total_'11MY PA Status _mini BP submission_7_9_08" xfId="3208"/>
    <cellStyle name="0_Total_19 income statement" xfId="3209"/>
    <cellStyle name="0_Total_19 income statement 2" xfId="3210"/>
    <cellStyle name="0_Total_2" xfId="3211"/>
    <cellStyle name="0_Total_2 2" xfId="3212"/>
    <cellStyle name="0_Total_2_RO_Sept10" xfId="3213"/>
    <cellStyle name="0_Total_2_RO_Sept10 2" xfId="3214"/>
    <cellStyle name="0_Total_2006_Metrics_ver_h_adjusted on march_20" xfId="3215"/>
    <cellStyle name="0_Total_2006MY Escape Package and Price Strategy Template2" xfId="3216"/>
    <cellStyle name="0_Total_2006MY Escape Package and Price Strategy Template2 2" xfId="3217"/>
    <cellStyle name="0_Total_2007 Concern tracker 05-02-2005 " xfId="3218"/>
    <cellStyle name="0_Total_4l Roadmap 2004_09_01 " xfId="3219"/>
    <cellStyle name="0_Total_Book31" xfId="3220"/>
    <cellStyle name="0_Total_CD378 PA 10-9-03 - PA var Mktg" xfId="3221"/>
    <cellStyle name="0_Total_CD378 PA 10-9-03 - PA var Mktg 2" xfId="3222"/>
    <cellStyle name="0_Total_CD378 PR 1-21-04" xfId="3223"/>
    <cellStyle name="0_Total_CD378 PR 1-21-04 2" xfId="3224"/>
    <cellStyle name="0_Total_Controllers.Review.CBG" xfId="3225"/>
    <cellStyle name="0_Total_D333L(h)" xfId="3226"/>
    <cellStyle name="0_Total_D333L(KO Final)" xfId="3227"/>
    <cellStyle name="0_Total_GM Pwr Pack Spiders -- John-Doug Backup V2 Incl. Proposal" xfId="3228"/>
    <cellStyle name="0_Total_GM Pwr Pack Spiders -- John-Doug Backup V2 Incl. Proposal 2" xfId="3229"/>
    <cellStyle name="0_Total_income statement_10_09" xfId="3230"/>
    <cellStyle name="0_Total_income statement_10_09 2" xfId="3231"/>
    <cellStyle name="0_Total_Lm bud perf" xfId="3232"/>
    <cellStyle name="0_Total_Lm bud perf 2" xfId="3233"/>
    <cellStyle name="0_Total_LM IncomeStatement5p7v2 " xfId="3234"/>
    <cellStyle name="0_Total_LM4p8ForecastMay30v1" xfId="3235"/>
    <cellStyle name="0_Total_NA CBG 12+0 Actual Draft" xfId="3236"/>
    <cellStyle name="0_Total_NA CBG 12+0 Actual Draft 2" xfId="3237"/>
    <cellStyle name="0_Total_PA1_SI(updated3_26_04)VM&amp;ProfitImprovements" xfId="3238"/>
    <cellStyle name="0_Total_PA1_SI(updated3_26_04)VM&amp;ProfitImprovements 2" xfId="3239"/>
    <cellStyle name="0_Total_U377 MBO PA - Study Response MP&amp;L 9-3-04 " xfId="3240"/>
    <cellStyle name="0_Totals" xfId="3241"/>
    <cellStyle name="0_Totals_acsg2001" xfId="3242"/>
    <cellStyle name="0_Totals_appen" xfId="3243"/>
    <cellStyle name="0_Totals_AprilIMIOCM" xfId="3244"/>
    <cellStyle name="0_Totals_Book2" xfId="3245"/>
    <cellStyle name="0_Totals_ecmdeck647" xfId="3246"/>
    <cellStyle name="0_Transaction Price Futuring for PST Milestone 072506" xfId="3247"/>
    <cellStyle name="0_Transaction Price Futuring for PST Milestone 072506 2" xfId="3248"/>
    <cellStyle name="0_Transaction Price Metrics Template" xfId="3249"/>
    <cellStyle name="0_Transaction Price Metrics Template 2" xfId="3250"/>
    <cellStyle name="0_Transaction Price Template" xfId="3251"/>
    <cellStyle name="0_Transaction Price Template 2" xfId="3252"/>
    <cellStyle name="0_Transit Answer" xfId="3253"/>
    <cellStyle name="0_Transit Answer 2" xfId="3254"/>
    <cellStyle name="0_Treasury FAW (assume lower D&amp;A)" xfId="3255"/>
    <cellStyle name="0_Treasury FAW (assume lower D&amp;A) 2" xfId="3256"/>
    <cellStyle name="0_Truck Cluster -- Vehicle Line Target Plans F150 Example" xfId="3257"/>
    <cellStyle name="0_U.S. Economics" xfId="3258"/>
    <cellStyle name="0_U.S. Economics 2" xfId="3259"/>
    <cellStyle name="0_U.S. Seg  Feedback form.2002A Key Const. Workplan.Final" xfId="3260"/>
    <cellStyle name="0_U204 2005MY  update2_May-2003" xfId="3261"/>
    <cellStyle name="0_U204 2005MY  update2_May-2003 2" xfId="3262"/>
    <cellStyle name="0_U204 SI Update Analysis1" xfId="3263"/>
    <cellStyle name="0_U204 SI Update Analysis1 2" xfId="3264"/>
    <cellStyle name="0_U204 Si VM Update 5-23-03" xfId="3265"/>
    <cellStyle name="0_U204 Si VM Update 5-23-03 2" xfId="3266"/>
    <cellStyle name="0_U251 Aviator Info_to_ProfitsMarch32" xfId="3267"/>
    <cellStyle name="0_U251 Aviator Info_to_ProfitsMarch32 2" xfId="3268"/>
    <cellStyle name="0_U251 Aviator Mkt Eq_PA_newseries" xfId="3269"/>
    <cellStyle name="0_U251 Aviator Mkt Eq_PA_newseries 2" xfId="3270"/>
    <cellStyle name="0_U251 base array proposal" xfId="3271"/>
    <cellStyle name="0_U251 base array proposal 2" xfId="3272"/>
    <cellStyle name="0_U251 Labor Summary for Russo Review (2.3.03)" xfId="3273"/>
    <cellStyle name="0_U251 Labor Summary for Russo Review (2.3.03) 2" xfId="3274"/>
    <cellStyle name="0_U251 PA VO Mgt Review" xfId="3275"/>
    <cellStyle name="0_U251 PA VO Mgt Review 2" xfId="3276"/>
    <cellStyle name="0_U251_Mountaineer_Market Equation" xfId="3277"/>
    <cellStyle name="0_U251_Mountaineer_Market Equation 2" xfId="3278"/>
    <cellStyle name="0_U251Aviator_PMRM" xfId="3279"/>
    <cellStyle name="0_U251Aviator_PMRM 2" xfId="3280"/>
    <cellStyle name="0_U251meeting" xfId="3281"/>
    <cellStyle name="0_U251meeting 2" xfId="3282"/>
    <cellStyle name="0_U251meeting1" xfId="3283"/>
    <cellStyle name="0_U251meeting1 2" xfId="3284"/>
    <cellStyle name="0_U251-PA-Update-Submitted-w-VolARSUpdates" xfId="3285"/>
    <cellStyle name="0_U251-PA-Update-Submitted-w-VolARSUpdates 2" xfId="3286"/>
    <cellStyle name="0_U251PriceWalk" xfId="3287"/>
    <cellStyle name="0_U251PriceWalk 2" xfId="3288"/>
    <cellStyle name="0_U251-UpdatedMarketEquation(Feb04Update)" xfId="3289"/>
    <cellStyle name="0_U251-UpdatedMarketEquation(Feb04Update) 2" xfId="3290"/>
    <cellStyle name="0_U293 SI VM Update 5-28-03" xfId="3291"/>
    <cellStyle name="0_U293 SI VM Update 5-28-03 2" xfId="3292"/>
    <cellStyle name="0_U368_369Spider_Feb4" xfId="3293"/>
    <cellStyle name="0_U368_369Spider_Feb4 2" xfId="3294"/>
    <cellStyle name="0_U368_SA_Loeffler Review 6-19-03" xfId="3295"/>
    <cellStyle name="0_U368_SA_Loeffler Review 6-19-03 2" xfId="3296"/>
    <cellStyle name="0_U369TrimSeriesContent_Feb4" xfId="3297"/>
    <cellStyle name="0_U369TrimSeriesContent_Feb4 2" xfId="3298"/>
    <cellStyle name="0_U374_VCompet_May13" xfId="3299"/>
    <cellStyle name="0_U374_VCompet_May13 2" xfId="3300"/>
    <cellStyle name="0_U374TrimSeriesContent_May13" xfId="3301"/>
    <cellStyle name="0_U374TrimSeriesContent_May13 2" xfId="3302"/>
    <cellStyle name="0_U377 MBO PA - Study Response MP&amp;L 9-3-04 " xfId="3303"/>
    <cellStyle name="0_U388 2 Series Nav" xfId="3304"/>
    <cellStyle name="0_U388 2 Series Nav 2" xfId="3305"/>
    <cellStyle name="0_US_Meeting_1112001" xfId="3306"/>
    <cellStyle name="0_US_Meeting_1112001March" xfId="3307"/>
    <cellStyle name="0_V191 UPP Oct " xfId="3308"/>
    <cellStyle name="0_V3.0 CapSumNoConst" xfId="3309"/>
    <cellStyle name="0_V3.0 CapSumNoConst 2" xfId="3310"/>
    <cellStyle name="0_V4 vs v2 (3)" xfId="3311"/>
    <cellStyle name="0_V4 vs v2 (3) 2" xfId="3312"/>
    <cellStyle name="0_var_cost_backup" xfId="3313"/>
    <cellStyle name="0_var_cost_backup 2" xfId="3314"/>
    <cellStyle name="0_Variable Cost_Tracking_AS_Jan2003" xfId="3315"/>
    <cellStyle name="0_Variable Cost_Tracking_AS_Jan2003 2" xfId="3316"/>
    <cellStyle name="0_vc detail" xfId="3317"/>
    <cellStyle name="0_vc detail 2" xfId="3318"/>
    <cellStyle name="0_Veh Vol Mtg Constituents.2001A" xfId="3319"/>
    <cellStyle name="0_VehPerfSumm" xfId="3320"/>
    <cellStyle name="0_VehPerfSumm 2" xfId="3321"/>
    <cellStyle name="0_VendorToolingWalk2711" xfId="3322"/>
    <cellStyle name="0_VendorToolingWalk2711 2" xfId="3323"/>
    <cellStyle name="0_VO Management Review Template - F236" xfId="3324"/>
    <cellStyle name="0_VO Management Review Template - F236 2" xfId="3325"/>
    <cellStyle name="0_VO Status 10-07-02" xfId="3326"/>
    <cellStyle name="0_VO Status 10-07-02 2" xfId="3327"/>
    <cellStyle name="0_Volume" xfId="3328"/>
    <cellStyle name="0_volume back-up june13" xfId="3329"/>
    <cellStyle name="0_volume back-up june13 2" xfId="3330"/>
    <cellStyle name="0_volume back-up may30" xfId="3331"/>
    <cellStyle name="0_volume back-up may30 2" xfId="3332"/>
    <cellStyle name="0_Volume.Summary.3+9" xfId="3333"/>
    <cellStyle name="0_Volume.Summary.3+9 2" xfId="3334"/>
    <cellStyle name="0_Volumes - Gemini Planning Deck - Lion V6" xfId="3335"/>
    <cellStyle name="0_Volumes - Gemini Planning Deck - Lion V6 2" xfId="3336"/>
    <cellStyle name="0_Volumes - Gemini Planning Deck - Lion V6_CD340 PMM Filing 16.09.04" xfId="3337"/>
    <cellStyle name="0_Volumes - Gemini Planning Deck - Lion V6_CD340 PMM Filing 16.09.04 2" xfId="3338"/>
    <cellStyle name="0_Volumes - Gemini Planning Deck - Lion V6_SOMP_CD340 (11.11.04)" xfId="3339"/>
    <cellStyle name="0_Volumes - Gemini Planning Deck - Lion V6_SOMP_CD340 (11.11.04) 2" xfId="3340"/>
    <cellStyle name="0_Volumes - Gemini Planning Deck - Lion V6_VO Labour Status # 7" xfId="3341"/>
    <cellStyle name="0_Volumes - Gemini Planning Deck - Lion V6_VO Labour Status # 7 2" xfId="3342"/>
    <cellStyle name="0_Volvo Budget Quarter Cash Flow 21Jan04" xfId="3343"/>
    <cellStyle name="0_Volvo Budget Quarter Cash Flow 21Jan04 2" xfId="3344"/>
    <cellStyle name="0_VolvocarsPSCjune14VCMTv10" xfId="3345"/>
    <cellStyle name="0_VolvocarsPSCjune14VCMTv10 2" xfId="3346"/>
    <cellStyle name="0_VolvocarsPSCjune14VCMTv14" xfId="3347"/>
    <cellStyle name="0_VolvocarsPSCjune14VCMTv14 2" xfId="3348"/>
    <cellStyle name="0_VT.Fuel.Steering.Wheels" xfId="3349"/>
    <cellStyle name="0_VT.Fuel.Steering.Wheels 2" xfId="3350"/>
    <cellStyle name="0_VT.Fuel.Steering.Wheels_SOMP_CD340 (11.11.04)" xfId="3351"/>
    <cellStyle name="0_VT.Fuel.Steering.Wheels_SOMP_CD340 (11.11.04) 2" xfId="3352"/>
    <cellStyle name="0_VT.Fuel.Steering.Wheels_VO Labour Status # 7" xfId="3353"/>
    <cellStyle name="0_VT.Fuel.Steering.Wheels_VO Labour Status # 7 2" xfId="3354"/>
    <cellStyle name="0_WLI Cycle Plan Graph A" xfId="3355"/>
    <cellStyle name="0_WLI Cycle Plan Graph A 2" xfId="3356"/>
    <cellStyle name="0_WLI Cycle Plan Graph A_SOMP_CD340 (11.11.04)" xfId="3357"/>
    <cellStyle name="0_WLI Cycle Plan Graph A_SOMP_CD340 (11.11.04) 2" xfId="3358"/>
    <cellStyle name="0_WLI Cycle Plan Graph A_VO Labour Status # 7" xfId="3359"/>
    <cellStyle name="0_WLI Cycle Plan Graph A_VO Labour Status # 7 2" xfId="3360"/>
    <cellStyle name="0_Worksheet in 2002AFSPickupSegmentationOnly" xfId="3361"/>
    <cellStyle name="0_Worksheet in 2002AFSPickupSegmentationOnly 2" xfId="3362"/>
    <cellStyle name="0_XX97CALB" xfId="3363"/>
    <cellStyle name="0_XX97CALB 2" xfId="3364"/>
    <cellStyle name="0_XX97CALB_02 to 04RiskAdjustedOutlook_3_4" xfId="3365"/>
    <cellStyle name="0_XX97CALB_02 to 04RiskAdjustedOutlook_3_4 2" xfId="3366"/>
    <cellStyle name="0_XX97CALB_06MY Package Price Strategy proposal v3" xfId="3367"/>
    <cellStyle name="0_XX97CALB_'11MY PA Status _mini BP submission_7_9_08" xfId="3368"/>
    <cellStyle name="0_XX97CALB_19 income statement" xfId="3369"/>
    <cellStyle name="0_XX97CALB_19 income statement 2" xfId="3370"/>
    <cellStyle name="0_XX97CALB_2" xfId="3371"/>
    <cellStyle name="0_XX97CALB_2 2" xfId="3372"/>
    <cellStyle name="0_XX97CALB_2_RO_Sept10" xfId="3373"/>
    <cellStyle name="0_XX97CALB_2_RO_Sept10 2" xfId="3374"/>
    <cellStyle name="0_XX97CALB_2006_Metrics_ver_h_adjusted on march_20" xfId="3375"/>
    <cellStyle name="0_XX97CALB_2006MY Escape Package and Price Strategy Template2" xfId="3376"/>
    <cellStyle name="0_XX97CALB_2006MY Escape Package and Price Strategy Template2 2" xfId="3377"/>
    <cellStyle name="0_XX97CALB_2007 Concern tracker 05-02-2005 " xfId="3378"/>
    <cellStyle name="0_XX97CALB_4l Roadmap 2004_09_01 " xfId="3379"/>
    <cellStyle name="0_XX97CALB_Book31" xfId="3380"/>
    <cellStyle name="0_XX97CALB_CD378 PA 10-9-03 - PA var Mktg" xfId="3381"/>
    <cellStyle name="0_XX97CALB_CD378 PA 10-9-03 - PA var Mktg 2" xfId="3382"/>
    <cellStyle name="0_XX97CALB_CD378 PR 1-21-04" xfId="3383"/>
    <cellStyle name="0_XX97CALB_CD378 PR 1-21-04 2" xfId="3384"/>
    <cellStyle name="0_XX97CALB_Controllers.Review.CBG" xfId="3385"/>
    <cellStyle name="0_XX97CALB_D333L(h)" xfId="3386"/>
    <cellStyle name="0_XX97CALB_D333L(KO Final)" xfId="3387"/>
    <cellStyle name="0_XX97CALB_GM Pwr Pack Spiders -- John-Doug Backup V2 Incl. Proposal" xfId="3388"/>
    <cellStyle name="0_XX97CALB_GM Pwr Pack Spiders -- John-Doug Backup V2 Incl. Proposal 2" xfId="3389"/>
    <cellStyle name="0_XX97CALB_income statement_10_09" xfId="3390"/>
    <cellStyle name="0_XX97CALB_income statement_10_09 2" xfId="3391"/>
    <cellStyle name="0_XX97CALB_Lm bud perf" xfId="3392"/>
    <cellStyle name="0_XX97CALB_Lm bud perf 2" xfId="3393"/>
    <cellStyle name="0_XX97CALB_LM IncomeStatement5p7v2 " xfId="3394"/>
    <cellStyle name="0_XX97CALB_LM4p8ForecastMay30v1" xfId="3395"/>
    <cellStyle name="0_XX97CALB_NA CBG 12+0 Actual Draft" xfId="3396"/>
    <cellStyle name="0_XX97CALB_NA CBG 12+0 Actual Draft 2" xfId="3397"/>
    <cellStyle name="0_XX97CALB_PA1_SI(updated3_26_04)VM&amp;ProfitImprovements" xfId="3398"/>
    <cellStyle name="0_XX97CALB_PA1_SI(updated3_26_04)VM&amp;ProfitImprovements 2" xfId="3399"/>
    <cellStyle name="0_XX97CALB_U377 MBO PA - Study Response MP&amp;L 9-3-04 " xfId="3400"/>
    <cellStyle name="0_XX98CALB" xfId="3401"/>
    <cellStyle name="0_XX98CALB 2" xfId="3402"/>
    <cellStyle name="0_XX98CALB 3" xfId="3403"/>
    <cellStyle name="0_XX98CALB_07 to 08MY Escape (3)" xfId="3404"/>
    <cellStyle name="0_XX98CALB_07 to 08MY Escape (3) 2" xfId="3405"/>
    <cellStyle name="0_XX98CALB_08MY Escape 2005 Bus. Plan MktEqn 8_4" xfId="3406"/>
    <cellStyle name="0_XX98CALB_08MY Escape 2005 Bus. Plan MktEqn 8_4 2" xfId="3407"/>
    <cellStyle name="0_XX98CALB_08MY Escape MktEqn Final 09 PSC" xfId="3408"/>
    <cellStyle name="0_XX98CALB_08MY Escape MktEqn Final 09 PSC 2" xfId="3409"/>
    <cellStyle name="0_XX98CALB_08MY Price Strategy Fusion Milan Master Deck Sync" xfId="3410"/>
    <cellStyle name="0_XX98CALB_08MY Price Strategy Fusion Milan Master Deck Sync 2" xfId="3411"/>
    <cellStyle name="0_XX98CALB_09 Escape PSC backup 3_2" xfId="3412"/>
    <cellStyle name="0_XX98CALB_09 Escape PSC backup 3_2 2" xfId="3413"/>
    <cellStyle name="0_XX98CALB_'11MY PA Status _mini BP submission_7_9_08" xfId="3414"/>
    <cellStyle name="0_XX98CALB_'11MY PA Status _mini BP submission_7_9_08 2" xfId="3415"/>
    <cellStyle name="0_XX98CALB_2006MY Escape Pkg-Price Strategy 4 pager v3.7 - FINAL - Main" xfId="3416"/>
    <cellStyle name="0_XX98CALB_2006MY Escape Pkg-Price Strategy 4 pager v3.7 - FINAL - Main 2" xfId="3417"/>
    <cellStyle name="0_XX98CALB_2007 Lexus Deck Ver 1 0 (2)" xfId="3418"/>
    <cellStyle name="0_XX98CALB_2007 Lexus Deck Ver 1 0 (2) 2" xfId="3419"/>
    <cellStyle name="0_XX98CALB_2007MY Escape &amp; Mariner Price Strategy_2-Pager_v5 (Offsite)" xfId="3420"/>
    <cellStyle name="0_XX98CALB_2007MY Escape &amp; Mariner Price Strategy_2-Pager_v5 (Offsite) 2" xfId="3421"/>
    <cellStyle name="0_XX98CALB_2007MY Expedition 4 Pager - 13-14% Margin - 3-16-06 AG Review " xfId="3422"/>
    <cellStyle name="0_XX98CALB_2007MY Expedition 4 Pager - 13-14% Margin - 3-16-06 AG Review  2" xfId="3423"/>
    <cellStyle name="0_XX98CALB_2007MY Navigator 4 Pager - Latest - 2K Ultimate - 3-16-06 AG Review " xfId="3424"/>
    <cellStyle name="0_XX98CALB_2007MY Navigator 4 Pager - Latest - 2K Ultimate - 3-16-06 AG Review  2" xfId="3425"/>
    <cellStyle name="0_XX98CALB_2007MY Pricing Review - Navigator Showroom Spider" xfId="3426"/>
    <cellStyle name="0_XX98CALB_2007MY Pricing Review - Navigator Showroom Spider 2" xfId="3427"/>
    <cellStyle name="0_XX98CALB_2007MY Pricing Review - Showroom Spider - 10-11-05 Revised" xfId="3428"/>
    <cellStyle name="0_XX98CALB_2007MY Pricing Review - Showroom Spider - 10-11-05 Revised 2" xfId="3429"/>
    <cellStyle name="0_XX98CALB_2008MY Thermometer Charts - updated with Tims EACs - vs 07MY Competition - Jan 2007" xfId="3430"/>
    <cellStyle name="0_XX98CALB_2008MY Thermometer Charts - updated with Tims EACs - vs 07MY Competition - Jan 2007 2" xfId="3431"/>
    <cellStyle name="0_XX98CALB_2009MY U377 PS PSRM" xfId="3432"/>
    <cellStyle name="0_XX98CALB_2009MY U377 PS PSRM 2" xfId="3433"/>
    <cellStyle name="0_XX98CALB_April 2004 Somp Deck" xfId="3434"/>
    <cellStyle name="0_XX98CALB_April 2004 Somp Deck 2" xfId="3435"/>
    <cellStyle name="0_XX98CALB_ATO_ROADMAP12" xfId="3436"/>
    <cellStyle name="0_XX98CALB_Aviator Contribution Cost Walk" xfId="3437"/>
    <cellStyle name="0_XX98CALB_Aviator Contribution Cost Walk 2" xfId="3438"/>
    <cellStyle name="0_XX98CALB_Book31" xfId="3439"/>
    <cellStyle name="0_XX98CALB_Book31 2" xfId="3440"/>
    <cellStyle name="0_XX98CALB_Book5" xfId="3441"/>
    <cellStyle name="0_XX98CALB_Book5 2" xfId="3442"/>
    <cellStyle name="0_XX98CALB_Brand Premium Summary" xfId="3443"/>
    <cellStyle name="0_XX98CALB_Brand Premium Summary 1112205" xfId="3444"/>
    <cellStyle name="0_XX98CALB_Brand Premium Summary 1112205 2" xfId="3445"/>
    <cellStyle name="0_XX98CALB_Brand Premium Summary 2" xfId="3446"/>
    <cellStyle name="0_XX98CALB_C307 August SoMP deck2" xfId="3447"/>
    <cellStyle name="0_XX98CALB_C307 August SoMP deck2 2" xfId="3448"/>
    <cellStyle name="0_XX98CALB_C307 September SoMP deck" xfId="3449"/>
    <cellStyle name="0_XX98CALB_C307 September SoMP deck 2" xfId="3450"/>
    <cellStyle name="0_XX98CALB_CD340 PMM Filing 16.09.04" xfId="3451"/>
    <cellStyle name="0_XX98CALB_CD340 PMM Filing 16.09.04 2" xfId="3452"/>
    <cellStyle name="0_XX98CALB_CD340 SoMP August" xfId="3453"/>
    <cellStyle name="0_XX98CALB_CD340 SoMP August 2" xfId="3454"/>
    <cellStyle name="0_XX98CALB_CD340 SoMP EOC May 12 ver2" xfId="3455"/>
    <cellStyle name="0_XX98CALB_CD340 SoMP EOC May 12 ver2 2" xfId="3456"/>
    <cellStyle name="0_XX98CALB_CD340 SoMP EOC May 12 ver2_SOMP_CD340 (11.11.04)" xfId="3457"/>
    <cellStyle name="0_XX98CALB_CD340 SoMP EOC May 12 ver2_SOMP_CD340 (11.11.04) 2" xfId="3458"/>
    <cellStyle name="0_XX98CALB_CD340 SoMP EOC May 12 ver2_VO Labour Status # 7" xfId="3459"/>
    <cellStyle name="0_XX98CALB_CD340 SoMP EOC May 12 ver2_VO Labour Status # 7 2" xfId="3460"/>
    <cellStyle name="0_XX98CALB_CD340 SoMP July" xfId="3461"/>
    <cellStyle name="0_XX98CALB_CD340 SoMP July 2" xfId="3462"/>
    <cellStyle name="0_XX98CALB_CD340 SoMP July_SOMP_CD340 (11.11.04)" xfId="3463"/>
    <cellStyle name="0_XX98CALB_CD340 SoMP July_SOMP_CD340 (11.11.04) 2" xfId="3464"/>
    <cellStyle name="0_XX98CALB_CD340 SoMP mar 121" xfId="3465"/>
    <cellStyle name="0_XX98CALB_CD340 SoMP mar 121 2" xfId="3466"/>
    <cellStyle name="0_XX98CALB_CD340 SoMP mar 121_SOMP_CD340 (11.11.04)" xfId="3467"/>
    <cellStyle name="0_XX98CALB_CD340 SoMP mar 121_SOMP_CD340 (11.11.04) 2" xfId="3468"/>
    <cellStyle name="0_XX98CALB_CD340 SoMP mar 121_VO Labour Status # 7" xfId="3469"/>
    <cellStyle name="0_XX98CALB_CD340 SoMP mar 121_VO Labour Status # 7 2" xfId="3470"/>
    <cellStyle name="0_XX98CALB_CD340 SoMP mar 9" xfId="3471"/>
    <cellStyle name="0_XX98CALB_CD340 SoMP mar 9 2" xfId="3472"/>
    <cellStyle name="0_XX98CALB_CD340 SoMP mar 9_SOMP_CD340 (11.11.04)" xfId="3473"/>
    <cellStyle name="0_XX98CALB_CD340 SoMP mar 9_SOMP_CD340 (11.11.04) 2" xfId="3474"/>
    <cellStyle name="0_XX98CALB_CD340 SoMP mar 9_VO Labour Status # 7" xfId="3475"/>
    <cellStyle name="0_XX98CALB_CD340 SoMP mar 9_VO Labour Status # 7 2" xfId="3476"/>
    <cellStyle name="0_XX98CALB_CD340 SoMP March 30" xfId="3477"/>
    <cellStyle name="0_XX98CALB_CD340 SoMP March 30 2" xfId="3478"/>
    <cellStyle name="0_XX98CALB_CD340 SoMP March 30_SOMP_CD340 (11.11.04)" xfId="3479"/>
    <cellStyle name="0_XX98CALB_CD340 SoMP March 30_SOMP_CD340 (11.11.04) 2" xfId="3480"/>
    <cellStyle name="0_XX98CALB_CD340 SoMP March 30_VO Labour Status # 7" xfId="3481"/>
    <cellStyle name="0_XX98CALB_CD340 SoMP March 30_VO Labour Status # 7 2" xfId="3482"/>
    <cellStyle name="0_XX98CALB_CD345 Freight PA Status - 270804a" xfId="3483"/>
    <cellStyle name="0_XX98CALB_CD345 Freight PA Status - 270804a 2" xfId="3484"/>
    <cellStyle name="0_XX98CALB_CD345 Freight PA Status - 300904 #1" xfId="3485"/>
    <cellStyle name="0_XX98CALB_CD345 Freight PA Status - 300904 #1 2" xfId="3486"/>
    <cellStyle name="0_XX98CALB_CD378 PA 10-9-03 - PA var Mktg" xfId="3487"/>
    <cellStyle name="0_XX98CALB_CD378 PA 10-9-03 - PA var Mktg 2" xfId="3488"/>
    <cellStyle name="0_XX98CALB_CD378 PR 1-21-04" xfId="3489"/>
    <cellStyle name="0_XX98CALB_CD378 PR 1-21-04 2" xfId="3490"/>
    <cellStyle name="0_XX98CALB_Common Finance backup for SI - PA Milestones" xfId="3491"/>
    <cellStyle name="0_XX98CALB_Common Finance backup for SI - PA Milestones 2" xfId="3492"/>
    <cellStyle name="0_XX98CALB_D333L(h)" xfId="3493"/>
    <cellStyle name="0_XX98CALB_D333L(h) 2" xfId="3494"/>
    <cellStyle name="0_XX98CALB_D333L(KO Final)" xfId="3495"/>
    <cellStyle name="0_XX98CALB_D333L(KO Final) 2" xfId="3496"/>
    <cellStyle name="0_XX98CALB_DEA Form to match Turbo Tax Form Example" xfId="3497"/>
    <cellStyle name="0_XX98CALB_DEA Form to match Turbo Tax Form Example 2" xfId="3498"/>
    <cellStyle name="0_XX98CALB_EAC summary" xfId="3499"/>
    <cellStyle name="0_XX98CALB_EAC summary 2" xfId="3500"/>
    <cellStyle name="0_XX98CALB_Expedition 2006MY Price Strategy_FINAL" xfId="3501"/>
    <cellStyle name="0_XX98CALB_Expedition 2006MY Price Strategy_FINAL 2" xfId="3502"/>
    <cellStyle name="0_XX98CALB_FINAL October Proposal -- Lyons" xfId="3503"/>
    <cellStyle name="0_XX98CALB_FINAL October Proposal -- Lyons 2" xfId="3504"/>
    <cellStyle name="0_XX98CALB_Finance_May 2004 Somp Deck" xfId="3505"/>
    <cellStyle name="0_XX98CALB_Finance_May 2004 Somp Deck 2" xfId="3506"/>
    <cellStyle name="0_XX98CALB_Fusion and Milan Price Strategy_2-Pager --Summary Deck" xfId="3507"/>
    <cellStyle name="0_XX98CALB_Fusion and Milan Price Strategy_2-Pager --Summary Deck 2" xfId="3508"/>
    <cellStyle name="0_XX98CALB_Investment Tracker_05_20_02 revise to tie to 1107" xfId="3509"/>
    <cellStyle name="0_XX98CALB_Investment Tracker_05_20_02 revise to tie to 1107 2" xfId="3510"/>
    <cellStyle name="0_XX98CALB_July 2004 Somp PD Cont Margin Review" xfId="3511"/>
    <cellStyle name="0_XX98CALB_July 2004 Somp PD Cont Margin Review 2" xfId="3512"/>
    <cellStyle name="0_XX98CALB_March 2004 Somp Deck2 - After Margin Meeting" xfId="3513"/>
    <cellStyle name="0_XX98CALB_March 2004 Somp Deck2 - After Margin Meeting 2" xfId="3514"/>
    <cellStyle name="0_XX98CALB_March 2004 Somp Deck3 - March 22 2004" xfId="3515"/>
    <cellStyle name="0_XX98CALB_March 2004 Somp Deck3 - March 22 2004 2" xfId="3516"/>
    <cellStyle name="0_XX98CALB_Market Equation Reconciliation - 2005BP Status vs PA - Expedition Navigator - MC Review" xfId="3517"/>
    <cellStyle name="0_XX98CALB_Market Equation Reconciliation - 2005BP Status vs PA - Expedition Navigator - MC Review 2" xfId="3518"/>
    <cellStyle name="0_XX98CALB_May 24 JDC, DJP Review (slides and agenda)" xfId="3519"/>
    <cellStyle name="0_XX98CALB_May 24 JDC, DJP Review (slides and agenda) 2" xfId="3520"/>
    <cellStyle name="0_XX98CALB_Mix Master File" xfId="3521"/>
    <cellStyle name="0_XX98CALB_Mix Master File 2" xfId="3522"/>
    <cellStyle name="0_XX98CALB_Mountaineer Trim Spider 10.27.04 REVISED 11.03.04 MTG W PG" xfId="3523"/>
    <cellStyle name="0_XX98CALB_Mountaineer Trim Spider 10.27.04 REVISED 11.03.04 MTG W PG 2" xfId="3524"/>
    <cellStyle name="0_XX98CALB_Navigator 2006MY Price Strategy_FINAL" xfId="3525"/>
    <cellStyle name="0_XX98CALB_Navigator 2006MY Price Strategy_FINAL 2" xfId="3526"/>
    <cellStyle name="0_XX98CALB_PA1_SI(updated3_26_04)VM&amp;ProfitImprovements" xfId="3527"/>
    <cellStyle name="0_XX98CALB_PA1_SI(updated3_26_04)VM&amp;ProfitImprovements 2" xfId="3528"/>
    <cellStyle name="0_XX98CALB_PMM Finance Slides Excel Backup_v15 " xfId="3529"/>
    <cellStyle name="0_XX98CALB_PMM Finance Slides Excel Backup_v15  2" xfId="3530"/>
    <cellStyle name="0_XX98CALB_PSRM Backup Slides" xfId="3531"/>
    <cellStyle name="0_XX98CALB_PSRM Backup Slides 2" xfId="3532"/>
    <cellStyle name="0_XX98CALB_S197 2007MY PA Market Equation Commitment 090804 no BP" xfId="3533"/>
    <cellStyle name="0_XX98CALB_S197 2007MY PA Market Equation Commitment 090804 no BP 2" xfId="3534"/>
    <cellStyle name="0_XX98CALB_S389 SOMP Report 2004-07-05" xfId="3535"/>
    <cellStyle name="0_XX98CALB_S389 SOMP Report 2004-07-05 2" xfId="3536"/>
    <cellStyle name="0_XX98CALB_Sept SoMP" xfId="3537"/>
    <cellStyle name="0_XX98CALB_Sept SoMP 2" xfId="3538"/>
    <cellStyle name="0_XX98CALB_Sister Vehicle EAC" xfId="3539"/>
    <cellStyle name="0_XX98CALB_Sister Vehicle EAC 2" xfId="3540"/>
    <cellStyle name="0_XX98CALB_SOMP CD345 (11.11.04)" xfId="3541"/>
    <cellStyle name="0_XX98CALB_SOMP CD345 (11.11.04) 2" xfId="3542"/>
    <cellStyle name="0_XX98CALB_SOMP June 04 - CD3xx V347 C307" xfId="3543"/>
    <cellStyle name="0_XX98CALB_SOMP June 04 - CD3xx V347 C307 2" xfId="3544"/>
    <cellStyle name="0_XX98CALB_SOMP_ V34X_(14.06.2005)" xfId="3545"/>
    <cellStyle name="0_XX98CALB_SOMP_ V34X_(14.06.2005) 2" xfId="3546"/>
    <cellStyle name="0_XX98CALB_SOMP_C307 (11.11.04)" xfId="3547"/>
    <cellStyle name="0_XX98CALB_SOMP_C307 (11.11.04) 2" xfId="3548"/>
    <cellStyle name="0_XX98CALB_SOMP_CD340 (11.11.04)" xfId="3549"/>
    <cellStyle name="0_XX98CALB_SOMP_CD340 (11.11.04) 2" xfId="3550"/>
    <cellStyle name="0_XX98CALB_SOMP_V3478 (11.11.04)" xfId="3551"/>
    <cellStyle name="0_XX98CALB_SOMP_V3478 (11.11.04) 2" xfId="3552"/>
    <cellStyle name="0_XX98CALB_Status Update 10-19-05" xfId="3553"/>
    <cellStyle name="0_XX98CALB_Status Update 10-19-05 2" xfId="3554"/>
    <cellStyle name="0_XX98CALB_SUV wheelbase Premium Summary" xfId="3555"/>
    <cellStyle name="0_XX98CALB_SUV wheelbase Premium Summary 2" xfId="3556"/>
    <cellStyle name="0_XX98CALB_TFLE Benchmarking" xfId="3557"/>
    <cellStyle name="0_XX98CALB_TFLE Benchmarking 2" xfId="3558"/>
    <cellStyle name="0_XX98CALB_TRANS PRICE RELATIONSHIPS12" xfId="3559"/>
    <cellStyle name="0_XX98CALB_TRANS PRICE RELATIONSHIPS12 2" xfId="3560"/>
    <cellStyle name="0_XX98CALB_Transaction Price Futuring for PST Milestone 072506" xfId="3561"/>
    <cellStyle name="0_XX98CALB_Transaction Price Futuring for PST Milestone 072506 2" xfId="3562"/>
    <cellStyle name="0_XX98CALB_Trim Spiders Proposed" xfId="3563"/>
    <cellStyle name="0_XX98CALB_Trim Spiders Proposed 2" xfId="3564"/>
    <cellStyle name="0_XX98CALB_U388 2 Series Nav" xfId="3565"/>
    <cellStyle name="0_XX98CALB_U388 2 Series Nav 2" xfId="3566"/>
    <cellStyle name="0_YE Walk (75 to 84)" xfId="3567"/>
    <cellStyle name="0_YE Walk (75 to 84) 2" xfId="3568"/>
    <cellStyle name="0_Year.Year.Summary" xfId="3569"/>
    <cellStyle name="0_Year.Year.Summary 2" xfId="3570"/>
    <cellStyle name="0_YOY 02 vs 01 658 vol changes_6" xfId="3571"/>
    <cellStyle name="0_YOY 02 vs 01 658 vol changes_6 2" xfId="3572"/>
    <cellStyle name="0_YOY.CPU.Walk" xfId="3573"/>
    <cellStyle name="0_YOY.CPU.Walk 2" xfId="3574"/>
    <cellStyle name="00.00" xfId="3575"/>
    <cellStyle name="1" xfId="3576"/>
    <cellStyle name="1 2" xfId="3577"/>
    <cellStyle name="1_1" xfId="3578"/>
    <cellStyle name="1_1 2" xfId="3579"/>
    <cellStyle name="1_1_1" xfId="3580"/>
    <cellStyle name="1_1_1 2" xfId="3581"/>
    <cellStyle name="1_1_1_C1 Cost - Review(yng)1_J68 Chunk Summary_J68C- Roadmap #4 524Liaison070524 " xfId="3582"/>
    <cellStyle name="1_1_1_C1 Cost - Review(yng)1_J68 Chunk Summary_J68C- Roadmap #4 524Liaison070524  2" xfId="3583"/>
    <cellStyle name="1_1_1_C1 Cost - Review(yng)1_J68 Chunk Summary_J68C- Roadmap #4 Liaison070524A " xfId="3584"/>
    <cellStyle name="1_1_1_C1 Cost - Review(yng)1_J68 Chunk Summary_J68C- Roadmap #4 Liaison070524A  2" xfId="3585"/>
    <cellStyle name="1_1_1_C1 Cost - Review(yng)1_J68 Chunk Summary_J68C- Roadmap #4 Liaison070524A Glide Pass " xfId="3586"/>
    <cellStyle name="1_1_1_C1 Cost - Review(yng)1_J68 Chunk Summary_J68C- Roadmap #4 Liaison070524A Glide Pass  2" xfId="3587"/>
    <cellStyle name="1_1_1_C1 Cost - Review(yng)1_J68 Chunk Summary_J68C- Roadmap #4 Liaison070529 Glide Pass " xfId="3588"/>
    <cellStyle name="1_1_1_C1 Cost - Review(yng)1_J68 Chunk Summary_J68C- Roadmap #4 Liaison070529 Glide Pass  2" xfId="3589"/>
    <cellStyle name="1_1_1_C1 Cost - Review(yng)1_J68 target cascade Study 060522-2 (2)_J68C- Roadmap #4 524Liaison070524 " xfId="3590"/>
    <cellStyle name="1_1_1_C1 Cost - Review(yng)1_J68 target cascade Study 060522-2 (2)_J68C- Roadmap #4 524Liaison070524  2" xfId="3591"/>
    <cellStyle name="1_1_1_C1 Cost - Review(yng)1_J68 target cascade Study 060522-2 (2)_J68C- Roadmap #4 Liaison070524A " xfId="3592"/>
    <cellStyle name="1_1_1_C1 Cost - Review(yng)1_J68 target cascade Study 060522-2 (2)_J68C- Roadmap #4 Liaison070524A  2" xfId="3593"/>
    <cellStyle name="1_1_1_C1 Cost - Review(yng)1_J68 target cascade Study 060522-2 (2)_J68C- Roadmap #4 Liaison070524A Glide Pass " xfId="3594"/>
    <cellStyle name="1_1_1_C1 Cost - Review(yng)1_J68 target cascade Study 060522-2 (2)_J68C- Roadmap #4 Liaison070524A Glide Pass  2" xfId="3595"/>
    <cellStyle name="1_1_1_C1 Cost - Review(yng)1_J68 target cascade Study 060522-2 (2)_J68C- Roadmap #4 Liaison070529 Glide Pass " xfId="3596"/>
    <cellStyle name="1_1_1_C1 Cost - Review(yng)1_J68 target cascade Study 060522-2 (2)_J68C- Roadmap #4 Liaison070529 Glide Pass  2" xfId="3597"/>
    <cellStyle name="1_1_1_C1 Cost - Review(yng)1_J68 target cascade Study 060526　Final(3) xls_J68C- Roadmap #4 524Liaison070524 " xfId="3598"/>
    <cellStyle name="1_1_1_C1 Cost - Review(yng)1_J68 target cascade Study 060526　Final(3) xls_J68C- Roadmap #4 524Liaison070524  2" xfId="3599"/>
    <cellStyle name="1_1_1_C1 Cost - Review(yng)1_J68 target cascade Study 060526　Final(3) xls_J68C- Roadmap #4 Liaison070524A " xfId="3600"/>
    <cellStyle name="1_1_1_C1 Cost - Review(yng)1_J68 target cascade Study 060526　Final(3) xls_J68C- Roadmap #4 Liaison070524A  2" xfId="3601"/>
    <cellStyle name="1_1_1_C1 Cost - Review(yng)1_J68 target cascade Study 060526　Final(3) xls_J68C- Roadmap #4 Liaison070524A Glide Pass " xfId="3602"/>
    <cellStyle name="1_1_1_C1 Cost - Review(yng)1_J68 target cascade Study 060526　Final(3) xls_J68C- Roadmap #4 Liaison070524A Glide Pass  2" xfId="3603"/>
    <cellStyle name="1_1_1_C1 Cost - Review(yng)1_J68 target cascade Study 060526　Final(3) xls_J68C- Roadmap #4 Liaison070529 Glide Pass " xfId="3604"/>
    <cellStyle name="1_1_1_C1 Cost - Review(yng)1_J68 target cascade Study 060526　Final(3) xls_J68C- Roadmap #4 Liaison070529 Glide Pass  2" xfId="3605"/>
    <cellStyle name="1_1_1_C1 Cost - Review(yng)1_J68C- Roadmap #4 524Liaison070524 " xfId="3606"/>
    <cellStyle name="1_1_1_C1 Cost - Review(yng)1_J68C- Roadmap #4 524Liaison070524  2" xfId="3607"/>
    <cellStyle name="1_1_1_C1 Cost - Review(yng)1_J68C- Roadmap #4 Liaison070524A " xfId="3608"/>
    <cellStyle name="1_1_1_C1 Cost - Review(yng)1_J68C- Roadmap #4 Liaison070524A  2" xfId="3609"/>
    <cellStyle name="1_1_1_C1 Cost - Review(yng)1_J68C- Roadmap #4 Liaison070524A Glide Pass " xfId="3610"/>
    <cellStyle name="1_1_1_C1 Cost - Review(yng)1_J68C- Roadmap #4 Liaison070524A Glide Pass  2" xfId="3611"/>
    <cellStyle name="1_1_1_C1 Cost - Review(yng)1_J68C- Roadmap #4 Liaison070529 Glide Pass " xfId="3612"/>
    <cellStyle name="1_1_1_C1 Cost - Review(yng)1_J68C- Roadmap #4 Liaison070529 Glide Pass  2" xfId="3613"/>
    <cellStyle name="1_1_1_D&amp;A" xfId="3614"/>
    <cellStyle name="1_1_1_D&amp;A 2" xfId="3615"/>
    <cellStyle name="1_1_1_D&amp;A_C1 Cost - Review(yng)1_J68 Chunk Summary_J68C- Roadmap #4 524Liaison070524 " xfId="3616"/>
    <cellStyle name="1_1_1_D&amp;A_C1 Cost - Review(yng)1_J68 Chunk Summary_J68C- Roadmap #4 524Liaison070524  2" xfId="3617"/>
    <cellStyle name="1_1_1_D&amp;A_C1 Cost - Review(yng)1_J68 Chunk Summary_J68C- Roadmap #4 Liaison070524A " xfId="3618"/>
    <cellStyle name="1_1_1_D&amp;A_C1 Cost - Review(yng)1_J68 Chunk Summary_J68C- Roadmap #4 Liaison070524A  2" xfId="3619"/>
    <cellStyle name="1_1_1_D&amp;A_C1 Cost - Review(yng)1_J68 Chunk Summary_J68C- Roadmap #4 Liaison070524A Glide Pass " xfId="3620"/>
    <cellStyle name="1_1_1_D&amp;A_C1 Cost - Review(yng)1_J68 Chunk Summary_J68C- Roadmap #4 Liaison070524A Glide Pass  2" xfId="3621"/>
    <cellStyle name="1_1_1_D&amp;A_C1 Cost - Review(yng)1_J68 Chunk Summary_J68C- Roadmap #4 Liaison070529 Glide Pass " xfId="3622"/>
    <cellStyle name="1_1_1_D&amp;A_C1 Cost - Review(yng)1_J68 Chunk Summary_J68C- Roadmap #4 Liaison070529 Glide Pass  2" xfId="3623"/>
    <cellStyle name="1_1_1_D&amp;A_C1 Cost - Review(yng)1_J68 target cascade Study 060522-2 (2)_J68C- Roadmap #4 524Liaison070524 " xfId="3624"/>
    <cellStyle name="1_1_1_D&amp;A_C1 Cost - Review(yng)1_J68 target cascade Study 060522-2 (2)_J68C- Roadmap #4 524Liaison070524  2" xfId="3625"/>
    <cellStyle name="1_1_1_D&amp;A_C1 Cost - Review(yng)1_J68 target cascade Study 060522-2 (2)_J68C- Roadmap #4 Liaison070524A " xfId="3626"/>
    <cellStyle name="1_1_1_D&amp;A_C1 Cost - Review(yng)1_J68 target cascade Study 060522-2 (2)_J68C- Roadmap #4 Liaison070524A  2" xfId="3627"/>
    <cellStyle name="1_1_1_D&amp;A_C1 Cost - Review(yng)1_J68 target cascade Study 060522-2 (2)_J68C- Roadmap #4 Liaison070524A Glide Pass " xfId="3628"/>
    <cellStyle name="1_1_1_D&amp;A_C1 Cost - Review(yng)1_J68 target cascade Study 060522-2 (2)_J68C- Roadmap #4 Liaison070524A Glide Pass  2" xfId="3629"/>
    <cellStyle name="1_1_1_D&amp;A_C1 Cost - Review(yng)1_J68 target cascade Study 060522-2 (2)_J68C- Roadmap #4 Liaison070529 Glide Pass " xfId="3630"/>
    <cellStyle name="1_1_1_D&amp;A_C1 Cost - Review(yng)1_J68 target cascade Study 060522-2 (2)_J68C- Roadmap #4 Liaison070529 Glide Pass  2" xfId="3631"/>
    <cellStyle name="1_1_1_D&amp;A_C1 Cost - Review(yng)1_J68 target cascade Study 060526　Final(3) xls_J68C- Roadmap #4 524Liaison070524 " xfId="3632"/>
    <cellStyle name="1_1_1_D&amp;A_C1 Cost - Review(yng)1_J68 target cascade Study 060526　Final(3) xls_J68C- Roadmap #4 524Liaison070524  2" xfId="3633"/>
    <cellStyle name="1_1_1_D&amp;A_C1 Cost - Review(yng)1_J68 target cascade Study 060526　Final(3) xls_J68C- Roadmap #4 Liaison070524A " xfId="3634"/>
    <cellStyle name="1_1_1_D&amp;A_C1 Cost - Review(yng)1_J68 target cascade Study 060526　Final(3) xls_J68C- Roadmap #4 Liaison070524A  2" xfId="3635"/>
    <cellStyle name="1_1_1_D&amp;A_C1 Cost - Review(yng)1_J68 target cascade Study 060526　Final(3) xls_J68C- Roadmap #4 Liaison070524A Glide Pass " xfId="3636"/>
    <cellStyle name="1_1_1_D&amp;A_C1 Cost - Review(yng)1_J68 target cascade Study 060526　Final(3) xls_J68C- Roadmap #4 Liaison070524A Glide Pass  2" xfId="3637"/>
    <cellStyle name="1_1_1_D&amp;A_C1 Cost - Review(yng)1_J68 target cascade Study 060526　Final(3) xls_J68C- Roadmap #4 Liaison070529 Glide Pass " xfId="3638"/>
    <cellStyle name="1_1_1_D&amp;A_C1 Cost - Review(yng)1_J68 target cascade Study 060526　Final(3) xls_J68C- Roadmap #4 Liaison070529 Glide Pass  2" xfId="3639"/>
    <cellStyle name="1_1_1_D&amp;A_C1 Cost - Review(yng)1_J68C- Roadmap #4 524Liaison070524 " xfId="3640"/>
    <cellStyle name="1_1_1_D&amp;A_C1 Cost - Review(yng)1_J68C- Roadmap #4 524Liaison070524  2" xfId="3641"/>
    <cellStyle name="1_1_1_D&amp;A_C1 Cost - Review(yng)1_J68C- Roadmap #4 Liaison070524A " xfId="3642"/>
    <cellStyle name="1_1_1_D&amp;A_C1 Cost - Review(yng)1_J68C- Roadmap #4 Liaison070524A  2" xfId="3643"/>
    <cellStyle name="1_1_1_D&amp;A_C1 Cost - Review(yng)1_J68C- Roadmap #4 Liaison070524A Glide Pass " xfId="3644"/>
    <cellStyle name="1_1_1_D&amp;A_C1 Cost - Review(yng)1_J68C- Roadmap #4 Liaison070524A Glide Pass  2" xfId="3645"/>
    <cellStyle name="1_1_1_D&amp;A_C1 Cost - Review(yng)1_J68C- Roadmap #4 Liaison070529 Glide Pass " xfId="3646"/>
    <cellStyle name="1_1_1_D&amp;A_C1 Cost - Review(yng)1_J68C- Roadmap #4 Liaison070529 Glide Pass  2" xfId="3647"/>
    <cellStyle name="1_1_1_D&amp;A_J68 Chunk Summary_J68C- Roadmap #4 524Liaison070524 " xfId="3648"/>
    <cellStyle name="1_1_1_D&amp;A_J68 Chunk Summary_J68C- Roadmap #4 524Liaison070524  2" xfId="3649"/>
    <cellStyle name="1_1_1_D&amp;A_J68 Chunk Summary_J68C- Roadmap #4 Liaison070524A " xfId="3650"/>
    <cellStyle name="1_1_1_D&amp;A_J68 Chunk Summary_J68C- Roadmap #4 Liaison070524A  2" xfId="3651"/>
    <cellStyle name="1_1_1_D&amp;A_J68 Chunk Summary_J68C- Roadmap #4 Liaison070524A Glide Pass " xfId="3652"/>
    <cellStyle name="1_1_1_D&amp;A_J68 Chunk Summary_J68C- Roadmap #4 Liaison070524A Glide Pass  2" xfId="3653"/>
    <cellStyle name="1_1_1_D&amp;A_J68 Chunk Summary_J68C- Roadmap #4 Liaison070529 Glide Pass " xfId="3654"/>
    <cellStyle name="1_1_1_D&amp;A_J68 Chunk Summary_J68C- Roadmap #4 Liaison070529 Glide Pass  2" xfId="3655"/>
    <cellStyle name="1_1_1_D&amp;A_J68 target cascade Study 060522-2 (2)_J68C- Roadmap #4 524Liaison070524 " xfId="3656"/>
    <cellStyle name="1_1_1_D&amp;A_J68 target cascade Study 060522-2 (2)_J68C- Roadmap #4 524Liaison070524  2" xfId="3657"/>
    <cellStyle name="1_1_1_D&amp;A_J68 target cascade Study 060522-2 (2)_J68C- Roadmap #4 Liaison070524A " xfId="3658"/>
    <cellStyle name="1_1_1_D&amp;A_J68 target cascade Study 060522-2 (2)_J68C- Roadmap #4 Liaison070524A  2" xfId="3659"/>
    <cellStyle name="1_1_1_D&amp;A_J68 target cascade Study 060522-2 (2)_J68C- Roadmap #4 Liaison070524A Glide Pass " xfId="3660"/>
    <cellStyle name="1_1_1_D&amp;A_J68 target cascade Study 060522-2 (2)_J68C- Roadmap #4 Liaison070524A Glide Pass  2" xfId="3661"/>
    <cellStyle name="1_1_1_D&amp;A_J68 target cascade Study 060522-2 (2)_J68C- Roadmap #4 Liaison070529 Glide Pass " xfId="3662"/>
    <cellStyle name="1_1_1_D&amp;A_J68 target cascade Study 060522-2 (2)_J68C- Roadmap #4 Liaison070529 Glide Pass  2" xfId="3663"/>
    <cellStyle name="1_1_1_D&amp;A_J68 target cascade Study 060526　Final(3) xls_J68C- Roadmap #4 524Liaison070524 " xfId="3664"/>
    <cellStyle name="1_1_1_D&amp;A_J68 target cascade Study 060526　Final(3) xls_J68C- Roadmap #4 524Liaison070524  2" xfId="3665"/>
    <cellStyle name="1_1_1_D&amp;A_J68 target cascade Study 060526　Final(3) xls_J68C- Roadmap #4 Liaison070524A " xfId="3666"/>
    <cellStyle name="1_1_1_D&amp;A_J68 target cascade Study 060526　Final(3) xls_J68C- Roadmap #4 Liaison070524A  2" xfId="3667"/>
    <cellStyle name="1_1_1_D&amp;A_J68 target cascade Study 060526　Final(3) xls_J68C- Roadmap #4 Liaison070524A Glide Pass " xfId="3668"/>
    <cellStyle name="1_1_1_D&amp;A_J68 target cascade Study 060526　Final(3) xls_J68C- Roadmap #4 Liaison070524A Glide Pass  2" xfId="3669"/>
    <cellStyle name="1_1_1_D&amp;A_J68 target cascade Study 060526　Final(3) xls_J68C- Roadmap #4 Liaison070529 Glide Pass " xfId="3670"/>
    <cellStyle name="1_1_1_D&amp;A_J68 target cascade Study 060526　Final(3) xls_J68C- Roadmap #4 Liaison070529 Glide Pass  2" xfId="3671"/>
    <cellStyle name="1_1_1_D&amp;A_J68C- Roadmap #4 524Liaison070524 " xfId="3672"/>
    <cellStyle name="1_1_1_D&amp;A_J68C- Roadmap #4 524Liaison070524  2" xfId="3673"/>
    <cellStyle name="1_1_1_D&amp;A_J68C- Roadmap #4 Liaison070524A " xfId="3674"/>
    <cellStyle name="1_1_1_D&amp;A_J68C- Roadmap #4 Liaison070524A  2" xfId="3675"/>
    <cellStyle name="1_1_1_D&amp;A_J68C- Roadmap #4 Liaison070524A Glide Pass " xfId="3676"/>
    <cellStyle name="1_1_1_D&amp;A_J68C- Roadmap #4 Liaison070524A Glide Pass  2" xfId="3677"/>
    <cellStyle name="1_1_1_D&amp;A_J68C- Roadmap #4 Liaison070529 Glide Pass " xfId="3678"/>
    <cellStyle name="1_1_1_D&amp;A_J68C- Roadmap #4 Liaison070529 Glide Pass  2" xfId="3679"/>
    <cellStyle name="1_1_1_D&amp;A_SOMP_CD340 (11.11.04)" xfId="3680"/>
    <cellStyle name="1_1_1_D&amp;A_SOMP_CD340 (11.11.04) 2" xfId="3681"/>
    <cellStyle name="1_1_1_D&amp;A_VO Labour Status # 7" xfId="3682"/>
    <cellStyle name="1_1_1_D&amp;A_VO Labour Status # 7 2" xfId="3683"/>
    <cellStyle name="1_1_1_J68 Chunk Summary_J68C- Roadmap #4 524Liaison070524 " xfId="3684"/>
    <cellStyle name="1_1_1_J68 Chunk Summary_J68C- Roadmap #4 524Liaison070524  2" xfId="3685"/>
    <cellStyle name="1_1_1_J68 Chunk Summary_J68C- Roadmap #4 Liaison070524A " xfId="3686"/>
    <cellStyle name="1_1_1_J68 Chunk Summary_J68C- Roadmap #4 Liaison070524A  2" xfId="3687"/>
    <cellStyle name="1_1_1_J68 Chunk Summary_J68C- Roadmap #4 Liaison070524A Glide Pass " xfId="3688"/>
    <cellStyle name="1_1_1_J68 Chunk Summary_J68C- Roadmap #4 Liaison070524A Glide Pass  2" xfId="3689"/>
    <cellStyle name="1_1_1_J68 Chunk Summary_J68C- Roadmap #4 Liaison070529 Glide Pass " xfId="3690"/>
    <cellStyle name="1_1_1_J68 Chunk Summary_J68C- Roadmap #4 Liaison070529 Glide Pass  2" xfId="3691"/>
    <cellStyle name="1_1_1_J68 target cascade Study 060522-2 (2)_J68C- Roadmap #4 524Liaison070524 " xfId="3692"/>
    <cellStyle name="1_1_1_J68 target cascade Study 060522-2 (2)_J68C- Roadmap #4 524Liaison070524  2" xfId="3693"/>
    <cellStyle name="1_1_1_J68 target cascade Study 060522-2 (2)_J68C- Roadmap #4 Liaison070524A " xfId="3694"/>
    <cellStyle name="1_1_1_J68 target cascade Study 060522-2 (2)_J68C- Roadmap #4 Liaison070524A  2" xfId="3695"/>
    <cellStyle name="1_1_1_J68 target cascade Study 060522-2 (2)_J68C- Roadmap #4 Liaison070524A Glide Pass " xfId="3696"/>
    <cellStyle name="1_1_1_J68 target cascade Study 060522-2 (2)_J68C- Roadmap #4 Liaison070524A Glide Pass  2" xfId="3697"/>
    <cellStyle name="1_1_1_J68 target cascade Study 060522-2 (2)_J68C- Roadmap #4 Liaison070529 Glide Pass " xfId="3698"/>
    <cellStyle name="1_1_1_J68 target cascade Study 060522-2 (2)_J68C- Roadmap #4 Liaison070529 Glide Pass  2" xfId="3699"/>
    <cellStyle name="1_1_1_J68 target cascade Study 060526　Final(3) xls_J68C- Roadmap #4 524Liaison070524 " xfId="3700"/>
    <cellStyle name="1_1_1_J68 target cascade Study 060526　Final(3) xls_J68C- Roadmap #4 524Liaison070524  2" xfId="3701"/>
    <cellStyle name="1_1_1_J68 target cascade Study 060526　Final(3) xls_J68C- Roadmap #4 Liaison070524A " xfId="3702"/>
    <cellStyle name="1_1_1_J68 target cascade Study 060526　Final(3) xls_J68C- Roadmap #4 Liaison070524A  2" xfId="3703"/>
    <cellStyle name="1_1_1_J68 target cascade Study 060526　Final(3) xls_J68C- Roadmap #4 Liaison070524A Glide Pass " xfId="3704"/>
    <cellStyle name="1_1_1_J68 target cascade Study 060526　Final(3) xls_J68C- Roadmap #4 Liaison070524A Glide Pass  2" xfId="3705"/>
    <cellStyle name="1_1_1_J68 target cascade Study 060526　Final(3) xls_J68C- Roadmap #4 Liaison070529 Glide Pass " xfId="3706"/>
    <cellStyle name="1_1_1_J68 target cascade Study 060526　Final(3) xls_J68C- Roadmap #4 Liaison070529 Glide Pass  2" xfId="3707"/>
    <cellStyle name="1_1_1_J68C- Roadmap #4 524Liaison070524 " xfId="3708"/>
    <cellStyle name="1_1_1_J68C- Roadmap #4 524Liaison070524  2" xfId="3709"/>
    <cellStyle name="1_1_1_J68C- Roadmap #4 Liaison070524A " xfId="3710"/>
    <cellStyle name="1_1_1_J68C- Roadmap #4 Liaison070524A  2" xfId="3711"/>
    <cellStyle name="1_1_1_J68C- Roadmap #4 Liaison070524A Glide Pass " xfId="3712"/>
    <cellStyle name="1_1_1_J68C- Roadmap #4 Liaison070524A Glide Pass  2" xfId="3713"/>
    <cellStyle name="1_1_1_J68C- Roadmap #4 Liaison070529 Glide Pass " xfId="3714"/>
    <cellStyle name="1_1_1_J68C- Roadmap #4 Liaison070529 Glide Pass  2" xfId="3715"/>
    <cellStyle name="1_1_1_Master_StatusCharts_39adj" xfId="3716"/>
    <cellStyle name="1_1_1_Master_StatusCharts_39adj 2" xfId="3717"/>
    <cellStyle name="1_1_1_Master_StatusCharts_39adj_C1 Cost - Review(yng)1_J68 Chunk Summary_J68C- Roadmap #4 524Liaison070524 " xfId="3718"/>
    <cellStyle name="1_1_1_Master_StatusCharts_39adj_C1 Cost - Review(yng)1_J68 Chunk Summary_J68C- Roadmap #4 524Liaison070524  2" xfId="3719"/>
    <cellStyle name="1_1_1_Master_StatusCharts_39adj_C1 Cost - Review(yng)1_J68 Chunk Summary_J68C- Roadmap #4 Liaison070524A " xfId="3720"/>
    <cellStyle name="1_1_1_Master_StatusCharts_39adj_C1 Cost - Review(yng)1_J68 Chunk Summary_J68C- Roadmap #4 Liaison070524A  2" xfId="3721"/>
    <cellStyle name="1_1_1_Master_StatusCharts_39adj_C1 Cost - Review(yng)1_J68 Chunk Summary_J68C- Roadmap #4 Liaison070524A Glide Pass " xfId="3722"/>
    <cellStyle name="1_1_1_Master_StatusCharts_39adj_C1 Cost - Review(yng)1_J68 Chunk Summary_J68C- Roadmap #4 Liaison070524A Glide Pass  2" xfId="3723"/>
    <cellStyle name="1_1_1_Master_StatusCharts_39adj_C1 Cost - Review(yng)1_J68 Chunk Summary_J68C- Roadmap #4 Liaison070529 Glide Pass " xfId="3724"/>
    <cellStyle name="1_1_1_Master_StatusCharts_39adj_C1 Cost - Review(yng)1_J68 Chunk Summary_J68C- Roadmap #4 Liaison070529 Glide Pass  2" xfId="3725"/>
    <cellStyle name="1_1_1_Master_StatusCharts_39adj_C1 Cost - Review(yng)1_J68 target cascade Study 060522-2 (2)_J68C- Roadmap #4 524Liaison070524 " xfId="3726"/>
    <cellStyle name="1_1_1_Master_StatusCharts_39adj_C1 Cost - Review(yng)1_J68 target cascade Study 060522-2 (2)_J68C- Roadmap #4 524Liaison070524  2" xfId="3727"/>
    <cellStyle name="1_1_1_Master_StatusCharts_39adj_C1 Cost - Review(yng)1_J68 target cascade Study 060522-2 (2)_J68C- Roadmap #4 Liaison070524A " xfId="3728"/>
    <cellStyle name="1_1_1_Master_StatusCharts_39adj_C1 Cost - Review(yng)1_J68 target cascade Study 060522-2 (2)_J68C- Roadmap #4 Liaison070524A  2" xfId="3729"/>
    <cellStyle name="1_1_1_Master_StatusCharts_39adj_C1 Cost - Review(yng)1_J68 target cascade Study 060522-2 (2)_J68C- Roadmap #4 Liaison070524A Glide Pass " xfId="3730"/>
    <cellStyle name="1_1_1_Master_StatusCharts_39adj_C1 Cost - Review(yng)1_J68 target cascade Study 060522-2 (2)_J68C- Roadmap #4 Liaison070524A Glide Pass  2" xfId="3731"/>
    <cellStyle name="1_1_1_Master_StatusCharts_39adj_C1 Cost - Review(yng)1_J68 target cascade Study 060522-2 (2)_J68C- Roadmap #4 Liaison070529 Glide Pass " xfId="3732"/>
    <cellStyle name="1_1_1_Master_StatusCharts_39adj_C1 Cost - Review(yng)1_J68 target cascade Study 060522-2 (2)_J68C- Roadmap #4 Liaison070529 Glide Pass  2" xfId="3733"/>
    <cellStyle name="1_1_1_Master_StatusCharts_39adj_C1 Cost - Review(yng)1_J68 target cascade Study 060526　Final(3) xls_J68C- Roadmap #4 524Liaison070524 " xfId="3734"/>
    <cellStyle name="1_1_1_Master_StatusCharts_39adj_C1 Cost - Review(yng)1_J68 target cascade Study 060526　Final(3) xls_J68C- Roadmap #4 524Liaison070524  2" xfId="3735"/>
    <cellStyle name="1_1_1_Master_StatusCharts_39adj_C1 Cost - Review(yng)1_J68 target cascade Study 060526　Final(3) xls_J68C- Roadmap #4 Liaison070524A " xfId="3736"/>
    <cellStyle name="1_1_1_Master_StatusCharts_39adj_C1 Cost - Review(yng)1_J68 target cascade Study 060526　Final(3) xls_J68C- Roadmap #4 Liaison070524A  2" xfId="3737"/>
    <cellStyle name="1_1_1_Master_StatusCharts_39adj_C1 Cost - Review(yng)1_J68 target cascade Study 060526　Final(3) xls_J68C- Roadmap #4 Liaison070524A Glide Pass " xfId="3738"/>
    <cellStyle name="1_1_1_Master_StatusCharts_39adj_C1 Cost - Review(yng)1_J68 target cascade Study 060526　Final(3) xls_J68C- Roadmap #4 Liaison070524A Glide Pass  2" xfId="3739"/>
    <cellStyle name="1_1_1_Master_StatusCharts_39adj_C1 Cost - Review(yng)1_J68 target cascade Study 060526　Final(3) xls_J68C- Roadmap #4 Liaison070529 Glide Pass " xfId="3740"/>
    <cellStyle name="1_1_1_Master_StatusCharts_39adj_C1 Cost - Review(yng)1_J68 target cascade Study 060526　Final(3) xls_J68C- Roadmap #4 Liaison070529 Glide Pass  2" xfId="3741"/>
    <cellStyle name="1_1_1_Master_StatusCharts_39adj_C1 Cost - Review(yng)1_J68C- Roadmap #4 524Liaison070524 " xfId="3742"/>
    <cellStyle name="1_1_1_Master_StatusCharts_39adj_C1 Cost - Review(yng)1_J68C- Roadmap #4 524Liaison070524  2" xfId="3743"/>
    <cellStyle name="1_1_1_Master_StatusCharts_39adj_C1 Cost - Review(yng)1_J68C- Roadmap #4 Liaison070524A " xfId="3744"/>
    <cellStyle name="1_1_1_Master_StatusCharts_39adj_C1 Cost - Review(yng)1_J68C- Roadmap #4 Liaison070524A  2" xfId="3745"/>
    <cellStyle name="1_1_1_Master_StatusCharts_39adj_C1 Cost - Review(yng)1_J68C- Roadmap #4 Liaison070524A Glide Pass " xfId="3746"/>
    <cellStyle name="1_1_1_Master_StatusCharts_39adj_C1 Cost - Review(yng)1_J68C- Roadmap #4 Liaison070524A Glide Pass  2" xfId="3747"/>
    <cellStyle name="1_1_1_Master_StatusCharts_39adj_C1 Cost - Review(yng)1_J68C- Roadmap #4 Liaison070529 Glide Pass " xfId="3748"/>
    <cellStyle name="1_1_1_Master_StatusCharts_39adj_C1 Cost - Review(yng)1_J68C- Roadmap #4 Liaison070529 Glide Pass  2" xfId="3749"/>
    <cellStyle name="1_1_1_Master_StatusCharts_39adj_J68 Chunk Summary_J68C- Roadmap #4 524Liaison070524 " xfId="3750"/>
    <cellStyle name="1_1_1_Master_StatusCharts_39adj_J68 Chunk Summary_J68C- Roadmap #4 524Liaison070524  2" xfId="3751"/>
    <cellStyle name="1_1_1_Master_StatusCharts_39adj_J68 Chunk Summary_J68C- Roadmap #4 Liaison070524A " xfId="3752"/>
    <cellStyle name="1_1_1_Master_StatusCharts_39adj_J68 Chunk Summary_J68C- Roadmap #4 Liaison070524A  2" xfId="3753"/>
    <cellStyle name="1_1_1_Master_StatusCharts_39adj_J68 Chunk Summary_J68C- Roadmap #4 Liaison070524A Glide Pass " xfId="3754"/>
    <cellStyle name="1_1_1_Master_StatusCharts_39adj_J68 Chunk Summary_J68C- Roadmap #4 Liaison070524A Glide Pass  2" xfId="3755"/>
    <cellStyle name="1_1_1_Master_StatusCharts_39adj_J68 Chunk Summary_J68C- Roadmap #4 Liaison070529 Glide Pass " xfId="3756"/>
    <cellStyle name="1_1_1_Master_StatusCharts_39adj_J68 Chunk Summary_J68C- Roadmap #4 Liaison070529 Glide Pass  2" xfId="3757"/>
    <cellStyle name="1_1_1_Master_StatusCharts_39adj_J68 target cascade Study 060522-2 (2)_J68C- Roadmap #4 524Liaison070524 " xfId="3758"/>
    <cellStyle name="1_1_1_Master_StatusCharts_39adj_J68 target cascade Study 060522-2 (2)_J68C- Roadmap #4 524Liaison070524  2" xfId="3759"/>
    <cellStyle name="1_1_1_Master_StatusCharts_39adj_J68 target cascade Study 060522-2 (2)_J68C- Roadmap #4 Liaison070524A " xfId="3760"/>
    <cellStyle name="1_1_1_Master_StatusCharts_39adj_J68 target cascade Study 060522-2 (2)_J68C- Roadmap #4 Liaison070524A  2" xfId="3761"/>
    <cellStyle name="1_1_1_Master_StatusCharts_39adj_J68 target cascade Study 060522-2 (2)_J68C- Roadmap #4 Liaison070524A Glide Pass " xfId="3762"/>
    <cellStyle name="1_1_1_Master_StatusCharts_39adj_J68 target cascade Study 060522-2 (2)_J68C- Roadmap #4 Liaison070524A Glide Pass  2" xfId="3763"/>
    <cellStyle name="1_1_1_Master_StatusCharts_39adj_J68 target cascade Study 060522-2 (2)_J68C- Roadmap #4 Liaison070529 Glide Pass " xfId="3764"/>
    <cellStyle name="1_1_1_Master_StatusCharts_39adj_J68 target cascade Study 060522-2 (2)_J68C- Roadmap #4 Liaison070529 Glide Pass  2" xfId="3765"/>
    <cellStyle name="1_1_1_Master_StatusCharts_39adj_J68 target cascade Study 060526　Final(3) xls_J68C- Roadmap #4 524Liaison070524 " xfId="3766"/>
    <cellStyle name="1_1_1_Master_StatusCharts_39adj_J68 target cascade Study 060526　Final(3) xls_J68C- Roadmap #4 524Liaison070524  2" xfId="3767"/>
    <cellStyle name="1_1_1_Master_StatusCharts_39adj_J68 target cascade Study 060526　Final(3) xls_J68C- Roadmap #4 Liaison070524A " xfId="3768"/>
    <cellStyle name="1_1_1_Master_StatusCharts_39adj_J68 target cascade Study 060526　Final(3) xls_J68C- Roadmap #4 Liaison070524A  2" xfId="3769"/>
    <cellStyle name="1_1_1_Master_StatusCharts_39adj_J68 target cascade Study 060526　Final(3) xls_J68C- Roadmap #4 Liaison070524A Glide Pass " xfId="3770"/>
    <cellStyle name="1_1_1_Master_StatusCharts_39adj_J68 target cascade Study 060526　Final(3) xls_J68C- Roadmap #4 Liaison070524A Glide Pass  2" xfId="3771"/>
    <cellStyle name="1_1_1_Master_StatusCharts_39adj_J68 target cascade Study 060526　Final(3) xls_J68C- Roadmap #4 Liaison070529 Glide Pass " xfId="3772"/>
    <cellStyle name="1_1_1_Master_StatusCharts_39adj_J68 target cascade Study 060526　Final(3) xls_J68C- Roadmap #4 Liaison070529 Glide Pass  2" xfId="3773"/>
    <cellStyle name="1_1_1_Master_StatusCharts_39adj_J68C- Roadmap #4 524Liaison070524 " xfId="3774"/>
    <cellStyle name="1_1_1_Master_StatusCharts_39adj_J68C- Roadmap #4 524Liaison070524  2" xfId="3775"/>
    <cellStyle name="1_1_1_Master_StatusCharts_39adj_J68C- Roadmap #4 Liaison070524A " xfId="3776"/>
    <cellStyle name="1_1_1_Master_StatusCharts_39adj_J68C- Roadmap #4 Liaison070524A  2" xfId="3777"/>
    <cellStyle name="1_1_1_Master_StatusCharts_39adj_J68C- Roadmap #4 Liaison070524A Glide Pass " xfId="3778"/>
    <cellStyle name="1_1_1_Master_StatusCharts_39adj_J68C- Roadmap #4 Liaison070524A Glide Pass  2" xfId="3779"/>
    <cellStyle name="1_1_1_Master_StatusCharts_39adj_J68C- Roadmap #4 Liaison070529 Glide Pass " xfId="3780"/>
    <cellStyle name="1_1_1_Master_StatusCharts_39adj_J68C- Roadmap #4 Liaison070529 Glide Pass  2" xfId="3781"/>
    <cellStyle name="1_1_1_Master_StatusCharts_39adj_SOMP_CD340 (11.11.04)" xfId="3782"/>
    <cellStyle name="1_1_1_Master_StatusCharts_39adj_SOMP_CD340 (11.11.04) 2" xfId="3783"/>
    <cellStyle name="1_1_1_Master_StatusCharts_39adj_VO Labour Status # 7" xfId="3784"/>
    <cellStyle name="1_1_1_Master_StatusCharts_39adj_VO Labour Status # 7 2" xfId="3785"/>
    <cellStyle name="1_1_C1 Cost - Review(yng)1_J68 Chunk Summary_J68C- Roadmap #4 524Liaison070524 " xfId="3786"/>
    <cellStyle name="1_1_C1 Cost - Review(yng)1_J68 Chunk Summary_J68C- Roadmap #4 524Liaison070524  2" xfId="3787"/>
    <cellStyle name="1_1_C1 Cost - Review(yng)1_J68 Chunk Summary_J68C- Roadmap #4 Liaison070524A " xfId="3788"/>
    <cellStyle name="1_1_C1 Cost - Review(yng)1_J68 Chunk Summary_J68C- Roadmap #4 Liaison070524A  2" xfId="3789"/>
    <cellStyle name="1_1_C1 Cost - Review(yng)1_J68 Chunk Summary_J68C- Roadmap #4 Liaison070524A Glide Pass " xfId="3790"/>
    <cellStyle name="1_1_C1 Cost - Review(yng)1_J68 Chunk Summary_J68C- Roadmap #4 Liaison070524A Glide Pass  2" xfId="3791"/>
    <cellStyle name="1_1_C1 Cost - Review(yng)1_J68 Chunk Summary_J68C- Roadmap #4 Liaison070529 Glide Pass " xfId="3792"/>
    <cellStyle name="1_1_C1 Cost - Review(yng)1_J68 Chunk Summary_J68C- Roadmap #4 Liaison070529 Glide Pass  2" xfId="3793"/>
    <cellStyle name="1_1_C1 Cost - Review(yng)1_J68 target cascade Study 060522-2 (2)_J68C- Roadmap #4 524Liaison070524 " xfId="3794"/>
    <cellStyle name="1_1_C1 Cost - Review(yng)1_J68 target cascade Study 060522-2 (2)_J68C- Roadmap #4 524Liaison070524  2" xfId="3795"/>
    <cellStyle name="1_1_C1 Cost - Review(yng)1_J68 target cascade Study 060522-2 (2)_J68C- Roadmap #4 Liaison070524A " xfId="3796"/>
    <cellStyle name="1_1_C1 Cost - Review(yng)1_J68 target cascade Study 060522-2 (2)_J68C- Roadmap #4 Liaison070524A  2" xfId="3797"/>
    <cellStyle name="1_1_C1 Cost - Review(yng)1_J68 target cascade Study 060522-2 (2)_J68C- Roadmap #4 Liaison070524A Glide Pass " xfId="3798"/>
    <cellStyle name="1_1_C1 Cost - Review(yng)1_J68 target cascade Study 060522-2 (2)_J68C- Roadmap #4 Liaison070524A Glide Pass  2" xfId="3799"/>
    <cellStyle name="1_1_C1 Cost - Review(yng)1_J68 target cascade Study 060522-2 (2)_J68C- Roadmap #4 Liaison070529 Glide Pass " xfId="3800"/>
    <cellStyle name="1_1_C1 Cost - Review(yng)1_J68 target cascade Study 060522-2 (2)_J68C- Roadmap #4 Liaison070529 Glide Pass  2" xfId="3801"/>
    <cellStyle name="1_1_C1 Cost - Review(yng)1_J68 target cascade Study 060526　Final(3) xls_J68C- Roadmap #4 524Liaison070524 " xfId="3802"/>
    <cellStyle name="1_1_C1 Cost - Review(yng)1_J68 target cascade Study 060526　Final(3) xls_J68C- Roadmap #4 524Liaison070524  2" xfId="3803"/>
    <cellStyle name="1_1_C1 Cost - Review(yng)1_J68 target cascade Study 060526　Final(3) xls_J68C- Roadmap #4 Liaison070524A " xfId="3804"/>
    <cellStyle name="1_1_C1 Cost - Review(yng)1_J68 target cascade Study 060526　Final(3) xls_J68C- Roadmap #4 Liaison070524A  2" xfId="3805"/>
    <cellStyle name="1_1_C1 Cost - Review(yng)1_J68 target cascade Study 060526　Final(3) xls_J68C- Roadmap #4 Liaison070524A Glide Pass " xfId="3806"/>
    <cellStyle name="1_1_C1 Cost - Review(yng)1_J68 target cascade Study 060526　Final(3) xls_J68C- Roadmap #4 Liaison070524A Glide Pass  2" xfId="3807"/>
    <cellStyle name="1_1_C1 Cost - Review(yng)1_J68 target cascade Study 060526　Final(3) xls_J68C- Roadmap #4 Liaison070529 Glide Pass " xfId="3808"/>
    <cellStyle name="1_1_C1 Cost - Review(yng)1_J68 target cascade Study 060526　Final(3) xls_J68C- Roadmap #4 Liaison070529 Glide Pass  2" xfId="3809"/>
    <cellStyle name="1_1_C1 Cost - Review(yng)1_J68C- Roadmap #4 524Liaison070524 " xfId="3810"/>
    <cellStyle name="1_1_C1 Cost - Review(yng)1_J68C- Roadmap #4 524Liaison070524  2" xfId="3811"/>
    <cellStyle name="1_1_C1 Cost - Review(yng)1_J68C- Roadmap #4 Liaison070524A " xfId="3812"/>
    <cellStyle name="1_1_C1 Cost - Review(yng)1_J68C- Roadmap #4 Liaison070524A  2" xfId="3813"/>
    <cellStyle name="1_1_C1 Cost - Review(yng)1_J68C- Roadmap #4 Liaison070524A Glide Pass " xfId="3814"/>
    <cellStyle name="1_1_C1 Cost - Review(yng)1_J68C- Roadmap #4 Liaison070524A Glide Pass  2" xfId="3815"/>
    <cellStyle name="1_1_C1 Cost - Review(yng)1_J68C- Roadmap #4 Liaison070529 Glide Pass " xfId="3816"/>
    <cellStyle name="1_1_C1 Cost - Review(yng)1_J68C- Roadmap #4 Liaison070529 Glide Pass  2" xfId="3817"/>
    <cellStyle name="1_1_D&amp;A" xfId="3818"/>
    <cellStyle name="1_1_D&amp;A 2" xfId="3819"/>
    <cellStyle name="1_1_D&amp;A_C1 Cost - Review(yng)1_J68 Chunk Summary_J68C- Roadmap #4 524Liaison070524 " xfId="3820"/>
    <cellStyle name="1_1_D&amp;A_C1 Cost - Review(yng)1_J68 Chunk Summary_J68C- Roadmap #4 524Liaison070524  2" xfId="3821"/>
    <cellStyle name="1_1_D&amp;A_C1 Cost - Review(yng)1_J68 Chunk Summary_J68C- Roadmap #4 Liaison070524A " xfId="3822"/>
    <cellStyle name="1_1_D&amp;A_C1 Cost - Review(yng)1_J68 Chunk Summary_J68C- Roadmap #4 Liaison070524A  2" xfId="3823"/>
    <cellStyle name="1_1_D&amp;A_C1 Cost - Review(yng)1_J68 Chunk Summary_J68C- Roadmap #4 Liaison070524A Glide Pass " xfId="3824"/>
    <cellStyle name="1_1_D&amp;A_C1 Cost - Review(yng)1_J68 Chunk Summary_J68C- Roadmap #4 Liaison070524A Glide Pass  2" xfId="3825"/>
    <cellStyle name="1_1_D&amp;A_C1 Cost - Review(yng)1_J68 Chunk Summary_J68C- Roadmap #4 Liaison070529 Glide Pass " xfId="3826"/>
    <cellStyle name="1_1_D&amp;A_C1 Cost - Review(yng)1_J68 Chunk Summary_J68C- Roadmap #4 Liaison070529 Glide Pass  2" xfId="3827"/>
    <cellStyle name="1_1_D&amp;A_C1 Cost - Review(yng)1_J68 target cascade Study 060522-2 (2)_J68C- Roadmap #4 524Liaison070524 " xfId="3828"/>
    <cellStyle name="1_1_D&amp;A_C1 Cost - Review(yng)1_J68 target cascade Study 060522-2 (2)_J68C- Roadmap #4 524Liaison070524  2" xfId="3829"/>
    <cellStyle name="1_1_D&amp;A_C1 Cost - Review(yng)1_J68 target cascade Study 060522-2 (2)_J68C- Roadmap #4 Liaison070524A " xfId="3830"/>
    <cellStyle name="1_1_D&amp;A_C1 Cost - Review(yng)1_J68 target cascade Study 060522-2 (2)_J68C- Roadmap #4 Liaison070524A  2" xfId="3831"/>
    <cellStyle name="1_1_D&amp;A_C1 Cost - Review(yng)1_J68 target cascade Study 060522-2 (2)_J68C- Roadmap #4 Liaison070524A Glide Pass " xfId="3832"/>
    <cellStyle name="1_1_D&amp;A_C1 Cost - Review(yng)1_J68 target cascade Study 060522-2 (2)_J68C- Roadmap #4 Liaison070524A Glide Pass  2" xfId="3833"/>
    <cellStyle name="1_1_D&amp;A_C1 Cost - Review(yng)1_J68 target cascade Study 060522-2 (2)_J68C- Roadmap #4 Liaison070529 Glide Pass " xfId="3834"/>
    <cellStyle name="1_1_D&amp;A_C1 Cost - Review(yng)1_J68 target cascade Study 060522-2 (2)_J68C- Roadmap #4 Liaison070529 Glide Pass  2" xfId="3835"/>
    <cellStyle name="1_1_D&amp;A_C1 Cost - Review(yng)1_J68 target cascade Study 060526　Final(3) xls_J68C- Roadmap #4 524Liaison070524 " xfId="3836"/>
    <cellStyle name="1_1_D&amp;A_C1 Cost - Review(yng)1_J68 target cascade Study 060526　Final(3) xls_J68C- Roadmap #4 524Liaison070524  2" xfId="3837"/>
    <cellStyle name="1_1_D&amp;A_C1 Cost - Review(yng)1_J68 target cascade Study 060526　Final(3) xls_J68C- Roadmap #4 Liaison070524A " xfId="3838"/>
    <cellStyle name="1_1_D&amp;A_C1 Cost - Review(yng)1_J68 target cascade Study 060526　Final(3) xls_J68C- Roadmap #4 Liaison070524A  2" xfId="3839"/>
    <cellStyle name="1_1_D&amp;A_C1 Cost - Review(yng)1_J68 target cascade Study 060526　Final(3) xls_J68C- Roadmap #4 Liaison070524A Glide Pass " xfId="3840"/>
    <cellStyle name="1_1_D&amp;A_C1 Cost - Review(yng)1_J68 target cascade Study 060526　Final(3) xls_J68C- Roadmap #4 Liaison070524A Glide Pass  2" xfId="3841"/>
    <cellStyle name="1_1_D&amp;A_C1 Cost - Review(yng)1_J68 target cascade Study 060526　Final(3) xls_J68C- Roadmap #4 Liaison070529 Glide Pass " xfId="3842"/>
    <cellStyle name="1_1_D&amp;A_C1 Cost - Review(yng)1_J68 target cascade Study 060526　Final(3) xls_J68C- Roadmap #4 Liaison070529 Glide Pass  2" xfId="3843"/>
    <cellStyle name="1_1_D&amp;A_C1 Cost - Review(yng)1_J68C- Roadmap #4 524Liaison070524 " xfId="3844"/>
    <cellStyle name="1_1_D&amp;A_C1 Cost - Review(yng)1_J68C- Roadmap #4 524Liaison070524  2" xfId="3845"/>
    <cellStyle name="1_1_D&amp;A_C1 Cost - Review(yng)1_J68C- Roadmap #4 Liaison070524A " xfId="3846"/>
    <cellStyle name="1_1_D&amp;A_C1 Cost - Review(yng)1_J68C- Roadmap #4 Liaison070524A  2" xfId="3847"/>
    <cellStyle name="1_1_D&amp;A_C1 Cost - Review(yng)1_J68C- Roadmap #4 Liaison070524A Glide Pass " xfId="3848"/>
    <cellStyle name="1_1_D&amp;A_C1 Cost - Review(yng)1_J68C- Roadmap #4 Liaison070524A Glide Pass  2" xfId="3849"/>
    <cellStyle name="1_1_D&amp;A_C1 Cost - Review(yng)1_J68C- Roadmap #4 Liaison070529 Glide Pass " xfId="3850"/>
    <cellStyle name="1_1_D&amp;A_C1 Cost - Review(yng)1_J68C- Roadmap #4 Liaison070529 Glide Pass  2" xfId="3851"/>
    <cellStyle name="1_1_D&amp;A_J68 Chunk Summary_J68C- Roadmap #4 524Liaison070524 " xfId="3852"/>
    <cellStyle name="1_1_D&amp;A_J68 Chunk Summary_J68C- Roadmap #4 524Liaison070524  2" xfId="3853"/>
    <cellStyle name="1_1_D&amp;A_J68 Chunk Summary_J68C- Roadmap #4 Liaison070524A " xfId="3854"/>
    <cellStyle name="1_1_D&amp;A_J68 Chunk Summary_J68C- Roadmap #4 Liaison070524A  2" xfId="3855"/>
    <cellStyle name="1_1_D&amp;A_J68 Chunk Summary_J68C- Roadmap #4 Liaison070524A Glide Pass " xfId="3856"/>
    <cellStyle name="1_1_D&amp;A_J68 Chunk Summary_J68C- Roadmap #4 Liaison070524A Glide Pass  2" xfId="3857"/>
    <cellStyle name="1_1_D&amp;A_J68 Chunk Summary_J68C- Roadmap #4 Liaison070529 Glide Pass " xfId="3858"/>
    <cellStyle name="1_1_D&amp;A_J68 Chunk Summary_J68C- Roadmap #4 Liaison070529 Glide Pass  2" xfId="3859"/>
    <cellStyle name="1_1_D&amp;A_J68 target cascade Study 060522-2 (2)_J68C- Roadmap #4 524Liaison070524 " xfId="3860"/>
    <cellStyle name="1_1_D&amp;A_J68 target cascade Study 060522-2 (2)_J68C- Roadmap #4 524Liaison070524  2" xfId="3861"/>
    <cellStyle name="1_1_D&amp;A_J68 target cascade Study 060522-2 (2)_J68C- Roadmap #4 Liaison070524A " xfId="3862"/>
    <cellStyle name="1_1_D&amp;A_J68 target cascade Study 060522-2 (2)_J68C- Roadmap #4 Liaison070524A  2" xfId="3863"/>
    <cellStyle name="1_1_D&amp;A_J68 target cascade Study 060522-2 (2)_J68C- Roadmap #4 Liaison070524A Glide Pass " xfId="3864"/>
    <cellStyle name="1_1_D&amp;A_J68 target cascade Study 060522-2 (2)_J68C- Roadmap #4 Liaison070524A Glide Pass  2" xfId="3865"/>
    <cellStyle name="1_1_D&amp;A_J68 target cascade Study 060522-2 (2)_J68C- Roadmap #4 Liaison070529 Glide Pass " xfId="3866"/>
    <cellStyle name="1_1_D&amp;A_J68 target cascade Study 060522-2 (2)_J68C- Roadmap #4 Liaison070529 Glide Pass  2" xfId="3867"/>
    <cellStyle name="1_1_D&amp;A_J68 target cascade Study 060526　Final(3) xls_J68C- Roadmap #4 524Liaison070524 " xfId="3868"/>
    <cellStyle name="1_1_D&amp;A_J68 target cascade Study 060526　Final(3) xls_J68C- Roadmap #4 524Liaison070524  2" xfId="3869"/>
    <cellStyle name="1_1_D&amp;A_J68 target cascade Study 060526　Final(3) xls_J68C- Roadmap #4 Liaison070524A " xfId="3870"/>
    <cellStyle name="1_1_D&amp;A_J68 target cascade Study 060526　Final(3) xls_J68C- Roadmap #4 Liaison070524A  2" xfId="3871"/>
    <cellStyle name="1_1_D&amp;A_J68 target cascade Study 060526　Final(3) xls_J68C- Roadmap #4 Liaison070524A Glide Pass " xfId="3872"/>
    <cellStyle name="1_1_D&amp;A_J68 target cascade Study 060526　Final(3) xls_J68C- Roadmap #4 Liaison070524A Glide Pass  2" xfId="3873"/>
    <cellStyle name="1_1_D&amp;A_J68 target cascade Study 060526　Final(3) xls_J68C- Roadmap #4 Liaison070529 Glide Pass " xfId="3874"/>
    <cellStyle name="1_1_D&amp;A_J68 target cascade Study 060526　Final(3) xls_J68C- Roadmap #4 Liaison070529 Glide Pass  2" xfId="3875"/>
    <cellStyle name="1_1_D&amp;A_J68C- Roadmap #4 524Liaison070524 " xfId="3876"/>
    <cellStyle name="1_1_D&amp;A_J68C- Roadmap #4 524Liaison070524  2" xfId="3877"/>
    <cellStyle name="1_1_D&amp;A_J68C- Roadmap #4 Liaison070524A " xfId="3878"/>
    <cellStyle name="1_1_D&amp;A_J68C- Roadmap #4 Liaison070524A  2" xfId="3879"/>
    <cellStyle name="1_1_D&amp;A_J68C- Roadmap #4 Liaison070524A Glide Pass " xfId="3880"/>
    <cellStyle name="1_1_D&amp;A_J68C- Roadmap #4 Liaison070524A Glide Pass  2" xfId="3881"/>
    <cellStyle name="1_1_D&amp;A_J68C- Roadmap #4 Liaison070529 Glide Pass " xfId="3882"/>
    <cellStyle name="1_1_D&amp;A_J68C- Roadmap #4 Liaison070529 Glide Pass  2" xfId="3883"/>
    <cellStyle name="1_1_D&amp;A_SOMP_CD340 (11.11.04)" xfId="3884"/>
    <cellStyle name="1_1_D&amp;A_SOMP_CD340 (11.11.04) 2" xfId="3885"/>
    <cellStyle name="1_1_D&amp;A_VO Labour Status # 7" xfId="3886"/>
    <cellStyle name="1_1_D&amp;A_VO Labour Status # 7 2" xfId="3887"/>
    <cellStyle name="1_1_J68 Chunk Summary_J68C- Roadmap #4 524Liaison070524 " xfId="3888"/>
    <cellStyle name="1_1_J68 Chunk Summary_J68C- Roadmap #4 524Liaison070524  2" xfId="3889"/>
    <cellStyle name="1_1_J68 Chunk Summary_J68C- Roadmap #4 Liaison070524A " xfId="3890"/>
    <cellStyle name="1_1_J68 Chunk Summary_J68C- Roadmap #4 Liaison070524A  2" xfId="3891"/>
    <cellStyle name="1_1_J68 Chunk Summary_J68C- Roadmap #4 Liaison070524A Glide Pass " xfId="3892"/>
    <cellStyle name="1_1_J68 Chunk Summary_J68C- Roadmap #4 Liaison070524A Glide Pass  2" xfId="3893"/>
    <cellStyle name="1_1_J68 Chunk Summary_J68C- Roadmap #4 Liaison070529 Glide Pass " xfId="3894"/>
    <cellStyle name="1_1_J68 Chunk Summary_J68C- Roadmap #4 Liaison070529 Glide Pass  2" xfId="3895"/>
    <cellStyle name="1_1_J68 target cascade Study 060522-2 (2)_J68C- Roadmap #4 524Liaison070524 " xfId="3896"/>
    <cellStyle name="1_1_J68 target cascade Study 060522-2 (2)_J68C- Roadmap #4 524Liaison070524  2" xfId="3897"/>
    <cellStyle name="1_1_J68 target cascade Study 060522-2 (2)_J68C- Roadmap #4 Liaison070524A " xfId="3898"/>
    <cellStyle name="1_1_J68 target cascade Study 060522-2 (2)_J68C- Roadmap #4 Liaison070524A  2" xfId="3899"/>
    <cellStyle name="1_1_J68 target cascade Study 060522-2 (2)_J68C- Roadmap #4 Liaison070524A Glide Pass " xfId="3900"/>
    <cellStyle name="1_1_J68 target cascade Study 060522-2 (2)_J68C- Roadmap #4 Liaison070524A Glide Pass  2" xfId="3901"/>
    <cellStyle name="1_1_J68 target cascade Study 060522-2 (2)_J68C- Roadmap #4 Liaison070529 Glide Pass " xfId="3902"/>
    <cellStyle name="1_1_J68 target cascade Study 060522-2 (2)_J68C- Roadmap #4 Liaison070529 Glide Pass  2" xfId="3903"/>
    <cellStyle name="1_1_J68 target cascade Study 060526　Final(3) xls_J68C- Roadmap #4 524Liaison070524 " xfId="3904"/>
    <cellStyle name="1_1_J68 target cascade Study 060526　Final(3) xls_J68C- Roadmap #4 524Liaison070524  2" xfId="3905"/>
    <cellStyle name="1_1_J68 target cascade Study 060526　Final(3) xls_J68C- Roadmap #4 Liaison070524A " xfId="3906"/>
    <cellStyle name="1_1_J68 target cascade Study 060526　Final(3) xls_J68C- Roadmap #4 Liaison070524A  2" xfId="3907"/>
    <cellStyle name="1_1_J68 target cascade Study 060526　Final(3) xls_J68C- Roadmap #4 Liaison070524A Glide Pass " xfId="3908"/>
    <cellStyle name="1_1_J68 target cascade Study 060526　Final(3) xls_J68C- Roadmap #4 Liaison070524A Glide Pass  2" xfId="3909"/>
    <cellStyle name="1_1_J68 target cascade Study 060526　Final(3) xls_J68C- Roadmap #4 Liaison070529 Glide Pass " xfId="3910"/>
    <cellStyle name="1_1_J68 target cascade Study 060526　Final(3) xls_J68C- Roadmap #4 Liaison070529 Glide Pass  2" xfId="3911"/>
    <cellStyle name="1_1_J68C- Roadmap #4 524Liaison070524 " xfId="3912"/>
    <cellStyle name="1_1_J68C- Roadmap #4 524Liaison070524  2" xfId="3913"/>
    <cellStyle name="1_1_J68C- Roadmap #4 Liaison070524A " xfId="3914"/>
    <cellStyle name="1_1_J68C- Roadmap #4 Liaison070524A  2" xfId="3915"/>
    <cellStyle name="1_1_J68C- Roadmap #4 Liaison070524A Glide Pass " xfId="3916"/>
    <cellStyle name="1_1_J68C- Roadmap #4 Liaison070524A Glide Pass  2" xfId="3917"/>
    <cellStyle name="1_1_J68C- Roadmap #4 Liaison070529 Glide Pass " xfId="3918"/>
    <cellStyle name="1_1_J68C- Roadmap #4 Liaison070529 Glide Pass  2" xfId="3919"/>
    <cellStyle name="1_1_Master_StatusCharts_39adj" xfId="3920"/>
    <cellStyle name="1_1_Master_StatusCharts_39adj 2" xfId="3921"/>
    <cellStyle name="1_1_Master_StatusCharts_39adj_C1 Cost - Review(yng)1_J68 Chunk Summary_J68C- Roadmap #4 524Liaison070524 " xfId="3922"/>
    <cellStyle name="1_1_Master_StatusCharts_39adj_C1 Cost - Review(yng)1_J68 Chunk Summary_J68C- Roadmap #4 524Liaison070524  2" xfId="3923"/>
    <cellStyle name="1_1_Master_StatusCharts_39adj_C1 Cost - Review(yng)1_J68 Chunk Summary_J68C- Roadmap #4 Liaison070524A " xfId="3924"/>
    <cellStyle name="1_1_Master_StatusCharts_39adj_C1 Cost - Review(yng)1_J68 Chunk Summary_J68C- Roadmap #4 Liaison070524A  2" xfId="3925"/>
    <cellStyle name="1_1_Master_StatusCharts_39adj_C1 Cost - Review(yng)1_J68 Chunk Summary_J68C- Roadmap #4 Liaison070524A Glide Pass " xfId="3926"/>
    <cellStyle name="1_1_Master_StatusCharts_39adj_C1 Cost - Review(yng)1_J68 Chunk Summary_J68C- Roadmap #4 Liaison070524A Glide Pass  2" xfId="3927"/>
    <cellStyle name="1_1_Master_StatusCharts_39adj_C1 Cost - Review(yng)1_J68 Chunk Summary_J68C- Roadmap #4 Liaison070529 Glide Pass " xfId="3928"/>
    <cellStyle name="1_1_Master_StatusCharts_39adj_C1 Cost - Review(yng)1_J68 Chunk Summary_J68C- Roadmap #4 Liaison070529 Glide Pass  2" xfId="3929"/>
    <cellStyle name="1_1_Master_StatusCharts_39adj_C1 Cost - Review(yng)1_J68 target cascade Study 060522-2 (2)_J68C- Roadmap #4 524Liaison070524 " xfId="3930"/>
    <cellStyle name="1_1_Master_StatusCharts_39adj_C1 Cost - Review(yng)1_J68 target cascade Study 060522-2 (2)_J68C- Roadmap #4 524Liaison070524  2" xfId="3931"/>
    <cellStyle name="1_1_Master_StatusCharts_39adj_C1 Cost - Review(yng)1_J68 target cascade Study 060522-2 (2)_J68C- Roadmap #4 Liaison070524A " xfId="3932"/>
    <cellStyle name="1_1_Master_StatusCharts_39adj_C1 Cost - Review(yng)1_J68 target cascade Study 060522-2 (2)_J68C- Roadmap #4 Liaison070524A  2" xfId="3933"/>
    <cellStyle name="1_1_Master_StatusCharts_39adj_C1 Cost - Review(yng)1_J68 target cascade Study 060522-2 (2)_J68C- Roadmap #4 Liaison070524A Glide Pass " xfId="3934"/>
    <cellStyle name="1_1_Master_StatusCharts_39adj_C1 Cost - Review(yng)1_J68 target cascade Study 060522-2 (2)_J68C- Roadmap #4 Liaison070524A Glide Pass  2" xfId="3935"/>
    <cellStyle name="1_1_Master_StatusCharts_39adj_C1 Cost - Review(yng)1_J68 target cascade Study 060522-2 (2)_J68C- Roadmap #4 Liaison070529 Glide Pass " xfId="3936"/>
    <cellStyle name="1_1_Master_StatusCharts_39adj_C1 Cost - Review(yng)1_J68 target cascade Study 060522-2 (2)_J68C- Roadmap #4 Liaison070529 Glide Pass  2" xfId="3937"/>
    <cellStyle name="1_1_Master_StatusCharts_39adj_C1 Cost - Review(yng)1_J68 target cascade Study 060526　Final(3) xls_J68C- Roadmap #4 524Liaison070524 " xfId="3938"/>
    <cellStyle name="1_1_Master_StatusCharts_39adj_C1 Cost - Review(yng)1_J68 target cascade Study 060526　Final(3) xls_J68C- Roadmap #4 524Liaison070524  2" xfId="3939"/>
    <cellStyle name="1_1_Master_StatusCharts_39adj_C1 Cost - Review(yng)1_J68 target cascade Study 060526　Final(3) xls_J68C- Roadmap #4 Liaison070524A " xfId="3940"/>
    <cellStyle name="1_1_Master_StatusCharts_39adj_C1 Cost - Review(yng)1_J68 target cascade Study 060526　Final(3) xls_J68C- Roadmap #4 Liaison070524A  2" xfId="3941"/>
    <cellStyle name="1_1_Master_StatusCharts_39adj_C1 Cost - Review(yng)1_J68 target cascade Study 060526　Final(3) xls_J68C- Roadmap #4 Liaison070524A Glide Pass " xfId="3942"/>
    <cellStyle name="1_1_Master_StatusCharts_39adj_C1 Cost - Review(yng)1_J68 target cascade Study 060526　Final(3) xls_J68C- Roadmap #4 Liaison070524A Glide Pass  2" xfId="3943"/>
    <cellStyle name="1_1_Master_StatusCharts_39adj_C1 Cost - Review(yng)1_J68 target cascade Study 060526　Final(3) xls_J68C- Roadmap #4 Liaison070529 Glide Pass " xfId="3944"/>
    <cellStyle name="1_1_Master_StatusCharts_39adj_C1 Cost - Review(yng)1_J68 target cascade Study 060526　Final(3) xls_J68C- Roadmap #4 Liaison070529 Glide Pass  2" xfId="3945"/>
    <cellStyle name="1_1_Master_StatusCharts_39adj_C1 Cost - Review(yng)1_J68C- Roadmap #4 524Liaison070524 " xfId="3946"/>
    <cellStyle name="1_1_Master_StatusCharts_39adj_C1 Cost - Review(yng)1_J68C- Roadmap #4 524Liaison070524  2" xfId="3947"/>
    <cellStyle name="1_1_Master_StatusCharts_39adj_C1 Cost - Review(yng)1_J68C- Roadmap #4 Liaison070524A " xfId="3948"/>
    <cellStyle name="1_1_Master_StatusCharts_39adj_C1 Cost - Review(yng)1_J68C- Roadmap #4 Liaison070524A  2" xfId="3949"/>
    <cellStyle name="1_1_Master_StatusCharts_39adj_C1 Cost - Review(yng)1_J68C- Roadmap #4 Liaison070524A Glide Pass " xfId="3950"/>
    <cellStyle name="1_1_Master_StatusCharts_39adj_C1 Cost - Review(yng)1_J68C- Roadmap #4 Liaison070524A Glide Pass  2" xfId="3951"/>
    <cellStyle name="1_1_Master_StatusCharts_39adj_C1 Cost - Review(yng)1_J68C- Roadmap #4 Liaison070529 Glide Pass " xfId="3952"/>
    <cellStyle name="1_1_Master_StatusCharts_39adj_C1 Cost - Review(yng)1_J68C- Roadmap #4 Liaison070529 Glide Pass  2" xfId="3953"/>
    <cellStyle name="1_1_Master_StatusCharts_39adj_J68 Chunk Summary_J68C- Roadmap #4 524Liaison070524 " xfId="3954"/>
    <cellStyle name="1_1_Master_StatusCharts_39adj_J68 Chunk Summary_J68C- Roadmap #4 524Liaison070524  2" xfId="3955"/>
    <cellStyle name="1_1_Master_StatusCharts_39adj_J68 Chunk Summary_J68C- Roadmap #4 Liaison070524A " xfId="3956"/>
    <cellStyle name="1_1_Master_StatusCharts_39adj_J68 Chunk Summary_J68C- Roadmap #4 Liaison070524A  2" xfId="3957"/>
    <cellStyle name="1_1_Master_StatusCharts_39adj_J68 Chunk Summary_J68C- Roadmap #4 Liaison070524A Glide Pass " xfId="3958"/>
    <cellStyle name="1_1_Master_StatusCharts_39adj_J68 Chunk Summary_J68C- Roadmap #4 Liaison070524A Glide Pass  2" xfId="3959"/>
    <cellStyle name="1_1_Master_StatusCharts_39adj_J68 Chunk Summary_J68C- Roadmap #4 Liaison070529 Glide Pass " xfId="3960"/>
    <cellStyle name="1_1_Master_StatusCharts_39adj_J68 Chunk Summary_J68C- Roadmap #4 Liaison070529 Glide Pass  2" xfId="3961"/>
    <cellStyle name="1_1_Master_StatusCharts_39adj_J68 target cascade Study 060522-2 (2)_J68C- Roadmap #4 524Liaison070524 " xfId="3962"/>
    <cellStyle name="1_1_Master_StatusCharts_39adj_J68 target cascade Study 060522-2 (2)_J68C- Roadmap #4 524Liaison070524  2" xfId="3963"/>
    <cellStyle name="1_1_Master_StatusCharts_39adj_J68 target cascade Study 060522-2 (2)_J68C- Roadmap #4 Liaison070524A " xfId="3964"/>
    <cellStyle name="1_1_Master_StatusCharts_39adj_J68 target cascade Study 060522-2 (2)_J68C- Roadmap #4 Liaison070524A  2" xfId="3965"/>
    <cellStyle name="1_1_Master_StatusCharts_39adj_J68 target cascade Study 060522-2 (2)_J68C- Roadmap #4 Liaison070524A Glide Pass " xfId="3966"/>
    <cellStyle name="1_1_Master_StatusCharts_39adj_J68 target cascade Study 060522-2 (2)_J68C- Roadmap #4 Liaison070524A Glide Pass  2" xfId="3967"/>
    <cellStyle name="1_1_Master_StatusCharts_39adj_J68 target cascade Study 060522-2 (2)_J68C- Roadmap #4 Liaison070529 Glide Pass " xfId="3968"/>
    <cellStyle name="1_1_Master_StatusCharts_39adj_J68 target cascade Study 060522-2 (2)_J68C- Roadmap #4 Liaison070529 Glide Pass  2" xfId="3969"/>
    <cellStyle name="1_1_Master_StatusCharts_39adj_J68 target cascade Study 060526　Final(3) xls_J68C- Roadmap #4 524Liaison070524 " xfId="3970"/>
    <cellStyle name="1_1_Master_StatusCharts_39adj_J68 target cascade Study 060526　Final(3) xls_J68C- Roadmap #4 524Liaison070524  2" xfId="3971"/>
    <cellStyle name="1_1_Master_StatusCharts_39adj_J68 target cascade Study 060526　Final(3) xls_J68C- Roadmap #4 Liaison070524A " xfId="3972"/>
    <cellStyle name="1_1_Master_StatusCharts_39adj_J68 target cascade Study 060526　Final(3) xls_J68C- Roadmap #4 Liaison070524A  2" xfId="3973"/>
    <cellStyle name="1_1_Master_StatusCharts_39adj_J68 target cascade Study 060526　Final(3) xls_J68C- Roadmap #4 Liaison070524A Glide Pass " xfId="3974"/>
    <cellStyle name="1_1_Master_StatusCharts_39adj_J68 target cascade Study 060526　Final(3) xls_J68C- Roadmap #4 Liaison070524A Glide Pass  2" xfId="3975"/>
    <cellStyle name="1_1_Master_StatusCharts_39adj_J68 target cascade Study 060526　Final(3) xls_J68C- Roadmap #4 Liaison070529 Glide Pass " xfId="3976"/>
    <cellStyle name="1_1_Master_StatusCharts_39adj_J68 target cascade Study 060526　Final(3) xls_J68C- Roadmap #4 Liaison070529 Glide Pass  2" xfId="3977"/>
    <cellStyle name="1_1_Master_StatusCharts_39adj_J68C- Roadmap #4 524Liaison070524 " xfId="3978"/>
    <cellStyle name="1_1_Master_StatusCharts_39adj_J68C- Roadmap #4 524Liaison070524  2" xfId="3979"/>
    <cellStyle name="1_1_Master_StatusCharts_39adj_J68C- Roadmap #4 Liaison070524A " xfId="3980"/>
    <cellStyle name="1_1_Master_StatusCharts_39adj_J68C- Roadmap #4 Liaison070524A  2" xfId="3981"/>
    <cellStyle name="1_1_Master_StatusCharts_39adj_J68C- Roadmap #4 Liaison070524A Glide Pass " xfId="3982"/>
    <cellStyle name="1_1_Master_StatusCharts_39adj_J68C- Roadmap #4 Liaison070524A Glide Pass  2" xfId="3983"/>
    <cellStyle name="1_1_Master_StatusCharts_39adj_J68C- Roadmap #4 Liaison070529 Glide Pass " xfId="3984"/>
    <cellStyle name="1_1_Master_StatusCharts_39adj_J68C- Roadmap #4 Liaison070529 Glide Pass  2" xfId="3985"/>
    <cellStyle name="1_1_Master_StatusCharts_39adj_SOMP_CD340 (11.11.04)" xfId="3986"/>
    <cellStyle name="1_1_Master_StatusCharts_39adj_SOMP_CD340 (11.11.04) 2" xfId="3987"/>
    <cellStyle name="1_1_Master_StatusCharts_39adj_VO Labour Status # 7" xfId="3988"/>
    <cellStyle name="1_1_Master_StatusCharts_39adj_VO Labour Status # 7 2" xfId="3989"/>
    <cellStyle name="1_1_SOMP_CD340 (11.11.04)" xfId="3990"/>
    <cellStyle name="1_1_SOMP_CD340 (11.11.04) 2" xfId="3991"/>
    <cellStyle name="1_1_VO Labour Status # 7" xfId="3992"/>
    <cellStyle name="1_1_VO Labour Status # 7 2" xfId="3993"/>
    <cellStyle name="1_C1 Cost - Review(yng)1_J68 Chunk Summary_J68C- Roadmap #4 524Liaison070524 " xfId="3994"/>
    <cellStyle name="1_C1 Cost - Review(yng)1_J68 Chunk Summary_J68C- Roadmap #4 524Liaison070524  2" xfId="3995"/>
    <cellStyle name="1_C1 Cost - Review(yng)1_J68 Chunk Summary_J68C- Roadmap #4 Liaison070524A " xfId="3996"/>
    <cellStyle name="1_C1 Cost - Review(yng)1_J68 Chunk Summary_J68C- Roadmap #4 Liaison070524A  2" xfId="3997"/>
    <cellStyle name="1_C1 Cost - Review(yng)1_J68 Chunk Summary_J68C- Roadmap #4 Liaison070524A Glide Pass " xfId="3998"/>
    <cellStyle name="1_C1 Cost - Review(yng)1_J68 Chunk Summary_J68C- Roadmap #4 Liaison070524A Glide Pass  2" xfId="3999"/>
    <cellStyle name="1_C1 Cost - Review(yng)1_J68 Chunk Summary_J68C- Roadmap #4 Liaison070529 Glide Pass " xfId="4000"/>
    <cellStyle name="1_C1 Cost - Review(yng)1_J68 Chunk Summary_J68C- Roadmap #4 Liaison070529 Glide Pass  2" xfId="4001"/>
    <cellStyle name="1_C1 Cost - Review(yng)1_J68 target cascade Study 060522-2 (2)_J68C- Roadmap #4 524Liaison070524 " xfId="4002"/>
    <cellStyle name="1_C1 Cost - Review(yng)1_J68 target cascade Study 060522-2 (2)_J68C- Roadmap #4 524Liaison070524  2" xfId="4003"/>
    <cellStyle name="1_C1 Cost - Review(yng)1_J68 target cascade Study 060522-2 (2)_J68C- Roadmap #4 Liaison070524A " xfId="4004"/>
    <cellStyle name="1_C1 Cost - Review(yng)1_J68 target cascade Study 060522-2 (2)_J68C- Roadmap #4 Liaison070524A  2" xfId="4005"/>
    <cellStyle name="1_C1 Cost - Review(yng)1_J68 target cascade Study 060522-2 (2)_J68C- Roadmap #4 Liaison070524A Glide Pass " xfId="4006"/>
    <cellStyle name="1_C1 Cost - Review(yng)1_J68 target cascade Study 060522-2 (2)_J68C- Roadmap #4 Liaison070524A Glide Pass  2" xfId="4007"/>
    <cellStyle name="1_C1 Cost - Review(yng)1_J68 target cascade Study 060522-2 (2)_J68C- Roadmap #4 Liaison070529 Glide Pass " xfId="4008"/>
    <cellStyle name="1_C1 Cost - Review(yng)1_J68 target cascade Study 060522-2 (2)_J68C- Roadmap #4 Liaison070529 Glide Pass  2" xfId="4009"/>
    <cellStyle name="1_C1 Cost - Review(yng)1_J68 target cascade Study 060526　Final(3) xls_J68C- Roadmap #4 524Liaison070524 " xfId="4010"/>
    <cellStyle name="1_C1 Cost - Review(yng)1_J68 target cascade Study 060526　Final(3) xls_J68C- Roadmap #4 524Liaison070524  2" xfId="4011"/>
    <cellStyle name="1_C1 Cost - Review(yng)1_J68 target cascade Study 060526　Final(3) xls_J68C- Roadmap #4 Liaison070524A " xfId="4012"/>
    <cellStyle name="1_C1 Cost - Review(yng)1_J68 target cascade Study 060526　Final(3) xls_J68C- Roadmap #4 Liaison070524A  2" xfId="4013"/>
    <cellStyle name="1_C1 Cost - Review(yng)1_J68 target cascade Study 060526　Final(3) xls_J68C- Roadmap #4 Liaison070524A Glide Pass " xfId="4014"/>
    <cellStyle name="1_C1 Cost - Review(yng)1_J68 target cascade Study 060526　Final(3) xls_J68C- Roadmap #4 Liaison070524A Glide Pass  2" xfId="4015"/>
    <cellStyle name="1_C1 Cost - Review(yng)1_J68 target cascade Study 060526　Final(3) xls_J68C- Roadmap #4 Liaison070529 Glide Pass " xfId="4016"/>
    <cellStyle name="1_C1 Cost - Review(yng)1_J68 target cascade Study 060526　Final(3) xls_J68C- Roadmap #4 Liaison070529 Glide Pass  2" xfId="4017"/>
    <cellStyle name="1_C1 Cost - Review(yng)1_J68C- Roadmap #4 524Liaison070524 " xfId="4018"/>
    <cellStyle name="1_C1 Cost - Review(yng)1_J68C- Roadmap #4 524Liaison070524  2" xfId="4019"/>
    <cellStyle name="1_C1 Cost - Review(yng)1_J68C- Roadmap #4 Liaison070524A " xfId="4020"/>
    <cellStyle name="1_C1 Cost - Review(yng)1_J68C- Roadmap #4 Liaison070524A  2" xfId="4021"/>
    <cellStyle name="1_C1 Cost - Review(yng)1_J68C- Roadmap #4 Liaison070524A Glide Pass " xfId="4022"/>
    <cellStyle name="1_C1 Cost - Review(yng)1_J68C- Roadmap #4 Liaison070524A Glide Pass  2" xfId="4023"/>
    <cellStyle name="1_C1 Cost - Review(yng)1_J68C- Roadmap #4 Liaison070529 Glide Pass " xfId="4024"/>
    <cellStyle name="1_C1 Cost - Review(yng)1_J68C- Roadmap #4 Liaison070529 Glide Pass  2" xfId="4025"/>
    <cellStyle name="1_D&amp;A" xfId="4026"/>
    <cellStyle name="1_D&amp;A 2" xfId="4027"/>
    <cellStyle name="1_D&amp;A_C1 Cost - Review(yng)1_J68 Chunk Summary_J68C- Roadmap #4 524Liaison070524 " xfId="4028"/>
    <cellStyle name="1_D&amp;A_C1 Cost - Review(yng)1_J68 Chunk Summary_J68C- Roadmap #4 524Liaison070524  2" xfId="4029"/>
    <cellStyle name="1_D&amp;A_C1 Cost - Review(yng)1_J68 Chunk Summary_J68C- Roadmap #4 Liaison070524A " xfId="4030"/>
    <cellStyle name="1_D&amp;A_C1 Cost - Review(yng)1_J68 Chunk Summary_J68C- Roadmap #4 Liaison070524A  2" xfId="4031"/>
    <cellStyle name="1_D&amp;A_C1 Cost - Review(yng)1_J68 Chunk Summary_J68C- Roadmap #4 Liaison070524A Glide Pass " xfId="4032"/>
    <cellStyle name="1_D&amp;A_C1 Cost - Review(yng)1_J68 Chunk Summary_J68C- Roadmap #4 Liaison070524A Glide Pass  2" xfId="4033"/>
    <cellStyle name="1_D&amp;A_C1 Cost - Review(yng)1_J68 Chunk Summary_J68C- Roadmap #4 Liaison070529 Glide Pass " xfId="4034"/>
    <cellStyle name="1_D&amp;A_C1 Cost - Review(yng)1_J68 Chunk Summary_J68C- Roadmap #4 Liaison070529 Glide Pass  2" xfId="4035"/>
    <cellStyle name="1_D&amp;A_C1 Cost - Review(yng)1_J68 target cascade Study 060522-2 (2)_J68C- Roadmap #4 524Liaison070524 " xfId="4036"/>
    <cellStyle name="1_D&amp;A_C1 Cost - Review(yng)1_J68 target cascade Study 060522-2 (2)_J68C- Roadmap #4 524Liaison070524  2" xfId="4037"/>
    <cellStyle name="1_D&amp;A_C1 Cost - Review(yng)1_J68 target cascade Study 060522-2 (2)_J68C- Roadmap #4 Liaison070524A " xfId="4038"/>
    <cellStyle name="1_D&amp;A_C1 Cost - Review(yng)1_J68 target cascade Study 060522-2 (2)_J68C- Roadmap #4 Liaison070524A  2" xfId="4039"/>
    <cellStyle name="1_D&amp;A_C1 Cost - Review(yng)1_J68 target cascade Study 060522-2 (2)_J68C- Roadmap #4 Liaison070524A Glide Pass " xfId="4040"/>
    <cellStyle name="1_D&amp;A_C1 Cost - Review(yng)1_J68 target cascade Study 060522-2 (2)_J68C- Roadmap #4 Liaison070524A Glide Pass  2" xfId="4041"/>
    <cellStyle name="1_D&amp;A_C1 Cost - Review(yng)1_J68 target cascade Study 060522-2 (2)_J68C- Roadmap #4 Liaison070529 Glide Pass " xfId="4042"/>
    <cellStyle name="1_D&amp;A_C1 Cost - Review(yng)1_J68 target cascade Study 060522-2 (2)_J68C- Roadmap #4 Liaison070529 Glide Pass  2" xfId="4043"/>
    <cellStyle name="1_D&amp;A_C1 Cost - Review(yng)1_J68 target cascade Study 060526　Final(3) xls_J68C- Roadmap #4 524Liaison070524 " xfId="4044"/>
    <cellStyle name="1_D&amp;A_C1 Cost - Review(yng)1_J68 target cascade Study 060526　Final(3) xls_J68C- Roadmap #4 524Liaison070524  2" xfId="4045"/>
    <cellStyle name="1_D&amp;A_C1 Cost - Review(yng)1_J68 target cascade Study 060526　Final(3) xls_J68C- Roadmap #4 Liaison070524A " xfId="4046"/>
    <cellStyle name="1_D&amp;A_C1 Cost - Review(yng)1_J68 target cascade Study 060526　Final(3) xls_J68C- Roadmap #4 Liaison070524A  2" xfId="4047"/>
    <cellStyle name="1_D&amp;A_C1 Cost - Review(yng)1_J68 target cascade Study 060526　Final(3) xls_J68C- Roadmap #4 Liaison070524A Glide Pass " xfId="4048"/>
    <cellStyle name="1_D&amp;A_C1 Cost - Review(yng)1_J68 target cascade Study 060526　Final(3) xls_J68C- Roadmap #4 Liaison070524A Glide Pass  2" xfId="4049"/>
    <cellStyle name="1_D&amp;A_C1 Cost - Review(yng)1_J68 target cascade Study 060526　Final(3) xls_J68C- Roadmap #4 Liaison070529 Glide Pass " xfId="4050"/>
    <cellStyle name="1_D&amp;A_C1 Cost - Review(yng)1_J68 target cascade Study 060526　Final(3) xls_J68C- Roadmap #4 Liaison070529 Glide Pass  2" xfId="4051"/>
    <cellStyle name="1_D&amp;A_C1 Cost - Review(yng)1_J68C- Roadmap #4 524Liaison070524 " xfId="4052"/>
    <cellStyle name="1_D&amp;A_C1 Cost - Review(yng)1_J68C- Roadmap #4 524Liaison070524  2" xfId="4053"/>
    <cellStyle name="1_D&amp;A_C1 Cost - Review(yng)1_J68C- Roadmap #4 Liaison070524A " xfId="4054"/>
    <cellStyle name="1_D&amp;A_C1 Cost - Review(yng)1_J68C- Roadmap #4 Liaison070524A  2" xfId="4055"/>
    <cellStyle name="1_D&amp;A_C1 Cost - Review(yng)1_J68C- Roadmap #4 Liaison070524A Glide Pass " xfId="4056"/>
    <cellStyle name="1_D&amp;A_C1 Cost - Review(yng)1_J68C- Roadmap #4 Liaison070524A Glide Pass  2" xfId="4057"/>
    <cellStyle name="1_D&amp;A_C1 Cost - Review(yng)1_J68C- Roadmap #4 Liaison070529 Glide Pass " xfId="4058"/>
    <cellStyle name="1_D&amp;A_C1 Cost - Review(yng)1_J68C- Roadmap #4 Liaison070529 Glide Pass  2" xfId="4059"/>
    <cellStyle name="1_D&amp;A_J68 Chunk Summary_J68C- Roadmap #4 524Liaison070524 " xfId="4060"/>
    <cellStyle name="1_D&amp;A_J68 Chunk Summary_J68C- Roadmap #4 524Liaison070524  2" xfId="4061"/>
    <cellStyle name="1_D&amp;A_J68 Chunk Summary_J68C- Roadmap #4 Liaison070524A " xfId="4062"/>
    <cellStyle name="1_D&amp;A_J68 Chunk Summary_J68C- Roadmap #4 Liaison070524A  2" xfId="4063"/>
    <cellStyle name="1_D&amp;A_J68 Chunk Summary_J68C- Roadmap #4 Liaison070524A Glide Pass " xfId="4064"/>
    <cellStyle name="1_D&amp;A_J68 Chunk Summary_J68C- Roadmap #4 Liaison070524A Glide Pass  2" xfId="4065"/>
    <cellStyle name="1_D&amp;A_J68 Chunk Summary_J68C- Roadmap #4 Liaison070529 Glide Pass " xfId="4066"/>
    <cellStyle name="1_D&amp;A_J68 Chunk Summary_J68C- Roadmap #4 Liaison070529 Glide Pass  2" xfId="4067"/>
    <cellStyle name="1_D&amp;A_J68 target cascade Study 060522-2 (2)_J68C- Roadmap #4 524Liaison070524 " xfId="4068"/>
    <cellStyle name="1_D&amp;A_J68 target cascade Study 060522-2 (2)_J68C- Roadmap #4 524Liaison070524  2" xfId="4069"/>
    <cellStyle name="1_D&amp;A_J68 target cascade Study 060522-2 (2)_J68C- Roadmap #4 Liaison070524A " xfId="4070"/>
    <cellStyle name="1_D&amp;A_J68 target cascade Study 060522-2 (2)_J68C- Roadmap #4 Liaison070524A  2" xfId="4071"/>
    <cellStyle name="1_D&amp;A_J68 target cascade Study 060522-2 (2)_J68C- Roadmap #4 Liaison070524A Glide Pass " xfId="4072"/>
    <cellStyle name="1_D&amp;A_J68 target cascade Study 060522-2 (2)_J68C- Roadmap #4 Liaison070524A Glide Pass  2" xfId="4073"/>
    <cellStyle name="1_D&amp;A_J68 target cascade Study 060522-2 (2)_J68C- Roadmap #4 Liaison070529 Glide Pass " xfId="4074"/>
    <cellStyle name="1_D&amp;A_J68 target cascade Study 060522-2 (2)_J68C- Roadmap #4 Liaison070529 Glide Pass  2" xfId="4075"/>
    <cellStyle name="1_D&amp;A_J68 target cascade Study 060526　Final(3) xls_J68C- Roadmap #4 524Liaison070524 " xfId="4076"/>
    <cellStyle name="1_D&amp;A_J68 target cascade Study 060526　Final(3) xls_J68C- Roadmap #4 524Liaison070524  2" xfId="4077"/>
    <cellStyle name="1_D&amp;A_J68 target cascade Study 060526　Final(3) xls_J68C- Roadmap #4 Liaison070524A " xfId="4078"/>
    <cellStyle name="1_D&amp;A_J68 target cascade Study 060526　Final(3) xls_J68C- Roadmap #4 Liaison070524A  2" xfId="4079"/>
    <cellStyle name="1_D&amp;A_J68 target cascade Study 060526　Final(3) xls_J68C- Roadmap #4 Liaison070524A Glide Pass " xfId="4080"/>
    <cellStyle name="1_D&amp;A_J68 target cascade Study 060526　Final(3) xls_J68C- Roadmap #4 Liaison070524A Glide Pass  2" xfId="4081"/>
    <cellStyle name="1_D&amp;A_J68 target cascade Study 060526　Final(3) xls_J68C- Roadmap #4 Liaison070529 Glide Pass " xfId="4082"/>
    <cellStyle name="1_D&amp;A_J68 target cascade Study 060526　Final(3) xls_J68C- Roadmap #4 Liaison070529 Glide Pass  2" xfId="4083"/>
    <cellStyle name="1_D&amp;A_J68C- Roadmap #4 524Liaison070524 " xfId="4084"/>
    <cellStyle name="1_D&amp;A_J68C- Roadmap #4 524Liaison070524  2" xfId="4085"/>
    <cellStyle name="1_D&amp;A_J68C- Roadmap #4 Liaison070524A " xfId="4086"/>
    <cellStyle name="1_D&amp;A_J68C- Roadmap #4 Liaison070524A  2" xfId="4087"/>
    <cellStyle name="1_D&amp;A_J68C- Roadmap #4 Liaison070524A Glide Pass " xfId="4088"/>
    <cellStyle name="1_D&amp;A_J68C- Roadmap #4 Liaison070524A Glide Pass  2" xfId="4089"/>
    <cellStyle name="1_D&amp;A_J68C- Roadmap #4 Liaison070529 Glide Pass " xfId="4090"/>
    <cellStyle name="1_D&amp;A_J68C- Roadmap #4 Liaison070529 Glide Pass  2" xfId="4091"/>
    <cellStyle name="1_D&amp;A_SOMP_CD340 (11.11.04)" xfId="4092"/>
    <cellStyle name="1_D&amp;A_SOMP_CD340 (11.11.04) 2" xfId="4093"/>
    <cellStyle name="1_D&amp;A_VO Labour Status # 7" xfId="4094"/>
    <cellStyle name="1_D&amp;A_VO Labour Status # 7 2" xfId="4095"/>
    <cellStyle name="1_J68 Chunk Summary_J68C- Roadmap #4 524Liaison070524 " xfId="4096"/>
    <cellStyle name="1_J68 Chunk Summary_J68C- Roadmap #4 524Liaison070524  2" xfId="4097"/>
    <cellStyle name="1_J68 Chunk Summary_J68C- Roadmap #4 Liaison070524A " xfId="4098"/>
    <cellStyle name="1_J68 Chunk Summary_J68C- Roadmap #4 Liaison070524A  2" xfId="4099"/>
    <cellStyle name="1_J68 Chunk Summary_J68C- Roadmap #4 Liaison070524A Glide Pass " xfId="4100"/>
    <cellStyle name="1_J68 Chunk Summary_J68C- Roadmap #4 Liaison070524A Glide Pass  2" xfId="4101"/>
    <cellStyle name="1_J68 Chunk Summary_J68C- Roadmap #4 Liaison070529 Glide Pass " xfId="4102"/>
    <cellStyle name="1_J68 Chunk Summary_J68C- Roadmap #4 Liaison070529 Glide Pass  2" xfId="4103"/>
    <cellStyle name="1_J68 target cascade Study 060522-2 (2)_J68C- Roadmap #4 524Liaison070524 " xfId="4104"/>
    <cellStyle name="1_J68 target cascade Study 060522-2 (2)_J68C- Roadmap #4 524Liaison070524  2" xfId="4105"/>
    <cellStyle name="1_J68 target cascade Study 060522-2 (2)_J68C- Roadmap #4 Liaison070524A " xfId="4106"/>
    <cellStyle name="1_J68 target cascade Study 060522-2 (2)_J68C- Roadmap #4 Liaison070524A  2" xfId="4107"/>
    <cellStyle name="1_J68 target cascade Study 060522-2 (2)_J68C- Roadmap #4 Liaison070524A Glide Pass " xfId="4108"/>
    <cellStyle name="1_J68 target cascade Study 060522-2 (2)_J68C- Roadmap #4 Liaison070524A Glide Pass  2" xfId="4109"/>
    <cellStyle name="1_J68 target cascade Study 060522-2 (2)_J68C- Roadmap #4 Liaison070529 Glide Pass " xfId="4110"/>
    <cellStyle name="1_J68 target cascade Study 060522-2 (2)_J68C- Roadmap #4 Liaison070529 Glide Pass  2" xfId="4111"/>
    <cellStyle name="1_J68 target cascade Study 060526　Final(3) xls_J68C- Roadmap #4 524Liaison070524 " xfId="4112"/>
    <cellStyle name="1_J68 target cascade Study 060526　Final(3) xls_J68C- Roadmap #4 524Liaison070524  2" xfId="4113"/>
    <cellStyle name="1_J68 target cascade Study 060526　Final(3) xls_J68C- Roadmap #4 Liaison070524A " xfId="4114"/>
    <cellStyle name="1_J68 target cascade Study 060526　Final(3) xls_J68C- Roadmap #4 Liaison070524A  2" xfId="4115"/>
    <cellStyle name="1_J68 target cascade Study 060526　Final(3) xls_J68C- Roadmap #4 Liaison070524A Glide Pass " xfId="4116"/>
    <cellStyle name="1_J68 target cascade Study 060526　Final(3) xls_J68C- Roadmap #4 Liaison070524A Glide Pass  2" xfId="4117"/>
    <cellStyle name="1_J68 target cascade Study 060526　Final(3) xls_J68C- Roadmap #4 Liaison070529 Glide Pass " xfId="4118"/>
    <cellStyle name="1_J68 target cascade Study 060526　Final(3) xls_J68C- Roadmap #4 Liaison070529 Glide Pass  2" xfId="4119"/>
    <cellStyle name="1_J68C- Roadmap #4 524Liaison070524 " xfId="4120"/>
    <cellStyle name="1_J68C- Roadmap #4 524Liaison070524  2" xfId="4121"/>
    <cellStyle name="1_J68C- Roadmap #4 Liaison070524A " xfId="4122"/>
    <cellStyle name="1_J68C- Roadmap #4 Liaison070524A  2" xfId="4123"/>
    <cellStyle name="1_J68C- Roadmap #4 Liaison070524A Glide Pass " xfId="4124"/>
    <cellStyle name="1_J68C- Roadmap #4 Liaison070524A Glide Pass  2" xfId="4125"/>
    <cellStyle name="1_J68C- Roadmap #4 Liaison070529 Glide Pass " xfId="4126"/>
    <cellStyle name="1_J68C- Roadmap #4 Liaison070529 Glide Pass  2" xfId="4127"/>
    <cellStyle name="1_Master_StatusCharts_39adj" xfId="4128"/>
    <cellStyle name="1_Master_StatusCharts_39adj 2" xfId="4129"/>
    <cellStyle name="1_Master_StatusCharts_39adj_C1 Cost - Review(yng)1_J68 Chunk Summary_J68C- Roadmap #4 524Liaison070524 " xfId="4130"/>
    <cellStyle name="1_Master_StatusCharts_39adj_C1 Cost - Review(yng)1_J68 Chunk Summary_J68C- Roadmap #4 524Liaison070524  2" xfId="4131"/>
    <cellStyle name="1_Master_StatusCharts_39adj_C1 Cost - Review(yng)1_J68 Chunk Summary_J68C- Roadmap #4 Liaison070524A " xfId="4132"/>
    <cellStyle name="1_Master_StatusCharts_39adj_C1 Cost - Review(yng)1_J68 Chunk Summary_J68C- Roadmap #4 Liaison070524A  2" xfId="4133"/>
    <cellStyle name="1_Master_StatusCharts_39adj_C1 Cost - Review(yng)1_J68 Chunk Summary_J68C- Roadmap #4 Liaison070524A Glide Pass " xfId="4134"/>
    <cellStyle name="1_Master_StatusCharts_39adj_C1 Cost - Review(yng)1_J68 Chunk Summary_J68C- Roadmap #4 Liaison070524A Glide Pass  2" xfId="4135"/>
    <cellStyle name="1_Master_StatusCharts_39adj_C1 Cost - Review(yng)1_J68 Chunk Summary_J68C- Roadmap #4 Liaison070529 Glide Pass " xfId="4136"/>
    <cellStyle name="1_Master_StatusCharts_39adj_C1 Cost - Review(yng)1_J68 Chunk Summary_J68C- Roadmap #4 Liaison070529 Glide Pass  2" xfId="4137"/>
    <cellStyle name="1_Master_StatusCharts_39adj_C1 Cost - Review(yng)1_J68 target cascade Study 060522-2 (2)_J68C- Roadmap #4 524Liaison070524 " xfId="4138"/>
    <cellStyle name="1_Master_StatusCharts_39adj_C1 Cost - Review(yng)1_J68 target cascade Study 060522-2 (2)_J68C- Roadmap #4 524Liaison070524  2" xfId="4139"/>
    <cellStyle name="1_Master_StatusCharts_39adj_C1 Cost - Review(yng)1_J68 target cascade Study 060522-2 (2)_J68C- Roadmap #4 Liaison070524A " xfId="4140"/>
    <cellStyle name="1_Master_StatusCharts_39adj_C1 Cost - Review(yng)1_J68 target cascade Study 060522-2 (2)_J68C- Roadmap #4 Liaison070524A  2" xfId="4141"/>
    <cellStyle name="1_Master_StatusCharts_39adj_C1 Cost - Review(yng)1_J68 target cascade Study 060522-2 (2)_J68C- Roadmap #4 Liaison070524A Glide Pass " xfId="4142"/>
    <cellStyle name="1_Master_StatusCharts_39adj_C1 Cost - Review(yng)1_J68 target cascade Study 060522-2 (2)_J68C- Roadmap #4 Liaison070524A Glide Pass  2" xfId="4143"/>
    <cellStyle name="1_Master_StatusCharts_39adj_C1 Cost - Review(yng)1_J68 target cascade Study 060522-2 (2)_J68C- Roadmap #4 Liaison070529 Glide Pass " xfId="4144"/>
    <cellStyle name="1_Master_StatusCharts_39adj_C1 Cost - Review(yng)1_J68 target cascade Study 060522-2 (2)_J68C- Roadmap #4 Liaison070529 Glide Pass  2" xfId="4145"/>
    <cellStyle name="1_Master_StatusCharts_39adj_C1 Cost - Review(yng)1_J68 target cascade Study 060526　Final(3) xls_J68C- Roadmap #4 524Liaison070524 " xfId="4146"/>
    <cellStyle name="1_Master_StatusCharts_39adj_C1 Cost - Review(yng)1_J68 target cascade Study 060526　Final(3) xls_J68C- Roadmap #4 524Liaison070524  2" xfId="4147"/>
    <cellStyle name="1_Master_StatusCharts_39adj_C1 Cost - Review(yng)1_J68 target cascade Study 060526　Final(3) xls_J68C- Roadmap #4 Liaison070524A " xfId="4148"/>
    <cellStyle name="1_Master_StatusCharts_39adj_C1 Cost - Review(yng)1_J68 target cascade Study 060526　Final(3) xls_J68C- Roadmap #4 Liaison070524A  2" xfId="4149"/>
    <cellStyle name="1_Master_StatusCharts_39adj_C1 Cost - Review(yng)1_J68 target cascade Study 060526　Final(3) xls_J68C- Roadmap #4 Liaison070524A Glide Pass " xfId="4150"/>
    <cellStyle name="1_Master_StatusCharts_39adj_C1 Cost - Review(yng)1_J68 target cascade Study 060526　Final(3) xls_J68C- Roadmap #4 Liaison070524A Glide Pass  2" xfId="4151"/>
    <cellStyle name="1_Master_StatusCharts_39adj_C1 Cost - Review(yng)1_J68 target cascade Study 060526　Final(3) xls_J68C- Roadmap #4 Liaison070529 Glide Pass " xfId="4152"/>
    <cellStyle name="1_Master_StatusCharts_39adj_C1 Cost - Review(yng)1_J68 target cascade Study 060526　Final(3) xls_J68C- Roadmap #4 Liaison070529 Glide Pass  2" xfId="4153"/>
    <cellStyle name="1_Master_StatusCharts_39adj_C1 Cost - Review(yng)1_J68C- Roadmap #4 524Liaison070524 " xfId="4154"/>
    <cellStyle name="1_Master_StatusCharts_39adj_C1 Cost - Review(yng)1_J68C- Roadmap #4 524Liaison070524  2" xfId="4155"/>
    <cellStyle name="1_Master_StatusCharts_39adj_C1 Cost - Review(yng)1_J68C- Roadmap #4 Liaison070524A " xfId="4156"/>
    <cellStyle name="1_Master_StatusCharts_39adj_C1 Cost - Review(yng)1_J68C- Roadmap #4 Liaison070524A  2" xfId="4157"/>
    <cellStyle name="1_Master_StatusCharts_39adj_C1 Cost - Review(yng)1_J68C- Roadmap #4 Liaison070524A Glide Pass " xfId="4158"/>
    <cellStyle name="1_Master_StatusCharts_39adj_C1 Cost - Review(yng)1_J68C- Roadmap #4 Liaison070524A Glide Pass  2" xfId="4159"/>
    <cellStyle name="1_Master_StatusCharts_39adj_C1 Cost - Review(yng)1_J68C- Roadmap #4 Liaison070529 Glide Pass " xfId="4160"/>
    <cellStyle name="1_Master_StatusCharts_39adj_C1 Cost - Review(yng)1_J68C- Roadmap #4 Liaison070529 Glide Pass  2" xfId="4161"/>
    <cellStyle name="1_Master_StatusCharts_39adj_J68 Chunk Summary_J68C- Roadmap #4 524Liaison070524 " xfId="4162"/>
    <cellStyle name="1_Master_StatusCharts_39adj_J68 Chunk Summary_J68C- Roadmap #4 524Liaison070524  2" xfId="4163"/>
    <cellStyle name="1_Master_StatusCharts_39adj_J68 Chunk Summary_J68C- Roadmap #4 Liaison070524A " xfId="4164"/>
    <cellStyle name="1_Master_StatusCharts_39adj_J68 Chunk Summary_J68C- Roadmap #4 Liaison070524A  2" xfId="4165"/>
    <cellStyle name="1_Master_StatusCharts_39adj_J68 Chunk Summary_J68C- Roadmap #4 Liaison070524A Glide Pass " xfId="4166"/>
    <cellStyle name="1_Master_StatusCharts_39adj_J68 Chunk Summary_J68C- Roadmap #4 Liaison070524A Glide Pass  2" xfId="4167"/>
    <cellStyle name="1_Master_StatusCharts_39adj_J68 Chunk Summary_J68C- Roadmap #4 Liaison070529 Glide Pass " xfId="4168"/>
    <cellStyle name="1_Master_StatusCharts_39adj_J68 Chunk Summary_J68C- Roadmap #4 Liaison070529 Glide Pass  2" xfId="4169"/>
    <cellStyle name="1_Master_StatusCharts_39adj_J68 target cascade Study 060522-2 (2)_J68C- Roadmap #4 524Liaison070524 " xfId="4170"/>
    <cellStyle name="1_Master_StatusCharts_39adj_J68 target cascade Study 060522-2 (2)_J68C- Roadmap #4 524Liaison070524  2" xfId="4171"/>
    <cellStyle name="1_Master_StatusCharts_39adj_J68 target cascade Study 060522-2 (2)_J68C- Roadmap #4 Liaison070524A " xfId="4172"/>
    <cellStyle name="1_Master_StatusCharts_39adj_J68 target cascade Study 060522-2 (2)_J68C- Roadmap #4 Liaison070524A  2" xfId="4173"/>
    <cellStyle name="1_Master_StatusCharts_39adj_J68 target cascade Study 060522-2 (2)_J68C- Roadmap #4 Liaison070524A Glide Pass " xfId="4174"/>
    <cellStyle name="1_Master_StatusCharts_39adj_J68 target cascade Study 060522-2 (2)_J68C- Roadmap #4 Liaison070524A Glide Pass  2" xfId="4175"/>
    <cellStyle name="1_Master_StatusCharts_39adj_J68 target cascade Study 060522-2 (2)_J68C- Roadmap #4 Liaison070529 Glide Pass " xfId="4176"/>
    <cellStyle name="1_Master_StatusCharts_39adj_J68 target cascade Study 060522-2 (2)_J68C- Roadmap #4 Liaison070529 Glide Pass  2" xfId="4177"/>
    <cellStyle name="1_Master_StatusCharts_39adj_J68 target cascade Study 060526　Final(3) xls_J68C- Roadmap #4 524Liaison070524 " xfId="4178"/>
    <cellStyle name="1_Master_StatusCharts_39adj_J68 target cascade Study 060526　Final(3) xls_J68C- Roadmap #4 524Liaison070524  2" xfId="4179"/>
    <cellStyle name="1_Master_StatusCharts_39adj_J68 target cascade Study 060526　Final(3) xls_J68C- Roadmap #4 Liaison070524A " xfId="4180"/>
    <cellStyle name="1_Master_StatusCharts_39adj_J68 target cascade Study 060526　Final(3) xls_J68C- Roadmap #4 Liaison070524A  2" xfId="4181"/>
    <cellStyle name="1_Master_StatusCharts_39adj_J68 target cascade Study 060526　Final(3) xls_J68C- Roadmap #4 Liaison070524A Glide Pass " xfId="4182"/>
    <cellStyle name="1_Master_StatusCharts_39adj_J68 target cascade Study 060526　Final(3) xls_J68C- Roadmap #4 Liaison070524A Glide Pass  2" xfId="4183"/>
    <cellStyle name="1_Master_StatusCharts_39adj_J68 target cascade Study 060526　Final(3) xls_J68C- Roadmap #4 Liaison070529 Glide Pass " xfId="4184"/>
    <cellStyle name="1_Master_StatusCharts_39adj_J68 target cascade Study 060526　Final(3) xls_J68C- Roadmap #4 Liaison070529 Glide Pass  2" xfId="4185"/>
    <cellStyle name="1_Master_StatusCharts_39adj_J68C- Roadmap #4 524Liaison070524 " xfId="4186"/>
    <cellStyle name="1_Master_StatusCharts_39adj_J68C- Roadmap #4 524Liaison070524  2" xfId="4187"/>
    <cellStyle name="1_Master_StatusCharts_39adj_J68C- Roadmap #4 Liaison070524A " xfId="4188"/>
    <cellStyle name="1_Master_StatusCharts_39adj_J68C- Roadmap #4 Liaison070524A  2" xfId="4189"/>
    <cellStyle name="1_Master_StatusCharts_39adj_J68C- Roadmap #4 Liaison070524A Glide Pass " xfId="4190"/>
    <cellStyle name="1_Master_StatusCharts_39adj_J68C- Roadmap #4 Liaison070524A Glide Pass  2" xfId="4191"/>
    <cellStyle name="1_Master_StatusCharts_39adj_J68C- Roadmap #4 Liaison070529 Glide Pass " xfId="4192"/>
    <cellStyle name="1_Master_StatusCharts_39adj_J68C- Roadmap #4 Liaison070529 Glide Pass  2" xfId="4193"/>
    <cellStyle name="1_Master_StatusCharts_39adj_SOMP_CD340 (11.11.04)" xfId="4194"/>
    <cellStyle name="1_Master_StatusCharts_39adj_SOMP_CD340 (11.11.04) 2" xfId="4195"/>
    <cellStyle name="1_Master_StatusCharts_39adj_VO Labour Status # 7" xfId="4196"/>
    <cellStyle name="1_Master_StatusCharts_39adj_VO Labour Status # 7 2" xfId="4197"/>
    <cellStyle name="1_SOMP_CD340 (11.11.04)" xfId="4198"/>
    <cellStyle name="1_SOMP_CD340 (11.11.04) 2" xfId="4199"/>
    <cellStyle name="1_Summary L" xfId="4200"/>
    <cellStyle name="1_Summary L 2" xfId="4201"/>
    <cellStyle name="1_Summary L_C1 Cost - Review(yng)1_J68 Chunk Summary_J68C- Roadmap #4 524Liaison070524 " xfId="4202"/>
    <cellStyle name="1_Summary L_C1 Cost - Review(yng)1_J68 Chunk Summary_J68C- Roadmap #4 524Liaison070524  2" xfId="4203"/>
    <cellStyle name="1_Summary L_C1 Cost - Review(yng)1_J68 Chunk Summary_J68C- Roadmap #4 Liaison070524A " xfId="4204"/>
    <cellStyle name="1_Summary L_C1 Cost - Review(yng)1_J68 Chunk Summary_J68C- Roadmap #4 Liaison070524A  2" xfId="4205"/>
    <cellStyle name="1_Summary L_C1 Cost - Review(yng)1_J68 Chunk Summary_J68C- Roadmap #4 Liaison070524A Glide Pass " xfId="4206"/>
    <cellStyle name="1_Summary L_C1 Cost - Review(yng)1_J68 Chunk Summary_J68C- Roadmap #4 Liaison070524A Glide Pass  2" xfId="4207"/>
    <cellStyle name="1_Summary L_C1 Cost - Review(yng)1_J68 Chunk Summary_J68C- Roadmap #4 Liaison070529 Glide Pass " xfId="4208"/>
    <cellStyle name="1_Summary L_C1 Cost - Review(yng)1_J68 Chunk Summary_J68C- Roadmap #4 Liaison070529 Glide Pass  2" xfId="4209"/>
    <cellStyle name="1_Summary L_C1 Cost - Review(yng)1_J68 target cascade Study 060522-2 (2)_J68C- Roadmap #4 524Liaison070524 " xfId="4210"/>
    <cellStyle name="1_Summary L_C1 Cost - Review(yng)1_J68 target cascade Study 060522-2 (2)_J68C- Roadmap #4 524Liaison070524  2" xfId="4211"/>
    <cellStyle name="1_Summary L_C1 Cost - Review(yng)1_J68 target cascade Study 060522-2 (2)_J68C- Roadmap #4 Liaison070524A " xfId="4212"/>
    <cellStyle name="1_Summary L_C1 Cost - Review(yng)1_J68 target cascade Study 060522-2 (2)_J68C- Roadmap #4 Liaison070524A  2" xfId="4213"/>
    <cellStyle name="1_Summary L_C1 Cost - Review(yng)1_J68 target cascade Study 060522-2 (2)_J68C- Roadmap #4 Liaison070524A Glide Pass " xfId="4214"/>
    <cellStyle name="1_Summary L_C1 Cost - Review(yng)1_J68 target cascade Study 060522-2 (2)_J68C- Roadmap #4 Liaison070524A Glide Pass  2" xfId="4215"/>
    <cellStyle name="1_Summary L_C1 Cost - Review(yng)1_J68 target cascade Study 060522-2 (2)_J68C- Roadmap #4 Liaison070529 Glide Pass " xfId="4216"/>
    <cellStyle name="1_Summary L_C1 Cost - Review(yng)1_J68 target cascade Study 060522-2 (2)_J68C- Roadmap #4 Liaison070529 Glide Pass  2" xfId="4217"/>
    <cellStyle name="1_Summary L_C1 Cost - Review(yng)1_J68 target cascade Study 060526　Final(3) xls_J68C- Roadmap #4 524Liaison070524 " xfId="4218"/>
    <cellStyle name="1_Summary L_C1 Cost - Review(yng)1_J68 target cascade Study 060526　Final(3) xls_J68C- Roadmap #4 524Liaison070524  2" xfId="4219"/>
    <cellStyle name="1_Summary L_C1 Cost - Review(yng)1_J68 target cascade Study 060526　Final(3) xls_J68C- Roadmap #4 Liaison070524A " xfId="4220"/>
    <cellStyle name="1_Summary L_C1 Cost - Review(yng)1_J68 target cascade Study 060526　Final(3) xls_J68C- Roadmap #4 Liaison070524A  2" xfId="4221"/>
    <cellStyle name="1_Summary L_C1 Cost - Review(yng)1_J68 target cascade Study 060526　Final(3) xls_J68C- Roadmap #4 Liaison070524A Glide Pass " xfId="4222"/>
    <cellStyle name="1_Summary L_C1 Cost - Review(yng)1_J68 target cascade Study 060526　Final(3) xls_J68C- Roadmap #4 Liaison070524A Glide Pass  2" xfId="4223"/>
    <cellStyle name="1_Summary L_C1 Cost - Review(yng)1_J68 target cascade Study 060526　Final(3) xls_J68C- Roadmap #4 Liaison070529 Glide Pass " xfId="4224"/>
    <cellStyle name="1_Summary L_C1 Cost - Review(yng)1_J68 target cascade Study 060526　Final(3) xls_J68C- Roadmap #4 Liaison070529 Glide Pass  2" xfId="4225"/>
    <cellStyle name="1_Summary L_C1 Cost - Review(yng)1_J68C- Roadmap #4 524Liaison070524 " xfId="4226"/>
    <cellStyle name="1_Summary L_C1 Cost - Review(yng)1_J68C- Roadmap #4 524Liaison070524  2" xfId="4227"/>
    <cellStyle name="1_Summary L_C1 Cost - Review(yng)1_J68C- Roadmap #4 Liaison070524A " xfId="4228"/>
    <cellStyle name="1_Summary L_C1 Cost - Review(yng)1_J68C- Roadmap #4 Liaison070524A  2" xfId="4229"/>
    <cellStyle name="1_Summary L_C1 Cost - Review(yng)1_J68C- Roadmap #4 Liaison070524A Glide Pass " xfId="4230"/>
    <cellStyle name="1_Summary L_C1 Cost - Review(yng)1_J68C- Roadmap #4 Liaison070524A Glide Pass  2" xfId="4231"/>
    <cellStyle name="1_Summary L_C1 Cost - Review(yng)1_J68C- Roadmap #4 Liaison070529 Glide Pass " xfId="4232"/>
    <cellStyle name="1_Summary L_C1 Cost - Review(yng)1_J68C- Roadmap #4 Liaison070529 Glide Pass  2" xfId="4233"/>
    <cellStyle name="1_Summary L_D&amp;A" xfId="4234"/>
    <cellStyle name="1_Summary L_D&amp;A 2" xfId="4235"/>
    <cellStyle name="1_Summary L_D&amp;A_C1 Cost - Review(yng)1_J68 Chunk Summary_J68C- Roadmap #4 524Liaison070524 " xfId="4236"/>
    <cellStyle name="1_Summary L_D&amp;A_C1 Cost - Review(yng)1_J68 Chunk Summary_J68C- Roadmap #4 524Liaison070524  2" xfId="4237"/>
    <cellStyle name="1_Summary L_D&amp;A_C1 Cost - Review(yng)1_J68 Chunk Summary_J68C- Roadmap #4 Liaison070524A " xfId="4238"/>
    <cellStyle name="1_Summary L_D&amp;A_C1 Cost - Review(yng)1_J68 Chunk Summary_J68C- Roadmap #4 Liaison070524A  2" xfId="4239"/>
    <cellStyle name="1_Summary L_D&amp;A_C1 Cost - Review(yng)1_J68 Chunk Summary_J68C- Roadmap #4 Liaison070524A Glide Pass " xfId="4240"/>
    <cellStyle name="1_Summary L_D&amp;A_C1 Cost - Review(yng)1_J68 Chunk Summary_J68C- Roadmap #4 Liaison070524A Glide Pass  2" xfId="4241"/>
    <cellStyle name="1_Summary L_D&amp;A_C1 Cost - Review(yng)1_J68 Chunk Summary_J68C- Roadmap #4 Liaison070529 Glide Pass " xfId="4242"/>
    <cellStyle name="1_Summary L_D&amp;A_C1 Cost - Review(yng)1_J68 Chunk Summary_J68C- Roadmap #4 Liaison070529 Glide Pass  2" xfId="4243"/>
    <cellStyle name="1_Summary L_D&amp;A_C1 Cost - Review(yng)1_J68 target cascade Study 060522-2 (2)_J68C- Roadmap #4 524Liaison070524 " xfId="4244"/>
    <cellStyle name="1_Summary L_D&amp;A_C1 Cost - Review(yng)1_J68 target cascade Study 060522-2 (2)_J68C- Roadmap #4 524Liaison070524  2" xfId="4245"/>
    <cellStyle name="1_Summary L_D&amp;A_C1 Cost - Review(yng)1_J68 target cascade Study 060522-2 (2)_J68C- Roadmap #4 Liaison070524A " xfId="4246"/>
    <cellStyle name="1_Summary L_D&amp;A_C1 Cost - Review(yng)1_J68 target cascade Study 060522-2 (2)_J68C- Roadmap #4 Liaison070524A  2" xfId="4247"/>
    <cellStyle name="1_Summary L_D&amp;A_C1 Cost - Review(yng)1_J68 target cascade Study 060522-2 (2)_J68C- Roadmap #4 Liaison070524A Glide Pass " xfId="4248"/>
    <cellStyle name="1_Summary L_D&amp;A_C1 Cost - Review(yng)1_J68 target cascade Study 060522-2 (2)_J68C- Roadmap #4 Liaison070524A Glide Pass  2" xfId="4249"/>
    <cellStyle name="1_Summary L_D&amp;A_C1 Cost - Review(yng)1_J68 target cascade Study 060522-2 (2)_J68C- Roadmap #4 Liaison070529 Glide Pass " xfId="4250"/>
    <cellStyle name="1_Summary L_D&amp;A_C1 Cost - Review(yng)1_J68 target cascade Study 060522-2 (2)_J68C- Roadmap #4 Liaison070529 Glide Pass  2" xfId="4251"/>
    <cellStyle name="1_Summary L_D&amp;A_C1 Cost - Review(yng)1_J68 target cascade Study 060526　Final(3) xls_J68C- Roadmap #4 524Liaison070524 " xfId="4252"/>
    <cellStyle name="1_Summary L_D&amp;A_C1 Cost - Review(yng)1_J68 target cascade Study 060526　Final(3) xls_J68C- Roadmap #4 524Liaison070524  2" xfId="4253"/>
    <cellStyle name="1_Summary L_D&amp;A_C1 Cost - Review(yng)1_J68 target cascade Study 060526　Final(3) xls_J68C- Roadmap #4 Liaison070524A " xfId="4254"/>
    <cellStyle name="1_Summary L_D&amp;A_C1 Cost - Review(yng)1_J68 target cascade Study 060526　Final(3) xls_J68C- Roadmap #4 Liaison070524A  2" xfId="4255"/>
    <cellStyle name="1_Summary L_D&amp;A_C1 Cost - Review(yng)1_J68 target cascade Study 060526　Final(3) xls_J68C- Roadmap #4 Liaison070524A Glide Pass " xfId="4256"/>
    <cellStyle name="1_Summary L_D&amp;A_C1 Cost - Review(yng)1_J68 target cascade Study 060526　Final(3) xls_J68C- Roadmap #4 Liaison070524A Glide Pass  2" xfId="4257"/>
    <cellStyle name="1_Summary L_D&amp;A_C1 Cost - Review(yng)1_J68 target cascade Study 060526　Final(3) xls_J68C- Roadmap #4 Liaison070529 Glide Pass " xfId="4258"/>
    <cellStyle name="1_Summary L_D&amp;A_C1 Cost - Review(yng)1_J68 target cascade Study 060526　Final(3) xls_J68C- Roadmap #4 Liaison070529 Glide Pass  2" xfId="4259"/>
    <cellStyle name="1_Summary L_D&amp;A_C1 Cost - Review(yng)1_J68C- Roadmap #4 524Liaison070524 " xfId="4260"/>
    <cellStyle name="1_Summary L_D&amp;A_C1 Cost - Review(yng)1_J68C- Roadmap #4 524Liaison070524  2" xfId="4261"/>
    <cellStyle name="1_Summary L_D&amp;A_C1 Cost - Review(yng)1_J68C- Roadmap #4 Liaison070524A " xfId="4262"/>
    <cellStyle name="1_Summary L_D&amp;A_C1 Cost - Review(yng)1_J68C- Roadmap #4 Liaison070524A  2" xfId="4263"/>
    <cellStyle name="1_Summary L_D&amp;A_C1 Cost - Review(yng)1_J68C- Roadmap #4 Liaison070524A Glide Pass " xfId="4264"/>
    <cellStyle name="1_Summary L_D&amp;A_C1 Cost - Review(yng)1_J68C- Roadmap #4 Liaison070524A Glide Pass  2" xfId="4265"/>
    <cellStyle name="1_Summary L_D&amp;A_C1 Cost - Review(yng)1_J68C- Roadmap #4 Liaison070529 Glide Pass " xfId="4266"/>
    <cellStyle name="1_Summary L_D&amp;A_C1 Cost - Review(yng)1_J68C- Roadmap #4 Liaison070529 Glide Pass  2" xfId="4267"/>
    <cellStyle name="1_Summary L_D&amp;A_J68 Chunk Summary_J68C- Roadmap #4 524Liaison070524 " xfId="4268"/>
    <cellStyle name="1_Summary L_D&amp;A_J68 Chunk Summary_J68C- Roadmap #4 524Liaison070524  2" xfId="4269"/>
    <cellStyle name="1_Summary L_D&amp;A_J68 Chunk Summary_J68C- Roadmap #4 Liaison070524A " xfId="4270"/>
    <cellStyle name="1_Summary L_D&amp;A_J68 Chunk Summary_J68C- Roadmap #4 Liaison070524A  2" xfId="4271"/>
    <cellStyle name="1_Summary L_D&amp;A_J68 Chunk Summary_J68C- Roadmap #4 Liaison070524A Glide Pass " xfId="4272"/>
    <cellStyle name="1_Summary L_D&amp;A_J68 Chunk Summary_J68C- Roadmap #4 Liaison070524A Glide Pass  2" xfId="4273"/>
    <cellStyle name="1_Summary L_D&amp;A_J68 Chunk Summary_J68C- Roadmap #4 Liaison070529 Glide Pass " xfId="4274"/>
    <cellStyle name="1_Summary L_D&amp;A_J68 Chunk Summary_J68C- Roadmap #4 Liaison070529 Glide Pass  2" xfId="4275"/>
    <cellStyle name="1_Summary L_D&amp;A_J68 target cascade Study 060522-2 (2)_J68C- Roadmap #4 524Liaison070524 " xfId="4276"/>
    <cellStyle name="1_Summary L_D&amp;A_J68 target cascade Study 060522-2 (2)_J68C- Roadmap #4 524Liaison070524  2" xfId="4277"/>
    <cellStyle name="1_Summary L_D&amp;A_J68 target cascade Study 060522-2 (2)_J68C- Roadmap #4 Liaison070524A " xfId="4278"/>
    <cellStyle name="1_Summary L_D&amp;A_J68 target cascade Study 060522-2 (2)_J68C- Roadmap #4 Liaison070524A  2" xfId="4279"/>
    <cellStyle name="1_Summary L_D&amp;A_J68 target cascade Study 060522-2 (2)_J68C- Roadmap #4 Liaison070524A Glide Pass " xfId="4280"/>
    <cellStyle name="1_Summary L_D&amp;A_J68 target cascade Study 060522-2 (2)_J68C- Roadmap #4 Liaison070524A Glide Pass  2" xfId="4281"/>
    <cellStyle name="1_Summary L_D&amp;A_J68 target cascade Study 060522-2 (2)_J68C- Roadmap #4 Liaison070529 Glide Pass " xfId="4282"/>
    <cellStyle name="1_Summary L_D&amp;A_J68 target cascade Study 060522-2 (2)_J68C- Roadmap #4 Liaison070529 Glide Pass  2" xfId="4283"/>
    <cellStyle name="1_Summary L_D&amp;A_J68 target cascade Study 060526　Final(3) xls_J68C- Roadmap #4 524Liaison070524 " xfId="4284"/>
    <cellStyle name="1_Summary L_D&amp;A_J68 target cascade Study 060526　Final(3) xls_J68C- Roadmap #4 524Liaison070524  2" xfId="4285"/>
    <cellStyle name="1_Summary L_D&amp;A_J68 target cascade Study 060526　Final(3) xls_J68C- Roadmap #4 Liaison070524A " xfId="4286"/>
    <cellStyle name="1_Summary L_D&amp;A_J68 target cascade Study 060526　Final(3) xls_J68C- Roadmap #4 Liaison070524A  2" xfId="4287"/>
    <cellStyle name="1_Summary L_D&amp;A_J68 target cascade Study 060526　Final(3) xls_J68C- Roadmap #4 Liaison070524A Glide Pass " xfId="4288"/>
    <cellStyle name="1_Summary L_D&amp;A_J68 target cascade Study 060526　Final(3) xls_J68C- Roadmap #4 Liaison070524A Glide Pass  2" xfId="4289"/>
    <cellStyle name="1_Summary L_D&amp;A_J68 target cascade Study 060526　Final(3) xls_J68C- Roadmap #4 Liaison070529 Glide Pass " xfId="4290"/>
    <cellStyle name="1_Summary L_D&amp;A_J68 target cascade Study 060526　Final(3) xls_J68C- Roadmap #4 Liaison070529 Glide Pass  2" xfId="4291"/>
    <cellStyle name="1_Summary L_D&amp;A_J68C- Roadmap #4 524Liaison070524 " xfId="4292"/>
    <cellStyle name="1_Summary L_D&amp;A_J68C- Roadmap #4 524Liaison070524  2" xfId="4293"/>
    <cellStyle name="1_Summary L_D&amp;A_J68C- Roadmap #4 Liaison070524A " xfId="4294"/>
    <cellStyle name="1_Summary L_D&amp;A_J68C- Roadmap #4 Liaison070524A  2" xfId="4295"/>
    <cellStyle name="1_Summary L_D&amp;A_J68C- Roadmap #4 Liaison070524A Glide Pass " xfId="4296"/>
    <cellStyle name="1_Summary L_D&amp;A_J68C- Roadmap #4 Liaison070524A Glide Pass  2" xfId="4297"/>
    <cellStyle name="1_Summary L_D&amp;A_J68C- Roadmap #4 Liaison070529 Glide Pass " xfId="4298"/>
    <cellStyle name="1_Summary L_D&amp;A_J68C- Roadmap #4 Liaison070529 Glide Pass  2" xfId="4299"/>
    <cellStyle name="1_Summary L_D&amp;A_SOMP_CD340 (11.11.04)" xfId="4300"/>
    <cellStyle name="1_Summary L_D&amp;A_SOMP_CD340 (11.11.04) 2" xfId="4301"/>
    <cellStyle name="1_Summary L_D&amp;A_VO Labour Status # 7" xfId="4302"/>
    <cellStyle name="1_Summary L_D&amp;A_VO Labour Status # 7 2" xfId="4303"/>
    <cellStyle name="1_Summary L_J68 Chunk Summary_J68C- Roadmap #4 524Liaison070524 " xfId="4304"/>
    <cellStyle name="1_Summary L_J68 Chunk Summary_J68C- Roadmap #4 524Liaison070524  2" xfId="4305"/>
    <cellStyle name="1_Summary L_J68 Chunk Summary_J68C- Roadmap #4 Liaison070524A " xfId="4306"/>
    <cellStyle name="1_Summary L_J68 Chunk Summary_J68C- Roadmap #4 Liaison070524A  2" xfId="4307"/>
    <cellStyle name="1_Summary L_J68 Chunk Summary_J68C- Roadmap #4 Liaison070524A Glide Pass " xfId="4308"/>
    <cellStyle name="1_Summary L_J68 Chunk Summary_J68C- Roadmap #4 Liaison070524A Glide Pass  2" xfId="4309"/>
    <cellStyle name="1_Summary L_J68 Chunk Summary_J68C- Roadmap #4 Liaison070529 Glide Pass " xfId="4310"/>
    <cellStyle name="1_Summary L_J68 Chunk Summary_J68C- Roadmap #4 Liaison070529 Glide Pass  2" xfId="4311"/>
    <cellStyle name="1_Summary L_J68 target cascade Study 060522-2 (2)_J68C- Roadmap #4 524Liaison070524 " xfId="4312"/>
    <cellStyle name="1_Summary L_J68 target cascade Study 060522-2 (2)_J68C- Roadmap #4 524Liaison070524  2" xfId="4313"/>
    <cellStyle name="1_Summary L_J68 target cascade Study 060522-2 (2)_J68C- Roadmap #4 Liaison070524A " xfId="4314"/>
    <cellStyle name="1_Summary L_J68 target cascade Study 060522-2 (2)_J68C- Roadmap #4 Liaison070524A  2" xfId="4315"/>
    <cellStyle name="1_Summary L_J68 target cascade Study 060522-2 (2)_J68C- Roadmap #4 Liaison070524A Glide Pass " xfId="4316"/>
    <cellStyle name="1_Summary L_J68 target cascade Study 060522-2 (2)_J68C- Roadmap #4 Liaison070524A Glide Pass  2" xfId="4317"/>
    <cellStyle name="1_Summary L_J68 target cascade Study 060522-2 (2)_J68C- Roadmap #4 Liaison070529 Glide Pass " xfId="4318"/>
    <cellStyle name="1_Summary L_J68 target cascade Study 060522-2 (2)_J68C- Roadmap #4 Liaison070529 Glide Pass  2" xfId="4319"/>
    <cellStyle name="1_Summary L_J68 target cascade Study 060526　Final(3) xls_J68C- Roadmap #4 524Liaison070524 " xfId="4320"/>
    <cellStyle name="1_Summary L_J68 target cascade Study 060526　Final(3) xls_J68C- Roadmap #4 524Liaison070524  2" xfId="4321"/>
    <cellStyle name="1_Summary L_J68 target cascade Study 060526　Final(3) xls_J68C- Roadmap #4 Liaison070524A " xfId="4322"/>
    <cellStyle name="1_Summary L_J68 target cascade Study 060526　Final(3) xls_J68C- Roadmap #4 Liaison070524A  2" xfId="4323"/>
    <cellStyle name="1_Summary L_J68 target cascade Study 060526　Final(3) xls_J68C- Roadmap #4 Liaison070524A Glide Pass " xfId="4324"/>
    <cellStyle name="1_Summary L_J68 target cascade Study 060526　Final(3) xls_J68C- Roadmap #4 Liaison070524A Glide Pass  2" xfId="4325"/>
    <cellStyle name="1_Summary L_J68 target cascade Study 060526　Final(3) xls_J68C- Roadmap #4 Liaison070529 Glide Pass " xfId="4326"/>
    <cellStyle name="1_Summary L_J68 target cascade Study 060526　Final(3) xls_J68C- Roadmap #4 Liaison070529 Glide Pass  2" xfId="4327"/>
    <cellStyle name="1_Summary L_J68C- Roadmap #4 524Liaison070524 " xfId="4328"/>
    <cellStyle name="1_Summary L_J68C- Roadmap #4 524Liaison070524  2" xfId="4329"/>
    <cellStyle name="1_Summary L_J68C- Roadmap #4 Liaison070524A " xfId="4330"/>
    <cellStyle name="1_Summary L_J68C- Roadmap #4 Liaison070524A  2" xfId="4331"/>
    <cellStyle name="1_Summary L_J68C- Roadmap #4 Liaison070524A Glide Pass " xfId="4332"/>
    <cellStyle name="1_Summary L_J68C- Roadmap #4 Liaison070524A Glide Pass  2" xfId="4333"/>
    <cellStyle name="1_Summary L_J68C- Roadmap #4 Liaison070529 Glide Pass " xfId="4334"/>
    <cellStyle name="1_Summary L_J68C- Roadmap #4 Liaison070529 Glide Pass  2" xfId="4335"/>
    <cellStyle name="1_Summary L_Master_StatusCharts_39adj" xfId="4336"/>
    <cellStyle name="1_Summary L_Master_StatusCharts_39adj 2" xfId="4337"/>
    <cellStyle name="1_Summary L_Master_StatusCharts_39adj_C1 Cost - Review(yng)1_J68 Chunk Summary_J68C- Roadmap #4 524Liaison070524 " xfId="4338"/>
    <cellStyle name="1_Summary L_Master_StatusCharts_39adj_C1 Cost - Review(yng)1_J68 Chunk Summary_J68C- Roadmap #4 524Liaison070524  2" xfId="4339"/>
    <cellStyle name="1_Summary L_Master_StatusCharts_39adj_C1 Cost - Review(yng)1_J68 Chunk Summary_J68C- Roadmap #4 Liaison070524A " xfId="4340"/>
    <cellStyle name="1_Summary L_Master_StatusCharts_39adj_C1 Cost - Review(yng)1_J68 Chunk Summary_J68C- Roadmap #4 Liaison070524A  2" xfId="4341"/>
    <cellStyle name="1_Summary L_Master_StatusCharts_39adj_C1 Cost - Review(yng)1_J68 Chunk Summary_J68C- Roadmap #4 Liaison070524A Glide Pass " xfId="4342"/>
    <cellStyle name="1_Summary L_Master_StatusCharts_39adj_C1 Cost - Review(yng)1_J68 Chunk Summary_J68C- Roadmap #4 Liaison070524A Glide Pass  2" xfId="4343"/>
    <cellStyle name="1_Summary L_Master_StatusCharts_39adj_C1 Cost - Review(yng)1_J68 Chunk Summary_J68C- Roadmap #4 Liaison070529 Glide Pass " xfId="4344"/>
    <cellStyle name="1_Summary L_Master_StatusCharts_39adj_C1 Cost - Review(yng)1_J68 Chunk Summary_J68C- Roadmap #4 Liaison070529 Glide Pass  2" xfId="4345"/>
    <cellStyle name="1_Summary L_Master_StatusCharts_39adj_C1 Cost - Review(yng)1_J68 target cascade Study 060522-2 (2)_J68C- Roadmap #4 524Liaison070524 " xfId="4346"/>
    <cellStyle name="1_Summary L_Master_StatusCharts_39adj_C1 Cost - Review(yng)1_J68 target cascade Study 060522-2 (2)_J68C- Roadmap #4 524Liaison070524  2" xfId="4347"/>
    <cellStyle name="1_Summary L_Master_StatusCharts_39adj_C1 Cost - Review(yng)1_J68 target cascade Study 060522-2 (2)_J68C- Roadmap #4 Liaison070524A " xfId="4348"/>
    <cellStyle name="1_Summary L_Master_StatusCharts_39adj_C1 Cost - Review(yng)1_J68 target cascade Study 060522-2 (2)_J68C- Roadmap #4 Liaison070524A  2" xfId="4349"/>
    <cellStyle name="1_Summary L_Master_StatusCharts_39adj_C1 Cost - Review(yng)1_J68 target cascade Study 060522-2 (2)_J68C- Roadmap #4 Liaison070524A Glide Pass " xfId="4350"/>
    <cellStyle name="1_Summary L_Master_StatusCharts_39adj_C1 Cost - Review(yng)1_J68 target cascade Study 060522-2 (2)_J68C- Roadmap #4 Liaison070524A Glide Pass  2" xfId="4351"/>
    <cellStyle name="1_Summary L_Master_StatusCharts_39adj_C1 Cost - Review(yng)1_J68 target cascade Study 060522-2 (2)_J68C- Roadmap #4 Liaison070529 Glide Pass " xfId="4352"/>
    <cellStyle name="1_Summary L_Master_StatusCharts_39adj_C1 Cost - Review(yng)1_J68 target cascade Study 060522-2 (2)_J68C- Roadmap #4 Liaison070529 Glide Pass  2" xfId="4353"/>
    <cellStyle name="1_Summary L_Master_StatusCharts_39adj_C1 Cost - Review(yng)1_J68 target cascade Study 060526　Final(3) xls_J68C- Roadmap #4 524Liaison070524 " xfId="4354"/>
    <cellStyle name="1_Summary L_Master_StatusCharts_39adj_C1 Cost - Review(yng)1_J68 target cascade Study 060526　Final(3) xls_J68C- Roadmap #4 524Liaison070524  2" xfId="4355"/>
    <cellStyle name="1_Summary L_Master_StatusCharts_39adj_C1 Cost - Review(yng)1_J68 target cascade Study 060526　Final(3) xls_J68C- Roadmap #4 Liaison070524A " xfId="4356"/>
    <cellStyle name="1_Summary L_Master_StatusCharts_39adj_C1 Cost - Review(yng)1_J68 target cascade Study 060526　Final(3) xls_J68C- Roadmap #4 Liaison070524A  2" xfId="4357"/>
    <cellStyle name="1_Summary L_Master_StatusCharts_39adj_C1 Cost - Review(yng)1_J68 target cascade Study 060526　Final(3) xls_J68C- Roadmap #4 Liaison070524A Glide Pass " xfId="4358"/>
    <cellStyle name="1_Summary L_Master_StatusCharts_39adj_C1 Cost - Review(yng)1_J68 target cascade Study 060526　Final(3) xls_J68C- Roadmap #4 Liaison070524A Glide Pass  2" xfId="4359"/>
    <cellStyle name="1_Summary L_Master_StatusCharts_39adj_C1 Cost - Review(yng)1_J68 target cascade Study 060526　Final(3) xls_J68C- Roadmap #4 Liaison070529 Glide Pass " xfId="4360"/>
    <cellStyle name="1_Summary L_Master_StatusCharts_39adj_C1 Cost - Review(yng)1_J68 target cascade Study 060526　Final(3) xls_J68C- Roadmap #4 Liaison070529 Glide Pass  2" xfId="4361"/>
    <cellStyle name="1_Summary L_Master_StatusCharts_39adj_C1 Cost - Review(yng)1_J68C- Roadmap #4 524Liaison070524 " xfId="4362"/>
    <cellStyle name="1_Summary L_Master_StatusCharts_39adj_C1 Cost - Review(yng)1_J68C- Roadmap #4 524Liaison070524  2" xfId="4363"/>
    <cellStyle name="1_Summary L_Master_StatusCharts_39adj_C1 Cost - Review(yng)1_J68C- Roadmap #4 Liaison070524A " xfId="4364"/>
    <cellStyle name="1_Summary L_Master_StatusCharts_39adj_C1 Cost - Review(yng)1_J68C- Roadmap #4 Liaison070524A  2" xfId="4365"/>
    <cellStyle name="1_Summary L_Master_StatusCharts_39adj_C1 Cost - Review(yng)1_J68C- Roadmap #4 Liaison070524A Glide Pass " xfId="4366"/>
    <cellStyle name="1_Summary L_Master_StatusCharts_39adj_C1 Cost - Review(yng)1_J68C- Roadmap #4 Liaison070524A Glide Pass  2" xfId="4367"/>
    <cellStyle name="1_Summary L_Master_StatusCharts_39adj_C1 Cost - Review(yng)1_J68C- Roadmap #4 Liaison070529 Glide Pass " xfId="4368"/>
    <cellStyle name="1_Summary L_Master_StatusCharts_39adj_C1 Cost - Review(yng)1_J68C- Roadmap #4 Liaison070529 Glide Pass  2" xfId="4369"/>
    <cellStyle name="1_Summary L_Master_StatusCharts_39adj_J68 Chunk Summary_J68C- Roadmap #4 524Liaison070524 " xfId="4370"/>
    <cellStyle name="1_Summary L_Master_StatusCharts_39adj_J68 Chunk Summary_J68C- Roadmap #4 524Liaison070524  2" xfId="4371"/>
    <cellStyle name="1_Summary L_Master_StatusCharts_39adj_J68 Chunk Summary_J68C- Roadmap #4 Liaison070524A " xfId="4372"/>
    <cellStyle name="1_Summary L_Master_StatusCharts_39adj_J68 Chunk Summary_J68C- Roadmap #4 Liaison070524A  2" xfId="4373"/>
    <cellStyle name="1_Summary L_Master_StatusCharts_39adj_J68 Chunk Summary_J68C- Roadmap #4 Liaison070524A Glide Pass " xfId="4374"/>
    <cellStyle name="1_Summary L_Master_StatusCharts_39adj_J68 Chunk Summary_J68C- Roadmap #4 Liaison070524A Glide Pass  2" xfId="4375"/>
    <cellStyle name="1_Summary L_Master_StatusCharts_39adj_J68 Chunk Summary_J68C- Roadmap #4 Liaison070529 Glide Pass " xfId="4376"/>
    <cellStyle name="1_Summary L_Master_StatusCharts_39adj_J68 Chunk Summary_J68C- Roadmap #4 Liaison070529 Glide Pass  2" xfId="4377"/>
    <cellStyle name="1_Summary L_Master_StatusCharts_39adj_J68 target cascade Study 060522-2 (2)_J68C- Roadmap #4 524Liaison070524 " xfId="4378"/>
    <cellStyle name="1_Summary L_Master_StatusCharts_39adj_J68 target cascade Study 060522-2 (2)_J68C- Roadmap #4 524Liaison070524  2" xfId="4379"/>
    <cellStyle name="1_Summary L_Master_StatusCharts_39adj_J68 target cascade Study 060522-2 (2)_J68C- Roadmap #4 Liaison070524A " xfId="4380"/>
    <cellStyle name="1_Summary L_Master_StatusCharts_39adj_J68 target cascade Study 060522-2 (2)_J68C- Roadmap #4 Liaison070524A  2" xfId="4381"/>
    <cellStyle name="1_Summary L_Master_StatusCharts_39adj_J68 target cascade Study 060522-2 (2)_J68C- Roadmap #4 Liaison070524A Glide Pass " xfId="4382"/>
    <cellStyle name="1_Summary L_Master_StatusCharts_39adj_J68 target cascade Study 060522-2 (2)_J68C- Roadmap #4 Liaison070524A Glide Pass  2" xfId="4383"/>
    <cellStyle name="1_Summary L_Master_StatusCharts_39adj_J68 target cascade Study 060522-2 (2)_J68C- Roadmap #4 Liaison070529 Glide Pass " xfId="4384"/>
    <cellStyle name="1_Summary L_Master_StatusCharts_39adj_J68 target cascade Study 060522-2 (2)_J68C- Roadmap #4 Liaison070529 Glide Pass  2" xfId="4385"/>
    <cellStyle name="1_Summary L_Master_StatusCharts_39adj_J68 target cascade Study 060526　Final(3) xls_J68C- Roadmap #4 524Liaison070524 " xfId="4386"/>
    <cellStyle name="1_Summary L_Master_StatusCharts_39adj_J68 target cascade Study 060526　Final(3) xls_J68C- Roadmap #4 524Liaison070524  2" xfId="4387"/>
    <cellStyle name="1_Summary L_Master_StatusCharts_39adj_J68 target cascade Study 060526　Final(3) xls_J68C- Roadmap #4 Liaison070524A " xfId="4388"/>
    <cellStyle name="1_Summary L_Master_StatusCharts_39adj_J68 target cascade Study 060526　Final(3) xls_J68C- Roadmap #4 Liaison070524A  2" xfId="4389"/>
    <cellStyle name="1_Summary L_Master_StatusCharts_39adj_J68 target cascade Study 060526　Final(3) xls_J68C- Roadmap #4 Liaison070524A Glide Pass " xfId="4390"/>
    <cellStyle name="1_Summary L_Master_StatusCharts_39adj_J68 target cascade Study 060526　Final(3) xls_J68C- Roadmap #4 Liaison070524A Glide Pass  2" xfId="4391"/>
    <cellStyle name="1_Summary L_Master_StatusCharts_39adj_J68 target cascade Study 060526　Final(3) xls_J68C- Roadmap #4 Liaison070529 Glide Pass " xfId="4392"/>
    <cellStyle name="1_Summary L_Master_StatusCharts_39adj_J68 target cascade Study 060526　Final(3) xls_J68C- Roadmap #4 Liaison070529 Glide Pass  2" xfId="4393"/>
    <cellStyle name="1_Summary L_Master_StatusCharts_39adj_J68C- Roadmap #4 524Liaison070524 " xfId="4394"/>
    <cellStyle name="1_Summary L_Master_StatusCharts_39adj_J68C- Roadmap #4 524Liaison070524  2" xfId="4395"/>
    <cellStyle name="1_Summary L_Master_StatusCharts_39adj_J68C- Roadmap #4 Liaison070524A " xfId="4396"/>
    <cellStyle name="1_Summary L_Master_StatusCharts_39adj_J68C- Roadmap #4 Liaison070524A  2" xfId="4397"/>
    <cellStyle name="1_Summary L_Master_StatusCharts_39adj_J68C- Roadmap #4 Liaison070524A Glide Pass " xfId="4398"/>
    <cellStyle name="1_Summary L_Master_StatusCharts_39adj_J68C- Roadmap #4 Liaison070524A Glide Pass  2" xfId="4399"/>
    <cellStyle name="1_Summary L_Master_StatusCharts_39adj_J68C- Roadmap #4 Liaison070529 Glide Pass " xfId="4400"/>
    <cellStyle name="1_Summary L_Master_StatusCharts_39adj_J68C- Roadmap #4 Liaison070529 Glide Pass  2" xfId="4401"/>
    <cellStyle name="1_Summary L_Master_StatusCharts_39adj_SOMP_CD340 (11.11.04)" xfId="4402"/>
    <cellStyle name="1_Summary L_Master_StatusCharts_39adj_SOMP_CD340 (11.11.04) 2" xfId="4403"/>
    <cellStyle name="1_Summary L_Master_StatusCharts_39adj_VO Labour Status # 7" xfId="4404"/>
    <cellStyle name="1_Summary L_Master_StatusCharts_39adj_VO Labour Status # 7 2" xfId="4405"/>
    <cellStyle name="1_VO Labour Status # 7" xfId="4406"/>
    <cellStyle name="1_VO Labour Status # 7 2" xfId="4407"/>
    <cellStyle name="20% - Accent1" xfId="4408"/>
    <cellStyle name="20% - Accent2" xfId="4409"/>
    <cellStyle name="20% - Accent3" xfId="4410"/>
    <cellStyle name="20% - Accent4" xfId="4411"/>
    <cellStyle name="20% - Accent5" xfId="4412"/>
    <cellStyle name="20% - Accent6" xfId="4413"/>
    <cellStyle name="20% - 强调文字颜色 1 2" xfId="4414"/>
    <cellStyle name="20% - 强调文字颜色 1 2 2" xfId="4415"/>
    <cellStyle name="20% - 强调文字颜色 1 2 3" xfId="4416"/>
    <cellStyle name="20% - 强调文字颜色 1 2 4" xfId="4417"/>
    <cellStyle name="20% - 强调文字颜色 1 3" xfId="4418"/>
    <cellStyle name="20% - 强调文字颜色 2 2" xfId="4419"/>
    <cellStyle name="20% - 强调文字颜色 2 2 2" xfId="4420"/>
    <cellStyle name="20% - 强调文字颜色 2 2 3" xfId="4421"/>
    <cellStyle name="20% - 强调文字颜色 2 2 4" xfId="4422"/>
    <cellStyle name="20% - 强调文字颜色 2 3" xfId="4423"/>
    <cellStyle name="20% - 强调文字颜色 3 2" xfId="4424"/>
    <cellStyle name="20% - 强调文字颜色 3 2 2" xfId="4425"/>
    <cellStyle name="20% - 强调文字颜色 3 2 3" xfId="4426"/>
    <cellStyle name="20% - 强调文字颜色 3 2 4" xfId="4427"/>
    <cellStyle name="20% - 强调文字颜色 3 3" xfId="4428"/>
    <cellStyle name="20% - 强调文字颜色 4 2" xfId="4429"/>
    <cellStyle name="20% - 强调文字颜色 4 2 2" xfId="4430"/>
    <cellStyle name="20% - 强调文字颜色 4 2 3" xfId="4431"/>
    <cellStyle name="20% - 强调文字颜色 4 2 4" xfId="4432"/>
    <cellStyle name="20% - 强调文字颜色 4 3" xfId="4433"/>
    <cellStyle name="20% - 强调文字颜色 5 2" xfId="4434"/>
    <cellStyle name="20% - 强调文字颜色 5 2 2" xfId="4435"/>
    <cellStyle name="20% - 强调文字颜色 5 2 3" xfId="4436"/>
    <cellStyle name="20% - 强调文字颜色 5 2 4" xfId="4437"/>
    <cellStyle name="20% - 强调文字颜色 5 3" xfId="4438"/>
    <cellStyle name="20% - 强调文字颜色 6 2" xfId="4439"/>
    <cellStyle name="20% - 强调文字颜色 6 2 2" xfId="4440"/>
    <cellStyle name="20% - 强调文字颜色 6 2 3" xfId="4441"/>
    <cellStyle name="20% - 强调文字颜色 6 2 4" xfId="4442"/>
    <cellStyle name="20% - 强调文字颜色 6 3" xfId="4443"/>
    <cellStyle name="³f¹ô[0]_6_6 R&amp;O " xfId="4444"/>
    <cellStyle name="³f¹ô_6_6 R&amp;O " xfId="4445"/>
    <cellStyle name="40% - Accent1" xfId="4446"/>
    <cellStyle name="40% - Accent2" xfId="4447"/>
    <cellStyle name="40% - Accent3" xfId="4448"/>
    <cellStyle name="40% - Accent4" xfId="4449"/>
    <cellStyle name="40% - Accent5" xfId="4450"/>
    <cellStyle name="40% - Accent6" xfId="4451"/>
    <cellStyle name="40% - 强调文字颜色 1 2" xfId="4452"/>
    <cellStyle name="40% - 强调文字颜色 1 2 2" xfId="4453"/>
    <cellStyle name="40% - 强调文字颜色 1 2 3" xfId="4454"/>
    <cellStyle name="40% - 强调文字颜色 1 2 4" xfId="4455"/>
    <cellStyle name="40% - 强调文字颜色 1 3" xfId="4456"/>
    <cellStyle name="40% - 强调文字颜色 2 2" xfId="4457"/>
    <cellStyle name="40% - 强调文字颜色 2 2 2" xfId="4458"/>
    <cellStyle name="40% - 强调文字颜色 2 2 3" xfId="4459"/>
    <cellStyle name="40% - 强调文字颜色 2 2 4" xfId="4460"/>
    <cellStyle name="40% - 强调文字颜色 2 3" xfId="4461"/>
    <cellStyle name="40% - 强调文字颜色 3 2" xfId="4462"/>
    <cellStyle name="40% - 强调文字颜色 3 2 2" xfId="4463"/>
    <cellStyle name="40% - 强调文字颜色 3 2 3" xfId="4464"/>
    <cellStyle name="40% - 强调文字颜色 3 2 4" xfId="4465"/>
    <cellStyle name="40% - 强调文字颜色 3 3" xfId="4466"/>
    <cellStyle name="40% - 强调文字颜色 4 2" xfId="4467"/>
    <cellStyle name="40% - 强调文字颜色 4 2 2" xfId="4468"/>
    <cellStyle name="40% - 强调文字颜色 4 2 3" xfId="4469"/>
    <cellStyle name="40% - 强调文字颜色 4 2 4" xfId="4470"/>
    <cellStyle name="40% - 强调文字颜色 4 3" xfId="4471"/>
    <cellStyle name="40% - 强调文字颜色 5 2" xfId="4472"/>
    <cellStyle name="40% - 强调文字颜色 5 2 2" xfId="4473"/>
    <cellStyle name="40% - 强调文字颜色 5 2 3" xfId="4474"/>
    <cellStyle name="40% - 强调文字颜色 5 2 4" xfId="4475"/>
    <cellStyle name="40% - 强调文字颜色 5 3" xfId="4476"/>
    <cellStyle name="40% - 强调文字颜色 6 2" xfId="4477"/>
    <cellStyle name="40% - 强调文字颜色 6 2 2" xfId="4478"/>
    <cellStyle name="40% - 强调文字颜色 6 2 3" xfId="4479"/>
    <cellStyle name="40% - 强调文字颜色 6 2 4" xfId="4480"/>
    <cellStyle name="40% - 强调文字颜色 6 3" xfId="4481"/>
    <cellStyle name="60% - Accent1" xfId="4482"/>
    <cellStyle name="60% - Accent2" xfId="4483"/>
    <cellStyle name="60% - Accent3" xfId="4484"/>
    <cellStyle name="60% - Accent4" xfId="4485"/>
    <cellStyle name="60% - Accent5" xfId="4486"/>
    <cellStyle name="60% - Accent6" xfId="4487"/>
    <cellStyle name="60% - 强调文字颜色 1 2" xfId="4488"/>
    <cellStyle name="60% - 强调文字颜色 1 2 2" xfId="4489"/>
    <cellStyle name="60% - 强调文字颜色 1 2 3" xfId="4490"/>
    <cellStyle name="60% - 强调文字颜色 1 2 4" xfId="4491"/>
    <cellStyle name="60% - 强调文字颜色 1 3" xfId="4492"/>
    <cellStyle name="60% - 强调文字颜色 2 2" xfId="4493"/>
    <cellStyle name="60% - 强调文字颜色 2 2 2" xfId="4494"/>
    <cellStyle name="60% - 强调文字颜色 2 2 3" xfId="4495"/>
    <cellStyle name="60% - 强调文字颜色 2 2 4" xfId="4496"/>
    <cellStyle name="60% - 强调文字颜色 2 3" xfId="4497"/>
    <cellStyle name="60% - 强调文字颜色 3 2" xfId="4498"/>
    <cellStyle name="60% - 强调文字颜色 3 2 2" xfId="4499"/>
    <cellStyle name="60% - 强调文字颜色 3 2 3" xfId="4500"/>
    <cellStyle name="60% - 强调文字颜色 3 2 4" xfId="4501"/>
    <cellStyle name="60% - 强调文字颜色 3 3" xfId="4502"/>
    <cellStyle name="60% - 强调文字颜色 4 2" xfId="4503"/>
    <cellStyle name="60% - 强调文字颜色 4 2 2" xfId="4504"/>
    <cellStyle name="60% - 强调文字颜色 4 2 3" xfId="4505"/>
    <cellStyle name="60% - 强调文字颜色 4 2 4" xfId="4506"/>
    <cellStyle name="60% - 强调文字颜色 4 3" xfId="4507"/>
    <cellStyle name="60% - 强调文字颜色 5 2" xfId="4508"/>
    <cellStyle name="60% - 强调文字颜色 5 2 2" xfId="4509"/>
    <cellStyle name="60% - 强调文字颜色 5 2 3" xfId="4510"/>
    <cellStyle name="60% - 强调文字颜色 5 2 4" xfId="4511"/>
    <cellStyle name="60% - 强调文字颜色 5 3" xfId="4512"/>
    <cellStyle name="60% - 强调文字颜色 6 2" xfId="4513"/>
    <cellStyle name="60% - 强调文字颜色 6 2 2" xfId="4514"/>
    <cellStyle name="60% - 强调文字颜色 6 2 3" xfId="4515"/>
    <cellStyle name="60% - 强调文字颜色 6 2 4" xfId="4516"/>
    <cellStyle name="60% - 强调文字颜色 6 3" xfId="4517"/>
    <cellStyle name="6401" xfId="4518"/>
    <cellStyle name="6401 2" xfId="4519"/>
    <cellStyle name="a_mcs_rev" xfId="4520"/>
    <cellStyle name="a_mcs_rev 2" xfId="4521"/>
    <cellStyle name="a_rev" xfId="4522"/>
    <cellStyle name="a_rev 2" xfId="4523"/>
    <cellStyle name="a_rev_02 to 04RiskAdjustedOutlook_3_4" xfId="4524"/>
    <cellStyle name="a_rev_02 to 04RiskAdjustedOutlook_3_4 2" xfId="4525"/>
    <cellStyle name="a_rev_19 income statement" xfId="4526"/>
    <cellStyle name="a_rev_19 income statement 2" xfId="4527"/>
    <cellStyle name="a_rev_2" xfId="4528"/>
    <cellStyle name="a_rev_2 2" xfId="4529"/>
    <cellStyle name="a_rev_2_RO_Sept10" xfId="4530"/>
    <cellStyle name="a_rev_2_RO_Sept10 2" xfId="4531"/>
    <cellStyle name="a_rev_2001 0210(A)sum" xfId="4532"/>
    <cellStyle name="a_rev_2001 0210(A)sum 2" xfId="4533"/>
    <cellStyle name="a_rev_income statement_10_09" xfId="4534"/>
    <cellStyle name="a_rev_income statement_10_09 2" xfId="4535"/>
    <cellStyle name="a_rev_Lm bud perf" xfId="4536"/>
    <cellStyle name="a_rev_Lm bud perf 2" xfId="4537"/>
    <cellStyle name="a_rev_LM IncomeStatement5p7v2 " xfId="4538"/>
    <cellStyle name="a_rev_LM IncomeStatement5p7v2  2" xfId="4539"/>
    <cellStyle name="a_rev_LM4p8ForecastMay30v1" xfId="4540"/>
    <cellStyle name="a_rev_LM4p8ForecastMay30v1 2" xfId="4541"/>
    <cellStyle name="a_rev_NA CBG 12+0 Actual Draft" xfId="4542"/>
    <cellStyle name="a_rev_NA CBG 12+0 Actual Draft 2" xfId="4543"/>
    <cellStyle name="a_vol" xfId="4544"/>
    <cellStyle name="a_vol 2" xfId="4545"/>
    <cellStyle name="ÀÀÀÀÀÀÐ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" xfId="4546"/>
    <cellStyle name="ÀÀÀÀÀÀÐ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 2" xfId="4547"/>
    <cellStyle name="ac" xfId="4548"/>
    <cellStyle name="ac 2" xfId="4549"/>
    <cellStyle name="ac 2 2" xfId="4550"/>
    <cellStyle name="ac 2 2 2" xfId="4551"/>
    <cellStyle name="ac 2 3" xfId="4552"/>
    <cellStyle name="ac 2 3 2" xfId="4553"/>
    <cellStyle name="ac 2 4" xfId="4554"/>
    <cellStyle name="ac 2 4 2" xfId="4555"/>
    <cellStyle name="ac 3" xfId="4556"/>
    <cellStyle name="ac 3 2" xfId="4557"/>
    <cellStyle name="ac 4" xfId="4558"/>
    <cellStyle name="ac 4 2" xfId="4559"/>
    <cellStyle name="ac 5" xfId="4560"/>
    <cellStyle name="ac 5 2" xfId="4561"/>
    <cellStyle name="ac 6" xfId="4562"/>
    <cellStyle name="ac 6 2" xfId="4563"/>
    <cellStyle name="ac 7" xfId="4564"/>
    <cellStyle name="ac 7 2" xfId="4565"/>
    <cellStyle name="Accent1" xfId="4566"/>
    <cellStyle name="Accent1 2" xfId="4567"/>
    <cellStyle name="Accent1 2 2" xfId="4568"/>
    <cellStyle name="Accent1 2 2 2" xfId="4569"/>
    <cellStyle name="Accent1 2 2 3" xfId="4570"/>
    <cellStyle name="Accent1 2 2 4" xfId="4571"/>
    <cellStyle name="Accent1 2 3" xfId="4572"/>
    <cellStyle name="Accent1 2 4" xfId="4573"/>
    <cellStyle name="Accent1 2 5" xfId="4574"/>
    <cellStyle name="Accent1 2 6" xfId="4575"/>
    <cellStyle name="Accent1 2 7" xfId="4576"/>
    <cellStyle name="Accent2" xfId="4577"/>
    <cellStyle name="Accent3" xfId="4578"/>
    <cellStyle name="Accent4" xfId="4579"/>
    <cellStyle name="Accent5" xfId="4580"/>
    <cellStyle name="Accent6" xfId="4581"/>
    <cellStyle name="Accounting" xfId="4582"/>
    <cellStyle name="AeE­ [0]_INQUIRY ¿μ¾÷AßAø " xfId="4583"/>
    <cellStyle name="AeE­_INQUIRY ¿μ¾÷AßAø " xfId="4584"/>
    <cellStyle name="args.style" xfId="4585"/>
    <cellStyle name="Array-Entered" xfId="4586"/>
    <cellStyle name="AÞ¸¶ [0]_INQUIRY ¿?¾÷AßAø " xfId="4587"/>
    <cellStyle name="AÞ¸¶_INQUIRY ¿?¾÷AßAø " xfId="4588"/>
    <cellStyle name="AutoFormat-Optionen" xfId="4589"/>
    <cellStyle name="AutoFormat-Optionen 2" xfId="4590"/>
    <cellStyle name="AutoFormat-Optionen 2 2" xfId="4591"/>
    <cellStyle name="AutoFormat-Optionen 2 3" xfId="4592"/>
    <cellStyle name="AutoFormat-Optionen 3" xfId="4593"/>
    <cellStyle name="AutoFormat-Optionen 4" xfId="4594"/>
    <cellStyle name="AutoFormat-Optionen 4 2" xfId="4595"/>
    <cellStyle name="AutoFormat-Optionen_C346生产BOM 2" xfId="4596"/>
    <cellStyle name="B/(W)" xfId="4597"/>
    <cellStyle name="Bad" xfId="4598"/>
    <cellStyle name="bar" xfId="4599"/>
    <cellStyle name="Besuchter Hyperlink" xfId="4600"/>
    <cellStyle name="Besuchter Hyperlink 2" xfId="4601"/>
    <cellStyle name="BlankRow" xfId="4602"/>
    <cellStyle name="blue" xfId="4603"/>
    <cellStyle name="Blue Dollars" xfId="4604"/>
    <cellStyle name="Blue Dollars 2" xfId="4605"/>
    <cellStyle name="Blue Numbers" xfId="4606"/>
    <cellStyle name="Blue Numbers 2" xfId="4607"/>
    <cellStyle name="Body - No Decimal Place" xfId="4608"/>
    <cellStyle name="BodyText" xfId="4609"/>
    <cellStyle name="Bolivars" xfId="4610"/>
    <cellStyle name="Bolivars 2" xfId="4611"/>
    <cellStyle name="Bottom Row" xfId="4612"/>
    <cellStyle name="BoxedTotal" xfId="4613"/>
    <cellStyle name="BuiltOption_Content" xfId="4614"/>
    <cellStyle name="C?AØ_¿?¾÷CoE² " xfId="4615"/>
    <cellStyle name="C￥AØ_¿μ¾÷CoE² " xfId="4616"/>
    <cellStyle name="Calc Currency (0)" xfId="4617"/>
    <cellStyle name="Calc Currency (0) 2" xfId="4618"/>
    <cellStyle name="Calc Currency (0) 3" xfId="4619"/>
    <cellStyle name="Calc Currency (2)" xfId="4620"/>
    <cellStyle name="Calc Currency (2) 2" xfId="4621"/>
    <cellStyle name="Calc opsec" xfId="4622"/>
    <cellStyle name="Calc opsec 2" xfId="4623"/>
    <cellStyle name="Calc Percent (0)" xfId="4624"/>
    <cellStyle name="Calc Percent (1)" xfId="4625"/>
    <cellStyle name="Calc Percent (1) 2" xfId="4626"/>
    <cellStyle name="Calc Percent (2)" xfId="4627"/>
    <cellStyle name="Calc Percent (2) 2" xfId="4628"/>
    <cellStyle name="Calc total" xfId="4629"/>
    <cellStyle name="Calc total 2" xfId="4630"/>
    <cellStyle name="Calc Units (0)" xfId="4631"/>
    <cellStyle name="Calc Units (0) 2" xfId="4632"/>
    <cellStyle name="Calc Units (1)" xfId="4633"/>
    <cellStyle name="Calc Units (1) 2" xfId="4634"/>
    <cellStyle name="Calc Units (2)" xfId="4635"/>
    <cellStyle name="Calc Units (2) 2" xfId="4636"/>
    <cellStyle name="Calc Units (2) 2 2" xfId="4637"/>
    <cellStyle name="Calc Units (2) 3" xfId="4638"/>
    <cellStyle name="Calculation" xfId="4639"/>
    <cellStyle name="category" xfId="4640"/>
    <cellStyle name="category 2" xfId="4641"/>
    <cellStyle name="category 2 2" xfId="4642"/>
    <cellStyle name="category 2 2 2" xfId="4643"/>
    <cellStyle name="category 2 3" xfId="4644"/>
    <cellStyle name="category 2 3 2" xfId="4645"/>
    <cellStyle name="category 2 4" xfId="4646"/>
    <cellStyle name="category 2 4 2" xfId="4647"/>
    <cellStyle name="category 3" xfId="4648"/>
    <cellStyle name="category 3 2" xfId="4649"/>
    <cellStyle name="category 4" xfId="4650"/>
    <cellStyle name="category 4 2" xfId="4651"/>
    <cellStyle name="category 5" xfId="4652"/>
    <cellStyle name="category 5 2" xfId="4653"/>
    <cellStyle name="category 6" xfId="4654"/>
    <cellStyle name="category 6 2" xfId="4655"/>
    <cellStyle name="category 7" xfId="4656"/>
    <cellStyle name="category 7 2" xfId="4657"/>
    <cellStyle name="center" xfId="4658"/>
    <cellStyle name="cents" xfId="4659"/>
    <cellStyle name="Cgmma [0]_Focus History" xfId="4660"/>
    <cellStyle name="Check Cell" xfId="4661"/>
    <cellStyle name="col head" xfId="4662"/>
    <cellStyle name="col headu" xfId="4663"/>
    <cellStyle name="CombinedVol_Data" xfId="4664"/>
    <cellStyle name="Comma  - Style1" xfId="4665"/>
    <cellStyle name="Comma  - Style1 2" xfId="4666"/>
    <cellStyle name="Comma  - Style1 2 2" xfId="4667"/>
    <cellStyle name="Comma  - Style1 3" xfId="4668"/>
    <cellStyle name="Comma  - Style1 3 2" xfId="4669"/>
    <cellStyle name="Comma  - Style2" xfId="4670"/>
    <cellStyle name="Comma  - Style2 2" xfId="4671"/>
    <cellStyle name="Comma  - Style2 2 2" xfId="4672"/>
    <cellStyle name="Comma  - Style2 3" xfId="4673"/>
    <cellStyle name="Comma  - Style2 3 2" xfId="4674"/>
    <cellStyle name="Comma  - Style3" xfId="4675"/>
    <cellStyle name="Comma  - Style3 2" xfId="4676"/>
    <cellStyle name="Comma  - Style3 2 2" xfId="4677"/>
    <cellStyle name="Comma  - Style3 3" xfId="4678"/>
    <cellStyle name="Comma  - Style3 3 2" xfId="4679"/>
    <cellStyle name="Comma  - Style4" xfId="4680"/>
    <cellStyle name="Comma  - Style4 2" xfId="4681"/>
    <cellStyle name="Comma  - Style4 2 2" xfId="4682"/>
    <cellStyle name="Comma  - Style4 3" xfId="4683"/>
    <cellStyle name="Comma  - Style4 3 2" xfId="4684"/>
    <cellStyle name="Comma  - Style5" xfId="4685"/>
    <cellStyle name="Comma  - Style5 2" xfId="4686"/>
    <cellStyle name="Comma  - Style5 2 2" xfId="4687"/>
    <cellStyle name="Comma  - Style5 3" xfId="4688"/>
    <cellStyle name="Comma  - Style5 3 2" xfId="4689"/>
    <cellStyle name="Comma  - Style6" xfId="4690"/>
    <cellStyle name="Comma  - Style6 2" xfId="4691"/>
    <cellStyle name="Comma  - Style6 2 2" xfId="4692"/>
    <cellStyle name="Comma  - Style6 3" xfId="4693"/>
    <cellStyle name="Comma  - Style6 3 2" xfId="4694"/>
    <cellStyle name="Comma  - Style7" xfId="4695"/>
    <cellStyle name="Comma  - Style7 2" xfId="4696"/>
    <cellStyle name="Comma  - Style7 2 2" xfId="4697"/>
    <cellStyle name="Comma  - Style7 3" xfId="4698"/>
    <cellStyle name="Comma  - Style7 3 2" xfId="4699"/>
    <cellStyle name="Comma  - Style8" xfId="4700"/>
    <cellStyle name="Comma  - Style8 2" xfId="4701"/>
    <cellStyle name="Comma  - Style8 2 2" xfId="4702"/>
    <cellStyle name="Comma  - Style8 3" xfId="4703"/>
    <cellStyle name="Comma  - Style8 3 2" xfId="4704"/>
    <cellStyle name="Comma (0,0)" xfId="4705"/>
    <cellStyle name="Comma (0,0) -" xfId="4706"/>
    <cellStyle name="Comma (0,0) incl." xfId="4707"/>
    <cellStyle name="Comma (0,0) incl. 2" xfId="4708"/>
    <cellStyle name="Comma (0,0) incl. 2 2" xfId="4709"/>
    <cellStyle name="Comma (0,0) incl. 3" xfId="4710"/>
    <cellStyle name="Comma (0,0) incl. 3 2" xfId="4711"/>
    <cellStyle name="Comma (0,0) N/A" xfId="4712"/>
    <cellStyle name="Comma (0,0) TBD" xfId="4713"/>
    <cellStyle name="Comma (0,0) TBD-" xfId="4714"/>
    <cellStyle name="Comma (0,0) TBD- 2" xfId="4715"/>
    <cellStyle name="Comma (0,0) TBD- 2 2" xfId="4716"/>
    <cellStyle name="Comma (0,0) TBD- 3" xfId="4717"/>
    <cellStyle name="Comma (0,0) TBD- 3 2" xfId="4718"/>
    <cellStyle name="Comma (0,0) TBD_(4+8) YoY (3)" xfId="4719"/>
    <cellStyle name="Comma (0,0) TBD-_0508BPwhl_020604_Variable Marketing" xfId="4720"/>
    <cellStyle name="Comma (0,0) TBD_07 to 08MY Escape (3)" xfId="4721"/>
    <cellStyle name="Comma (0,0) TBD-_07 to 08MY Escape (3)" xfId="4722"/>
    <cellStyle name="Comma (0,0) TBD_07_08 D333 020706" xfId="4723"/>
    <cellStyle name="Comma (0,0) TBD-_07_08 D333 020706" xfId="4724"/>
    <cellStyle name="Comma (0,0) TBD_08MY Escape 2005 Bus. Plan MktEqn 8_4" xfId="4725"/>
    <cellStyle name="Comma (0,0) TBD-_08MY Escape 2005 Bus. Plan MktEqn 8_4" xfId="4726"/>
    <cellStyle name="Comma (0,0) TBD_08MY Escape MktEqn Final 09 PSC" xfId="4727"/>
    <cellStyle name="Comma (0,0) TBD-_08MY Escape MktEqn Final 09 PSC" xfId="4728"/>
    <cellStyle name="Comma (0,0) TBD_09 Escape PSC backup 3_2" xfId="4729"/>
    <cellStyle name="Comma (0,0) TBD-_09 Escape PSC backup 3_2" xfId="4730"/>
    <cellStyle name="Comma (0,0) TBD_10MY P415 ME Slides" xfId="4731"/>
    <cellStyle name="Comma (0,0) TBD-_10MY P415 ME Slides" xfId="4732"/>
    <cellStyle name="Comma (0,0) TBD_'11MY PA Status _mini BP submission_7_9_08" xfId="4733"/>
    <cellStyle name="Comma (0,0) TBD-_'11MY PA Status _mini BP submission_7_9_08" xfId="4734"/>
    <cellStyle name="Comma (0,0) TBD_2006_Metrics_ver_h_adjusted on march_20" xfId="4735"/>
    <cellStyle name="Comma (0,0) TBD-_2006_Metrics_ver_h_adjusted on march_20" xfId="4736"/>
    <cellStyle name="Comma (0,0) TBD_2006MY Escape Pkg-Price Strategy 4 pager v3.7 - FINAL - Main" xfId="4737"/>
    <cellStyle name="Comma (0,0) TBD-_2006MY Escape Pkg-Price Strategy 4 pager v3.7 - FINAL - Main" xfId="4738"/>
    <cellStyle name="Comma (0,0) TBD_2007 Concern tracker 05-02-2005 " xfId="4739"/>
    <cellStyle name="Comma (0,0) TBD-_2007 Concern tracker 05-02-2005 " xfId="4740"/>
    <cellStyle name="Comma (0,0) TBD_2007MY Escape &amp; Mariner Price Strategy_2-Pager_v5 (Offsite)" xfId="4741"/>
    <cellStyle name="Comma (0,0) TBD-_2007MY Escape &amp; Mariner Price Strategy_2-Pager_v5 (Offsite)" xfId="4742"/>
    <cellStyle name="Comma (0,0) TBD_2007MY Expedition 4 Pager - 13-14% Margin - 3-16-06 AG Review " xfId="4743"/>
    <cellStyle name="Comma (0,0) TBD-_2007MY Expedition 4 Pager - 13-14% Margin - 3-16-06 AG Review " xfId="4744"/>
    <cellStyle name="Comma (0,0) TBD_2007MY Navigator 4 Pager - Latest - 2K Ultimate - 3-16-06 AG Review " xfId="4745"/>
    <cellStyle name="Comma (0,0) TBD-_2007MY Navigator 4 Pager - Latest - 2K Ultimate - 3-16-06 AG Review " xfId="4746"/>
    <cellStyle name="Comma (0,0) TBD_2007MY Pricing Review - Navigator Showroom Spider" xfId="4747"/>
    <cellStyle name="Comma (0,0) TBD-_2007MY Pricing Review - Navigator Showroom Spider" xfId="4748"/>
    <cellStyle name="Comma (0,0) TBD_2007MY Pricing Review - Showroom Spider - 10-11-05 Revised" xfId="4749"/>
    <cellStyle name="Comma (0,0) TBD-_2007MY Pricing Review - Showroom Spider - 10-11-05 Revised" xfId="4750"/>
    <cellStyle name="Comma (0,0) TBD_2008MY Thermometer Charts - updated with Tims EACs - vs 07MY Competition - Jan 2007" xfId="4751"/>
    <cellStyle name="Comma (0,0) TBD-_2008MY Thermometer Charts - updated with Tims EACs - vs 07MY Competition - Jan 2007" xfId="4752"/>
    <cellStyle name="Comma (0,0) TBD_2009MY U377 PS PSRM" xfId="4753"/>
    <cellStyle name="Comma (0,0) TBD-_2009MY U377 PS PSRM" xfId="4754"/>
    <cellStyle name="Comma (0,0) TBD_9+3 FCST_SUM v1" xfId="4755"/>
    <cellStyle name="Comma (0,0) TBD-_9+3 FCST_SUM v1" xfId="4756"/>
    <cellStyle name="Comma (0,0) TBD_Brand Premium Summary" xfId="4757"/>
    <cellStyle name="Comma (0,0) TBD-_Brand Premium Summary" xfId="4758"/>
    <cellStyle name="Comma (0,0) TBD_Brand Premium Summary 1112205" xfId="4759"/>
    <cellStyle name="Comma (0,0) TBD-_Brand Premium Summary 1112205" xfId="4760"/>
    <cellStyle name="Comma (0,0) TBD_BV226N Facer Pg Charts" xfId="4761"/>
    <cellStyle name="Comma (0,0) TBD-_BV226N Facer Pg Charts" xfId="4762"/>
    <cellStyle name="Comma (0,0) TBD_BV226N Facer Pg Charts1" xfId="4763"/>
    <cellStyle name="Comma (0,0) TBD-_BV226N Facer Pg Charts1" xfId="4764"/>
    <cellStyle name="Comma (0,0) TBD_CD 378  09MY_ PS_ file buildup 8-05-05" xfId="4765"/>
    <cellStyle name="Comma (0,0) TBD-_CD 378  09MY_ PS_ file buildup 8-05-05" xfId="4766"/>
    <cellStyle name="Comma (0,0) TBD_D385 - PA  04-04-06" xfId="4767"/>
    <cellStyle name="Comma (0,0) TBD-_D385 - PA  04-04-06" xfId="4768"/>
    <cellStyle name="Comma (0,0) TBD_D385 - PA  10-25-05" xfId="4769"/>
    <cellStyle name="Comma (0,0) TBD-_D385 - PA  10-25-05" xfId="4770"/>
    <cellStyle name="Comma (0,0) TBD_D472 PS MktEqn 031706" xfId="4771"/>
    <cellStyle name="Comma (0,0) TBD-_D472 PS MktEqn 031706" xfId="4772"/>
    <cellStyle name="Comma (0,0) TBD_D472 PS MktEqn 032406 " xfId="4773"/>
    <cellStyle name="Comma (0,0) TBD-_D472 PS MktEqn 032406 " xfId="4774"/>
    <cellStyle name="Comma (0,0) TBD_Expedition 2006MY Price Strategy_FINAL" xfId="4775"/>
    <cellStyle name="Comma (0,0) TBD-_Expedition 2006MY Price Strategy_FINAL" xfId="4776"/>
    <cellStyle name="Comma (0,0) TBD_Family Cluster Targets2" xfId="4777"/>
    <cellStyle name="Comma (0,0) TBD-_Family Cluster Targets2" xfId="4778"/>
    <cellStyle name="Comma (0,0) TBD_FINAL Super Duty Diesel Summary" xfId="4779"/>
    <cellStyle name="Comma (0,0) TBD-_FINAL Super Duty Diesel Summary" xfId="4780"/>
    <cellStyle name="Comma (0,0) TBD_GM Pwr Pack Spiders -- John-Doug Backup V2 Incl. Proposal" xfId="4781"/>
    <cellStyle name="Comma (0,0) TBD-_GM Pwr Pack Spiders -- John-Doug Backup V2 Incl. Proposal" xfId="4782"/>
    <cellStyle name="Comma (0,0) TBD_H-C Facer" xfId="4783"/>
    <cellStyle name="Comma (0,0) TBD-_hurricane segtracks" xfId="4784"/>
    <cellStyle name="Comma (0,0) TBD_Market Equation Reconciliation - 2005BP Status vs PA - Expedition Navigator - MC Review" xfId="4785"/>
    <cellStyle name="Comma (0,0) TBD-_Market Equation Reconciliation - 2005BP Status vs PA - Expedition Navigator - MC Review" xfId="4786"/>
    <cellStyle name="Comma (0,0) TBD_milspullahead-07" xfId="4787"/>
    <cellStyle name="Comma (0,0) TBD-_milspullahead-07" xfId="4788"/>
    <cellStyle name="Comma (0,0) TBD_Mix Master File" xfId="4789"/>
    <cellStyle name="Comma (0,0) TBD-_Mix Master File" xfId="4790"/>
    <cellStyle name="Comma (0,0) TBD_profit summary" xfId="4791"/>
    <cellStyle name="Comma (0,0) TBD-_profit summary" xfId="4792"/>
    <cellStyle name="Comma (0,0) TBD_PSRM Backup Slides" xfId="4793"/>
    <cellStyle name="Comma (0,0) TBD-_PSRM Backup Slides" xfId="4794"/>
    <cellStyle name="Comma (0,0) TBD_Quality Details 3+9" xfId="4795"/>
    <cellStyle name="Comma (0,0) TBD-_Quality Details 3+9" xfId="4796"/>
    <cellStyle name="Comma (0,0) TBD_Retail and Wholesale Summary 2003A Plus Cons" xfId="4797"/>
    <cellStyle name="Comma (0,0) TBD-_Retail and Wholesale Summary 2003A Plus Cons" xfId="4798"/>
    <cellStyle name="Comma (0,0) TBD_Retail and Wholesale Summary 2003B Cons Ver3.0" xfId="4799"/>
    <cellStyle name="Comma (0,0) TBD-_Retail and Wholesale Summary 2003B Cons Ver3.0" xfId="4800"/>
    <cellStyle name="Comma (0,0) TBD_Retail and Wholesale Summary 2003B Tasked Ver3.1" xfId="4801"/>
    <cellStyle name="Comma (0,0) TBD-_Retail and Wholesale Summary 2003B Tasked Ver3.1" xfId="4802"/>
    <cellStyle name="Comma (0,0) TBD_Revenue Continuum - FINAL 062107" xfId="4803"/>
    <cellStyle name="Comma (0,0) TBD-_Revenue Continuum - FINAL 062107" xfId="4804"/>
    <cellStyle name="Comma (0,0) TBD_RevenueRecon_EscapeSep9" xfId="4805"/>
    <cellStyle name="Comma (0,0) TBD-_RevenueRecon_EscapeSep9" xfId="4806"/>
    <cellStyle name="Comma (0,0) TBD_Sept SoMP" xfId="4807"/>
    <cellStyle name="Comma (0,0) TBD-_Sept SoMP" xfId="4808"/>
    <cellStyle name="Comma (0,0) TBD_Sister Vehicle EAC" xfId="4809"/>
    <cellStyle name="Comma (0,0) TBD-_Sister Vehicle EAC" xfId="4810"/>
    <cellStyle name="Comma (0,0) TBD_Status Update 10-19-05" xfId="4811"/>
    <cellStyle name="Comma (0,0) TBD-_Status Update 10-19-05" xfId="4812"/>
    <cellStyle name="Comma (0,0) TBD_SUV wheelbase Premium Summary" xfId="4813"/>
    <cellStyle name="Comma (0,0) TBD-_SUV wheelbase Premium Summary" xfId="4814"/>
    <cellStyle name="Comma (0,0) TBD_Tab 1" xfId="4815"/>
    <cellStyle name="Comma (0,0) TBD-_TRANS PRICE RELATIONSHIPS12" xfId="4816"/>
    <cellStyle name="Comma (0,0) TBD_U388 2 Series Nav" xfId="4817"/>
    <cellStyle name="Comma (0,0) TBD-_U388 2 Series Nav" xfId="4818"/>
    <cellStyle name="Comma (0,0) TBD_YoY (4)" xfId="4819"/>
    <cellStyle name="Comma (0,0) TBD-_YoY 2" xfId="4820"/>
    <cellStyle name="Comma (0,0)_0508BPwhl_020604_Variable Marketing" xfId="4821"/>
    <cellStyle name="Comma (0,00)" xfId="4822"/>
    <cellStyle name="Comma (0,00) -" xfId="4823"/>
    <cellStyle name="Comma (0,00) - 2" xfId="4824"/>
    <cellStyle name="Comma (0,00) - 2 2" xfId="4825"/>
    <cellStyle name="Comma (0,00) - 3" xfId="4826"/>
    <cellStyle name="Comma (0,00) - 3 2" xfId="4827"/>
    <cellStyle name="Comma (0,00) 10" xfId="4828"/>
    <cellStyle name="Comma (0,00) 10 2" xfId="4829"/>
    <cellStyle name="Comma (0,00) 11" xfId="4830"/>
    <cellStyle name="Comma (0,00) 11 2" xfId="4831"/>
    <cellStyle name="Comma (0,00) 12" xfId="4832"/>
    <cellStyle name="Comma (0,00) 12 2" xfId="4833"/>
    <cellStyle name="Comma (0,00) 13" xfId="4834"/>
    <cellStyle name="Comma (0,00) 13 2" xfId="4835"/>
    <cellStyle name="Comma (0,00) 14" xfId="4836"/>
    <cellStyle name="Comma (0,00) 14 2" xfId="4837"/>
    <cellStyle name="Comma (0,00) 2" xfId="4838"/>
    <cellStyle name="Comma (0,00) 2 2" xfId="4839"/>
    <cellStyle name="Comma (0,00) 3" xfId="4840"/>
    <cellStyle name="Comma (0,00) 3 2" xfId="4841"/>
    <cellStyle name="Comma (0,00) 4" xfId="4842"/>
    <cellStyle name="Comma (0,00) 4 2" xfId="4843"/>
    <cellStyle name="Comma (0,00) 5" xfId="4844"/>
    <cellStyle name="Comma (0,00) 5 2" xfId="4845"/>
    <cellStyle name="Comma (0,00) 6" xfId="4846"/>
    <cellStyle name="Comma (0,00) 6 2" xfId="4847"/>
    <cellStyle name="Comma (0,00) 7" xfId="4848"/>
    <cellStyle name="Comma (0,00) 7 2" xfId="4849"/>
    <cellStyle name="Comma (0,00) 8" xfId="4850"/>
    <cellStyle name="Comma (0,00) 8 2" xfId="4851"/>
    <cellStyle name="Comma (0,00) 9" xfId="4852"/>
    <cellStyle name="Comma (0,00) 9 2" xfId="4853"/>
    <cellStyle name="Comma (0,00) incl." xfId="4854"/>
    <cellStyle name="Comma (0,00) incl. 2" xfId="4855"/>
    <cellStyle name="Comma (0,00) incl. 2 2" xfId="4856"/>
    <cellStyle name="Comma (0,00) incl. 3" xfId="4857"/>
    <cellStyle name="Comma (0,00) incl. 3 2" xfId="4858"/>
    <cellStyle name="Comma (0,00) N/A" xfId="4859"/>
    <cellStyle name="Comma (0,00) N/A 2" xfId="4860"/>
    <cellStyle name="Comma (0,00) N/A 2 2" xfId="4861"/>
    <cellStyle name="Comma (0,00) N/A 3" xfId="4862"/>
    <cellStyle name="Comma (0,00) N/A 3 2" xfId="4863"/>
    <cellStyle name="Comma (0,00) TBD" xfId="4864"/>
    <cellStyle name="Comma (0,00) TBD-" xfId="4865"/>
    <cellStyle name="Comma (0,00) TBD 10" xfId="4866"/>
    <cellStyle name="Comma (0,00) TBD- 10" xfId="4867"/>
    <cellStyle name="Comma (0,00) TBD 10 10" xfId="4868"/>
    <cellStyle name="Comma (0,00) TBD- 10 10" xfId="4869"/>
    <cellStyle name="Comma (0,00) TBD 10 100" xfId="4870"/>
    <cellStyle name="Comma (0,00) TBD- 10 100" xfId="4871"/>
    <cellStyle name="Comma (0,00) TBD 10 101" xfId="4872"/>
    <cellStyle name="Comma (0,00) TBD- 10 101" xfId="4873"/>
    <cellStyle name="Comma (0,00) TBD 10 102" xfId="4874"/>
    <cellStyle name="Comma (0,00) TBD- 10 102" xfId="4875"/>
    <cellStyle name="Comma (0,00) TBD 10 103" xfId="4876"/>
    <cellStyle name="Comma (0,00) TBD- 10 103" xfId="4877"/>
    <cellStyle name="Comma (0,00) TBD 10 104" xfId="4878"/>
    <cellStyle name="Comma (0,00) TBD- 10 104" xfId="4879"/>
    <cellStyle name="Comma (0,00) TBD 10 105" xfId="4880"/>
    <cellStyle name="Comma (0,00) TBD- 10 105" xfId="4881"/>
    <cellStyle name="Comma (0,00) TBD 10 106" xfId="4882"/>
    <cellStyle name="Comma (0,00) TBD- 10 106" xfId="4883"/>
    <cellStyle name="Comma (0,00) TBD 10 107" xfId="4884"/>
    <cellStyle name="Comma (0,00) TBD- 10 107" xfId="4885"/>
    <cellStyle name="Comma (0,00) TBD 10 108" xfId="4886"/>
    <cellStyle name="Comma (0,00) TBD- 10 108" xfId="4887"/>
    <cellStyle name="Comma (0,00) TBD 10 109" xfId="4888"/>
    <cellStyle name="Comma (0,00) TBD- 10 109" xfId="4889"/>
    <cellStyle name="Comma (0,00) TBD 10 11" xfId="4890"/>
    <cellStyle name="Comma (0,00) TBD- 10 11" xfId="4891"/>
    <cellStyle name="Comma (0,00) TBD 10 110" xfId="4892"/>
    <cellStyle name="Comma (0,00) TBD- 10 110" xfId="4893"/>
    <cellStyle name="Comma (0,00) TBD 10 111" xfId="4894"/>
    <cellStyle name="Comma (0,00) TBD- 10 111" xfId="4895"/>
    <cellStyle name="Comma (0,00) TBD 10 112" xfId="4896"/>
    <cellStyle name="Comma (0,00) TBD- 10 112" xfId="4897"/>
    <cellStyle name="Comma (0,00) TBD 10 113" xfId="4898"/>
    <cellStyle name="Comma (0,00) TBD- 10 113" xfId="4899"/>
    <cellStyle name="Comma (0,00) TBD 10 114" xfId="4900"/>
    <cellStyle name="Comma (0,00) TBD- 10 114" xfId="4901"/>
    <cellStyle name="Comma (0,00) TBD 10 115" xfId="4902"/>
    <cellStyle name="Comma (0,00) TBD- 10 115" xfId="4903"/>
    <cellStyle name="Comma (0,00) TBD 10 116" xfId="4904"/>
    <cellStyle name="Comma (0,00) TBD- 10 116" xfId="4905"/>
    <cellStyle name="Comma (0,00) TBD 10 117" xfId="4906"/>
    <cellStyle name="Comma (0,00) TBD- 10 117" xfId="4907"/>
    <cellStyle name="Comma (0,00) TBD 10 118" xfId="4908"/>
    <cellStyle name="Comma (0,00) TBD- 10 118" xfId="4909"/>
    <cellStyle name="Comma (0,00) TBD 10 119" xfId="4910"/>
    <cellStyle name="Comma (0,00) TBD- 10 119" xfId="4911"/>
    <cellStyle name="Comma (0,00) TBD 10 12" xfId="4912"/>
    <cellStyle name="Comma (0,00) TBD- 10 12" xfId="4913"/>
    <cellStyle name="Comma (0,00) TBD 10 120" xfId="4914"/>
    <cellStyle name="Comma (0,00) TBD- 10 120" xfId="4915"/>
    <cellStyle name="Comma (0,00) TBD 10 121" xfId="4916"/>
    <cellStyle name="Comma (0,00) TBD- 10 121" xfId="4917"/>
    <cellStyle name="Comma (0,00) TBD 10 122" xfId="4918"/>
    <cellStyle name="Comma (0,00) TBD- 10 122" xfId="4919"/>
    <cellStyle name="Comma (0,00) TBD 10 123" xfId="4920"/>
    <cellStyle name="Comma (0,00) TBD- 10 123" xfId="4921"/>
    <cellStyle name="Comma (0,00) TBD 10 124" xfId="4922"/>
    <cellStyle name="Comma (0,00) TBD- 10 124" xfId="4923"/>
    <cellStyle name="Comma (0,00) TBD 10 125" xfId="4924"/>
    <cellStyle name="Comma (0,00) TBD- 10 125" xfId="4925"/>
    <cellStyle name="Comma (0,00) TBD 10 126" xfId="4926"/>
    <cellStyle name="Comma (0,00) TBD- 10 126" xfId="4927"/>
    <cellStyle name="Comma (0,00) TBD 10 127" xfId="4928"/>
    <cellStyle name="Comma (0,00) TBD- 10 127" xfId="4929"/>
    <cellStyle name="Comma (0,00) TBD 10 128" xfId="4930"/>
    <cellStyle name="Comma (0,00) TBD- 10 128" xfId="4931"/>
    <cellStyle name="Comma (0,00) TBD 10 129" xfId="4932"/>
    <cellStyle name="Comma (0,00) TBD- 10 129" xfId="4933"/>
    <cellStyle name="Comma (0,00) TBD 10 13" xfId="4934"/>
    <cellStyle name="Comma (0,00) TBD- 10 13" xfId="4935"/>
    <cellStyle name="Comma (0,00) TBD 10 130" xfId="4936"/>
    <cellStyle name="Comma (0,00) TBD- 10 130" xfId="4937"/>
    <cellStyle name="Comma (0,00) TBD 10 131" xfId="4938"/>
    <cellStyle name="Comma (0,00) TBD- 10 131" xfId="4939"/>
    <cellStyle name="Comma (0,00) TBD 10 132" xfId="4940"/>
    <cellStyle name="Comma (0,00) TBD- 10 132" xfId="4941"/>
    <cellStyle name="Comma (0,00) TBD 10 133" xfId="4942"/>
    <cellStyle name="Comma (0,00) TBD- 10 133" xfId="4943"/>
    <cellStyle name="Comma (0,00) TBD 10 134" xfId="4944"/>
    <cellStyle name="Comma (0,00) TBD- 10 134" xfId="4945"/>
    <cellStyle name="Comma (0,00) TBD 10 135" xfId="4946"/>
    <cellStyle name="Comma (0,00) TBD- 10 135" xfId="4947"/>
    <cellStyle name="Comma (0,00) TBD 10 136" xfId="4948"/>
    <cellStyle name="Comma (0,00) TBD- 10 136" xfId="4949"/>
    <cellStyle name="Comma (0,00) TBD 10 137" xfId="4950"/>
    <cellStyle name="Comma (0,00) TBD- 10 137" xfId="4951"/>
    <cellStyle name="Comma (0,00) TBD 10 138" xfId="4952"/>
    <cellStyle name="Comma (0,00) TBD- 10 138" xfId="4953"/>
    <cellStyle name="Comma (0,00) TBD 10 139" xfId="4954"/>
    <cellStyle name="Comma (0,00) TBD- 10 139" xfId="4955"/>
    <cellStyle name="Comma (0,00) TBD 10 14" xfId="4956"/>
    <cellStyle name="Comma (0,00) TBD- 10 14" xfId="4957"/>
    <cellStyle name="Comma (0,00) TBD 10 140" xfId="4958"/>
    <cellStyle name="Comma (0,00) TBD- 10 140" xfId="4959"/>
    <cellStyle name="Comma (0,00) TBD 10 141" xfId="4960"/>
    <cellStyle name="Comma (0,00) TBD- 10 141" xfId="4961"/>
    <cellStyle name="Comma (0,00) TBD 10 142" xfId="4962"/>
    <cellStyle name="Comma (0,00) TBD- 10 142" xfId="4963"/>
    <cellStyle name="Comma (0,00) TBD 10 143" xfId="4964"/>
    <cellStyle name="Comma (0,00) TBD- 10 143" xfId="4965"/>
    <cellStyle name="Comma (0,00) TBD 10 144" xfId="4966"/>
    <cellStyle name="Comma (0,00) TBD- 10 144" xfId="4967"/>
    <cellStyle name="Comma (0,00) TBD 10 145" xfId="4968"/>
    <cellStyle name="Comma (0,00) TBD- 10 145" xfId="4969"/>
    <cellStyle name="Comma (0,00) TBD 10 146" xfId="4970"/>
    <cellStyle name="Comma (0,00) TBD- 10 146" xfId="4971"/>
    <cellStyle name="Comma (0,00) TBD 10 147" xfId="4972"/>
    <cellStyle name="Comma (0,00) TBD- 10 147" xfId="4973"/>
    <cellStyle name="Comma (0,00) TBD 10 148" xfId="4974"/>
    <cellStyle name="Comma (0,00) TBD- 10 148" xfId="4975"/>
    <cellStyle name="Comma (0,00) TBD 10 149" xfId="4976"/>
    <cellStyle name="Comma (0,00) TBD- 10 149" xfId="4977"/>
    <cellStyle name="Comma (0,00) TBD 10 15" xfId="4978"/>
    <cellStyle name="Comma (0,00) TBD- 10 15" xfId="4979"/>
    <cellStyle name="Comma (0,00) TBD 10 150" xfId="4980"/>
    <cellStyle name="Comma (0,00) TBD- 10 150" xfId="4981"/>
    <cellStyle name="Comma (0,00) TBD 10 151" xfId="4982"/>
    <cellStyle name="Comma (0,00) TBD- 10 151" xfId="4983"/>
    <cellStyle name="Comma (0,00) TBD 10 152" xfId="4984"/>
    <cellStyle name="Comma (0,00) TBD- 10 152" xfId="4985"/>
    <cellStyle name="Comma (0,00) TBD 10 153" xfId="4986"/>
    <cellStyle name="Comma (0,00) TBD- 10 153" xfId="4987"/>
    <cellStyle name="Comma (0,00) TBD 10 16" xfId="4988"/>
    <cellStyle name="Comma (0,00) TBD- 10 16" xfId="4989"/>
    <cellStyle name="Comma (0,00) TBD 10 17" xfId="4990"/>
    <cellStyle name="Comma (0,00) TBD- 10 17" xfId="4991"/>
    <cellStyle name="Comma (0,00) TBD 10 18" xfId="4992"/>
    <cellStyle name="Comma (0,00) TBD- 10 18" xfId="4993"/>
    <cellStyle name="Comma (0,00) TBD 10 19" xfId="4994"/>
    <cellStyle name="Comma (0,00) TBD- 10 19" xfId="4995"/>
    <cellStyle name="Comma (0,00) TBD 10 2" xfId="4996"/>
    <cellStyle name="Comma (0,00) TBD- 10 2" xfId="4997"/>
    <cellStyle name="Comma (0,00) TBD 10 20" xfId="4998"/>
    <cellStyle name="Comma (0,00) TBD- 10 20" xfId="4999"/>
    <cellStyle name="Comma (0,00) TBD 10 21" xfId="5000"/>
    <cellStyle name="Comma (0,00) TBD- 10 21" xfId="5001"/>
    <cellStyle name="Comma (0,00) TBD 10 22" xfId="5002"/>
    <cellStyle name="Comma (0,00) TBD- 10 22" xfId="5003"/>
    <cellStyle name="Comma (0,00) TBD 10 23" xfId="5004"/>
    <cellStyle name="Comma (0,00) TBD- 10 23" xfId="5005"/>
    <cellStyle name="Comma (0,00) TBD 10 24" xfId="5006"/>
    <cellStyle name="Comma (0,00) TBD- 10 24" xfId="5007"/>
    <cellStyle name="Comma (0,00) TBD 10 25" xfId="5008"/>
    <cellStyle name="Comma (0,00) TBD- 10 25" xfId="5009"/>
    <cellStyle name="Comma (0,00) TBD 10 26" xfId="5010"/>
    <cellStyle name="Comma (0,00) TBD- 10 26" xfId="5011"/>
    <cellStyle name="Comma (0,00) TBD 10 27" xfId="5012"/>
    <cellStyle name="Comma (0,00) TBD- 10 27" xfId="5013"/>
    <cellStyle name="Comma (0,00) TBD 10 28" xfId="5014"/>
    <cellStyle name="Comma (0,00) TBD- 10 28" xfId="5015"/>
    <cellStyle name="Comma (0,00) TBD 10 29" xfId="5016"/>
    <cellStyle name="Comma (0,00) TBD- 10 29" xfId="5017"/>
    <cellStyle name="Comma (0,00) TBD 10 3" xfId="5018"/>
    <cellStyle name="Comma (0,00) TBD- 10 3" xfId="5019"/>
    <cellStyle name="Comma (0,00) TBD 10 30" xfId="5020"/>
    <cellStyle name="Comma (0,00) TBD- 10 30" xfId="5021"/>
    <cellStyle name="Comma (0,00) TBD 10 31" xfId="5022"/>
    <cellStyle name="Comma (0,00) TBD- 10 31" xfId="5023"/>
    <cellStyle name="Comma (0,00) TBD 10 32" xfId="5024"/>
    <cellStyle name="Comma (0,00) TBD- 10 32" xfId="5025"/>
    <cellStyle name="Comma (0,00) TBD 10 33" xfId="5026"/>
    <cellStyle name="Comma (0,00) TBD- 10 33" xfId="5027"/>
    <cellStyle name="Comma (0,00) TBD 10 34" xfId="5028"/>
    <cellStyle name="Comma (0,00) TBD- 10 34" xfId="5029"/>
    <cellStyle name="Comma (0,00) TBD 10 35" xfId="5030"/>
    <cellStyle name="Comma (0,00) TBD- 10 35" xfId="5031"/>
    <cellStyle name="Comma (0,00) TBD 10 36" xfId="5032"/>
    <cellStyle name="Comma (0,00) TBD- 10 36" xfId="5033"/>
    <cellStyle name="Comma (0,00) TBD 10 37" xfId="5034"/>
    <cellStyle name="Comma (0,00) TBD- 10 37" xfId="5035"/>
    <cellStyle name="Comma (0,00) TBD 10 38" xfId="5036"/>
    <cellStyle name="Comma (0,00) TBD- 10 38" xfId="5037"/>
    <cellStyle name="Comma (0,00) TBD 10 39" xfId="5038"/>
    <cellStyle name="Comma (0,00) TBD- 10 39" xfId="5039"/>
    <cellStyle name="Comma (0,00) TBD 10 4" xfId="5040"/>
    <cellStyle name="Comma (0,00) TBD- 10 4" xfId="5041"/>
    <cellStyle name="Comma (0,00) TBD 10 40" xfId="5042"/>
    <cellStyle name="Comma (0,00) TBD- 10 40" xfId="5043"/>
    <cellStyle name="Comma (0,00) TBD 10 41" xfId="5044"/>
    <cellStyle name="Comma (0,00) TBD- 10 41" xfId="5045"/>
    <cellStyle name="Comma (0,00) TBD 10 42" xfId="5046"/>
    <cellStyle name="Comma (0,00) TBD- 10 42" xfId="5047"/>
    <cellStyle name="Comma (0,00) TBD 10 43" xfId="5048"/>
    <cellStyle name="Comma (0,00) TBD- 10 43" xfId="5049"/>
    <cellStyle name="Comma (0,00) TBD 10 44" xfId="5050"/>
    <cellStyle name="Comma (0,00) TBD- 10 44" xfId="5051"/>
    <cellStyle name="Comma (0,00) TBD 10 45" xfId="5052"/>
    <cellStyle name="Comma (0,00) TBD- 10 45" xfId="5053"/>
    <cellStyle name="Comma (0,00) TBD 10 46" xfId="5054"/>
    <cellStyle name="Comma (0,00) TBD- 10 46" xfId="5055"/>
    <cellStyle name="Comma (0,00) TBD 10 47" xfId="5056"/>
    <cellStyle name="Comma (0,00) TBD- 10 47" xfId="5057"/>
    <cellStyle name="Comma (0,00) TBD 10 48" xfId="5058"/>
    <cellStyle name="Comma (0,00) TBD- 10 48" xfId="5059"/>
    <cellStyle name="Comma (0,00) TBD 10 49" xfId="5060"/>
    <cellStyle name="Comma (0,00) TBD- 10 49" xfId="5061"/>
    <cellStyle name="Comma (0,00) TBD 10 5" xfId="5062"/>
    <cellStyle name="Comma (0,00) TBD- 10 5" xfId="5063"/>
    <cellStyle name="Comma (0,00) TBD 10 50" xfId="5064"/>
    <cellStyle name="Comma (0,00) TBD- 10 50" xfId="5065"/>
    <cellStyle name="Comma (0,00) TBD 10 51" xfId="5066"/>
    <cellStyle name="Comma (0,00) TBD- 10 51" xfId="5067"/>
    <cellStyle name="Comma (0,00) TBD 10 52" xfId="5068"/>
    <cellStyle name="Comma (0,00) TBD- 10 52" xfId="5069"/>
    <cellStyle name="Comma (0,00) TBD 10 53" xfId="5070"/>
    <cellStyle name="Comma (0,00) TBD- 10 53" xfId="5071"/>
    <cellStyle name="Comma (0,00) TBD 10 54" xfId="5072"/>
    <cellStyle name="Comma (0,00) TBD- 10 54" xfId="5073"/>
    <cellStyle name="Comma (0,00) TBD 10 55" xfId="5074"/>
    <cellStyle name="Comma (0,00) TBD- 10 55" xfId="5075"/>
    <cellStyle name="Comma (0,00) TBD 10 56" xfId="5076"/>
    <cellStyle name="Comma (0,00) TBD- 10 56" xfId="5077"/>
    <cellStyle name="Comma (0,00) TBD 10 57" xfId="5078"/>
    <cellStyle name="Comma (0,00) TBD- 10 57" xfId="5079"/>
    <cellStyle name="Comma (0,00) TBD 10 58" xfId="5080"/>
    <cellStyle name="Comma (0,00) TBD- 10 58" xfId="5081"/>
    <cellStyle name="Comma (0,00) TBD 10 59" xfId="5082"/>
    <cellStyle name="Comma (0,00) TBD- 10 59" xfId="5083"/>
    <cellStyle name="Comma (0,00) TBD 10 6" xfId="5084"/>
    <cellStyle name="Comma (0,00) TBD- 10 6" xfId="5085"/>
    <cellStyle name="Comma (0,00) TBD 10 60" xfId="5086"/>
    <cellStyle name="Comma (0,00) TBD- 10 60" xfId="5087"/>
    <cellStyle name="Comma (0,00) TBD 10 61" xfId="5088"/>
    <cellStyle name="Comma (0,00) TBD- 10 61" xfId="5089"/>
    <cellStyle name="Comma (0,00) TBD 10 62" xfId="5090"/>
    <cellStyle name="Comma (0,00) TBD- 10 62" xfId="5091"/>
    <cellStyle name="Comma (0,00) TBD 10 63" xfId="5092"/>
    <cellStyle name="Comma (0,00) TBD- 10 63" xfId="5093"/>
    <cellStyle name="Comma (0,00) TBD 10 64" xfId="5094"/>
    <cellStyle name="Comma (0,00) TBD- 10 64" xfId="5095"/>
    <cellStyle name="Comma (0,00) TBD 10 65" xfId="5096"/>
    <cellStyle name="Comma (0,00) TBD- 10 65" xfId="5097"/>
    <cellStyle name="Comma (0,00) TBD 10 66" xfId="5098"/>
    <cellStyle name="Comma (0,00) TBD- 10 66" xfId="5099"/>
    <cellStyle name="Comma (0,00) TBD 10 67" xfId="5100"/>
    <cellStyle name="Comma (0,00) TBD- 10 67" xfId="5101"/>
    <cellStyle name="Comma (0,00) TBD 10 68" xfId="5102"/>
    <cellStyle name="Comma (0,00) TBD- 10 68" xfId="5103"/>
    <cellStyle name="Comma (0,00) TBD 10 69" xfId="5104"/>
    <cellStyle name="Comma (0,00) TBD- 10 69" xfId="5105"/>
    <cellStyle name="Comma (0,00) TBD 10 7" xfId="5106"/>
    <cellStyle name="Comma (0,00) TBD- 10 7" xfId="5107"/>
    <cellStyle name="Comma (0,00) TBD 10 70" xfId="5108"/>
    <cellStyle name="Comma (0,00) TBD- 10 70" xfId="5109"/>
    <cellStyle name="Comma (0,00) TBD 10 71" xfId="5110"/>
    <cellStyle name="Comma (0,00) TBD- 10 71" xfId="5111"/>
    <cellStyle name="Comma (0,00) TBD 10 72" xfId="5112"/>
    <cellStyle name="Comma (0,00) TBD- 10 72" xfId="5113"/>
    <cellStyle name="Comma (0,00) TBD 10 73" xfId="5114"/>
    <cellStyle name="Comma (0,00) TBD- 10 73" xfId="5115"/>
    <cellStyle name="Comma (0,00) TBD 10 74" xfId="5116"/>
    <cellStyle name="Comma (0,00) TBD- 10 74" xfId="5117"/>
    <cellStyle name="Comma (0,00) TBD 10 75" xfId="5118"/>
    <cellStyle name="Comma (0,00) TBD- 10 75" xfId="5119"/>
    <cellStyle name="Comma (0,00) TBD 10 76" xfId="5120"/>
    <cellStyle name="Comma (0,00) TBD- 10 76" xfId="5121"/>
    <cellStyle name="Comma (0,00) TBD 10 77" xfId="5122"/>
    <cellStyle name="Comma (0,00) TBD- 10 77" xfId="5123"/>
    <cellStyle name="Comma (0,00) TBD 10 78" xfId="5124"/>
    <cellStyle name="Comma (0,00) TBD- 10 78" xfId="5125"/>
    <cellStyle name="Comma (0,00) TBD 10 79" xfId="5126"/>
    <cellStyle name="Comma (0,00) TBD- 10 79" xfId="5127"/>
    <cellStyle name="Comma (0,00) TBD 10 8" xfId="5128"/>
    <cellStyle name="Comma (0,00) TBD- 10 8" xfId="5129"/>
    <cellStyle name="Comma (0,00) TBD 10 80" xfId="5130"/>
    <cellStyle name="Comma (0,00) TBD- 10 80" xfId="5131"/>
    <cellStyle name="Comma (0,00) TBD 10 81" xfId="5132"/>
    <cellStyle name="Comma (0,00) TBD- 10 81" xfId="5133"/>
    <cellStyle name="Comma (0,00) TBD 10 82" xfId="5134"/>
    <cellStyle name="Comma (0,00) TBD- 10 82" xfId="5135"/>
    <cellStyle name="Comma (0,00) TBD 10 83" xfId="5136"/>
    <cellStyle name="Comma (0,00) TBD- 10 83" xfId="5137"/>
    <cellStyle name="Comma (0,00) TBD 10 84" xfId="5138"/>
    <cellStyle name="Comma (0,00) TBD- 10 84" xfId="5139"/>
    <cellStyle name="Comma (0,00) TBD 10 85" xfId="5140"/>
    <cellStyle name="Comma (0,00) TBD- 10 85" xfId="5141"/>
    <cellStyle name="Comma (0,00) TBD 10 86" xfId="5142"/>
    <cellStyle name="Comma (0,00) TBD- 10 86" xfId="5143"/>
    <cellStyle name="Comma (0,00) TBD 10 87" xfId="5144"/>
    <cellStyle name="Comma (0,00) TBD- 10 87" xfId="5145"/>
    <cellStyle name="Comma (0,00) TBD 10 88" xfId="5146"/>
    <cellStyle name="Comma (0,00) TBD- 10 88" xfId="5147"/>
    <cellStyle name="Comma (0,00) TBD 10 89" xfId="5148"/>
    <cellStyle name="Comma (0,00) TBD- 10 89" xfId="5149"/>
    <cellStyle name="Comma (0,00) TBD 10 9" xfId="5150"/>
    <cellStyle name="Comma (0,00) TBD- 10 9" xfId="5151"/>
    <cellStyle name="Comma (0,00) TBD 10 90" xfId="5152"/>
    <cellStyle name="Comma (0,00) TBD- 10 90" xfId="5153"/>
    <cellStyle name="Comma (0,00) TBD 10 91" xfId="5154"/>
    <cellStyle name="Comma (0,00) TBD- 10 91" xfId="5155"/>
    <cellStyle name="Comma (0,00) TBD 10 92" xfId="5156"/>
    <cellStyle name="Comma (0,00) TBD- 10 92" xfId="5157"/>
    <cellStyle name="Comma (0,00) TBD 10 93" xfId="5158"/>
    <cellStyle name="Comma (0,00) TBD- 10 93" xfId="5159"/>
    <cellStyle name="Comma (0,00) TBD 10 94" xfId="5160"/>
    <cellStyle name="Comma (0,00) TBD- 10 94" xfId="5161"/>
    <cellStyle name="Comma (0,00) TBD 10 95" xfId="5162"/>
    <cellStyle name="Comma (0,00) TBD- 10 95" xfId="5163"/>
    <cellStyle name="Comma (0,00) TBD 10 96" xfId="5164"/>
    <cellStyle name="Comma (0,00) TBD- 10 96" xfId="5165"/>
    <cellStyle name="Comma (0,00) TBD 10 97" xfId="5166"/>
    <cellStyle name="Comma (0,00) TBD- 10 97" xfId="5167"/>
    <cellStyle name="Comma (0,00) TBD 10 98" xfId="5168"/>
    <cellStyle name="Comma (0,00) TBD- 10 98" xfId="5169"/>
    <cellStyle name="Comma (0,00) TBD 10 99" xfId="5170"/>
    <cellStyle name="Comma (0,00) TBD- 10 99" xfId="5171"/>
    <cellStyle name="Comma (0,00) TBD 11" xfId="5172"/>
    <cellStyle name="Comma (0,00) TBD- 11" xfId="5173"/>
    <cellStyle name="Comma (0,00) TBD 11 10" xfId="5174"/>
    <cellStyle name="Comma (0,00) TBD- 11 10" xfId="5175"/>
    <cellStyle name="Comma (0,00) TBD 11 100" xfId="5176"/>
    <cellStyle name="Comma (0,00) TBD- 11 100" xfId="5177"/>
    <cellStyle name="Comma (0,00) TBD 11 101" xfId="5178"/>
    <cellStyle name="Comma (0,00) TBD- 11 101" xfId="5179"/>
    <cellStyle name="Comma (0,00) TBD 11 102" xfId="5180"/>
    <cellStyle name="Comma (0,00) TBD- 11 102" xfId="5181"/>
    <cellStyle name="Comma (0,00) TBD 11 103" xfId="5182"/>
    <cellStyle name="Comma (0,00) TBD- 11 103" xfId="5183"/>
    <cellStyle name="Comma (0,00) TBD 11 104" xfId="5184"/>
    <cellStyle name="Comma (0,00) TBD- 11 104" xfId="5185"/>
    <cellStyle name="Comma (0,00) TBD 11 105" xfId="5186"/>
    <cellStyle name="Comma (0,00) TBD- 11 105" xfId="5187"/>
    <cellStyle name="Comma (0,00) TBD 11 106" xfId="5188"/>
    <cellStyle name="Comma (0,00) TBD- 11 106" xfId="5189"/>
    <cellStyle name="Comma (0,00) TBD 11 107" xfId="5190"/>
    <cellStyle name="Comma (0,00) TBD- 11 107" xfId="5191"/>
    <cellStyle name="Comma (0,00) TBD 11 108" xfId="5192"/>
    <cellStyle name="Comma (0,00) TBD- 11 108" xfId="5193"/>
    <cellStyle name="Comma (0,00) TBD 11 109" xfId="5194"/>
    <cellStyle name="Comma (0,00) TBD- 11 109" xfId="5195"/>
    <cellStyle name="Comma (0,00) TBD 11 11" xfId="5196"/>
    <cellStyle name="Comma (0,00) TBD- 11 11" xfId="5197"/>
    <cellStyle name="Comma (0,00) TBD 11 110" xfId="5198"/>
    <cellStyle name="Comma (0,00) TBD- 11 110" xfId="5199"/>
    <cellStyle name="Comma (0,00) TBD 11 111" xfId="5200"/>
    <cellStyle name="Comma (0,00) TBD- 11 111" xfId="5201"/>
    <cellStyle name="Comma (0,00) TBD 11 112" xfId="5202"/>
    <cellStyle name="Comma (0,00) TBD- 11 112" xfId="5203"/>
    <cellStyle name="Comma (0,00) TBD 11 113" xfId="5204"/>
    <cellStyle name="Comma (0,00) TBD- 11 113" xfId="5205"/>
    <cellStyle name="Comma (0,00) TBD 11 114" xfId="5206"/>
    <cellStyle name="Comma (0,00) TBD- 11 114" xfId="5207"/>
    <cellStyle name="Comma (0,00) TBD 11 115" xfId="5208"/>
    <cellStyle name="Comma (0,00) TBD- 11 115" xfId="5209"/>
    <cellStyle name="Comma (0,00) TBD 11 116" xfId="5210"/>
    <cellStyle name="Comma (0,00) TBD- 11 116" xfId="5211"/>
    <cellStyle name="Comma (0,00) TBD 11 117" xfId="5212"/>
    <cellStyle name="Comma (0,00) TBD- 11 117" xfId="5213"/>
    <cellStyle name="Comma (0,00) TBD 11 118" xfId="5214"/>
    <cellStyle name="Comma (0,00) TBD- 11 118" xfId="5215"/>
    <cellStyle name="Comma (0,00) TBD 11 119" xfId="5216"/>
    <cellStyle name="Comma (0,00) TBD- 11 119" xfId="5217"/>
    <cellStyle name="Comma (0,00) TBD 11 12" xfId="5218"/>
    <cellStyle name="Comma (0,00) TBD- 11 12" xfId="5219"/>
    <cellStyle name="Comma (0,00) TBD 11 120" xfId="5220"/>
    <cellStyle name="Comma (0,00) TBD- 11 120" xfId="5221"/>
    <cellStyle name="Comma (0,00) TBD 11 121" xfId="5222"/>
    <cellStyle name="Comma (0,00) TBD- 11 121" xfId="5223"/>
    <cellStyle name="Comma (0,00) TBD 11 122" xfId="5224"/>
    <cellStyle name="Comma (0,00) TBD- 11 122" xfId="5225"/>
    <cellStyle name="Comma (0,00) TBD 11 123" xfId="5226"/>
    <cellStyle name="Comma (0,00) TBD- 11 123" xfId="5227"/>
    <cellStyle name="Comma (0,00) TBD 11 124" xfId="5228"/>
    <cellStyle name="Comma (0,00) TBD- 11 124" xfId="5229"/>
    <cellStyle name="Comma (0,00) TBD 11 125" xfId="5230"/>
    <cellStyle name="Comma (0,00) TBD- 11 125" xfId="5231"/>
    <cellStyle name="Comma (0,00) TBD 11 126" xfId="5232"/>
    <cellStyle name="Comma (0,00) TBD- 11 126" xfId="5233"/>
    <cellStyle name="Comma (0,00) TBD 11 127" xfId="5234"/>
    <cellStyle name="Comma (0,00) TBD- 11 127" xfId="5235"/>
    <cellStyle name="Comma (0,00) TBD 11 128" xfId="5236"/>
    <cellStyle name="Comma (0,00) TBD- 11 128" xfId="5237"/>
    <cellStyle name="Comma (0,00) TBD 11 129" xfId="5238"/>
    <cellStyle name="Comma (0,00) TBD- 11 129" xfId="5239"/>
    <cellStyle name="Comma (0,00) TBD 11 13" xfId="5240"/>
    <cellStyle name="Comma (0,00) TBD- 11 13" xfId="5241"/>
    <cellStyle name="Comma (0,00) TBD 11 130" xfId="5242"/>
    <cellStyle name="Comma (0,00) TBD- 11 130" xfId="5243"/>
    <cellStyle name="Comma (0,00) TBD 11 131" xfId="5244"/>
    <cellStyle name="Comma (0,00) TBD- 11 131" xfId="5245"/>
    <cellStyle name="Comma (0,00) TBD 11 132" xfId="5246"/>
    <cellStyle name="Comma (0,00) TBD- 11 132" xfId="5247"/>
    <cellStyle name="Comma (0,00) TBD 11 133" xfId="5248"/>
    <cellStyle name="Comma (0,00) TBD- 11 133" xfId="5249"/>
    <cellStyle name="Comma (0,00) TBD 11 134" xfId="5250"/>
    <cellStyle name="Comma (0,00) TBD- 11 134" xfId="5251"/>
    <cellStyle name="Comma (0,00) TBD 11 135" xfId="5252"/>
    <cellStyle name="Comma (0,00) TBD- 11 135" xfId="5253"/>
    <cellStyle name="Comma (0,00) TBD 11 136" xfId="5254"/>
    <cellStyle name="Comma (0,00) TBD- 11 136" xfId="5255"/>
    <cellStyle name="Comma (0,00) TBD 11 137" xfId="5256"/>
    <cellStyle name="Comma (0,00) TBD- 11 137" xfId="5257"/>
    <cellStyle name="Comma (0,00) TBD 11 138" xfId="5258"/>
    <cellStyle name="Comma (0,00) TBD- 11 138" xfId="5259"/>
    <cellStyle name="Comma (0,00) TBD 11 139" xfId="5260"/>
    <cellStyle name="Comma (0,00) TBD- 11 139" xfId="5261"/>
    <cellStyle name="Comma (0,00) TBD 11 14" xfId="5262"/>
    <cellStyle name="Comma (0,00) TBD- 11 14" xfId="5263"/>
    <cellStyle name="Comma (0,00) TBD 11 140" xfId="5264"/>
    <cellStyle name="Comma (0,00) TBD- 11 140" xfId="5265"/>
    <cellStyle name="Comma (0,00) TBD 11 141" xfId="5266"/>
    <cellStyle name="Comma (0,00) TBD- 11 141" xfId="5267"/>
    <cellStyle name="Comma (0,00) TBD 11 142" xfId="5268"/>
    <cellStyle name="Comma (0,00) TBD- 11 142" xfId="5269"/>
    <cellStyle name="Comma (0,00) TBD 11 143" xfId="5270"/>
    <cellStyle name="Comma (0,00) TBD- 11 143" xfId="5271"/>
    <cellStyle name="Comma (0,00) TBD 11 144" xfId="5272"/>
    <cellStyle name="Comma (0,00) TBD- 11 144" xfId="5273"/>
    <cellStyle name="Comma (0,00) TBD 11 145" xfId="5274"/>
    <cellStyle name="Comma (0,00) TBD- 11 145" xfId="5275"/>
    <cellStyle name="Comma (0,00) TBD 11 146" xfId="5276"/>
    <cellStyle name="Comma (0,00) TBD- 11 146" xfId="5277"/>
    <cellStyle name="Comma (0,00) TBD 11 147" xfId="5278"/>
    <cellStyle name="Comma (0,00) TBD- 11 147" xfId="5279"/>
    <cellStyle name="Comma (0,00) TBD 11 148" xfId="5280"/>
    <cellStyle name="Comma (0,00) TBD- 11 148" xfId="5281"/>
    <cellStyle name="Comma (0,00) TBD 11 149" xfId="5282"/>
    <cellStyle name="Comma (0,00) TBD- 11 149" xfId="5283"/>
    <cellStyle name="Comma (0,00) TBD 11 15" xfId="5284"/>
    <cellStyle name="Comma (0,00) TBD- 11 15" xfId="5285"/>
    <cellStyle name="Comma (0,00) TBD 11 150" xfId="5286"/>
    <cellStyle name="Comma (0,00) TBD- 11 150" xfId="5287"/>
    <cellStyle name="Comma (0,00) TBD 11 151" xfId="5288"/>
    <cellStyle name="Comma (0,00) TBD- 11 151" xfId="5289"/>
    <cellStyle name="Comma (0,00) TBD 11 152" xfId="5290"/>
    <cellStyle name="Comma (0,00) TBD- 11 152" xfId="5291"/>
    <cellStyle name="Comma (0,00) TBD 11 153" xfId="5292"/>
    <cellStyle name="Comma (0,00) TBD- 11 153" xfId="5293"/>
    <cellStyle name="Comma (0,00) TBD 11 16" xfId="5294"/>
    <cellStyle name="Comma (0,00) TBD- 11 16" xfId="5295"/>
    <cellStyle name="Comma (0,00) TBD 11 17" xfId="5296"/>
    <cellStyle name="Comma (0,00) TBD- 11 17" xfId="5297"/>
    <cellStyle name="Comma (0,00) TBD 11 18" xfId="5298"/>
    <cellStyle name="Comma (0,00) TBD- 11 18" xfId="5299"/>
    <cellStyle name="Comma (0,00) TBD 11 19" xfId="5300"/>
    <cellStyle name="Comma (0,00) TBD- 11 19" xfId="5301"/>
    <cellStyle name="Comma (0,00) TBD 11 2" xfId="5302"/>
    <cellStyle name="Comma (0,00) TBD- 11 2" xfId="5303"/>
    <cellStyle name="Comma (0,00) TBD 11 20" xfId="5304"/>
    <cellStyle name="Comma (0,00) TBD- 11 20" xfId="5305"/>
    <cellStyle name="Comma (0,00) TBD 11 21" xfId="5306"/>
    <cellStyle name="Comma (0,00) TBD- 11 21" xfId="5307"/>
    <cellStyle name="Comma (0,00) TBD 11 22" xfId="5308"/>
    <cellStyle name="Comma (0,00) TBD- 11 22" xfId="5309"/>
    <cellStyle name="Comma (0,00) TBD 11 23" xfId="5310"/>
    <cellStyle name="Comma (0,00) TBD- 11 23" xfId="5311"/>
    <cellStyle name="Comma (0,00) TBD 11 24" xfId="5312"/>
    <cellStyle name="Comma (0,00) TBD- 11 24" xfId="5313"/>
    <cellStyle name="Comma (0,00) TBD 11 25" xfId="5314"/>
    <cellStyle name="Comma (0,00) TBD- 11 25" xfId="5315"/>
    <cellStyle name="Comma (0,00) TBD 11 26" xfId="5316"/>
    <cellStyle name="Comma (0,00) TBD- 11 26" xfId="5317"/>
    <cellStyle name="Comma (0,00) TBD 11 27" xfId="5318"/>
    <cellStyle name="Comma (0,00) TBD- 11 27" xfId="5319"/>
    <cellStyle name="Comma (0,00) TBD 11 28" xfId="5320"/>
    <cellStyle name="Comma (0,00) TBD- 11 28" xfId="5321"/>
    <cellStyle name="Comma (0,00) TBD 11 29" xfId="5322"/>
    <cellStyle name="Comma (0,00) TBD- 11 29" xfId="5323"/>
    <cellStyle name="Comma (0,00) TBD 11 3" xfId="5324"/>
    <cellStyle name="Comma (0,00) TBD- 11 3" xfId="5325"/>
    <cellStyle name="Comma (0,00) TBD 11 30" xfId="5326"/>
    <cellStyle name="Comma (0,00) TBD- 11 30" xfId="5327"/>
    <cellStyle name="Comma (0,00) TBD 11 31" xfId="5328"/>
    <cellStyle name="Comma (0,00) TBD- 11 31" xfId="5329"/>
    <cellStyle name="Comma (0,00) TBD 11 32" xfId="5330"/>
    <cellStyle name="Comma (0,00) TBD- 11 32" xfId="5331"/>
    <cellStyle name="Comma (0,00) TBD 11 33" xfId="5332"/>
    <cellStyle name="Comma (0,00) TBD- 11 33" xfId="5333"/>
    <cellStyle name="Comma (0,00) TBD 11 34" xfId="5334"/>
    <cellStyle name="Comma (0,00) TBD- 11 34" xfId="5335"/>
    <cellStyle name="Comma (0,00) TBD 11 35" xfId="5336"/>
    <cellStyle name="Comma (0,00) TBD- 11 35" xfId="5337"/>
    <cellStyle name="Comma (0,00) TBD 11 36" xfId="5338"/>
    <cellStyle name="Comma (0,00) TBD- 11 36" xfId="5339"/>
    <cellStyle name="Comma (0,00) TBD 11 37" xfId="5340"/>
    <cellStyle name="Comma (0,00) TBD- 11 37" xfId="5341"/>
    <cellStyle name="Comma (0,00) TBD 11 38" xfId="5342"/>
    <cellStyle name="Comma (0,00) TBD- 11 38" xfId="5343"/>
    <cellStyle name="Comma (0,00) TBD 11 39" xfId="5344"/>
    <cellStyle name="Comma (0,00) TBD- 11 39" xfId="5345"/>
    <cellStyle name="Comma (0,00) TBD 11 4" xfId="5346"/>
    <cellStyle name="Comma (0,00) TBD- 11 4" xfId="5347"/>
    <cellStyle name="Comma (0,00) TBD 11 40" xfId="5348"/>
    <cellStyle name="Comma (0,00) TBD- 11 40" xfId="5349"/>
    <cellStyle name="Comma (0,00) TBD 11 41" xfId="5350"/>
    <cellStyle name="Comma (0,00) TBD- 11 41" xfId="5351"/>
    <cellStyle name="Comma (0,00) TBD 11 42" xfId="5352"/>
    <cellStyle name="Comma (0,00) TBD- 11 42" xfId="5353"/>
    <cellStyle name="Comma (0,00) TBD 11 43" xfId="5354"/>
    <cellStyle name="Comma (0,00) TBD- 11 43" xfId="5355"/>
    <cellStyle name="Comma (0,00) TBD 11 44" xfId="5356"/>
    <cellStyle name="Comma (0,00) TBD- 11 44" xfId="5357"/>
    <cellStyle name="Comma (0,00) TBD 11 45" xfId="5358"/>
    <cellStyle name="Comma (0,00) TBD- 11 45" xfId="5359"/>
    <cellStyle name="Comma (0,00) TBD 11 46" xfId="5360"/>
    <cellStyle name="Comma (0,00) TBD- 11 46" xfId="5361"/>
    <cellStyle name="Comma (0,00) TBD 11 47" xfId="5362"/>
    <cellStyle name="Comma (0,00) TBD- 11 47" xfId="5363"/>
    <cellStyle name="Comma (0,00) TBD 11 48" xfId="5364"/>
    <cellStyle name="Comma (0,00) TBD- 11 48" xfId="5365"/>
    <cellStyle name="Comma (0,00) TBD 11 49" xfId="5366"/>
    <cellStyle name="Comma (0,00) TBD- 11 49" xfId="5367"/>
    <cellStyle name="Comma (0,00) TBD 11 5" xfId="5368"/>
    <cellStyle name="Comma (0,00) TBD- 11 5" xfId="5369"/>
    <cellStyle name="Comma (0,00) TBD 11 50" xfId="5370"/>
    <cellStyle name="Comma (0,00) TBD- 11 50" xfId="5371"/>
    <cellStyle name="Comma (0,00) TBD 11 51" xfId="5372"/>
    <cellStyle name="Comma (0,00) TBD- 11 51" xfId="5373"/>
    <cellStyle name="Comma (0,00) TBD 11 52" xfId="5374"/>
    <cellStyle name="Comma (0,00) TBD- 11 52" xfId="5375"/>
    <cellStyle name="Comma (0,00) TBD 11 53" xfId="5376"/>
    <cellStyle name="Comma (0,00) TBD- 11 53" xfId="5377"/>
    <cellStyle name="Comma (0,00) TBD 11 54" xfId="5378"/>
    <cellStyle name="Comma (0,00) TBD- 11 54" xfId="5379"/>
    <cellStyle name="Comma (0,00) TBD 11 55" xfId="5380"/>
    <cellStyle name="Comma (0,00) TBD- 11 55" xfId="5381"/>
    <cellStyle name="Comma (0,00) TBD 11 56" xfId="5382"/>
    <cellStyle name="Comma (0,00) TBD- 11 56" xfId="5383"/>
    <cellStyle name="Comma (0,00) TBD 11 57" xfId="5384"/>
    <cellStyle name="Comma (0,00) TBD- 11 57" xfId="5385"/>
    <cellStyle name="Comma (0,00) TBD 11 58" xfId="5386"/>
    <cellStyle name="Comma (0,00) TBD- 11 58" xfId="5387"/>
    <cellStyle name="Comma (0,00) TBD 11 59" xfId="5388"/>
    <cellStyle name="Comma (0,00) TBD- 11 59" xfId="5389"/>
    <cellStyle name="Comma (0,00) TBD 11 6" xfId="5390"/>
    <cellStyle name="Comma (0,00) TBD- 11 6" xfId="5391"/>
    <cellStyle name="Comma (0,00) TBD 11 60" xfId="5392"/>
    <cellStyle name="Comma (0,00) TBD- 11 60" xfId="5393"/>
    <cellStyle name="Comma (0,00) TBD 11 61" xfId="5394"/>
    <cellStyle name="Comma (0,00) TBD- 11 61" xfId="5395"/>
    <cellStyle name="Comma (0,00) TBD 11 62" xfId="5396"/>
    <cellStyle name="Comma (0,00) TBD- 11 62" xfId="5397"/>
    <cellStyle name="Comma (0,00) TBD 11 63" xfId="5398"/>
    <cellStyle name="Comma (0,00) TBD- 11 63" xfId="5399"/>
    <cellStyle name="Comma (0,00) TBD 11 64" xfId="5400"/>
    <cellStyle name="Comma (0,00) TBD- 11 64" xfId="5401"/>
    <cellStyle name="Comma (0,00) TBD 11 65" xfId="5402"/>
    <cellStyle name="Comma (0,00) TBD- 11 65" xfId="5403"/>
    <cellStyle name="Comma (0,00) TBD 11 66" xfId="5404"/>
    <cellStyle name="Comma (0,00) TBD- 11 66" xfId="5405"/>
    <cellStyle name="Comma (0,00) TBD 11 67" xfId="5406"/>
    <cellStyle name="Comma (0,00) TBD- 11 67" xfId="5407"/>
    <cellStyle name="Comma (0,00) TBD 11 68" xfId="5408"/>
    <cellStyle name="Comma (0,00) TBD- 11 68" xfId="5409"/>
    <cellStyle name="Comma (0,00) TBD 11 69" xfId="5410"/>
    <cellStyle name="Comma (0,00) TBD- 11 69" xfId="5411"/>
    <cellStyle name="Comma (0,00) TBD 11 7" xfId="5412"/>
    <cellStyle name="Comma (0,00) TBD- 11 7" xfId="5413"/>
    <cellStyle name="Comma (0,00) TBD 11 70" xfId="5414"/>
    <cellStyle name="Comma (0,00) TBD- 11 70" xfId="5415"/>
    <cellStyle name="Comma (0,00) TBD 11 71" xfId="5416"/>
    <cellStyle name="Comma (0,00) TBD- 11 71" xfId="5417"/>
    <cellStyle name="Comma (0,00) TBD 11 72" xfId="5418"/>
    <cellStyle name="Comma (0,00) TBD- 11 72" xfId="5419"/>
    <cellStyle name="Comma (0,00) TBD 11 73" xfId="5420"/>
    <cellStyle name="Comma (0,00) TBD- 11 73" xfId="5421"/>
    <cellStyle name="Comma (0,00) TBD 11 74" xfId="5422"/>
    <cellStyle name="Comma (0,00) TBD- 11 74" xfId="5423"/>
    <cellStyle name="Comma (0,00) TBD 11 75" xfId="5424"/>
    <cellStyle name="Comma (0,00) TBD- 11 75" xfId="5425"/>
    <cellStyle name="Comma (0,00) TBD 11 76" xfId="5426"/>
    <cellStyle name="Comma (0,00) TBD- 11 76" xfId="5427"/>
    <cellStyle name="Comma (0,00) TBD 11 77" xfId="5428"/>
    <cellStyle name="Comma (0,00) TBD- 11 77" xfId="5429"/>
    <cellStyle name="Comma (0,00) TBD 11 78" xfId="5430"/>
    <cellStyle name="Comma (0,00) TBD- 11 78" xfId="5431"/>
    <cellStyle name="Comma (0,00) TBD 11 79" xfId="5432"/>
    <cellStyle name="Comma (0,00) TBD- 11 79" xfId="5433"/>
    <cellStyle name="Comma (0,00) TBD 11 8" xfId="5434"/>
    <cellStyle name="Comma (0,00) TBD- 11 8" xfId="5435"/>
    <cellStyle name="Comma (0,00) TBD 11 80" xfId="5436"/>
    <cellStyle name="Comma (0,00) TBD- 11 80" xfId="5437"/>
    <cellStyle name="Comma (0,00) TBD 11 81" xfId="5438"/>
    <cellStyle name="Comma (0,00) TBD- 11 81" xfId="5439"/>
    <cellStyle name="Comma (0,00) TBD 11 82" xfId="5440"/>
    <cellStyle name="Comma (0,00) TBD- 11 82" xfId="5441"/>
    <cellStyle name="Comma (0,00) TBD 11 83" xfId="5442"/>
    <cellStyle name="Comma (0,00) TBD- 11 83" xfId="5443"/>
    <cellStyle name="Comma (0,00) TBD 11 84" xfId="5444"/>
    <cellStyle name="Comma (0,00) TBD- 11 84" xfId="5445"/>
    <cellStyle name="Comma (0,00) TBD 11 85" xfId="5446"/>
    <cellStyle name="Comma (0,00) TBD- 11 85" xfId="5447"/>
    <cellStyle name="Comma (0,00) TBD 11 86" xfId="5448"/>
    <cellStyle name="Comma (0,00) TBD- 11 86" xfId="5449"/>
    <cellStyle name="Comma (0,00) TBD 11 87" xfId="5450"/>
    <cellStyle name="Comma (0,00) TBD- 11 87" xfId="5451"/>
    <cellStyle name="Comma (0,00) TBD 11 88" xfId="5452"/>
    <cellStyle name="Comma (0,00) TBD- 11 88" xfId="5453"/>
    <cellStyle name="Comma (0,00) TBD 11 89" xfId="5454"/>
    <cellStyle name="Comma (0,00) TBD- 11 89" xfId="5455"/>
    <cellStyle name="Comma (0,00) TBD 11 9" xfId="5456"/>
    <cellStyle name="Comma (0,00) TBD- 11 9" xfId="5457"/>
    <cellStyle name="Comma (0,00) TBD 11 90" xfId="5458"/>
    <cellStyle name="Comma (0,00) TBD- 11 90" xfId="5459"/>
    <cellStyle name="Comma (0,00) TBD 11 91" xfId="5460"/>
    <cellStyle name="Comma (0,00) TBD- 11 91" xfId="5461"/>
    <cellStyle name="Comma (0,00) TBD 11 92" xfId="5462"/>
    <cellStyle name="Comma (0,00) TBD- 11 92" xfId="5463"/>
    <cellStyle name="Comma (0,00) TBD 11 93" xfId="5464"/>
    <cellStyle name="Comma (0,00) TBD- 11 93" xfId="5465"/>
    <cellStyle name="Comma (0,00) TBD 11 94" xfId="5466"/>
    <cellStyle name="Comma (0,00) TBD- 11 94" xfId="5467"/>
    <cellStyle name="Comma (0,00) TBD 11 95" xfId="5468"/>
    <cellStyle name="Comma (0,00) TBD- 11 95" xfId="5469"/>
    <cellStyle name="Comma (0,00) TBD 11 96" xfId="5470"/>
    <cellStyle name="Comma (0,00) TBD- 11 96" xfId="5471"/>
    <cellStyle name="Comma (0,00) TBD 11 97" xfId="5472"/>
    <cellStyle name="Comma (0,00) TBD- 11 97" xfId="5473"/>
    <cellStyle name="Comma (0,00) TBD 11 98" xfId="5474"/>
    <cellStyle name="Comma (0,00) TBD- 11 98" xfId="5475"/>
    <cellStyle name="Comma (0,00) TBD 11 99" xfId="5476"/>
    <cellStyle name="Comma (0,00) TBD- 11 99" xfId="5477"/>
    <cellStyle name="Comma (0,00) TBD 12" xfId="5478"/>
    <cellStyle name="Comma (0,00) TBD- 12" xfId="5479"/>
    <cellStyle name="Comma (0,00) TBD 12 10" xfId="5480"/>
    <cellStyle name="Comma (0,00) TBD- 12 10" xfId="5481"/>
    <cellStyle name="Comma (0,00) TBD 12 100" xfId="5482"/>
    <cellStyle name="Comma (0,00) TBD- 12 100" xfId="5483"/>
    <cellStyle name="Comma (0,00) TBD 12 101" xfId="5484"/>
    <cellStyle name="Comma (0,00) TBD- 12 101" xfId="5485"/>
    <cellStyle name="Comma (0,00) TBD 12 102" xfId="5486"/>
    <cellStyle name="Comma (0,00) TBD- 12 102" xfId="5487"/>
    <cellStyle name="Comma (0,00) TBD 12 103" xfId="5488"/>
    <cellStyle name="Comma (0,00) TBD- 12 103" xfId="5489"/>
    <cellStyle name="Comma (0,00) TBD 12 104" xfId="5490"/>
    <cellStyle name="Comma (0,00) TBD- 12 104" xfId="5491"/>
    <cellStyle name="Comma (0,00) TBD 12 105" xfId="5492"/>
    <cellStyle name="Comma (0,00) TBD- 12 105" xfId="5493"/>
    <cellStyle name="Comma (0,00) TBD 12 106" xfId="5494"/>
    <cellStyle name="Comma (0,00) TBD- 12 106" xfId="5495"/>
    <cellStyle name="Comma (0,00) TBD 12 107" xfId="5496"/>
    <cellStyle name="Comma (0,00) TBD- 12 107" xfId="5497"/>
    <cellStyle name="Comma (0,00) TBD 12 108" xfId="5498"/>
    <cellStyle name="Comma (0,00) TBD- 12 108" xfId="5499"/>
    <cellStyle name="Comma (0,00) TBD 12 109" xfId="5500"/>
    <cellStyle name="Comma (0,00) TBD- 12 109" xfId="5501"/>
    <cellStyle name="Comma (0,00) TBD 12 11" xfId="5502"/>
    <cellStyle name="Comma (0,00) TBD- 12 11" xfId="5503"/>
    <cellStyle name="Comma (0,00) TBD 12 110" xfId="5504"/>
    <cellStyle name="Comma (0,00) TBD- 12 110" xfId="5505"/>
    <cellStyle name="Comma (0,00) TBD 12 111" xfId="5506"/>
    <cellStyle name="Comma (0,00) TBD- 12 111" xfId="5507"/>
    <cellStyle name="Comma (0,00) TBD 12 112" xfId="5508"/>
    <cellStyle name="Comma (0,00) TBD- 12 112" xfId="5509"/>
    <cellStyle name="Comma (0,00) TBD 12 113" xfId="5510"/>
    <cellStyle name="Comma (0,00) TBD- 12 113" xfId="5511"/>
    <cellStyle name="Comma (0,00) TBD 12 114" xfId="5512"/>
    <cellStyle name="Comma (0,00) TBD- 12 114" xfId="5513"/>
    <cellStyle name="Comma (0,00) TBD 12 115" xfId="5514"/>
    <cellStyle name="Comma (0,00) TBD- 12 115" xfId="5515"/>
    <cellStyle name="Comma (0,00) TBD 12 116" xfId="5516"/>
    <cellStyle name="Comma (0,00) TBD- 12 116" xfId="5517"/>
    <cellStyle name="Comma (0,00) TBD 12 117" xfId="5518"/>
    <cellStyle name="Comma (0,00) TBD- 12 117" xfId="5519"/>
    <cellStyle name="Comma (0,00) TBD 12 118" xfId="5520"/>
    <cellStyle name="Comma (0,00) TBD- 12 118" xfId="5521"/>
    <cellStyle name="Comma (0,00) TBD 12 119" xfId="5522"/>
    <cellStyle name="Comma (0,00) TBD- 12 119" xfId="5523"/>
    <cellStyle name="Comma (0,00) TBD 12 12" xfId="5524"/>
    <cellStyle name="Comma (0,00) TBD- 12 12" xfId="5525"/>
    <cellStyle name="Comma (0,00) TBD 12 120" xfId="5526"/>
    <cellStyle name="Comma (0,00) TBD- 12 120" xfId="5527"/>
    <cellStyle name="Comma (0,00) TBD 12 121" xfId="5528"/>
    <cellStyle name="Comma (0,00) TBD- 12 121" xfId="5529"/>
    <cellStyle name="Comma (0,00) TBD 12 122" xfId="5530"/>
    <cellStyle name="Comma (0,00) TBD- 12 122" xfId="5531"/>
    <cellStyle name="Comma (0,00) TBD 12 123" xfId="5532"/>
    <cellStyle name="Comma (0,00) TBD- 12 123" xfId="5533"/>
    <cellStyle name="Comma (0,00) TBD 12 124" xfId="5534"/>
    <cellStyle name="Comma (0,00) TBD- 12 124" xfId="5535"/>
    <cellStyle name="Comma (0,00) TBD 12 125" xfId="5536"/>
    <cellStyle name="Comma (0,00) TBD- 12 125" xfId="5537"/>
    <cellStyle name="Comma (0,00) TBD 12 126" xfId="5538"/>
    <cellStyle name="Comma (0,00) TBD- 12 126" xfId="5539"/>
    <cellStyle name="Comma (0,00) TBD 12 127" xfId="5540"/>
    <cellStyle name="Comma (0,00) TBD- 12 127" xfId="5541"/>
    <cellStyle name="Comma (0,00) TBD 12 128" xfId="5542"/>
    <cellStyle name="Comma (0,00) TBD- 12 128" xfId="5543"/>
    <cellStyle name="Comma (0,00) TBD 12 129" xfId="5544"/>
    <cellStyle name="Comma (0,00) TBD- 12 129" xfId="5545"/>
    <cellStyle name="Comma (0,00) TBD 12 13" xfId="5546"/>
    <cellStyle name="Comma (0,00) TBD- 12 13" xfId="5547"/>
    <cellStyle name="Comma (0,00) TBD 12 130" xfId="5548"/>
    <cellStyle name="Comma (0,00) TBD- 12 130" xfId="5549"/>
    <cellStyle name="Comma (0,00) TBD 12 131" xfId="5550"/>
    <cellStyle name="Comma (0,00) TBD- 12 131" xfId="5551"/>
    <cellStyle name="Comma (0,00) TBD 12 132" xfId="5552"/>
    <cellStyle name="Comma (0,00) TBD- 12 132" xfId="5553"/>
    <cellStyle name="Comma (0,00) TBD 12 133" xfId="5554"/>
    <cellStyle name="Comma (0,00) TBD- 12 133" xfId="5555"/>
    <cellStyle name="Comma (0,00) TBD 12 134" xfId="5556"/>
    <cellStyle name="Comma (0,00) TBD- 12 134" xfId="5557"/>
    <cellStyle name="Comma (0,00) TBD 12 135" xfId="5558"/>
    <cellStyle name="Comma (0,00) TBD- 12 135" xfId="5559"/>
    <cellStyle name="Comma (0,00) TBD 12 136" xfId="5560"/>
    <cellStyle name="Comma (0,00) TBD- 12 136" xfId="5561"/>
    <cellStyle name="Comma (0,00) TBD 12 137" xfId="5562"/>
    <cellStyle name="Comma (0,00) TBD- 12 137" xfId="5563"/>
    <cellStyle name="Comma (0,00) TBD 12 138" xfId="5564"/>
    <cellStyle name="Comma (0,00) TBD- 12 138" xfId="5565"/>
    <cellStyle name="Comma (0,00) TBD 12 139" xfId="5566"/>
    <cellStyle name="Comma (0,00) TBD- 12 139" xfId="5567"/>
    <cellStyle name="Comma (0,00) TBD 12 14" xfId="5568"/>
    <cellStyle name="Comma (0,00) TBD- 12 14" xfId="5569"/>
    <cellStyle name="Comma (0,00) TBD 12 140" xfId="5570"/>
    <cellStyle name="Comma (0,00) TBD- 12 140" xfId="5571"/>
    <cellStyle name="Comma (0,00) TBD 12 141" xfId="5572"/>
    <cellStyle name="Comma (0,00) TBD- 12 141" xfId="5573"/>
    <cellStyle name="Comma (0,00) TBD 12 142" xfId="5574"/>
    <cellStyle name="Comma (0,00) TBD- 12 142" xfId="5575"/>
    <cellStyle name="Comma (0,00) TBD 12 143" xfId="5576"/>
    <cellStyle name="Comma (0,00) TBD- 12 143" xfId="5577"/>
    <cellStyle name="Comma (0,00) TBD 12 144" xfId="5578"/>
    <cellStyle name="Comma (0,00) TBD- 12 144" xfId="5579"/>
    <cellStyle name="Comma (0,00) TBD 12 145" xfId="5580"/>
    <cellStyle name="Comma (0,00) TBD- 12 145" xfId="5581"/>
    <cellStyle name="Comma (0,00) TBD 12 146" xfId="5582"/>
    <cellStyle name="Comma (0,00) TBD- 12 146" xfId="5583"/>
    <cellStyle name="Comma (0,00) TBD 12 147" xfId="5584"/>
    <cellStyle name="Comma (0,00) TBD- 12 147" xfId="5585"/>
    <cellStyle name="Comma (0,00) TBD 12 148" xfId="5586"/>
    <cellStyle name="Comma (0,00) TBD- 12 148" xfId="5587"/>
    <cellStyle name="Comma (0,00) TBD 12 149" xfId="5588"/>
    <cellStyle name="Comma (0,00) TBD- 12 149" xfId="5589"/>
    <cellStyle name="Comma (0,00) TBD 12 15" xfId="5590"/>
    <cellStyle name="Comma (0,00) TBD- 12 15" xfId="5591"/>
    <cellStyle name="Comma (0,00) TBD 12 150" xfId="5592"/>
    <cellStyle name="Comma (0,00) TBD- 12 150" xfId="5593"/>
    <cellStyle name="Comma (0,00) TBD 12 151" xfId="5594"/>
    <cellStyle name="Comma (0,00) TBD- 12 151" xfId="5595"/>
    <cellStyle name="Comma (0,00) TBD 12 152" xfId="5596"/>
    <cellStyle name="Comma (0,00) TBD- 12 152" xfId="5597"/>
    <cellStyle name="Comma (0,00) TBD 12 153" xfId="5598"/>
    <cellStyle name="Comma (0,00) TBD- 12 153" xfId="5599"/>
    <cellStyle name="Comma (0,00) TBD 12 16" xfId="5600"/>
    <cellStyle name="Comma (0,00) TBD- 12 16" xfId="5601"/>
    <cellStyle name="Comma (0,00) TBD 12 17" xfId="5602"/>
    <cellStyle name="Comma (0,00) TBD- 12 17" xfId="5603"/>
    <cellStyle name="Comma (0,00) TBD 12 18" xfId="5604"/>
    <cellStyle name="Comma (0,00) TBD- 12 18" xfId="5605"/>
    <cellStyle name="Comma (0,00) TBD 12 19" xfId="5606"/>
    <cellStyle name="Comma (0,00) TBD- 12 19" xfId="5607"/>
    <cellStyle name="Comma (0,00) TBD 12 2" xfId="5608"/>
    <cellStyle name="Comma (0,00) TBD- 12 2" xfId="5609"/>
    <cellStyle name="Comma (0,00) TBD 12 20" xfId="5610"/>
    <cellStyle name="Comma (0,00) TBD- 12 20" xfId="5611"/>
    <cellStyle name="Comma (0,00) TBD 12 21" xfId="5612"/>
    <cellStyle name="Comma (0,00) TBD- 12 21" xfId="5613"/>
    <cellStyle name="Comma (0,00) TBD 12 22" xfId="5614"/>
    <cellStyle name="Comma (0,00) TBD- 12 22" xfId="5615"/>
    <cellStyle name="Comma (0,00) TBD 12 23" xfId="5616"/>
    <cellStyle name="Comma (0,00) TBD- 12 23" xfId="5617"/>
    <cellStyle name="Comma (0,00) TBD 12 24" xfId="5618"/>
    <cellStyle name="Comma (0,00) TBD- 12 24" xfId="5619"/>
    <cellStyle name="Comma (0,00) TBD 12 25" xfId="5620"/>
    <cellStyle name="Comma (0,00) TBD- 12 25" xfId="5621"/>
    <cellStyle name="Comma (0,00) TBD 12 26" xfId="5622"/>
    <cellStyle name="Comma (0,00) TBD- 12 26" xfId="5623"/>
    <cellStyle name="Comma (0,00) TBD 12 27" xfId="5624"/>
    <cellStyle name="Comma (0,00) TBD- 12 27" xfId="5625"/>
    <cellStyle name="Comma (0,00) TBD 12 28" xfId="5626"/>
    <cellStyle name="Comma (0,00) TBD- 12 28" xfId="5627"/>
    <cellStyle name="Comma (0,00) TBD 12 29" xfId="5628"/>
    <cellStyle name="Comma (0,00) TBD- 12 29" xfId="5629"/>
    <cellStyle name="Comma (0,00) TBD 12 3" xfId="5630"/>
    <cellStyle name="Comma (0,00) TBD- 12 3" xfId="5631"/>
    <cellStyle name="Comma (0,00) TBD 12 30" xfId="5632"/>
    <cellStyle name="Comma (0,00) TBD- 12 30" xfId="5633"/>
    <cellStyle name="Comma (0,00) TBD 12 31" xfId="5634"/>
    <cellStyle name="Comma (0,00) TBD- 12 31" xfId="5635"/>
    <cellStyle name="Comma (0,00) TBD 12 32" xfId="5636"/>
    <cellStyle name="Comma (0,00) TBD- 12 32" xfId="5637"/>
    <cellStyle name="Comma (0,00) TBD 12 33" xfId="5638"/>
    <cellStyle name="Comma (0,00) TBD- 12 33" xfId="5639"/>
    <cellStyle name="Comma (0,00) TBD 12 34" xfId="5640"/>
    <cellStyle name="Comma (0,00) TBD- 12 34" xfId="5641"/>
    <cellStyle name="Comma (0,00) TBD 12 35" xfId="5642"/>
    <cellStyle name="Comma (0,00) TBD- 12 35" xfId="5643"/>
    <cellStyle name="Comma (0,00) TBD 12 36" xfId="5644"/>
    <cellStyle name="Comma (0,00) TBD- 12 36" xfId="5645"/>
    <cellStyle name="Comma (0,00) TBD 12 37" xfId="5646"/>
    <cellStyle name="Comma (0,00) TBD- 12 37" xfId="5647"/>
    <cellStyle name="Comma (0,00) TBD 12 38" xfId="5648"/>
    <cellStyle name="Comma (0,00) TBD- 12 38" xfId="5649"/>
    <cellStyle name="Comma (0,00) TBD 12 39" xfId="5650"/>
    <cellStyle name="Comma (0,00) TBD- 12 39" xfId="5651"/>
    <cellStyle name="Comma (0,00) TBD 12 4" xfId="5652"/>
    <cellStyle name="Comma (0,00) TBD- 12 4" xfId="5653"/>
    <cellStyle name="Comma (0,00) TBD 12 40" xfId="5654"/>
    <cellStyle name="Comma (0,00) TBD- 12 40" xfId="5655"/>
    <cellStyle name="Comma (0,00) TBD 12 41" xfId="5656"/>
    <cellStyle name="Comma (0,00) TBD- 12 41" xfId="5657"/>
    <cellStyle name="Comma (0,00) TBD 12 42" xfId="5658"/>
    <cellStyle name="Comma (0,00) TBD- 12 42" xfId="5659"/>
    <cellStyle name="Comma (0,00) TBD 12 43" xfId="5660"/>
    <cellStyle name="Comma (0,00) TBD- 12 43" xfId="5661"/>
    <cellStyle name="Comma (0,00) TBD 12 44" xfId="5662"/>
    <cellStyle name="Comma (0,00) TBD- 12 44" xfId="5663"/>
    <cellStyle name="Comma (0,00) TBD 12 45" xfId="5664"/>
    <cellStyle name="Comma (0,00) TBD- 12 45" xfId="5665"/>
    <cellStyle name="Comma (0,00) TBD 12 46" xfId="5666"/>
    <cellStyle name="Comma (0,00) TBD- 12 46" xfId="5667"/>
    <cellStyle name="Comma (0,00) TBD 12 47" xfId="5668"/>
    <cellStyle name="Comma (0,00) TBD- 12 47" xfId="5669"/>
    <cellStyle name="Comma (0,00) TBD 12 48" xfId="5670"/>
    <cellStyle name="Comma (0,00) TBD- 12 48" xfId="5671"/>
    <cellStyle name="Comma (0,00) TBD 12 49" xfId="5672"/>
    <cellStyle name="Comma (0,00) TBD- 12 49" xfId="5673"/>
    <cellStyle name="Comma (0,00) TBD 12 5" xfId="5674"/>
    <cellStyle name="Comma (0,00) TBD- 12 5" xfId="5675"/>
    <cellStyle name="Comma (0,00) TBD 12 50" xfId="5676"/>
    <cellStyle name="Comma (0,00) TBD- 12 50" xfId="5677"/>
    <cellStyle name="Comma (0,00) TBD 12 51" xfId="5678"/>
    <cellStyle name="Comma (0,00) TBD- 12 51" xfId="5679"/>
    <cellStyle name="Comma (0,00) TBD 12 52" xfId="5680"/>
    <cellStyle name="Comma (0,00) TBD- 12 52" xfId="5681"/>
    <cellStyle name="Comma (0,00) TBD 12 53" xfId="5682"/>
    <cellStyle name="Comma (0,00) TBD- 12 53" xfId="5683"/>
    <cellStyle name="Comma (0,00) TBD 12 54" xfId="5684"/>
    <cellStyle name="Comma (0,00) TBD- 12 54" xfId="5685"/>
    <cellStyle name="Comma (0,00) TBD 12 55" xfId="5686"/>
    <cellStyle name="Comma (0,00) TBD- 12 55" xfId="5687"/>
    <cellStyle name="Comma (0,00) TBD 12 56" xfId="5688"/>
    <cellStyle name="Comma (0,00) TBD- 12 56" xfId="5689"/>
    <cellStyle name="Comma (0,00) TBD 12 57" xfId="5690"/>
    <cellStyle name="Comma (0,00) TBD- 12 57" xfId="5691"/>
    <cellStyle name="Comma (0,00) TBD 12 58" xfId="5692"/>
    <cellStyle name="Comma (0,00) TBD- 12 58" xfId="5693"/>
    <cellStyle name="Comma (0,00) TBD 12 59" xfId="5694"/>
    <cellStyle name="Comma (0,00) TBD- 12 59" xfId="5695"/>
    <cellStyle name="Comma (0,00) TBD 12 6" xfId="5696"/>
    <cellStyle name="Comma (0,00) TBD- 12 6" xfId="5697"/>
    <cellStyle name="Comma (0,00) TBD 12 60" xfId="5698"/>
    <cellStyle name="Comma (0,00) TBD- 12 60" xfId="5699"/>
    <cellStyle name="Comma (0,00) TBD 12 61" xfId="5700"/>
    <cellStyle name="Comma (0,00) TBD- 12 61" xfId="5701"/>
    <cellStyle name="Comma (0,00) TBD 12 62" xfId="5702"/>
    <cellStyle name="Comma (0,00) TBD- 12 62" xfId="5703"/>
    <cellStyle name="Comma (0,00) TBD 12 63" xfId="5704"/>
    <cellStyle name="Comma (0,00) TBD- 12 63" xfId="5705"/>
    <cellStyle name="Comma (0,00) TBD 12 64" xfId="5706"/>
    <cellStyle name="Comma (0,00) TBD- 12 64" xfId="5707"/>
    <cellStyle name="Comma (0,00) TBD 12 65" xfId="5708"/>
    <cellStyle name="Comma (0,00) TBD- 12 65" xfId="5709"/>
    <cellStyle name="Comma (0,00) TBD 12 66" xfId="5710"/>
    <cellStyle name="Comma (0,00) TBD- 12 66" xfId="5711"/>
    <cellStyle name="Comma (0,00) TBD 12 67" xfId="5712"/>
    <cellStyle name="Comma (0,00) TBD- 12 67" xfId="5713"/>
    <cellStyle name="Comma (0,00) TBD 12 68" xfId="5714"/>
    <cellStyle name="Comma (0,00) TBD- 12 68" xfId="5715"/>
    <cellStyle name="Comma (0,00) TBD 12 69" xfId="5716"/>
    <cellStyle name="Comma (0,00) TBD- 12 69" xfId="5717"/>
    <cellStyle name="Comma (0,00) TBD 12 7" xfId="5718"/>
    <cellStyle name="Comma (0,00) TBD- 12 7" xfId="5719"/>
    <cellStyle name="Comma (0,00) TBD 12 70" xfId="5720"/>
    <cellStyle name="Comma (0,00) TBD- 12 70" xfId="5721"/>
    <cellStyle name="Comma (0,00) TBD 12 71" xfId="5722"/>
    <cellStyle name="Comma (0,00) TBD- 12 71" xfId="5723"/>
    <cellStyle name="Comma (0,00) TBD 12 72" xfId="5724"/>
    <cellStyle name="Comma (0,00) TBD- 12 72" xfId="5725"/>
    <cellStyle name="Comma (0,00) TBD 12 73" xfId="5726"/>
    <cellStyle name="Comma (0,00) TBD- 12 73" xfId="5727"/>
    <cellStyle name="Comma (0,00) TBD 12 74" xfId="5728"/>
    <cellStyle name="Comma (0,00) TBD- 12 74" xfId="5729"/>
    <cellStyle name="Comma (0,00) TBD 12 75" xfId="5730"/>
    <cellStyle name="Comma (0,00) TBD- 12 75" xfId="5731"/>
    <cellStyle name="Comma (0,00) TBD 12 76" xfId="5732"/>
    <cellStyle name="Comma (0,00) TBD- 12 76" xfId="5733"/>
    <cellStyle name="Comma (0,00) TBD 12 77" xfId="5734"/>
    <cellStyle name="Comma (0,00) TBD- 12 77" xfId="5735"/>
    <cellStyle name="Comma (0,00) TBD 12 78" xfId="5736"/>
    <cellStyle name="Comma (0,00) TBD- 12 78" xfId="5737"/>
    <cellStyle name="Comma (0,00) TBD 12 79" xfId="5738"/>
    <cellStyle name="Comma (0,00) TBD- 12 79" xfId="5739"/>
    <cellStyle name="Comma (0,00) TBD 12 8" xfId="5740"/>
    <cellStyle name="Comma (0,00) TBD- 12 8" xfId="5741"/>
    <cellStyle name="Comma (0,00) TBD 12 80" xfId="5742"/>
    <cellStyle name="Comma (0,00) TBD- 12 80" xfId="5743"/>
    <cellStyle name="Comma (0,00) TBD 12 81" xfId="5744"/>
    <cellStyle name="Comma (0,00) TBD- 12 81" xfId="5745"/>
    <cellStyle name="Comma (0,00) TBD 12 82" xfId="5746"/>
    <cellStyle name="Comma (0,00) TBD- 12 82" xfId="5747"/>
    <cellStyle name="Comma (0,00) TBD 12 83" xfId="5748"/>
    <cellStyle name="Comma (0,00) TBD- 12 83" xfId="5749"/>
    <cellStyle name="Comma (0,00) TBD 12 84" xfId="5750"/>
    <cellStyle name="Comma (0,00) TBD- 12 84" xfId="5751"/>
    <cellStyle name="Comma (0,00) TBD 12 85" xfId="5752"/>
    <cellStyle name="Comma (0,00) TBD- 12 85" xfId="5753"/>
    <cellStyle name="Comma (0,00) TBD 12 86" xfId="5754"/>
    <cellStyle name="Comma (0,00) TBD- 12 86" xfId="5755"/>
    <cellStyle name="Comma (0,00) TBD 12 87" xfId="5756"/>
    <cellStyle name="Comma (0,00) TBD- 12 87" xfId="5757"/>
    <cellStyle name="Comma (0,00) TBD 12 88" xfId="5758"/>
    <cellStyle name="Comma (0,00) TBD- 12 88" xfId="5759"/>
    <cellStyle name="Comma (0,00) TBD 12 89" xfId="5760"/>
    <cellStyle name="Comma (0,00) TBD- 12 89" xfId="5761"/>
    <cellStyle name="Comma (0,00) TBD 12 9" xfId="5762"/>
    <cellStyle name="Comma (0,00) TBD- 12 9" xfId="5763"/>
    <cellStyle name="Comma (0,00) TBD 12 90" xfId="5764"/>
    <cellStyle name="Comma (0,00) TBD- 12 90" xfId="5765"/>
    <cellStyle name="Comma (0,00) TBD 12 91" xfId="5766"/>
    <cellStyle name="Comma (0,00) TBD- 12 91" xfId="5767"/>
    <cellStyle name="Comma (0,00) TBD 12 92" xfId="5768"/>
    <cellStyle name="Comma (0,00) TBD- 12 92" xfId="5769"/>
    <cellStyle name="Comma (0,00) TBD 12 93" xfId="5770"/>
    <cellStyle name="Comma (0,00) TBD- 12 93" xfId="5771"/>
    <cellStyle name="Comma (0,00) TBD 12 94" xfId="5772"/>
    <cellStyle name="Comma (0,00) TBD- 12 94" xfId="5773"/>
    <cellStyle name="Comma (0,00) TBD 12 95" xfId="5774"/>
    <cellStyle name="Comma (0,00) TBD- 12 95" xfId="5775"/>
    <cellStyle name="Comma (0,00) TBD 12 96" xfId="5776"/>
    <cellStyle name="Comma (0,00) TBD- 12 96" xfId="5777"/>
    <cellStyle name="Comma (0,00) TBD 12 97" xfId="5778"/>
    <cellStyle name="Comma (0,00) TBD- 12 97" xfId="5779"/>
    <cellStyle name="Comma (0,00) TBD 12 98" xfId="5780"/>
    <cellStyle name="Comma (0,00) TBD- 12 98" xfId="5781"/>
    <cellStyle name="Comma (0,00) TBD 12 99" xfId="5782"/>
    <cellStyle name="Comma (0,00) TBD- 12 99" xfId="5783"/>
    <cellStyle name="Comma (0,00) TBD 13" xfId="5784"/>
    <cellStyle name="Comma (0,00) TBD- 13" xfId="5785"/>
    <cellStyle name="Comma (0,00) TBD 13 10" xfId="5786"/>
    <cellStyle name="Comma (0,00) TBD- 13 10" xfId="5787"/>
    <cellStyle name="Comma (0,00) TBD 13 100" xfId="5788"/>
    <cellStyle name="Comma (0,00) TBD- 13 100" xfId="5789"/>
    <cellStyle name="Comma (0,00) TBD 13 101" xfId="5790"/>
    <cellStyle name="Comma (0,00) TBD- 13 101" xfId="5791"/>
    <cellStyle name="Comma (0,00) TBD 13 102" xfId="5792"/>
    <cellStyle name="Comma (0,00) TBD- 13 102" xfId="5793"/>
    <cellStyle name="Comma (0,00) TBD 13 103" xfId="5794"/>
    <cellStyle name="Comma (0,00) TBD- 13 103" xfId="5795"/>
    <cellStyle name="Comma (0,00) TBD 13 104" xfId="5796"/>
    <cellStyle name="Comma (0,00) TBD- 13 104" xfId="5797"/>
    <cellStyle name="Comma (0,00) TBD 13 105" xfId="5798"/>
    <cellStyle name="Comma (0,00) TBD- 13 105" xfId="5799"/>
    <cellStyle name="Comma (0,00) TBD 13 106" xfId="5800"/>
    <cellStyle name="Comma (0,00) TBD- 13 106" xfId="5801"/>
    <cellStyle name="Comma (0,00) TBD 13 107" xfId="5802"/>
    <cellStyle name="Comma (0,00) TBD- 13 107" xfId="5803"/>
    <cellStyle name="Comma (0,00) TBD 13 108" xfId="5804"/>
    <cellStyle name="Comma (0,00) TBD- 13 108" xfId="5805"/>
    <cellStyle name="Comma (0,00) TBD 13 109" xfId="5806"/>
    <cellStyle name="Comma (0,00) TBD- 13 109" xfId="5807"/>
    <cellStyle name="Comma (0,00) TBD 13 11" xfId="5808"/>
    <cellStyle name="Comma (0,00) TBD- 13 11" xfId="5809"/>
    <cellStyle name="Comma (0,00) TBD 13 110" xfId="5810"/>
    <cellStyle name="Comma (0,00) TBD- 13 110" xfId="5811"/>
    <cellStyle name="Comma (0,00) TBD 13 111" xfId="5812"/>
    <cellStyle name="Comma (0,00) TBD- 13 111" xfId="5813"/>
    <cellStyle name="Comma (0,00) TBD 13 112" xfId="5814"/>
    <cellStyle name="Comma (0,00) TBD- 13 112" xfId="5815"/>
    <cellStyle name="Comma (0,00) TBD 13 113" xfId="5816"/>
    <cellStyle name="Comma (0,00) TBD- 13 113" xfId="5817"/>
    <cellStyle name="Comma (0,00) TBD 13 114" xfId="5818"/>
    <cellStyle name="Comma (0,00) TBD- 13 114" xfId="5819"/>
    <cellStyle name="Comma (0,00) TBD 13 115" xfId="5820"/>
    <cellStyle name="Comma (0,00) TBD- 13 115" xfId="5821"/>
    <cellStyle name="Comma (0,00) TBD 13 116" xfId="5822"/>
    <cellStyle name="Comma (0,00) TBD- 13 116" xfId="5823"/>
    <cellStyle name="Comma (0,00) TBD 13 117" xfId="5824"/>
    <cellStyle name="Comma (0,00) TBD- 13 117" xfId="5825"/>
    <cellStyle name="Comma (0,00) TBD 13 118" xfId="5826"/>
    <cellStyle name="Comma (0,00) TBD- 13 118" xfId="5827"/>
    <cellStyle name="Comma (0,00) TBD 13 119" xfId="5828"/>
    <cellStyle name="Comma (0,00) TBD- 13 119" xfId="5829"/>
    <cellStyle name="Comma (0,00) TBD 13 12" xfId="5830"/>
    <cellStyle name="Comma (0,00) TBD- 13 12" xfId="5831"/>
    <cellStyle name="Comma (0,00) TBD 13 120" xfId="5832"/>
    <cellStyle name="Comma (0,00) TBD- 13 120" xfId="5833"/>
    <cellStyle name="Comma (0,00) TBD 13 121" xfId="5834"/>
    <cellStyle name="Comma (0,00) TBD- 13 121" xfId="5835"/>
    <cellStyle name="Comma (0,00) TBD 13 122" xfId="5836"/>
    <cellStyle name="Comma (0,00) TBD- 13 122" xfId="5837"/>
    <cellStyle name="Comma (0,00) TBD 13 123" xfId="5838"/>
    <cellStyle name="Comma (0,00) TBD- 13 123" xfId="5839"/>
    <cellStyle name="Comma (0,00) TBD 13 124" xfId="5840"/>
    <cellStyle name="Comma (0,00) TBD- 13 124" xfId="5841"/>
    <cellStyle name="Comma (0,00) TBD 13 125" xfId="5842"/>
    <cellStyle name="Comma (0,00) TBD- 13 125" xfId="5843"/>
    <cellStyle name="Comma (0,00) TBD 13 126" xfId="5844"/>
    <cellStyle name="Comma (0,00) TBD- 13 126" xfId="5845"/>
    <cellStyle name="Comma (0,00) TBD 13 127" xfId="5846"/>
    <cellStyle name="Comma (0,00) TBD- 13 127" xfId="5847"/>
    <cellStyle name="Comma (0,00) TBD 13 128" xfId="5848"/>
    <cellStyle name="Comma (0,00) TBD- 13 128" xfId="5849"/>
    <cellStyle name="Comma (0,00) TBD 13 129" xfId="5850"/>
    <cellStyle name="Comma (0,00) TBD- 13 129" xfId="5851"/>
    <cellStyle name="Comma (0,00) TBD 13 13" xfId="5852"/>
    <cellStyle name="Comma (0,00) TBD- 13 13" xfId="5853"/>
    <cellStyle name="Comma (0,00) TBD 13 130" xfId="5854"/>
    <cellStyle name="Comma (0,00) TBD- 13 130" xfId="5855"/>
    <cellStyle name="Comma (0,00) TBD 13 131" xfId="5856"/>
    <cellStyle name="Comma (0,00) TBD- 13 131" xfId="5857"/>
    <cellStyle name="Comma (0,00) TBD 13 132" xfId="5858"/>
    <cellStyle name="Comma (0,00) TBD- 13 132" xfId="5859"/>
    <cellStyle name="Comma (0,00) TBD 13 133" xfId="5860"/>
    <cellStyle name="Comma (0,00) TBD- 13 133" xfId="5861"/>
    <cellStyle name="Comma (0,00) TBD 13 134" xfId="5862"/>
    <cellStyle name="Comma (0,00) TBD- 13 134" xfId="5863"/>
    <cellStyle name="Comma (0,00) TBD 13 135" xfId="5864"/>
    <cellStyle name="Comma (0,00) TBD- 13 135" xfId="5865"/>
    <cellStyle name="Comma (0,00) TBD 13 136" xfId="5866"/>
    <cellStyle name="Comma (0,00) TBD- 13 136" xfId="5867"/>
    <cellStyle name="Comma (0,00) TBD 13 137" xfId="5868"/>
    <cellStyle name="Comma (0,00) TBD- 13 137" xfId="5869"/>
    <cellStyle name="Comma (0,00) TBD 13 138" xfId="5870"/>
    <cellStyle name="Comma (0,00) TBD- 13 138" xfId="5871"/>
    <cellStyle name="Comma (0,00) TBD 13 139" xfId="5872"/>
    <cellStyle name="Comma (0,00) TBD- 13 139" xfId="5873"/>
    <cellStyle name="Comma (0,00) TBD 13 14" xfId="5874"/>
    <cellStyle name="Comma (0,00) TBD- 13 14" xfId="5875"/>
    <cellStyle name="Comma (0,00) TBD 13 140" xfId="5876"/>
    <cellStyle name="Comma (0,00) TBD- 13 140" xfId="5877"/>
    <cellStyle name="Comma (0,00) TBD 13 141" xfId="5878"/>
    <cellStyle name="Comma (0,00) TBD- 13 141" xfId="5879"/>
    <cellStyle name="Comma (0,00) TBD 13 142" xfId="5880"/>
    <cellStyle name="Comma (0,00) TBD- 13 142" xfId="5881"/>
    <cellStyle name="Comma (0,00) TBD 13 143" xfId="5882"/>
    <cellStyle name="Comma (0,00) TBD- 13 143" xfId="5883"/>
    <cellStyle name="Comma (0,00) TBD 13 144" xfId="5884"/>
    <cellStyle name="Comma (0,00) TBD- 13 144" xfId="5885"/>
    <cellStyle name="Comma (0,00) TBD 13 145" xfId="5886"/>
    <cellStyle name="Comma (0,00) TBD- 13 145" xfId="5887"/>
    <cellStyle name="Comma (0,00) TBD 13 146" xfId="5888"/>
    <cellStyle name="Comma (0,00) TBD- 13 146" xfId="5889"/>
    <cellStyle name="Comma (0,00) TBD 13 147" xfId="5890"/>
    <cellStyle name="Comma (0,00) TBD- 13 147" xfId="5891"/>
    <cellStyle name="Comma (0,00) TBD 13 148" xfId="5892"/>
    <cellStyle name="Comma (0,00) TBD- 13 148" xfId="5893"/>
    <cellStyle name="Comma (0,00) TBD 13 149" xfId="5894"/>
    <cellStyle name="Comma (0,00) TBD- 13 149" xfId="5895"/>
    <cellStyle name="Comma (0,00) TBD 13 15" xfId="5896"/>
    <cellStyle name="Comma (0,00) TBD- 13 15" xfId="5897"/>
    <cellStyle name="Comma (0,00) TBD 13 150" xfId="5898"/>
    <cellStyle name="Comma (0,00) TBD- 13 150" xfId="5899"/>
    <cellStyle name="Comma (0,00) TBD 13 151" xfId="5900"/>
    <cellStyle name="Comma (0,00) TBD- 13 151" xfId="5901"/>
    <cellStyle name="Comma (0,00) TBD 13 152" xfId="5902"/>
    <cellStyle name="Comma (0,00) TBD- 13 152" xfId="5903"/>
    <cellStyle name="Comma (0,00) TBD 13 153" xfId="5904"/>
    <cellStyle name="Comma (0,00) TBD- 13 153" xfId="5905"/>
    <cellStyle name="Comma (0,00) TBD 13 16" xfId="5906"/>
    <cellStyle name="Comma (0,00) TBD- 13 16" xfId="5907"/>
    <cellStyle name="Comma (0,00) TBD 13 17" xfId="5908"/>
    <cellStyle name="Comma (0,00) TBD- 13 17" xfId="5909"/>
    <cellStyle name="Comma (0,00) TBD 13 18" xfId="5910"/>
    <cellStyle name="Comma (0,00) TBD- 13 18" xfId="5911"/>
    <cellStyle name="Comma (0,00) TBD 13 19" xfId="5912"/>
    <cellStyle name="Comma (0,00) TBD- 13 19" xfId="5913"/>
    <cellStyle name="Comma (0,00) TBD 13 2" xfId="5914"/>
    <cellStyle name="Comma (0,00) TBD- 13 2" xfId="5915"/>
    <cellStyle name="Comma (0,00) TBD 13 20" xfId="5916"/>
    <cellStyle name="Comma (0,00) TBD- 13 20" xfId="5917"/>
    <cellStyle name="Comma (0,00) TBD 13 21" xfId="5918"/>
    <cellStyle name="Comma (0,00) TBD- 13 21" xfId="5919"/>
    <cellStyle name="Comma (0,00) TBD 13 22" xfId="5920"/>
    <cellStyle name="Comma (0,00) TBD- 13 22" xfId="5921"/>
    <cellStyle name="Comma (0,00) TBD 13 23" xfId="5922"/>
    <cellStyle name="Comma (0,00) TBD- 13 23" xfId="5923"/>
    <cellStyle name="Comma (0,00) TBD 13 24" xfId="5924"/>
    <cellStyle name="Comma (0,00) TBD- 13 24" xfId="5925"/>
    <cellStyle name="Comma (0,00) TBD 13 25" xfId="5926"/>
    <cellStyle name="Comma (0,00) TBD- 13 25" xfId="5927"/>
    <cellStyle name="Comma (0,00) TBD 13 26" xfId="5928"/>
    <cellStyle name="Comma (0,00) TBD- 13 26" xfId="5929"/>
    <cellStyle name="Comma (0,00) TBD 13 27" xfId="5930"/>
    <cellStyle name="Comma (0,00) TBD- 13 27" xfId="5931"/>
    <cellStyle name="Comma (0,00) TBD 13 28" xfId="5932"/>
    <cellStyle name="Comma (0,00) TBD- 13 28" xfId="5933"/>
    <cellStyle name="Comma (0,00) TBD 13 29" xfId="5934"/>
    <cellStyle name="Comma (0,00) TBD- 13 29" xfId="5935"/>
    <cellStyle name="Comma (0,00) TBD 13 3" xfId="5936"/>
    <cellStyle name="Comma (0,00) TBD- 13 3" xfId="5937"/>
    <cellStyle name="Comma (0,00) TBD 13 30" xfId="5938"/>
    <cellStyle name="Comma (0,00) TBD- 13 30" xfId="5939"/>
    <cellStyle name="Comma (0,00) TBD 13 31" xfId="5940"/>
    <cellStyle name="Comma (0,00) TBD- 13 31" xfId="5941"/>
    <cellStyle name="Comma (0,00) TBD 13 32" xfId="5942"/>
    <cellStyle name="Comma (0,00) TBD- 13 32" xfId="5943"/>
    <cellStyle name="Comma (0,00) TBD 13 33" xfId="5944"/>
    <cellStyle name="Comma (0,00) TBD- 13 33" xfId="5945"/>
    <cellStyle name="Comma (0,00) TBD 13 34" xfId="5946"/>
    <cellStyle name="Comma (0,00) TBD- 13 34" xfId="5947"/>
    <cellStyle name="Comma (0,00) TBD 13 35" xfId="5948"/>
    <cellStyle name="Comma (0,00) TBD- 13 35" xfId="5949"/>
    <cellStyle name="Comma (0,00) TBD 13 36" xfId="5950"/>
    <cellStyle name="Comma (0,00) TBD- 13 36" xfId="5951"/>
    <cellStyle name="Comma (0,00) TBD 13 37" xfId="5952"/>
    <cellStyle name="Comma (0,00) TBD- 13 37" xfId="5953"/>
    <cellStyle name="Comma (0,00) TBD 13 38" xfId="5954"/>
    <cellStyle name="Comma (0,00) TBD- 13 38" xfId="5955"/>
    <cellStyle name="Comma (0,00) TBD 13 39" xfId="5956"/>
    <cellStyle name="Comma (0,00) TBD- 13 39" xfId="5957"/>
    <cellStyle name="Comma (0,00) TBD 13 4" xfId="5958"/>
    <cellStyle name="Comma (0,00) TBD- 13 4" xfId="5959"/>
    <cellStyle name="Comma (0,00) TBD 13 40" xfId="5960"/>
    <cellStyle name="Comma (0,00) TBD- 13 40" xfId="5961"/>
    <cellStyle name="Comma (0,00) TBD 13 41" xfId="5962"/>
    <cellStyle name="Comma (0,00) TBD- 13 41" xfId="5963"/>
    <cellStyle name="Comma (0,00) TBD 13 42" xfId="5964"/>
    <cellStyle name="Comma (0,00) TBD- 13 42" xfId="5965"/>
    <cellStyle name="Comma (0,00) TBD 13 43" xfId="5966"/>
    <cellStyle name="Comma (0,00) TBD- 13 43" xfId="5967"/>
    <cellStyle name="Comma (0,00) TBD 13 44" xfId="5968"/>
    <cellStyle name="Comma (0,00) TBD- 13 44" xfId="5969"/>
    <cellStyle name="Comma (0,00) TBD 13 45" xfId="5970"/>
    <cellStyle name="Comma (0,00) TBD- 13 45" xfId="5971"/>
    <cellStyle name="Comma (0,00) TBD 13 46" xfId="5972"/>
    <cellStyle name="Comma (0,00) TBD- 13 46" xfId="5973"/>
    <cellStyle name="Comma (0,00) TBD 13 47" xfId="5974"/>
    <cellStyle name="Comma (0,00) TBD- 13 47" xfId="5975"/>
    <cellStyle name="Comma (0,00) TBD 13 48" xfId="5976"/>
    <cellStyle name="Comma (0,00) TBD- 13 48" xfId="5977"/>
    <cellStyle name="Comma (0,00) TBD 13 49" xfId="5978"/>
    <cellStyle name="Comma (0,00) TBD- 13 49" xfId="5979"/>
    <cellStyle name="Comma (0,00) TBD 13 5" xfId="5980"/>
    <cellStyle name="Comma (0,00) TBD- 13 5" xfId="5981"/>
    <cellStyle name="Comma (0,00) TBD 13 50" xfId="5982"/>
    <cellStyle name="Comma (0,00) TBD- 13 50" xfId="5983"/>
    <cellStyle name="Comma (0,00) TBD 13 51" xfId="5984"/>
    <cellStyle name="Comma (0,00) TBD- 13 51" xfId="5985"/>
    <cellStyle name="Comma (0,00) TBD 13 52" xfId="5986"/>
    <cellStyle name="Comma (0,00) TBD- 13 52" xfId="5987"/>
    <cellStyle name="Comma (0,00) TBD 13 53" xfId="5988"/>
    <cellStyle name="Comma (0,00) TBD- 13 53" xfId="5989"/>
    <cellStyle name="Comma (0,00) TBD 13 54" xfId="5990"/>
    <cellStyle name="Comma (0,00) TBD- 13 54" xfId="5991"/>
    <cellStyle name="Comma (0,00) TBD 13 55" xfId="5992"/>
    <cellStyle name="Comma (0,00) TBD- 13 55" xfId="5993"/>
    <cellStyle name="Comma (0,00) TBD 13 56" xfId="5994"/>
    <cellStyle name="Comma (0,00) TBD- 13 56" xfId="5995"/>
    <cellStyle name="Comma (0,00) TBD 13 57" xfId="5996"/>
    <cellStyle name="Comma (0,00) TBD- 13 57" xfId="5997"/>
    <cellStyle name="Comma (0,00) TBD 13 58" xfId="5998"/>
    <cellStyle name="Comma (0,00) TBD- 13 58" xfId="5999"/>
    <cellStyle name="Comma (0,00) TBD 13 59" xfId="6000"/>
    <cellStyle name="Comma (0,00) TBD- 13 59" xfId="6001"/>
    <cellStyle name="Comma (0,00) TBD 13 6" xfId="6002"/>
    <cellStyle name="Comma (0,00) TBD- 13 6" xfId="6003"/>
    <cellStyle name="Comma (0,00) TBD 13 60" xfId="6004"/>
    <cellStyle name="Comma (0,00) TBD- 13 60" xfId="6005"/>
    <cellStyle name="Comma (0,00) TBD 13 61" xfId="6006"/>
    <cellStyle name="Comma (0,00) TBD- 13 61" xfId="6007"/>
    <cellStyle name="Comma (0,00) TBD 13 62" xfId="6008"/>
    <cellStyle name="Comma (0,00) TBD- 13 62" xfId="6009"/>
    <cellStyle name="Comma (0,00) TBD 13 63" xfId="6010"/>
    <cellStyle name="Comma (0,00) TBD- 13 63" xfId="6011"/>
    <cellStyle name="Comma (0,00) TBD 13 64" xfId="6012"/>
    <cellStyle name="Comma (0,00) TBD- 13 64" xfId="6013"/>
    <cellStyle name="Comma (0,00) TBD 13 65" xfId="6014"/>
    <cellStyle name="Comma (0,00) TBD- 13 65" xfId="6015"/>
    <cellStyle name="Comma (0,00) TBD 13 66" xfId="6016"/>
    <cellStyle name="Comma (0,00) TBD- 13 66" xfId="6017"/>
    <cellStyle name="Comma (0,00) TBD 13 67" xfId="6018"/>
    <cellStyle name="Comma (0,00) TBD- 13 67" xfId="6019"/>
    <cellStyle name="Comma (0,00) TBD 13 68" xfId="6020"/>
    <cellStyle name="Comma (0,00) TBD- 13 68" xfId="6021"/>
    <cellStyle name="Comma (0,00) TBD 13 69" xfId="6022"/>
    <cellStyle name="Comma (0,00) TBD- 13 69" xfId="6023"/>
    <cellStyle name="Comma (0,00) TBD 13 7" xfId="6024"/>
    <cellStyle name="Comma (0,00) TBD- 13 7" xfId="6025"/>
    <cellStyle name="Comma (0,00) TBD 13 70" xfId="6026"/>
    <cellStyle name="Comma (0,00) TBD- 13 70" xfId="6027"/>
    <cellStyle name="Comma (0,00) TBD 13 71" xfId="6028"/>
    <cellStyle name="Comma (0,00) TBD- 13 71" xfId="6029"/>
    <cellStyle name="Comma (0,00) TBD 13 72" xfId="6030"/>
    <cellStyle name="Comma (0,00) TBD- 13 72" xfId="6031"/>
    <cellStyle name="Comma (0,00) TBD 13 73" xfId="6032"/>
    <cellStyle name="Comma (0,00) TBD- 13 73" xfId="6033"/>
    <cellStyle name="Comma (0,00) TBD 13 74" xfId="6034"/>
    <cellStyle name="Comma (0,00) TBD- 13 74" xfId="6035"/>
    <cellStyle name="Comma (0,00) TBD 13 75" xfId="6036"/>
    <cellStyle name="Comma (0,00) TBD- 13 75" xfId="6037"/>
    <cellStyle name="Comma (0,00) TBD 13 76" xfId="6038"/>
    <cellStyle name="Comma (0,00) TBD- 13 76" xfId="6039"/>
    <cellStyle name="Comma (0,00) TBD 13 77" xfId="6040"/>
    <cellStyle name="Comma (0,00) TBD- 13 77" xfId="6041"/>
    <cellStyle name="Comma (0,00) TBD 13 78" xfId="6042"/>
    <cellStyle name="Comma (0,00) TBD- 13 78" xfId="6043"/>
    <cellStyle name="Comma (0,00) TBD 13 79" xfId="6044"/>
    <cellStyle name="Comma (0,00) TBD- 13 79" xfId="6045"/>
    <cellStyle name="Comma (0,00) TBD 13 8" xfId="6046"/>
    <cellStyle name="Comma (0,00) TBD- 13 8" xfId="6047"/>
    <cellStyle name="Comma (0,00) TBD 13 80" xfId="6048"/>
    <cellStyle name="Comma (0,00) TBD- 13 80" xfId="6049"/>
    <cellStyle name="Comma (0,00) TBD 13 81" xfId="6050"/>
    <cellStyle name="Comma (0,00) TBD- 13 81" xfId="6051"/>
    <cellStyle name="Comma (0,00) TBD 13 82" xfId="6052"/>
    <cellStyle name="Comma (0,00) TBD- 13 82" xfId="6053"/>
    <cellStyle name="Comma (0,00) TBD 13 83" xfId="6054"/>
    <cellStyle name="Comma (0,00) TBD- 13 83" xfId="6055"/>
    <cellStyle name="Comma (0,00) TBD 13 84" xfId="6056"/>
    <cellStyle name="Comma (0,00) TBD- 13 84" xfId="6057"/>
    <cellStyle name="Comma (0,00) TBD 13 85" xfId="6058"/>
    <cellStyle name="Comma (0,00) TBD- 13 85" xfId="6059"/>
    <cellStyle name="Comma (0,00) TBD 13 86" xfId="6060"/>
    <cellStyle name="Comma (0,00) TBD- 13 86" xfId="6061"/>
    <cellStyle name="Comma (0,00) TBD 13 87" xfId="6062"/>
    <cellStyle name="Comma (0,00) TBD- 13 87" xfId="6063"/>
    <cellStyle name="Comma (0,00) TBD 13 88" xfId="6064"/>
    <cellStyle name="Comma (0,00) TBD- 13 88" xfId="6065"/>
    <cellStyle name="Comma (0,00) TBD 13 89" xfId="6066"/>
    <cellStyle name="Comma (0,00) TBD- 13 89" xfId="6067"/>
    <cellStyle name="Comma (0,00) TBD 13 9" xfId="6068"/>
    <cellStyle name="Comma (0,00) TBD- 13 9" xfId="6069"/>
    <cellStyle name="Comma (0,00) TBD 13 90" xfId="6070"/>
    <cellStyle name="Comma (0,00) TBD- 13 90" xfId="6071"/>
    <cellStyle name="Comma (0,00) TBD 13 91" xfId="6072"/>
    <cellStyle name="Comma (0,00) TBD- 13 91" xfId="6073"/>
    <cellStyle name="Comma (0,00) TBD 13 92" xfId="6074"/>
    <cellStyle name="Comma (0,00) TBD- 13 92" xfId="6075"/>
    <cellStyle name="Comma (0,00) TBD 13 93" xfId="6076"/>
    <cellStyle name="Comma (0,00) TBD- 13 93" xfId="6077"/>
    <cellStyle name="Comma (0,00) TBD 13 94" xfId="6078"/>
    <cellStyle name="Comma (0,00) TBD- 13 94" xfId="6079"/>
    <cellStyle name="Comma (0,00) TBD 13 95" xfId="6080"/>
    <cellStyle name="Comma (0,00) TBD- 13 95" xfId="6081"/>
    <cellStyle name="Comma (0,00) TBD 13 96" xfId="6082"/>
    <cellStyle name="Comma (0,00) TBD- 13 96" xfId="6083"/>
    <cellStyle name="Comma (0,00) TBD 13 97" xfId="6084"/>
    <cellStyle name="Comma (0,00) TBD- 13 97" xfId="6085"/>
    <cellStyle name="Comma (0,00) TBD 13 98" xfId="6086"/>
    <cellStyle name="Comma (0,00) TBD- 13 98" xfId="6087"/>
    <cellStyle name="Comma (0,00) TBD 13 99" xfId="6088"/>
    <cellStyle name="Comma (0,00) TBD- 13 99" xfId="6089"/>
    <cellStyle name="Comma (0,00) TBD 14" xfId="6090"/>
    <cellStyle name="Comma (0,00) TBD- 14" xfId="6091"/>
    <cellStyle name="Comma (0,00) TBD 14 10" xfId="6092"/>
    <cellStyle name="Comma (0,00) TBD- 14 10" xfId="6093"/>
    <cellStyle name="Comma (0,00) TBD 14 100" xfId="6094"/>
    <cellStyle name="Comma (0,00) TBD- 14 100" xfId="6095"/>
    <cellStyle name="Comma (0,00) TBD 14 101" xfId="6096"/>
    <cellStyle name="Comma (0,00) TBD- 14 101" xfId="6097"/>
    <cellStyle name="Comma (0,00) TBD 14 102" xfId="6098"/>
    <cellStyle name="Comma (0,00) TBD- 14 102" xfId="6099"/>
    <cellStyle name="Comma (0,00) TBD 14 103" xfId="6100"/>
    <cellStyle name="Comma (0,00) TBD- 14 103" xfId="6101"/>
    <cellStyle name="Comma (0,00) TBD 14 104" xfId="6102"/>
    <cellStyle name="Comma (0,00) TBD- 14 104" xfId="6103"/>
    <cellStyle name="Comma (0,00) TBD 14 105" xfId="6104"/>
    <cellStyle name="Comma (0,00) TBD- 14 105" xfId="6105"/>
    <cellStyle name="Comma (0,00) TBD 14 106" xfId="6106"/>
    <cellStyle name="Comma (0,00) TBD- 14 106" xfId="6107"/>
    <cellStyle name="Comma (0,00) TBD 14 107" xfId="6108"/>
    <cellStyle name="Comma (0,00) TBD- 14 107" xfId="6109"/>
    <cellStyle name="Comma (0,00) TBD 14 108" xfId="6110"/>
    <cellStyle name="Comma (0,00) TBD- 14 108" xfId="6111"/>
    <cellStyle name="Comma (0,00) TBD 14 109" xfId="6112"/>
    <cellStyle name="Comma (0,00) TBD- 14 109" xfId="6113"/>
    <cellStyle name="Comma (0,00) TBD 14 11" xfId="6114"/>
    <cellStyle name="Comma (0,00) TBD- 14 11" xfId="6115"/>
    <cellStyle name="Comma (0,00) TBD 14 110" xfId="6116"/>
    <cellStyle name="Comma (0,00) TBD- 14 110" xfId="6117"/>
    <cellStyle name="Comma (0,00) TBD 14 111" xfId="6118"/>
    <cellStyle name="Comma (0,00) TBD- 14 111" xfId="6119"/>
    <cellStyle name="Comma (0,00) TBD 14 112" xfId="6120"/>
    <cellStyle name="Comma (0,00) TBD- 14 112" xfId="6121"/>
    <cellStyle name="Comma (0,00) TBD 14 113" xfId="6122"/>
    <cellStyle name="Comma (0,00) TBD- 14 113" xfId="6123"/>
    <cellStyle name="Comma (0,00) TBD 14 114" xfId="6124"/>
    <cellStyle name="Comma (0,00) TBD- 14 114" xfId="6125"/>
    <cellStyle name="Comma (0,00) TBD 14 115" xfId="6126"/>
    <cellStyle name="Comma (0,00) TBD- 14 115" xfId="6127"/>
    <cellStyle name="Comma (0,00) TBD 14 116" xfId="6128"/>
    <cellStyle name="Comma (0,00) TBD- 14 116" xfId="6129"/>
    <cellStyle name="Comma (0,00) TBD 14 117" xfId="6130"/>
    <cellStyle name="Comma (0,00) TBD- 14 117" xfId="6131"/>
    <cellStyle name="Comma (0,00) TBD 14 118" xfId="6132"/>
    <cellStyle name="Comma (0,00) TBD- 14 118" xfId="6133"/>
    <cellStyle name="Comma (0,00) TBD 14 119" xfId="6134"/>
    <cellStyle name="Comma (0,00) TBD- 14 119" xfId="6135"/>
    <cellStyle name="Comma (0,00) TBD 14 12" xfId="6136"/>
    <cellStyle name="Comma (0,00) TBD- 14 12" xfId="6137"/>
    <cellStyle name="Comma (0,00) TBD 14 120" xfId="6138"/>
    <cellStyle name="Comma (0,00) TBD- 14 120" xfId="6139"/>
    <cellStyle name="Comma (0,00) TBD 14 121" xfId="6140"/>
    <cellStyle name="Comma (0,00) TBD- 14 121" xfId="6141"/>
    <cellStyle name="Comma (0,00) TBD 14 122" xfId="6142"/>
    <cellStyle name="Comma (0,00) TBD- 14 122" xfId="6143"/>
    <cellStyle name="Comma (0,00) TBD 14 123" xfId="6144"/>
    <cellStyle name="Comma (0,00) TBD- 14 123" xfId="6145"/>
    <cellStyle name="Comma (0,00) TBD 14 124" xfId="6146"/>
    <cellStyle name="Comma (0,00) TBD- 14 124" xfId="6147"/>
    <cellStyle name="Comma (0,00) TBD 14 125" xfId="6148"/>
    <cellStyle name="Comma (0,00) TBD- 14 125" xfId="6149"/>
    <cellStyle name="Comma (0,00) TBD 14 126" xfId="6150"/>
    <cellStyle name="Comma (0,00) TBD- 14 126" xfId="6151"/>
    <cellStyle name="Comma (0,00) TBD 14 127" xfId="6152"/>
    <cellStyle name="Comma (0,00) TBD- 14 127" xfId="6153"/>
    <cellStyle name="Comma (0,00) TBD 14 128" xfId="6154"/>
    <cellStyle name="Comma (0,00) TBD- 14 128" xfId="6155"/>
    <cellStyle name="Comma (0,00) TBD 14 129" xfId="6156"/>
    <cellStyle name="Comma (0,00) TBD- 14 129" xfId="6157"/>
    <cellStyle name="Comma (0,00) TBD 14 13" xfId="6158"/>
    <cellStyle name="Comma (0,00) TBD- 14 13" xfId="6159"/>
    <cellStyle name="Comma (0,00) TBD 14 130" xfId="6160"/>
    <cellStyle name="Comma (0,00) TBD- 14 130" xfId="6161"/>
    <cellStyle name="Comma (0,00) TBD 14 131" xfId="6162"/>
    <cellStyle name="Comma (0,00) TBD- 14 131" xfId="6163"/>
    <cellStyle name="Comma (0,00) TBD 14 132" xfId="6164"/>
    <cellStyle name="Comma (0,00) TBD- 14 132" xfId="6165"/>
    <cellStyle name="Comma (0,00) TBD 14 133" xfId="6166"/>
    <cellStyle name="Comma (0,00) TBD- 14 133" xfId="6167"/>
    <cellStyle name="Comma (0,00) TBD 14 134" xfId="6168"/>
    <cellStyle name="Comma (0,00) TBD- 14 134" xfId="6169"/>
    <cellStyle name="Comma (0,00) TBD 14 135" xfId="6170"/>
    <cellStyle name="Comma (0,00) TBD- 14 135" xfId="6171"/>
    <cellStyle name="Comma (0,00) TBD 14 136" xfId="6172"/>
    <cellStyle name="Comma (0,00) TBD- 14 136" xfId="6173"/>
    <cellStyle name="Comma (0,00) TBD 14 137" xfId="6174"/>
    <cellStyle name="Comma (0,00) TBD- 14 137" xfId="6175"/>
    <cellStyle name="Comma (0,00) TBD 14 138" xfId="6176"/>
    <cellStyle name="Comma (0,00) TBD- 14 138" xfId="6177"/>
    <cellStyle name="Comma (0,00) TBD 14 139" xfId="6178"/>
    <cellStyle name="Comma (0,00) TBD- 14 139" xfId="6179"/>
    <cellStyle name="Comma (0,00) TBD 14 14" xfId="6180"/>
    <cellStyle name="Comma (0,00) TBD- 14 14" xfId="6181"/>
    <cellStyle name="Comma (0,00) TBD 14 140" xfId="6182"/>
    <cellStyle name="Comma (0,00) TBD- 14 140" xfId="6183"/>
    <cellStyle name="Comma (0,00) TBD 14 141" xfId="6184"/>
    <cellStyle name="Comma (0,00) TBD- 14 141" xfId="6185"/>
    <cellStyle name="Comma (0,00) TBD 14 142" xfId="6186"/>
    <cellStyle name="Comma (0,00) TBD- 14 142" xfId="6187"/>
    <cellStyle name="Comma (0,00) TBD 14 143" xfId="6188"/>
    <cellStyle name="Comma (0,00) TBD- 14 143" xfId="6189"/>
    <cellStyle name="Comma (0,00) TBD 14 144" xfId="6190"/>
    <cellStyle name="Comma (0,00) TBD- 14 144" xfId="6191"/>
    <cellStyle name="Comma (0,00) TBD 14 145" xfId="6192"/>
    <cellStyle name="Comma (0,00) TBD- 14 145" xfId="6193"/>
    <cellStyle name="Comma (0,00) TBD 14 146" xfId="6194"/>
    <cellStyle name="Comma (0,00) TBD- 14 146" xfId="6195"/>
    <cellStyle name="Comma (0,00) TBD 14 147" xfId="6196"/>
    <cellStyle name="Comma (0,00) TBD- 14 147" xfId="6197"/>
    <cellStyle name="Comma (0,00) TBD 14 148" xfId="6198"/>
    <cellStyle name="Comma (0,00) TBD- 14 148" xfId="6199"/>
    <cellStyle name="Comma (0,00) TBD 14 149" xfId="6200"/>
    <cellStyle name="Comma (0,00) TBD- 14 149" xfId="6201"/>
    <cellStyle name="Comma (0,00) TBD 14 15" xfId="6202"/>
    <cellStyle name="Comma (0,00) TBD- 14 15" xfId="6203"/>
    <cellStyle name="Comma (0,00) TBD 14 150" xfId="6204"/>
    <cellStyle name="Comma (0,00) TBD- 14 150" xfId="6205"/>
    <cellStyle name="Comma (0,00) TBD 14 151" xfId="6206"/>
    <cellStyle name="Comma (0,00) TBD- 14 151" xfId="6207"/>
    <cellStyle name="Comma (0,00) TBD 14 152" xfId="6208"/>
    <cellStyle name="Comma (0,00) TBD- 14 152" xfId="6209"/>
    <cellStyle name="Comma (0,00) TBD 14 153" xfId="6210"/>
    <cellStyle name="Comma (0,00) TBD- 14 153" xfId="6211"/>
    <cellStyle name="Comma (0,00) TBD 14 16" xfId="6212"/>
    <cellStyle name="Comma (0,00) TBD- 14 16" xfId="6213"/>
    <cellStyle name="Comma (0,00) TBD 14 17" xfId="6214"/>
    <cellStyle name="Comma (0,00) TBD- 14 17" xfId="6215"/>
    <cellStyle name="Comma (0,00) TBD 14 18" xfId="6216"/>
    <cellStyle name="Comma (0,00) TBD- 14 18" xfId="6217"/>
    <cellStyle name="Comma (0,00) TBD 14 19" xfId="6218"/>
    <cellStyle name="Comma (0,00) TBD- 14 19" xfId="6219"/>
    <cellStyle name="Comma (0,00) TBD 14 2" xfId="6220"/>
    <cellStyle name="Comma (0,00) TBD- 14 2" xfId="6221"/>
    <cellStyle name="Comma (0,00) TBD 14 20" xfId="6222"/>
    <cellStyle name="Comma (0,00) TBD- 14 20" xfId="6223"/>
    <cellStyle name="Comma (0,00) TBD 14 21" xfId="6224"/>
    <cellStyle name="Comma (0,00) TBD- 14 21" xfId="6225"/>
    <cellStyle name="Comma (0,00) TBD 14 22" xfId="6226"/>
    <cellStyle name="Comma (0,00) TBD- 14 22" xfId="6227"/>
    <cellStyle name="Comma (0,00) TBD 14 23" xfId="6228"/>
    <cellStyle name="Comma (0,00) TBD- 14 23" xfId="6229"/>
    <cellStyle name="Comma (0,00) TBD 14 24" xfId="6230"/>
    <cellStyle name="Comma (0,00) TBD- 14 24" xfId="6231"/>
    <cellStyle name="Comma (0,00) TBD 14 25" xfId="6232"/>
    <cellStyle name="Comma (0,00) TBD- 14 25" xfId="6233"/>
    <cellStyle name="Comma (0,00) TBD 14 26" xfId="6234"/>
    <cellStyle name="Comma (0,00) TBD- 14 26" xfId="6235"/>
    <cellStyle name="Comma (0,00) TBD 14 27" xfId="6236"/>
    <cellStyle name="Comma (0,00) TBD- 14 27" xfId="6237"/>
    <cellStyle name="Comma (0,00) TBD 14 28" xfId="6238"/>
    <cellStyle name="Comma (0,00) TBD- 14 28" xfId="6239"/>
    <cellStyle name="Comma (0,00) TBD 14 29" xfId="6240"/>
    <cellStyle name="Comma (0,00) TBD- 14 29" xfId="6241"/>
    <cellStyle name="Comma (0,00) TBD 14 3" xfId="6242"/>
    <cellStyle name="Comma (0,00) TBD- 14 3" xfId="6243"/>
    <cellStyle name="Comma (0,00) TBD 14 30" xfId="6244"/>
    <cellStyle name="Comma (0,00) TBD- 14 30" xfId="6245"/>
    <cellStyle name="Comma (0,00) TBD 14 31" xfId="6246"/>
    <cellStyle name="Comma (0,00) TBD- 14 31" xfId="6247"/>
    <cellStyle name="Comma (0,00) TBD 14 32" xfId="6248"/>
    <cellStyle name="Comma (0,00) TBD- 14 32" xfId="6249"/>
    <cellStyle name="Comma (0,00) TBD 14 33" xfId="6250"/>
    <cellStyle name="Comma (0,00) TBD- 14 33" xfId="6251"/>
    <cellStyle name="Comma (0,00) TBD 14 34" xfId="6252"/>
    <cellStyle name="Comma (0,00) TBD- 14 34" xfId="6253"/>
    <cellStyle name="Comma (0,00) TBD 14 35" xfId="6254"/>
    <cellStyle name="Comma (0,00) TBD- 14 35" xfId="6255"/>
    <cellStyle name="Comma (0,00) TBD 14 36" xfId="6256"/>
    <cellStyle name="Comma (0,00) TBD- 14 36" xfId="6257"/>
    <cellStyle name="Comma (0,00) TBD 14 37" xfId="6258"/>
    <cellStyle name="Comma (0,00) TBD- 14 37" xfId="6259"/>
    <cellStyle name="Comma (0,00) TBD 14 38" xfId="6260"/>
    <cellStyle name="Comma (0,00) TBD- 14 38" xfId="6261"/>
    <cellStyle name="Comma (0,00) TBD 14 39" xfId="6262"/>
    <cellStyle name="Comma (0,00) TBD- 14 39" xfId="6263"/>
    <cellStyle name="Comma (0,00) TBD 14 4" xfId="6264"/>
    <cellStyle name="Comma (0,00) TBD- 14 4" xfId="6265"/>
    <cellStyle name="Comma (0,00) TBD 14 40" xfId="6266"/>
    <cellStyle name="Comma (0,00) TBD- 14 40" xfId="6267"/>
    <cellStyle name="Comma (0,00) TBD 14 41" xfId="6268"/>
    <cellStyle name="Comma (0,00) TBD- 14 41" xfId="6269"/>
    <cellStyle name="Comma (0,00) TBD 14 42" xfId="6270"/>
    <cellStyle name="Comma (0,00) TBD- 14 42" xfId="6271"/>
    <cellStyle name="Comma (0,00) TBD 14 43" xfId="6272"/>
    <cellStyle name="Comma (0,00) TBD- 14 43" xfId="6273"/>
    <cellStyle name="Comma (0,00) TBD 14 44" xfId="6274"/>
    <cellStyle name="Comma (0,00) TBD- 14 44" xfId="6275"/>
    <cellStyle name="Comma (0,00) TBD 14 45" xfId="6276"/>
    <cellStyle name="Comma (0,00) TBD- 14 45" xfId="6277"/>
    <cellStyle name="Comma (0,00) TBD 14 46" xfId="6278"/>
    <cellStyle name="Comma (0,00) TBD- 14 46" xfId="6279"/>
    <cellStyle name="Comma (0,00) TBD 14 47" xfId="6280"/>
    <cellStyle name="Comma (0,00) TBD- 14 47" xfId="6281"/>
    <cellStyle name="Comma (0,00) TBD 14 48" xfId="6282"/>
    <cellStyle name="Comma (0,00) TBD- 14 48" xfId="6283"/>
    <cellStyle name="Comma (0,00) TBD 14 49" xfId="6284"/>
    <cellStyle name="Comma (0,00) TBD- 14 49" xfId="6285"/>
    <cellStyle name="Comma (0,00) TBD 14 5" xfId="6286"/>
    <cellStyle name="Comma (0,00) TBD- 14 5" xfId="6287"/>
    <cellStyle name="Comma (0,00) TBD 14 50" xfId="6288"/>
    <cellStyle name="Comma (0,00) TBD- 14 50" xfId="6289"/>
    <cellStyle name="Comma (0,00) TBD 14 51" xfId="6290"/>
    <cellStyle name="Comma (0,00) TBD- 14 51" xfId="6291"/>
    <cellStyle name="Comma (0,00) TBD 14 52" xfId="6292"/>
    <cellStyle name="Comma (0,00) TBD- 14 52" xfId="6293"/>
    <cellStyle name="Comma (0,00) TBD 14 53" xfId="6294"/>
    <cellStyle name="Comma (0,00) TBD- 14 53" xfId="6295"/>
    <cellStyle name="Comma (0,00) TBD 14 54" xfId="6296"/>
    <cellStyle name="Comma (0,00) TBD- 14 54" xfId="6297"/>
    <cellStyle name="Comma (0,00) TBD 14 55" xfId="6298"/>
    <cellStyle name="Comma (0,00) TBD- 14 55" xfId="6299"/>
    <cellStyle name="Comma (0,00) TBD 14 56" xfId="6300"/>
    <cellStyle name="Comma (0,00) TBD- 14 56" xfId="6301"/>
    <cellStyle name="Comma (0,00) TBD 14 57" xfId="6302"/>
    <cellStyle name="Comma (0,00) TBD- 14 57" xfId="6303"/>
    <cellStyle name="Comma (0,00) TBD 14 58" xfId="6304"/>
    <cellStyle name="Comma (0,00) TBD- 14 58" xfId="6305"/>
    <cellStyle name="Comma (0,00) TBD 14 59" xfId="6306"/>
    <cellStyle name="Comma (0,00) TBD- 14 59" xfId="6307"/>
    <cellStyle name="Comma (0,00) TBD 14 6" xfId="6308"/>
    <cellStyle name="Comma (0,00) TBD- 14 6" xfId="6309"/>
    <cellStyle name="Comma (0,00) TBD 14 60" xfId="6310"/>
    <cellStyle name="Comma (0,00) TBD- 14 60" xfId="6311"/>
    <cellStyle name="Comma (0,00) TBD 14 61" xfId="6312"/>
    <cellStyle name="Comma (0,00) TBD- 14 61" xfId="6313"/>
    <cellStyle name="Comma (0,00) TBD 14 62" xfId="6314"/>
    <cellStyle name="Comma (0,00) TBD- 14 62" xfId="6315"/>
    <cellStyle name="Comma (0,00) TBD 14 63" xfId="6316"/>
    <cellStyle name="Comma (0,00) TBD- 14 63" xfId="6317"/>
    <cellStyle name="Comma (0,00) TBD 14 64" xfId="6318"/>
    <cellStyle name="Comma (0,00) TBD- 14 64" xfId="6319"/>
    <cellStyle name="Comma (0,00) TBD 14 65" xfId="6320"/>
    <cellStyle name="Comma (0,00) TBD- 14 65" xfId="6321"/>
    <cellStyle name="Comma (0,00) TBD 14 66" xfId="6322"/>
    <cellStyle name="Comma (0,00) TBD- 14 66" xfId="6323"/>
    <cellStyle name="Comma (0,00) TBD 14 67" xfId="6324"/>
    <cellStyle name="Comma (0,00) TBD- 14 67" xfId="6325"/>
    <cellStyle name="Comma (0,00) TBD 14 68" xfId="6326"/>
    <cellStyle name="Comma (0,00) TBD- 14 68" xfId="6327"/>
    <cellStyle name="Comma (0,00) TBD 14 69" xfId="6328"/>
    <cellStyle name="Comma (0,00) TBD- 14 69" xfId="6329"/>
    <cellStyle name="Comma (0,00) TBD 14 7" xfId="6330"/>
    <cellStyle name="Comma (0,00) TBD- 14 7" xfId="6331"/>
    <cellStyle name="Comma (0,00) TBD 14 70" xfId="6332"/>
    <cellStyle name="Comma (0,00) TBD- 14 70" xfId="6333"/>
    <cellStyle name="Comma (0,00) TBD 14 71" xfId="6334"/>
    <cellStyle name="Comma (0,00) TBD- 14 71" xfId="6335"/>
    <cellStyle name="Comma (0,00) TBD 14 72" xfId="6336"/>
    <cellStyle name="Comma (0,00) TBD- 14 72" xfId="6337"/>
    <cellStyle name="Comma (0,00) TBD 14 73" xfId="6338"/>
    <cellStyle name="Comma (0,00) TBD- 14 73" xfId="6339"/>
    <cellStyle name="Comma (0,00) TBD 14 74" xfId="6340"/>
    <cellStyle name="Comma (0,00) TBD- 14 74" xfId="6341"/>
    <cellStyle name="Comma (0,00) TBD 14 75" xfId="6342"/>
    <cellStyle name="Comma (0,00) TBD- 14 75" xfId="6343"/>
    <cellStyle name="Comma (0,00) TBD 14 76" xfId="6344"/>
    <cellStyle name="Comma (0,00) TBD- 14 76" xfId="6345"/>
    <cellStyle name="Comma (0,00) TBD 14 77" xfId="6346"/>
    <cellStyle name="Comma (0,00) TBD- 14 77" xfId="6347"/>
    <cellStyle name="Comma (0,00) TBD 14 78" xfId="6348"/>
    <cellStyle name="Comma (0,00) TBD- 14 78" xfId="6349"/>
    <cellStyle name="Comma (0,00) TBD 14 79" xfId="6350"/>
    <cellStyle name="Comma (0,00) TBD- 14 79" xfId="6351"/>
    <cellStyle name="Comma (0,00) TBD 14 8" xfId="6352"/>
    <cellStyle name="Comma (0,00) TBD- 14 8" xfId="6353"/>
    <cellStyle name="Comma (0,00) TBD 14 80" xfId="6354"/>
    <cellStyle name="Comma (0,00) TBD- 14 80" xfId="6355"/>
    <cellStyle name="Comma (0,00) TBD 14 81" xfId="6356"/>
    <cellStyle name="Comma (0,00) TBD- 14 81" xfId="6357"/>
    <cellStyle name="Comma (0,00) TBD 14 82" xfId="6358"/>
    <cellStyle name="Comma (0,00) TBD- 14 82" xfId="6359"/>
    <cellStyle name="Comma (0,00) TBD 14 83" xfId="6360"/>
    <cellStyle name="Comma (0,00) TBD- 14 83" xfId="6361"/>
    <cellStyle name="Comma (0,00) TBD 14 84" xfId="6362"/>
    <cellStyle name="Comma (0,00) TBD- 14 84" xfId="6363"/>
    <cellStyle name="Comma (0,00) TBD 14 85" xfId="6364"/>
    <cellStyle name="Comma (0,00) TBD- 14 85" xfId="6365"/>
    <cellStyle name="Comma (0,00) TBD 14 86" xfId="6366"/>
    <cellStyle name="Comma (0,00) TBD- 14 86" xfId="6367"/>
    <cellStyle name="Comma (0,00) TBD 14 87" xfId="6368"/>
    <cellStyle name="Comma (0,00) TBD- 14 87" xfId="6369"/>
    <cellStyle name="Comma (0,00) TBD 14 88" xfId="6370"/>
    <cellStyle name="Comma (0,00) TBD- 14 88" xfId="6371"/>
    <cellStyle name="Comma (0,00) TBD 14 89" xfId="6372"/>
    <cellStyle name="Comma (0,00) TBD- 14 89" xfId="6373"/>
    <cellStyle name="Comma (0,00) TBD 14 9" xfId="6374"/>
    <cellStyle name="Comma (0,00) TBD- 14 9" xfId="6375"/>
    <cellStyle name="Comma (0,00) TBD 14 90" xfId="6376"/>
    <cellStyle name="Comma (0,00) TBD- 14 90" xfId="6377"/>
    <cellStyle name="Comma (0,00) TBD 14 91" xfId="6378"/>
    <cellStyle name="Comma (0,00) TBD- 14 91" xfId="6379"/>
    <cellStyle name="Comma (0,00) TBD 14 92" xfId="6380"/>
    <cellStyle name="Comma (0,00) TBD- 14 92" xfId="6381"/>
    <cellStyle name="Comma (0,00) TBD 14 93" xfId="6382"/>
    <cellStyle name="Comma (0,00) TBD- 14 93" xfId="6383"/>
    <cellStyle name="Comma (0,00) TBD 14 94" xfId="6384"/>
    <cellStyle name="Comma (0,00) TBD- 14 94" xfId="6385"/>
    <cellStyle name="Comma (0,00) TBD 14 95" xfId="6386"/>
    <cellStyle name="Comma (0,00) TBD- 14 95" xfId="6387"/>
    <cellStyle name="Comma (0,00) TBD 14 96" xfId="6388"/>
    <cellStyle name="Comma (0,00) TBD- 14 96" xfId="6389"/>
    <cellStyle name="Comma (0,00) TBD 14 97" xfId="6390"/>
    <cellStyle name="Comma (0,00) TBD- 14 97" xfId="6391"/>
    <cellStyle name="Comma (0,00) TBD 14 98" xfId="6392"/>
    <cellStyle name="Comma (0,00) TBD- 14 98" xfId="6393"/>
    <cellStyle name="Comma (0,00) TBD 14 99" xfId="6394"/>
    <cellStyle name="Comma (0,00) TBD- 14 99" xfId="6395"/>
    <cellStyle name="Comma (0,00) TBD 2" xfId="6396"/>
    <cellStyle name="Comma (0,00) TBD- 2" xfId="6397"/>
    <cellStyle name="Comma (0,00) TBD 2 10" xfId="6398"/>
    <cellStyle name="Comma (0,00) TBD- 2 10" xfId="6399"/>
    <cellStyle name="Comma (0,00) TBD 2 100" xfId="6400"/>
    <cellStyle name="Comma (0,00) TBD- 2 100" xfId="6401"/>
    <cellStyle name="Comma (0,00) TBD 2 101" xfId="6402"/>
    <cellStyle name="Comma (0,00) TBD- 2 101" xfId="6403"/>
    <cellStyle name="Comma (0,00) TBD 2 102" xfId="6404"/>
    <cellStyle name="Comma (0,00) TBD- 2 102" xfId="6405"/>
    <cellStyle name="Comma (0,00) TBD 2 103" xfId="6406"/>
    <cellStyle name="Comma (0,00) TBD- 2 103" xfId="6407"/>
    <cellStyle name="Comma (0,00) TBD 2 104" xfId="6408"/>
    <cellStyle name="Comma (0,00) TBD- 2 104" xfId="6409"/>
    <cellStyle name="Comma (0,00) TBD 2 105" xfId="6410"/>
    <cellStyle name="Comma (0,00) TBD- 2 105" xfId="6411"/>
    <cellStyle name="Comma (0,00) TBD 2 106" xfId="6412"/>
    <cellStyle name="Comma (0,00) TBD- 2 106" xfId="6413"/>
    <cellStyle name="Comma (0,00) TBD 2 107" xfId="6414"/>
    <cellStyle name="Comma (0,00) TBD- 2 107" xfId="6415"/>
    <cellStyle name="Comma (0,00) TBD 2 108" xfId="6416"/>
    <cellStyle name="Comma (0,00) TBD- 2 108" xfId="6417"/>
    <cellStyle name="Comma (0,00) TBD 2 109" xfId="6418"/>
    <cellStyle name="Comma (0,00) TBD- 2 109" xfId="6419"/>
    <cellStyle name="Comma (0,00) TBD 2 11" xfId="6420"/>
    <cellStyle name="Comma (0,00) TBD- 2 11" xfId="6421"/>
    <cellStyle name="Comma (0,00) TBD 2 110" xfId="6422"/>
    <cellStyle name="Comma (0,00) TBD- 2 110" xfId="6423"/>
    <cellStyle name="Comma (0,00) TBD 2 111" xfId="6424"/>
    <cellStyle name="Comma (0,00) TBD- 2 111" xfId="6425"/>
    <cellStyle name="Comma (0,00) TBD 2 112" xfId="6426"/>
    <cellStyle name="Comma (0,00) TBD- 2 112" xfId="6427"/>
    <cellStyle name="Comma (0,00) TBD 2 113" xfId="6428"/>
    <cellStyle name="Comma (0,00) TBD- 2 113" xfId="6429"/>
    <cellStyle name="Comma (0,00) TBD 2 114" xfId="6430"/>
    <cellStyle name="Comma (0,00) TBD- 2 114" xfId="6431"/>
    <cellStyle name="Comma (0,00) TBD 2 115" xfId="6432"/>
    <cellStyle name="Comma (0,00) TBD- 2 115" xfId="6433"/>
    <cellStyle name="Comma (0,00) TBD 2 116" xfId="6434"/>
    <cellStyle name="Comma (0,00) TBD- 2 116" xfId="6435"/>
    <cellStyle name="Comma (0,00) TBD 2 117" xfId="6436"/>
    <cellStyle name="Comma (0,00) TBD- 2 117" xfId="6437"/>
    <cellStyle name="Comma (0,00) TBD 2 118" xfId="6438"/>
    <cellStyle name="Comma (0,00) TBD- 2 118" xfId="6439"/>
    <cellStyle name="Comma (0,00) TBD 2 119" xfId="6440"/>
    <cellStyle name="Comma (0,00) TBD- 2 119" xfId="6441"/>
    <cellStyle name="Comma (0,00) TBD 2 12" xfId="6442"/>
    <cellStyle name="Comma (0,00) TBD- 2 12" xfId="6443"/>
    <cellStyle name="Comma (0,00) TBD 2 120" xfId="6444"/>
    <cellStyle name="Comma (0,00) TBD- 2 120" xfId="6445"/>
    <cellStyle name="Comma (0,00) TBD 2 121" xfId="6446"/>
    <cellStyle name="Comma (0,00) TBD- 2 121" xfId="6447"/>
    <cellStyle name="Comma (0,00) TBD 2 122" xfId="6448"/>
    <cellStyle name="Comma (0,00) TBD- 2 122" xfId="6449"/>
    <cellStyle name="Comma (0,00) TBD 2 123" xfId="6450"/>
    <cellStyle name="Comma (0,00) TBD- 2 123" xfId="6451"/>
    <cellStyle name="Comma (0,00) TBD 2 124" xfId="6452"/>
    <cellStyle name="Comma (0,00) TBD- 2 124" xfId="6453"/>
    <cellStyle name="Comma (0,00) TBD 2 125" xfId="6454"/>
    <cellStyle name="Comma (0,00) TBD- 2 125" xfId="6455"/>
    <cellStyle name="Comma (0,00) TBD 2 126" xfId="6456"/>
    <cellStyle name="Comma (0,00) TBD- 2 126" xfId="6457"/>
    <cellStyle name="Comma (0,00) TBD 2 127" xfId="6458"/>
    <cellStyle name="Comma (0,00) TBD- 2 127" xfId="6459"/>
    <cellStyle name="Comma (0,00) TBD 2 128" xfId="6460"/>
    <cellStyle name="Comma (0,00) TBD- 2 128" xfId="6461"/>
    <cellStyle name="Comma (0,00) TBD 2 129" xfId="6462"/>
    <cellStyle name="Comma (0,00) TBD- 2 129" xfId="6463"/>
    <cellStyle name="Comma (0,00) TBD 2 13" xfId="6464"/>
    <cellStyle name="Comma (0,00) TBD- 2 13" xfId="6465"/>
    <cellStyle name="Comma (0,00) TBD 2 130" xfId="6466"/>
    <cellStyle name="Comma (0,00) TBD- 2 130" xfId="6467"/>
    <cellStyle name="Comma (0,00) TBD 2 131" xfId="6468"/>
    <cellStyle name="Comma (0,00) TBD- 2 131" xfId="6469"/>
    <cellStyle name="Comma (0,00) TBD 2 132" xfId="6470"/>
    <cellStyle name="Comma (0,00) TBD- 2 132" xfId="6471"/>
    <cellStyle name="Comma (0,00) TBD 2 133" xfId="6472"/>
    <cellStyle name="Comma (0,00) TBD- 2 133" xfId="6473"/>
    <cellStyle name="Comma (0,00) TBD 2 134" xfId="6474"/>
    <cellStyle name="Comma (0,00) TBD- 2 134" xfId="6475"/>
    <cellStyle name="Comma (0,00) TBD 2 135" xfId="6476"/>
    <cellStyle name="Comma (0,00) TBD- 2 135" xfId="6477"/>
    <cellStyle name="Comma (0,00) TBD 2 136" xfId="6478"/>
    <cellStyle name="Comma (0,00) TBD- 2 136" xfId="6479"/>
    <cellStyle name="Comma (0,00) TBD 2 137" xfId="6480"/>
    <cellStyle name="Comma (0,00) TBD- 2 137" xfId="6481"/>
    <cellStyle name="Comma (0,00) TBD 2 138" xfId="6482"/>
    <cellStyle name="Comma (0,00) TBD- 2 138" xfId="6483"/>
    <cellStyle name="Comma (0,00) TBD 2 139" xfId="6484"/>
    <cellStyle name="Comma (0,00) TBD- 2 139" xfId="6485"/>
    <cellStyle name="Comma (0,00) TBD 2 14" xfId="6486"/>
    <cellStyle name="Comma (0,00) TBD- 2 14" xfId="6487"/>
    <cellStyle name="Comma (0,00) TBD 2 140" xfId="6488"/>
    <cellStyle name="Comma (0,00) TBD- 2 140" xfId="6489"/>
    <cellStyle name="Comma (0,00) TBD 2 141" xfId="6490"/>
    <cellStyle name="Comma (0,00) TBD- 2 141" xfId="6491"/>
    <cellStyle name="Comma (0,00) TBD 2 142" xfId="6492"/>
    <cellStyle name="Comma (0,00) TBD- 2 142" xfId="6493"/>
    <cellStyle name="Comma (0,00) TBD 2 143" xfId="6494"/>
    <cellStyle name="Comma (0,00) TBD- 2 143" xfId="6495"/>
    <cellStyle name="Comma (0,00) TBD 2 144" xfId="6496"/>
    <cellStyle name="Comma (0,00) TBD- 2 144" xfId="6497"/>
    <cellStyle name="Comma (0,00) TBD 2 145" xfId="6498"/>
    <cellStyle name="Comma (0,00) TBD- 2 145" xfId="6499"/>
    <cellStyle name="Comma (0,00) TBD 2 146" xfId="6500"/>
    <cellStyle name="Comma (0,00) TBD- 2 146" xfId="6501"/>
    <cellStyle name="Comma (0,00) TBD 2 147" xfId="6502"/>
    <cellStyle name="Comma (0,00) TBD- 2 147" xfId="6503"/>
    <cellStyle name="Comma (0,00) TBD 2 148" xfId="6504"/>
    <cellStyle name="Comma (0,00) TBD- 2 148" xfId="6505"/>
    <cellStyle name="Comma (0,00) TBD 2 149" xfId="6506"/>
    <cellStyle name="Comma (0,00) TBD- 2 149" xfId="6507"/>
    <cellStyle name="Comma (0,00) TBD 2 15" xfId="6508"/>
    <cellStyle name="Comma (0,00) TBD- 2 15" xfId="6509"/>
    <cellStyle name="Comma (0,00) TBD 2 150" xfId="6510"/>
    <cellStyle name="Comma (0,00) TBD- 2 150" xfId="6511"/>
    <cellStyle name="Comma (0,00) TBD 2 151" xfId="6512"/>
    <cellStyle name="Comma (0,00) TBD- 2 151" xfId="6513"/>
    <cellStyle name="Comma (0,00) TBD 2 152" xfId="6514"/>
    <cellStyle name="Comma (0,00) TBD- 2 152" xfId="6515"/>
    <cellStyle name="Comma (0,00) TBD 2 153" xfId="6516"/>
    <cellStyle name="Comma (0,00) TBD- 2 153" xfId="6517"/>
    <cellStyle name="Comma (0,00) TBD 2 16" xfId="6518"/>
    <cellStyle name="Comma (0,00) TBD- 2 16" xfId="6519"/>
    <cellStyle name="Comma (0,00) TBD 2 17" xfId="6520"/>
    <cellStyle name="Comma (0,00) TBD- 2 17" xfId="6521"/>
    <cellStyle name="Comma (0,00) TBD 2 18" xfId="6522"/>
    <cellStyle name="Comma (0,00) TBD- 2 18" xfId="6523"/>
    <cellStyle name="Comma (0,00) TBD 2 19" xfId="6524"/>
    <cellStyle name="Comma (0,00) TBD- 2 19" xfId="6525"/>
    <cellStyle name="Comma (0,00) TBD 2 2" xfId="6526"/>
    <cellStyle name="Comma (0,00) TBD- 2 2" xfId="6527"/>
    <cellStyle name="Comma (0,00) TBD 2 20" xfId="6528"/>
    <cellStyle name="Comma (0,00) TBD- 2 20" xfId="6529"/>
    <cellStyle name="Comma (0,00) TBD 2 21" xfId="6530"/>
    <cellStyle name="Comma (0,00) TBD- 2 21" xfId="6531"/>
    <cellStyle name="Comma (0,00) TBD 2 22" xfId="6532"/>
    <cellStyle name="Comma (0,00) TBD- 2 22" xfId="6533"/>
    <cellStyle name="Comma (0,00) TBD 2 23" xfId="6534"/>
    <cellStyle name="Comma (0,00) TBD- 2 23" xfId="6535"/>
    <cellStyle name="Comma (0,00) TBD 2 24" xfId="6536"/>
    <cellStyle name="Comma (0,00) TBD- 2 24" xfId="6537"/>
    <cellStyle name="Comma (0,00) TBD 2 25" xfId="6538"/>
    <cellStyle name="Comma (0,00) TBD- 2 25" xfId="6539"/>
    <cellStyle name="Comma (0,00) TBD 2 26" xfId="6540"/>
    <cellStyle name="Comma (0,00) TBD- 2 26" xfId="6541"/>
    <cellStyle name="Comma (0,00) TBD 2 27" xfId="6542"/>
    <cellStyle name="Comma (0,00) TBD- 2 27" xfId="6543"/>
    <cellStyle name="Comma (0,00) TBD 2 28" xfId="6544"/>
    <cellStyle name="Comma (0,00) TBD- 2 28" xfId="6545"/>
    <cellStyle name="Comma (0,00) TBD 2 29" xfId="6546"/>
    <cellStyle name="Comma (0,00) TBD- 2 29" xfId="6547"/>
    <cellStyle name="Comma (0,00) TBD 2 3" xfId="6548"/>
    <cellStyle name="Comma (0,00) TBD- 2 3" xfId="6549"/>
    <cellStyle name="Comma (0,00) TBD 2 30" xfId="6550"/>
    <cellStyle name="Comma (0,00) TBD- 2 30" xfId="6551"/>
    <cellStyle name="Comma (0,00) TBD 2 31" xfId="6552"/>
    <cellStyle name="Comma (0,00) TBD- 2 31" xfId="6553"/>
    <cellStyle name="Comma (0,00) TBD 2 32" xfId="6554"/>
    <cellStyle name="Comma (0,00) TBD- 2 32" xfId="6555"/>
    <cellStyle name="Comma (0,00) TBD 2 33" xfId="6556"/>
    <cellStyle name="Comma (0,00) TBD- 2 33" xfId="6557"/>
    <cellStyle name="Comma (0,00) TBD 2 34" xfId="6558"/>
    <cellStyle name="Comma (0,00) TBD- 2 34" xfId="6559"/>
    <cellStyle name="Comma (0,00) TBD 2 35" xfId="6560"/>
    <cellStyle name="Comma (0,00) TBD- 2 35" xfId="6561"/>
    <cellStyle name="Comma (0,00) TBD 2 36" xfId="6562"/>
    <cellStyle name="Comma (0,00) TBD- 2 36" xfId="6563"/>
    <cellStyle name="Comma (0,00) TBD 2 37" xfId="6564"/>
    <cellStyle name="Comma (0,00) TBD- 2 37" xfId="6565"/>
    <cellStyle name="Comma (0,00) TBD 2 38" xfId="6566"/>
    <cellStyle name="Comma (0,00) TBD- 2 38" xfId="6567"/>
    <cellStyle name="Comma (0,00) TBD 2 39" xfId="6568"/>
    <cellStyle name="Comma (0,00) TBD- 2 39" xfId="6569"/>
    <cellStyle name="Comma (0,00) TBD 2 4" xfId="6570"/>
    <cellStyle name="Comma (0,00) TBD- 2 4" xfId="6571"/>
    <cellStyle name="Comma (0,00) TBD 2 40" xfId="6572"/>
    <cellStyle name="Comma (0,00) TBD- 2 40" xfId="6573"/>
    <cellStyle name="Comma (0,00) TBD 2 41" xfId="6574"/>
    <cellStyle name="Comma (0,00) TBD- 2 41" xfId="6575"/>
    <cellStyle name="Comma (0,00) TBD 2 42" xfId="6576"/>
    <cellStyle name="Comma (0,00) TBD- 2 42" xfId="6577"/>
    <cellStyle name="Comma (0,00) TBD 2 43" xfId="6578"/>
    <cellStyle name="Comma (0,00) TBD- 2 43" xfId="6579"/>
    <cellStyle name="Comma (0,00) TBD 2 44" xfId="6580"/>
    <cellStyle name="Comma (0,00) TBD- 2 44" xfId="6581"/>
    <cellStyle name="Comma (0,00) TBD 2 45" xfId="6582"/>
    <cellStyle name="Comma (0,00) TBD- 2 45" xfId="6583"/>
    <cellStyle name="Comma (0,00) TBD 2 46" xfId="6584"/>
    <cellStyle name="Comma (0,00) TBD- 2 46" xfId="6585"/>
    <cellStyle name="Comma (0,00) TBD 2 47" xfId="6586"/>
    <cellStyle name="Comma (0,00) TBD- 2 47" xfId="6587"/>
    <cellStyle name="Comma (0,00) TBD 2 48" xfId="6588"/>
    <cellStyle name="Comma (0,00) TBD- 2 48" xfId="6589"/>
    <cellStyle name="Comma (0,00) TBD 2 49" xfId="6590"/>
    <cellStyle name="Comma (0,00) TBD- 2 49" xfId="6591"/>
    <cellStyle name="Comma (0,00) TBD 2 5" xfId="6592"/>
    <cellStyle name="Comma (0,00) TBD- 2 5" xfId="6593"/>
    <cellStyle name="Comma (0,00) TBD 2 50" xfId="6594"/>
    <cellStyle name="Comma (0,00) TBD- 2 50" xfId="6595"/>
    <cellStyle name="Comma (0,00) TBD 2 51" xfId="6596"/>
    <cellStyle name="Comma (0,00) TBD- 2 51" xfId="6597"/>
    <cellStyle name="Comma (0,00) TBD 2 52" xfId="6598"/>
    <cellStyle name="Comma (0,00) TBD- 2 52" xfId="6599"/>
    <cellStyle name="Comma (0,00) TBD 2 53" xfId="6600"/>
    <cellStyle name="Comma (0,00) TBD- 2 53" xfId="6601"/>
    <cellStyle name="Comma (0,00) TBD 2 54" xfId="6602"/>
    <cellStyle name="Comma (0,00) TBD- 2 54" xfId="6603"/>
    <cellStyle name="Comma (0,00) TBD 2 55" xfId="6604"/>
    <cellStyle name="Comma (0,00) TBD- 2 55" xfId="6605"/>
    <cellStyle name="Comma (0,00) TBD 2 56" xfId="6606"/>
    <cellStyle name="Comma (0,00) TBD- 2 56" xfId="6607"/>
    <cellStyle name="Comma (0,00) TBD 2 57" xfId="6608"/>
    <cellStyle name="Comma (0,00) TBD- 2 57" xfId="6609"/>
    <cellStyle name="Comma (0,00) TBD 2 58" xfId="6610"/>
    <cellStyle name="Comma (0,00) TBD- 2 58" xfId="6611"/>
    <cellStyle name="Comma (0,00) TBD 2 59" xfId="6612"/>
    <cellStyle name="Comma (0,00) TBD- 2 59" xfId="6613"/>
    <cellStyle name="Comma (0,00) TBD 2 6" xfId="6614"/>
    <cellStyle name="Comma (0,00) TBD- 2 6" xfId="6615"/>
    <cellStyle name="Comma (0,00) TBD 2 60" xfId="6616"/>
    <cellStyle name="Comma (0,00) TBD- 2 60" xfId="6617"/>
    <cellStyle name="Comma (0,00) TBD 2 61" xfId="6618"/>
    <cellStyle name="Comma (0,00) TBD- 2 61" xfId="6619"/>
    <cellStyle name="Comma (0,00) TBD 2 62" xfId="6620"/>
    <cellStyle name="Comma (0,00) TBD- 2 62" xfId="6621"/>
    <cellStyle name="Comma (0,00) TBD 2 63" xfId="6622"/>
    <cellStyle name="Comma (0,00) TBD- 2 63" xfId="6623"/>
    <cellStyle name="Comma (0,00) TBD 2 64" xfId="6624"/>
    <cellStyle name="Comma (0,00) TBD- 2 64" xfId="6625"/>
    <cellStyle name="Comma (0,00) TBD 2 65" xfId="6626"/>
    <cellStyle name="Comma (0,00) TBD- 2 65" xfId="6627"/>
    <cellStyle name="Comma (0,00) TBD 2 66" xfId="6628"/>
    <cellStyle name="Comma (0,00) TBD- 2 66" xfId="6629"/>
    <cellStyle name="Comma (0,00) TBD 2 67" xfId="6630"/>
    <cellStyle name="Comma (0,00) TBD- 2 67" xfId="6631"/>
    <cellStyle name="Comma (0,00) TBD 2 68" xfId="6632"/>
    <cellStyle name="Comma (0,00) TBD- 2 68" xfId="6633"/>
    <cellStyle name="Comma (0,00) TBD 2 69" xfId="6634"/>
    <cellStyle name="Comma (0,00) TBD- 2 69" xfId="6635"/>
    <cellStyle name="Comma (0,00) TBD 2 7" xfId="6636"/>
    <cellStyle name="Comma (0,00) TBD- 2 7" xfId="6637"/>
    <cellStyle name="Comma (0,00) TBD 2 70" xfId="6638"/>
    <cellStyle name="Comma (0,00) TBD- 2 70" xfId="6639"/>
    <cellStyle name="Comma (0,00) TBD 2 71" xfId="6640"/>
    <cellStyle name="Comma (0,00) TBD- 2 71" xfId="6641"/>
    <cellStyle name="Comma (0,00) TBD 2 72" xfId="6642"/>
    <cellStyle name="Comma (0,00) TBD- 2 72" xfId="6643"/>
    <cellStyle name="Comma (0,00) TBD 2 73" xfId="6644"/>
    <cellStyle name="Comma (0,00) TBD- 2 73" xfId="6645"/>
    <cellStyle name="Comma (0,00) TBD 2 74" xfId="6646"/>
    <cellStyle name="Comma (0,00) TBD- 2 74" xfId="6647"/>
    <cellStyle name="Comma (0,00) TBD 2 75" xfId="6648"/>
    <cellStyle name="Comma (0,00) TBD- 2 75" xfId="6649"/>
    <cellStyle name="Comma (0,00) TBD 2 76" xfId="6650"/>
    <cellStyle name="Comma (0,00) TBD- 2 76" xfId="6651"/>
    <cellStyle name="Comma (0,00) TBD 2 77" xfId="6652"/>
    <cellStyle name="Comma (0,00) TBD- 2 77" xfId="6653"/>
    <cellStyle name="Comma (0,00) TBD 2 78" xfId="6654"/>
    <cellStyle name="Comma (0,00) TBD- 2 78" xfId="6655"/>
    <cellStyle name="Comma (0,00) TBD 2 79" xfId="6656"/>
    <cellStyle name="Comma (0,00) TBD- 2 79" xfId="6657"/>
    <cellStyle name="Comma (0,00) TBD 2 8" xfId="6658"/>
    <cellStyle name="Comma (0,00) TBD- 2 8" xfId="6659"/>
    <cellStyle name="Comma (0,00) TBD 2 80" xfId="6660"/>
    <cellStyle name="Comma (0,00) TBD- 2 80" xfId="6661"/>
    <cellStyle name="Comma (0,00) TBD 2 81" xfId="6662"/>
    <cellStyle name="Comma (0,00) TBD- 2 81" xfId="6663"/>
    <cellStyle name="Comma (0,00) TBD 2 82" xfId="6664"/>
    <cellStyle name="Comma (0,00) TBD- 2 82" xfId="6665"/>
    <cellStyle name="Comma (0,00) TBD 2 83" xfId="6666"/>
    <cellStyle name="Comma (0,00) TBD- 2 83" xfId="6667"/>
    <cellStyle name="Comma (0,00) TBD 2 84" xfId="6668"/>
    <cellStyle name="Comma (0,00) TBD- 2 84" xfId="6669"/>
    <cellStyle name="Comma (0,00) TBD 2 85" xfId="6670"/>
    <cellStyle name="Comma (0,00) TBD- 2 85" xfId="6671"/>
    <cellStyle name="Comma (0,00) TBD 2 86" xfId="6672"/>
    <cellStyle name="Comma (0,00) TBD- 2 86" xfId="6673"/>
    <cellStyle name="Comma (0,00) TBD 2 87" xfId="6674"/>
    <cellStyle name="Comma (0,00) TBD- 2 87" xfId="6675"/>
    <cellStyle name="Comma (0,00) TBD 2 88" xfId="6676"/>
    <cellStyle name="Comma (0,00) TBD- 2 88" xfId="6677"/>
    <cellStyle name="Comma (0,00) TBD 2 89" xfId="6678"/>
    <cellStyle name="Comma (0,00) TBD- 2 89" xfId="6679"/>
    <cellStyle name="Comma (0,00) TBD 2 9" xfId="6680"/>
    <cellStyle name="Comma (0,00) TBD- 2 9" xfId="6681"/>
    <cellStyle name="Comma (0,00) TBD 2 90" xfId="6682"/>
    <cellStyle name="Comma (0,00) TBD- 2 90" xfId="6683"/>
    <cellStyle name="Comma (0,00) TBD 2 91" xfId="6684"/>
    <cellStyle name="Comma (0,00) TBD- 2 91" xfId="6685"/>
    <cellStyle name="Comma (0,00) TBD 2 92" xfId="6686"/>
    <cellStyle name="Comma (0,00) TBD- 2 92" xfId="6687"/>
    <cellStyle name="Comma (0,00) TBD 2 93" xfId="6688"/>
    <cellStyle name="Comma (0,00) TBD- 2 93" xfId="6689"/>
    <cellStyle name="Comma (0,00) TBD 2 94" xfId="6690"/>
    <cellStyle name="Comma (0,00) TBD- 2 94" xfId="6691"/>
    <cellStyle name="Comma (0,00) TBD 2 95" xfId="6692"/>
    <cellStyle name="Comma (0,00) TBD- 2 95" xfId="6693"/>
    <cellStyle name="Comma (0,00) TBD 2 96" xfId="6694"/>
    <cellStyle name="Comma (0,00) TBD- 2 96" xfId="6695"/>
    <cellStyle name="Comma (0,00) TBD 2 97" xfId="6696"/>
    <cellStyle name="Comma (0,00) TBD- 2 97" xfId="6697"/>
    <cellStyle name="Comma (0,00) TBD 2 98" xfId="6698"/>
    <cellStyle name="Comma (0,00) TBD- 2 98" xfId="6699"/>
    <cellStyle name="Comma (0,00) TBD 2 99" xfId="6700"/>
    <cellStyle name="Comma (0,00) TBD- 2 99" xfId="6701"/>
    <cellStyle name="Comma (0,00) TBD 3" xfId="6702"/>
    <cellStyle name="Comma (0,00) TBD- 3" xfId="6703"/>
    <cellStyle name="Comma (0,00) TBD 3 10" xfId="6704"/>
    <cellStyle name="Comma (0,00) TBD- 3 10" xfId="6705"/>
    <cellStyle name="Comma (0,00) TBD 3 100" xfId="6706"/>
    <cellStyle name="Comma (0,00) TBD- 3 100" xfId="6707"/>
    <cellStyle name="Comma (0,00) TBD 3 101" xfId="6708"/>
    <cellStyle name="Comma (0,00) TBD- 3 101" xfId="6709"/>
    <cellStyle name="Comma (0,00) TBD 3 102" xfId="6710"/>
    <cellStyle name="Comma (0,00) TBD- 3 102" xfId="6711"/>
    <cellStyle name="Comma (0,00) TBD 3 103" xfId="6712"/>
    <cellStyle name="Comma (0,00) TBD- 3 103" xfId="6713"/>
    <cellStyle name="Comma (0,00) TBD 3 104" xfId="6714"/>
    <cellStyle name="Comma (0,00) TBD- 3 104" xfId="6715"/>
    <cellStyle name="Comma (0,00) TBD 3 105" xfId="6716"/>
    <cellStyle name="Comma (0,00) TBD- 3 105" xfId="6717"/>
    <cellStyle name="Comma (0,00) TBD 3 106" xfId="6718"/>
    <cellStyle name="Comma (0,00) TBD- 3 106" xfId="6719"/>
    <cellStyle name="Comma (0,00) TBD 3 107" xfId="6720"/>
    <cellStyle name="Comma (0,00) TBD- 3 107" xfId="6721"/>
    <cellStyle name="Comma (0,00) TBD 3 108" xfId="6722"/>
    <cellStyle name="Comma (0,00) TBD- 3 108" xfId="6723"/>
    <cellStyle name="Comma (0,00) TBD 3 109" xfId="6724"/>
    <cellStyle name="Comma (0,00) TBD- 3 109" xfId="6725"/>
    <cellStyle name="Comma (0,00) TBD 3 11" xfId="6726"/>
    <cellStyle name="Comma (0,00) TBD- 3 11" xfId="6727"/>
    <cellStyle name="Comma (0,00) TBD 3 110" xfId="6728"/>
    <cellStyle name="Comma (0,00) TBD- 3 110" xfId="6729"/>
    <cellStyle name="Comma (0,00) TBD 3 111" xfId="6730"/>
    <cellStyle name="Comma (0,00) TBD- 3 111" xfId="6731"/>
    <cellStyle name="Comma (0,00) TBD 3 112" xfId="6732"/>
    <cellStyle name="Comma (0,00) TBD- 3 112" xfId="6733"/>
    <cellStyle name="Comma (0,00) TBD 3 113" xfId="6734"/>
    <cellStyle name="Comma (0,00) TBD- 3 113" xfId="6735"/>
    <cellStyle name="Comma (0,00) TBD 3 114" xfId="6736"/>
    <cellStyle name="Comma (0,00) TBD- 3 114" xfId="6737"/>
    <cellStyle name="Comma (0,00) TBD 3 115" xfId="6738"/>
    <cellStyle name="Comma (0,00) TBD- 3 115" xfId="6739"/>
    <cellStyle name="Comma (0,00) TBD 3 116" xfId="6740"/>
    <cellStyle name="Comma (0,00) TBD- 3 116" xfId="6741"/>
    <cellStyle name="Comma (0,00) TBD 3 117" xfId="6742"/>
    <cellStyle name="Comma (0,00) TBD- 3 117" xfId="6743"/>
    <cellStyle name="Comma (0,00) TBD 3 118" xfId="6744"/>
    <cellStyle name="Comma (0,00) TBD- 3 118" xfId="6745"/>
    <cellStyle name="Comma (0,00) TBD 3 119" xfId="6746"/>
    <cellStyle name="Comma (0,00) TBD- 3 119" xfId="6747"/>
    <cellStyle name="Comma (0,00) TBD 3 12" xfId="6748"/>
    <cellStyle name="Comma (0,00) TBD- 3 12" xfId="6749"/>
    <cellStyle name="Comma (0,00) TBD 3 120" xfId="6750"/>
    <cellStyle name="Comma (0,00) TBD- 3 120" xfId="6751"/>
    <cellStyle name="Comma (0,00) TBD 3 121" xfId="6752"/>
    <cellStyle name="Comma (0,00) TBD- 3 121" xfId="6753"/>
    <cellStyle name="Comma (0,00) TBD 3 122" xfId="6754"/>
    <cellStyle name="Comma (0,00) TBD- 3 122" xfId="6755"/>
    <cellStyle name="Comma (0,00) TBD 3 123" xfId="6756"/>
    <cellStyle name="Comma (0,00) TBD- 3 123" xfId="6757"/>
    <cellStyle name="Comma (0,00) TBD 3 124" xfId="6758"/>
    <cellStyle name="Comma (0,00) TBD- 3 124" xfId="6759"/>
    <cellStyle name="Comma (0,00) TBD 3 125" xfId="6760"/>
    <cellStyle name="Comma (0,00) TBD- 3 125" xfId="6761"/>
    <cellStyle name="Comma (0,00) TBD 3 126" xfId="6762"/>
    <cellStyle name="Comma (0,00) TBD- 3 126" xfId="6763"/>
    <cellStyle name="Comma (0,00) TBD 3 127" xfId="6764"/>
    <cellStyle name="Comma (0,00) TBD- 3 127" xfId="6765"/>
    <cellStyle name="Comma (0,00) TBD 3 128" xfId="6766"/>
    <cellStyle name="Comma (0,00) TBD- 3 128" xfId="6767"/>
    <cellStyle name="Comma (0,00) TBD 3 129" xfId="6768"/>
    <cellStyle name="Comma (0,00) TBD- 3 129" xfId="6769"/>
    <cellStyle name="Comma (0,00) TBD 3 13" xfId="6770"/>
    <cellStyle name="Comma (0,00) TBD- 3 13" xfId="6771"/>
    <cellStyle name="Comma (0,00) TBD 3 130" xfId="6772"/>
    <cellStyle name="Comma (0,00) TBD- 3 130" xfId="6773"/>
    <cellStyle name="Comma (0,00) TBD 3 131" xfId="6774"/>
    <cellStyle name="Comma (0,00) TBD- 3 131" xfId="6775"/>
    <cellStyle name="Comma (0,00) TBD 3 132" xfId="6776"/>
    <cellStyle name="Comma (0,00) TBD- 3 132" xfId="6777"/>
    <cellStyle name="Comma (0,00) TBD 3 133" xfId="6778"/>
    <cellStyle name="Comma (0,00) TBD- 3 133" xfId="6779"/>
    <cellStyle name="Comma (0,00) TBD 3 134" xfId="6780"/>
    <cellStyle name="Comma (0,00) TBD- 3 134" xfId="6781"/>
    <cellStyle name="Comma (0,00) TBD 3 135" xfId="6782"/>
    <cellStyle name="Comma (0,00) TBD- 3 135" xfId="6783"/>
    <cellStyle name="Comma (0,00) TBD 3 136" xfId="6784"/>
    <cellStyle name="Comma (0,00) TBD- 3 136" xfId="6785"/>
    <cellStyle name="Comma (0,00) TBD 3 137" xfId="6786"/>
    <cellStyle name="Comma (0,00) TBD- 3 137" xfId="6787"/>
    <cellStyle name="Comma (0,00) TBD 3 138" xfId="6788"/>
    <cellStyle name="Comma (0,00) TBD- 3 138" xfId="6789"/>
    <cellStyle name="Comma (0,00) TBD 3 139" xfId="6790"/>
    <cellStyle name="Comma (0,00) TBD- 3 139" xfId="6791"/>
    <cellStyle name="Comma (0,00) TBD 3 14" xfId="6792"/>
    <cellStyle name="Comma (0,00) TBD- 3 14" xfId="6793"/>
    <cellStyle name="Comma (0,00) TBD 3 140" xfId="6794"/>
    <cellStyle name="Comma (0,00) TBD- 3 140" xfId="6795"/>
    <cellStyle name="Comma (0,00) TBD 3 141" xfId="6796"/>
    <cellStyle name="Comma (0,00) TBD- 3 141" xfId="6797"/>
    <cellStyle name="Comma (0,00) TBD 3 142" xfId="6798"/>
    <cellStyle name="Comma (0,00) TBD- 3 142" xfId="6799"/>
    <cellStyle name="Comma (0,00) TBD 3 143" xfId="6800"/>
    <cellStyle name="Comma (0,00) TBD- 3 143" xfId="6801"/>
    <cellStyle name="Comma (0,00) TBD 3 144" xfId="6802"/>
    <cellStyle name="Comma (0,00) TBD- 3 144" xfId="6803"/>
    <cellStyle name="Comma (0,00) TBD 3 145" xfId="6804"/>
    <cellStyle name="Comma (0,00) TBD- 3 145" xfId="6805"/>
    <cellStyle name="Comma (0,00) TBD 3 146" xfId="6806"/>
    <cellStyle name="Comma (0,00) TBD- 3 146" xfId="6807"/>
    <cellStyle name="Comma (0,00) TBD 3 147" xfId="6808"/>
    <cellStyle name="Comma (0,00) TBD- 3 147" xfId="6809"/>
    <cellStyle name="Comma (0,00) TBD 3 148" xfId="6810"/>
    <cellStyle name="Comma (0,00) TBD- 3 148" xfId="6811"/>
    <cellStyle name="Comma (0,00) TBD 3 149" xfId="6812"/>
    <cellStyle name="Comma (0,00) TBD- 3 149" xfId="6813"/>
    <cellStyle name="Comma (0,00) TBD 3 15" xfId="6814"/>
    <cellStyle name="Comma (0,00) TBD- 3 15" xfId="6815"/>
    <cellStyle name="Comma (0,00) TBD 3 150" xfId="6816"/>
    <cellStyle name="Comma (0,00) TBD- 3 150" xfId="6817"/>
    <cellStyle name="Comma (0,00) TBD 3 151" xfId="6818"/>
    <cellStyle name="Comma (0,00) TBD- 3 151" xfId="6819"/>
    <cellStyle name="Comma (0,00) TBD 3 152" xfId="6820"/>
    <cellStyle name="Comma (0,00) TBD- 3 152" xfId="6821"/>
    <cellStyle name="Comma (0,00) TBD 3 153" xfId="6822"/>
    <cellStyle name="Comma (0,00) TBD- 3 153" xfId="6823"/>
    <cellStyle name="Comma (0,00) TBD 3 16" xfId="6824"/>
    <cellStyle name="Comma (0,00) TBD- 3 16" xfId="6825"/>
    <cellStyle name="Comma (0,00) TBD 3 17" xfId="6826"/>
    <cellStyle name="Comma (0,00) TBD- 3 17" xfId="6827"/>
    <cellStyle name="Comma (0,00) TBD 3 18" xfId="6828"/>
    <cellStyle name="Comma (0,00) TBD- 3 18" xfId="6829"/>
    <cellStyle name="Comma (0,00) TBD 3 19" xfId="6830"/>
    <cellStyle name="Comma (0,00) TBD- 3 19" xfId="6831"/>
    <cellStyle name="Comma (0,00) TBD 3 2" xfId="6832"/>
    <cellStyle name="Comma (0,00) TBD- 3 2" xfId="6833"/>
    <cellStyle name="Comma (0,00) TBD 3 20" xfId="6834"/>
    <cellStyle name="Comma (0,00) TBD- 3 20" xfId="6835"/>
    <cellStyle name="Comma (0,00) TBD 3 21" xfId="6836"/>
    <cellStyle name="Comma (0,00) TBD- 3 21" xfId="6837"/>
    <cellStyle name="Comma (0,00) TBD 3 22" xfId="6838"/>
    <cellStyle name="Comma (0,00) TBD- 3 22" xfId="6839"/>
    <cellStyle name="Comma (0,00) TBD 3 23" xfId="6840"/>
    <cellStyle name="Comma (0,00) TBD- 3 23" xfId="6841"/>
    <cellStyle name="Comma (0,00) TBD 3 24" xfId="6842"/>
    <cellStyle name="Comma (0,00) TBD- 3 24" xfId="6843"/>
    <cellStyle name="Comma (0,00) TBD 3 25" xfId="6844"/>
    <cellStyle name="Comma (0,00) TBD- 3 25" xfId="6845"/>
    <cellStyle name="Comma (0,00) TBD 3 26" xfId="6846"/>
    <cellStyle name="Comma (0,00) TBD- 3 26" xfId="6847"/>
    <cellStyle name="Comma (0,00) TBD 3 27" xfId="6848"/>
    <cellStyle name="Comma (0,00) TBD- 3 27" xfId="6849"/>
    <cellStyle name="Comma (0,00) TBD 3 28" xfId="6850"/>
    <cellStyle name="Comma (0,00) TBD- 3 28" xfId="6851"/>
    <cellStyle name="Comma (0,00) TBD 3 29" xfId="6852"/>
    <cellStyle name="Comma (0,00) TBD- 3 29" xfId="6853"/>
    <cellStyle name="Comma (0,00) TBD 3 3" xfId="6854"/>
    <cellStyle name="Comma (0,00) TBD- 3 3" xfId="6855"/>
    <cellStyle name="Comma (0,00) TBD 3 30" xfId="6856"/>
    <cellStyle name="Comma (0,00) TBD- 3 30" xfId="6857"/>
    <cellStyle name="Comma (0,00) TBD 3 31" xfId="6858"/>
    <cellStyle name="Comma (0,00) TBD- 3 31" xfId="6859"/>
    <cellStyle name="Comma (0,00) TBD 3 32" xfId="6860"/>
    <cellStyle name="Comma (0,00) TBD- 3 32" xfId="6861"/>
    <cellStyle name="Comma (0,00) TBD 3 33" xfId="6862"/>
    <cellStyle name="Comma (0,00) TBD- 3 33" xfId="6863"/>
    <cellStyle name="Comma (0,00) TBD 3 34" xfId="6864"/>
    <cellStyle name="Comma (0,00) TBD- 3 34" xfId="6865"/>
    <cellStyle name="Comma (0,00) TBD 3 35" xfId="6866"/>
    <cellStyle name="Comma (0,00) TBD- 3 35" xfId="6867"/>
    <cellStyle name="Comma (0,00) TBD 3 36" xfId="6868"/>
    <cellStyle name="Comma (0,00) TBD- 3 36" xfId="6869"/>
    <cellStyle name="Comma (0,00) TBD 3 37" xfId="6870"/>
    <cellStyle name="Comma (0,00) TBD- 3 37" xfId="6871"/>
    <cellStyle name="Comma (0,00) TBD 3 38" xfId="6872"/>
    <cellStyle name="Comma (0,00) TBD- 3 38" xfId="6873"/>
    <cellStyle name="Comma (0,00) TBD 3 39" xfId="6874"/>
    <cellStyle name="Comma (0,00) TBD- 3 39" xfId="6875"/>
    <cellStyle name="Comma (0,00) TBD 3 4" xfId="6876"/>
    <cellStyle name="Comma (0,00) TBD- 3 4" xfId="6877"/>
    <cellStyle name="Comma (0,00) TBD 3 40" xfId="6878"/>
    <cellStyle name="Comma (0,00) TBD- 3 40" xfId="6879"/>
    <cellStyle name="Comma (0,00) TBD 3 41" xfId="6880"/>
    <cellStyle name="Comma (0,00) TBD- 3 41" xfId="6881"/>
    <cellStyle name="Comma (0,00) TBD 3 42" xfId="6882"/>
    <cellStyle name="Comma (0,00) TBD- 3 42" xfId="6883"/>
    <cellStyle name="Comma (0,00) TBD 3 43" xfId="6884"/>
    <cellStyle name="Comma (0,00) TBD- 3 43" xfId="6885"/>
    <cellStyle name="Comma (0,00) TBD 3 44" xfId="6886"/>
    <cellStyle name="Comma (0,00) TBD- 3 44" xfId="6887"/>
    <cellStyle name="Comma (0,00) TBD 3 45" xfId="6888"/>
    <cellStyle name="Comma (0,00) TBD- 3 45" xfId="6889"/>
    <cellStyle name="Comma (0,00) TBD 3 46" xfId="6890"/>
    <cellStyle name="Comma (0,00) TBD- 3 46" xfId="6891"/>
    <cellStyle name="Comma (0,00) TBD 3 47" xfId="6892"/>
    <cellStyle name="Comma (0,00) TBD- 3 47" xfId="6893"/>
    <cellStyle name="Comma (0,00) TBD 3 48" xfId="6894"/>
    <cellStyle name="Comma (0,00) TBD- 3 48" xfId="6895"/>
    <cellStyle name="Comma (0,00) TBD 3 49" xfId="6896"/>
    <cellStyle name="Comma (0,00) TBD- 3 49" xfId="6897"/>
    <cellStyle name="Comma (0,00) TBD 3 5" xfId="6898"/>
    <cellStyle name="Comma (0,00) TBD- 3 5" xfId="6899"/>
    <cellStyle name="Comma (0,00) TBD 3 50" xfId="6900"/>
    <cellStyle name="Comma (0,00) TBD- 3 50" xfId="6901"/>
    <cellStyle name="Comma (0,00) TBD 3 51" xfId="6902"/>
    <cellStyle name="Comma (0,00) TBD- 3 51" xfId="6903"/>
    <cellStyle name="Comma (0,00) TBD 3 52" xfId="6904"/>
    <cellStyle name="Comma (0,00) TBD- 3 52" xfId="6905"/>
    <cellStyle name="Comma (0,00) TBD 3 53" xfId="6906"/>
    <cellStyle name="Comma (0,00) TBD- 3 53" xfId="6907"/>
    <cellStyle name="Comma (0,00) TBD 3 54" xfId="6908"/>
    <cellStyle name="Comma (0,00) TBD- 3 54" xfId="6909"/>
    <cellStyle name="Comma (0,00) TBD 3 55" xfId="6910"/>
    <cellStyle name="Comma (0,00) TBD- 3 55" xfId="6911"/>
    <cellStyle name="Comma (0,00) TBD 3 56" xfId="6912"/>
    <cellStyle name="Comma (0,00) TBD- 3 56" xfId="6913"/>
    <cellStyle name="Comma (0,00) TBD 3 57" xfId="6914"/>
    <cellStyle name="Comma (0,00) TBD- 3 57" xfId="6915"/>
    <cellStyle name="Comma (0,00) TBD 3 58" xfId="6916"/>
    <cellStyle name="Comma (0,00) TBD- 3 58" xfId="6917"/>
    <cellStyle name="Comma (0,00) TBD 3 59" xfId="6918"/>
    <cellStyle name="Comma (0,00) TBD- 3 59" xfId="6919"/>
    <cellStyle name="Comma (0,00) TBD 3 6" xfId="6920"/>
    <cellStyle name="Comma (0,00) TBD- 3 6" xfId="6921"/>
    <cellStyle name="Comma (0,00) TBD 3 60" xfId="6922"/>
    <cellStyle name="Comma (0,00) TBD- 3 60" xfId="6923"/>
    <cellStyle name="Comma (0,00) TBD 3 61" xfId="6924"/>
    <cellStyle name="Comma (0,00) TBD- 3 61" xfId="6925"/>
    <cellStyle name="Comma (0,00) TBD 3 62" xfId="6926"/>
    <cellStyle name="Comma (0,00) TBD- 3 62" xfId="6927"/>
    <cellStyle name="Comma (0,00) TBD 3 63" xfId="6928"/>
    <cellStyle name="Comma (0,00) TBD- 3 63" xfId="6929"/>
    <cellStyle name="Comma (0,00) TBD 3 64" xfId="6930"/>
    <cellStyle name="Comma (0,00) TBD- 3 64" xfId="6931"/>
    <cellStyle name="Comma (0,00) TBD 3 65" xfId="6932"/>
    <cellStyle name="Comma (0,00) TBD- 3 65" xfId="6933"/>
    <cellStyle name="Comma (0,00) TBD 3 66" xfId="6934"/>
    <cellStyle name="Comma (0,00) TBD- 3 66" xfId="6935"/>
    <cellStyle name="Comma (0,00) TBD 3 67" xfId="6936"/>
    <cellStyle name="Comma (0,00) TBD- 3 67" xfId="6937"/>
    <cellStyle name="Comma (0,00) TBD 3 68" xfId="6938"/>
    <cellStyle name="Comma (0,00) TBD- 3 68" xfId="6939"/>
    <cellStyle name="Comma (0,00) TBD 3 69" xfId="6940"/>
    <cellStyle name="Comma (0,00) TBD- 3 69" xfId="6941"/>
    <cellStyle name="Comma (0,00) TBD 3 7" xfId="6942"/>
    <cellStyle name="Comma (0,00) TBD- 3 7" xfId="6943"/>
    <cellStyle name="Comma (0,00) TBD 3 70" xfId="6944"/>
    <cellStyle name="Comma (0,00) TBD- 3 70" xfId="6945"/>
    <cellStyle name="Comma (0,00) TBD 3 71" xfId="6946"/>
    <cellStyle name="Comma (0,00) TBD- 3 71" xfId="6947"/>
    <cellStyle name="Comma (0,00) TBD 3 72" xfId="6948"/>
    <cellStyle name="Comma (0,00) TBD- 3 72" xfId="6949"/>
    <cellStyle name="Comma (0,00) TBD 3 73" xfId="6950"/>
    <cellStyle name="Comma (0,00) TBD- 3 73" xfId="6951"/>
    <cellStyle name="Comma (0,00) TBD 3 74" xfId="6952"/>
    <cellStyle name="Comma (0,00) TBD- 3 74" xfId="6953"/>
    <cellStyle name="Comma (0,00) TBD 3 75" xfId="6954"/>
    <cellStyle name="Comma (0,00) TBD- 3 75" xfId="6955"/>
    <cellStyle name="Comma (0,00) TBD 3 76" xfId="6956"/>
    <cellStyle name="Comma (0,00) TBD- 3 76" xfId="6957"/>
    <cellStyle name="Comma (0,00) TBD 3 77" xfId="6958"/>
    <cellStyle name="Comma (0,00) TBD- 3 77" xfId="6959"/>
    <cellStyle name="Comma (0,00) TBD 3 78" xfId="6960"/>
    <cellStyle name="Comma (0,00) TBD- 3 78" xfId="6961"/>
    <cellStyle name="Comma (0,00) TBD 3 79" xfId="6962"/>
    <cellStyle name="Comma (0,00) TBD- 3 79" xfId="6963"/>
    <cellStyle name="Comma (0,00) TBD 3 8" xfId="6964"/>
    <cellStyle name="Comma (0,00) TBD- 3 8" xfId="6965"/>
    <cellStyle name="Comma (0,00) TBD 3 80" xfId="6966"/>
    <cellStyle name="Comma (0,00) TBD- 3 80" xfId="6967"/>
    <cellStyle name="Comma (0,00) TBD 3 81" xfId="6968"/>
    <cellStyle name="Comma (0,00) TBD- 3 81" xfId="6969"/>
    <cellStyle name="Comma (0,00) TBD 3 82" xfId="6970"/>
    <cellStyle name="Comma (0,00) TBD- 3 82" xfId="6971"/>
    <cellStyle name="Comma (0,00) TBD 3 83" xfId="6972"/>
    <cellStyle name="Comma (0,00) TBD- 3 83" xfId="6973"/>
    <cellStyle name="Comma (0,00) TBD 3 84" xfId="6974"/>
    <cellStyle name="Comma (0,00) TBD- 3 84" xfId="6975"/>
    <cellStyle name="Comma (0,00) TBD 3 85" xfId="6976"/>
    <cellStyle name="Comma (0,00) TBD- 3 85" xfId="6977"/>
    <cellStyle name="Comma (0,00) TBD 3 86" xfId="6978"/>
    <cellStyle name="Comma (0,00) TBD- 3 86" xfId="6979"/>
    <cellStyle name="Comma (0,00) TBD 3 87" xfId="6980"/>
    <cellStyle name="Comma (0,00) TBD- 3 87" xfId="6981"/>
    <cellStyle name="Comma (0,00) TBD 3 88" xfId="6982"/>
    <cellStyle name="Comma (0,00) TBD- 3 88" xfId="6983"/>
    <cellStyle name="Comma (0,00) TBD 3 89" xfId="6984"/>
    <cellStyle name="Comma (0,00) TBD- 3 89" xfId="6985"/>
    <cellStyle name="Comma (0,00) TBD 3 9" xfId="6986"/>
    <cellStyle name="Comma (0,00) TBD- 3 9" xfId="6987"/>
    <cellStyle name="Comma (0,00) TBD 3 90" xfId="6988"/>
    <cellStyle name="Comma (0,00) TBD- 3 90" xfId="6989"/>
    <cellStyle name="Comma (0,00) TBD 3 91" xfId="6990"/>
    <cellStyle name="Comma (0,00) TBD- 3 91" xfId="6991"/>
    <cellStyle name="Comma (0,00) TBD 3 92" xfId="6992"/>
    <cellStyle name="Comma (0,00) TBD- 3 92" xfId="6993"/>
    <cellStyle name="Comma (0,00) TBD 3 93" xfId="6994"/>
    <cellStyle name="Comma (0,00) TBD- 3 93" xfId="6995"/>
    <cellStyle name="Comma (0,00) TBD 3 94" xfId="6996"/>
    <cellStyle name="Comma (0,00) TBD- 3 94" xfId="6997"/>
    <cellStyle name="Comma (0,00) TBD 3 95" xfId="6998"/>
    <cellStyle name="Comma (0,00) TBD- 3 95" xfId="6999"/>
    <cellStyle name="Comma (0,00) TBD 3 96" xfId="7000"/>
    <cellStyle name="Comma (0,00) TBD- 3 96" xfId="7001"/>
    <cellStyle name="Comma (0,00) TBD 3 97" xfId="7002"/>
    <cellStyle name="Comma (0,00) TBD- 3 97" xfId="7003"/>
    <cellStyle name="Comma (0,00) TBD 3 98" xfId="7004"/>
    <cellStyle name="Comma (0,00) TBD- 3 98" xfId="7005"/>
    <cellStyle name="Comma (0,00) TBD 3 99" xfId="7006"/>
    <cellStyle name="Comma (0,00) TBD- 3 99" xfId="7007"/>
    <cellStyle name="Comma (0,00) TBD 4" xfId="7008"/>
    <cellStyle name="Comma (0,00) TBD- 4" xfId="7009"/>
    <cellStyle name="Comma (0,00) TBD 4 10" xfId="7010"/>
    <cellStyle name="Comma (0,00) TBD- 4 10" xfId="7011"/>
    <cellStyle name="Comma (0,00) TBD 4 100" xfId="7012"/>
    <cellStyle name="Comma (0,00) TBD- 4 100" xfId="7013"/>
    <cellStyle name="Comma (0,00) TBD 4 101" xfId="7014"/>
    <cellStyle name="Comma (0,00) TBD- 4 101" xfId="7015"/>
    <cellStyle name="Comma (0,00) TBD 4 102" xfId="7016"/>
    <cellStyle name="Comma (0,00) TBD- 4 102" xfId="7017"/>
    <cellStyle name="Comma (0,00) TBD 4 103" xfId="7018"/>
    <cellStyle name="Comma (0,00) TBD- 4 103" xfId="7019"/>
    <cellStyle name="Comma (0,00) TBD 4 104" xfId="7020"/>
    <cellStyle name="Comma (0,00) TBD- 4 104" xfId="7021"/>
    <cellStyle name="Comma (0,00) TBD 4 105" xfId="7022"/>
    <cellStyle name="Comma (0,00) TBD- 4 105" xfId="7023"/>
    <cellStyle name="Comma (0,00) TBD 4 106" xfId="7024"/>
    <cellStyle name="Comma (0,00) TBD- 4 106" xfId="7025"/>
    <cellStyle name="Comma (0,00) TBD 4 107" xfId="7026"/>
    <cellStyle name="Comma (0,00) TBD- 4 107" xfId="7027"/>
    <cellStyle name="Comma (0,00) TBD 4 108" xfId="7028"/>
    <cellStyle name="Comma (0,00) TBD- 4 108" xfId="7029"/>
    <cellStyle name="Comma (0,00) TBD 4 109" xfId="7030"/>
    <cellStyle name="Comma (0,00) TBD- 4 109" xfId="7031"/>
    <cellStyle name="Comma (0,00) TBD 4 11" xfId="7032"/>
    <cellStyle name="Comma (0,00) TBD- 4 11" xfId="7033"/>
    <cellStyle name="Comma (0,00) TBD 4 110" xfId="7034"/>
    <cellStyle name="Comma (0,00) TBD- 4 110" xfId="7035"/>
    <cellStyle name="Comma (0,00) TBD 4 111" xfId="7036"/>
    <cellStyle name="Comma (0,00) TBD- 4 111" xfId="7037"/>
    <cellStyle name="Comma (0,00) TBD 4 112" xfId="7038"/>
    <cellStyle name="Comma (0,00) TBD- 4 112" xfId="7039"/>
    <cellStyle name="Comma (0,00) TBD 4 113" xfId="7040"/>
    <cellStyle name="Comma (0,00) TBD- 4 113" xfId="7041"/>
    <cellStyle name="Comma (0,00) TBD 4 114" xfId="7042"/>
    <cellStyle name="Comma (0,00) TBD- 4 114" xfId="7043"/>
    <cellStyle name="Comma (0,00) TBD 4 115" xfId="7044"/>
    <cellStyle name="Comma (0,00) TBD- 4 115" xfId="7045"/>
    <cellStyle name="Comma (0,00) TBD 4 116" xfId="7046"/>
    <cellStyle name="Comma (0,00) TBD- 4 116" xfId="7047"/>
    <cellStyle name="Comma (0,00) TBD 4 117" xfId="7048"/>
    <cellStyle name="Comma (0,00) TBD- 4 117" xfId="7049"/>
    <cellStyle name="Comma (0,00) TBD 4 118" xfId="7050"/>
    <cellStyle name="Comma (0,00) TBD- 4 118" xfId="7051"/>
    <cellStyle name="Comma (0,00) TBD 4 119" xfId="7052"/>
    <cellStyle name="Comma (0,00) TBD- 4 119" xfId="7053"/>
    <cellStyle name="Comma (0,00) TBD 4 12" xfId="7054"/>
    <cellStyle name="Comma (0,00) TBD- 4 12" xfId="7055"/>
    <cellStyle name="Comma (0,00) TBD 4 120" xfId="7056"/>
    <cellStyle name="Comma (0,00) TBD- 4 120" xfId="7057"/>
    <cellStyle name="Comma (0,00) TBD 4 121" xfId="7058"/>
    <cellStyle name="Comma (0,00) TBD- 4 121" xfId="7059"/>
    <cellStyle name="Comma (0,00) TBD 4 122" xfId="7060"/>
    <cellStyle name="Comma (0,00) TBD- 4 122" xfId="7061"/>
    <cellStyle name="Comma (0,00) TBD 4 123" xfId="7062"/>
    <cellStyle name="Comma (0,00) TBD- 4 123" xfId="7063"/>
    <cellStyle name="Comma (0,00) TBD 4 124" xfId="7064"/>
    <cellStyle name="Comma (0,00) TBD- 4 124" xfId="7065"/>
    <cellStyle name="Comma (0,00) TBD 4 125" xfId="7066"/>
    <cellStyle name="Comma (0,00) TBD- 4 125" xfId="7067"/>
    <cellStyle name="Comma (0,00) TBD 4 126" xfId="7068"/>
    <cellStyle name="Comma (0,00) TBD- 4 126" xfId="7069"/>
    <cellStyle name="Comma (0,00) TBD 4 127" xfId="7070"/>
    <cellStyle name="Comma (0,00) TBD- 4 127" xfId="7071"/>
    <cellStyle name="Comma (0,00) TBD 4 128" xfId="7072"/>
    <cellStyle name="Comma (0,00) TBD- 4 128" xfId="7073"/>
    <cellStyle name="Comma (0,00) TBD 4 129" xfId="7074"/>
    <cellStyle name="Comma (0,00) TBD- 4 129" xfId="7075"/>
    <cellStyle name="Comma (0,00) TBD 4 13" xfId="7076"/>
    <cellStyle name="Comma (0,00) TBD- 4 13" xfId="7077"/>
    <cellStyle name="Comma (0,00) TBD 4 130" xfId="7078"/>
    <cellStyle name="Comma (0,00) TBD- 4 130" xfId="7079"/>
    <cellStyle name="Comma (0,00) TBD 4 131" xfId="7080"/>
    <cellStyle name="Comma (0,00) TBD- 4 131" xfId="7081"/>
    <cellStyle name="Comma (0,00) TBD 4 132" xfId="7082"/>
    <cellStyle name="Comma (0,00) TBD- 4 132" xfId="7083"/>
    <cellStyle name="Comma (0,00) TBD 4 133" xfId="7084"/>
    <cellStyle name="Comma (0,00) TBD- 4 133" xfId="7085"/>
    <cellStyle name="Comma (0,00) TBD 4 134" xfId="7086"/>
    <cellStyle name="Comma (0,00) TBD- 4 134" xfId="7087"/>
    <cellStyle name="Comma (0,00) TBD 4 135" xfId="7088"/>
    <cellStyle name="Comma (0,00) TBD- 4 135" xfId="7089"/>
    <cellStyle name="Comma (0,00) TBD 4 136" xfId="7090"/>
    <cellStyle name="Comma (0,00) TBD- 4 136" xfId="7091"/>
    <cellStyle name="Comma (0,00) TBD 4 137" xfId="7092"/>
    <cellStyle name="Comma (0,00) TBD- 4 137" xfId="7093"/>
    <cellStyle name="Comma (0,00) TBD 4 138" xfId="7094"/>
    <cellStyle name="Comma (0,00) TBD- 4 138" xfId="7095"/>
    <cellStyle name="Comma (0,00) TBD 4 139" xfId="7096"/>
    <cellStyle name="Comma (0,00) TBD- 4 139" xfId="7097"/>
    <cellStyle name="Comma (0,00) TBD 4 14" xfId="7098"/>
    <cellStyle name="Comma (0,00) TBD- 4 14" xfId="7099"/>
    <cellStyle name="Comma (0,00) TBD 4 140" xfId="7100"/>
    <cellStyle name="Comma (0,00) TBD- 4 140" xfId="7101"/>
    <cellStyle name="Comma (0,00) TBD 4 141" xfId="7102"/>
    <cellStyle name="Comma (0,00) TBD- 4 141" xfId="7103"/>
    <cellStyle name="Comma (0,00) TBD 4 142" xfId="7104"/>
    <cellStyle name="Comma (0,00) TBD- 4 142" xfId="7105"/>
    <cellStyle name="Comma (0,00) TBD 4 143" xfId="7106"/>
    <cellStyle name="Comma (0,00) TBD- 4 143" xfId="7107"/>
    <cellStyle name="Comma (0,00) TBD 4 144" xfId="7108"/>
    <cellStyle name="Comma (0,00) TBD- 4 144" xfId="7109"/>
    <cellStyle name="Comma (0,00) TBD 4 145" xfId="7110"/>
    <cellStyle name="Comma (0,00) TBD- 4 145" xfId="7111"/>
    <cellStyle name="Comma (0,00) TBD 4 146" xfId="7112"/>
    <cellStyle name="Comma (0,00) TBD- 4 146" xfId="7113"/>
    <cellStyle name="Comma (0,00) TBD 4 147" xfId="7114"/>
    <cellStyle name="Comma (0,00) TBD- 4 147" xfId="7115"/>
    <cellStyle name="Comma (0,00) TBD 4 148" xfId="7116"/>
    <cellStyle name="Comma (0,00) TBD- 4 148" xfId="7117"/>
    <cellStyle name="Comma (0,00) TBD 4 149" xfId="7118"/>
    <cellStyle name="Comma (0,00) TBD- 4 149" xfId="7119"/>
    <cellStyle name="Comma (0,00) TBD 4 15" xfId="7120"/>
    <cellStyle name="Comma (0,00) TBD- 4 15" xfId="7121"/>
    <cellStyle name="Comma (0,00) TBD 4 150" xfId="7122"/>
    <cellStyle name="Comma (0,00) TBD- 4 150" xfId="7123"/>
    <cellStyle name="Comma (0,00) TBD 4 151" xfId="7124"/>
    <cellStyle name="Comma (0,00) TBD- 4 151" xfId="7125"/>
    <cellStyle name="Comma (0,00) TBD 4 152" xfId="7126"/>
    <cellStyle name="Comma (0,00) TBD- 4 152" xfId="7127"/>
    <cellStyle name="Comma (0,00) TBD 4 153" xfId="7128"/>
    <cellStyle name="Comma (0,00) TBD- 4 153" xfId="7129"/>
    <cellStyle name="Comma (0,00) TBD 4 16" xfId="7130"/>
    <cellStyle name="Comma (0,00) TBD- 4 16" xfId="7131"/>
    <cellStyle name="Comma (0,00) TBD 4 17" xfId="7132"/>
    <cellStyle name="Comma (0,00) TBD- 4 17" xfId="7133"/>
    <cellStyle name="Comma (0,00) TBD 4 18" xfId="7134"/>
    <cellStyle name="Comma (0,00) TBD- 4 18" xfId="7135"/>
    <cellStyle name="Comma (0,00) TBD 4 19" xfId="7136"/>
    <cellStyle name="Comma (0,00) TBD- 4 19" xfId="7137"/>
    <cellStyle name="Comma (0,00) TBD 4 2" xfId="7138"/>
    <cellStyle name="Comma (0,00) TBD- 4 2" xfId="7139"/>
    <cellStyle name="Comma (0,00) TBD 4 20" xfId="7140"/>
    <cellStyle name="Comma (0,00) TBD- 4 20" xfId="7141"/>
    <cellStyle name="Comma (0,00) TBD 4 21" xfId="7142"/>
    <cellStyle name="Comma (0,00) TBD- 4 21" xfId="7143"/>
    <cellStyle name="Comma (0,00) TBD 4 22" xfId="7144"/>
    <cellStyle name="Comma (0,00) TBD- 4 22" xfId="7145"/>
    <cellStyle name="Comma (0,00) TBD 4 23" xfId="7146"/>
    <cellStyle name="Comma (0,00) TBD- 4 23" xfId="7147"/>
    <cellStyle name="Comma (0,00) TBD 4 24" xfId="7148"/>
    <cellStyle name="Comma (0,00) TBD- 4 24" xfId="7149"/>
    <cellStyle name="Comma (0,00) TBD 4 25" xfId="7150"/>
    <cellStyle name="Comma (0,00) TBD- 4 25" xfId="7151"/>
    <cellStyle name="Comma (0,00) TBD 4 26" xfId="7152"/>
    <cellStyle name="Comma (0,00) TBD- 4 26" xfId="7153"/>
    <cellStyle name="Comma (0,00) TBD 4 27" xfId="7154"/>
    <cellStyle name="Comma (0,00) TBD- 4 27" xfId="7155"/>
    <cellStyle name="Comma (0,00) TBD 4 28" xfId="7156"/>
    <cellStyle name="Comma (0,00) TBD- 4 28" xfId="7157"/>
    <cellStyle name="Comma (0,00) TBD 4 29" xfId="7158"/>
    <cellStyle name="Comma (0,00) TBD- 4 29" xfId="7159"/>
    <cellStyle name="Comma (0,00) TBD 4 3" xfId="7160"/>
    <cellStyle name="Comma (0,00) TBD- 4 3" xfId="7161"/>
    <cellStyle name="Comma (0,00) TBD 4 30" xfId="7162"/>
    <cellStyle name="Comma (0,00) TBD- 4 30" xfId="7163"/>
    <cellStyle name="Comma (0,00) TBD 4 31" xfId="7164"/>
    <cellStyle name="Comma (0,00) TBD- 4 31" xfId="7165"/>
    <cellStyle name="Comma (0,00) TBD 4 32" xfId="7166"/>
    <cellStyle name="Comma (0,00) TBD- 4 32" xfId="7167"/>
    <cellStyle name="Comma (0,00) TBD 4 33" xfId="7168"/>
    <cellStyle name="Comma (0,00) TBD- 4 33" xfId="7169"/>
    <cellStyle name="Comma (0,00) TBD 4 34" xfId="7170"/>
    <cellStyle name="Comma (0,00) TBD- 4 34" xfId="7171"/>
    <cellStyle name="Comma (0,00) TBD 4 35" xfId="7172"/>
    <cellStyle name="Comma (0,00) TBD- 4 35" xfId="7173"/>
    <cellStyle name="Comma (0,00) TBD 4 36" xfId="7174"/>
    <cellStyle name="Comma (0,00) TBD- 4 36" xfId="7175"/>
    <cellStyle name="Comma (0,00) TBD 4 37" xfId="7176"/>
    <cellStyle name="Comma (0,00) TBD- 4 37" xfId="7177"/>
    <cellStyle name="Comma (0,00) TBD 4 38" xfId="7178"/>
    <cellStyle name="Comma (0,00) TBD- 4 38" xfId="7179"/>
    <cellStyle name="Comma (0,00) TBD 4 39" xfId="7180"/>
    <cellStyle name="Comma (0,00) TBD- 4 39" xfId="7181"/>
    <cellStyle name="Comma (0,00) TBD 4 4" xfId="7182"/>
    <cellStyle name="Comma (0,00) TBD- 4 4" xfId="7183"/>
    <cellStyle name="Comma (0,00) TBD 4 40" xfId="7184"/>
    <cellStyle name="Comma (0,00) TBD- 4 40" xfId="7185"/>
    <cellStyle name="Comma (0,00) TBD 4 41" xfId="7186"/>
    <cellStyle name="Comma (0,00) TBD- 4 41" xfId="7187"/>
    <cellStyle name="Comma (0,00) TBD 4 42" xfId="7188"/>
    <cellStyle name="Comma (0,00) TBD- 4 42" xfId="7189"/>
    <cellStyle name="Comma (0,00) TBD 4 43" xfId="7190"/>
    <cellStyle name="Comma (0,00) TBD- 4 43" xfId="7191"/>
    <cellStyle name="Comma (0,00) TBD 4 44" xfId="7192"/>
    <cellStyle name="Comma (0,00) TBD- 4 44" xfId="7193"/>
    <cellStyle name="Comma (0,00) TBD 4 45" xfId="7194"/>
    <cellStyle name="Comma (0,00) TBD- 4 45" xfId="7195"/>
    <cellStyle name="Comma (0,00) TBD 4 46" xfId="7196"/>
    <cellStyle name="Comma (0,00) TBD- 4 46" xfId="7197"/>
    <cellStyle name="Comma (0,00) TBD 4 47" xfId="7198"/>
    <cellStyle name="Comma (0,00) TBD- 4 47" xfId="7199"/>
    <cellStyle name="Comma (0,00) TBD 4 48" xfId="7200"/>
    <cellStyle name="Comma (0,00) TBD- 4 48" xfId="7201"/>
    <cellStyle name="Comma (0,00) TBD 4 49" xfId="7202"/>
    <cellStyle name="Comma (0,00) TBD- 4 49" xfId="7203"/>
    <cellStyle name="Comma (0,00) TBD 4 5" xfId="7204"/>
    <cellStyle name="Comma (0,00) TBD- 4 5" xfId="7205"/>
    <cellStyle name="Comma (0,00) TBD 4 50" xfId="7206"/>
    <cellStyle name="Comma (0,00) TBD- 4 50" xfId="7207"/>
    <cellStyle name="Comma (0,00) TBD 4 51" xfId="7208"/>
    <cellStyle name="Comma (0,00) TBD- 4 51" xfId="7209"/>
    <cellStyle name="Comma (0,00) TBD 4 52" xfId="7210"/>
    <cellStyle name="Comma (0,00) TBD- 4 52" xfId="7211"/>
    <cellStyle name="Comma (0,00) TBD 4 53" xfId="7212"/>
    <cellStyle name="Comma (0,00) TBD- 4 53" xfId="7213"/>
    <cellStyle name="Comma (0,00) TBD 4 54" xfId="7214"/>
    <cellStyle name="Comma (0,00) TBD- 4 54" xfId="7215"/>
    <cellStyle name="Comma (0,00) TBD 4 55" xfId="7216"/>
    <cellStyle name="Comma (0,00) TBD- 4 55" xfId="7217"/>
    <cellStyle name="Comma (0,00) TBD 4 56" xfId="7218"/>
    <cellStyle name="Comma (0,00) TBD- 4 56" xfId="7219"/>
    <cellStyle name="Comma (0,00) TBD 4 57" xfId="7220"/>
    <cellStyle name="Comma (0,00) TBD- 4 57" xfId="7221"/>
    <cellStyle name="Comma (0,00) TBD 4 58" xfId="7222"/>
    <cellStyle name="Comma (0,00) TBD- 4 58" xfId="7223"/>
    <cellStyle name="Comma (0,00) TBD 4 59" xfId="7224"/>
    <cellStyle name="Comma (0,00) TBD- 4 59" xfId="7225"/>
    <cellStyle name="Comma (0,00) TBD 4 6" xfId="7226"/>
    <cellStyle name="Comma (0,00) TBD- 4 6" xfId="7227"/>
    <cellStyle name="Comma (0,00) TBD 4 60" xfId="7228"/>
    <cellStyle name="Comma (0,00) TBD- 4 60" xfId="7229"/>
    <cellStyle name="Comma (0,00) TBD 4 61" xfId="7230"/>
    <cellStyle name="Comma (0,00) TBD- 4 61" xfId="7231"/>
    <cellStyle name="Comma (0,00) TBD 4 62" xfId="7232"/>
    <cellStyle name="Comma (0,00) TBD- 4 62" xfId="7233"/>
    <cellStyle name="Comma (0,00) TBD 4 63" xfId="7234"/>
    <cellStyle name="Comma (0,00) TBD- 4 63" xfId="7235"/>
    <cellStyle name="Comma (0,00) TBD 4 64" xfId="7236"/>
    <cellStyle name="Comma (0,00) TBD- 4 64" xfId="7237"/>
    <cellStyle name="Comma (0,00) TBD 4 65" xfId="7238"/>
    <cellStyle name="Comma (0,00) TBD- 4 65" xfId="7239"/>
    <cellStyle name="Comma (0,00) TBD 4 66" xfId="7240"/>
    <cellStyle name="Comma (0,00) TBD- 4 66" xfId="7241"/>
    <cellStyle name="Comma (0,00) TBD 4 67" xfId="7242"/>
    <cellStyle name="Comma (0,00) TBD- 4 67" xfId="7243"/>
    <cellStyle name="Comma (0,00) TBD 4 68" xfId="7244"/>
    <cellStyle name="Comma (0,00) TBD- 4 68" xfId="7245"/>
    <cellStyle name="Comma (0,00) TBD 4 69" xfId="7246"/>
    <cellStyle name="Comma (0,00) TBD- 4 69" xfId="7247"/>
    <cellStyle name="Comma (0,00) TBD 4 7" xfId="7248"/>
    <cellStyle name="Comma (0,00) TBD- 4 7" xfId="7249"/>
    <cellStyle name="Comma (0,00) TBD 4 70" xfId="7250"/>
    <cellStyle name="Comma (0,00) TBD- 4 70" xfId="7251"/>
    <cellStyle name="Comma (0,00) TBD 4 71" xfId="7252"/>
    <cellStyle name="Comma (0,00) TBD- 4 71" xfId="7253"/>
    <cellStyle name="Comma (0,00) TBD 4 72" xfId="7254"/>
    <cellStyle name="Comma (0,00) TBD- 4 72" xfId="7255"/>
    <cellStyle name="Comma (0,00) TBD 4 73" xfId="7256"/>
    <cellStyle name="Comma (0,00) TBD- 4 73" xfId="7257"/>
    <cellStyle name="Comma (0,00) TBD 4 74" xfId="7258"/>
    <cellStyle name="Comma (0,00) TBD- 4 74" xfId="7259"/>
    <cellStyle name="Comma (0,00) TBD 4 75" xfId="7260"/>
    <cellStyle name="Comma (0,00) TBD- 4 75" xfId="7261"/>
    <cellStyle name="Comma (0,00) TBD 4 76" xfId="7262"/>
    <cellStyle name="Comma (0,00) TBD- 4 76" xfId="7263"/>
    <cellStyle name="Comma (0,00) TBD 4 77" xfId="7264"/>
    <cellStyle name="Comma (0,00) TBD- 4 77" xfId="7265"/>
    <cellStyle name="Comma (0,00) TBD 4 78" xfId="7266"/>
    <cellStyle name="Comma (0,00) TBD- 4 78" xfId="7267"/>
    <cellStyle name="Comma (0,00) TBD 4 79" xfId="7268"/>
    <cellStyle name="Comma (0,00) TBD- 4 79" xfId="7269"/>
    <cellStyle name="Comma (0,00) TBD 4 8" xfId="7270"/>
    <cellStyle name="Comma (0,00) TBD- 4 8" xfId="7271"/>
    <cellStyle name="Comma (0,00) TBD 4 80" xfId="7272"/>
    <cellStyle name="Comma (0,00) TBD- 4 80" xfId="7273"/>
    <cellStyle name="Comma (0,00) TBD 4 81" xfId="7274"/>
    <cellStyle name="Comma (0,00) TBD- 4 81" xfId="7275"/>
    <cellStyle name="Comma (0,00) TBD 4 82" xfId="7276"/>
    <cellStyle name="Comma (0,00) TBD- 4 82" xfId="7277"/>
    <cellStyle name="Comma (0,00) TBD 4 83" xfId="7278"/>
    <cellStyle name="Comma (0,00) TBD- 4 83" xfId="7279"/>
    <cellStyle name="Comma (0,00) TBD 4 84" xfId="7280"/>
    <cellStyle name="Comma (0,00) TBD- 4 84" xfId="7281"/>
    <cellStyle name="Comma (0,00) TBD 4 85" xfId="7282"/>
    <cellStyle name="Comma (0,00) TBD- 4 85" xfId="7283"/>
    <cellStyle name="Comma (0,00) TBD 4 86" xfId="7284"/>
    <cellStyle name="Comma (0,00) TBD- 4 86" xfId="7285"/>
    <cellStyle name="Comma (0,00) TBD 4 87" xfId="7286"/>
    <cellStyle name="Comma (0,00) TBD- 4 87" xfId="7287"/>
    <cellStyle name="Comma (0,00) TBD 4 88" xfId="7288"/>
    <cellStyle name="Comma (0,00) TBD- 4 88" xfId="7289"/>
    <cellStyle name="Comma (0,00) TBD 4 89" xfId="7290"/>
    <cellStyle name="Comma (0,00) TBD- 4 89" xfId="7291"/>
    <cellStyle name="Comma (0,00) TBD 4 9" xfId="7292"/>
    <cellStyle name="Comma (0,00) TBD- 4 9" xfId="7293"/>
    <cellStyle name="Comma (0,00) TBD 4 90" xfId="7294"/>
    <cellStyle name="Comma (0,00) TBD- 4 90" xfId="7295"/>
    <cellStyle name="Comma (0,00) TBD 4 91" xfId="7296"/>
    <cellStyle name="Comma (0,00) TBD- 4 91" xfId="7297"/>
    <cellStyle name="Comma (0,00) TBD 4 92" xfId="7298"/>
    <cellStyle name="Comma (0,00) TBD- 4 92" xfId="7299"/>
    <cellStyle name="Comma (0,00) TBD 4 93" xfId="7300"/>
    <cellStyle name="Comma (0,00) TBD- 4 93" xfId="7301"/>
    <cellStyle name="Comma (0,00) TBD 4 94" xfId="7302"/>
    <cellStyle name="Comma (0,00) TBD- 4 94" xfId="7303"/>
    <cellStyle name="Comma (0,00) TBD 4 95" xfId="7304"/>
    <cellStyle name="Comma (0,00) TBD- 4 95" xfId="7305"/>
    <cellStyle name="Comma (0,00) TBD 4 96" xfId="7306"/>
    <cellStyle name="Comma (0,00) TBD- 4 96" xfId="7307"/>
    <cellStyle name="Comma (0,00) TBD 4 97" xfId="7308"/>
    <cellStyle name="Comma (0,00) TBD- 4 97" xfId="7309"/>
    <cellStyle name="Comma (0,00) TBD 4 98" xfId="7310"/>
    <cellStyle name="Comma (0,00) TBD- 4 98" xfId="7311"/>
    <cellStyle name="Comma (0,00) TBD 4 99" xfId="7312"/>
    <cellStyle name="Comma (0,00) TBD- 4 99" xfId="7313"/>
    <cellStyle name="Comma (0,00) TBD 5" xfId="7314"/>
    <cellStyle name="Comma (0,00) TBD- 5" xfId="7315"/>
    <cellStyle name="Comma (0,00) TBD 5 10" xfId="7316"/>
    <cellStyle name="Comma (0,00) TBD- 5 10" xfId="7317"/>
    <cellStyle name="Comma (0,00) TBD 5 100" xfId="7318"/>
    <cellStyle name="Comma (0,00) TBD- 5 100" xfId="7319"/>
    <cellStyle name="Comma (0,00) TBD 5 101" xfId="7320"/>
    <cellStyle name="Comma (0,00) TBD- 5 101" xfId="7321"/>
    <cellStyle name="Comma (0,00) TBD 5 102" xfId="7322"/>
    <cellStyle name="Comma (0,00) TBD- 5 102" xfId="7323"/>
    <cellStyle name="Comma (0,00) TBD 5 103" xfId="7324"/>
    <cellStyle name="Comma (0,00) TBD- 5 103" xfId="7325"/>
    <cellStyle name="Comma (0,00) TBD 5 104" xfId="7326"/>
    <cellStyle name="Comma (0,00) TBD- 5 104" xfId="7327"/>
    <cellStyle name="Comma (0,00) TBD 5 105" xfId="7328"/>
    <cellStyle name="Comma (0,00) TBD- 5 105" xfId="7329"/>
    <cellStyle name="Comma (0,00) TBD 5 106" xfId="7330"/>
    <cellStyle name="Comma (0,00) TBD- 5 106" xfId="7331"/>
    <cellStyle name="Comma (0,00) TBD 5 107" xfId="7332"/>
    <cellStyle name="Comma (0,00) TBD- 5 107" xfId="7333"/>
    <cellStyle name="Comma (0,00) TBD 5 108" xfId="7334"/>
    <cellStyle name="Comma (0,00) TBD- 5 108" xfId="7335"/>
    <cellStyle name="Comma (0,00) TBD 5 109" xfId="7336"/>
    <cellStyle name="Comma (0,00) TBD- 5 109" xfId="7337"/>
    <cellStyle name="Comma (0,00) TBD 5 11" xfId="7338"/>
    <cellStyle name="Comma (0,00) TBD- 5 11" xfId="7339"/>
    <cellStyle name="Comma (0,00) TBD 5 110" xfId="7340"/>
    <cellStyle name="Comma (0,00) TBD- 5 110" xfId="7341"/>
    <cellStyle name="Comma (0,00) TBD 5 111" xfId="7342"/>
    <cellStyle name="Comma (0,00) TBD- 5 111" xfId="7343"/>
    <cellStyle name="Comma (0,00) TBD 5 112" xfId="7344"/>
    <cellStyle name="Comma (0,00) TBD- 5 112" xfId="7345"/>
    <cellStyle name="Comma (0,00) TBD 5 113" xfId="7346"/>
    <cellStyle name="Comma (0,00) TBD- 5 113" xfId="7347"/>
    <cellStyle name="Comma (0,00) TBD 5 114" xfId="7348"/>
    <cellStyle name="Comma (0,00) TBD- 5 114" xfId="7349"/>
    <cellStyle name="Comma (0,00) TBD 5 115" xfId="7350"/>
    <cellStyle name="Comma (0,00) TBD- 5 115" xfId="7351"/>
    <cellStyle name="Comma (0,00) TBD 5 116" xfId="7352"/>
    <cellStyle name="Comma (0,00) TBD- 5 116" xfId="7353"/>
    <cellStyle name="Comma (0,00) TBD 5 117" xfId="7354"/>
    <cellStyle name="Comma (0,00) TBD- 5 117" xfId="7355"/>
    <cellStyle name="Comma (0,00) TBD 5 118" xfId="7356"/>
    <cellStyle name="Comma (0,00) TBD- 5 118" xfId="7357"/>
    <cellStyle name="Comma (0,00) TBD 5 119" xfId="7358"/>
    <cellStyle name="Comma (0,00) TBD- 5 119" xfId="7359"/>
    <cellStyle name="Comma (0,00) TBD 5 12" xfId="7360"/>
    <cellStyle name="Comma (0,00) TBD- 5 12" xfId="7361"/>
    <cellStyle name="Comma (0,00) TBD 5 120" xfId="7362"/>
    <cellStyle name="Comma (0,00) TBD- 5 120" xfId="7363"/>
    <cellStyle name="Comma (0,00) TBD 5 121" xfId="7364"/>
    <cellStyle name="Comma (0,00) TBD- 5 121" xfId="7365"/>
    <cellStyle name="Comma (0,00) TBD 5 122" xfId="7366"/>
    <cellStyle name="Comma (0,00) TBD- 5 122" xfId="7367"/>
    <cellStyle name="Comma (0,00) TBD 5 123" xfId="7368"/>
    <cellStyle name="Comma (0,00) TBD- 5 123" xfId="7369"/>
    <cellStyle name="Comma (0,00) TBD 5 124" xfId="7370"/>
    <cellStyle name="Comma (0,00) TBD- 5 124" xfId="7371"/>
    <cellStyle name="Comma (0,00) TBD 5 125" xfId="7372"/>
    <cellStyle name="Comma (0,00) TBD- 5 125" xfId="7373"/>
    <cellStyle name="Comma (0,00) TBD 5 126" xfId="7374"/>
    <cellStyle name="Comma (0,00) TBD- 5 126" xfId="7375"/>
    <cellStyle name="Comma (0,00) TBD 5 127" xfId="7376"/>
    <cellStyle name="Comma (0,00) TBD- 5 127" xfId="7377"/>
    <cellStyle name="Comma (0,00) TBD 5 128" xfId="7378"/>
    <cellStyle name="Comma (0,00) TBD- 5 128" xfId="7379"/>
    <cellStyle name="Comma (0,00) TBD 5 129" xfId="7380"/>
    <cellStyle name="Comma (0,00) TBD- 5 129" xfId="7381"/>
    <cellStyle name="Comma (0,00) TBD 5 13" xfId="7382"/>
    <cellStyle name="Comma (0,00) TBD- 5 13" xfId="7383"/>
    <cellStyle name="Comma (0,00) TBD 5 130" xfId="7384"/>
    <cellStyle name="Comma (0,00) TBD- 5 130" xfId="7385"/>
    <cellStyle name="Comma (0,00) TBD 5 131" xfId="7386"/>
    <cellStyle name="Comma (0,00) TBD- 5 131" xfId="7387"/>
    <cellStyle name="Comma (0,00) TBD 5 132" xfId="7388"/>
    <cellStyle name="Comma (0,00) TBD- 5 132" xfId="7389"/>
    <cellStyle name="Comma (0,00) TBD 5 133" xfId="7390"/>
    <cellStyle name="Comma (0,00) TBD- 5 133" xfId="7391"/>
    <cellStyle name="Comma (0,00) TBD 5 134" xfId="7392"/>
    <cellStyle name="Comma (0,00) TBD- 5 134" xfId="7393"/>
    <cellStyle name="Comma (0,00) TBD 5 135" xfId="7394"/>
    <cellStyle name="Comma (0,00) TBD- 5 135" xfId="7395"/>
    <cellStyle name="Comma (0,00) TBD 5 136" xfId="7396"/>
    <cellStyle name="Comma (0,00) TBD- 5 136" xfId="7397"/>
    <cellStyle name="Comma (0,00) TBD 5 137" xfId="7398"/>
    <cellStyle name="Comma (0,00) TBD- 5 137" xfId="7399"/>
    <cellStyle name="Comma (0,00) TBD 5 138" xfId="7400"/>
    <cellStyle name="Comma (0,00) TBD- 5 138" xfId="7401"/>
    <cellStyle name="Comma (0,00) TBD 5 139" xfId="7402"/>
    <cellStyle name="Comma (0,00) TBD- 5 139" xfId="7403"/>
    <cellStyle name="Comma (0,00) TBD 5 14" xfId="7404"/>
    <cellStyle name="Comma (0,00) TBD- 5 14" xfId="7405"/>
    <cellStyle name="Comma (0,00) TBD 5 140" xfId="7406"/>
    <cellStyle name="Comma (0,00) TBD- 5 140" xfId="7407"/>
    <cellStyle name="Comma (0,00) TBD 5 141" xfId="7408"/>
    <cellStyle name="Comma (0,00) TBD- 5 141" xfId="7409"/>
    <cellStyle name="Comma (0,00) TBD 5 142" xfId="7410"/>
    <cellStyle name="Comma (0,00) TBD- 5 142" xfId="7411"/>
    <cellStyle name="Comma (0,00) TBD 5 143" xfId="7412"/>
    <cellStyle name="Comma (0,00) TBD- 5 143" xfId="7413"/>
    <cellStyle name="Comma (0,00) TBD 5 144" xfId="7414"/>
    <cellStyle name="Comma (0,00) TBD- 5 144" xfId="7415"/>
    <cellStyle name="Comma (0,00) TBD 5 145" xfId="7416"/>
    <cellStyle name="Comma (0,00) TBD- 5 145" xfId="7417"/>
    <cellStyle name="Comma (0,00) TBD 5 146" xfId="7418"/>
    <cellStyle name="Comma (0,00) TBD- 5 146" xfId="7419"/>
    <cellStyle name="Comma (0,00) TBD 5 147" xfId="7420"/>
    <cellStyle name="Comma (0,00) TBD- 5 147" xfId="7421"/>
    <cellStyle name="Comma (0,00) TBD 5 148" xfId="7422"/>
    <cellStyle name="Comma (0,00) TBD- 5 148" xfId="7423"/>
    <cellStyle name="Comma (0,00) TBD 5 149" xfId="7424"/>
    <cellStyle name="Comma (0,00) TBD- 5 149" xfId="7425"/>
    <cellStyle name="Comma (0,00) TBD 5 15" xfId="7426"/>
    <cellStyle name="Comma (0,00) TBD- 5 15" xfId="7427"/>
    <cellStyle name="Comma (0,00) TBD 5 150" xfId="7428"/>
    <cellStyle name="Comma (0,00) TBD- 5 150" xfId="7429"/>
    <cellStyle name="Comma (0,00) TBD 5 151" xfId="7430"/>
    <cellStyle name="Comma (0,00) TBD- 5 151" xfId="7431"/>
    <cellStyle name="Comma (0,00) TBD 5 152" xfId="7432"/>
    <cellStyle name="Comma (0,00) TBD- 5 152" xfId="7433"/>
    <cellStyle name="Comma (0,00) TBD 5 153" xfId="7434"/>
    <cellStyle name="Comma (0,00) TBD- 5 153" xfId="7435"/>
    <cellStyle name="Comma (0,00) TBD 5 16" xfId="7436"/>
    <cellStyle name="Comma (0,00) TBD- 5 16" xfId="7437"/>
    <cellStyle name="Comma (0,00) TBD 5 17" xfId="7438"/>
    <cellStyle name="Comma (0,00) TBD- 5 17" xfId="7439"/>
    <cellStyle name="Comma (0,00) TBD 5 18" xfId="7440"/>
    <cellStyle name="Comma (0,00) TBD- 5 18" xfId="7441"/>
    <cellStyle name="Comma (0,00) TBD 5 19" xfId="7442"/>
    <cellStyle name="Comma (0,00) TBD- 5 19" xfId="7443"/>
    <cellStyle name="Comma (0,00) TBD 5 2" xfId="7444"/>
    <cellStyle name="Comma (0,00) TBD- 5 2" xfId="7445"/>
    <cellStyle name="Comma (0,00) TBD 5 20" xfId="7446"/>
    <cellStyle name="Comma (0,00) TBD- 5 20" xfId="7447"/>
    <cellStyle name="Comma (0,00) TBD 5 21" xfId="7448"/>
    <cellStyle name="Comma (0,00) TBD- 5 21" xfId="7449"/>
    <cellStyle name="Comma (0,00) TBD 5 22" xfId="7450"/>
    <cellStyle name="Comma (0,00) TBD- 5 22" xfId="7451"/>
    <cellStyle name="Comma (0,00) TBD 5 23" xfId="7452"/>
    <cellStyle name="Comma (0,00) TBD- 5 23" xfId="7453"/>
    <cellStyle name="Comma (0,00) TBD 5 24" xfId="7454"/>
    <cellStyle name="Comma (0,00) TBD- 5 24" xfId="7455"/>
    <cellStyle name="Comma (0,00) TBD 5 25" xfId="7456"/>
    <cellStyle name="Comma (0,00) TBD- 5 25" xfId="7457"/>
    <cellStyle name="Comma (0,00) TBD 5 26" xfId="7458"/>
    <cellStyle name="Comma (0,00) TBD- 5 26" xfId="7459"/>
    <cellStyle name="Comma (0,00) TBD 5 27" xfId="7460"/>
    <cellStyle name="Comma (0,00) TBD- 5 27" xfId="7461"/>
    <cellStyle name="Comma (0,00) TBD 5 28" xfId="7462"/>
    <cellStyle name="Comma (0,00) TBD- 5 28" xfId="7463"/>
    <cellStyle name="Comma (0,00) TBD 5 29" xfId="7464"/>
    <cellStyle name="Comma (0,00) TBD- 5 29" xfId="7465"/>
    <cellStyle name="Comma (0,00) TBD 5 3" xfId="7466"/>
    <cellStyle name="Comma (0,00) TBD- 5 3" xfId="7467"/>
    <cellStyle name="Comma (0,00) TBD 5 30" xfId="7468"/>
    <cellStyle name="Comma (0,00) TBD- 5 30" xfId="7469"/>
    <cellStyle name="Comma (0,00) TBD 5 31" xfId="7470"/>
    <cellStyle name="Comma (0,00) TBD- 5 31" xfId="7471"/>
    <cellStyle name="Comma (0,00) TBD 5 32" xfId="7472"/>
    <cellStyle name="Comma (0,00) TBD- 5 32" xfId="7473"/>
    <cellStyle name="Comma (0,00) TBD 5 33" xfId="7474"/>
    <cellStyle name="Comma (0,00) TBD- 5 33" xfId="7475"/>
    <cellStyle name="Comma (0,00) TBD 5 34" xfId="7476"/>
    <cellStyle name="Comma (0,00) TBD- 5 34" xfId="7477"/>
    <cellStyle name="Comma (0,00) TBD 5 35" xfId="7478"/>
    <cellStyle name="Comma (0,00) TBD- 5 35" xfId="7479"/>
    <cellStyle name="Comma (0,00) TBD 5 36" xfId="7480"/>
    <cellStyle name="Comma (0,00) TBD- 5 36" xfId="7481"/>
    <cellStyle name="Comma (0,00) TBD 5 37" xfId="7482"/>
    <cellStyle name="Comma (0,00) TBD- 5 37" xfId="7483"/>
    <cellStyle name="Comma (0,00) TBD 5 38" xfId="7484"/>
    <cellStyle name="Comma (0,00) TBD- 5 38" xfId="7485"/>
    <cellStyle name="Comma (0,00) TBD 5 39" xfId="7486"/>
    <cellStyle name="Comma (0,00) TBD- 5 39" xfId="7487"/>
    <cellStyle name="Comma (0,00) TBD 5 4" xfId="7488"/>
    <cellStyle name="Comma (0,00) TBD- 5 4" xfId="7489"/>
    <cellStyle name="Comma (0,00) TBD 5 40" xfId="7490"/>
    <cellStyle name="Comma (0,00) TBD- 5 40" xfId="7491"/>
    <cellStyle name="Comma (0,00) TBD 5 41" xfId="7492"/>
    <cellStyle name="Comma (0,00) TBD- 5 41" xfId="7493"/>
    <cellStyle name="Comma (0,00) TBD 5 42" xfId="7494"/>
    <cellStyle name="Comma (0,00) TBD- 5 42" xfId="7495"/>
    <cellStyle name="Comma (0,00) TBD 5 43" xfId="7496"/>
    <cellStyle name="Comma (0,00) TBD- 5 43" xfId="7497"/>
    <cellStyle name="Comma (0,00) TBD 5 44" xfId="7498"/>
    <cellStyle name="Comma (0,00) TBD- 5 44" xfId="7499"/>
    <cellStyle name="Comma (0,00) TBD 5 45" xfId="7500"/>
    <cellStyle name="Comma (0,00) TBD- 5 45" xfId="7501"/>
    <cellStyle name="Comma (0,00) TBD 5 46" xfId="7502"/>
    <cellStyle name="Comma (0,00) TBD- 5 46" xfId="7503"/>
    <cellStyle name="Comma (0,00) TBD 5 47" xfId="7504"/>
    <cellStyle name="Comma (0,00) TBD- 5 47" xfId="7505"/>
    <cellStyle name="Comma (0,00) TBD 5 48" xfId="7506"/>
    <cellStyle name="Comma (0,00) TBD- 5 48" xfId="7507"/>
    <cellStyle name="Comma (0,00) TBD 5 49" xfId="7508"/>
    <cellStyle name="Comma (0,00) TBD- 5 49" xfId="7509"/>
    <cellStyle name="Comma (0,00) TBD 5 5" xfId="7510"/>
    <cellStyle name="Comma (0,00) TBD- 5 5" xfId="7511"/>
    <cellStyle name="Comma (0,00) TBD 5 50" xfId="7512"/>
    <cellStyle name="Comma (0,00) TBD- 5 50" xfId="7513"/>
    <cellStyle name="Comma (0,00) TBD 5 51" xfId="7514"/>
    <cellStyle name="Comma (0,00) TBD- 5 51" xfId="7515"/>
    <cellStyle name="Comma (0,00) TBD 5 52" xfId="7516"/>
    <cellStyle name="Comma (0,00) TBD- 5 52" xfId="7517"/>
    <cellStyle name="Comma (0,00) TBD 5 53" xfId="7518"/>
    <cellStyle name="Comma (0,00) TBD- 5 53" xfId="7519"/>
    <cellStyle name="Comma (0,00) TBD 5 54" xfId="7520"/>
    <cellStyle name="Comma (0,00) TBD- 5 54" xfId="7521"/>
    <cellStyle name="Comma (0,00) TBD 5 55" xfId="7522"/>
    <cellStyle name="Comma (0,00) TBD- 5 55" xfId="7523"/>
    <cellStyle name="Comma (0,00) TBD 5 56" xfId="7524"/>
    <cellStyle name="Comma (0,00) TBD- 5 56" xfId="7525"/>
    <cellStyle name="Comma (0,00) TBD 5 57" xfId="7526"/>
    <cellStyle name="Comma (0,00) TBD- 5 57" xfId="7527"/>
    <cellStyle name="Comma (0,00) TBD 5 58" xfId="7528"/>
    <cellStyle name="Comma (0,00) TBD- 5 58" xfId="7529"/>
    <cellStyle name="Comma (0,00) TBD 5 59" xfId="7530"/>
    <cellStyle name="Comma (0,00) TBD- 5 59" xfId="7531"/>
    <cellStyle name="Comma (0,00) TBD 5 6" xfId="7532"/>
    <cellStyle name="Comma (0,00) TBD- 5 6" xfId="7533"/>
    <cellStyle name="Comma (0,00) TBD 5 60" xfId="7534"/>
    <cellStyle name="Comma (0,00) TBD- 5 60" xfId="7535"/>
    <cellStyle name="Comma (0,00) TBD 5 61" xfId="7536"/>
    <cellStyle name="Comma (0,00) TBD- 5 61" xfId="7537"/>
    <cellStyle name="Comma (0,00) TBD 5 62" xfId="7538"/>
    <cellStyle name="Comma (0,00) TBD- 5 62" xfId="7539"/>
    <cellStyle name="Comma (0,00) TBD 5 63" xfId="7540"/>
    <cellStyle name="Comma (0,00) TBD- 5 63" xfId="7541"/>
    <cellStyle name="Comma (0,00) TBD 5 64" xfId="7542"/>
    <cellStyle name="Comma (0,00) TBD- 5 64" xfId="7543"/>
    <cellStyle name="Comma (0,00) TBD 5 65" xfId="7544"/>
    <cellStyle name="Comma (0,00) TBD- 5 65" xfId="7545"/>
    <cellStyle name="Comma (0,00) TBD 5 66" xfId="7546"/>
    <cellStyle name="Comma (0,00) TBD- 5 66" xfId="7547"/>
    <cellStyle name="Comma (0,00) TBD 5 67" xfId="7548"/>
    <cellStyle name="Comma (0,00) TBD- 5 67" xfId="7549"/>
    <cellStyle name="Comma (0,00) TBD 5 68" xfId="7550"/>
    <cellStyle name="Comma (0,00) TBD- 5 68" xfId="7551"/>
    <cellStyle name="Comma (0,00) TBD 5 69" xfId="7552"/>
    <cellStyle name="Comma (0,00) TBD- 5 69" xfId="7553"/>
    <cellStyle name="Comma (0,00) TBD 5 7" xfId="7554"/>
    <cellStyle name="Comma (0,00) TBD- 5 7" xfId="7555"/>
    <cellStyle name="Comma (0,00) TBD 5 70" xfId="7556"/>
    <cellStyle name="Comma (0,00) TBD- 5 70" xfId="7557"/>
    <cellStyle name="Comma (0,00) TBD 5 71" xfId="7558"/>
    <cellStyle name="Comma (0,00) TBD- 5 71" xfId="7559"/>
    <cellStyle name="Comma (0,00) TBD 5 72" xfId="7560"/>
    <cellStyle name="Comma (0,00) TBD- 5 72" xfId="7561"/>
    <cellStyle name="Comma (0,00) TBD 5 73" xfId="7562"/>
    <cellStyle name="Comma (0,00) TBD- 5 73" xfId="7563"/>
    <cellStyle name="Comma (0,00) TBD 5 74" xfId="7564"/>
    <cellStyle name="Comma (0,00) TBD- 5 74" xfId="7565"/>
    <cellStyle name="Comma (0,00) TBD 5 75" xfId="7566"/>
    <cellStyle name="Comma (0,00) TBD- 5 75" xfId="7567"/>
    <cellStyle name="Comma (0,00) TBD 5 76" xfId="7568"/>
    <cellStyle name="Comma (0,00) TBD- 5 76" xfId="7569"/>
    <cellStyle name="Comma (0,00) TBD 5 77" xfId="7570"/>
    <cellStyle name="Comma (0,00) TBD- 5 77" xfId="7571"/>
    <cellStyle name="Comma (0,00) TBD 5 78" xfId="7572"/>
    <cellStyle name="Comma (0,00) TBD- 5 78" xfId="7573"/>
    <cellStyle name="Comma (0,00) TBD 5 79" xfId="7574"/>
    <cellStyle name="Comma (0,00) TBD- 5 79" xfId="7575"/>
    <cellStyle name="Comma (0,00) TBD 5 8" xfId="7576"/>
    <cellStyle name="Comma (0,00) TBD- 5 8" xfId="7577"/>
    <cellStyle name="Comma (0,00) TBD 5 80" xfId="7578"/>
    <cellStyle name="Comma (0,00) TBD- 5 80" xfId="7579"/>
    <cellStyle name="Comma (0,00) TBD 5 81" xfId="7580"/>
    <cellStyle name="Comma (0,00) TBD- 5 81" xfId="7581"/>
    <cellStyle name="Comma (0,00) TBD 5 82" xfId="7582"/>
    <cellStyle name="Comma (0,00) TBD- 5 82" xfId="7583"/>
    <cellStyle name="Comma (0,00) TBD 5 83" xfId="7584"/>
    <cellStyle name="Comma (0,00) TBD- 5 83" xfId="7585"/>
    <cellStyle name="Comma (0,00) TBD 5 84" xfId="7586"/>
    <cellStyle name="Comma (0,00) TBD- 5 84" xfId="7587"/>
    <cellStyle name="Comma (0,00) TBD 5 85" xfId="7588"/>
    <cellStyle name="Comma (0,00) TBD- 5 85" xfId="7589"/>
    <cellStyle name="Comma (0,00) TBD 5 86" xfId="7590"/>
    <cellStyle name="Comma (0,00) TBD- 5 86" xfId="7591"/>
    <cellStyle name="Comma (0,00) TBD 5 87" xfId="7592"/>
    <cellStyle name="Comma (0,00) TBD- 5 87" xfId="7593"/>
    <cellStyle name="Comma (0,00) TBD 5 88" xfId="7594"/>
    <cellStyle name="Comma (0,00) TBD- 5 88" xfId="7595"/>
    <cellStyle name="Comma (0,00) TBD 5 89" xfId="7596"/>
    <cellStyle name="Comma (0,00) TBD- 5 89" xfId="7597"/>
    <cellStyle name="Comma (0,00) TBD 5 9" xfId="7598"/>
    <cellStyle name="Comma (0,00) TBD- 5 9" xfId="7599"/>
    <cellStyle name="Comma (0,00) TBD 5 90" xfId="7600"/>
    <cellStyle name="Comma (0,00) TBD- 5 90" xfId="7601"/>
    <cellStyle name="Comma (0,00) TBD 5 91" xfId="7602"/>
    <cellStyle name="Comma (0,00) TBD- 5 91" xfId="7603"/>
    <cellStyle name="Comma (0,00) TBD 5 92" xfId="7604"/>
    <cellStyle name="Comma (0,00) TBD- 5 92" xfId="7605"/>
    <cellStyle name="Comma (0,00) TBD 5 93" xfId="7606"/>
    <cellStyle name="Comma (0,00) TBD- 5 93" xfId="7607"/>
    <cellStyle name="Comma (0,00) TBD 5 94" xfId="7608"/>
    <cellStyle name="Comma (0,00) TBD- 5 94" xfId="7609"/>
    <cellStyle name="Comma (0,00) TBD 5 95" xfId="7610"/>
    <cellStyle name="Comma (0,00) TBD- 5 95" xfId="7611"/>
    <cellStyle name="Comma (0,00) TBD 5 96" xfId="7612"/>
    <cellStyle name="Comma (0,00) TBD- 5 96" xfId="7613"/>
    <cellStyle name="Comma (0,00) TBD 5 97" xfId="7614"/>
    <cellStyle name="Comma (0,00) TBD- 5 97" xfId="7615"/>
    <cellStyle name="Comma (0,00) TBD 5 98" xfId="7616"/>
    <cellStyle name="Comma (0,00) TBD- 5 98" xfId="7617"/>
    <cellStyle name="Comma (0,00) TBD 5 99" xfId="7618"/>
    <cellStyle name="Comma (0,00) TBD- 5 99" xfId="7619"/>
    <cellStyle name="Comma (0,00) TBD 6" xfId="7620"/>
    <cellStyle name="Comma (0,00) TBD- 6" xfId="7621"/>
    <cellStyle name="Comma (0,00) TBD 6 10" xfId="7622"/>
    <cellStyle name="Comma (0,00) TBD- 6 10" xfId="7623"/>
    <cellStyle name="Comma (0,00) TBD 6 100" xfId="7624"/>
    <cellStyle name="Comma (0,00) TBD- 6 100" xfId="7625"/>
    <cellStyle name="Comma (0,00) TBD 6 101" xfId="7626"/>
    <cellStyle name="Comma (0,00) TBD- 6 101" xfId="7627"/>
    <cellStyle name="Comma (0,00) TBD 6 102" xfId="7628"/>
    <cellStyle name="Comma (0,00) TBD- 6 102" xfId="7629"/>
    <cellStyle name="Comma (0,00) TBD 6 103" xfId="7630"/>
    <cellStyle name="Comma (0,00) TBD- 6 103" xfId="7631"/>
    <cellStyle name="Comma (0,00) TBD 6 104" xfId="7632"/>
    <cellStyle name="Comma (0,00) TBD- 6 104" xfId="7633"/>
    <cellStyle name="Comma (0,00) TBD 6 105" xfId="7634"/>
    <cellStyle name="Comma (0,00) TBD- 6 105" xfId="7635"/>
    <cellStyle name="Comma (0,00) TBD 6 106" xfId="7636"/>
    <cellStyle name="Comma (0,00) TBD- 6 106" xfId="7637"/>
    <cellStyle name="Comma (0,00) TBD 6 107" xfId="7638"/>
    <cellStyle name="Comma (0,00) TBD- 6 107" xfId="7639"/>
    <cellStyle name="Comma (0,00) TBD 6 108" xfId="7640"/>
    <cellStyle name="Comma (0,00) TBD- 6 108" xfId="7641"/>
    <cellStyle name="Comma (0,00) TBD 6 109" xfId="7642"/>
    <cellStyle name="Comma (0,00) TBD- 6 109" xfId="7643"/>
    <cellStyle name="Comma (0,00) TBD 6 11" xfId="7644"/>
    <cellStyle name="Comma (0,00) TBD- 6 11" xfId="7645"/>
    <cellStyle name="Comma (0,00) TBD 6 110" xfId="7646"/>
    <cellStyle name="Comma (0,00) TBD- 6 110" xfId="7647"/>
    <cellStyle name="Comma (0,00) TBD 6 111" xfId="7648"/>
    <cellStyle name="Comma (0,00) TBD- 6 111" xfId="7649"/>
    <cellStyle name="Comma (0,00) TBD 6 112" xfId="7650"/>
    <cellStyle name="Comma (0,00) TBD- 6 112" xfId="7651"/>
    <cellStyle name="Comma (0,00) TBD 6 113" xfId="7652"/>
    <cellStyle name="Comma (0,00) TBD- 6 113" xfId="7653"/>
    <cellStyle name="Comma (0,00) TBD 6 114" xfId="7654"/>
    <cellStyle name="Comma (0,00) TBD- 6 114" xfId="7655"/>
    <cellStyle name="Comma (0,00) TBD 6 115" xfId="7656"/>
    <cellStyle name="Comma (0,00) TBD- 6 115" xfId="7657"/>
    <cellStyle name="Comma (0,00) TBD 6 116" xfId="7658"/>
    <cellStyle name="Comma (0,00) TBD- 6 116" xfId="7659"/>
    <cellStyle name="Comma (0,00) TBD 6 117" xfId="7660"/>
    <cellStyle name="Comma (0,00) TBD- 6 117" xfId="7661"/>
    <cellStyle name="Comma (0,00) TBD 6 118" xfId="7662"/>
    <cellStyle name="Comma (0,00) TBD- 6 118" xfId="7663"/>
    <cellStyle name="Comma (0,00) TBD 6 119" xfId="7664"/>
    <cellStyle name="Comma (0,00) TBD- 6 119" xfId="7665"/>
    <cellStyle name="Comma (0,00) TBD 6 12" xfId="7666"/>
    <cellStyle name="Comma (0,00) TBD- 6 12" xfId="7667"/>
    <cellStyle name="Comma (0,00) TBD 6 120" xfId="7668"/>
    <cellStyle name="Comma (0,00) TBD- 6 120" xfId="7669"/>
    <cellStyle name="Comma (0,00) TBD 6 121" xfId="7670"/>
    <cellStyle name="Comma (0,00) TBD- 6 121" xfId="7671"/>
    <cellStyle name="Comma (0,00) TBD 6 122" xfId="7672"/>
    <cellStyle name="Comma (0,00) TBD- 6 122" xfId="7673"/>
    <cellStyle name="Comma (0,00) TBD 6 123" xfId="7674"/>
    <cellStyle name="Comma (0,00) TBD- 6 123" xfId="7675"/>
    <cellStyle name="Comma (0,00) TBD 6 124" xfId="7676"/>
    <cellStyle name="Comma (0,00) TBD- 6 124" xfId="7677"/>
    <cellStyle name="Comma (0,00) TBD 6 125" xfId="7678"/>
    <cellStyle name="Comma (0,00) TBD- 6 125" xfId="7679"/>
    <cellStyle name="Comma (0,00) TBD 6 126" xfId="7680"/>
    <cellStyle name="Comma (0,00) TBD- 6 126" xfId="7681"/>
    <cellStyle name="Comma (0,00) TBD 6 127" xfId="7682"/>
    <cellStyle name="Comma (0,00) TBD- 6 127" xfId="7683"/>
    <cellStyle name="Comma (0,00) TBD 6 128" xfId="7684"/>
    <cellStyle name="Comma (0,00) TBD- 6 128" xfId="7685"/>
    <cellStyle name="Comma (0,00) TBD 6 129" xfId="7686"/>
    <cellStyle name="Comma (0,00) TBD- 6 129" xfId="7687"/>
    <cellStyle name="Comma (0,00) TBD 6 13" xfId="7688"/>
    <cellStyle name="Comma (0,00) TBD- 6 13" xfId="7689"/>
    <cellStyle name="Comma (0,00) TBD 6 130" xfId="7690"/>
    <cellStyle name="Comma (0,00) TBD- 6 130" xfId="7691"/>
    <cellStyle name="Comma (0,00) TBD 6 131" xfId="7692"/>
    <cellStyle name="Comma (0,00) TBD- 6 131" xfId="7693"/>
    <cellStyle name="Comma (0,00) TBD 6 132" xfId="7694"/>
    <cellStyle name="Comma (0,00) TBD- 6 132" xfId="7695"/>
    <cellStyle name="Comma (0,00) TBD 6 133" xfId="7696"/>
    <cellStyle name="Comma (0,00) TBD- 6 133" xfId="7697"/>
    <cellStyle name="Comma (0,00) TBD 6 134" xfId="7698"/>
    <cellStyle name="Comma (0,00) TBD- 6 134" xfId="7699"/>
    <cellStyle name="Comma (0,00) TBD 6 135" xfId="7700"/>
    <cellStyle name="Comma (0,00) TBD- 6 135" xfId="7701"/>
    <cellStyle name="Comma (0,00) TBD 6 136" xfId="7702"/>
    <cellStyle name="Comma (0,00) TBD- 6 136" xfId="7703"/>
    <cellStyle name="Comma (0,00) TBD 6 137" xfId="7704"/>
    <cellStyle name="Comma (0,00) TBD- 6 137" xfId="7705"/>
    <cellStyle name="Comma (0,00) TBD 6 138" xfId="7706"/>
    <cellStyle name="Comma (0,00) TBD- 6 138" xfId="7707"/>
    <cellStyle name="Comma (0,00) TBD 6 139" xfId="7708"/>
    <cellStyle name="Comma (0,00) TBD- 6 139" xfId="7709"/>
    <cellStyle name="Comma (0,00) TBD 6 14" xfId="7710"/>
    <cellStyle name="Comma (0,00) TBD- 6 14" xfId="7711"/>
    <cellStyle name="Comma (0,00) TBD 6 140" xfId="7712"/>
    <cellStyle name="Comma (0,00) TBD- 6 140" xfId="7713"/>
    <cellStyle name="Comma (0,00) TBD 6 141" xfId="7714"/>
    <cellStyle name="Comma (0,00) TBD- 6 141" xfId="7715"/>
    <cellStyle name="Comma (0,00) TBD 6 142" xfId="7716"/>
    <cellStyle name="Comma (0,00) TBD- 6 142" xfId="7717"/>
    <cellStyle name="Comma (0,00) TBD 6 143" xfId="7718"/>
    <cellStyle name="Comma (0,00) TBD- 6 143" xfId="7719"/>
    <cellStyle name="Comma (0,00) TBD 6 144" xfId="7720"/>
    <cellStyle name="Comma (0,00) TBD- 6 144" xfId="7721"/>
    <cellStyle name="Comma (0,00) TBD 6 145" xfId="7722"/>
    <cellStyle name="Comma (0,00) TBD- 6 145" xfId="7723"/>
    <cellStyle name="Comma (0,00) TBD 6 146" xfId="7724"/>
    <cellStyle name="Comma (0,00) TBD- 6 146" xfId="7725"/>
    <cellStyle name="Comma (0,00) TBD 6 147" xfId="7726"/>
    <cellStyle name="Comma (0,00) TBD- 6 147" xfId="7727"/>
    <cellStyle name="Comma (0,00) TBD 6 148" xfId="7728"/>
    <cellStyle name="Comma (0,00) TBD- 6 148" xfId="7729"/>
    <cellStyle name="Comma (0,00) TBD 6 149" xfId="7730"/>
    <cellStyle name="Comma (0,00) TBD- 6 149" xfId="7731"/>
    <cellStyle name="Comma (0,00) TBD 6 15" xfId="7732"/>
    <cellStyle name="Comma (0,00) TBD- 6 15" xfId="7733"/>
    <cellStyle name="Comma (0,00) TBD 6 150" xfId="7734"/>
    <cellStyle name="Comma (0,00) TBD- 6 150" xfId="7735"/>
    <cellStyle name="Comma (0,00) TBD 6 151" xfId="7736"/>
    <cellStyle name="Comma (0,00) TBD- 6 151" xfId="7737"/>
    <cellStyle name="Comma (0,00) TBD 6 152" xfId="7738"/>
    <cellStyle name="Comma (0,00) TBD- 6 152" xfId="7739"/>
    <cellStyle name="Comma (0,00) TBD 6 153" xfId="7740"/>
    <cellStyle name="Comma (0,00) TBD- 6 153" xfId="7741"/>
    <cellStyle name="Comma (0,00) TBD 6 16" xfId="7742"/>
    <cellStyle name="Comma (0,00) TBD- 6 16" xfId="7743"/>
    <cellStyle name="Comma (0,00) TBD 6 17" xfId="7744"/>
    <cellStyle name="Comma (0,00) TBD- 6 17" xfId="7745"/>
    <cellStyle name="Comma (0,00) TBD 6 18" xfId="7746"/>
    <cellStyle name="Comma (0,00) TBD- 6 18" xfId="7747"/>
    <cellStyle name="Comma (0,00) TBD 6 19" xfId="7748"/>
    <cellStyle name="Comma (0,00) TBD- 6 19" xfId="7749"/>
    <cellStyle name="Comma (0,00) TBD 6 2" xfId="7750"/>
    <cellStyle name="Comma (0,00) TBD- 6 2" xfId="7751"/>
    <cellStyle name="Comma (0,00) TBD 6 20" xfId="7752"/>
    <cellStyle name="Comma (0,00) TBD- 6 20" xfId="7753"/>
    <cellStyle name="Comma (0,00) TBD 6 21" xfId="7754"/>
    <cellStyle name="Comma (0,00) TBD- 6 21" xfId="7755"/>
    <cellStyle name="Comma (0,00) TBD 6 22" xfId="7756"/>
    <cellStyle name="Comma (0,00) TBD- 6 22" xfId="7757"/>
    <cellStyle name="Comma (0,00) TBD 6 23" xfId="7758"/>
    <cellStyle name="Comma (0,00) TBD- 6 23" xfId="7759"/>
    <cellStyle name="Comma (0,00) TBD 6 24" xfId="7760"/>
    <cellStyle name="Comma (0,00) TBD- 6 24" xfId="7761"/>
    <cellStyle name="Comma (0,00) TBD 6 25" xfId="7762"/>
    <cellStyle name="Comma (0,00) TBD- 6 25" xfId="7763"/>
    <cellStyle name="Comma (0,00) TBD 6 26" xfId="7764"/>
    <cellStyle name="Comma (0,00) TBD- 6 26" xfId="7765"/>
    <cellStyle name="Comma (0,00) TBD 6 27" xfId="7766"/>
    <cellStyle name="Comma (0,00) TBD- 6 27" xfId="7767"/>
    <cellStyle name="Comma (0,00) TBD 6 28" xfId="7768"/>
    <cellStyle name="Comma (0,00) TBD- 6 28" xfId="7769"/>
    <cellStyle name="Comma (0,00) TBD 6 29" xfId="7770"/>
    <cellStyle name="Comma (0,00) TBD- 6 29" xfId="7771"/>
    <cellStyle name="Comma (0,00) TBD 6 3" xfId="7772"/>
    <cellStyle name="Comma (0,00) TBD- 6 3" xfId="7773"/>
    <cellStyle name="Comma (0,00) TBD 6 30" xfId="7774"/>
    <cellStyle name="Comma (0,00) TBD- 6 30" xfId="7775"/>
    <cellStyle name="Comma (0,00) TBD 6 31" xfId="7776"/>
    <cellStyle name="Comma (0,00) TBD- 6 31" xfId="7777"/>
    <cellStyle name="Comma (0,00) TBD 6 32" xfId="7778"/>
    <cellStyle name="Comma (0,00) TBD- 6 32" xfId="7779"/>
    <cellStyle name="Comma (0,00) TBD 6 33" xfId="7780"/>
    <cellStyle name="Comma (0,00) TBD- 6 33" xfId="7781"/>
    <cellStyle name="Comma (0,00) TBD 6 34" xfId="7782"/>
    <cellStyle name="Comma (0,00) TBD- 6 34" xfId="7783"/>
    <cellStyle name="Comma (0,00) TBD 6 35" xfId="7784"/>
    <cellStyle name="Comma (0,00) TBD- 6 35" xfId="7785"/>
    <cellStyle name="Comma (0,00) TBD 6 36" xfId="7786"/>
    <cellStyle name="Comma (0,00) TBD- 6 36" xfId="7787"/>
    <cellStyle name="Comma (0,00) TBD 6 37" xfId="7788"/>
    <cellStyle name="Comma (0,00) TBD- 6 37" xfId="7789"/>
    <cellStyle name="Comma (0,00) TBD 6 38" xfId="7790"/>
    <cellStyle name="Comma (0,00) TBD- 6 38" xfId="7791"/>
    <cellStyle name="Comma (0,00) TBD 6 39" xfId="7792"/>
    <cellStyle name="Comma (0,00) TBD- 6 39" xfId="7793"/>
    <cellStyle name="Comma (0,00) TBD 6 4" xfId="7794"/>
    <cellStyle name="Comma (0,00) TBD- 6 4" xfId="7795"/>
    <cellStyle name="Comma (0,00) TBD 6 40" xfId="7796"/>
    <cellStyle name="Comma (0,00) TBD- 6 40" xfId="7797"/>
    <cellStyle name="Comma (0,00) TBD 6 41" xfId="7798"/>
    <cellStyle name="Comma (0,00) TBD- 6 41" xfId="7799"/>
    <cellStyle name="Comma (0,00) TBD 6 42" xfId="7800"/>
    <cellStyle name="Comma (0,00) TBD- 6 42" xfId="7801"/>
    <cellStyle name="Comma (0,00) TBD 6 43" xfId="7802"/>
    <cellStyle name="Comma (0,00) TBD- 6 43" xfId="7803"/>
    <cellStyle name="Comma (0,00) TBD 6 44" xfId="7804"/>
    <cellStyle name="Comma (0,00) TBD- 6 44" xfId="7805"/>
    <cellStyle name="Comma (0,00) TBD 6 45" xfId="7806"/>
    <cellStyle name="Comma (0,00) TBD- 6 45" xfId="7807"/>
    <cellStyle name="Comma (0,00) TBD 6 46" xfId="7808"/>
    <cellStyle name="Comma (0,00) TBD- 6 46" xfId="7809"/>
    <cellStyle name="Comma (0,00) TBD 6 47" xfId="7810"/>
    <cellStyle name="Comma (0,00) TBD- 6 47" xfId="7811"/>
    <cellStyle name="Comma (0,00) TBD 6 48" xfId="7812"/>
    <cellStyle name="Comma (0,00) TBD- 6 48" xfId="7813"/>
    <cellStyle name="Comma (0,00) TBD 6 49" xfId="7814"/>
    <cellStyle name="Comma (0,00) TBD- 6 49" xfId="7815"/>
    <cellStyle name="Comma (0,00) TBD 6 5" xfId="7816"/>
    <cellStyle name="Comma (0,00) TBD- 6 5" xfId="7817"/>
    <cellStyle name="Comma (0,00) TBD 6 50" xfId="7818"/>
    <cellStyle name="Comma (0,00) TBD- 6 50" xfId="7819"/>
    <cellStyle name="Comma (0,00) TBD 6 51" xfId="7820"/>
    <cellStyle name="Comma (0,00) TBD- 6 51" xfId="7821"/>
    <cellStyle name="Comma (0,00) TBD 6 52" xfId="7822"/>
    <cellStyle name="Comma (0,00) TBD- 6 52" xfId="7823"/>
    <cellStyle name="Comma (0,00) TBD 6 53" xfId="7824"/>
    <cellStyle name="Comma (0,00) TBD- 6 53" xfId="7825"/>
    <cellStyle name="Comma (0,00) TBD 6 54" xfId="7826"/>
    <cellStyle name="Comma (0,00) TBD- 6 54" xfId="7827"/>
    <cellStyle name="Comma (0,00) TBD 6 55" xfId="7828"/>
    <cellStyle name="Comma (0,00) TBD- 6 55" xfId="7829"/>
    <cellStyle name="Comma (0,00) TBD 6 56" xfId="7830"/>
    <cellStyle name="Comma (0,00) TBD- 6 56" xfId="7831"/>
    <cellStyle name="Comma (0,00) TBD 6 57" xfId="7832"/>
    <cellStyle name="Comma (0,00) TBD- 6 57" xfId="7833"/>
    <cellStyle name="Comma (0,00) TBD 6 58" xfId="7834"/>
    <cellStyle name="Comma (0,00) TBD- 6 58" xfId="7835"/>
    <cellStyle name="Comma (0,00) TBD 6 59" xfId="7836"/>
    <cellStyle name="Comma (0,00) TBD- 6 59" xfId="7837"/>
    <cellStyle name="Comma (0,00) TBD 6 6" xfId="7838"/>
    <cellStyle name="Comma (0,00) TBD- 6 6" xfId="7839"/>
    <cellStyle name="Comma (0,00) TBD 6 60" xfId="7840"/>
    <cellStyle name="Comma (0,00) TBD- 6 60" xfId="7841"/>
    <cellStyle name="Comma (0,00) TBD 6 61" xfId="7842"/>
    <cellStyle name="Comma (0,00) TBD- 6 61" xfId="7843"/>
    <cellStyle name="Comma (0,00) TBD 6 62" xfId="7844"/>
    <cellStyle name="Comma (0,00) TBD- 6 62" xfId="7845"/>
    <cellStyle name="Comma (0,00) TBD 6 63" xfId="7846"/>
    <cellStyle name="Comma (0,00) TBD- 6 63" xfId="7847"/>
    <cellStyle name="Comma (0,00) TBD 6 64" xfId="7848"/>
    <cellStyle name="Comma (0,00) TBD- 6 64" xfId="7849"/>
    <cellStyle name="Comma (0,00) TBD 6 65" xfId="7850"/>
    <cellStyle name="Comma (0,00) TBD- 6 65" xfId="7851"/>
    <cellStyle name="Comma (0,00) TBD 6 66" xfId="7852"/>
    <cellStyle name="Comma (0,00) TBD- 6 66" xfId="7853"/>
    <cellStyle name="Comma (0,00) TBD 6 67" xfId="7854"/>
    <cellStyle name="Comma (0,00) TBD- 6 67" xfId="7855"/>
    <cellStyle name="Comma (0,00) TBD 6 68" xfId="7856"/>
    <cellStyle name="Comma (0,00) TBD- 6 68" xfId="7857"/>
    <cellStyle name="Comma (0,00) TBD 6 69" xfId="7858"/>
    <cellStyle name="Comma (0,00) TBD- 6 69" xfId="7859"/>
    <cellStyle name="Comma (0,00) TBD 6 7" xfId="7860"/>
    <cellStyle name="Comma (0,00) TBD- 6 7" xfId="7861"/>
    <cellStyle name="Comma (0,00) TBD 6 70" xfId="7862"/>
    <cellStyle name="Comma (0,00) TBD- 6 70" xfId="7863"/>
    <cellStyle name="Comma (0,00) TBD 6 71" xfId="7864"/>
    <cellStyle name="Comma (0,00) TBD- 6 71" xfId="7865"/>
    <cellStyle name="Comma (0,00) TBD 6 72" xfId="7866"/>
    <cellStyle name="Comma (0,00) TBD- 6 72" xfId="7867"/>
    <cellStyle name="Comma (0,00) TBD 6 73" xfId="7868"/>
    <cellStyle name="Comma (0,00) TBD- 6 73" xfId="7869"/>
    <cellStyle name="Comma (0,00) TBD 6 74" xfId="7870"/>
    <cellStyle name="Comma (0,00) TBD- 6 74" xfId="7871"/>
    <cellStyle name="Comma (0,00) TBD 6 75" xfId="7872"/>
    <cellStyle name="Comma (0,00) TBD- 6 75" xfId="7873"/>
    <cellStyle name="Comma (0,00) TBD 6 76" xfId="7874"/>
    <cellStyle name="Comma (0,00) TBD- 6 76" xfId="7875"/>
    <cellStyle name="Comma (0,00) TBD 6 77" xfId="7876"/>
    <cellStyle name="Comma (0,00) TBD- 6 77" xfId="7877"/>
    <cellStyle name="Comma (0,00) TBD 6 78" xfId="7878"/>
    <cellStyle name="Comma (0,00) TBD- 6 78" xfId="7879"/>
    <cellStyle name="Comma (0,00) TBD 6 79" xfId="7880"/>
    <cellStyle name="Comma (0,00) TBD- 6 79" xfId="7881"/>
    <cellStyle name="Comma (0,00) TBD 6 8" xfId="7882"/>
    <cellStyle name="Comma (0,00) TBD- 6 8" xfId="7883"/>
    <cellStyle name="Comma (0,00) TBD 6 80" xfId="7884"/>
    <cellStyle name="Comma (0,00) TBD- 6 80" xfId="7885"/>
    <cellStyle name="Comma (0,00) TBD 6 81" xfId="7886"/>
    <cellStyle name="Comma (0,00) TBD- 6 81" xfId="7887"/>
    <cellStyle name="Comma (0,00) TBD 6 82" xfId="7888"/>
    <cellStyle name="Comma (0,00) TBD- 6 82" xfId="7889"/>
    <cellStyle name="Comma (0,00) TBD 6 83" xfId="7890"/>
    <cellStyle name="Comma (0,00) TBD- 6 83" xfId="7891"/>
    <cellStyle name="Comma (0,00) TBD 6 84" xfId="7892"/>
    <cellStyle name="Comma (0,00) TBD- 6 84" xfId="7893"/>
    <cellStyle name="Comma (0,00) TBD 6 85" xfId="7894"/>
    <cellStyle name="Comma (0,00) TBD- 6 85" xfId="7895"/>
    <cellStyle name="Comma (0,00) TBD 6 86" xfId="7896"/>
    <cellStyle name="Comma (0,00) TBD- 6 86" xfId="7897"/>
    <cellStyle name="Comma (0,00) TBD 6 87" xfId="7898"/>
    <cellStyle name="Comma (0,00) TBD- 6 87" xfId="7899"/>
    <cellStyle name="Comma (0,00) TBD 6 88" xfId="7900"/>
    <cellStyle name="Comma (0,00) TBD- 6 88" xfId="7901"/>
    <cellStyle name="Comma (0,00) TBD 6 89" xfId="7902"/>
    <cellStyle name="Comma (0,00) TBD- 6 89" xfId="7903"/>
    <cellStyle name="Comma (0,00) TBD 6 9" xfId="7904"/>
    <cellStyle name="Comma (0,00) TBD- 6 9" xfId="7905"/>
    <cellStyle name="Comma (0,00) TBD 6 90" xfId="7906"/>
    <cellStyle name="Comma (0,00) TBD- 6 90" xfId="7907"/>
    <cellStyle name="Comma (0,00) TBD 6 91" xfId="7908"/>
    <cellStyle name="Comma (0,00) TBD- 6 91" xfId="7909"/>
    <cellStyle name="Comma (0,00) TBD 6 92" xfId="7910"/>
    <cellStyle name="Comma (0,00) TBD- 6 92" xfId="7911"/>
    <cellStyle name="Comma (0,00) TBD 6 93" xfId="7912"/>
    <cellStyle name="Comma (0,00) TBD- 6 93" xfId="7913"/>
    <cellStyle name="Comma (0,00) TBD 6 94" xfId="7914"/>
    <cellStyle name="Comma (0,00) TBD- 6 94" xfId="7915"/>
    <cellStyle name="Comma (0,00) TBD 6 95" xfId="7916"/>
    <cellStyle name="Comma (0,00) TBD- 6 95" xfId="7917"/>
    <cellStyle name="Comma (0,00) TBD 6 96" xfId="7918"/>
    <cellStyle name="Comma (0,00) TBD- 6 96" xfId="7919"/>
    <cellStyle name="Comma (0,00) TBD 6 97" xfId="7920"/>
    <cellStyle name="Comma (0,00) TBD- 6 97" xfId="7921"/>
    <cellStyle name="Comma (0,00) TBD 6 98" xfId="7922"/>
    <cellStyle name="Comma (0,00) TBD- 6 98" xfId="7923"/>
    <cellStyle name="Comma (0,00) TBD 6 99" xfId="7924"/>
    <cellStyle name="Comma (0,00) TBD- 6 99" xfId="7925"/>
    <cellStyle name="Comma (0,00) TBD 7" xfId="7926"/>
    <cellStyle name="Comma (0,00) TBD- 7" xfId="7927"/>
    <cellStyle name="Comma (0,00) TBD 7 10" xfId="7928"/>
    <cellStyle name="Comma (0,00) TBD- 7 10" xfId="7929"/>
    <cellStyle name="Comma (0,00) TBD 7 100" xfId="7930"/>
    <cellStyle name="Comma (0,00) TBD- 7 100" xfId="7931"/>
    <cellStyle name="Comma (0,00) TBD 7 101" xfId="7932"/>
    <cellStyle name="Comma (0,00) TBD- 7 101" xfId="7933"/>
    <cellStyle name="Comma (0,00) TBD 7 102" xfId="7934"/>
    <cellStyle name="Comma (0,00) TBD- 7 102" xfId="7935"/>
    <cellStyle name="Comma (0,00) TBD 7 103" xfId="7936"/>
    <cellStyle name="Comma (0,00) TBD- 7 103" xfId="7937"/>
    <cellStyle name="Comma (0,00) TBD 7 104" xfId="7938"/>
    <cellStyle name="Comma (0,00) TBD- 7 104" xfId="7939"/>
    <cellStyle name="Comma (0,00) TBD 7 105" xfId="7940"/>
    <cellStyle name="Comma (0,00) TBD- 7 105" xfId="7941"/>
    <cellStyle name="Comma (0,00) TBD 7 106" xfId="7942"/>
    <cellStyle name="Comma (0,00) TBD- 7 106" xfId="7943"/>
    <cellStyle name="Comma (0,00) TBD 7 107" xfId="7944"/>
    <cellStyle name="Comma (0,00) TBD- 7 107" xfId="7945"/>
    <cellStyle name="Comma (0,00) TBD 7 108" xfId="7946"/>
    <cellStyle name="Comma (0,00) TBD- 7 108" xfId="7947"/>
    <cellStyle name="Comma (0,00) TBD 7 109" xfId="7948"/>
    <cellStyle name="Comma (0,00) TBD- 7 109" xfId="7949"/>
    <cellStyle name="Comma (0,00) TBD 7 11" xfId="7950"/>
    <cellStyle name="Comma (0,00) TBD- 7 11" xfId="7951"/>
    <cellStyle name="Comma (0,00) TBD 7 110" xfId="7952"/>
    <cellStyle name="Comma (0,00) TBD- 7 110" xfId="7953"/>
    <cellStyle name="Comma (0,00) TBD 7 111" xfId="7954"/>
    <cellStyle name="Comma (0,00) TBD- 7 111" xfId="7955"/>
    <cellStyle name="Comma (0,00) TBD 7 112" xfId="7956"/>
    <cellStyle name="Comma (0,00) TBD- 7 112" xfId="7957"/>
    <cellStyle name="Comma (0,00) TBD 7 113" xfId="7958"/>
    <cellStyle name="Comma (0,00) TBD- 7 113" xfId="7959"/>
    <cellStyle name="Comma (0,00) TBD 7 114" xfId="7960"/>
    <cellStyle name="Comma (0,00) TBD- 7 114" xfId="7961"/>
    <cellStyle name="Comma (0,00) TBD 7 115" xfId="7962"/>
    <cellStyle name="Comma (0,00) TBD- 7 115" xfId="7963"/>
    <cellStyle name="Comma (0,00) TBD 7 116" xfId="7964"/>
    <cellStyle name="Comma (0,00) TBD- 7 116" xfId="7965"/>
    <cellStyle name="Comma (0,00) TBD 7 117" xfId="7966"/>
    <cellStyle name="Comma (0,00) TBD- 7 117" xfId="7967"/>
    <cellStyle name="Comma (0,00) TBD 7 118" xfId="7968"/>
    <cellStyle name="Comma (0,00) TBD- 7 118" xfId="7969"/>
    <cellStyle name="Comma (0,00) TBD 7 119" xfId="7970"/>
    <cellStyle name="Comma (0,00) TBD- 7 119" xfId="7971"/>
    <cellStyle name="Comma (0,00) TBD 7 12" xfId="7972"/>
    <cellStyle name="Comma (0,00) TBD- 7 12" xfId="7973"/>
    <cellStyle name="Comma (0,00) TBD 7 120" xfId="7974"/>
    <cellStyle name="Comma (0,00) TBD- 7 120" xfId="7975"/>
    <cellStyle name="Comma (0,00) TBD 7 121" xfId="7976"/>
    <cellStyle name="Comma (0,00) TBD- 7 121" xfId="7977"/>
    <cellStyle name="Comma (0,00) TBD 7 122" xfId="7978"/>
    <cellStyle name="Comma (0,00) TBD- 7 122" xfId="7979"/>
    <cellStyle name="Comma (0,00) TBD 7 123" xfId="7980"/>
    <cellStyle name="Comma (0,00) TBD- 7 123" xfId="7981"/>
    <cellStyle name="Comma (0,00) TBD 7 124" xfId="7982"/>
    <cellStyle name="Comma (0,00) TBD- 7 124" xfId="7983"/>
    <cellStyle name="Comma (0,00) TBD 7 125" xfId="7984"/>
    <cellStyle name="Comma (0,00) TBD- 7 125" xfId="7985"/>
    <cellStyle name="Comma (0,00) TBD 7 126" xfId="7986"/>
    <cellStyle name="Comma (0,00) TBD- 7 126" xfId="7987"/>
    <cellStyle name="Comma (0,00) TBD 7 127" xfId="7988"/>
    <cellStyle name="Comma (0,00) TBD- 7 127" xfId="7989"/>
    <cellStyle name="Comma (0,00) TBD 7 128" xfId="7990"/>
    <cellStyle name="Comma (0,00) TBD- 7 128" xfId="7991"/>
    <cellStyle name="Comma (0,00) TBD 7 129" xfId="7992"/>
    <cellStyle name="Comma (0,00) TBD- 7 129" xfId="7993"/>
    <cellStyle name="Comma (0,00) TBD 7 13" xfId="7994"/>
    <cellStyle name="Comma (0,00) TBD- 7 13" xfId="7995"/>
    <cellStyle name="Comma (0,00) TBD 7 130" xfId="7996"/>
    <cellStyle name="Comma (0,00) TBD- 7 130" xfId="7997"/>
    <cellStyle name="Comma (0,00) TBD 7 131" xfId="7998"/>
    <cellStyle name="Comma (0,00) TBD- 7 131" xfId="7999"/>
    <cellStyle name="Comma (0,00) TBD 7 132" xfId="8000"/>
    <cellStyle name="Comma (0,00) TBD- 7 132" xfId="8001"/>
    <cellStyle name="Comma (0,00) TBD 7 133" xfId="8002"/>
    <cellStyle name="Comma (0,00) TBD- 7 133" xfId="8003"/>
    <cellStyle name="Comma (0,00) TBD 7 134" xfId="8004"/>
    <cellStyle name="Comma (0,00) TBD- 7 134" xfId="8005"/>
    <cellStyle name="Comma (0,00) TBD 7 135" xfId="8006"/>
    <cellStyle name="Comma (0,00) TBD- 7 135" xfId="8007"/>
    <cellStyle name="Comma (0,00) TBD 7 136" xfId="8008"/>
    <cellStyle name="Comma (0,00) TBD- 7 136" xfId="8009"/>
    <cellStyle name="Comma (0,00) TBD 7 137" xfId="8010"/>
    <cellStyle name="Comma (0,00) TBD- 7 137" xfId="8011"/>
    <cellStyle name="Comma (0,00) TBD 7 138" xfId="8012"/>
    <cellStyle name="Comma (0,00) TBD- 7 138" xfId="8013"/>
    <cellStyle name="Comma (0,00) TBD 7 139" xfId="8014"/>
    <cellStyle name="Comma (0,00) TBD- 7 139" xfId="8015"/>
    <cellStyle name="Comma (0,00) TBD 7 14" xfId="8016"/>
    <cellStyle name="Comma (0,00) TBD- 7 14" xfId="8017"/>
    <cellStyle name="Comma (0,00) TBD 7 140" xfId="8018"/>
    <cellStyle name="Comma (0,00) TBD- 7 140" xfId="8019"/>
    <cellStyle name="Comma (0,00) TBD 7 141" xfId="8020"/>
    <cellStyle name="Comma (0,00) TBD- 7 141" xfId="8021"/>
    <cellStyle name="Comma (0,00) TBD 7 142" xfId="8022"/>
    <cellStyle name="Comma (0,00) TBD- 7 142" xfId="8023"/>
    <cellStyle name="Comma (0,00) TBD 7 143" xfId="8024"/>
    <cellStyle name="Comma (0,00) TBD- 7 143" xfId="8025"/>
    <cellStyle name="Comma (0,00) TBD 7 144" xfId="8026"/>
    <cellStyle name="Comma (0,00) TBD- 7 144" xfId="8027"/>
    <cellStyle name="Comma (0,00) TBD 7 145" xfId="8028"/>
    <cellStyle name="Comma (0,00) TBD- 7 145" xfId="8029"/>
    <cellStyle name="Comma (0,00) TBD 7 146" xfId="8030"/>
    <cellStyle name="Comma (0,00) TBD- 7 146" xfId="8031"/>
    <cellStyle name="Comma (0,00) TBD 7 147" xfId="8032"/>
    <cellStyle name="Comma (0,00) TBD- 7 147" xfId="8033"/>
    <cellStyle name="Comma (0,00) TBD 7 148" xfId="8034"/>
    <cellStyle name="Comma (0,00) TBD- 7 148" xfId="8035"/>
    <cellStyle name="Comma (0,00) TBD 7 149" xfId="8036"/>
    <cellStyle name="Comma (0,00) TBD- 7 149" xfId="8037"/>
    <cellStyle name="Comma (0,00) TBD 7 15" xfId="8038"/>
    <cellStyle name="Comma (0,00) TBD- 7 15" xfId="8039"/>
    <cellStyle name="Comma (0,00) TBD 7 150" xfId="8040"/>
    <cellStyle name="Comma (0,00) TBD- 7 150" xfId="8041"/>
    <cellStyle name="Comma (0,00) TBD 7 151" xfId="8042"/>
    <cellStyle name="Comma (0,00) TBD- 7 151" xfId="8043"/>
    <cellStyle name="Comma (0,00) TBD 7 152" xfId="8044"/>
    <cellStyle name="Comma (0,00) TBD- 7 152" xfId="8045"/>
    <cellStyle name="Comma (0,00) TBD 7 153" xfId="8046"/>
    <cellStyle name="Comma (0,00) TBD- 7 153" xfId="8047"/>
    <cellStyle name="Comma (0,00) TBD 7 16" xfId="8048"/>
    <cellStyle name="Comma (0,00) TBD- 7 16" xfId="8049"/>
    <cellStyle name="Comma (0,00) TBD 7 17" xfId="8050"/>
    <cellStyle name="Comma (0,00) TBD- 7 17" xfId="8051"/>
    <cellStyle name="Comma (0,00) TBD 7 18" xfId="8052"/>
    <cellStyle name="Comma (0,00) TBD- 7 18" xfId="8053"/>
    <cellStyle name="Comma (0,00) TBD 7 19" xfId="8054"/>
    <cellStyle name="Comma (0,00) TBD- 7 19" xfId="8055"/>
    <cellStyle name="Comma (0,00) TBD 7 2" xfId="8056"/>
    <cellStyle name="Comma (0,00) TBD- 7 2" xfId="8057"/>
    <cellStyle name="Comma (0,00) TBD 7 20" xfId="8058"/>
    <cellStyle name="Comma (0,00) TBD- 7 20" xfId="8059"/>
    <cellStyle name="Comma (0,00) TBD 7 21" xfId="8060"/>
    <cellStyle name="Comma (0,00) TBD- 7 21" xfId="8061"/>
    <cellStyle name="Comma (0,00) TBD 7 22" xfId="8062"/>
    <cellStyle name="Comma (0,00) TBD- 7 22" xfId="8063"/>
    <cellStyle name="Comma (0,00) TBD 7 23" xfId="8064"/>
    <cellStyle name="Comma (0,00) TBD- 7 23" xfId="8065"/>
    <cellStyle name="Comma (0,00) TBD 7 24" xfId="8066"/>
    <cellStyle name="Comma (0,00) TBD- 7 24" xfId="8067"/>
    <cellStyle name="Comma (0,00) TBD 7 25" xfId="8068"/>
    <cellStyle name="Comma (0,00) TBD- 7 25" xfId="8069"/>
    <cellStyle name="Comma (0,00) TBD 7 26" xfId="8070"/>
    <cellStyle name="Comma (0,00) TBD- 7 26" xfId="8071"/>
    <cellStyle name="Comma (0,00) TBD 7 27" xfId="8072"/>
    <cellStyle name="Comma (0,00) TBD- 7 27" xfId="8073"/>
    <cellStyle name="Comma (0,00) TBD 7 28" xfId="8074"/>
    <cellStyle name="Comma (0,00) TBD- 7 28" xfId="8075"/>
    <cellStyle name="Comma (0,00) TBD 7 29" xfId="8076"/>
    <cellStyle name="Comma (0,00) TBD- 7 29" xfId="8077"/>
    <cellStyle name="Comma (0,00) TBD 7 3" xfId="8078"/>
    <cellStyle name="Comma (0,00) TBD- 7 3" xfId="8079"/>
    <cellStyle name="Comma (0,00) TBD 7 30" xfId="8080"/>
    <cellStyle name="Comma (0,00) TBD- 7 30" xfId="8081"/>
    <cellStyle name="Comma (0,00) TBD 7 31" xfId="8082"/>
    <cellStyle name="Comma (0,00) TBD- 7 31" xfId="8083"/>
    <cellStyle name="Comma (0,00) TBD 7 32" xfId="8084"/>
    <cellStyle name="Comma (0,00) TBD- 7 32" xfId="8085"/>
    <cellStyle name="Comma (0,00) TBD 7 33" xfId="8086"/>
    <cellStyle name="Comma (0,00) TBD- 7 33" xfId="8087"/>
    <cellStyle name="Comma (0,00) TBD 7 34" xfId="8088"/>
    <cellStyle name="Comma (0,00) TBD- 7 34" xfId="8089"/>
    <cellStyle name="Comma (0,00) TBD 7 35" xfId="8090"/>
    <cellStyle name="Comma (0,00) TBD- 7 35" xfId="8091"/>
    <cellStyle name="Comma (0,00) TBD 7 36" xfId="8092"/>
    <cellStyle name="Comma (0,00) TBD- 7 36" xfId="8093"/>
    <cellStyle name="Comma (0,00) TBD 7 37" xfId="8094"/>
    <cellStyle name="Comma (0,00) TBD- 7 37" xfId="8095"/>
    <cellStyle name="Comma (0,00) TBD 7 38" xfId="8096"/>
    <cellStyle name="Comma (0,00) TBD- 7 38" xfId="8097"/>
    <cellStyle name="Comma (0,00) TBD 7 39" xfId="8098"/>
    <cellStyle name="Comma (0,00) TBD- 7 39" xfId="8099"/>
    <cellStyle name="Comma (0,00) TBD 7 4" xfId="8100"/>
    <cellStyle name="Comma (0,00) TBD- 7 4" xfId="8101"/>
    <cellStyle name="Comma (0,00) TBD 7 40" xfId="8102"/>
    <cellStyle name="Comma (0,00) TBD- 7 40" xfId="8103"/>
    <cellStyle name="Comma (0,00) TBD 7 41" xfId="8104"/>
    <cellStyle name="Comma (0,00) TBD- 7 41" xfId="8105"/>
    <cellStyle name="Comma (0,00) TBD 7 42" xfId="8106"/>
    <cellStyle name="Comma (0,00) TBD- 7 42" xfId="8107"/>
    <cellStyle name="Comma (0,00) TBD 7 43" xfId="8108"/>
    <cellStyle name="Comma (0,00) TBD- 7 43" xfId="8109"/>
    <cellStyle name="Comma (0,00) TBD 7 44" xfId="8110"/>
    <cellStyle name="Comma (0,00) TBD- 7 44" xfId="8111"/>
    <cellStyle name="Comma (0,00) TBD 7 45" xfId="8112"/>
    <cellStyle name="Comma (0,00) TBD- 7 45" xfId="8113"/>
    <cellStyle name="Comma (0,00) TBD 7 46" xfId="8114"/>
    <cellStyle name="Comma (0,00) TBD- 7 46" xfId="8115"/>
    <cellStyle name="Comma (0,00) TBD 7 47" xfId="8116"/>
    <cellStyle name="Comma (0,00) TBD- 7 47" xfId="8117"/>
    <cellStyle name="Comma (0,00) TBD 7 48" xfId="8118"/>
    <cellStyle name="Comma (0,00) TBD- 7 48" xfId="8119"/>
    <cellStyle name="Comma (0,00) TBD 7 49" xfId="8120"/>
    <cellStyle name="Comma (0,00) TBD- 7 49" xfId="8121"/>
    <cellStyle name="Comma (0,00) TBD 7 5" xfId="8122"/>
    <cellStyle name="Comma (0,00) TBD- 7 5" xfId="8123"/>
    <cellStyle name="Comma (0,00) TBD 7 50" xfId="8124"/>
    <cellStyle name="Comma (0,00) TBD- 7 50" xfId="8125"/>
    <cellStyle name="Comma (0,00) TBD 7 51" xfId="8126"/>
    <cellStyle name="Comma (0,00) TBD- 7 51" xfId="8127"/>
    <cellStyle name="Comma (0,00) TBD 7 52" xfId="8128"/>
    <cellStyle name="Comma (0,00) TBD- 7 52" xfId="8129"/>
    <cellStyle name="Comma (0,00) TBD 7 53" xfId="8130"/>
    <cellStyle name="Comma (0,00) TBD- 7 53" xfId="8131"/>
    <cellStyle name="Comma (0,00) TBD 7 54" xfId="8132"/>
    <cellStyle name="Comma (0,00) TBD- 7 54" xfId="8133"/>
    <cellStyle name="Comma (0,00) TBD 7 55" xfId="8134"/>
    <cellStyle name="Comma (0,00) TBD- 7 55" xfId="8135"/>
    <cellStyle name="Comma (0,00) TBD 7 56" xfId="8136"/>
    <cellStyle name="Comma (0,00) TBD- 7 56" xfId="8137"/>
    <cellStyle name="Comma (0,00) TBD 7 57" xfId="8138"/>
    <cellStyle name="Comma (0,00) TBD- 7 57" xfId="8139"/>
    <cellStyle name="Comma (0,00) TBD 7 58" xfId="8140"/>
    <cellStyle name="Comma (0,00) TBD- 7 58" xfId="8141"/>
    <cellStyle name="Comma (0,00) TBD 7 59" xfId="8142"/>
    <cellStyle name="Comma (0,00) TBD- 7 59" xfId="8143"/>
    <cellStyle name="Comma (0,00) TBD 7 6" xfId="8144"/>
    <cellStyle name="Comma (0,00) TBD- 7 6" xfId="8145"/>
    <cellStyle name="Comma (0,00) TBD 7 60" xfId="8146"/>
    <cellStyle name="Comma (0,00) TBD- 7 60" xfId="8147"/>
    <cellStyle name="Comma (0,00) TBD 7 61" xfId="8148"/>
    <cellStyle name="Comma (0,00) TBD- 7 61" xfId="8149"/>
    <cellStyle name="Comma (0,00) TBD 7 62" xfId="8150"/>
    <cellStyle name="Comma (0,00) TBD- 7 62" xfId="8151"/>
    <cellStyle name="Comma (0,00) TBD 7 63" xfId="8152"/>
    <cellStyle name="Comma (0,00) TBD- 7 63" xfId="8153"/>
    <cellStyle name="Comma (0,00) TBD 7 64" xfId="8154"/>
    <cellStyle name="Comma (0,00) TBD- 7 64" xfId="8155"/>
    <cellStyle name="Comma (0,00) TBD 7 65" xfId="8156"/>
    <cellStyle name="Comma (0,00) TBD- 7 65" xfId="8157"/>
    <cellStyle name="Comma (0,00) TBD 7 66" xfId="8158"/>
    <cellStyle name="Comma (0,00) TBD- 7 66" xfId="8159"/>
    <cellStyle name="Comma (0,00) TBD 7 67" xfId="8160"/>
    <cellStyle name="Comma (0,00) TBD- 7 67" xfId="8161"/>
    <cellStyle name="Comma (0,00) TBD 7 68" xfId="8162"/>
    <cellStyle name="Comma (0,00) TBD- 7 68" xfId="8163"/>
    <cellStyle name="Comma (0,00) TBD 7 69" xfId="8164"/>
    <cellStyle name="Comma (0,00) TBD- 7 69" xfId="8165"/>
    <cellStyle name="Comma (0,00) TBD 7 7" xfId="8166"/>
    <cellStyle name="Comma (0,00) TBD- 7 7" xfId="8167"/>
    <cellStyle name="Comma (0,00) TBD 7 70" xfId="8168"/>
    <cellStyle name="Comma (0,00) TBD- 7 70" xfId="8169"/>
    <cellStyle name="Comma (0,00) TBD 7 71" xfId="8170"/>
    <cellStyle name="Comma (0,00) TBD- 7 71" xfId="8171"/>
    <cellStyle name="Comma (0,00) TBD 7 72" xfId="8172"/>
    <cellStyle name="Comma (0,00) TBD- 7 72" xfId="8173"/>
    <cellStyle name="Comma (0,00) TBD 7 73" xfId="8174"/>
    <cellStyle name="Comma (0,00) TBD- 7 73" xfId="8175"/>
    <cellStyle name="Comma (0,00) TBD 7 74" xfId="8176"/>
    <cellStyle name="Comma (0,00) TBD- 7 74" xfId="8177"/>
    <cellStyle name="Comma (0,00) TBD 7 75" xfId="8178"/>
    <cellStyle name="Comma (0,00) TBD- 7 75" xfId="8179"/>
    <cellStyle name="Comma (0,00) TBD 7 76" xfId="8180"/>
    <cellStyle name="Comma (0,00) TBD- 7 76" xfId="8181"/>
    <cellStyle name="Comma (0,00) TBD 7 77" xfId="8182"/>
    <cellStyle name="Comma (0,00) TBD- 7 77" xfId="8183"/>
    <cellStyle name="Comma (0,00) TBD 7 78" xfId="8184"/>
    <cellStyle name="Comma (0,00) TBD- 7 78" xfId="8185"/>
    <cellStyle name="Comma (0,00) TBD 7 79" xfId="8186"/>
    <cellStyle name="Comma (0,00) TBD- 7 79" xfId="8187"/>
    <cellStyle name="Comma (0,00) TBD 7 8" xfId="8188"/>
    <cellStyle name="Comma (0,00) TBD- 7 8" xfId="8189"/>
    <cellStyle name="Comma (0,00) TBD 7 80" xfId="8190"/>
    <cellStyle name="Comma (0,00) TBD- 7 80" xfId="8191"/>
    <cellStyle name="Comma (0,00) TBD 7 81" xfId="8192"/>
    <cellStyle name="Comma (0,00) TBD- 7 81" xfId="8193"/>
    <cellStyle name="Comma (0,00) TBD 7 82" xfId="8194"/>
    <cellStyle name="Comma (0,00) TBD- 7 82" xfId="8195"/>
    <cellStyle name="Comma (0,00) TBD 7 83" xfId="8196"/>
    <cellStyle name="Comma (0,00) TBD- 7 83" xfId="8197"/>
    <cellStyle name="Comma (0,00) TBD 7 84" xfId="8198"/>
    <cellStyle name="Comma (0,00) TBD- 7 84" xfId="8199"/>
    <cellStyle name="Comma (0,00) TBD 7 85" xfId="8200"/>
    <cellStyle name="Comma (0,00) TBD- 7 85" xfId="8201"/>
    <cellStyle name="Comma (0,00) TBD 7 86" xfId="8202"/>
    <cellStyle name="Comma (0,00) TBD- 7 86" xfId="8203"/>
    <cellStyle name="Comma (0,00) TBD 7 87" xfId="8204"/>
    <cellStyle name="Comma (0,00) TBD- 7 87" xfId="8205"/>
    <cellStyle name="Comma (0,00) TBD 7 88" xfId="8206"/>
    <cellStyle name="Comma (0,00) TBD- 7 88" xfId="8207"/>
    <cellStyle name="Comma (0,00) TBD 7 89" xfId="8208"/>
    <cellStyle name="Comma (0,00) TBD- 7 89" xfId="8209"/>
    <cellStyle name="Comma (0,00) TBD 7 9" xfId="8210"/>
    <cellStyle name="Comma (0,00) TBD- 7 9" xfId="8211"/>
    <cellStyle name="Comma (0,00) TBD 7 90" xfId="8212"/>
    <cellStyle name="Comma (0,00) TBD- 7 90" xfId="8213"/>
    <cellStyle name="Comma (0,00) TBD 7 91" xfId="8214"/>
    <cellStyle name="Comma (0,00) TBD- 7 91" xfId="8215"/>
    <cellStyle name="Comma (0,00) TBD 7 92" xfId="8216"/>
    <cellStyle name="Comma (0,00) TBD- 7 92" xfId="8217"/>
    <cellStyle name="Comma (0,00) TBD 7 93" xfId="8218"/>
    <cellStyle name="Comma (0,00) TBD- 7 93" xfId="8219"/>
    <cellStyle name="Comma (0,00) TBD 7 94" xfId="8220"/>
    <cellStyle name="Comma (0,00) TBD- 7 94" xfId="8221"/>
    <cellStyle name="Comma (0,00) TBD 7 95" xfId="8222"/>
    <cellStyle name="Comma (0,00) TBD- 7 95" xfId="8223"/>
    <cellStyle name="Comma (0,00) TBD 7 96" xfId="8224"/>
    <cellStyle name="Comma (0,00) TBD- 7 96" xfId="8225"/>
    <cellStyle name="Comma (0,00) TBD 7 97" xfId="8226"/>
    <cellStyle name="Comma (0,00) TBD- 7 97" xfId="8227"/>
    <cellStyle name="Comma (0,00) TBD 7 98" xfId="8228"/>
    <cellStyle name="Comma (0,00) TBD- 7 98" xfId="8229"/>
    <cellStyle name="Comma (0,00) TBD 7 99" xfId="8230"/>
    <cellStyle name="Comma (0,00) TBD- 7 99" xfId="8231"/>
    <cellStyle name="Comma (0,00) TBD 8" xfId="8232"/>
    <cellStyle name="Comma (0,00) TBD- 8" xfId="8233"/>
    <cellStyle name="Comma (0,00) TBD 8 10" xfId="8234"/>
    <cellStyle name="Comma (0,00) TBD- 8 10" xfId="8235"/>
    <cellStyle name="Comma (0,00) TBD 8 100" xfId="8236"/>
    <cellStyle name="Comma (0,00) TBD- 8 100" xfId="8237"/>
    <cellStyle name="Comma (0,00) TBD 8 101" xfId="8238"/>
    <cellStyle name="Comma (0,00) TBD- 8 101" xfId="8239"/>
    <cellStyle name="Comma (0,00) TBD 8 102" xfId="8240"/>
    <cellStyle name="Comma (0,00) TBD- 8 102" xfId="8241"/>
    <cellStyle name="Comma (0,00) TBD 8 103" xfId="8242"/>
    <cellStyle name="Comma (0,00) TBD- 8 103" xfId="8243"/>
    <cellStyle name="Comma (0,00) TBD 8 104" xfId="8244"/>
    <cellStyle name="Comma (0,00) TBD- 8 104" xfId="8245"/>
    <cellStyle name="Comma (0,00) TBD 8 105" xfId="8246"/>
    <cellStyle name="Comma (0,00) TBD- 8 105" xfId="8247"/>
    <cellStyle name="Comma (0,00) TBD 8 106" xfId="8248"/>
    <cellStyle name="Comma (0,00) TBD- 8 106" xfId="8249"/>
    <cellStyle name="Comma (0,00) TBD 8 107" xfId="8250"/>
    <cellStyle name="Comma (0,00) TBD- 8 107" xfId="8251"/>
    <cellStyle name="Comma (0,00) TBD 8 108" xfId="8252"/>
    <cellStyle name="Comma (0,00) TBD- 8 108" xfId="8253"/>
    <cellStyle name="Comma (0,00) TBD 8 109" xfId="8254"/>
    <cellStyle name="Comma (0,00) TBD- 8 109" xfId="8255"/>
    <cellStyle name="Comma (0,00) TBD 8 11" xfId="8256"/>
    <cellStyle name="Comma (0,00) TBD- 8 11" xfId="8257"/>
    <cellStyle name="Comma (0,00) TBD 8 110" xfId="8258"/>
    <cellStyle name="Comma (0,00) TBD- 8 110" xfId="8259"/>
    <cellStyle name="Comma (0,00) TBD 8 111" xfId="8260"/>
    <cellStyle name="Comma (0,00) TBD- 8 111" xfId="8261"/>
    <cellStyle name="Comma (0,00) TBD 8 112" xfId="8262"/>
    <cellStyle name="Comma (0,00) TBD- 8 112" xfId="8263"/>
    <cellStyle name="Comma (0,00) TBD 8 113" xfId="8264"/>
    <cellStyle name="Comma (0,00) TBD- 8 113" xfId="8265"/>
    <cellStyle name="Comma (0,00) TBD 8 114" xfId="8266"/>
    <cellStyle name="Comma (0,00) TBD- 8 114" xfId="8267"/>
    <cellStyle name="Comma (0,00) TBD 8 115" xfId="8268"/>
    <cellStyle name="Comma (0,00) TBD- 8 115" xfId="8269"/>
    <cellStyle name="Comma (0,00) TBD 8 116" xfId="8270"/>
    <cellStyle name="Comma (0,00) TBD- 8 116" xfId="8271"/>
    <cellStyle name="Comma (0,00) TBD 8 117" xfId="8272"/>
    <cellStyle name="Comma (0,00) TBD- 8 117" xfId="8273"/>
    <cellStyle name="Comma (0,00) TBD 8 118" xfId="8274"/>
    <cellStyle name="Comma (0,00) TBD- 8 118" xfId="8275"/>
    <cellStyle name="Comma (0,00) TBD 8 119" xfId="8276"/>
    <cellStyle name="Comma (0,00) TBD- 8 119" xfId="8277"/>
    <cellStyle name="Comma (0,00) TBD 8 12" xfId="8278"/>
    <cellStyle name="Comma (0,00) TBD- 8 12" xfId="8279"/>
    <cellStyle name="Comma (0,00) TBD 8 120" xfId="8280"/>
    <cellStyle name="Comma (0,00) TBD- 8 120" xfId="8281"/>
    <cellStyle name="Comma (0,00) TBD 8 121" xfId="8282"/>
    <cellStyle name="Comma (0,00) TBD- 8 121" xfId="8283"/>
    <cellStyle name="Comma (0,00) TBD 8 122" xfId="8284"/>
    <cellStyle name="Comma (0,00) TBD- 8 122" xfId="8285"/>
    <cellStyle name="Comma (0,00) TBD 8 123" xfId="8286"/>
    <cellStyle name="Comma (0,00) TBD- 8 123" xfId="8287"/>
    <cellStyle name="Comma (0,00) TBD 8 124" xfId="8288"/>
    <cellStyle name="Comma (0,00) TBD- 8 124" xfId="8289"/>
    <cellStyle name="Comma (0,00) TBD 8 125" xfId="8290"/>
    <cellStyle name="Comma (0,00) TBD- 8 125" xfId="8291"/>
    <cellStyle name="Comma (0,00) TBD 8 126" xfId="8292"/>
    <cellStyle name="Comma (0,00) TBD- 8 126" xfId="8293"/>
    <cellStyle name="Comma (0,00) TBD 8 127" xfId="8294"/>
    <cellStyle name="Comma (0,00) TBD- 8 127" xfId="8295"/>
    <cellStyle name="Comma (0,00) TBD 8 128" xfId="8296"/>
    <cellStyle name="Comma (0,00) TBD- 8 128" xfId="8297"/>
    <cellStyle name="Comma (0,00) TBD 8 129" xfId="8298"/>
    <cellStyle name="Comma (0,00) TBD- 8 129" xfId="8299"/>
    <cellStyle name="Comma (0,00) TBD 8 13" xfId="8300"/>
    <cellStyle name="Comma (0,00) TBD- 8 13" xfId="8301"/>
    <cellStyle name="Comma (0,00) TBD 8 130" xfId="8302"/>
    <cellStyle name="Comma (0,00) TBD- 8 130" xfId="8303"/>
    <cellStyle name="Comma (0,00) TBD 8 131" xfId="8304"/>
    <cellStyle name="Comma (0,00) TBD- 8 131" xfId="8305"/>
    <cellStyle name="Comma (0,00) TBD 8 132" xfId="8306"/>
    <cellStyle name="Comma (0,00) TBD- 8 132" xfId="8307"/>
    <cellStyle name="Comma (0,00) TBD 8 133" xfId="8308"/>
    <cellStyle name="Comma (0,00) TBD- 8 133" xfId="8309"/>
    <cellStyle name="Comma (0,00) TBD 8 134" xfId="8310"/>
    <cellStyle name="Comma (0,00) TBD- 8 134" xfId="8311"/>
    <cellStyle name="Comma (0,00) TBD 8 135" xfId="8312"/>
    <cellStyle name="Comma (0,00) TBD- 8 135" xfId="8313"/>
    <cellStyle name="Comma (0,00) TBD 8 136" xfId="8314"/>
    <cellStyle name="Comma (0,00) TBD- 8 136" xfId="8315"/>
    <cellStyle name="Comma (0,00) TBD 8 137" xfId="8316"/>
    <cellStyle name="Comma (0,00) TBD- 8 137" xfId="8317"/>
    <cellStyle name="Comma (0,00) TBD 8 138" xfId="8318"/>
    <cellStyle name="Comma (0,00) TBD- 8 138" xfId="8319"/>
    <cellStyle name="Comma (0,00) TBD 8 139" xfId="8320"/>
    <cellStyle name="Comma (0,00) TBD- 8 139" xfId="8321"/>
    <cellStyle name="Comma (0,00) TBD 8 14" xfId="8322"/>
    <cellStyle name="Comma (0,00) TBD- 8 14" xfId="8323"/>
    <cellStyle name="Comma (0,00) TBD 8 140" xfId="8324"/>
    <cellStyle name="Comma (0,00) TBD- 8 140" xfId="8325"/>
    <cellStyle name="Comma (0,00) TBD 8 141" xfId="8326"/>
    <cellStyle name="Comma (0,00) TBD- 8 141" xfId="8327"/>
    <cellStyle name="Comma (0,00) TBD 8 142" xfId="8328"/>
    <cellStyle name="Comma (0,00) TBD- 8 142" xfId="8329"/>
    <cellStyle name="Comma (0,00) TBD 8 143" xfId="8330"/>
    <cellStyle name="Comma (0,00) TBD- 8 143" xfId="8331"/>
    <cellStyle name="Comma (0,00) TBD 8 144" xfId="8332"/>
    <cellStyle name="Comma (0,00) TBD- 8 144" xfId="8333"/>
    <cellStyle name="Comma (0,00) TBD 8 145" xfId="8334"/>
    <cellStyle name="Comma (0,00) TBD- 8 145" xfId="8335"/>
    <cellStyle name="Comma (0,00) TBD 8 146" xfId="8336"/>
    <cellStyle name="Comma (0,00) TBD- 8 146" xfId="8337"/>
    <cellStyle name="Comma (0,00) TBD 8 147" xfId="8338"/>
    <cellStyle name="Comma (0,00) TBD- 8 147" xfId="8339"/>
    <cellStyle name="Comma (0,00) TBD 8 148" xfId="8340"/>
    <cellStyle name="Comma (0,00) TBD- 8 148" xfId="8341"/>
    <cellStyle name="Comma (0,00) TBD 8 149" xfId="8342"/>
    <cellStyle name="Comma (0,00) TBD- 8 149" xfId="8343"/>
    <cellStyle name="Comma (0,00) TBD 8 15" xfId="8344"/>
    <cellStyle name="Comma (0,00) TBD- 8 15" xfId="8345"/>
    <cellStyle name="Comma (0,00) TBD 8 150" xfId="8346"/>
    <cellStyle name="Comma (0,00) TBD- 8 150" xfId="8347"/>
    <cellStyle name="Comma (0,00) TBD 8 151" xfId="8348"/>
    <cellStyle name="Comma (0,00) TBD- 8 151" xfId="8349"/>
    <cellStyle name="Comma (0,00) TBD 8 152" xfId="8350"/>
    <cellStyle name="Comma (0,00) TBD- 8 152" xfId="8351"/>
    <cellStyle name="Comma (0,00) TBD 8 153" xfId="8352"/>
    <cellStyle name="Comma (0,00) TBD- 8 153" xfId="8353"/>
    <cellStyle name="Comma (0,00) TBD 8 16" xfId="8354"/>
    <cellStyle name="Comma (0,00) TBD- 8 16" xfId="8355"/>
    <cellStyle name="Comma (0,00) TBD 8 17" xfId="8356"/>
    <cellStyle name="Comma (0,00) TBD- 8 17" xfId="8357"/>
    <cellStyle name="Comma (0,00) TBD 8 18" xfId="8358"/>
    <cellStyle name="Comma (0,00) TBD- 8 18" xfId="8359"/>
    <cellStyle name="Comma (0,00) TBD 8 19" xfId="8360"/>
    <cellStyle name="Comma (0,00) TBD- 8 19" xfId="8361"/>
    <cellStyle name="Comma (0,00) TBD 8 2" xfId="8362"/>
    <cellStyle name="Comma (0,00) TBD- 8 2" xfId="8363"/>
    <cellStyle name="Comma (0,00) TBD 8 20" xfId="8364"/>
    <cellStyle name="Comma (0,00) TBD- 8 20" xfId="8365"/>
    <cellStyle name="Comma (0,00) TBD 8 21" xfId="8366"/>
    <cellStyle name="Comma (0,00) TBD- 8 21" xfId="8367"/>
    <cellStyle name="Comma (0,00) TBD 8 22" xfId="8368"/>
    <cellStyle name="Comma (0,00) TBD- 8 22" xfId="8369"/>
    <cellStyle name="Comma (0,00) TBD 8 23" xfId="8370"/>
    <cellStyle name="Comma (0,00) TBD- 8 23" xfId="8371"/>
    <cellStyle name="Comma (0,00) TBD 8 24" xfId="8372"/>
    <cellStyle name="Comma (0,00) TBD- 8 24" xfId="8373"/>
    <cellStyle name="Comma (0,00) TBD 8 25" xfId="8374"/>
    <cellStyle name="Comma (0,00) TBD- 8 25" xfId="8375"/>
    <cellStyle name="Comma (0,00) TBD 8 26" xfId="8376"/>
    <cellStyle name="Comma (0,00) TBD- 8 26" xfId="8377"/>
    <cellStyle name="Comma (0,00) TBD 8 27" xfId="8378"/>
    <cellStyle name="Comma (0,00) TBD- 8 27" xfId="8379"/>
    <cellStyle name="Comma (0,00) TBD 8 28" xfId="8380"/>
    <cellStyle name="Comma (0,00) TBD- 8 28" xfId="8381"/>
    <cellStyle name="Comma (0,00) TBD 8 29" xfId="8382"/>
    <cellStyle name="Comma (0,00) TBD- 8 29" xfId="8383"/>
    <cellStyle name="Comma (0,00) TBD 8 3" xfId="8384"/>
    <cellStyle name="Comma (0,00) TBD- 8 3" xfId="8385"/>
    <cellStyle name="Comma (0,00) TBD 8 30" xfId="8386"/>
    <cellStyle name="Comma (0,00) TBD- 8 30" xfId="8387"/>
    <cellStyle name="Comma (0,00) TBD 8 31" xfId="8388"/>
    <cellStyle name="Comma (0,00) TBD- 8 31" xfId="8389"/>
    <cellStyle name="Comma (0,00) TBD 8 32" xfId="8390"/>
    <cellStyle name="Comma (0,00) TBD- 8 32" xfId="8391"/>
    <cellStyle name="Comma (0,00) TBD 8 33" xfId="8392"/>
    <cellStyle name="Comma (0,00) TBD- 8 33" xfId="8393"/>
    <cellStyle name="Comma (0,00) TBD 8 34" xfId="8394"/>
    <cellStyle name="Comma (0,00) TBD- 8 34" xfId="8395"/>
    <cellStyle name="Comma (0,00) TBD 8 35" xfId="8396"/>
    <cellStyle name="Comma (0,00) TBD- 8 35" xfId="8397"/>
    <cellStyle name="Comma (0,00) TBD 8 36" xfId="8398"/>
    <cellStyle name="Comma (0,00) TBD- 8 36" xfId="8399"/>
    <cellStyle name="Comma (0,00) TBD 8 37" xfId="8400"/>
    <cellStyle name="Comma (0,00) TBD- 8 37" xfId="8401"/>
    <cellStyle name="Comma (0,00) TBD 8 38" xfId="8402"/>
    <cellStyle name="Comma (0,00) TBD- 8 38" xfId="8403"/>
    <cellStyle name="Comma (0,00) TBD 8 39" xfId="8404"/>
    <cellStyle name="Comma (0,00) TBD- 8 39" xfId="8405"/>
    <cellStyle name="Comma (0,00) TBD 8 4" xfId="8406"/>
    <cellStyle name="Comma (0,00) TBD- 8 4" xfId="8407"/>
    <cellStyle name="Comma (0,00) TBD 8 40" xfId="8408"/>
    <cellStyle name="Comma (0,00) TBD- 8 40" xfId="8409"/>
    <cellStyle name="Comma (0,00) TBD 8 41" xfId="8410"/>
    <cellStyle name="Comma (0,00) TBD- 8 41" xfId="8411"/>
    <cellStyle name="Comma (0,00) TBD 8 42" xfId="8412"/>
    <cellStyle name="Comma (0,00) TBD- 8 42" xfId="8413"/>
    <cellStyle name="Comma (0,00) TBD 8 43" xfId="8414"/>
    <cellStyle name="Comma (0,00) TBD- 8 43" xfId="8415"/>
    <cellStyle name="Comma (0,00) TBD 8 44" xfId="8416"/>
    <cellStyle name="Comma (0,00) TBD- 8 44" xfId="8417"/>
    <cellStyle name="Comma (0,00) TBD 8 45" xfId="8418"/>
    <cellStyle name="Comma (0,00) TBD- 8 45" xfId="8419"/>
    <cellStyle name="Comma (0,00) TBD 8 46" xfId="8420"/>
    <cellStyle name="Comma (0,00) TBD- 8 46" xfId="8421"/>
    <cellStyle name="Comma (0,00) TBD 8 47" xfId="8422"/>
    <cellStyle name="Comma (0,00) TBD- 8 47" xfId="8423"/>
    <cellStyle name="Comma (0,00) TBD 8 48" xfId="8424"/>
    <cellStyle name="Comma (0,00) TBD- 8 48" xfId="8425"/>
    <cellStyle name="Comma (0,00) TBD 8 49" xfId="8426"/>
    <cellStyle name="Comma (0,00) TBD- 8 49" xfId="8427"/>
    <cellStyle name="Comma (0,00) TBD 8 5" xfId="8428"/>
    <cellStyle name="Comma (0,00) TBD- 8 5" xfId="8429"/>
    <cellStyle name="Comma (0,00) TBD 8 50" xfId="8430"/>
    <cellStyle name="Comma (0,00) TBD- 8 50" xfId="8431"/>
    <cellStyle name="Comma (0,00) TBD 8 51" xfId="8432"/>
    <cellStyle name="Comma (0,00) TBD- 8 51" xfId="8433"/>
    <cellStyle name="Comma (0,00) TBD 8 52" xfId="8434"/>
    <cellStyle name="Comma (0,00) TBD- 8 52" xfId="8435"/>
    <cellStyle name="Comma (0,00) TBD 8 53" xfId="8436"/>
    <cellStyle name="Comma (0,00) TBD- 8 53" xfId="8437"/>
    <cellStyle name="Comma (0,00) TBD 8 54" xfId="8438"/>
    <cellStyle name="Comma (0,00) TBD- 8 54" xfId="8439"/>
    <cellStyle name="Comma (0,00) TBD 8 55" xfId="8440"/>
    <cellStyle name="Comma (0,00) TBD- 8 55" xfId="8441"/>
    <cellStyle name="Comma (0,00) TBD 8 56" xfId="8442"/>
    <cellStyle name="Comma (0,00) TBD- 8 56" xfId="8443"/>
    <cellStyle name="Comma (0,00) TBD 8 57" xfId="8444"/>
    <cellStyle name="Comma (0,00) TBD- 8 57" xfId="8445"/>
    <cellStyle name="Comma (0,00) TBD 8 58" xfId="8446"/>
    <cellStyle name="Comma (0,00) TBD- 8 58" xfId="8447"/>
    <cellStyle name="Comma (0,00) TBD 8 59" xfId="8448"/>
    <cellStyle name="Comma (0,00) TBD- 8 59" xfId="8449"/>
    <cellStyle name="Comma (0,00) TBD 8 6" xfId="8450"/>
    <cellStyle name="Comma (0,00) TBD- 8 6" xfId="8451"/>
    <cellStyle name="Comma (0,00) TBD 8 60" xfId="8452"/>
    <cellStyle name="Comma (0,00) TBD- 8 60" xfId="8453"/>
    <cellStyle name="Comma (0,00) TBD 8 61" xfId="8454"/>
    <cellStyle name="Comma (0,00) TBD- 8 61" xfId="8455"/>
    <cellStyle name="Comma (0,00) TBD 8 62" xfId="8456"/>
    <cellStyle name="Comma (0,00) TBD- 8 62" xfId="8457"/>
    <cellStyle name="Comma (0,00) TBD 8 63" xfId="8458"/>
    <cellStyle name="Comma (0,00) TBD- 8 63" xfId="8459"/>
    <cellStyle name="Comma (0,00) TBD 8 64" xfId="8460"/>
    <cellStyle name="Comma (0,00) TBD- 8 64" xfId="8461"/>
    <cellStyle name="Comma (0,00) TBD 8 65" xfId="8462"/>
    <cellStyle name="Comma (0,00) TBD- 8 65" xfId="8463"/>
    <cellStyle name="Comma (0,00) TBD 8 66" xfId="8464"/>
    <cellStyle name="Comma (0,00) TBD- 8 66" xfId="8465"/>
    <cellStyle name="Comma (0,00) TBD 8 67" xfId="8466"/>
    <cellStyle name="Comma (0,00) TBD- 8 67" xfId="8467"/>
    <cellStyle name="Comma (0,00) TBD 8 68" xfId="8468"/>
    <cellStyle name="Comma (0,00) TBD- 8 68" xfId="8469"/>
    <cellStyle name="Comma (0,00) TBD 8 69" xfId="8470"/>
    <cellStyle name="Comma (0,00) TBD- 8 69" xfId="8471"/>
    <cellStyle name="Comma (0,00) TBD 8 7" xfId="8472"/>
    <cellStyle name="Comma (0,00) TBD- 8 7" xfId="8473"/>
    <cellStyle name="Comma (0,00) TBD 8 70" xfId="8474"/>
    <cellStyle name="Comma (0,00) TBD- 8 70" xfId="8475"/>
    <cellStyle name="Comma (0,00) TBD 8 71" xfId="8476"/>
    <cellStyle name="Comma (0,00) TBD- 8 71" xfId="8477"/>
    <cellStyle name="Comma (0,00) TBD 8 72" xfId="8478"/>
    <cellStyle name="Comma (0,00) TBD- 8 72" xfId="8479"/>
    <cellStyle name="Comma (0,00) TBD 8 73" xfId="8480"/>
    <cellStyle name="Comma (0,00) TBD- 8 73" xfId="8481"/>
    <cellStyle name="Comma (0,00) TBD 8 74" xfId="8482"/>
    <cellStyle name="Comma (0,00) TBD- 8 74" xfId="8483"/>
    <cellStyle name="Comma (0,00) TBD 8 75" xfId="8484"/>
    <cellStyle name="Comma (0,00) TBD- 8 75" xfId="8485"/>
    <cellStyle name="Comma (0,00) TBD 8 76" xfId="8486"/>
    <cellStyle name="Comma (0,00) TBD- 8 76" xfId="8487"/>
    <cellStyle name="Comma (0,00) TBD 8 77" xfId="8488"/>
    <cellStyle name="Comma (0,00) TBD- 8 77" xfId="8489"/>
    <cellStyle name="Comma (0,00) TBD 8 78" xfId="8490"/>
    <cellStyle name="Comma (0,00) TBD- 8 78" xfId="8491"/>
    <cellStyle name="Comma (0,00) TBD 8 79" xfId="8492"/>
    <cellStyle name="Comma (0,00) TBD- 8 79" xfId="8493"/>
    <cellStyle name="Comma (0,00) TBD 8 8" xfId="8494"/>
    <cellStyle name="Comma (0,00) TBD- 8 8" xfId="8495"/>
    <cellStyle name="Comma (0,00) TBD 8 80" xfId="8496"/>
    <cellStyle name="Comma (0,00) TBD- 8 80" xfId="8497"/>
    <cellStyle name="Comma (0,00) TBD 8 81" xfId="8498"/>
    <cellStyle name="Comma (0,00) TBD- 8 81" xfId="8499"/>
    <cellStyle name="Comma (0,00) TBD 8 82" xfId="8500"/>
    <cellStyle name="Comma (0,00) TBD- 8 82" xfId="8501"/>
    <cellStyle name="Comma (0,00) TBD 8 83" xfId="8502"/>
    <cellStyle name="Comma (0,00) TBD- 8 83" xfId="8503"/>
    <cellStyle name="Comma (0,00) TBD 8 84" xfId="8504"/>
    <cellStyle name="Comma (0,00) TBD- 8 84" xfId="8505"/>
    <cellStyle name="Comma (0,00) TBD 8 85" xfId="8506"/>
    <cellStyle name="Comma (0,00) TBD- 8 85" xfId="8507"/>
    <cellStyle name="Comma (0,00) TBD 8 86" xfId="8508"/>
    <cellStyle name="Comma (0,00) TBD- 8 86" xfId="8509"/>
    <cellStyle name="Comma (0,00) TBD 8 87" xfId="8510"/>
    <cellStyle name="Comma (0,00) TBD- 8 87" xfId="8511"/>
    <cellStyle name="Comma (0,00) TBD 8 88" xfId="8512"/>
    <cellStyle name="Comma (0,00) TBD- 8 88" xfId="8513"/>
    <cellStyle name="Comma (0,00) TBD 8 89" xfId="8514"/>
    <cellStyle name="Comma (0,00) TBD- 8 89" xfId="8515"/>
    <cellStyle name="Comma (0,00) TBD 8 9" xfId="8516"/>
    <cellStyle name="Comma (0,00) TBD- 8 9" xfId="8517"/>
    <cellStyle name="Comma (0,00) TBD 8 90" xfId="8518"/>
    <cellStyle name="Comma (0,00) TBD- 8 90" xfId="8519"/>
    <cellStyle name="Comma (0,00) TBD 8 91" xfId="8520"/>
    <cellStyle name="Comma (0,00) TBD- 8 91" xfId="8521"/>
    <cellStyle name="Comma (0,00) TBD 8 92" xfId="8522"/>
    <cellStyle name="Comma (0,00) TBD- 8 92" xfId="8523"/>
    <cellStyle name="Comma (0,00) TBD 8 93" xfId="8524"/>
    <cellStyle name="Comma (0,00) TBD- 8 93" xfId="8525"/>
    <cellStyle name="Comma (0,00) TBD 8 94" xfId="8526"/>
    <cellStyle name="Comma (0,00) TBD- 8 94" xfId="8527"/>
    <cellStyle name="Comma (0,00) TBD 8 95" xfId="8528"/>
    <cellStyle name="Comma (0,00) TBD- 8 95" xfId="8529"/>
    <cellStyle name="Comma (0,00) TBD 8 96" xfId="8530"/>
    <cellStyle name="Comma (0,00) TBD- 8 96" xfId="8531"/>
    <cellStyle name="Comma (0,00) TBD 8 97" xfId="8532"/>
    <cellStyle name="Comma (0,00) TBD- 8 97" xfId="8533"/>
    <cellStyle name="Comma (0,00) TBD 8 98" xfId="8534"/>
    <cellStyle name="Comma (0,00) TBD- 8 98" xfId="8535"/>
    <cellStyle name="Comma (0,00) TBD 8 99" xfId="8536"/>
    <cellStyle name="Comma (0,00) TBD- 8 99" xfId="8537"/>
    <cellStyle name="Comma (0,00) TBD 9" xfId="8538"/>
    <cellStyle name="Comma (0,00) TBD- 9" xfId="8539"/>
    <cellStyle name="Comma (0,00) TBD 9 10" xfId="8540"/>
    <cellStyle name="Comma (0,00) TBD- 9 10" xfId="8541"/>
    <cellStyle name="Comma (0,00) TBD 9 100" xfId="8542"/>
    <cellStyle name="Comma (0,00) TBD- 9 100" xfId="8543"/>
    <cellStyle name="Comma (0,00) TBD 9 101" xfId="8544"/>
    <cellStyle name="Comma (0,00) TBD- 9 101" xfId="8545"/>
    <cellStyle name="Comma (0,00) TBD 9 102" xfId="8546"/>
    <cellStyle name="Comma (0,00) TBD- 9 102" xfId="8547"/>
    <cellStyle name="Comma (0,00) TBD 9 103" xfId="8548"/>
    <cellStyle name="Comma (0,00) TBD- 9 103" xfId="8549"/>
    <cellStyle name="Comma (0,00) TBD 9 104" xfId="8550"/>
    <cellStyle name="Comma (0,00) TBD- 9 104" xfId="8551"/>
    <cellStyle name="Comma (0,00) TBD 9 105" xfId="8552"/>
    <cellStyle name="Comma (0,00) TBD- 9 105" xfId="8553"/>
    <cellStyle name="Comma (0,00) TBD 9 106" xfId="8554"/>
    <cellStyle name="Comma (0,00) TBD- 9 106" xfId="8555"/>
    <cellStyle name="Comma (0,00) TBD 9 107" xfId="8556"/>
    <cellStyle name="Comma (0,00) TBD- 9 107" xfId="8557"/>
    <cellStyle name="Comma (0,00) TBD 9 108" xfId="8558"/>
    <cellStyle name="Comma (0,00) TBD- 9 108" xfId="8559"/>
    <cellStyle name="Comma (0,00) TBD 9 109" xfId="8560"/>
    <cellStyle name="Comma (0,00) TBD- 9 109" xfId="8561"/>
    <cellStyle name="Comma (0,00) TBD 9 11" xfId="8562"/>
    <cellStyle name="Comma (0,00) TBD- 9 11" xfId="8563"/>
    <cellStyle name="Comma (0,00) TBD 9 110" xfId="8564"/>
    <cellStyle name="Comma (0,00) TBD- 9 110" xfId="8565"/>
    <cellStyle name="Comma (0,00) TBD 9 111" xfId="8566"/>
    <cellStyle name="Comma (0,00) TBD- 9 111" xfId="8567"/>
    <cellStyle name="Comma (0,00) TBD 9 112" xfId="8568"/>
    <cellStyle name="Comma (0,00) TBD- 9 112" xfId="8569"/>
    <cellStyle name="Comma (0,00) TBD 9 113" xfId="8570"/>
    <cellStyle name="Comma (0,00) TBD- 9 113" xfId="8571"/>
    <cellStyle name="Comma (0,00) TBD 9 114" xfId="8572"/>
    <cellStyle name="Comma (0,00) TBD- 9 114" xfId="8573"/>
    <cellStyle name="Comma (0,00) TBD 9 115" xfId="8574"/>
    <cellStyle name="Comma (0,00) TBD- 9 115" xfId="8575"/>
    <cellStyle name="Comma (0,00) TBD 9 116" xfId="8576"/>
    <cellStyle name="Comma (0,00) TBD- 9 116" xfId="8577"/>
    <cellStyle name="Comma (0,00) TBD 9 117" xfId="8578"/>
    <cellStyle name="Comma (0,00) TBD- 9 117" xfId="8579"/>
    <cellStyle name="Comma (0,00) TBD 9 118" xfId="8580"/>
    <cellStyle name="Comma (0,00) TBD- 9 118" xfId="8581"/>
    <cellStyle name="Comma (0,00) TBD 9 119" xfId="8582"/>
    <cellStyle name="Comma (0,00) TBD- 9 119" xfId="8583"/>
    <cellStyle name="Comma (0,00) TBD 9 12" xfId="8584"/>
    <cellStyle name="Comma (0,00) TBD- 9 12" xfId="8585"/>
    <cellStyle name="Comma (0,00) TBD 9 120" xfId="8586"/>
    <cellStyle name="Comma (0,00) TBD- 9 120" xfId="8587"/>
    <cellStyle name="Comma (0,00) TBD 9 121" xfId="8588"/>
    <cellStyle name="Comma (0,00) TBD- 9 121" xfId="8589"/>
    <cellStyle name="Comma (0,00) TBD 9 122" xfId="8590"/>
    <cellStyle name="Comma (0,00) TBD- 9 122" xfId="8591"/>
    <cellStyle name="Comma (0,00) TBD 9 123" xfId="8592"/>
    <cellStyle name="Comma (0,00) TBD- 9 123" xfId="8593"/>
    <cellStyle name="Comma (0,00) TBD 9 124" xfId="8594"/>
    <cellStyle name="Comma (0,00) TBD- 9 124" xfId="8595"/>
    <cellStyle name="Comma (0,00) TBD 9 125" xfId="8596"/>
    <cellStyle name="Comma (0,00) TBD- 9 125" xfId="8597"/>
    <cellStyle name="Comma (0,00) TBD 9 126" xfId="8598"/>
    <cellStyle name="Comma (0,00) TBD- 9 126" xfId="8599"/>
    <cellStyle name="Comma (0,00) TBD 9 127" xfId="8600"/>
    <cellStyle name="Comma (0,00) TBD- 9 127" xfId="8601"/>
    <cellStyle name="Comma (0,00) TBD 9 128" xfId="8602"/>
    <cellStyle name="Comma (0,00) TBD- 9 128" xfId="8603"/>
    <cellStyle name="Comma (0,00) TBD 9 129" xfId="8604"/>
    <cellStyle name="Comma (0,00) TBD- 9 129" xfId="8605"/>
    <cellStyle name="Comma (0,00) TBD 9 13" xfId="8606"/>
    <cellStyle name="Comma (0,00) TBD- 9 13" xfId="8607"/>
    <cellStyle name="Comma (0,00) TBD 9 130" xfId="8608"/>
    <cellStyle name="Comma (0,00) TBD- 9 130" xfId="8609"/>
    <cellStyle name="Comma (0,00) TBD 9 131" xfId="8610"/>
    <cellStyle name="Comma (0,00) TBD- 9 131" xfId="8611"/>
    <cellStyle name="Comma (0,00) TBD 9 132" xfId="8612"/>
    <cellStyle name="Comma (0,00) TBD- 9 132" xfId="8613"/>
    <cellStyle name="Comma (0,00) TBD 9 133" xfId="8614"/>
    <cellStyle name="Comma (0,00) TBD- 9 133" xfId="8615"/>
    <cellStyle name="Comma (0,00) TBD 9 134" xfId="8616"/>
    <cellStyle name="Comma (0,00) TBD- 9 134" xfId="8617"/>
    <cellStyle name="Comma (0,00) TBD 9 135" xfId="8618"/>
    <cellStyle name="Comma (0,00) TBD- 9 135" xfId="8619"/>
    <cellStyle name="Comma (0,00) TBD 9 136" xfId="8620"/>
    <cellStyle name="Comma (0,00) TBD- 9 136" xfId="8621"/>
    <cellStyle name="Comma (0,00) TBD 9 137" xfId="8622"/>
    <cellStyle name="Comma (0,00) TBD- 9 137" xfId="8623"/>
    <cellStyle name="Comma (0,00) TBD 9 138" xfId="8624"/>
    <cellStyle name="Comma (0,00) TBD- 9 138" xfId="8625"/>
    <cellStyle name="Comma (0,00) TBD 9 139" xfId="8626"/>
    <cellStyle name="Comma (0,00) TBD- 9 139" xfId="8627"/>
    <cellStyle name="Comma (0,00) TBD 9 14" xfId="8628"/>
    <cellStyle name="Comma (0,00) TBD- 9 14" xfId="8629"/>
    <cellStyle name="Comma (0,00) TBD 9 140" xfId="8630"/>
    <cellStyle name="Comma (0,00) TBD- 9 140" xfId="8631"/>
    <cellStyle name="Comma (0,00) TBD 9 141" xfId="8632"/>
    <cellStyle name="Comma (0,00) TBD- 9 141" xfId="8633"/>
    <cellStyle name="Comma (0,00) TBD 9 142" xfId="8634"/>
    <cellStyle name="Comma (0,00) TBD- 9 142" xfId="8635"/>
    <cellStyle name="Comma (0,00) TBD 9 143" xfId="8636"/>
    <cellStyle name="Comma (0,00) TBD- 9 143" xfId="8637"/>
    <cellStyle name="Comma (0,00) TBD 9 144" xfId="8638"/>
    <cellStyle name="Comma (0,00) TBD- 9 144" xfId="8639"/>
    <cellStyle name="Comma (0,00) TBD 9 145" xfId="8640"/>
    <cellStyle name="Comma (0,00) TBD- 9 145" xfId="8641"/>
    <cellStyle name="Comma (0,00) TBD 9 146" xfId="8642"/>
    <cellStyle name="Comma (0,00) TBD- 9 146" xfId="8643"/>
    <cellStyle name="Comma (0,00) TBD 9 147" xfId="8644"/>
    <cellStyle name="Comma (0,00) TBD- 9 147" xfId="8645"/>
    <cellStyle name="Comma (0,00) TBD 9 148" xfId="8646"/>
    <cellStyle name="Comma (0,00) TBD- 9 148" xfId="8647"/>
    <cellStyle name="Comma (0,00) TBD 9 149" xfId="8648"/>
    <cellStyle name="Comma (0,00) TBD- 9 149" xfId="8649"/>
    <cellStyle name="Comma (0,00) TBD 9 15" xfId="8650"/>
    <cellStyle name="Comma (0,00) TBD- 9 15" xfId="8651"/>
    <cellStyle name="Comma (0,00) TBD 9 150" xfId="8652"/>
    <cellStyle name="Comma (0,00) TBD- 9 150" xfId="8653"/>
    <cellStyle name="Comma (0,00) TBD 9 151" xfId="8654"/>
    <cellStyle name="Comma (0,00) TBD- 9 151" xfId="8655"/>
    <cellStyle name="Comma (0,00) TBD 9 152" xfId="8656"/>
    <cellStyle name="Comma (0,00) TBD- 9 152" xfId="8657"/>
    <cellStyle name="Comma (0,00) TBD 9 153" xfId="8658"/>
    <cellStyle name="Comma (0,00) TBD- 9 153" xfId="8659"/>
    <cellStyle name="Comma (0,00) TBD 9 16" xfId="8660"/>
    <cellStyle name="Comma (0,00) TBD- 9 16" xfId="8661"/>
    <cellStyle name="Comma (0,00) TBD 9 17" xfId="8662"/>
    <cellStyle name="Comma (0,00) TBD- 9 17" xfId="8663"/>
    <cellStyle name="Comma (0,00) TBD 9 18" xfId="8664"/>
    <cellStyle name="Comma (0,00) TBD- 9 18" xfId="8665"/>
    <cellStyle name="Comma (0,00) TBD 9 19" xfId="8666"/>
    <cellStyle name="Comma (0,00) TBD- 9 19" xfId="8667"/>
    <cellStyle name="Comma (0,00) TBD 9 2" xfId="8668"/>
    <cellStyle name="Comma (0,00) TBD- 9 2" xfId="8669"/>
    <cellStyle name="Comma (0,00) TBD 9 20" xfId="8670"/>
    <cellStyle name="Comma (0,00) TBD- 9 20" xfId="8671"/>
    <cellStyle name="Comma (0,00) TBD 9 21" xfId="8672"/>
    <cellStyle name="Comma (0,00) TBD- 9 21" xfId="8673"/>
    <cellStyle name="Comma (0,00) TBD 9 22" xfId="8674"/>
    <cellStyle name="Comma (0,00) TBD- 9 22" xfId="8675"/>
    <cellStyle name="Comma (0,00) TBD 9 23" xfId="8676"/>
    <cellStyle name="Comma (0,00) TBD- 9 23" xfId="8677"/>
    <cellStyle name="Comma (0,00) TBD 9 24" xfId="8678"/>
    <cellStyle name="Comma (0,00) TBD- 9 24" xfId="8679"/>
    <cellStyle name="Comma (0,00) TBD 9 25" xfId="8680"/>
    <cellStyle name="Comma (0,00) TBD- 9 25" xfId="8681"/>
    <cellStyle name="Comma (0,00) TBD 9 26" xfId="8682"/>
    <cellStyle name="Comma (0,00) TBD- 9 26" xfId="8683"/>
    <cellStyle name="Comma (0,00) TBD 9 27" xfId="8684"/>
    <cellStyle name="Comma (0,00) TBD- 9 27" xfId="8685"/>
    <cellStyle name="Comma (0,00) TBD 9 28" xfId="8686"/>
    <cellStyle name="Comma (0,00) TBD- 9 28" xfId="8687"/>
    <cellStyle name="Comma (0,00) TBD 9 29" xfId="8688"/>
    <cellStyle name="Comma (0,00) TBD- 9 29" xfId="8689"/>
    <cellStyle name="Comma (0,00) TBD 9 3" xfId="8690"/>
    <cellStyle name="Comma (0,00) TBD- 9 3" xfId="8691"/>
    <cellStyle name="Comma (0,00) TBD 9 30" xfId="8692"/>
    <cellStyle name="Comma (0,00) TBD- 9 30" xfId="8693"/>
    <cellStyle name="Comma (0,00) TBD 9 31" xfId="8694"/>
    <cellStyle name="Comma (0,00) TBD- 9 31" xfId="8695"/>
    <cellStyle name="Comma (0,00) TBD 9 32" xfId="8696"/>
    <cellStyle name="Comma (0,00) TBD- 9 32" xfId="8697"/>
    <cellStyle name="Comma (0,00) TBD 9 33" xfId="8698"/>
    <cellStyle name="Comma (0,00) TBD- 9 33" xfId="8699"/>
    <cellStyle name="Comma (0,00) TBD 9 34" xfId="8700"/>
    <cellStyle name="Comma (0,00) TBD- 9 34" xfId="8701"/>
    <cellStyle name="Comma (0,00) TBD 9 35" xfId="8702"/>
    <cellStyle name="Comma (0,00) TBD- 9 35" xfId="8703"/>
    <cellStyle name="Comma (0,00) TBD 9 36" xfId="8704"/>
    <cellStyle name="Comma (0,00) TBD- 9 36" xfId="8705"/>
    <cellStyle name="Comma (0,00) TBD 9 37" xfId="8706"/>
    <cellStyle name="Comma (0,00) TBD- 9 37" xfId="8707"/>
    <cellStyle name="Comma (0,00) TBD 9 38" xfId="8708"/>
    <cellStyle name="Comma (0,00) TBD- 9 38" xfId="8709"/>
    <cellStyle name="Comma (0,00) TBD 9 39" xfId="8710"/>
    <cellStyle name="Comma (0,00) TBD- 9 39" xfId="8711"/>
    <cellStyle name="Comma (0,00) TBD 9 4" xfId="8712"/>
    <cellStyle name="Comma (0,00) TBD- 9 4" xfId="8713"/>
    <cellStyle name="Comma (0,00) TBD 9 40" xfId="8714"/>
    <cellStyle name="Comma (0,00) TBD- 9 40" xfId="8715"/>
    <cellStyle name="Comma (0,00) TBD 9 41" xfId="8716"/>
    <cellStyle name="Comma (0,00) TBD- 9 41" xfId="8717"/>
    <cellStyle name="Comma (0,00) TBD 9 42" xfId="8718"/>
    <cellStyle name="Comma (0,00) TBD- 9 42" xfId="8719"/>
    <cellStyle name="Comma (0,00) TBD 9 43" xfId="8720"/>
    <cellStyle name="Comma (0,00) TBD- 9 43" xfId="8721"/>
    <cellStyle name="Comma (0,00) TBD 9 44" xfId="8722"/>
    <cellStyle name="Comma (0,00) TBD- 9 44" xfId="8723"/>
    <cellStyle name="Comma (0,00) TBD 9 45" xfId="8724"/>
    <cellStyle name="Comma (0,00) TBD- 9 45" xfId="8725"/>
    <cellStyle name="Comma (0,00) TBD 9 46" xfId="8726"/>
    <cellStyle name="Comma (0,00) TBD- 9 46" xfId="8727"/>
    <cellStyle name="Comma (0,00) TBD 9 47" xfId="8728"/>
    <cellStyle name="Comma (0,00) TBD- 9 47" xfId="8729"/>
    <cellStyle name="Comma (0,00) TBD 9 48" xfId="8730"/>
    <cellStyle name="Comma (0,00) TBD- 9 48" xfId="8731"/>
    <cellStyle name="Comma (0,00) TBD 9 49" xfId="8732"/>
    <cellStyle name="Comma (0,00) TBD- 9 49" xfId="8733"/>
    <cellStyle name="Comma (0,00) TBD 9 5" xfId="8734"/>
    <cellStyle name="Comma (0,00) TBD- 9 5" xfId="8735"/>
    <cellStyle name="Comma (0,00) TBD 9 50" xfId="8736"/>
    <cellStyle name="Comma (0,00) TBD- 9 50" xfId="8737"/>
    <cellStyle name="Comma (0,00) TBD 9 51" xfId="8738"/>
    <cellStyle name="Comma (0,00) TBD- 9 51" xfId="8739"/>
    <cellStyle name="Comma (0,00) TBD 9 52" xfId="8740"/>
    <cellStyle name="Comma (0,00) TBD- 9 52" xfId="8741"/>
    <cellStyle name="Comma (0,00) TBD 9 53" xfId="8742"/>
    <cellStyle name="Comma (0,00) TBD- 9 53" xfId="8743"/>
    <cellStyle name="Comma (0,00) TBD 9 54" xfId="8744"/>
    <cellStyle name="Comma (0,00) TBD- 9 54" xfId="8745"/>
    <cellStyle name="Comma (0,00) TBD 9 55" xfId="8746"/>
    <cellStyle name="Comma (0,00) TBD- 9 55" xfId="8747"/>
    <cellStyle name="Comma (0,00) TBD 9 56" xfId="8748"/>
    <cellStyle name="Comma (0,00) TBD- 9 56" xfId="8749"/>
    <cellStyle name="Comma (0,00) TBD 9 57" xfId="8750"/>
    <cellStyle name="Comma (0,00) TBD- 9 57" xfId="8751"/>
    <cellStyle name="Comma (0,00) TBD 9 58" xfId="8752"/>
    <cellStyle name="Comma (0,00) TBD- 9 58" xfId="8753"/>
    <cellStyle name="Comma (0,00) TBD 9 59" xfId="8754"/>
    <cellStyle name="Comma (0,00) TBD- 9 59" xfId="8755"/>
    <cellStyle name="Comma (0,00) TBD 9 6" xfId="8756"/>
    <cellStyle name="Comma (0,00) TBD- 9 6" xfId="8757"/>
    <cellStyle name="Comma (0,00) TBD 9 60" xfId="8758"/>
    <cellStyle name="Comma (0,00) TBD- 9 60" xfId="8759"/>
    <cellStyle name="Comma (0,00) TBD 9 61" xfId="8760"/>
    <cellStyle name="Comma (0,00) TBD- 9 61" xfId="8761"/>
    <cellStyle name="Comma (0,00) TBD 9 62" xfId="8762"/>
    <cellStyle name="Comma (0,00) TBD- 9 62" xfId="8763"/>
    <cellStyle name="Comma (0,00) TBD 9 63" xfId="8764"/>
    <cellStyle name="Comma (0,00) TBD- 9 63" xfId="8765"/>
    <cellStyle name="Comma (0,00) TBD 9 64" xfId="8766"/>
    <cellStyle name="Comma (0,00) TBD- 9 64" xfId="8767"/>
    <cellStyle name="Comma (0,00) TBD 9 65" xfId="8768"/>
    <cellStyle name="Comma (0,00) TBD- 9 65" xfId="8769"/>
    <cellStyle name="Comma (0,00) TBD 9 66" xfId="8770"/>
    <cellStyle name="Comma (0,00) TBD- 9 66" xfId="8771"/>
    <cellStyle name="Comma (0,00) TBD 9 67" xfId="8772"/>
    <cellStyle name="Comma (0,00) TBD- 9 67" xfId="8773"/>
    <cellStyle name="Comma (0,00) TBD 9 68" xfId="8774"/>
    <cellStyle name="Comma (0,00) TBD- 9 68" xfId="8775"/>
    <cellStyle name="Comma (0,00) TBD 9 69" xfId="8776"/>
    <cellStyle name="Comma (0,00) TBD- 9 69" xfId="8777"/>
    <cellStyle name="Comma (0,00) TBD 9 7" xfId="8778"/>
    <cellStyle name="Comma (0,00) TBD- 9 7" xfId="8779"/>
    <cellStyle name="Comma (0,00) TBD 9 70" xfId="8780"/>
    <cellStyle name="Comma (0,00) TBD- 9 70" xfId="8781"/>
    <cellStyle name="Comma (0,00) TBD 9 71" xfId="8782"/>
    <cellStyle name="Comma (0,00) TBD- 9 71" xfId="8783"/>
    <cellStyle name="Comma (0,00) TBD 9 72" xfId="8784"/>
    <cellStyle name="Comma (0,00) TBD- 9 72" xfId="8785"/>
    <cellStyle name="Comma (0,00) TBD 9 73" xfId="8786"/>
    <cellStyle name="Comma (0,00) TBD- 9 73" xfId="8787"/>
    <cellStyle name="Comma (0,00) TBD 9 74" xfId="8788"/>
    <cellStyle name="Comma (0,00) TBD- 9 74" xfId="8789"/>
    <cellStyle name="Comma (0,00) TBD 9 75" xfId="8790"/>
    <cellStyle name="Comma (0,00) TBD- 9 75" xfId="8791"/>
    <cellStyle name="Comma (0,00) TBD 9 76" xfId="8792"/>
    <cellStyle name="Comma (0,00) TBD- 9 76" xfId="8793"/>
    <cellStyle name="Comma (0,00) TBD 9 77" xfId="8794"/>
    <cellStyle name="Comma (0,00) TBD- 9 77" xfId="8795"/>
    <cellStyle name="Comma (0,00) TBD 9 78" xfId="8796"/>
    <cellStyle name="Comma (0,00) TBD- 9 78" xfId="8797"/>
    <cellStyle name="Comma (0,00) TBD 9 79" xfId="8798"/>
    <cellStyle name="Comma (0,00) TBD- 9 79" xfId="8799"/>
    <cellStyle name="Comma (0,00) TBD 9 8" xfId="8800"/>
    <cellStyle name="Comma (0,00) TBD- 9 8" xfId="8801"/>
    <cellStyle name="Comma (0,00) TBD 9 80" xfId="8802"/>
    <cellStyle name="Comma (0,00) TBD- 9 80" xfId="8803"/>
    <cellStyle name="Comma (0,00) TBD 9 81" xfId="8804"/>
    <cellStyle name="Comma (0,00) TBD- 9 81" xfId="8805"/>
    <cellStyle name="Comma (0,00) TBD 9 82" xfId="8806"/>
    <cellStyle name="Comma (0,00) TBD- 9 82" xfId="8807"/>
    <cellStyle name="Comma (0,00) TBD 9 83" xfId="8808"/>
    <cellStyle name="Comma (0,00) TBD- 9 83" xfId="8809"/>
    <cellStyle name="Comma (0,00) TBD 9 84" xfId="8810"/>
    <cellStyle name="Comma (0,00) TBD- 9 84" xfId="8811"/>
    <cellStyle name="Comma (0,00) TBD 9 85" xfId="8812"/>
    <cellStyle name="Comma (0,00) TBD- 9 85" xfId="8813"/>
    <cellStyle name="Comma (0,00) TBD 9 86" xfId="8814"/>
    <cellStyle name="Comma (0,00) TBD- 9 86" xfId="8815"/>
    <cellStyle name="Comma (0,00) TBD 9 87" xfId="8816"/>
    <cellStyle name="Comma (0,00) TBD- 9 87" xfId="8817"/>
    <cellStyle name="Comma (0,00) TBD 9 88" xfId="8818"/>
    <cellStyle name="Comma (0,00) TBD- 9 88" xfId="8819"/>
    <cellStyle name="Comma (0,00) TBD 9 89" xfId="8820"/>
    <cellStyle name="Comma (0,00) TBD- 9 89" xfId="8821"/>
    <cellStyle name="Comma (0,00) TBD 9 9" xfId="8822"/>
    <cellStyle name="Comma (0,00) TBD- 9 9" xfId="8823"/>
    <cellStyle name="Comma (0,00) TBD 9 90" xfId="8824"/>
    <cellStyle name="Comma (0,00) TBD- 9 90" xfId="8825"/>
    <cellStyle name="Comma (0,00) TBD 9 91" xfId="8826"/>
    <cellStyle name="Comma (0,00) TBD- 9 91" xfId="8827"/>
    <cellStyle name="Comma (0,00) TBD 9 92" xfId="8828"/>
    <cellStyle name="Comma (0,00) TBD- 9 92" xfId="8829"/>
    <cellStyle name="Comma (0,00) TBD 9 93" xfId="8830"/>
    <cellStyle name="Comma (0,00) TBD- 9 93" xfId="8831"/>
    <cellStyle name="Comma (0,00) TBD 9 94" xfId="8832"/>
    <cellStyle name="Comma (0,00) TBD- 9 94" xfId="8833"/>
    <cellStyle name="Comma (0,00) TBD 9 95" xfId="8834"/>
    <cellStyle name="Comma (0,00) TBD- 9 95" xfId="8835"/>
    <cellStyle name="Comma (0,00) TBD 9 96" xfId="8836"/>
    <cellStyle name="Comma (0,00) TBD- 9 96" xfId="8837"/>
    <cellStyle name="Comma (0,00) TBD 9 97" xfId="8838"/>
    <cellStyle name="Comma (0,00) TBD- 9 97" xfId="8839"/>
    <cellStyle name="Comma (0,00) TBD 9 98" xfId="8840"/>
    <cellStyle name="Comma (0,00) TBD- 9 98" xfId="8841"/>
    <cellStyle name="Comma (0,00) TBD 9 99" xfId="8842"/>
    <cellStyle name="Comma (0,00) TBD- 9 99" xfId="8843"/>
    <cellStyle name="Comma (0,00) TBD_0508BPwhl_020604_Variable Marketing" xfId="8844"/>
    <cellStyle name="Comma (0,00) TBD-_Europe Region" xfId="8845"/>
    <cellStyle name="Comma (0,00) TBD_Expedition 2006MY Price Strategy_FINAL" xfId="8846"/>
    <cellStyle name="Comma (0,00) TBD-_Page 2f (2)" xfId="8847"/>
    <cellStyle name="Comma (0,00) TBD_profit summary" xfId="8848"/>
    <cellStyle name="Comma (0,00) TBD-_YoY" xfId="8849"/>
    <cellStyle name="Comma (0,00)_0508BPwhl_020604_Variable Marketing" xfId="8850"/>
    <cellStyle name="Comma (0,000)" xfId="8851"/>
    <cellStyle name="Comma (0,000) -" xfId="8852"/>
    <cellStyle name="Comma (0,000) - 2" xfId="8853"/>
    <cellStyle name="Comma (0,000) - 2 2" xfId="8854"/>
    <cellStyle name="Comma (0,000) - 3" xfId="8855"/>
    <cellStyle name="Comma (0,000) - 3 2" xfId="8856"/>
    <cellStyle name="Comma (0,000) incl." xfId="8857"/>
    <cellStyle name="Comma (0,000) incl. 2" xfId="8858"/>
    <cellStyle name="Comma (0,000) incl. 2 2" xfId="8859"/>
    <cellStyle name="Comma (0,000) incl. 3" xfId="8860"/>
    <cellStyle name="Comma (0,000) incl. 3 2" xfId="8861"/>
    <cellStyle name="Comma (0,000) N/A" xfId="8862"/>
    <cellStyle name="Comma (0,000) N/A 2" xfId="8863"/>
    <cellStyle name="Comma (0,000) N/A 2 2" xfId="8864"/>
    <cellStyle name="Comma (0,000) N/A 3" xfId="8865"/>
    <cellStyle name="Comma (0,000) N/A 3 2" xfId="8866"/>
    <cellStyle name="Comma (0,000) TBD" xfId="8867"/>
    <cellStyle name="Comma (0,000) TBD-" xfId="8868"/>
    <cellStyle name="Comma (0,000) TBD 10" xfId="8869"/>
    <cellStyle name="Comma (0,000) TBD- 10" xfId="8870"/>
    <cellStyle name="Comma (0,000) TBD 10 10" xfId="8871"/>
    <cellStyle name="Comma (0,000) TBD- 10 10" xfId="8872"/>
    <cellStyle name="Comma (0,000) TBD 10 100" xfId="8873"/>
    <cellStyle name="Comma (0,000) TBD- 10 100" xfId="8874"/>
    <cellStyle name="Comma (0,000) TBD 10 101" xfId="8875"/>
    <cellStyle name="Comma (0,000) TBD- 10 101" xfId="8876"/>
    <cellStyle name="Comma (0,000) TBD 10 102" xfId="8877"/>
    <cellStyle name="Comma (0,000) TBD- 10 102" xfId="8878"/>
    <cellStyle name="Comma (0,000) TBD 10 103" xfId="8879"/>
    <cellStyle name="Comma (0,000) TBD- 10 103" xfId="8880"/>
    <cellStyle name="Comma (0,000) TBD 10 104" xfId="8881"/>
    <cellStyle name="Comma (0,000) TBD- 10 104" xfId="8882"/>
    <cellStyle name="Comma (0,000) TBD 10 105" xfId="8883"/>
    <cellStyle name="Comma (0,000) TBD- 10 105" xfId="8884"/>
    <cellStyle name="Comma (0,000) TBD 10 106" xfId="8885"/>
    <cellStyle name="Comma (0,000) TBD- 10 106" xfId="8886"/>
    <cellStyle name="Comma (0,000) TBD 10 107" xfId="8887"/>
    <cellStyle name="Comma (0,000) TBD- 10 107" xfId="8888"/>
    <cellStyle name="Comma (0,000) TBD 10 108" xfId="8889"/>
    <cellStyle name="Comma (0,000) TBD- 10 108" xfId="8890"/>
    <cellStyle name="Comma (0,000) TBD 10 109" xfId="8891"/>
    <cellStyle name="Comma (0,000) TBD- 10 109" xfId="8892"/>
    <cellStyle name="Comma (0,000) TBD 10 11" xfId="8893"/>
    <cellStyle name="Comma (0,000) TBD- 10 11" xfId="8894"/>
    <cellStyle name="Comma (0,000) TBD 10 110" xfId="8895"/>
    <cellStyle name="Comma (0,000) TBD- 10 110" xfId="8896"/>
    <cellStyle name="Comma (0,000) TBD 10 111" xfId="8897"/>
    <cellStyle name="Comma (0,000) TBD- 10 111" xfId="8898"/>
    <cellStyle name="Comma (0,000) TBD 10 112" xfId="8899"/>
    <cellStyle name="Comma (0,000) TBD- 10 112" xfId="8900"/>
    <cellStyle name="Comma (0,000) TBD 10 113" xfId="8901"/>
    <cellStyle name="Comma (0,000) TBD- 10 113" xfId="8902"/>
    <cellStyle name="Comma (0,000) TBD 10 114" xfId="8903"/>
    <cellStyle name="Comma (0,000) TBD- 10 114" xfId="8904"/>
    <cellStyle name="Comma (0,000) TBD 10 115" xfId="8905"/>
    <cellStyle name="Comma (0,000) TBD- 10 115" xfId="8906"/>
    <cellStyle name="Comma (0,000) TBD 10 116" xfId="8907"/>
    <cellStyle name="Comma (0,000) TBD- 10 116" xfId="8908"/>
    <cellStyle name="Comma (0,000) TBD 10 117" xfId="8909"/>
    <cellStyle name="Comma (0,000) TBD- 10 117" xfId="8910"/>
    <cellStyle name="Comma (0,000) TBD 10 118" xfId="8911"/>
    <cellStyle name="Comma (0,000) TBD- 10 118" xfId="8912"/>
    <cellStyle name="Comma (0,000) TBD 10 119" xfId="8913"/>
    <cellStyle name="Comma (0,000) TBD- 10 119" xfId="8914"/>
    <cellStyle name="Comma (0,000) TBD 10 12" xfId="8915"/>
    <cellStyle name="Comma (0,000) TBD- 10 12" xfId="8916"/>
    <cellStyle name="Comma (0,000) TBD 10 120" xfId="8917"/>
    <cellStyle name="Comma (0,000) TBD- 10 120" xfId="8918"/>
    <cellStyle name="Comma (0,000) TBD 10 121" xfId="8919"/>
    <cellStyle name="Comma (0,000) TBD- 10 121" xfId="8920"/>
    <cellStyle name="Comma (0,000) TBD 10 122" xfId="8921"/>
    <cellStyle name="Comma (0,000) TBD- 10 122" xfId="8922"/>
    <cellStyle name="Comma (0,000) TBD 10 123" xfId="8923"/>
    <cellStyle name="Comma (0,000) TBD- 10 123" xfId="8924"/>
    <cellStyle name="Comma (0,000) TBD 10 124" xfId="8925"/>
    <cellStyle name="Comma (0,000) TBD- 10 124" xfId="8926"/>
    <cellStyle name="Comma (0,000) TBD 10 125" xfId="8927"/>
    <cellStyle name="Comma (0,000) TBD- 10 125" xfId="8928"/>
    <cellStyle name="Comma (0,000) TBD 10 126" xfId="8929"/>
    <cellStyle name="Comma (0,000) TBD- 10 126" xfId="8930"/>
    <cellStyle name="Comma (0,000) TBD 10 127" xfId="8931"/>
    <cellStyle name="Comma (0,000) TBD- 10 127" xfId="8932"/>
    <cellStyle name="Comma (0,000) TBD 10 128" xfId="8933"/>
    <cellStyle name="Comma (0,000) TBD- 10 128" xfId="8934"/>
    <cellStyle name="Comma (0,000) TBD 10 129" xfId="8935"/>
    <cellStyle name="Comma (0,000) TBD- 10 129" xfId="8936"/>
    <cellStyle name="Comma (0,000) TBD 10 13" xfId="8937"/>
    <cellStyle name="Comma (0,000) TBD- 10 13" xfId="8938"/>
    <cellStyle name="Comma (0,000) TBD 10 130" xfId="8939"/>
    <cellStyle name="Comma (0,000) TBD- 10 130" xfId="8940"/>
    <cellStyle name="Comma (0,000) TBD 10 131" xfId="8941"/>
    <cellStyle name="Comma (0,000) TBD- 10 131" xfId="8942"/>
    <cellStyle name="Comma (0,000) TBD 10 132" xfId="8943"/>
    <cellStyle name="Comma (0,000) TBD- 10 132" xfId="8944"/>
    <cellStyle name="Comma (0,000) TBD 10 133" xfId="8945"/>
    <cellStyle name="Comma (0,000) TBD- 10 133" xfId="8946"/>
    <cellStyle name="Comma (0,000) TBD 10 134" xfId="8947"/>
    <cellStyle name="Comma (0,000) TBD- 10 134" xfId="8948"/>
    <cellStyle name="Comma (0,000) TBD 10 135" xfId="8949"/>
    <cellStyle name="Comma (0,000) TBD- 10 135" xfId="8950"/>
    <cellStyle name="Comma (0,000) TBD 10 136" xfId="8951"/>
    <cellStyle name="Comma (0,000) TBD- 10 136" xfId="8952"/>
    <cellStyle name="Comma (0,000) TBD 10 137" xfId="8953"/>
    <cellStyle name="Comma (0,000) TBD- 10 137" xfId="8954"/>
    <cellStyle name="Comma (0,000) TBD 10 138" xfId="8955"/>
    <cellStyle name="Comma (0,000) TBD- 10 138" xfId="8956"/>
    <cellStyle name="Comma (0,000) TBD 10 139" xfId="8957"/>
    <cellStyle name="Comma (0,000) TBD- 10 139" xfId="8958"/>
    <cellStyle name="Comma (0,000) TBD 10 14" xfId="8959"/>
    <cellStyle name="Comma (0,000) TBD- 10 14" xfId="8960"/>
    <cellStyle name="Comma (0,000) TBD 10 140" xfId="8961"/>
    <cellStyle name="Comma (0,000) TBD- 10 140" xfId="8962"/>
    <cellStyle name="Comma (0,000) TBD 10 141" xfId="8963"/>
    <cellStyle name="Comma (0,000) TBD- 10 141" xfId="8964"/>
    <cellStyle name="Comma (0,000) TBD 10 142" xfId="8965"/>
    <cellStyle name="Comma (0,000) TBD- 10 142" xfId="8966"/>
    <cellStyle name="Comma (0,000) TBD 10 143" xfId="8967"/>
    <cellStyle name="Comma (0,000) TBD- 10 143" xfId="8968"/>
    <cellStyle name="Comma (0,000) TBD 10 144" xfId="8969"/>
    <cellStyle name="Comma (0,000) TBD- 10 144" xfId="8970"/>
    <cellStyle name="Comma (0,000) TBD 10 145" xfId="8971"/>
    <cellStyle name="Comma (0,000) TBD- 10 145" xfId="8972"/>
    <cellStyle name="Comma (0,000) TBD 10 146" xfId="8973"/>
    <cellStyle name="Comma (0,000) TBD- 10 146" xfId="8974"/>
    <cellStyle name="Comma (0,000) TBD 10 147" xfId="8975"/>
    <cellStyle name="Comma (0,000) TBD- 10 147" xfId="8976"/>
    <cellStyle name="Comma (0,000) TBD 10 148" xfId="8977"/>
    <cellStyle name="Comma (0,000) TBD- 10 148" xfId="8978"/>
    <cellStyle name="Comma (0,000) TBD 10 149" xfId="8979"/>
    <cellStyle name="Comma (0,000) TBD- 10 149" xfId="8980"/>
    <cellStyle name="Comma (0,000) TBD 10 15" xfId="8981"/>
    <cellStyle name="Comma (0,000) TBD- 10 15" xfId="8982"/>
    <cellStyle name="Comma (0,000) TBD 10 150" xfId="8983"/>
    <cellStyle name="Comma (0,000) TBD- 10 150" xfId="8984"/>
    <cellStyle name="Comma (0,000) TBD 10 151" xfId="8985"/>
    <cellStyle name="Comma (0,000) TBD- 10 151" xfId="8986"/>
    <cellStyle name="Comma (0,000) TBD 10 152" xfId="8987"/>
    <cellStyle name="Comma (0,000) TBD- 10 152" xfId="8988"/>
    <cellStyle name="Comma (0,000) TBD 10 153" xfId="8989"/>
    <cellStyle name="Comma (0,000) TBD- 10 153" xfId="8990"/>
    <cellStyle name="Comma (0,000) TBD 10 16" xfId="8991"/>
    <cellStyle name="Comma (0,000) TBD- 10 16" xfId="8992"/>
    <cellStyle name="Comma (0,000) TBD 10 17" xfId="8993"/>
    <cellStyle name="Comma (0,000) TBD- 10 17" xfId="8994"/>
    <cellStyle name="Comma (0,000) TBD 10 18" xfId="8995"/>
    <cellStyle name="Comma (0,000) TBD- 10 18" xfId="8996"/>
    <cellStyle name="Comma (0,000) TBD 10 19" xfId="8997"/>
    <cellStyle name="Comma (0,000) TBD- 10 19" xfId="8998"/>
    <cellStyle name="Comma (0,000) TBD 10 2" xfId="8999"/>
    <cellStyle name="Comma (0,000) TBD- 10 2" xfId="9000"/>
    <cellStyle name="Comma (0,000) TBD 10 20" xfId="9001"/>
    <cellStyle name="Comma (0,000) TBD- 10 20" xfId="9002"/>
    <cellStyle name="Comma (0,000) TBD 10 21" xfId="9003"/>
    <cellStyle name="Comma (0,000) TBD- 10 21" xfId="9004"/>
    <cellStyle name="Comma (0,000) TBD 10 22" xfId="9005"/>
    <cellStyle name="Comma (0,000) TBD- 10 22" xfId="9006"/>
    <cellStyle name="Comma (0,000) TBD 10 23" xfId="9007"/>
    <cellStyle name="Comma (0,000) TBD- 10 23" xfId="9008"/>
    <cellStyle name="Comma (0,000) TBD 10 24" xfId="9009"/>
    <cellStyle name="Comma (0,000) TBD- 10 24" xfId="9010"/>
    <cellStyle name="Comma (0,000) TBD 10 25" xfId="9011"/>
    <cellStyle name="Comma (0,000) TBD- 10 25" xfId="9012"/>
    <cellStyle name="Comma (0,000) TBD 10 26" xfId="9013"/>
    <cellStyle name="Comma (0,000) TBD- 10 26" xfId="9014"/>
    <cellStyle name="Comma (0,000) TBD 10 27" xfId="9015"/>
    <cellStyle name="Comma (0,000) TBD- 10 27" xfId="9016"/>
    <cellStyle name="Comma (0,000) TBD 10 28" xfId="9017"/>
    <cellStyle name="Comma (0,000) TBD- 10 28" xfId="9018"/>
    <cellStyle name="Comma (0,000) TBD 10 29" xfId="9019"/>
    <cellStyle name="Comma (0,000) TBD- 10 29" xfId="9020"/>
    <cellStyle name="Comma (0,000) TBD 10 3" xfId="9021"/>
    <cellStyle name="Comma (0,000) TBD- 10 3" xfId="9022"/>
    <cellStyle name="Comma (0,000) TBD 10 30" xfId="9023"/>
    <cellStyle name="Comma (0,000) TBD- 10 30" xfId="9024"/>
    <cellStyle name="Comma (0,000) TBD 10 31" xfId="9025"/>
    <cellStyle name="Comma (0,000) TBD- 10 31" xfId="9026"/>
    <cellStyle name="Comma (0,000) TBD 10 32" xfId="9027"/>
    <cellStyle name="Comma (0,000) TBD- 10 32" xfId="9028"/>
    <cellStyle name="Comma (0,000) TBD 10 33" xfId="9029"/>
    <cellStyle name="Comma (0,000) TBD- 10 33" xfId="9030"/>
    <cellStyle name="Comma (0,000) TBD 10 34" xfId="9031"/>
    <cellStyle name="Comma (0,000) TBD- 10 34" xfId="9032"/>
    <cellStyle name="Comma (0,000) TBD 10 35" xfId="9033"/>
    <cellStyle name="Comma (0,000) TBD- 10 35" xfId="9034"/>
    <cellStyle name="Comma (0,000) TBD 10 36" xfId="9035"/>
    <cellStyle name="Comma (0,000) TBD- 10 36" xfId="9036"/>
    <cellStyle name="Comma (0,000) TBD 10 37" xfId="9037"/>
    <cellStyle name="Comma (0,000) TBD- 10 37" xfId="9038"/>
    <cellStyle name="Comma (0,000) TBD 10 38" xfId="9039"/>
    <cellStyle name="Comma (0,000) TBD- 10 38" xfId="9040"/>
    <cellStyle name="Comma (0,000) TBD 10 39" xfId="9041"/>
    <cellStyle name="Comma (0,000) TBD- 10 39" xfId="9042"/>
    <cellStyle name="Comma (0,000) TBD 10 4" xfId="9043"/>
    <cellStyle name="Comma (0,000) TBD- 10 4" xfId="9044"/>
    <cellStyle name="Comma (0,000) TBD 10 40" xfId="9045"/>
    <cellStyle name="Comma (0,000) TBD- 10 40" xfId="9046"/>
    <cellStyle name="Comma (0,000) TBD 10 41" xfId="9047"/>
    <cellStyle name="Comma (0,000) TBD- 10 41" xfId="9048"/>
    <cellStyle name="Comma (0,000) TBD 10 42" xfId="9049"/>
    <cellStyle name="Comma (0,000) TBD- 10 42" xfId="9050"/>
    <cellStyle name="Comma (0,000) TBD 10 43" xfId="9051"/>
    <cellStyle name="Comma (0,000) TBD- 10 43" xfId="9052"/>
    <cellStyle name="Comma (0,000) TBD 10 44" xfId="9053"/>
    <cellStyle name="Comma (0,000) TBD- 10 44" xfId="9054"/>
    <cellStyle name="Comma (0,000) TBD 10 45" xfId="9055"/>
    <cellStyle name="Comma (0,000) TBD- 10 45" xfId="9056"/>
    <cellStyle name="Comma (0,000) TBD 10 46" xfId="9057"/>
    <cellStyle name="Comma (0,000) TBD- 10 46" xfId="9058"/>
    <cellStyle name="Comma (0,000) TBD 10 47" xfId="9059"/>
    <cellStyle name="Comma (0,000) TBD- 10 47" xfId="9060"/>
    <cellStyle name="Comma (0,000) TBD 10 48" xfId="9061"/>
    <cellStyle name="Comma (0,000) TBD- 10 48" xfId="9062"/>
    <cellStyle name="Comma (0,000) TBD 10 49" xfId="9063"/>
    <cellStyle name="Comma (0,000) TBD- 10 49" xfId="9064"/>
    <cellStyle name="Comma (0,000) TBD 10 5" xfId="9065"/>
    <cellStyle name="Comma (0,000) TBD- 10 5" xfId="9066"/>
    <cellStyle name="Comma (0,000) TBD 10 50" xfId="9067"/>
    <cellStyle name="Comma (0,000) TBD- 10 50" xfId="9068"/>
    <cellStyle name="Comma (0,000) TBD 10 51" xfId="9069"/>
    <cellStyle name="Comma (0,000) TBD- 10 51" xfId="9070"/>
    <cellStyle name="Comma (0,000) TBD 10 52" xfId="9071"/>
    <cellStyle name="Comma (0,000) TBD- 10 52" xfId="9072"/>
    <cellStyle name="Comma (0,000) TBD 10 53" xfId="9073"/>
    <cellStyle name="Comma (0,000) TBD- 10 53" xfId="9074"/>
    <cellStyle name="Comma (0,000) TBD 10 54" xfId="9075"/>
    <cellStyle name="Comma (0,000) TBD- 10 54" xfId="9076"/>
    <cellStyle name="Comma (0,000) TBD 10 55" xfId="9077"/>
    <cellStyle name="Comma (0,000) TBD- 10 55" xfId="9078"/>
    <cellStyle name="Comma (0,000) TBD 10 56" xfId="9079"/>
    <cellStyle name="Comma (0,000) TBD- 10 56" xfId="9080"/>
    <cellStyle name="Comma (0,000) TBD 10 57" xfId="9081"/>
    <cellStyle name="Comma (0,000) TBD- 10 57" xfId="9082"/>
    <cellStyle name="Comma (0,000) TBD 10 58" xfId="9083"/>
    <cellStyle name="Comma (0,000) TBD- 10 58" xfId="9084"/>
    <cellStyle name="Comma (0,000) TBD 10 59" xfId="9085"/>
    <cellStyle name="Comma (0,000) TBD- 10 59" xfId="9086"/>
    <cellStyle name="Comma (0,000) TBD 10 6" xfId="9087"/>
    <cellStyle name="Comma (0,000) TBD- 10 6" xfId="9088"/>
    <cellStyle name="Comma (0,000) TBD 10 60" xfId="9089"/>
    <cellStyle name="Comma (0,000) TBD- 10 60" xfId="9090"/>
    <cellStyle name="Comma (0,000) TBD 10 61" xfId="9091"/>
    <cellStyle name="Comma (0,000) TBD- 10 61" xfId="9092"/>
    <cellStyle name="Comma (0,000) TBD 10 62" xfId="9093"/>
    <cellStyle name="Comma (0,000) TBD- 10 62" xfId="9094"/>
    <cellStyle name="Comma (0,000) TBD 10 63" xfId="9095"/>
    <cellStyle name="Comma (0,000) TBD- 10 63" xfId="9096"/>
    <cellStyle name="Comma (0,000) TBD 10 64" xfId="9097"/>
    <cellStyle name="Comma (0,000) TBD- 10 64" xfId="9098"/>
    <cellStyle name="Comma (0,000) TBD 10 65" xfId="9099"/>
    <cellStyle name="Comma (0,000) TBD- 10 65" xfId="9100"/>
    <cellStyle name="Comma (0,000) TBD 10 66" xfId="9101"/>
    <cellStyle name="Comma (0,000) TBD- 10 66" xfId="9102"/>
    <cellStyle name="Comma (0,000) TBD 10 67" xfId="9103"/>
    <cellStyle name="Comma (0,000) TBD- 10 67" xfId="9104"/>
    <cellStyle name="Comma (0,000) TBD 10 68" xfId="9105"/>
    <cellStyle name="Comma (0,000) TBD- 10 68" xfId="9106"/>
    <cellStyle name="Comma (0,000) TBD 10 69" xfId="9107"/>
    <cellStyle name="Comma (0,000) TBD- 10 69" xfId="9108"/>
    <cellStyle name="Comma (0,000) TBD 10 7" xfId="9109"/>
    <cellStyle name="Comma (0,000) TBD- 10 7" xfId="9110"/>
    <cellStyle name="Comma (0,000) TBD 10 70" xfId="9111"/>
    <cellStyle name="Comma (0,000) TBD- 10 70" xfId="9112"/>
    <cellStyle name="Comma (0,000) TBD 10 71" xfId="9113"/>
    <cellStyle name="Comma (0,000) TBD- 10 71" xfId="9114"/>
    <cellStyle name="Comma (0,000) TBD 10 72" xfId="9115"/>
    <cellStyle name="Comma (0,000) TBD- 10 72" xfId="9116"/>
    <cellStyle name="Comma (0,000) TBD 10 73" xfId="9117"/>
    <cellStyle name="Comma (0,000) TBD- 10 73" xfId="9118"/>
    <cellStyle name="Comma (0,000) TBD 10 74" xfId="9119"/>
    <cellStyle name="Comma (0,000) TBD- 10 74" xfId="9120"/>
    <cellStyle name="Comma (0,000) TBD 10 75" xfId="9121"/>
    <cellStyle name="Comma (0,000) TBD- 10 75" xfId="9122"/>
    <cellStyle name="Comma (0,000) TBD 10 76" xfId="9123"/>
    <cellStyle name="Comma (0,000) TBD- 10 76" xfId="9124"/>
    <cellStyle name="Comma (0,000) TBD 10 77" xfId="9125"/>
    <cellStyle name="Comma (0,000) TBD- 10 77" xfId="9126"/>
    <cellStyle name="Comma (0,000) TBD 10 78" xfId="9127"/>
    <cellStyle name="Comma (0,000) TBD- 10 78" xfId="9128"/>
    <cellStyle name="Comma (0,000) TBD 10 79" xfId="9129"/>
    <cellStyle name="Comma (0,000) TBD- 10 79" xfId="9130"/>
    <cellStyle name="Comma (0,000) TBD 10 8" xfId="9131"/>
    <cellStyle name="Comma (0,000) TBD- 10 8" xfId="9132"/>
    <cellStyle name="Comma (0,000) TBD 10 80" xfId="9133"/>
    <cellStyle name="Comma (0,000) TBD- 10 80" xfId="9134"/>
    <cellStyle name="Comma (0,000) TBD 10 81" xfId="9135"/>
    <cellStyle name="Comma (0,000) TBD- 10 81" xfId="9136"/>
    <cellStyle name="Comma (0,000) TBD 10 82" xfId="9137"/>
    <cellStyle name="Comma (0,000) TBD- 10 82" xfId="9138"/>
    <cellStyle name="Comma (0,000) TBD 10 83" xfId="9139"/>
    <cellStyle name="Comma (0,000) TBD- 10 83" xfId="9140"/>
    <cellStyle name="Comma (0,000) TBD 10 84" xfId="9141"/>
    <cellStyle name="Comma (0,000) TBD- 10 84" xfId="9142"/>
    <cellStyle name="Comma (0,000) TBD 10 85" xfId="9143"/>
    <cellStyle name="Comma (0,000) TBD- 10 85" xfId="9144"/>
    <cellStyle name="Comma (0,000) TBD 10 86" xfId="9145"/>
    <cellStyle name="Comma (0,000) TBD- 10 86" xfId="9146"/>
    <cellStyle name="Comma (0,000) TBD 10 87" xfId="9147"/>
    <cellStyle name="Comma (0,000) TBD- 10 87" xfId="9148"/>
    <cellStyle name="Comma (0,000) TBD 10 88" xfId="9149"/>
    <cellStyle name="Comma (0,000) TBD- 10 88" xfId="9150"/>
    <cellStyle name="Comma (0,000) TBD 10 89" xfId="9151"/>
    <cellStyle name="Comma (0,000) TBD- 10 89" xfId="9152"/>
    <cellStyle name="Comma (0,000) TBD 10 9" xfId="9153"/>
    <cellStyle name="Comma (0,000) TBD- 10 9" xfId="9154"/>
    <cellStyle name="Comma (0,000) TBD 10 90" xfId="9155"/>
    <cellStyle name="Comma (0,000) TBD- 10 90" xfId="9156"/>
    <cellStyle name="Comma (0,000) TBD 10 91" xfId="9157"/>
    <cellStyle name="Comma (0,000) TBD- 10 91" xfId="9158"/>
    <cellStyle name="Comma (0,000) TBD 10 92" xfId="9159"/>
    <cellStyle name="Comma (0,000) TBD- 10 92" xfId="9160"/>
    <cellStyle name="Comma (0,000) TBD 10 93" xfId="9161"/>
    <cellStyle name="Comma (0,000) TBD- 10 93" xfId="9162"/>
    <cellStyle name="Comma (0,000) TBD 10 94" xfId="9163"/>
    <cellStyle name="Comma (0,000) TBD- 10 94" xfId="9164"/>
    <cellStyle name="Comma (0,000) TBD 10 95" xfId="9165"/>
    <cellStyle name="Comma (0,000) TBD- 10 95" xfId="9166"/>
    <cellStyle name="Comma (0,000) TBD 10 96" xfId="9167"/>
    <cellStyle name="Comma (0,000) TBD- 10 96" xfId="9168"/>
    <cellStyle name="Comma (0,000) TBD 10 97" xfId="9169"/>
    <cellStyle name="Comma (0,000) TBD- 10 97" xfId="9170"/>
    <cellStyle name="Comma (0,000) TBD 10 98" xfId="9171"/>
    <cellStyle name="Comma (0,000) TBD- 10 98" xfId="9172"/>
    <cellStyle name="Comma (0,000) TBD 10 99" xfId="9173"/>
    <cellStyle name="Comma (0,000) TBD- 10 99" xfId="9174"/>
    <cellStyle name="Comma (0,000) TBD 11" xfId="9175"/>
    <cellStyle name="Comma (0,000) TBD- 11" xfId="9176"/>
    <cellStyle name="Comma (0,000) TBD 11 10" xfId="9177"/>
    <cellStyle name="Comma (0,000) TBD- 11 10" xfId="9178"/>
    <cellStyle name="Comma (0,000) TBD 11 100" xfId="9179"/>
    <cellStyle name="Comma (0,000) TBD- 11 100" xfId="9180"/>
    <cellStyle name="Comma (0,000) TBD 11 101" xfId="9181"/>
    <cellStyle name="Comma (0,000) TBD- 11 101" xfId="9182"/>
    <cellStyle name="Comma (0,000) TBD 11 102" xfId="9183"/>
    <cellStyle name="Comma (0,000) TBD- 11 102" xfId="9184"/>
    <cellStyle name="Comma (0,000) TBD 11 103" xfId="9185"/>
    <cellStyle name="Comma (0,000) TBD- 11 103" xfId="9186"/>
    <cellStyle name="Comma (0,000) TBD 11 104" xfId="9187"/>
    <cellStyle name="Comma (0,000) TBD- 11 104" xfId="9188"/>
    <cellStyle name="Comma (0,000) TBD 11 105" xfId="9189"/>
    <cellStyle name="Comma (0,000) TBD- 11 105" xfId="9190"/>
    <cellStyle name="Comma (0,000) TBD 11 106" xfId="9191"/>
    <cellStyle name="Comma (0,000) TBD- 11 106" xfId="9192"/>
    <cellStyle name="Comma (0,000) TBD 11 107" xfId="9193"/>
    <cellStyle name="Comma (0,000) TBD- 11 107" xfId="9194"/>
    <cellStyle name="Comma (0,000) TBD 11 108" xfId="9195"/>
    <cellStyle name="Comma (0,000) TBD- 11 108" xfId="9196"/>
    <cellStyle name="Comma (0,000) TBD 11 109" xfId="9197"/>
    <cellStyle name="Comma (0,000) TBD- 11 109" xfId="9198"/>
    <cellStyle name="Comma (0,000) TBD 11 11" xfId="9199"/>
    <cellStyle name="Comma (0,000) TBD- 11 11" xfId="9200"/>
    <cellStyle name="Comma (0,000) TBD 11 110" xfId="9201"/>
    <cellStyle name="Comma (0,000) TBD- 11 110" xfId="9202"/>
    <cellStyle name="Comma (0,000) TBD 11 111" xfId="9203"/>
    <cellStyle name="Comma (0,000) TBD- 11 111" xfId="9204"/>
    <cellStyle name="Comma (0,000) TBD 11 112" xfId="9205"/>
    <cellStyle name="Comma (0,000) TBD- 11 112" xfId="9206"/>
    <cellStyle name="Comma (0,000) TBD 11 113" xfId="9207"/>
    <cellStyle name="Comma (0,000) TBD- 11 113" xfId="9208"/>
    <cellStyle name="Comma (0,000) TBD 11 114" xfId="9209"/>
    <cellStyle name="Comma (0,000) TBD- 11 114" xfId="9210"/>
    <cellStyle name="Comma (0,000) TBD 11 115" xfId="9211"/>
    <cellStyle name="Comma (0,000) TBD- 11 115" xfId="9212"/>
    <cellStyle name="Comma (0,000) TBD 11 116" xfId="9213"/>
    <cellStyle name="Comma (0,000) TBD- 11 116" xfId="9214"/>
    <cellStyle name="Comma (0,000) TBD 11 117" xfId="9215"/>
    <cellStyle name="Comma (0,000) TBD- 11 117" xfId="9216"/>
    <cellStyle name="Comma (0,000) TBD 11 118" xfId="9217"/>
    <cellStyle name="Comma (0,000) TBD- 11 118" xfId="9218"/>
    <cellStyle name="Comma (0,000) TBD 11 119" xfId="9219"/>
    <cellStyle name="Comma (0,000) TBD- 11 119" xfId="9220"/>
    <cellStyle name="Comma (0,000) TBD 11 12" xfId="9221"/>
    <cellStyle name="Comma (0,000) TBD- 11 12" xfId="9222"/>
    <cellStyle name="Comma (0,000) TBD 11 120" xfId="9223"/>
    <cellStyle name="Comma (0,000) TBD- 11 120" xfId="9224"/>
    <cellStyle name="Comma (0,000) TBD 11 121" xfId="9225"/>
    <cellStyle name="Comma (0,000) TBD- 11 121" xfId="9226"/>
    <cellStyle name="Comma (0,000) TBD 11 122" xfId="9227"/>
    <cellStyle name="Comma (0,000) TBD- 11 122" xfId="9228"/>
    <cellStyle name="Comma (0,000) TBD 11 123" xfId="9229"/>
    <cellStyle name="Comma (0,000) TBD- 11 123" xfId="9230"/>
    <cellStyle name="Comma (0,000) TBD 11 124" xfId="9231"/>
    <cellStyle name="Comma (0,000) TBD- 11 124" xfId="9232"/>
    <cellStyle name="Comma (0,000) TBD 11 125" xfId="9233"/>
    <cellStyle name="Comma (0,000) TBD- 11 125" xfId="9234"/>
    <cellStyle name="Comma (0,000) TBD 11 126" xfId="9235"/>
    <cellStyle name="Comma (0,000) TBD- 11 126" xfId="9236"/>
    <cellStyle name="Comma (0,000) TBD 11 127" xfId="9237"/>
    <cellStyle name="Comma (0,000) TBD- 11 127" xfId="9238"/>
    <cellStyle name="Comma (0,000) TBD 11 128" xfId="9239"/>
    <cellStyle name="Comma (0,000) TBD- 11 128" xfId="9240"/>
    <cellStyle name="Comma (0,000) TBD 11 129" xfId="9241"/>
    <cellStyle name="Comma (0,000) TBD- 11 129" xfId="9242"/>
    <cellStyle name="Comma (0,000) TBD 11 13" xfId="9243"/>
    <cellStyle name="Comma (0,000) TBD- 11 13" xfId="9244"/>
    <cellStyle name="Comma (0,000) TBD 11 130" xfId="9245"/>
    <cellStyle name="Comma (0,000) TBD- 11 130" xfId="9246"/>
    <cellStyle name="Comma (0,000) TBD 11 131" xfId="9247"/>
    <cellStyle name="Comma (0,000) TBD- 11 131" xfId="9248"/>
    <cellStyle name="Comma (0,000) TBD 11 132" xfId="9249"/>
    <cellStyle name="Comma (0,000) TBD- 11 132" xfId="9250"/>
    <cellStyle name="Comma (0,000) TBD 11 133" xfId="9251"/>
    <cellStyle name="Comma (0,000) TBD- 11 133" xfId="9252"/>
    <cellStyle name="Comma (0,000) TBD 11 134" xfId="9253"/>
    <cellStyle name="Comma (0,000) TBD- 11 134" xfId="9254"/>
    <cellStyle name="Comma (0,000) TBD 11 135" xfId="9255"/>
    <cellStyle name="Comma (0,000) TBD- 11 135" xfId="9256"/>
    <cellStyle name="Comma (0,000) TBD 11 136" xfId="9257"/>
    <cellStyle name="Comma (0,000) TBD- 11 136" xfId="9258"/>
    <cellStyle name="Comma (0,000) TBD 11 137" xfId="9259"/>
    <cellStyle name="Comma (0,000) TBD- 11 137" xfId="9260"/>
    <cellStyle name="Comma (0,000) TBD 11 138" xfId="9261"/>
    <cellStyle name="Comma (0,000) TBD- 11 138" xfId="9262"/>
    <cellStyle name="Comma (0,000) TBD 11 139" xfId="9263"/>
    <cellStyle name="Comma (0,000) TBD- 11 139" xfId="9264"/>
    <cellStyle name="Comma (0,000) TBD 11 14" xfId="9265"/>
    <cellStyle name="Comma (0,000) TBD- 11 14" xfId="9266"/>
    <cellStyle name="Comma (0,000) TBD 11 140" xfId="9267"/>
    <cellStyle name="Comma (0,000) TBD- 11 140" xfId="9268"/>
    <cellStyle name="Comma (0,000) TBD 11 141" xfId="9269"/>
    <cellStyle name="Comma (0,000) TBD- 11 141" xfId="9270"/>
    <cellStyle name="Comma (0,000) TBD 11 142" xfId="9271"/>
    <cellStyle name="Comma (0,000) TBD- 11 142" xfId="9272"/>
    <cellStyle name="Comma (0,000) TBD 11 143" xfId="9273"/>
    <cellStyle name="Comma (0,000) TBD- 11 143" xfId="9274"/>
    <cellStyle name="Comma (0,000) TBD 11 144" xfId="9275"/>
    <cellStyle name="Comma (0,000) TBD- 11 144" xfId="9276"/>
    <cellStyle name="Comma (0,000) TBD 11 145" xfId="9277"/>
    <cellStyle name="Comma (0,000) TBD- 11 145" xfId="9278"/>
    <cellStyle name="Comma (0,000) TBD 11 146" xfId="9279"/>
    <cellStyle name="Comma (0,000) TBD- 11 146" xfId="9280"/>
    <cellStyle name="Comma (0,000) TBD 11 147" xfId="9281"/>
    <cellStyle name="Comma (0,000) TBD- 11 147" xfId="9282"/>
    <cellStyle name="Comma (0,000) TBD 11 148" xfId="9283"/>
    <cellStyle name="Comma (0,000) TBD- 11 148" xfId="9284"/>
    <cellStyle name="Comma (0,000) TBD 11 149" xfId="9285"/>
    <cellStyle name="Comma (0,000) TBD- 11 149" xfId="9286"/>
    <cellStyle name="Comma (0,000) TBD 11 15" xfId="9287"/>
    <cellStyle name="Comma (0,000) TBD- 11 15" xfId="9288"/>
    <cellStyle name="Comma (0,000) TBD 11 150" xfId="9289"/>
    <cellStyle name="Comma (0,000) TBD- 11 150" xfId="9290"/>
    <cellStyle name="Comma (0,000) TBD 11 151" xfId="9291"/>
    <cellStyle name="Comma (0,000) TBD- 11 151" xfId="9292"/>
    <cellStyle name="Comma (0,000) TBD 11 152" xfId="9293"/>
    <cellStyle name="Comma (0,000) TBD- 11 152" xfId="9294"/>
    <cellStyle name="Comma (0,000) TBD 11 153" xfId="9295"/>
    <cellStyle name="Comma (0,000) TBD- 11 153" xfId="9296"/>
    <cellStyle name="Comma (0,000) TBD 11 16" xfId="9297"/>
    <cellStyle name="Comma (0,000) TBD- 11 16" xfId="9298"/>
    <cellStyle name="Comma (0,000) TBD 11 17" xfId="9299"/>
    <cellStyle name="Comma (0,000) TBD- 11 17" xfId="9300"/>
    <cellStyle name="Comma (0,000) TBD 11 18" xfId="9301"/>
    <cellStyle name="Comma (0,000) TBD- 11 18" xfId="9302"/>
    <cellStyle name="Comma (0,000) TBD 11 19" xfId="9303"/>
    <cellStyle name="Comma (0,000) TBD- 11 19" xfId="9304"/>
    <cellStyle name="Comma (0,000) TBD 11 2" xfId="9305"/>
    <cellStyle name="Comma (0,000) TBD- 11 2" xfId="9306"/>
    <cellStyle name="Comma (0,000) TBD 11 20" xfId="9307"/>
    <cellStyle name="Comma (0,000) TBD- 11 20" xfId="9308"/>
    <cellStyle name="Comma (0,000) TBD 11 21" xfId="9309"/>
    <cellStyle name="Comma (0,000) TBD- 11 21" xfId="9310"/>
    <cellStyle name="Comma (0,000) TBD 11 22" xfId="9311"/>
    <cellStyle name="Comma (0,000) TBD- 11 22" xfId="9312"/>
    <cellStyle name="Comma (0,000) TBD 11 23" xfId="9313"/>
    <cellStyle name="Comma (0,000) TBD- 11 23" xfId="9314"/>
    <cellStyle name="Comma (0,000) TBD 11 24" xfId="9315"/>
    <cellStyle name="Comma (0,000) TBD- 11 24" xfId="9316"/>
    <cellStyle name="Comma (0,000) TBD 11 25" xfId="9317"/>
    <cellStyle name="Comma (0,000) TBD- 11 25" xfId="9318"/>
    <cellStyle name="Comma (0,000) TBD 11 26" xfId="9319"/>
    <cellStyle name="Comma (0,000) TBD- 11 26" xfId="9320"/>
    <cellStyle name="Comma (0,000) TBD 11 27" xfId="9321"/>
    <cellStyle name="Comma (0,000) TBD- 11 27" xfId="9322"/>
    <cellStyle name="Comma (0,000) TBD 11 28" xfId="9323"/>
    <cellStyle name="Comma (0,000) TBD- 11 28" xfId="9324"/>
    <cellStyle name="Comma (0,000) TBD 11 29" xfId="9325"/>
    <cellStyle name="Comma (0,000) TBD- 11 29" xfId="9326"/>
    <cellStyle name="Comma (0,000) TBD 11 3" xfId="9327"/>
    <cellStyle name="Comma (0,000) TBD- 11 3" xfId="9328"/>
    <cellStyle name="Comma (0,000) TBD 11 30" xfId="9329"/>
    <cellStyle name="Comma (0,000) TBD- 11 30" xfId="9330"/>
    <cellStyle name="Comma (0,000) TBD 11 31" xfId="9331"/>
    <cellStyle name="Comma (0,000) TBD- 11 31" xfId="9332"/>
    <cellStyle name="Comma (0,000) TBD 11 32" xfId="9333"/>
    <cellStyle name="Comma (0,000) TBD- 11 32" xfId="9334"/>
    <cellStyle name="Comma (0,000) TBD 11 33" xfId="9335"/>
    <cellStyle name="Comma (0,000) TBD- 11 33" xfId="9336"/>
    <cellStyle name="Comma (0,000) TBD 11 34" xfId="9337"/>
    <cellStyle name="Comma (0,000) TBD- 11 34" xfId="9338"/>
    <cellStyle name="Comma (0,000) TBD 11 35" xfId="9339"/>
    <cellStyle name="Comma (0,000) TBD- 11 35" xfId="9340"/>
    <cellStyle name="Comma (0,000) TBD 11 36" xfId="9341"/>
    <cellStyle name="Comma (0,000) TBD- 11 36" xfId="9342"/>
    <cellStyle name="Comma (0,000) TBD 11 37" xfId="9343"/>
    <cellStyle name="Comma (0,000) TBD- 11 37" xfId="9344"/>
    <cellStyle name="Comma (0,000) TBD 11 38" xfId="9345"/>
    <cellStyle name="Comma (0,000) TBD- 11 38" xfId="9346"/>
    <cellStyle name="Comma (0,000) TBD 11 39" xfId="9347"/>
    <cellStyle name="Comma (0,000) TBD- 11 39" xfId="9348"/>
    <cellStyle name="Comma (0,000) TBD 11 4" xfId="9349"/>
    <cellStyle name="Comma (0,000) TBD- 11 4" xfId="9350"/>
    <cellStyle name="Comma (0,000) TBD 11 40" xfId="9351"/>
    <cellStyle name="Comma (0,000) TBD- 11 40" xfId="9352"/>
    <cellStyle name="Comma (0,000) TBD 11 41" xfId="9353"/>
    <cellStyle name="Comma (0,000) TBD- 11 41" xfId="9354"/>
    <cellStyle name="Comma (0,000) TBD 11 42" xfId="9355"/>
    <cellStyle name="Comma (0,000) TBD- 11 42" xfId="9356"/>
    <cellStyle name="Comma (0,000) TBD 11 43" xfId="9357"/>
    <cellStyle name="Comma (0,000) TBD- 11 43" xfId="9358"/>
    <cellStyle name="Comma (0,000) TBD 11 44" xfId="9359"/>
    <cellStyle name="Comma (0,000) TBD- 11 44" xfId="9360"/>
    <cellStyle name="Comma (0,000) TBD 11 45" xfId="9361"/>
    <cellStyle name="Comma (0,000) TBD- 11 45" xfId="9362"/>
    <cellStyle name="Comma (0,000) TBD 11 46" xfId="9363"/>
    <cellStyle name="Comma (0,000) TBD- 11 46" xfId="9364"/>
    <cellStyle name="Comma (0,000) TBD 11 47" xfId="9365"/>
    <cellStyle name="Comma (0,000) TBD- 11 47" xfId="9366"/>
    <cellStyle name="Comma (0,000) TBD 11 48" xfId="9367"/>
    <cellStyle name="Comma (0,000) TBD- 11 48" xfId="9368"/>
    <cellStyle name="Comma (0,000) TBD 11 49" xfId="9369"/>
    <cellStyle name="Comma (0,000) TBD- 11 49" xfId="9370"/>
    <cellStyle name="Comma (0,000) TBD 11 5" xfId="9371"/>
    <cellStyle name="Comma (0,000) TBD- 11 5" xfId="9372"/>
    <cellStyle name="Comma (0,000) TBD 11 50" xfId="9373"/>
    <cellStyle name="Comma (0,000) TBD- 11 50" xfId="9374"/>
    <cellStyle name="Comma (0,000) TBD 11 51" xfId="9375"/>
    <cellStyle name="Comma (0,000) TBD- 11 51" xfId="9376"/>
    <cellStyle name="Comma (0,000) TBD 11 52" xfId="9377"/>
    <cellStyle name="Comma (0,000) TBD- 11 52" xfId="9378"/>
    <cellStyle name="Comma (0,000) TBD 11 53" xfId="9379"/>
    <cellStyle name="Comma (0,000) TBD- 11 53" xfId="9380"/>
    <cellStyle name="Comma (0,000) TBD 11 54" xfId="9381"/>
    <cellStyle name="Comma (0,000) TBD- 11 54" xfId="9382"/>
    <cellStyle name="Comma (0,000) TBD 11 55" xfId="9383"/>
    <cellStyle name="Comma (0,000) TBD- 11 55" xfId="9384"/>
    <cellStyle name="Comma (0,000) TBD 11 56" xfId="9385"/>
    <cellStyle name="Comma (0,000) TBD- 11 56" xfId="9386"/>
    <cellStyle name="Comma (0,000) TBD 11 57" xfId="9387"/>
    <cellStyle name="Comma (0,000) TBD- 11 57" xfId="9388"/>
    <cellStyle name="Comma (0,000) TBD 11 58" xfId="9389"/>
    <cellStyle name="Comma (0,000) TBD- 11 58" xfId="9390"/>
    <cellStyle name="Comma (0,000) TBD 11 59" xfId="9391"/>
    <cellStyle name="Comma (0,000) TBD- 11 59" xfId="9392"/>
    <cellStyle name="Comma (0,000) TBD 11 6" xfId="9393"/>
    <cellStyle name="Comma (0,000) TBD- 11 6" xfId="9394"/>
    <cellStyle name="Comma (0,000) TBD 11 60" xfId="9395"/>
    <cellStyle name="Comma (0,000) TBD- 11 60" xfId="9396"/>
    <cellStyle name="Comma (0,000) TBD 11 61" xfId="9397"/>
    <cellStyle name="Comma (0,000) TBD- 11 61" xfId="9398"/>
    <cellStyle name="Comma (0,000) TBD 11 62" xfId="9399"/>
    <cellStyle name="Comma (0,000) TBD- 11 62" xfId="9400"/>
    <cellStyle name="Comma (0,000) TBD 11 63" xfId="9401"/>
    <cellStyle name="Comma (0,000) TBD- 11 63" xfId="9402"/>
    <cellStyle name="Comma (0,000) TBD 11 64" xfId="9403"/>
    <cellStyle name="Comma (0,000) TBD- 11 64" xfId="9404"/>
    <cellStyle name="Comma (0,000) TBD 11 65" xfId="9405"/>
    <cellStyle name="Comma (0,000) TBD- 11 65" xfId="9406"/>
    <cellStyle name="Comma (0,000) TBD 11 66" xfId="9407"/>
    <cellStyle name="Comma (0,000) TBD- 11 66" xfId="9408"/>
    <cellStyle name="Comma (0,000) TBD 11 67" xfId="9409"/>
    <cellStyle name="Comma (0,000) TBD- 11 67" xfId="9410"/>
    <cellStyle name="Comma (0,000) TBD 11 68" xfId="9411"/>
    <cellStyle name="Comma (0,000) TBD- 11 68" xfId="9412"/>
    <cellStyle name="Comma (0,000) TBD 11 69" xfId="9413"/>
    <cellStyle name="Comma (0,000) TBD- 11 69" xfId="9414"/>
    <cellStyle name="Comma (0,000) TBD 11 7" xfId="9415"/>
    <cellStyle name="Comma (0,000) TBD- 11 7" xfId="9416"/>
    <cellStyle name="Comma (0,000) TBD 11 70" xfId="9417"/>
    <cellStyle name="Comma (0,000) TBD- 11 70" xfId="9418"/>
    <cellStyle name="Comma (0,000) TBD 11 71" xfId="9419"/>
    <cellStyle name="Comma (0,000) TBD- 11 71" xfId="9420"/>
    <cellStyle name="Comma (0,000) TBD 11 72" xfId="9421"/>
    <cellStyle name="Comma (0,000) TBD- 11 72" xfId="9422"/>
    <cellStyle name="Comma (0,000) TBD 11 73" xfId="9423"/>
    <cellStyle name="Comma (0,000) TBD- 11 73" xfId="9424"/>
    <cellStyle name="Comma (0,000) TBD 11 74" xfId="9425"/>
    <cellStyle name="Comma (0,000) TBD- 11 74" xfId="9426"/>
    <cellStyle name="Comma (0,000) TBD 11 75" xfId="9427"/>
    <cellStyle name="Comma (0,000) TBD- 11 75" xfId="9428"/>
    <cellStyle name="Comma (0,000) TBD 11 76" xfId="9429"/>
    <cellStyle name="Comma (0,000) TBD- 11 76" xfId="9430"/>
    <cellStyle name="Comma (0,000) TBD 11 77" xfId="9431"/>
    <cellStyle name="Comma (0,000) TBD- 11 77" xfId="9432"/>
    <cellStyle name="Comma (0,000) TBD 11 78" xfId="9433"/>
    <cellStyle name="Comma (0,000) TBD- 11 78" xfId="9434"/>
    <cellStyle name="Comma (0,000) TBD 11 79" xfId="9435"/>
    <cellStyle name="Comma (0,000) TBD- 11 79" xfId="9436"/>
    <cellStyle name="Comma (0,000) TBD 11 8" xfId="9437"/>
    <cellStyle name="Comma (0,000) TBD- 11 8" xfId="9438"/>
    <cellStyle name="Comma (0,000) TBD 11 80" xfId="9439"/>
    <cellStyle name="Comma (0,000) TBD- 11 80" xfId="9440"/>
    <cellStyle name="Comma (0,000) TBD 11 81" xfId="9441"/>
    <cellStyle name="Comma (0,000) TBD- 11 81" xfId="9442"/>
    <cellStyle name="Comma (0,000) TBD 11 82" xfId="9443"/>
    <cellStyle name="Comma (0,000) TBD- 11 82" xfId="9444"/>
    <cellStyle name="Comma (0,000) TBD 11 83" xfId="9445"/>
    <cellStyle name="Comma (0,000) TBD- 11 83" xfId="9446"/>
    <cellStyle name="Comma (0,000) TBD 11 84" xfId="9447"/>
    <cellStyle name="Comma (0,000) TBD- 11 84" xfId="9448"/>
    <cellStyle name="Comma (0,000) TBD 11 85" xfId="9449"/>
    <cellStyle name="Comma (0,000) TBD- 11 85" xfId="9450"/>
    <cellStyle name="Comma (0,000) TBD 11 86" xfId="9451"/>
    <cellStyle name="Comma (0,000) TBD- 11 86" xfId="9452"/>
    <cellStyle name="Comma (0,000) TBD 11 87" xfId="9453"/>
    <cellStyle name="Comma (0,000) TBD- 11 87" xfId="9454"/>
    <cellStyle name="Comma (0,000) TBD 11 88" xfId="9455"/>
    <cellStyle name="Comma (0,000) TBD- 11 88" xfId="9456"/>
    <cellStyle name="Comma (0,000) TBD 11 89" xfId="9457"/>
    <cellStyle name="Comma (0,000) TBD- 11 89" xfId="9458"/>
    <cellStyle name="Comma (0,000) TBD 11 9" xfId="9459"/>
    <cellStyle name="Comma (0,000) TBD- 11 9" xfId="9460"/>
    <cellStyle name="Comma (0,000) TBD 11 90" xfId="9461"/>
    <cellStyle name="Comma (0,000) TBD- 11 90" xfId="9462"/>
    <cellStyle name="Comma (0,000) TBD 11 91" xfId="9463"/>
    <cellStyle name="Comma (0,000) TBD- 11 91" xfId="9464"/>
    <cellStyle name="Comma (0,000) TBD 11 92" xfId="9465"/>
    <cellStyle name="Comma (0,000) TBD- 11 92" xfId="9466"/>
    <cellStyle name="Comma (0,000) TBD 11 93" xfId="9467"/>
    <cellStyle name="Comma (0,000) TBD- 11 93" xfId="9468"/>
    <cellStyle name="Comma (0,000) TBD 11 94" xfId="9469"/>
    <cellStyle name="Comma (0,000) TBD- 11 94" xfId="9470"/>
    <cellStyle name="Comma (0,000) TBD 11 95" xfId="9471"/>
    <cellStyle name="Comma (0,000) TBD- 11 95" xfId="9472"/>
    <cellStyle name="Comma (0,000) TBD 11 96" xfId="9473"/>
    <cellStyle name="Comma (0,000) TBD- 11 96" xfId="9474"/>
    <cellStyle name="Comma (0,000) TBD 11 97" xfId="9475"/>
    <cellStyle name="Comma (0,000) TBD- 11 97" xfId="9476"/>
    <cellStyle name="Comma (0,000) TBD 11 98" xfId="9477"/>
    <cellStyle name="Comma (0,000) TBD- 11 98" xfId="9478"/>
    <cellStyle name="Comma (0,000) TBD 11 99" xfId="9479"/>
    <cellStyle name="Comma (0,000) TBD- 11 99" xfId="9480"/>
    <cellStyle name="Comma (0,000) TBD 12" xfId="9481"/>
    <cellStyle name="Comma (0,000) TBD- 12" xfId="9482"/>
    <cellStyle name="Comma (0,000) TBD 12 10" xfId="9483"/>
    <cellStyle name="Comma (0,000) TBD- 12 10" xfId="9484"/>
    <cellStyle name="Comma (0,000) TBD 12 100" xfId="9485"/>
    <cellStyle name="Comma (0,000) TBD- 12 100" xfId="9486"/>
    <cellStyle name="Comma (0,000) TBD 12 101" xfId="9487"/>
    <cellStyle name="Comma (0,000) TBD- 12 101" xfId="9488"/>
    <cellStyle name="Comma (0,000) TBD 12 102" xfId="9489"/>
    <cellStyle name="Comma (0,000) TBD- 12 102" xfId="9490"/>
    <cellStyle name="Comma (0,000) TBD 12 103" xfId="9491"/>
    <cellStyle name="Comma (0,000) TBD- 12 103" xfId="9492"/>
    <cellStyle name="Comma (0,000) TBD 12 104" xfId="9493"/>
    <cellStyle name="Comma (0,000) TBD- 12 104" xfId="9494"/>
    <cellStyle name="Comma (0,000) TBD 12 105" xfId="9495"/>
    <cellStyle name="Comma (0,000) TBD- 12 105" xfId="9496"/>
    <cellStyle name="Comma (0,000) TBD 12 106" xfId="9497"/>
    <cellStyle name="Comma (0,000) TBD- 12 106" xfId="9498"/>
    <cellStyle name="Comma (0,000) TBD 12 107" xfId="9499"/>
    <cellStyle name="Comma (0,000) TBD- 12 107" xfId="9500"/>
    <cellStyle name="Comma (0,000) TBD 12 108" xfId="9501"/>
    <cellStyle name="Comma (0,000) TBD- 12 108" xfId="9502"/>
    <cellStyle name="Comma (0,000) TBD 12 109" xfId="9503"/>
    <cellStyle name="Comma (0,000) TBD- 12 109" xfId="9504"/>
    <cellStyle name="Comma (0,000) TBD 12 11" xfId="9505"/>
    <cellStyle name="Comma (0,000) TBD- 12 11" xfId="9506"/>
    <cellStyle name="Comma (0,000) TBD 12 110" xfId="9507"/>
    <cellStyle name="Comma (0,000) TBD- 12 110" xfId="9508"/>
    <cellStyle name="Comma (0,000) TBD 12 111" xfId="9509"/>
    <cellStyle name="Comma (0,000) TBD- 12 111" xfId="9510"/>
    <cellStyle name="Comma (0,000) TBD 12 112" xfId="9511"/>
    <cellStyle name="Comma (0,000) TBD- 12 112" xfId="9512"/>
    <cellStyle name="Comma (0,000) TBD 12 113" xfId="9513"/>
    <cellStyle name="Comma (0,000) TBD- 12 113" xfId="9514"/>
    <cellStyle name="Comma (0,000) TBD 12 114" xfId="9515"/>
    <cellStyle name="Comma (0,000) TBD- 12 114" xfId="9516"/>
    <cellStyle name="Comma (0,000) TBD 12 115" xfId="9517"/>
    <cellStyle name="Comma (0,000) TBD- 12 115" xfId="9518"/>
    <cellStyle name="Comma (0,000) TBD 12 116" xfId="9519"/>
    <cellStyle name="Comma (0,000) TBD- 12 116" xfId="9520"/>
    <cellStyle name="Comma (0,000) TBD 12 117" xfId="9521"/>
    <cellStyle name="Comma (0,000) TBD- 12 117" xfId="9522"/>
    <cellStyle name="Comma (0,000) TBD 12 118" xfId="9523"/>
    <cellStyle name="Comma (0,000) TBD- 12 118" xfId="9524"/>
    <cellStyle name="Comma (0,000) TBD 12 119" xfId="9525"/>
    <cellStyle name="Comma (0,000) TBD- 12 119" xfId="9526"/>
    <cellStyle name="Comma (0,000) TBD 12 12" xfId="9527"/>
    <cellStyle name="Comma (0,000) TBD- 12 12" xfId="9528"/>
    <cellStyle name="Comma (0,000) TBD 12 120" xfId="9529"/>
    <cellStyle name="Comma (0,000) TBD- 12 120" xfId="9530"/>
    <cellStyle name="Comma (0,000) TBD 12 121" xfId="9531"/>
    <cellStyle name="Comma (0,000) TBD- 12 121" xfId="9532"/>
    <cellStyle name="Comma (0,000) TBD 12 122" xfId="9533"/>
    <cellStyle name="Comma (0,000) TBD- 12 122" xfId="9534"/>
    <cellStyle name="Comma (0,000) TBD 12 123" xfId="9535"/>
    <cellStyle name="Comma (0,000) TBD- 12 123" xfId="9536"/>
    <cellStyle name="Comma (0,000) TBD 12 124" xfId="9537"/>
    <cellStyle name="Comma (0,000) TBD- 12 124" xfId="9538"/>
    <cellStyle name="Comma (0,000) TBD 12 125" xfId="9539"/>
    <cellStyle name="Comma (0,000) TBD- 12 125" xfId="9540"/>
    <cellStyle name="Comma (0,000) TBD 12 126" xfId="9541"/>
    <cellStyle name="Comma (0,000) TBD- 12 126" xfId="9542"/>
    <cellStyle name="Comma (0,000) TBD 12 127" xfId="9543"/>
    <cellStyle name="Comma (0,000) TBD- 12 127" xfId="9544"/>
    <cellStyle name="Comma (0,000) TBD 12 128" xfId="9545"/>
    <cellStyle name="Comma (0,000) TBD- 12 128" xfId="9546"/>
    <cellStyle name="Comma (0,000) TBD 12 129" xfId="9547"/>
    <cellStyle name="Comma (0,000) TBD- 12 129" xfId="9548"/>
    <cellStyle name="Comma (0,000) TBD 12 13" xfId="9549"/>
    <cellStyle name="Comma (0,000) TBD- 12 13" xfId="9550"/>
    <cellStyle name="Comma (0,000) TBD 12 130" xfId="9551"/>
    <cellStyle name="Comma (0,000) TBD- 12 130" xfId="9552"/>
    <cellStyle name="Comma (0,000) TBD 12 131" xfId="9553"/>
    <cellStyle name="Comma (0,000) TBD- 12 131" xfId="9554"/>
    <cellStyle name="Comma (0,000) TBD 12 132" xfId="9555"/>
    <cellStyle name="Comma (0,000) TBD- 12 132" xfId="9556"/>
    <cellStyle name="Comma (0,000) TBD 12 133" xfId="9557"/>
    <cellStyle name="Comma (0,000) TBD- 12 133" xfId="9558"/>
    <cellStyle name="Comma (0,000) TBD 12 134" xfId="9559"/>
    <cellStyle name="Comma (0,000) TBD- 12 134" xfId="9560"/>
    <cellStyle name="Comma (0,000) TBD 12 135" xfId="9561"/>
    <cellStyle name="Comma (0,000) TBD- 12 135" xfId="9562"/>
    <cellStyle name="Comma (0,000) TBD 12 136" xfId="9563"/>
    <cellStyle name="Comma (0,000) TBD- 12 136" xfId="9564"/>
    <cellStyle name="Comma (0,000) TBD 12 137" xfId="9565"/>
    <cellStyle name="Comma (0,000) TBD- 12 137" xfId="9566"/>
    <cellStyle name="Comma (0,000) TBD 12 138" xfId="9567"/>
    <cellStyle name="Comma (0,000) TBD- 12 138" xfId="9568"/>
    <cellStyle name="Comma (0,000) TBD 12 139" xfId="9569"/>
    <cellStyle name="Comma (0,000) TBD- 12 139" xfId="9570"/>
    <cellStyle name="Comma (0,000) TBD 12 14" xfId="9571"/>
    <cellStyle name="Comma (0,000) TBD- 12 14" xfId="9572"/>
    <cellStyle name="Comma (0,000) TBD 12 140" xfId="9573"/>
    <cellStyle name="Comma (0,000) TBD- 12 140" xfId="9574"/>
    <cellStyle name="Comma (0,000) TBD 12 141" xfId="9575"/>
    <cellStyle name="Comma (0,000) TBD- 12 141" xfId="9576"/>
    <cellStyle name="Comma (0,000) TBD 12 142" xfId="9577"/>
    <cellStyle name="Comma (0,000) TBD- 12 142" xfId="9578"/>
    <cellStyle name="Comma (0,000) TBD 12 143" xfId="9579"/>
    <cellStyle name="Comma (0,000) TBD- 12 143" xfId="9580"/>
    <cellStyle name="Comma (0,000) TBD 12 144" xfId="9581"/>
    <cellStyle name="Comma (0,000) TBD- 12 144" xfId="9582"/>
    <cellStyle name="Comma (0,000) TBD 12 145" xfId="9583"/>
    <cellStyle name="Comma (0,000) TBD- 12 145" xfId="9584"/>
    <cellStyle name="Comma (0,000) TBD 12 146" xfId="9585"/>
    <cellStyle name="Comma (0,000) TBD- 12 146" xfId="9586"/>
    <cellStyle name="Comma (0,000) TBD 12 147" xfId="9587"/>
    <cellStyle name="Comma (0,000) TBD- 12 147" xfId="9588"/>
    <cellStyle name="Comma (0,000) TBD 12 148" xfId="9589"/>
    <cellStyle name="Comma (0,000) TBD- 12 148" xfId="9590"/>
    <cellStyle name="Comma (0,000) TBD 12 149" xfId="9591"/>
    <cellStyle name="Comma (0,000) TBD- 12 149" xfId="9592"/>
    <cellStyle name="Comma (0,000) TBD 12 15" xfId="9593"/>
    <cellStyle name="Comma (0,000) TBD- 12 15" xfId="9594"/>
    <cellStyle name="Comma (0,000) TBD 12 150" xfId="9595"/>
    <cellStyle name="Comma (0,000) TBD- 12 150" xfId="9596"/>
    <cellStyle name="Comma (0,000) TBD 12 151" xfId="9597"/>
    <cellStyle name="Comma (0,000) TBD- 12 151" xfId="9598"/>
    <cellStyle name="Comma (0,000) TBD 12 152" xfId="9599"/>
    <cellStyle name="Comma (0,000) TBD- 12 152" xfId="9600"/>
    <cellStyle name="Comma (0,000) TBD 12 153" xfId="9601"/>
    <cellStyle name="Comma (0,000) TBD- 12 153" xfId="9602"/>
    <cellStyle name="Comma (0,000) TBD 12 16" xfId="9603"/>
    <cellStyle name="Comma (0,000) TBD- 12 16" xfId="9604"/>
    <cellStyle name="Comma (0,000) TBD 12 17" xfId="9605"/>
    <cellStyle name="Comma (0,000) TBD- 12 17" xfId="9606"/>
    <cellStyle name="Comma (0,000) TBD 12 18" xfId="9607"/>
    <cellStyle name="Comma (0,000) TBD- 12 18" xfId="9608"/>
    <cellStyle name="Comma (0,000) TBD 12 19" xfId="9609"/>
    <cellStyle name="Comma (0,000) TBD- 12 19" xfId="9610"/>
    <cellStyle name="Comma (0,000) TBD 12 2" xfId="9611"/>
    <cellStyle name="Comma (0,000) TBD- 12 2" xfId="9612"/>
    <cellStyle name="Comma (0,000) TBD 12 20" xfId="9613"/>
    <cellStyle name="Comma (0,000) TBD- 12 20" xfId="9614"/>
    <cellStyle name="Comma (0,000) TBD 12 21" xfId="9615"/>
    <cellStyle name="Comma (0,000) TBD- 12 21" xfId="9616"/>
    <cellStyle name="Comma (0,000) TBD 12 22" xfId="9617"/>
    <cellStyle name="Comma (0,000) TBD- 12 22" xfId="9618"/>
    <cellStyle name="Comma (0,000) TBD 12 23" xfId="9619"/>
    <cellStyle name="Comma (0,000) TBD- 12 23" xfId="9620"/>
    <cellStyle name="Comma (0,000) TBD 12 24" xfId="9621"/>
    <cellStyle name="Comma (0,000) TBD- 12 24" xfId="9622"/>
    <cellStyle name="Comma (0,000) TBD 12 25" xfId="9623"/>
    <cellStyle name="Comma (0,000) TBD- 12 25" xfId="9624"/>
    <cellStyle name="Comma (0,000) TBD 12 26" xfId="9625"/>
    <cellStyle name="Comma (0,000) TBD- 12 26" xfId="9626"/>
    <cellStyle name="Comma (0,000) TBD 12 27" xfId="9627"/>
    <cellStyle name="Comma (0,000) TBD- 12 27" xfId="9628"/>
    <cellStyle name="Comma (0,000) TBD 12 28" xfId="9629"/>
    <cellStyle name="Comma (0,000) TBD- 12 28" xfId="9630"/>
    <cellStyle name="Comma (0,000) TBD 12 29" xfId="9631"/>
    <cellStyle name="Comma (0,000) TBD- 12 29" xfId="9632"/>
    <cellStyle name="Comma (0,000) TBD 12 3" xfId="9633"/>
    <cellStyle name="Comma (0,000) TBD- 12 3" xfId="9634"/>
    <cellStyle name="Comma (0,000) TBD 12 30" xfId="9635"/>
    <cellStyle name="Comma (0,000) TBD- 12 30" xfId="9636"/>
    <cellStyle name="Comma (0,000) TBD 12 31" xfId="9637"/>
    <cellStyle name="Comma (0,000) TBD- 12 31" xfId="9638"/>
    <cellStyle name="Comma (0,000) TBD 12 32" xfId="9639"/>
    <cellStyle name="Comma (0,000) TBD- 12 32" xfId="9640"/>
    <cellStyle name="Comma (0,000) TBD 12 33" xfId="9641"/>
    <cellStyle name="Comma (0,000) TBD- 12 33" xfId="9642"/>
    <cellStyle name="Comma (0,000) TBD 12 34" xfId="9643"/>
    <cellStyle name="Comma (0,000) TBD- 12 34" xfId="9644"/>
    <cellStyle name="Comma (0,000) TBD 12 35" xfId="9645"/>
    <cellStyle name="Comma (0,000) TBD- 12 35" xfId="9646"/>
    <cellStyle name="Comma (0,000) TBD 12 36" xfId="9647"/>
    <cellStyle name="Comma (0,000) TBD- 12 36" xfId="9648"/>
    <cellStyle name="Comma (0,000) TBD 12 37" xfId="9649"/>
    <cellStyle name="Comma (0,000) TBD- 12 37" xfId="9650"/>
    <cellStyle name="Comma (0,000) TBD 12 38" xfId="9651"/>
    <cellStyle name="Comma (0,000) TBD- 12 38" xfId="9652"/>
    <cellStyle name="Comma (0,000) TBD 12 39" xfId="9653"/>
    <cellStyle name="Comma (0,000) TBD- 12 39" xfId="9654"/>
    <cellStyle name="Comma (0,000) TBD 12 4" xfId="9655"/>
    <cellStyle name="Comma (0,000) TBD- 12 4" xfId="9656"/>
    <cellStyle name="Comma (0,000) TBD 12 40" xfId="9657"/>
    <cellStyle name="Comma (0,000) TBD- 12 40" xfId="9658"/>
    <cellStyle name="Comma (0,000) TBD 12 41" xfId="9659"/>
    <cellStyle name="Comma (0,000) TBD- 12 41" xfId="9660"/>
    <cellStyle name="Comma (0,000) TBD 12 42" xfId="9661"/>
    <cellStyle name="Comma (0,000) TBD- 12 42" xfId="9662"/>
    <cellStyle name="Comma (0,000) TBD 12 43" xfId="9663"/>
    <cellStyle name="Comma (0,000) TBD- 12 43" xfId="9664"/>
    <cellStyle name="Comma (0,000) TBD 12 44" xfId="9665"/>
    <cellStyle name="Comma (0,000) TBD- 12 44" xfId="9666"/>
    <cellStyle name="Comma (0,000) TBD 12 45" xfId="9667"/>
    <cellStyle name="Comma (0,000) TBD- 12 45" xfId="9668"/>
    <cellStyle name="Comma (0,000) TBD 12 46" xfId="9669"/>
    <cellStyle name="Comma (0,000) TBD- 12 46" xfId="9670"/>
    <cellStyle name="Comma (0,000) TBD 12 47" xfId="9671"/>
    <cellStyle name="Comma (0,000) TBD- 12 47" xfId="9672"/>
    <cellStyle name="Comma (0,000) TBD 12 48" xfId="9673"/>
    <cellStyle name="Comma (0,000) TBD- 12 48" xfId="9674"/>
    <cellStyle name="Comma (0,000) TBD 12 49" xfId="9675"/>
    <cellStyle name="Comma (0,000) TBD- 12 49" xfId="9676"/>
    <cellStyle name="Comma (0,000) TBD 12 5" xfId="9677"/>
    <cellStyle name="Comma (0,000) TBD- 12 5" xfId="9678"/>
    <cellStyle name="Comma (0,000) TBD 12 50" xfId="9679"/>
    <cellStyle name="Comma (0,000) TBD- 12 50" xfId="9680"/>
    <cellStyle name="Comma (0,000) TBD 12 51" xfId="9681"/>
    <cellStyle name="Comma (0,000) TBD- 12 51" xfId="9682"/>
    <cellStyle name="Comma (0,000) TBD 12 52" xfId="9683"/>
    <cellStyle name="Comma (0,000) TBD- 12 52" xfId="9684"/>
    <cellStyle name="Comma (0,000) TBD 12 53" xfId="9685"/>
    <cellStyle name="Comma (0,000) TBD- 12 53" xfId="9686"/>
    <cellStyle name="Comma (0,000) TBD 12 54" xfId="9687"/>
    <cellStyle name="Comma (0,000) TBD- 12 54" xfId="9688"/>
    <cellStyle name="Comma (0,000) TBD 12 55" xfId="9689"/>
    <cellStyle name="Comma (0,000) TBD- 12 55" xfId="9690"/>
    <cellStyle name="Comma (0,000) TBD 12 56" xfId="9691"/>
    <cellStyle name="Comma (0,000) TBD- 12 56" xfId="9692"/>
    <cellStyle name="Comma (0,000) TBD 12 57" xfId="9693"/>
    <cellStyle name="Comma (0,000) TBD- 12 57" xfId="9694"/>
    <cellStyle name="Comma (0,000) TBD 12 58" xfId="9695"/>
    <cellStyle name="Comma (0,000) TBD- 12 58" xfId="9696"/>
    <cellStyle name="Comma (0,000) TBD 12 59" xfId="9697"/>
    <cellStyle name="Comma (0,000) TBD- 12 59" xfId="9698"/>
    <cellStyle name="Comma (0,000) TBD 12 6" xfId="9699"/>
    <cellStyle name="Comma (0,000) TBD- 12 6" xfId="9700"/>
    <cellStyle name="Comma (0,000) TBD 12 60" xfId="9701"/>
    <cellStyle name="Comma (0,000) TBD- 12 60" xfId="9702"/>
    <cellStyle name="Comma (0,000) TBD 12 61" xfId="9703"/>
    <cellStyle name="Comma (0,000) TBD- 12 61" xfId="9704"/>
    <cellStyle name="Comma (0,000) TBD 12 62" xfId="9705"/>
    <cellStyle name="Comma (0,000) TBD- 12 62" xfId="9706"/>
    <cellStyle name="Comma (0,000) TBD 12 63" xfId="9707"/>
    <cellStyle name="Comma (0,000) TBD- 12 63" xfId="9708"/>
    <cellStyle name="Comma (0,000) TBD 12 64" xfId="9709"/>
    <cellStyle name="Comma (0,000) TBD- 12 64" xfId="9710"/>
    <cellStyle name="Comma (0,000) TBD 12 65" xfId="9711"/>
    <cellStyle name="Comma (0,000) TBD- 12 65" xfId="9712"/>
    <cellStyle name="Comma (0,000) TBD 12 66" xfId="9713"/>
    <cellStyle name="Comma (0,000) TBD- 12 66" xfId="9714"/>
    <cellStyle name="Comma (0,000) TBD 12 67" xfId="9715"/>
    <cellStyle name="Comma (0,000) TBD- 12 67" xfId="9716"/>
    <cellStyle name="Comma (0,000) TBD 12 68" xfId="9717"/>
    <cellStyle name="Comma (0,000) TBD- 12 68" xfId="9718"/>
    <cellStyle name="Comma (0,000) TBD 12 69" xfId="9719"/>
    <cellStyle name="Comma (0,000) TBD- 12 69" xfId="9720"/>
    <cellStyle name="Comma (0,000) TBD 12 7" xfId="9721"/>
    <cellStyle name="Comma (0,000) TBD- 12 7" xfId="9722"/>
    <cellStyle name="Comma (0,000) TBD 12 70" xfId="9723"/>
    <cellStyle name="Comma (0,000) TBD- 12 70" xfId="9724"/>
    <cellStyle name="Comma (0,000) TBD 12 71" xfId="9725"/>
    <cellStyle name="Comma (0,000) TBD- 12 71" xfId="9726"/>
    <cellStyle name="Comma (0,000) TBD 12 72" xfId="9727"/>
    <cellStyle name="Comma (0,000) TBD- 12 72" xfId="9728"/>
    <cellStyle name="Comma (0,000) TBD 12 73" xfId="9729"/>
    <cellStyle name="Comma (0,000) TBD- 12 73" xfId="9730"/>
    <cellStyle name="Comma (0,000) TBD 12 74" xfId="9731"/>
    <cellStyle name="Comma (0,000) TBD- 12 74" xfId="9732"/>
    <cellStyle name="Comma (0,000) TBD 12 75" xfId="9733"/>
    <cellStyle name="Comma (0,000) TBD- 12 75" xfId="9734"/>
    <cellStyle name="Comma (0,000) TBD 12 76" xfId="9735"/>
    <cellStyle name="Comma (0,000) TBD- 12 76" xfId="9736"/>
    <cellStyle name="Comma (0,000) TBD 12 77" xfId="9737"/>
    <cellStyle name="Comma (0,000) TBD- 12 77" xfId="9738"/>
    <cellStyle name="Comma (0,000) TBD 12 78" xfId="9739"/>
    <cellStyle name="Comma (0,000) TBD- 12 78" xfId="9740"/>
    <cellStyle name="Comma (0,000) TBD 12 79" xfId="9741"/>
    <cellStyle name="Comma (0,000) TBD- 12 79" xfId="9742"/>
    <cellStyle name="Comma (0,000) TBD 12 8" xfId="9743"/>
    <cellStyle name="Comma (0,000) TBD- 12 8" xfId="9744"/>
    <cellStyle name="Comma (0,000) TBD 12 80" xfId="9745"/>
    <cellStyle name="Comma (0,000) TBD- 12 80" xfId="9746"/>
    <cellStyle name="Comma (0,000) TBD 12 81" xfId="9747"/>
    <cellStyle name="Comma (0,000) TBD- 12 81" xfId="9748"/>
    <cellStyle name="Comma (0,000) TBD 12 82" xfId="9749"/>
    <cellStyle name="Comma (0,000) TBD- 12 82" xfId="9750"/>
    <cellStyle name="Comma (0,000) TBD 12 83" xfId="9751"/>
    <cellStyle name="Comma (0,000) TBD- 12 83" xfId="9752"/>
    <cellStyle name="Comma (0,000) TBD 12 84" xfId="9753"/>
    <cellStyle name="Comma (0,000) TBD- 12 84" xfId="9754"/>
    <cellStyle name="Comma (0,000) TBD 12 85" xfId="9755"/>
    <cellStyle name="Comma (0,000) TBD- 12 85" xfId="9756"/>
    <cellStyle name="Comma (0,000) TBD 12 86" xfId="9757"/>
    <cellStyle name="Comma (0,000) TBD- 12 86" xfId="9758"/>
    <cellStyle name="Comma (0,000) TBD 12 87" xfId="9759"/>
    <cellStyle name="Comma (0,000) TBD- 12 87" xfId="9760"/>
    <cellStyle name="Comma (0,000) TBD 12 88" xfId="9761"/>
    <cellStyle name="Comma (0,000) TBD- 12 88" xfId="9762"/>
    <cellStyle name="Comma (0,000) TBD 12 89" xfId="9763"/>
    <cellStyle name="Comma (0,000) TBD- 12 89" xfId="9764"/>
    <cellStyle name="Comma (0,000) TBD 12 9" xfId="9765"/>
    <cellStyle name="Comma (0,000) TBD- 12 9" xfId="9766"/>
    <cellStyle name="Comma (0,000) TBD 12 90" xfId="9767"/>
    <cellStyle name="Comma (0,000) TBD- 12 90" xfId="9768"/>
    <cellStyle name="Comma (0,000) TBD 12 91" xfId="9769"/>
    <cellStyle name="Comma (0,000) TBD- 12 91" xfId="9770"/>
    <cellStyle name="Comma (0,000) TBD 12 92" xfId="9771"/>
    <cellStyle name="Comma (0,000) TBD- 12 92" xfId="9772"/>
    <cellStyle name="Comma (0,000) TBD 12 93" xfId="9773"/>
    <cellStyle name="Comma (0,000) TBD- 12 93" xfId="9774"/>
    <cellStyle name="Comma (0,000) TBD 12 94" xfId="9775"/>
    <cellStyle name="Comma (0,000) TBD- 12 94" xfId="9776"/>
    <cellStyle name="Comma (0,000) TBD 12 95" xfId="9777"/>
    <cellStyle name="Comma (0,000) TBD- 12 95" xfId="9778"/>
    <cellStyle name="Comma (0,000) TBD 12 96" xfId="9779"/>
    <cellStyle name="Comma (0,000) TBD- 12 96" xfId="9780"/>
    <cellStyle name="Comma (0,000) TBD 12 97" xfId="9781"/>
    <cellStyle name="Comma (0,000) TBD- 12 97" xfId="9782"/>
    <cellStyle name="Comma (0,000) TBD 12 98" xfId="9783"/>
    <cellStyle name="Comma (0,000) TBD- 12 98" xfId="9784"/>
    <cellStyle name="Comma (0,000) TBD 12 99" xfId="9785"/>
    <cellStyle name="Comma (0,000) TBD- 12 99" xfId="9786"/>
    <cellStyle name="Comma (0,000) TBD 13" xfId="9787"/>
    <cellStyle name="Comma (0,000) TBD- 13" xfId="9788"/>
    <cellStyle name="Comma (0,000) TBD 13 10" xfId="9789"/>
    <cellStyle name="Comma (0,000) TBD- 13 10" xfId="9790"/>
    <cellStyle name="Comma (0,000) TBD 13 100" xfId="9791"/>
    <cellStyle name="Comma (0,000) TBD- 13 100" xfId="9792"/>
    <cellStyle name="Comma (0,000) TBD 13 101" xfId="9793"/>
    <cellStyle name="Comma (0,000) TBD- 13 101" xfId="9794"/>
    <cellStyle name="Comma (0,000) TBD 13 102" xfId="9795"/>
    <cellStyle name="Comma (0,000) TBD- 13 102" xfId="9796"/>
    <cellStyle name="Comma (0,000) TBD 13 103" xfId="9797"/>
    <cellStyle name="Comma (0,000) TBD- 13 103" xfId="9798"/>
    <cellStyle name="Comma (0,000) TBD 13 104" xfId="9799"/>
    <cellStyle name="Comma (0,000) TBD- 13 104" xfId="9800"/>
    <cellStyle name="Comma (0,000) TBD 13 105" xfId="9801"/>
    <cellStyle name="Comma (0,000) TBD- 13 105" xfId="9802"/>
    <cellStyle name="Comma (0,000) TBD 13 106" xfId="9803"/>
    <cellStyle name="Comma (0,000) TBD- 13 106" xfId="9804"/>
    <cellStyle name="Comma (0,000) TBD 13 107" xfId="9805"/>
    <cellStyle name="Comma (0,000) TBD- 13 107" xfId="9806"/>
    <cellStyle name="Comma (0,000) TBD 13 108" xfId="9807"/>
    <cellStyle name="Comma (0,000) TBD- 13 108" xfId="9808"/>
    <cellStyle name="Comma (0,000) TBD 13 109" xfId="9809"/>
    <cellStyle name="Comma (0,000) TBD- 13 109" xfId="9810"/>
    <cellStyle name="Comma (0,000) TBD 13 11" xfId="9811"/>
    <cellStyle name="Comma (0,000) TBD- 13 11" xfId="9812"/>
    <cellStyle name="Comma (0,000) TBD 13 110" xfId="9813"/>
    <cellStyle name="Comma (0,000) TBD- 13 110" xfId="9814"/>
    <cellStyle name="Comma (0,000) TBD 13 111" xfId="9815"/>
    <cellStyle name="Comma (0,000) TBD- 13 111" xfId="9816"/>
    <cellStyle name="Comma (0,000) TBD 13 112" xfId="9817"/>
    <cellStyle name="Comma (0,000) TBD- 13 112" xfId="9818"/>
    <cellStyle name="Comma (0,000) TBD 13 113" xfId="9819"/>
    <cellStyle name="Comma (0,000) TBD- 13 113" xfId="9820"/>
    <cellStyle name="Comma (0,000) TBD 13 114" xfId="9821"/>
    <cellStyle name="Comma (0,000) TBD- 13 114" xfId="9822"/>
    <cellStyle name="Comma (0,000) TBD 13 115" xfId="9823"/>
    <cellStyle name="Comma (0,000) TBD- 13 115" xfId="9824"/>
    <cellStyle name="Comma (0,000) TBD 13 116" xfId="9825"/>
    <cellStyle name="Comma (0,000) TBD- 13 116" xfId="9826"/>
    <cellStyle name="Comma (0,000) TBD 13 117" xfId="9827"/>
    <cellStyle name="Comma (0,000) TBD- 13 117" xfId="9828"/>
    <cellStyle name="Comma (0,000) TBD 13 118" xfId="9829"/>
    <cellStyle name="Comma (0,000) TBD- 13 118" xfId="9830"/>
    <cellStyle name="Comma (0,000) TBD 13 119" xfId="9831"/>
    <cellStyle name="Comma (0,000) TBD- 13 119" xfId="9832"/>
    <cellStyle name="Comma (0,000) TBD 13 12" xfId="9833"/>
    <cellStyle name="Comma (0,000) TBD- 13 12" xfId="9834"/>
    <cellStyle name="Comma (0,000) TBD 13 120" xfId="9835"/>
    <cellStyle name="Comma (0,000) TBD- 13 120" xfId="9836"/>
    <cellStyle name="Comma (0,000) TBD 13 121" xfId="9837"/>
    <cellStyle name="Comma (0,000) TBD- 13 121" xfId="9838"/>
    <cellStyle name="Comma (0,000) TBD 13 122" xfId="9839"/>
    <cellStyle name="Comma (0,000) TBD- 13 122" xfId="9840"/>
    <cellStyle name="Comma (0,000) TBD 13 123" xfId="9841"/>
    <cellStyle name="Comma (0,000) TBD- 13 123" xfId="9842"/>
    <cellStyle name="Comma (0,000) TBD 13 124" xfId="9843"/>
    <cellStyle name="Comma (0,000) TBD- 13 124" xfId="9844"/>
    <cellStyle name="Comma (0,000) TBD 13 125" xfId="9845"/>
    <cellStyle name="Comma (0,000) TBD- 13 125" xfId="9846"/>
    <cellStyle name="Comma (0,000) TBD 13 126" xfId="9847"/>
    <cellStyle name="Comma (0,000) TBD- 13 126" xfId="9848"/>
    <cellStyle name="Comma (0,000) TBD 13 127" xfId="9849"/>
    <cellStyle name="Comma (0,000) TBD- 13 127" xfId="9850"/>
    <cellStyle name="Comma (0,000) TBD 13 128" xfId="9851"/>
    <cellStyle name="Comma (0,000) TBD- 13 128" xfId="9852"/>
    <cellStyle name="Comma (0,000) TBD 13 129" xfId="9853"/>
    <cellStyle name="Comma (0,000) TBD- 13 129" xfId="9854"/>
    <cellStyle name="Comma (0,000) TBD 13 13" xfId="9855"/>
    <cellStyle name="Comma (0,000) TBD- 13 13" xfId="9856"/>
    <cellStyle name="Comma (0,000) TBD 13 130" xfId="9857"/>
    <cellStyle name="Comma (0,000) TBD- 13 130" xfId="9858"/>
    <cellStyle name="Comma (0,000) TBD 13 131" xfId="9859"/>
    <cellStyle name="Comma (0,000) TBD- 13 131" xfId="9860"/>
    <cellStyle name="Comma (0,000) TBD 13 132" xfId="9861"/>
    <cellStyle name="Comma (0,000) TBD- 13 132" xfId="9862"/>
    <cellStyle name="Comma (0,000) TBD 13 133" xfId="9863"/>
    <cellStyle name="Comma (0,000) TBD- 13 133" xfId="9864"/>
    <cellStyle name="Comma (0,000) TBD 13 134" xfId="9865"/>
    <cellStyle name="Comma (0,000) TBD- 13 134" xfId="9866"/>
    <cellStyle name="Comma (0,000) TBD 13 135" xfId="9867"/>
    <cellStyle name="Comma (0,000) TBD- 13 135" xfId="9868"/>
    <cellStyle name="Comma (0,000) TBD 13 136" xfId="9869"/>
    <cellStyle name="Comma (0,000) TBD- 13 136" xfId="9870"/>
    <cellStyle name="Comma (0,000) TBD 13 137" xfId="9871"/>
    <cellStyle name="Comma (0,000) TBD- 13 137" xfId="9872"/>
    <cellStyle name="Comma (0,000) TBD 13 138" xfId="9873"/>
    <cellStyle name="Comma (0,000) TBD- 13 138" xfId="9874"/>
    <cellStyle name="Comma (0,000) TBD 13 139" xfId="9875"/>
    <cellStyle name="Comma (0,000) TBD- 13 139" xfId="9876"/>
    <cellStyle name="Comma (0,000) TBD 13 14" xfId="9877"/>
    <cellStyle name="Comma (0,000) TBD- 13 14" xfId="9878"/>
    <cellStyle name="Comma (0,000) TBD 13 140" xfId="9879"/>
    <cellStyle name="Comma (0,000) TBD- 13 140" xfId="9880"/>
    <cellStyle name="Comma (0,000) TBD 13 141" xfId="9881"/>
    <cellStyle name="Comma (0,000) TBD- 13 141" xfId="9882"/>
    <cellStyle name="Comma (0,000) TBD 13 142" xfId="9883"/>
    <cellStyle name="Comma (0,000) TBD- 13 142" xfId="9884"/>
    <cellStyle name="Comma (0,000) TBD 13 143" xfId="9885"/>
    <cellStyle name="Comma (0,000) TBD- 13 143" xfId="9886"/>
    <cellStyle name="Comma (0,000) TBD 13 144" xfId="9887"/>
    <cellStyle name="Comma (0,000) TBD- 13 144" xfId="9888"/>
    <cellStyle name="Comma (0,000) TBD 13 145" xfId="9889"/>
    <cellStyle name="Comma (0,000) TBD- 13 145" xfId="9890"/>
    <cellStyle name="Comma (0,000) TBD 13 146" xfId="9891"/>
    <cellStyle name="Comma (0,000) TBD- 13 146" xfId="9892"/>
    <cellStyle name="Comma (0,000) TBD 13 147" xfId="9893"/>
    <cellStyle name="Comma (0,000) TBD- 13 147" xfId="9894"/>
    <cellStyle name="Comma (0,000) TBD 13 148" xfId="9895"/>
    <cellStyle name="Comma (0,000) TBD- 13 148" xfId="9896"/>
    <cellStyle name="Comma (0,000) TBD 13 149" xfId="9897"/>
    <cellStyle name="Comma (0,000) TBD- 13 149" xfId="9898"/>
    <cellStyle name="Comma (0,000) TBD 13 15" xfId="9899"/>
    <cellStyle name="Comma (0,000) TBD- 13 15" xfId="9900"/>
    <cellStyle name="Comma (0,000) TBD 13 150" xfId="9901"/>
    <cellStyle name="Comma (0,000) TBD- 13 150" xfId="9902"/>
    <cellStyle name="Comma (0,000) TBD 13 151" xfId="9903"/>
    <cellStyle name="Comma (0,000) TBD- 13 151" xfId="9904"/>
    <cellStyle name="Comma (0,000) TBD 13 152" xfId="9905"/>
    <cellStyle name="Comma (0,000) TBD- 13 152" xfId="9906"/>
    <cellStyle name="Comma (0,000) TBD 13 153" xfId="9907"/>
    <cellStyle name="Comma (0,000) TBD- 13 153" xfId="9908"/>
    <cellStyle name="Comma (0,000) TBD 13 16" xfId="9909"/>
    <cellStyle name="Comma (0,000) TBD- 13 16" xfId="9910"/>
    <cellStyle name="Comma (0,000) TBD 13 17" xfId="9911"/>
    <cellStyle name="Comma (0,000) TBD- 13 17" xfId="9912"/>
    <cellStyle name="Comma (0,000) TBD 13 18" xfId="9913"/>
    <cellStyle name="Comma (0,000) TBD- 13 18" xfId="9914"/>
    <cellStyle name="Comma (0,000) TBD 13 19" xfId="9915"/>
    <cellStyle name="Comma (0,000) TBD- 13 19" xfId="9916"/>
    <cellStyle name="Comma (0,000) TBD 13 2" xfId="9917"/>
    <cellStyle name="Comma (0,000) TBD- 13 2" xfId="9918"/>
    <cellStyle name="Comma (0,000) TBD 13 20" xfId="9919"/>
    <cellStyle name="Comma (0,000) TBD- 13 20" xfId="9920"/>
    <cellStyle name="Comma (0,000) TBD 13 21" xfId="9921"/>
    <cellStyle name="Comma (0,000) TBD- 13 21" xfId="9922"/>
    <cellStyle name="Comma (0,000) TBD 13 22" xfId="9923"/>
    <cellStyle name="Comma (0,000) TBD- 13 22" xfId="9924"/>
    <cellStyle name="Comma (0,000) TBD 13 23" xfId="9925"/>
    <cellStyle name="Comma (0,000) TBD- 13 23" xfId="9926"/>
    <cellStyle name="Comma (0,000) TBD 13 24" xfId="9927"/>
    <cellStyle name="Comma (0,000) TBD- 13 24" xfId="9928"/>
    <cellStyle name="Comma (0,000) TBD 13 25" xfId="9929"/>
    <cellStyle name="Comma (0,000) TBD- 13 25" xfId="9930"/>
    <cellStyle name="Comma (0,000) TBD 13 26" xfId="9931"/>
    <cellStyle name="Comma (0,000) TBD- 13 26" xfId="9932"/>
    <cellStyle name="Comma (0,000) TBD 13 27" xfId="9933"/>
    <cellStyle name="Comma (0,000) TBD- 13 27" xfId="9934"/>
    <cellStyle name="Comma (0,000) TBD 13 28" xfId="9935"/>
    <cellStyle name="Comma (0,000) TBD- 13 28" xfId="9936"/>
    <cellStyle name="Comma (0,000) TBD 13 29" xfId="9937"/>
    <cellStyle name="Comma (0,000) TBD- 13 29" xfId="9938"/>
    <cellStyle name="Comma (0,000) TBD 13 3" xfId="9939"/>
    <cellStyle name="Comma (0,000) TBD- 13 3" xfId="9940"/>
    <cellStyle name="Comma (0,000) TBD 13 30" xfId="9941"/>
    <cellStyle name="Comma (0,000) TBD- 13 30" xfId="9942"/>
    <cellStyle name="Comma (0,000) TBD 13 31" xfId="9943"/>
    <cellStyle name="Comma (0,000) TBD- 13 31" xfId="9944"/>
    <cellStyle name="Comma (0,000) TBD 13 32" xfId="9945"/>
    <cellStyle name="Comma (0,000) TBD- 13 32" xfId="9946"/>
    <cellStyle name="Comma (0,000) TBD 13 33" xfId="9947"/>
    <cellStyle name="Comma (0,000) TBD- 13 33" xfId="9948"/>
    <cellStyle name="Comma (0,000) TBD 13 34" xfId="9949"/>
    <cellStyle name="Comma (0,000) TBD- 13 34" xfId="9950"/>
    <cellStyle name="Comma (0,000) TBD 13 35" xfId="9951"/>
    <cellStyle name="Comma (0,000) TBD- 13 35" xfId="9952"/>
    <cellStyle name="Comma (0,000) TBD 13 36" xfId="9953"/>
    <cellStyle name="Comma (0,000) TBD- 13 36" xfId="9954"/>
    <cellStyle name="Comma (0,000) TBD 13 37" xfId="9955"/>
    <cellStyle name="Comma (0,000) TBD- 13 37" xfId="9956"/>
    <cellStyle name="Comma (0,000) TBD 13 38" xfId="9957"/>
    <cellStyle name="Comma (0,000) TBD- 13 38" xfId="9958"/>
    <cellStyle name="Comma (0,000) TBD 13 39" xfId="9959"/>
    <cellStyle name="Comma (0,000) TBD- 13 39" xfId="9960"/>
    <cellStyle name="Comma (0,000) TBD 13 4" xfId="9961"/>
    <cellStyle name="Comma (0,000) TBD- 13 4" xfId="9962"/>
    <cellStyle name="Comma (0,000) TBD 13 40" xfId="9963"/>
    <cellStyle name="Comma (0,000) TBD- 13 40" xfId="9964"/>
    <cellStyle name="Comma (0,000) TBD 13 41" xfId="9965"/>
    <cellStyle name="Comma (0,000) TBD- 13 41" xfId="9966"/>
    <cellStyle name="Comma (0,000) TBD 13 42" xfId="9967"/>
    <cellStyle name="Comma (0,000) TBD- 13 42" xfId="9968"/>
    <cellStyle name="Comma (0,000) TBD 13 43" xfId="9969"/>
    <cellStyle name="Comma (0,000) TBD- 13 43" xfId="9970"/>
    <cellStyle name="Comma (0,000) TBD 13 44" xfId="9971"/>
    <cellStyle name="Comma (0,000) TBD- 13 44" xfId="9972"/>
    <cellStyle name="Comma (0,000) TBD 13 45" xfId="9973"/>
    <cellStyle name="Comma (0,000) TBD- 13 45" xfId="9974"/>
    <cellStyle name="Comma (0,000) TBD 13 46" xfId="9975"/>
    <cellStyle name="Comma (0,000) TBD- 13 46" xfId="9976"/>
    <cellStyle name="Comma (0,000) TBD 13 47" xfId="9977"/>
    <cellStyle name="Comma (0,000) TBD- 13 47" xfId="9978"/>
    <cellStyle name="Comma (0,000) TBD 13 48" xfId="9979"/>
    <cellStyle name="Comma (0,000) TBD- 13 48" xfId="9980"/>
    <cellStyle name="Comma (0,000) TBD 13 49" xfId="9981"/>
    <cellStyle name="Comma (0,000) TBD- 13 49" xfId="9982"/>
    <cellStyle name="Comma (0,000) TBD 13 5" xfId="9983"/>
    <cellStyle name="Comma (0,000) TBD- 13 5" xfId="9984"/>
    <cellStyle name="Comma (0,000) TBD 13 50" xfId="9985"/>
    <cellStyle name="Comma (0,000) TBD- 13 50" xfId="9986"/>
    <cellStyle name="Comma (0,000) TBD 13 51" xfId="9987"/>
    <cellStyle name="Comma (0,000) TBD- 13 51" xfId="9988"/>
    <cellStyle name="Comma (0,000) TBD 13 52" xfId="9989"/>
    <cellStyle name="Comma (0,000) TBD- 13 52" xfId="9990"/>
    <cellStyle name="Comma (0,000) TBD 13 53" xfId="9991"/>
    <cellStyle name="Comma (0,000) TBD- 13 53" xfId="9992"/>
    <cellStyle name="Comma (0,000) TBD 13 54" xfId="9993"/>
    <cellStyle name="Comma (0,000) TBD- 13 54" xfId="9994"/>
    <cellStyle name="Comma (0,000) TBD 13 55" xfId="9995"/>
    <cellStyle name="Comma (0,000) TBD- 13 55" xfId="9996"/>
    <cellStyle name="Comma (0,000) TBD 13 56" xfId="9997"/>
    <cellStyle name="Comma (0,000) TBD- 13 56" xfId="9998"/>
    <cellStyle name="Comma (0,000) TBD 13 57" xfId="9999"/>
    <cellStyle name="Comma (0,000) TBD- 13 57" xfId="10000"/>
    <cellStyle name="Comma (0,000) TBD 13 58" xfId="10001"/>
    <cellStyle name="Comma (0,000) TBD- 13 58" xfId="10002"/>
    <cellStyle name="Comma (0,000) TBD 13 59" xfId="10003"/>
    <cellStyle name="Comma (0,000) TBD- 13 59" xfId="10004"/>
    <cellStyle name="Comma (0,000) TBD 13 6" xfId="10005"/>
    <cellStyle name="Comma (0,000) TBD- 13 6" xfId="10006"/>
    <cellStyle name="Comma (0,000) TBD 13 60" xfId="10007"/>
    <cellStyle name="Comma (0,000) TBD- 13 60" xfId="10008"/>
    <cellStyle name="Comma (0,000) TBD 13 61" xfId="10009"/>
    <cellStyle name="Comma (0,000) TBD- 13 61" xfId="10010"/>
    <cellStyle name="Comma (0,000) TBD 13 62" xfId="10011"/>
    <cellStyle name="Comma (0,000) TBD- 13 62" xfId="10012"/>
    <cellStyle name="Comma (0,000) TBD 13 63" xfId="10013"/>
    <cellStyle name="Comma (0,000) TBD- 13 63" xfId="10014"/>
    <cellStyle name="Comma (0,000) TBD 13 64" xfId="10015"/>
    <cellStyle name="Comma (0,000) TBD- 13 64" xfId="10016"/>
    <cellStyle name="Comma (0,000) TBD 13 65" xfId="10017"/>
    <cellStyle name="Comma (0,000) TBD- 13 65" xfId="10018"/>
    <cellStyle name="Comma (0,000) TBD 13 66" xfId="10019"/>
    <cellStyle name="Comma (0,000) TBD- 13 66" xfId="10020"/>
    <cellStyle name="Comma (0,000) TBD 13 67" xfId="10021"/>
    <cellStyle name="Comma (0,000) TBD- 13 67" xfId="10022"/>
    <cellStyle name="Comma (0,000) TBD 13 68" xfId="10023"/>
    <cellStyle name="Comma (0,000) TBD- 13 68" xfId="10024"/>
    <cellStyle name="Comma (0,000) TBD 13 69" xfId="10025"/>
    <cellStyle name="Comma (0,000) TBD- 13 69" xfId="10026"/>
    <cellStyle name="Comma (0,000) TBD 13 7" xfId="10027"/>
    <cellStyle name="Comma (0,000) TBD- 13 7" xfId="10028"/>
    <cellStyle name="Comma (0,000) TBD 13 70" xfId="10029"/>
    <cellStyle name="Comma (0,000) TBD- 13 70" xfId="10030"/>
    <cellStyle name="Comma (0,000) TBD 13 71" xfId="10031"/>
    <cellStyle name="Comma (0,000) TBD- 13 71" xfId="10032"/>
    <cellStyle name="Comma (0,000) TBD 13 72" xfId="10033"/>
    <cellStyle name="Comma (0,000) TBD- 13 72" xfId="10034"/>
    <cellStyle name="Comma (0,000) TBD 13 73" xfId="10035"/>
    <cellStyle name="Comma (0,000) TBD- 13 73" xfId="10036"/>
    <cellStyle name="Comma (0,000) TBD 13 74" xfId="10037"/>
    <cellStyle name="Comma (0,000) TBD- 13 74" xfId="10038"/>
    <cellStyle name="Comma (0,000) TBD 13 75" xfId="10039"/>
    <cellStyle name="Comma (0,000) TBD- 13 75" xfId="10040"/>
    <cellStyle name="Comma (0,000) TBD 13 76" xfId="10041"/>
    <cellStyle name="Comma (0,000) TBD- 13 76" xfId="10042"/>
    <cellStyle name="Comma (0,000) TBD 13 77" xfId="10043"/>
    <cellStyle name="Comma (0,000) TBD- 13 77" xfId="10044"/>
    <cellStyle name="Comma (0,000) TBD 13 78" xfId="10045"/>
    <cellStyle name="Comma (0,000) TBD- 13 78" xfId="10046"/>
    <cellStyle name="Comma (0,000) TBD 13 79" xfId="10047"/>
    <cellStyle name="Comma (0,000) TBD- 13 79" xfId="10048"/>
    <cellStyle name="Comma (0,000) TBD 13 8" xfId="10049"/>
    <cellStyle name="Comma (0,000) TBD- 13 8" xfId="10050"/>
    <cellStyle name="Comma (0,000) TBD 13 80" xfId="10051"/>
    <cellStyle name="Comma (0,000) TBD- 13 80" xfId="10052"/>
    <cellStyle name="Comma (0,000) TBD 13 81" xfId="10053"/>
    <cellStyle name="Comma (0,000) TBD- 13 81" xfId="10054"/>
    <cellStyle name="Comma (0,000) TBD 13 82" xfId="10055"/>
    <cellStyle name="Comma (0,000) TBD- 13 82" xfId="10056"/>
    <cellStyle name="Comma (0,000) TBD 13 83" xfId="10057"/>
    <cellStyle name="Comma (0,000) TBD- 13 83" xfId="10058"/>
    <cellStyle name="Comma (0,000) TBD 13 84" xfId="10059"/>
    <cellStyle name="Comma (0,000) TBD- 13 84" xfId="10060"/>
    <cellStyle name="Comma (0,000) TBD 13 85" xfId="10061"/>
    <cellStyle name="Comma (0,000) TBD- 13 85" xfId="10062"/>
    <cellStyle name="Comma (0,000) TBD 13 86" xfId="10063"/>
    <cellStyle name="Comma (0,000) TBD- 13 86" xfId="10064"/>
    <cellStyle name="Comma (0,000) TBD 13 87" xfId="10065"/>
    <cellStyle name="Comma (0,000) TBD- 13 87" xfId="10066"/>
    <cellStyle name="Comma (0,000) TBD 13 88" xfId="10067"/>
    <cellStyle name="Comma (0,000) TBD- 13 88" xfId="10068"/>
    <cellStyle name="Comma (0,000) TBD 13 89" xfId="10069"/>
    <cellStyle name="Comma (0,000) TBD- 13 89" xfId="10070"/>
    <cellStyle name="Comma (0,000) TBD 13 9" xfId="10071"/>
    <cellStyle name="Comma (0,000) TBD- 13 9" xfId="10072"/>
    <cellStyle name="Comma (0,000) TBD 13 90" xfId="10073"/>
    <cellStyle name="Comma (0,000) TBD- 13 90" xfId="10074"/>
    <cellStyle name="Comma (0,000) TBD 13 91" xfId="10075"/>
    <cellStyle name="Comma (0,000) TBD- 13 91" xfId="10076"/>
    <cellStyle name="Comma (0,000) TBD 13 92" xfId="10077"/>
    <cellStyle name="Comma (0,000) TBD- 13 92" xfId="10078"/>
    <cellStyle name="Comma (0,000) TBD 13 93" xfId="10079"/>
    <cellStyle name="Comma (0,000) TBD- 13 93" xfId="10080"/>
    <cellStyle name="Comma (0,000) TBD 13 94" xfId="10081"/>
    <cellStyle name="Comma (0,000) TBD- 13 94" xfId="10082"/>
    <cellStyle name="Comma (0,000) TBD 13 95" xfId="10083"/>
    <cellStyle name="Comma (0,000) TBD- 13 95" xfId="10084"/>
    <cellStyle name="Comma (0,000) TBD 13 96" xfId="10085"/>
    <cellStyle name="Comma (0,000) TBD- 13 96" xfId="10086"/>
    <cellStyle name="Comma (0,000) TBD 13 97" xfId="10087"/>
    <cellStyle name="Comma (0,000) TBD- 13 97" xfId="10088"/>
    <cellStyle name="Comma (0,000) TBD 13 98" xfId="10089"/>
    <cellStyle name="Comma (0,000) TBD- 13 98" xfId="10090"/>
    <cellStyle name="Comma (0,000) TBD 13 99" xfId="10091"/>
    <cellStyle name="Comma (0,000) TBD- 13 99" xfId="10092"/>
    <cellStyle name="Comma (0,000) TBD 14" xfId="10093"/>
    <cellStyle name="Comma (0,000) TBD- 14" xfId="10094"/>
    <cellStyle name="Comma (0,000) TBD 14 10" xfId="10095"/>
    <cellStyle name="Comma (0,000) TBD- 14 10" xfId="10096"/>
    <cellStyle name="Comma (0,000) TBD 14 100" xfId="10097"/>
    <cellStyle name="Comma (0,000) TBD- 14 100" xfId="10098"/>
    <cellStyle name="Comma (0,000) TBD 14 101" xfId="10099"/>
    <cellStyle name="Comma (0,000) TBD- 14 101" xfId="10100"/>
    <cellStyle name="Comma (0,000) TBD 14 102" xfId="10101"/>
    <cellStyle name="Comma (0,000) TBD- 14 102" xfId="10102"/>
    <cellStyle name="Comma (0,000) TBD 14 103" xfId="10103"/>
    <cellStyle name="Comma (0,000) TBD- 14 103" xfId="10104"/>
    <cellStyle name="Comma (0,000) TBD 14 104" xfId="10105"/>
    <cellStyle name="Comma (0,000) TBD- 14 104" xfId="10106"/>
    <cellStyle name="Comma (0,000) TBD 14 105" xfId="10107"/>
    <cellStyle name="Comma (0,000) TBD- 14 105" xfId="10108"/>
    <cellStyle name="Comma (0,000) TBD 14 106" xfId="10109"/>
    <cellStyle name="Comma (0,000) TBD- 14 106" xfId="10110"/>
    <cellStyle name="Comma (0,000) TBD 14 107" xfId="10111"/>
    <cellStyle name="Comma (0,000) TBD- 14 107" xfId="10112"/>
    <cellStyle name="Comma (0,000) TBD 14 108" xfId="10113"/>
    <cellStyle name="Comma (0,000) TBD- 14 108" xfId="10114"/>
    <cellStyle name="Comma (0,000) TBD 14 109" xfId="10115"/>
    <cellStyle name="Comma (0,000) TBD- 14 109" xfId="10116"/>
    <cellStyle name="Comma (0,000) TBD 14 11" xfId="10117"/>
    <cellStyle name="Comma (0,000) TBD- 14 11" xfId="10118"/>
    <cellStyle name="Comma (0,000) TBD 14 110" xfId="10119"/>
    <cellStyle name="Comma (0,000) TBD- 14 110" xfId="10120"/>
    <cellStyle name="Comma (0,000) TBD 14 111" xfId="10121"/>
    <cellStyle name="Comma (0,000) TBD- 14 111" xfId="10122"/>
    <cellStyle name="Comma (0,000) TBD 14 112" xfId="10123"/>
    <cellStyle name="Comma (0,000) TBD- 14 112" xfId="10124"/>
    <cellStyle name="Comma (0,000) TBD 14 113" xfId="10125"/>
    <cellStyle name="Comma (0,000) TBD- 14 113" xfId="10126"/>
    <cellStyle name="Comma (0,000) TBD 14 114" xfId="10127"/>
    <cellStyle name="Comma (0,000) TBD- 14 114" xfId="10128"/>
    <cellStyle name="Comma (0,000) TBD 14 115" xfId="10129"/>
    <cellStyle name="Comma (0,000) TBD- 14 115" xfId="10130"/>
    <cellStyle name="Comma (0,000) TBD 14 116" xfId="10131"/>
    <cellStyle name="Comma (0,000) TBD- 14 116" xfId="10132"/>
    <cellStyle name="Comma (0,000) TBD 14 117" xfId="10133"/>
    <cellStyle name="Comma (0,000) TBD- 14 117" xfId="10134"/>
    <cellStyle name="Comma (0,000) TBD 14 118" xfId="10135"/>
    <cellStyle name="Comma (0,000) TBD- 14 118" xfId="10136"/>
    <cellStyle name="Comma (0,000) TBD 14 119" xfId="10137"/>
    <cellStyle name="Comma (0,000) TBD- 14 119" xfId="10138"/>
    <cellStyle name="Comma (0,000) TBD 14 12" xfId="10139"/>
    <cellStyle name="Comma (0,000) TBD- 14 12" xfId="10140"/>
    <cellStyle name="Comma (0,000) TBD 14 120" xfId="10141"/>
    <cellStyle name="Comma (0,000) TBD- 14 120" xfId="10142"/>
    <cellStyle name="Comma (0,000) TBD 14 121" xfId="10143"/>
    <cellStyle name="Comma (0,000) TBD- 14 121" xfId="10144"/>
    <cellStyle name="Comma (0,000) TBD 14 122" xfId="10145"/>
    <cellStyle name="Comma (0,000) TBD- 14 122" xfId="10146"/>
    <cellStyle name="Comma (0,000) TBD 14 123" xfId="10147"/>
    <cellStyle name="Comma (0,000) TBD- 14 123" xfId="10148"/>
    <cellStyle name="Comma (0,000) TBD 14 124" xfId="10149"/>
    <cellStyle name="Comma (0,000) TBD- 14 124" xfId="10150"/>
    <cellStyle name="Comma (0,000) TBD 14 125" xfId="10151"/>
    <cellStyle name="Comma (0,000) TBD- 14 125" xfId="10152"/>
    <cellStyle name="Comma (0,000) TBD 14 126" xfId="10153"/>
    <cellStyle name="Comma (0,000) TBD- 14 126" xfId="10154"/>
    <cellStyle name="Comma (0,000) TBD 14 127" xfId="10155"/>
    <cellStyle name="Comma (0,000) TBD- 14 127" xfId="10156"/>
    <cellStyle name="Comma (0,000) TBD 14 128" xfId="10157"/>
    <cellStyle name="Comma (0,000) TBD- 14 128" xfId="10158"/>
    <cellStyle name="Comma (0,000) TBD 14 129" xfId="10159"/>
    <cellStyle name="Comma (0,000) TBD- 14 129" xfId="10160"/>
    <cellStyle name="Comma (0,000) TBD 14 13" xfId="10161"/>
    <cellStyle name="Comma (0,000) TBD- 14 13" xfId="10162"/>
    <cellStyle name="Comma (0,000) TBD 14 130" xfId="10163"/>
    <cellStyle name="Comma (0,000) TBD- 14 130" xfId="10164"/>
    <cellStyle name="Comma (0,000) TBD 14 131" xfId="10165"/>
    <cellStyle name="Comma (0,000) TBD- 14 131" xfId="10166"/>
    <cellStyle name="Comma (0,000) TBD 14 132" xfId="10167"/>
    <cellStyle name="Comma (0,000) TBD- 14 132" xfId="10168"/>
    <cellStyle name="Comma (0,000) TBD 14 133" xfId="10169"/>
    <cellStyle name="Comma (0,000) TBD- 14 133" xfId="10170"/>
    <cellStyle name="Comma (0,000) TBD 14 134" xfId="10171"/>
    <cellStyle name="Comma (0,000) TBD- 14 134" xfId="10172"/>
    <cellStyle name="Comma (0,000) TBD 14 135" xfId="10173"/>
    <cellStyle name="Comma (0,000) TBD- 14 135" xfId="10174"/>
    <cellStyle name="Comma (0,000) TBD 14 136" xfId="10175"/>
    <cellStyle name="Comma (0,000) TBD- 14 136" xfId="10176"/>
    <cellStyle name="Comma (0,000) TBD 14 137" xfId="10177"/>
    <cellStyle name="Comma (0,000) TBD- 14 137" xfId="10178"/>
    <cellStyle name="Comma (0,000) TBD 14 138" xfId="10179"/>
    <cellStyle name="Comma (0,000) TBD- 14 138" xfId="10180"/>
    <cellStyle name="Comma (0,000) TBD 14 139" xfId="10181"/>
    <cellStyle name="Comma (0,000) TBD- 14 139" xfId="10182"/>
    <cellStyle name="Comma (0,000) TBD 14 14" xfId="10183"/>
    <cellStyle name="Comma (0,000) TBD- 14 14" xfId="10184"/>
    <cellStyle name="Comma (0,000) TBD 14 140" xfId="10185"/>
    <cellStyle name="Comma (0,000) TBD- 14 140" xfId="10186"/>
    <cellStyle name="Comma (0,000) TBD 14 141" xfId="10187"/>
    <cellStyle name="Comma (0,000) TBD- 14 141" xfId="10188"/>
    <cellStyle name="Comma (0,000) TBD 14 142" xfId="10189"/>
    <cellStyle name="Comma (0,000) TBD- 14 142" xfId="10190"/>
    <cellStyle name="Comma (0,000) TBD 14 143" xfId="10191"/>
    <cellStyle name="Comma (0,000) TBD- 14 143" xfId="10192"/>
    <cellStyle name="Comma (0,000) TBD 14 144" xfId="10193"/>
    <cellStyle name="Comma (0,000) TBD- 14 144" xfId="10194"/>
    <cellStyle name="Comma (0,000) TBD 14 145" xfId="10195"/>
    <cellStyle name="Comma (0,000) TBD- 14 145" xfId="10196"/>
    <cellStyle name="Comma (0,000) TBD 14 146" xfId="10197"/>
    <cellStyle name="Comma (0,000) TBD- 14 146" xfId="10198"/>
    <cellStyle name="Comma (0,000) TBD 14 147" xfId="10199"/>
    <cellStyle name="Comma (0,000) TBD- 14 147" xfId="10200"/>
    <cellStyle name="Comma (0,000) TBD 14 148" xfId="10201"/>
    <cellStyle name="Comma (0,000) TBD- 14 148" xfId="10202"/>
    <cellStyle name="Comma (0,000) TBD 14 149" xfId="10203"/>
    <cellStyle name="Comma (0,000) TBD- 14 149" xfId="10204"/>
    <cellStyle name="Comma (0,000) TBD 14 15" xfId="10205"/>
    <cellStyle name="Comma (0,000) TBD- 14 15" xfId="10206"/>
    <cellStyle name="Comma (0,000) TBD 14 150" xfId="10207"/>
    <cellStyle name="Comma (0,000) TBD- 14 150" xfId="10208"/>
    <cellStyle name="Comma (0,000) TBD 14 151" xfId="10209"/>
    <cellStyle name="Comma (0,000) TBD- 14 151" xfId="10210"/>
    <cellStyle name="Comma (0,000) TBD 14 152" xfId="10211"/>
    <cellStyle name="Comma (0,000) TBD- 14 152" xfId="10212"/>
    <cellStyle name="Comma (0,000) TBD 14 153" xfId="10213"/>
    <cellStyle name="Comma (0,000) TBD- 14 153" xfId="10214"/>
    <cellStyle name="Comma (0,000) TBD 14 16" xfId="10215"/>
    <cellStyle name="Comma (0,000) TBD- 14 16" xfId="10216"/>
    <cellStyle name="Comma (0,000) TBD 14 17" xfId="10217"/>
    <cellStyle name="Comma (0,000) TBD- 14 17" xfId="10218"/>
    <cellStyle name="Comma (0,000) TBD 14 18" xfId="10219"/>
    <cellStyle name="Comma (0,000) TBD- 14 18" xfId="10220"/>
    <cellStyle name="Comma (0,000) TBD 14 19" xfId="10221"/>
    <cellStyle name="Comma (0,000) TBD- 14 19" xfId="10222"/>
    <cellStyle name="Comma (0,000) TBD 14 2" xfId="10223"/>
    <cellStyle name="Comma (0,000) TBD- 14 2" xfId="10224"/>
    <cellStyle name="Comma (0,000) TBD 14 20" xfId="10225"/>
    <cellStyle name="Comma (0,000) TBD- 14 20" xfId="10226"/>
    <cellStyle name="Comma (0,000) TBD 14 21" xfId="10227"/>
    <cellStyle name="Comma (0,000) TBD- 14 21" xfId="10228"/>
    <cellStyle name="Comma (0,000) TBD 14 22" xfId="10229"/>
    <cellStyle name="Comma (0,000) TBD- 14 22" xfId="10230"/>
    <cellStyle name="Comma (0,000) TBD 14 23" xfId="10231"/>
    <cellStyle name="Comma (0,000) TBD- 14 23" xfId="10232"/>
    <cellStyle name="Comma (0,000) TBD 14 24" xfId="10233"/>
    <cellStyle name="Comma (0,000) TBD- 14 24" xfId="10234"/>
    <cellStyle name="Comma (0,000) TBD 14 25" xfId="10235"/>
    <cellStyle name="Comma (0,000) TBD- 14 25" xfId="10236"/>
    <cellStyle name="Comma (0,000) TBD 14 26" xfId="10237"/>
    <cellStyle name="Comma (0,000) TBD- 14 26" xfId="10238"/>
    <cellStyle name="Comma (0,000) TBD 14 27" xfId="10239"/>
    <cellStyle name="Comma (0,000) TBD- 14 27" xfId="10240"/>
    <cellStyle name="Comma (0,000) TBD 14 28" xfId="10241"/>
    <cellStyle name="Comma (0,000) TBD- 14 28" xfId="10242"/>
    <cellStyle name="Comma (0,000) TBD 14 29" xfId="10243"/>
    <cellStyle name="Comma (0,000) TBD- 14 29" xfId="10244"/>
    <cellStyle name="Comma (0,000) TBD 14 3" xfId="10245"/>
    <cellStyle name="Comma (0,000) TBD- 14 3" xfId="10246"/>
    <cellStyle name="Comma (0,000) TBD 14 30" xfId="10247"/>
    <cellStyle name="Comma (0,000) TBD- 14 30" xfId="10248"/>
    <cellStyle name="Comma (0,000) TBD 14 31" xfId="10249"/>
    <cellStyle name="Comma (0,000) TBD- 14 31" xfId="10250"/>
    <cellStyle name="Comma (0,000) TBD 14 32" xfId="10251"/>
    <cellStyle name="Comma (0,000) TBD- 14 32" xfId="10252"/>
    <cellStyle name="Comma (0,000) TBD 14 33" xfId="10253"/>
    <cellStyle name="Comma (0,000) TBD- 14 33" xfId="10254"/>
    <cellStyle name="Comma (0,000) TBD 14 34" xfId="10255"/>
    <cellStyle name="Comma (0,000) TBD- 14 34" xfId="10256"/>
    <cellStyle name="Comma (0,000) TBD 14 35" xfId="10257"/>
    <cellStyle name="Comma (0,000) TBD- 14 35" xfId="10258"/>
    <cellStyle name="Comma (0,000) TBD 14 36" xfId="10259"/>
    <cellStyle name="Comma (0,000) TBD- 14 36" xfId="10260"/>
    <cellStyle name="Comma (0,000) TBD 14 37" xfId="10261"/>
    <cellStyle name="Comma (0,000) TBD- 14 37" xfId="10262"/>
    <cellStyle name="Comma (0,000) TBD 14 38" xfId="10263"/>
    <cellStyle name="Comma (0,000) TBD- 14 38" xfId="10264"/>
    <cellStyle name="Comma (0,000) TBD 14 39" xfId="10265"/>
    <cellStyle name="Comma (0,000) TBD- 14 39" xfId="10266"/>
    <cellStyle name="Comma (0,000) TBD 14 4" xfId="10267"/>
    <cellStyle name="Comma (0,000) TBD- 14 4" xfId="10268"/>
    <cellStyle name="Comma (0,000) TBD 14 40" xfId="10269"/>
    <cellStyle name="Comma (0,000) TBD- 14 40" xfId="10270"/>
    <cellStyle name="Comma (0,000) TBD 14 41" xfId="10271"/>
    <cellStyle name="Comma (0,000) TBD- 14 41" xfId="10272"/>
    <cellStyle name="Comma (0,000) TBD 14 42" xfId="10273"/>
    <cellStyle name="Comma (0,000) TBD- 14 42" xfId="10274"/>
    <cellStyle name="Comma (0,000) TBD 14 43" xfId="10275"/>
    <cellStyle name="Comma (0,000) TBD- 14 43" xfId="10276"/>
    <cellStyle name="Comma (0,000) TBD 14 44" xfId="10277"/>
    <cellStyle name="Comma (0,000) TBD- 14 44" xfId="10278"/>
    <cellStyle name="Comma (0,000) TBD 14 45" xfId="10279"/>
    <cellStyle name="Comma (0,000) TBD- 14 45" xfId="10280"/>
    <cellStyle name="Comma (0,000) TBD 14 46" xfId="10281"/>
    <cellStyle name="Comma (0,000) TBD- 14 46" xfId="10282"/>
    <cellStyle name="Comma (0,000) TBD 14 47" xfId="10283"/>
    <cellStyle name="Comma (0,000) TBD- 14 47" xfId="10284"/>
    <cellStyle name="Comma (0,000) TBD 14 48" xfId="10285"/>
    <cellStyle name="Comma (0,000) TBD- 14 48" xfId="10286"/>
    <cellStyle name="Comma (0,000) TBD 14 49" xfId="10287"/>
    <cellStyle name="Comma (0,000) TBD- 14 49" xfId="10288"/>
    <cellStyle name="Comma (0,000) TBD 14 5" xfId="10289"/>
    <cellStyle name="Comma (0,000) TBD- 14 5" xfId="10290"/>
    <cellStyle name="Comma (0,000) TBD 14 50" xfId="10291"/>
    <cellStyle name="Comma (0,000) TBD- 14 50" xfId="10292"/>
    <cellStyle name="Comma (0,000) TBD 14 51" xfId="10293"/>
    <cellStyle name="Comma (0,000) TBD- 14 51" xfId="10294"/>
    <cellStyle name="Comma (0,000) TBD 14 52" xfId="10295"/>
    <cellStyle name="Comma (0,000) TBD- 14 52" xfId="10296"/>
    <cellStyle name="Comma (0,000) TBD 14 53" xfId="10297"/>
    <cellStyle name="Comma (0,000) TBD- 14 53" xfId="10298"/>
    <cellStyle name="Comma (0,000) TBD 14 54" xfId="10299"/>
    <cellStyle name="Comma (0,000) TBD- 14 54" xfId="10300"/>
    <cellStyle name="Comma (0,000) TBD 14 55" xfId="10301"/>
    <cellStyle name="Comma (0,000) TBD- 14 55" xfId="10302"/>
    <cellStyle name="Comma (0,000) TBD 14 56" xfId="10303"/>
    <cellStyle name="Comma (0,000) TBD- 14 56" xfId="10304"/>
    <cellStyle name="Comma (0,000) TBD 14 57" xfId="10305"/>
    <cellStyle name="Comma (0,000) TBD- 14 57" xfId="10306"/>
    <cellStyle name="Comma (0,000) TBD 14 58" xfId="10307"/>
    <cellStyle name="Comma (0,000) TBD- 14 58" xfId="10308"/>
    <cellStyle name="Comma (0,000) TBD 14 59" xfId="10309"/>
    <cellStyle name="Comma (0,000) TBD- 14 59" xfId="10310"/>
    <cellStyle name="Comma (0,000) TBD 14 6" xfId="10311"/>
    <cellStyle name="Comma (0,000) TBD- 14 6" xfId="10312"/>
    <cellStyle name="Comma (0,000) TBD 14 60" xfId="10313"/>
    <cellStyle name="Comma (0,000) TBD- 14 60" xfId="10314"/>
    <cellStyle name="Comma (0,000) TBD 14 61" xfId="10315"/>
    <cellStyle name="Comma (0,000) TBD- 14 61" xfId="10316"/>
    <cellStyle name="Comma (0,000) TBD 14 62" xfId="10317"/>
    <cellStyle name="Comma (0,000) TBD- 14 62" xfId="10318"/>
    <cellStyle name="Comma (0,000) TBD 14 63" xfId="10319"/>
    <cellStyle name="Comma (0,000) TBD- 14 63" xfId="10320"/>
    <cellStyle name="Comma (0,000) TBD 14 64" xfId="10321"/>
    <cellStyle name="Comma (0,000) TBD- 14 64" xfId="10322"/>
    <cellStyle name="Comma (0,000) TBD 14 65" xfId="10323"/>
    <cellStyle name="Comma (0,000) TBD- 14 65" xfId="10324"/>
    <cellStyle name="Comma (0,000) TBD 14 66" xfId="10325"/>
    <cellStyle name="Comma (0,000) TBD- 14 66" xfId="10326"/>
    <cellStyle name="Comma (0,000) TBD 14 67" xfId="10327"/>
    <cellStyle name="Comma (0,000) TBD- 14 67" xfId="10328"/>
    <cellStyle name="Comma (0,000) TBD 14 68" xfId="10329"/>
    <cellStyle name="Comma (0,000) TBD- 14 68" xfId="10330"/>
    <cellStyle name="Comma (0,000) TBD 14 69" xfId="10331"/>
    <cellStyle name="Comma (0,000) TBD- 14 69" xfId="10332"/>
    <cellStyle name="Comma (0,000) TBD 14 7" xfId="10333"/>
    <cellStyle name="Comma (0,000) TBD- 14 7" xfId="10334"/>
    <cellStyle name="Comma (0,000) TBD 14 70" xfId="10335"/>
    <cellStyle name="Comma (0,000) TBD- 14 70" xfId="10336"/>
    <cellStyle name="Comma (0,000) TBD 14 71" xfId="10337"/>
    <cellStyle name="Comma (0,000) TBD- 14 71" xfId="10338"/>
    <cellStyle name="Comma (0,000) TBD 14 72" xfId="10339"/>
    <cellStyle name="Comma (0,000) TBD- 14 72" xfId="10340"/>
    <cellStyle name="Comma (0,000) TBD 14 73" xfId="10341"/>
    <cellStyle name="Comma (0,000) TBD- 14 73" xfId="10342"/>
    <cellStyle name="Comma (0,000) TBD 14 74" xfId="10343"/>
    <cellStyle name="Comma (0,000) TBD- 14 74" xfId="10344"/>
    <cellStyle name="Comma (0,000) TBD 14 75" xfId="10345"/>
    <cellStyle name="Comma (0,000) TBD- 14 75" xfId="10346"/>
    <cellStyle name="Comma (0,000) TBD 14 76" xfId="10347"/>
    <cellStyle name="Comma (0,000) TBD- 14 76" xfId="10348"/>
    <cellStyle name="Comma (0,000) TBD 14 77" xfId="10349"/>
    <cellStyle name="Comma (0,000) TBD- 14 77" xfId="10350"/>
    <cellStyle name="Comma (0,000) TBD 14 78" xfId="10351"/>
    <cellStyle name="Comma (0,000) TBD- 14 78" xfId="10352"/>
    <cellStyle name="Comma (0,000) TBD 14 79" xfId="10353"/>
    <cellStyle name="Comma (0,000) TBD- 14 79" xfId="10354"/>
    <cellStyle name="Comma (0,000) TBD 14 8" xfId="10355"/>
    <cellStyle name="Comma (0,000) TBD- 14 8" xfId="10356"/>
    <cellStyle name="Comma (0,000) TBD 14 80" xfId="10357"/>
    <cellStyle name="Comma (0,000) TBD- 14 80" xfId="10358"/>
    <cellStyle name="Comma (0,000) TBD 14 81" xfId="10359"/>
    <cellStyle name="Comma (0,000) TBD- 14 81" xfId="10360"/>
    <cellStyle name="Comma (0,000) TBD 14 82" xfId="10361"/>
    <cellStyle name="Comma (0,000) TBD- 14 82" xfId="10362"/>
    <cellStyle name="Comma (0,000) TBD 14 83" xfId="10363"/>
    <cellStyle name="Comma (0,000) TBD- 14 83" xfId="10364"/>
    <cellStyle name="Comma (0,000) TBD 14 84" xfId="10365"/>
    <cellStyle name="Comma (0,000) TBD- 14 84" xfId="10366"/>
    <cellStyle name="Comma (0,000) TBD 14 85" xfId="10367"/>
    <cellStyle name="Comma (0,000) TBD- 14 85" xfId="10368"/>
    <cellStyle name="Comma (0,000) TBD 14 86" xfId="10369"/>
    <cellStyle name="Comma (0,000) TBD- 14 86" xfId="10370"/>
    <cellStyle name="Comma (0,000) TBD 14 87" xfId="10371"/>
    <cellStyle name="Comma (0,000) TBD- 14 87" xfId="10372"/>
    <cellStyle name="Comma (0,000) TBD 14 88" xfId="10373"/>
    <cellStyle name="Comma (0,000) TBD- 14 88" xfId="10374"/>
    <cellStyle name="Comma (0,000) TBD 14 89" xfId="10375"/>
    <cellStyle name="Comma (0,000) TBD- 14 89" xfId="10376"/>
    <cellStyle name="Comma (0,000) TBD 14 9" xfId="10377"/>
    <cellStyle name="Comma (0,000) TBD- 14 9" xfId="10378"/>
    <cellStyle name="Comma (0,000) TBD 14 90" xfId="10379"/>
    <cellStyle name="Comma (0,000) TBD- 14 90" xfId="10380"/>
    <cellStyle name="Comma (0,000) TBD 14 91" xfId="10381"/>
    <cellStyle name="Comma (0,000) TBD- 14 91" xfId="10382"/>
    <cellStyle name="Comma (0,000) TBD 14 92" xfId="10383"/>
    <cellStyle name="Comma (0,000) TBD- 14 92" xfId="10384"/>
    <cellStyle name="Comma (0,000) TBD 14 93" xfId="10385"/>
    <cellStyle name="Comma (0,000) TBD- 14 93" xfId="10386"/>
    <cellStyle name="Comma (0,000) TBD 14 94" xfId="10387"/>
    <cellStyle name="Comma (0,000) TBD- 14 94" xfId="10388"/>
    <cellStyle name="Comma (0,000) TBD 14 95" xfId="10389"/>
    <cellStyle name="Comma (0,000) TBD- 14 95" xfId="10390"/>
    <cellStyle name="Comma (0,000) TBD 14 96" xfId="10391"/>
    <cellStyle name="Comma (0,000) TBD- 14 96" xfId="10392"/>
    <cellStyle name="Comma (0,000) TBD 14 97" xfId="10393"/>
    <cellStyle name="Comma (0,000) TBD- 14 97" xfId="10394"/>
    <cellStyle name="Comma (0,000) TBD 14 98" xfId="10395"/>
    <cellStyle name="Comma (0,000) TBD- 14 98" xfId="10396"/>
    <cellStyle name="Comma (0,000) TBD 14 99" xfId="10397"/>
    <cellStyle name="Comma (0,000) TBD- 14 99" xfId="10398"/>
    <cellStyle name="Comma (0,000) TBD 2" xfId="10399"/>
    <cellStyle name="Comma (0,000) TBD- 2" xfId="10400"/>
    <cellStyle name="Comma (0,000) TBD 2 10" xfId="10401"/>
    <cellStyle name="Comma (0,000) TBD- 2 10" xfId="10402"/>
    <cellStyle name="Comma (0,000) TBD 2 100" xfId="10403"/>
    <cellStyle name="Comma (0,000) TBD- 2 100" xfId="10404"/>
    <cellStyle name="Comma (0,000) TBD 2 101" xfId="10405"/>
    <cellStyle name="Comma (0,000) TBD- 2 101" xfId="10406"/>
    <cellStyle name="Comma (0,000) TBD 2 102" xfId="10407"/>
    <cellStyle name="Comma (0,000) TBD- 2 102" xfId="10408"/>
    <cellStyle name="Comma (0,000) TBD 2 103" xfId="10409"/>
    <cellStyle name="Comma (0,000) TBD- 2 103" xfId="10410"/>
    <cellStyle name="Comma (0,000) TBD 2 104" xfId="10411"/>
    <cellStyle name="Comma (0,000) TBD- 2 104" xfId="10412"/>
    <cellStyle name="Comma (0,000) TBD 2 105" xfId="10413"/>
    <cellStyle name="Comma (0,000) TBD- 2 105" xfId="10414"/>
    <cellStyle name="Comma (0,000) TBD 2 106" xfId="10415"/>
    <cellStyle name="Comma (0,000) TBD- 2 106" xfId="10416"/>
    <cellStyle name="Comma (0,000) TBD 2 107" xfId="10417"/>
    <cellStyle name="Comma (0,000) TBD- 2 107" xfId="10418"/>
    <cellStyle name="Comma (0,000) TBD 2 108" xfId="10419"/>
    <cellStyle name="Comma (0,000) TBD- 2 108" xfId="10420"/>
    <cellStyle name="Comma (0,000) TBD 2 109" xfId="10421"/>
    <cellStyle name="Comma (0,000) TBD- 2 109" xfId="10422"/>
    <cellStyle name="Comma (0,000) TBD 2 11" xfId="10423"/>
    <cellStyle name="Comma (0,000) TBD- 2 11" xfId="10424"/>
    <cellStyle name="Comma (0,000) TBD 2 110" xfId="10425"/>
    <cellStyle name="Comma (0,000) TBD- 2 110" xfId="10426"/>
    <cellStyle name="Comma (0,000) TBD 2 111" xfId="10427"/>
    <cellStyle name="Comma (0,000) TBD- 2 111" xfId="10428"/>
    <cellStyle name="Comma (0,000) TBD 2 112" xfId="10429"/>
    <cellStyle name="Comma (0,000) TBD- 2 112" xfId="10430"/>
    <cellStyle name="Comma (0,000) TBD 2 113" xfId="10431"/>
    <cellStyle name="Comma (0,000) TBD- 2 113" xfId="10432"/>
    <cellStyle name="Comma (0,000) TBD 2 114" xfId="10433"/>
    <cellStyle name="Comma (0,000) TBD- 2 114" xfId="10434"/>
    <cellStyle name="Comma (0,000) TBD 2 115" xfId="10435"/>
    <cellStyle name="Comma (0,000) TBD- 2 115" xfId="10436"/>
    <cellStyle name="Comma (0,000) TBD 2 116" xfId="10437"/>
    <cellStyle name="Comma (0,000) TBD- 2 116" xfId="10438"/>
    <cellStyle name="Comma (0,000) TBD 2 117" xfId="10439"/>
    <cellStyle name="Comma (0,000) TBD- 2 117" xfId="10440"/>
    <cellStyle name="Comma (0,000) TBD 2 118" xfId="10441"/>
    <cellStyle name="Comma (0,000) TBD- 2 118" xfId="10442"/>
    <cellStyle name="Comma (0,000) TBD 2 119" xfId="10443"/>
    <cellStyle name="Comma (0,000) TBD- 2 119" xfId="10444"/>
    <cellStyle name="Comma (0,000) TBD 2 12" xfId="10445"/>
    <cellStyle name="Comma (0,000) TBD- 2 12" xfId="10446"/>
    <cellStyle name="Comma (0,000) TBD 2 120" xfId="10447"/>
    <cellStyle name="Comma (0,000) TBD- 2 120" xfId="10448"/>
    <cellStyle name="Comma (0,000) TBD 2 121" xfId="10449"/>
    <cellStyle name="Comma (0,000) TBD- 2 121" xfId="10450"/>
    <cellStyle name="Comma (0,000) TBD 2 122" xfId="10451"/>
    <cellStyle name="Comma (0,000) TBD- 2 122" xfId="10452"/>
    <cellStyle name="Comma (0,000) TBD 2 123" xfId="10453"/>
    <cellStyle name="Comma (0,000) TBD- 2 123" xfId="10454"/>
    <cellStyle name="Comma (0,000) TBD 2 124" xfId="10455"/>
    <cellStyle name="Comma (0,000) TBD- 2 124" xfId="10456"/>
    <cellStyle name="Comma (0,000) TBD 2 125" xfId="10457"/>
    <cellStyle name="Comma (0,000) TBD- 2 125" xfId="10458"/>
    <cellStyle name="Comma (0,000) TBD 2 126" xfId="10459"/>
    <cellStyle name="Comma (0,000) TBD- 2 126" xfId="10460"/>
    <cellStyle name="Comma (0,000) TBD 2 127" xfId="10461"/>
    <cellStyle name="Comma (0,000) TBD- 2 127" xfId="10462"/>
    <cellStyle name="Comma (0,000) TBD 2 128" xfId="10463"/>
    <cellStyle name="Comma (0,000) TBD- 2 128" xfId="10464"/>
    <cellStyle name="Comma (0,000) TBD 2 129" xfId="10465"/>
    <cellStyle name="Comma (0,000) TBD- 2 129" xfId="10466"/>
    <cellStyle name="Comma (0,000) TBD 2 13" xfId="10467"/>
    <cellStyle name="Comma (0,000) TBD- 2 13" xfId="10468"/>
    <cellStyle name="Comma (0,000) TBD 2 130" xfId="10469"/>
    <cellStyle name="Comma (0,000) TBD- 2 130" xfId="10470"/>
    <cellStyle name="Comma (0,000) TBD 2 131" xfId="10471"/>
    <cellStyle name="Comma (0,000) TBD- 2 131" xfId="10472"/>
    <cellStyle name="Comma (0,000) TBD 2 132" xfId="10473"/>
    <cellStyle name="Comma (0,000) TBD- 2 132" xfId="10474"/>
    <cellStyle name="Comma (0,000) TBD 2 133" xfId="10475"/>
    <cellStyle name="Comma (0,000) TBD- 2 133" xfId="10476"/>
    <cellStyle name="Comma (0,000) TBD 2 134" xfId="10477"/>
    <cellStyle name="Comma (0,000) TBD- 2 134" xfId="10478"/>
    <cellStyle name="Comma (0,000) TBD 2 135" xfId="10479"/>
    <cellStyle name="Comma (0,000) TBD- 2 135" xfId="10480"/>
    <cellStyle name="Comma (0,000) TBD 2 136" xfId="10481"/>
    <cellStyle name="Comma (0,000) TBD- 2 136" xfId="10482"/>
    <cellStyle name="Comma (0,000) TBD 2 137" xfId="10483"/>
    <cellStyle name="Comma (0,000) TBD- 2 137" xfId="10484"/>
    <cellStyle name="Comma (0,000) TBD 2 138" xfId="10485"/>
    <cellStyle name="Comma (0,000) TBD- 2 138" xfId="10486"/>
    <cellStyle name="Comma (0,000) TBD 2 139" xfId="10487"/>
    <cellStyle name="Comma (0,000) TBD- 2 139" xfId="10488"/>
    <cellStyle name="Comma (0,000) TBD 2 14" xfId="10489"/>
    <cellStyle name="Comma (0,000) TBD- 2 14" xfId="10490"/>
    <cellStyle name="Comma (0,000) TBD 2 140" xfId="10491"/>
    <cellStyle name="Comma (0,000) TBD- 2 140" xfId="10492"/>
    <cellStyle name="Comma (0,000) TBD 2 141" xfId="10493"/>
    <cellStyle name="Comma (0,000) TBD- 2 141" xfId="10494"/>
    <cellStyle name="Comma (0,000) TBD 2 142" xfId="10495"/>
    <cellStyle name="Comma (0,000) TBD- 2 142" xfId="10496"/>
    <cellStyle name="Comma (0,000) TBD 2 143" xfId="10497"/>
    <cellStyle name="Comma (0,000) TBD- 2 143" xfId="10498"/>
    <cellStyle name="Comma (0,000) TBD 2 144" xfId="10499"/>
    <cellStyle name="Comma (0,000) TBD- 2 144" xfId="10500"/>
    <cellStyle name="Comma (0,000) TBD 2 145" xfId="10501"/>
    <cellStyle name="Comma (0,000) TBD- 2 145" xfId="10502"/>
    <cellStyle name="Comma (0,000) TBD 2 146" xfId="10503"/>
    <cellStyle name="Comma (0,000) TBD- 2 146" xfId="10504"/>
    <cellStyle name="Comma (0,000) TBD 2 147" xfId="10505"/>
    <cellStyle name="Comma (0,000) TBD- 2 147" xfId="10506"/>
    <cellStyle name="Comma (0,000) TBD 2 148" xfId="10507"/>
    <cellStyle name="Comma (0,000) TBD- 2 148" xfId="10508"/>
    <cellStyle name="Comma (0,000) TBD 2 149" xfId="10509"/>
    <cellStyle name="Comma (0,000) TBD- 2 149" xfId="10510"/>
    <cellStyle name="Comma (0,000) TBD 2 15" xfId="10511"/>
    <cellStyle name="Comma (0,000) TBD- 2 15" xfId="10512"/>
    <cellStyle name="Comma (0,000) TBD 2 150" xfId="10513"/>
    <cellStyle name="Comma (0,000) TBD- 2 150" xfId="10514"/>
    <cellStyle name="Comma (0,000) TBD 2 151" xfId="10515"/>
    <cellStyle name="Comma (0,000) TBD- 2 151" xfId="10516"/>
    <cellStyle name="Comma (0,000) TBD 2 152" xfId="10517"/>
    <cellStyle name="Comma (0,000) TBD- 2 152" xfId="10518"/>
    <cellStyle name="Comma (0,000) TBD 2 153" xfId="10519"/>
    <cellStyle name="Comma (0,000) TBD- 2 153" xfId="10520"/>
    <cellStyle name="Comma (0,000) TBD 2 16" xfId="10521"/>
    <cellStyle name="Comma (0,000) TBD- 2 16" xfId="10522"/>
    <cellStyle name="Comma (0,000) TBD 2 17" xfId="10523"/>
    <cellStyle name="Comma (0,000) TBD- 2 17" xfId="10524"/>
    <cellStyle name="Comma (0,000) TBD 2 18" xfId="10525"/>
    <cellStyle name="Comma (0,000) TBD- 2 18" xfId="10526"/>
    <cellStyle name="Comma (0,000) TBD 2 19" xfId="10527"/>
    <cellStyle name="Comma (0,000) TBD- 2 19" xfId="10528"/>
    <cellStyle name="Comma (0,000) TBD 2 2" xfId="10529"/>
    <cellStyle name="Comma (0,000) TBD- 2 2" xfId="10530"/>
    <cellStyle name="Comma (0,000) TBD 2 20" xfId="10531"/>
    <cellStyle name="Comma (0,000) TBD- 2 20" xfId="10532"/>
    <cellStyle name="Comma (0,000) TBD 2 21" xfId="10533"/>
    <cellStyle name="Comma (0,000) TBD- 2 21" xfId="10534"/>
    <cellStyle name="Comma (0,000) TBD 2 22" xfId="10535"/>
    <cellStyle name="Comma (0,000) TBD- 2 22" xfId="10536"/>
    <cellStyle name="Comma (0,000) TBD 2 23" xfId="10537"/>
    <cellStyle name="Comma (0,000) TBD- 2 23" xfId="10538"/>
    <cellStyle name="Comma (0,000) TBD 2 24" xfId="10539"/>
    <cellStyle name="Comma (0,000) TBD- 2 24" xfId="10540"/>
    <cellStyle name="Comma (0,000) TBD 2 25" xfId="10541"/>
    <cellStyle name="Comma (0,000) TBD- 2 25" xfId="10542"/>
    <cellStyle name="Comma (0,000) TBD 2 26" xfId="10543"/>
    <cellStyle name="Comma (0,000) TBD- 2 26" xfId="10544"/>
    <cellStyle name="Comma (0,000) TBD 2 27" xfId="10545"/>
    <cellStyle name="Comma (0,000) TBD- 2 27" xfId="10546"/>
    <cellStyle name="Comma (0,000) TBD 2 28" xfId="10547"/>
    <cellStyle name="Comma (0,000) TBD- 2 28" xfId="10548"/>
    <cellStyle name="Comma (0,000) TBD 2 29" xfId="10549"/>
    <cellStyle name="Comma (0,000) TBD- 2 29" xfId="10550"/>
    <cellStyle name="Comma (0,000) TBD 2 3" xfId="10551"/>
    <cellStyle name="Comma (0,000) TBD- 2 3" xfId="10552"/>
    <cellStyle name="Comma (0,000) TBD 2 30" xfId="10553"/>
    <cellStyle name="Comma (0,000) TBD- 2 30" xfId="10554"/>
    <cellStyle name="Comma (0,000) TBD 2 31" xfId="10555"/>
    <cellStyle name="Comma (0,000) TBD- 2 31" xfId="10556"/>
    <cellStyle name="Comma (0,000) TBD 2 32" xfId="10557"/>
    <cellStyle name="Comma (0,000) TBD- 2 32" xfId="10558"/>
    <cellStyle name="Comma (0,000) TBD 2 33" xfId="10559"/>
    <cellStyle name="Comma (0,000) TBD- 2 33" xfId="10560"/>
    <cellStyle name="Comma (0,000) TBD 2 34" xfId="10561"/>
    <cellStyle name="Comma (0,000) TBD- 2 34" xfId="10562"/>
    <cellStyle name="Comma (0,000) TBD 2 35" xfId="10563"/>
    <cellStyle name="Comma (0,000) TBD- 2 35" xfId="10564"/>
    <cellStyle name="Comma (0,000) TBD 2 36" xfId="10565"/>
    <cellStyle name="Comma (0,000) TBD- 2 36" xfId="10566"/>
    <cellStyle name="Comma (0,000) TBD 2 37" xfId="10567"/>
    <cellStyle name="Comma (0,000) TBD- 2 37" xfId="10568"/>
    <cellStyle name="Comma (0,000) TBD 2 38" xfId="10569"/>
    <cellStyle name="Comma (0,000) TBD- 2 38" xfId="10570"/>
    <cellStyle name="Comma (0,000) TBD 2 39" xfId="10571"/>
    <cellStyle name="Comma (0,000) TBD- 2 39" xfId="10572"/>
    <cellStyle name="Comma (0,000) TBD 2 4" xfId="10573"/>
    <cellStyle name="Comma (0,000) TBD- 2 4" xfId="10574"/>
    <cellStyle name="Comma (0,000) TBD 2 40" xfId="10575"/>
    <cellStyle name="Comma (0,000) TBD- 2 40" xfId="10576"/>
    <cellStyle name="Comma (0,000) TBD 2 41" xfId="10577"/>
    <cellStyle name="Comma (0,000) TBD- 2 41" xfId="10578"/>
    <cellStyle name="Comma (0,000) TBD 2 42" xfId="10579"/>
    <cellStyle name="Comma (0,000) TBD- 2 42" xfId="10580"/>
    <cellStyle name="Comma (0,000) TBD 2 43" xfId="10581"/>
    <cellStyle name="Comma (0,000) TBD- 2 43" xfId="10582"/>
    <cellStyle name="Comma (0,000) TBD 2 44" xfId="10583"/>
    <cellStyle name="Comma (0,000) TBD- 2 44" xfId="10584"/>
    <cellStyle name="Comma (0,000) TBD 2 45" xfId="10585"/>
    <cellStyle name="Comma (0,000) TBD- 2 45" xfId="10586"/>
    <cellStyle name="Comma (0,000) TBD 2 46" xfId="10587"/>
    <cellStyle name="Comma (0,000) TBD- 2 46" xfId="10588"/>
    <cellStyle name="Comma (0,000) TBD 2 47" xfId="10589"/>
    <cellStyle name="Comma (0,000) TBD- 2 47" xfId="10590"/>
    <cellStyle name="Comma (0,000) TBD 2 48" xfId="10591"/>
    <cellStyle name="Comma (0,000) TBD- 2 48" xfId="10592"/>
    <cellStyle name="Comma (0,000) TBD 2 49" xfId="10593"/>
    <cellStyle name="Comma (0,000) TBD- 2 49" xfId="10594"/>
    <cellStyle name="Comma (0,000) TBD 2 5" xfId="10595"/>
    <cellStyle name="Comma (0,000) TBD- 2 5" xfId="10596"/>
    <cellStyle name="Comma (0,000) TBD 2 50" xfId="10597"/>
    <cellStyle name="Comma (0,000) TBD- 2 50" xfId="10598"/>
    <cellStyle name="Comma (0,000) TBD 2 51" xfId="10599"/>
    <cellStyle name="Comma (0,000) TBD- 2 51" xfId="10600"/>
    <cellStyle name="Comma (0,000) TBD 2 52" xfId="10601"/>
    <cellStyle name="Comma (0,000) TBD- 2 52" xfId="10602"/>
    <cellStyle name="Comma (0,000) TBD 2 53" xfId="10603"/>
    <cellStyle name="Comma (0,000) TBD- 2 53" xfId="10604"/>
    <cellStyle name="Comma (0,000) TBD 2 54" xfId="10605"/>
    <cellStyle name="Comma (0,000) TBD- 2 54" xfId="10606"/>
    <cellStyle name="Comma (0,000) TBD 2 55" xfId="10607"/>
    <cellStyle name="Comma (0,000) TBD- 2 55" xfId="10608"/>
    <cellStyle name="Comma (0,000) TBD 2 56" xfId="10609"/>
    <cellStyle name="Comma (0,000) TBD- 2 56" xfId="10610"/>
    <cellStyle name="Comma (0,000) TBD 2 57" xfId="10611"/>
    <cellStyle name="Comma (0,000) TBD- 2 57" xfId="10612"/>
    <cellStyle name="Comma (0,000) TBD 2 58" xfId="10613"/>
    <cellStyle name="Comma (0,000) TBD- 2 58" xfId="10614"/>
    <cellStyle name="Comma (0,000) TBD 2 59" xfId="10615"/>
    <cellStyle name="Comma (0,000) TBD- 2 59" xfId="10616"/>
    <cellStyle name="Comma (0,000) TBD 2 6" xfId="10617"/>
    <cellStyle name="Comma (0,000) TBD- 2 6" xfId="10618"/>
    <cellStyle name="Comma (0,000) TBD 2 60" xfId="10619"/>
    <cellStyle name="Comma (0,000) TBD- 2 60" xfId="10620"/>
    <cellStyle name="Comma (0,000) TBD 2 61" xfId="10621"/>
    <cellStyle name="Comma (0,000) TBD- 2 61" xfId="10622"/>
    <cellStyle name="Comma (0,000) TBD 2 62" xfId="10623"/>
    <cellStyle name="Comma (0,000) TBD- 2 62" xfId="10624"/>
    <cellStyle name="Comma (0,000) TBD 2 63" xfId="10625"/>
    <cellStyle name="Comma (0,000) TBD- 2 63" xfId="10626"/>
    <cellStyle name="Comma (0,000) TBD 2 64" xfId="10627"/>
    <cellStyle name="Comma (0,000) TBD- 2 64" xfId="10628"/>
    <cellStyle name="Comma (0,000) TBD 2 65" xfId="10629"/>
    <cellStyle name="Comma (0,000) TBD- 2 65" xfId="10630"/>
    <cellStyle name="Comma (0,000) TBD 2 66" xfId="10631"/>
    <cellStyle name="Comma (0,000) TBD- 2 66" xfId="10632"/>
    <cellStyle name="Comma (0,000) TBD 2 67" xfId="10633"/>
    <cellStyle name="Comma (0,000) TBD- 2 67" xfId="10634"/>
    <cellStyle name="Comma (0,000) TBD 2 68" xfId="10635"/>
    <cellStyle name="Comma (0,000) TBD- 2 68" xfId="10636"/>
    <cellStyle name="Comma (0,000) TBD 2 69" xfId="10637"/>
    <cellStyle name="Comma (0,000) TBD- 2 69" xfId="10638"/>
    <cellStyle name="Comma (0,000) TBD 2 7" xfId="10639"/>
    <cellStyle name="Comma (0,000) TBD- 2 7" xfId="10640"/>
    <cellStyle name="Comma (0,000) TBD 2 70" xfId="10641"/>
    <cellStyle name="Comma (0,000) TBD- 2 70" xfId="10642"/>
    <cellStyle name="Comma (0,000) TBD 2 71" xfId="10643"/>
    <cellStyle name="Comma (0,000) TBD- 2 71" xfId="10644"/>
    <cellStyle name="Comma (0,000) TBD 2 72" xfId="10645"/>
    <cellStyle name="Comma (0,000) TBD- 2 72" xfId="10646"/>
    <cellStyle name="Comma (0,000) TBD 2 73" xfId="10647"/>
    <cellStyle name="Comma (0,000) TBD- 2 73" xfId="10648"/>
    <cellStyle name="Comma (0,000) TBD 2 74" xfId="10649"/>
    <cellStyle name="Comma (0,000) TBD- 2 74" xfId="10650"/>
    <cellStyle name="Comma (0,000) TBD 2 75" xfId="10651"/>
    <cellStyle name="Comma (0,000) TBD- 2 75" xfId="10652"/>
    <cellStyle name="Comma (0,000) TBD 2 76" xfId="10653"/>
    <cellStyle name="Comma (0,000) TBD- 2 76" xfId="10654"/>
    <cellStyle name="Comma (0,000) TBD 2 77" xfId="10655"/>
    <cellStyle name="Comma (0,000) TBD- 2 77" xfId="10656"/>
    <cellStyle name="Comma (0,000) TBD 2 78" xfId="10657"/>
    <cellStyle name="Comma (0,000) TBD- 2 78" xfId="10658"/>
    <cellStyle name="Comma (0,000) TBD 2 79" xfId="10659"/>
    <cellStyle name="Comma (0,000) TBD- 2 79" xfId="10660"/>
    <cellStyle name="Comma (0,000) TBD 2 8" xfId="10661"/>
    <cellStyle name="Comma (0,000) TBD- 2 8" xfId="10662"/>
    <cellStyle name="Comma (0,000) TBD 2 80" xfId="10663"/>
    <cellStyle name="Comma (0,000) TBD- 2 80" xfId="10664"/>
    <cellStyle name="Comma (0,000) TBD 2 81" xfId="10665"/>
    <cellStyle name="Comma (0,000) TBD- 2 81" xfId="10666"/>
    <cellStyle name="Comma (0,000) TBD 2 82" xfId="10667"/>
    <cellStyle name="Comma (0,000) TBD- 2 82" xfId="10668"/>
    <cellStyle name="Comma (0,000) TBD 2 83" xfId="10669"/>
    <cellStyle name="Comma (0,000) TBD- 2 83" xfId="10670"/>
    <cellStyle name="Comma (0,000) TBD 2 84" xfId="10671"/>
    <cellStyle name="Comma (0,000) TBD- 2 84" xfId="10672"/>
    <cellStyle name="Comma (0,000) TBD 2 85" xfId="10673"/>
    <cellStyle name="Comma (0,000) TBD- 2 85" xfId="10674"/>
    <cellStyle name="Comma (0,000) TBD 2 86" xfId="10675"/>
    <cellStyle name="Comma (0,000) TBD- 2 86" xfId="10676"/>
    <cellStyle name="Comma (0,000) TBD 2 87" xfId="10677"/>
    <cellStyle name="Comma (0,000) TBD- 2 87" xfId="10678"/>
    <cellStyle name="Comma (0,000) TBD 2 88" xfId="10679"/>
    <cellStyle name="Comma (0,000) TBD- 2 88" xfId="10680"/>
    <cellStyle name="Comma (0,000) TBD 2 89" xfId="10681"/>
    <cellStyle name="Comma (0,000) TBD- 2 89" xfId="10682"/>
    <cellStyle name="Comma (0,000) TBD 2 9" xfId="10683"/>
    <cellStyle name="Comma (0,000) TBD- 2 9" xfId="10684"/>
    <cellStyle name="Comma (0,000) TBD 2 90" xfId="10685"/>
    <cellStyle name="Comma (0,000) TBD- 2 90" xfId="10686"/>
    <cellStyle name="Comma (0,000) TBD 2 91" xfId="10687"/>
    <cellStyle name="Comma (0,000) TBD- 2 91" xfId="10688"/>
    <cellStyle name="Comma (0,000) TBD 2 92" xfId="10689"/>
    <cellStyle name="Comma (0,000) TBD- 2 92" xfId="10690"/>
    <cellStyle name="Comma (0,000) TBD 2 93" xfId="10691"/>
    <cellStyle name="Comma (0,000) TBD- 2 93" xfId="10692"/>
    <cellStyle name="Comma (0,000) TBD 2 94" xfId="10693"/>
    <cellStyle name="Comma (0,000) TBD- 2 94" xfId="10694"/>
    <cellStyle name="Comma (0,000) TBD 2 95" xfId="10695"/>
    <cellStyle name="Comma (0,000) TBD- 2 95" xfId="10696"/>
    <cellStyle name="Comma (0,000) TBD 2 96" xfId="10697"/>
    <cellStyle name="Comma (0,000) TBD- 2 96" xfId="10698"/>
    <cellStyle name="Comma (0,000) TBD 2 97" xfId="10699"/>
    <cellStyle name="Comma (0,000) TBD- 2 97" xfId="10700"/>
    <cellStyle name="Comma (0,000) TBD 2 98" xfId="10701"/>
    <cellStyle name="Comma (0,000) TBD- 2 98" xfId="10702"/>
    <cellStyle name="Comma (0,000) TBD 2 99" xfId="10703"/>
    <cellStyle name="Comma (0,000) TBD- 2 99" xfId="10704"/>
    <cellStyle name="Comma (0,000) TBD 3" xfId="10705"/>
    <cellStyle name="Comma (0,000) TBD- 3" xfId="10706"/>
    <cellStyle name="Comma (0,000) TBD 3 10" xfId="10707"/>
    <cellStyle name="Comma (0,000) TBD- 3 10" xfId="10708"/>
    <cellStyle name="Comma (0,000) TBD 3 100" xfId="10709"/>
    <cellStyle name="Comma (0,000) TBD- 3 100" xfId="10710"/>
    <cellStyle name="Comma (0,000) TBD 3 101" xfId="10711"/>
    <cellStyle name="Comma (0,000) TBD- 3 101" xfId="10712"/>
    <cellStyle name="Comma (0,000) TBD 3 102" xfId="10713"/>
    <cellStyle name="Comma (0,000) TBD- 3 102" xfId="10714"/>
    <cellStyle name="Comma (0,000) TBD 3 103" xfId="10715"/>
    <cellStyle name="Comma (0,000) TBD- 3 103" xfId="10716"/>
    <cellStyle name="Comma (0,000) TBD 3 104" xfId="10717"/>
    <cellStyle name="Comma (0,000) TBD- 3 104" xfId="10718"/>
    <cellStyle name="Comma (0,000) TBD 3 105" xfId="10719"/>
    <cellStyle name="Comma (0,000) TBD- 3 105" xfId="10720"/>
    <cellStyle name="Comma (0,000) TBD 3 106" xfId="10721"/>
    <cellStyle name="Comma (0,000) TBD- 3 106" xfId="10722"/>
    <cellStyle name="Comma (0,000) TBD 3 107" xfId="10723"/>
    <cellStyle name="Comma (0,000) TBD- 3 107" xfId="10724"/>
    <cellStyle name="Comma (0,000) TBD 3 108" xfId="10725"/>
    <cellStyle name="Comma (0,000) TBD- 3 108" xfId="10726"/>
    <cellStyle name="Comma (0,000) TBD 3 109" xfId="10727"/>
    <cellStyle name="Comma (0,000) TBD- 3 109" xfId="10728"/>
    <cellStyle name="Comma (0,000) TBD 3 11" xfId="10729"/>
    <cellStyle name="Comma (0,000) TBD- 3 11" xfId="10730"/>
    <cellStyle name="Comma (0,000) TBD 3 110" xfId="10731"/>
    <cellStyle name="Comma (0,000) TBD- 3 110" xfId="10732"/>
    <cellStyle name="Comma (0,000) TBD 3 111" xfId="10733"/>
    <cellStyle name="Comma (0,000) TBD- 3 111" xfId="10734"/>
    <cellStyle name="Comma (0,000) TBD 3 112" xfId="10735"/>
    <cellStyle name="Comma (0,000) TBD- 3 112" xfId="10736"/>
    <cellStyle name="Comma (0,000) TBD 3 113" xfId="10737"/>
    <cellStyle name="Comma (0,000) TBD- 3 113" xfId="10738"/>
    <cellStyle name="Comma (0,000) TBD 3 114" xfId="10739"/>
    <cellStyle name="Comma (0,000) TBD- 3 114" xfId="10740"/>
    <cellStyle name="Comma (0,000) TBD 3 115" xfId="10741"/>
    <cellStyle name="Comma (0,000) TBD- 3 115" xfId="10742"/>
    <cellStyle name="Comma (0,000) TBD 3 116" xfId="10743"/>
    <cellStyle name="Comma (0,000) TBD- 3 116" xfId="10744"/>
    <cellStyle name="Comma (0,000) TBD 3 117" xfId="10745"/>
    <cellStyle name="Comma (0,000) TBD- 3 117" xfId="10746"/>
    <cellStyle name="Comma (0,000) TBD 3 118" xfId="10747"/>
    <cellStyle name="Comma (0,000) TBD- 3 118" xfId="10748"/>
    <cellStyle name="Comma (0,000) TBD 3 119" xfId="10749"/>
    <cellStyle name="Comma (0,000) TBD- 3 119" xfId="10750"/>
    <cellStyle name="Comma (0,000) TBD 3 12" xfId="10751"/>
    <cellStyle name="Comma (0,000) TBD- 3 12" xfId="10752"/>
    <cellStyle name="Comma (0,000) TBD 3 120" xfId="10753"/>
    <cellStyle name="Comma (0,000) TBD- 3 120" xfId="10754"/>
    <cellStyle name="Comma (0,000) TBD 3 121" xfId="10755"/>
    <cellStyle name="Comma (0,000) TBD- 3 121" xfId="10756"/>
    <cellStyle name="Comma (0,000) TBD 3 122" xfId="10757"/>
    <cellStyle name="Comma (0,000) TBD- 3 122" xfId="10758"/>
    <cellStyle name="Comma (0,000) TBD 3 123" xfId="10759"/>
    <cellStyle name="Comma (0,000) TBD- 3 123" xfId="10760"/>
    <cellStyle name="Comma (0,000) TBD 3 124" xfId="10761"/>
    <cellStyle name="Comma (0,000) TBD- 3 124" xfId="10762"/>
    <cellStyle name="Comma (0,000) TBD 3 125" xfId="10763"/>
    <cellStyle name="Comma (0,000) TBD- 3 125" xfId="10764"/>
    <cellStyle name="Comma (0,000) TBD 3 126" xfId="10765"/>
    <cellStyle name="Comma (0,000) TBD- 3 126" xfId="10766"/>
    <cellStyle name="Comma (0,000) TBD 3 127" xfId="10767"/>
    <cellStyle name="Comma (0,000) TBD- 3 127" xfId="10768"/>
    <cellStyle name="Comma (0,000) TBD 3 128" xfId="10769"/>
    <cellStyle name="Comma (0,000) TBD- 3 128" xfId="10770"/>
    <cellStyle name="Comma (0,000) TBD 3 129" xfId="10771"/>
    <cellStyle name="Comma (0,000) TBD- 3 129" xfId="10772"/>
    <cellStyle name="Comma (0,000) TBD 3 13" xfId="10773"/>
    <cellStyle name="Comma (0,000) TBD- 3 13" xfId="10774"/>
    <cellStyle name="Comma (0,000) TBD 3 130" xfId="10775"/>
    <cellStyle name="Comma (0,000) TBD- 3 130" xfId="10776"/>
    <cellStyle name="Comma (0,000) TBD 3 131" xfId="10777"/>
    <cellStyle name="Comma (0,000) TBD- 3 131" xfId="10778"/>
    <cellStyle name="Comma (0,000) TBD 3 132" xfId="10779"/>
    <cellStyle name="Comma (0,000) TBD- 3 132" xfId="10780"/>
    <cellStyle name="Comma (0,000) TBD 3 133" xfId="10781"/>
    <cellStyle name="Comma (0,000) TBD- 3 133" xfId="10782"/>
    <cellStyle name="Comma (0,000) TBD 3 134" xfId="10783"/>
    <cellStyle name="Comma (0,000) TBD- 3 134" xfId="10784"/>
    <cellStyle name="Comma (0,000) TBD 3 135" xfId="10785"/>
    <cellStyle name="Comma (0,000) TBD- 3 135" xfId="10786"/>
    <cellStyle name="Comma (0,000) TBD 3 136" xfId="10787"/>
    <cellStyle name="Comma (0,000) TBD- 3 136" xfId="10788"/>
    <cellStyle name="Comma (0,000) TBD 3 137" xfId="10789"/>
    <cellStyle name="Comma (0,000) TBD- 3 137" xfId="10790"/>
    <cellStyle name="Comma (0,000) TBD 3 138" xfId="10791"/>
    <cellStyle name="Comma (0,000) TBD- 3 138" xfId="10792"/>
    <cellStyle name="Comma (0,000) TBD 3 139" xfId="10793"/>
    <cellStyle name="Comma (0,000) TBD- 3 139" xfId="10794"/>
    <cellStyle name="Comma (0,000) TBD 3 14" xfId="10795"/>
    <cellStyle name="Comma (0,000) TBD- 3 14" xfId="10796"/>
    <cellStyle name="Comma (0,000) TBD 3 140" xfId="10797"/>
    <cellStyle name="Comma (0,000) TBD- 3 140" xfId="10798"/>
    <cellStyle name="Comma (0,000) TBD 3 141" xfId="10799"/>
    <cellStyle name="Comma (0,000) TBD- 3 141" xfId="10800"/>
    <cellStyle name="Comma (0,000) TBD 3 142" xfId="10801"/>
    <cellStyle name="Comma (0,000) TBD- 3 142" xfId="10802"/>
    <cellStyle name="Comma (0,000) TBD 3 143" xfId="10803"/>
    <cellStyle name="Comma (0,000) TBD- 3 143" xfId="10804"/>
    <cellStyle name="Comma (0,000) TBD 3 144" xfId="10805"/>
    <cellStyle name="Comma (0,000) TBD- 3 144" xfId="10806"/>
    <cellStyle name="Comma (0,000) TBD 3 145" xfId="10807"/>
    <cellStyle name="Comma (0,000) TBD- 3 145" xfId="10808"/>
    <cellStyle name="Comma (0,000) TBD 3 146" xfId="10809"/>
    <cellStyle name="Comma (0,000) TBD- 3 146" xfId="10810"/>
    <cellStyle name="Comma (0,000) TBD 3 147" xfId="10811"/>
    <cellStyle name="Comma (0,000) TBD- 3 147" xfId="10812"/>
    <cellStyle name="Comma (0,000) TBD 3 148" xfId="10813"/>
    <cellStyle name="Comma (0,000) TBD- 3 148" xfId="10814"/>
    <cellStyle name="Comma (0,000) TBD 3 149" xfId="10815"/>
    <cellStyle name="Comma (0,000) TBD- 3 149" xfId="10816"/>
    <cellStyle name="Comma (0,000) TBD 3 15" xfId="10817"/>
    <cellStyle name="Comma (0,000) TBD- 3 15" xfId="10818"/>
    <cellStyle name="Comma (0,000) TBD 3 150" xfId="10819"/>
    <cellStyle name="Comma (0,000) TBD- 3 150" xfId="10820"/>
    <cellStyle name="Comma (0,000) TBD 3 151" xfId="10821"/>
    <cellStyle name="Comma (0,000) TBD- 3 151" xfId="10822"/>
    <cellStyle name="Comma (0,000) TBD 3 152" xfId="10823"/>
    <cellStyle name="Comma (0,000) TBD- 3 152" xfId="10824"/>
    <cellStyle name="Comma (0,000) TBD 3 153" xfId="10825"/>
    <cellStyle name="Comma (0,000) TBD- 3 153" xfId="10826"/>
    <cellStyle name="Comma (0,000) TBD 3 16" xfId="10827"/>
    <cellStyle name="Comma (0,000) TBD- 3 16" xfId="10828"/>
    <cellStyle name="Comma (0,000) TBD 3 17" xfId="10829"/>
    <cellStyle name="Comma (0,000) TBD- 3 17" xfId="10830"/>
    <cellStyle name="Comma (0,000) TBD 3 18" xfId="10831"/>
    <cellStyle name="Comma (0,000) TBD- 3 18" xfId="10832"/>
    <cellStyle name="Comma (0,000) TBD 3 19" xfId="10833"/>
    <cellStyle name="Comma (0,000) TBD- 3 19" xfId="10834"/>
    <cellStyle name="Comma (0,000) TBD 3 2" xfId="10835"/>
    <cellStyle name="Comma (0,000) TBD- 3 2" xfId="10836"/>
    <cellStyle name="Comma (0,000) TBD 3 20" xfId="10837"/>
    <cellStyle name="Comma (0,000) TBD- 3 20" xfId="10838"/>
    <cellStyle name="Comma (0,000) TBD 3 21" xfId="10839"/>
    <cellStyle name="Comma (0,000) TBD- 3 21" xfId="10840"/>
    <cellStyle name="Comma (0,000) TBD 3 22" xfId="10841"/>
    <cellStyle name="Comma (0,000) TBD- 3 22" xfId="10842"/>
    <cellStyle name="Comma (0,000) TBD 3 23" xfId="10843"/>
    <cellStyle name="Comma (0,000) TBD- 3 23" xfId="10844"/>
    <cellStyle name="Comma (0,000) TBD 3 24" xfId="10845"/>
    <cellStyle name="Comma (0,000) TBD- 3 24" xfId="10846"/>
    <cellStyle name="Comma (0,000) TBD 3 25" xfId="10847"/>
    <cellStyle name="Comma (0,000) TBD- 3 25" xfId="10848"/>
    <cellStyle name="Comma (0,000) TBD 3 26" xfId="10849"/>
    <cellStyle name="Comma (0,000) TBD- 3 26" xfId="10850"/>
    <cellStyle name="Comma (0,000) TBD 3 27" xfId="10851"/>
    <cellStyle name="Comma (0,000) TBD- 3 27" xfId="10852"/>
    <cellStyle name="Comma (0,000) TBD 3 28" xfId="10853"/>
    <cellStyle name="Comma (0,000) TBD- 3 28" xfId="10854"/>
    <cellStyle name="Comma (0,000) TBD 3 29" xfId="10855"/>
    <cellStyle name="Comma (0,000) TBD- 3 29" xfId="10856"/>
    <cellStyle name="Comma (0,000) TBD 3 3" xfId="10857"/>
    <cellStyle name="Comma (0,000) TBD- 3 3" xfId="10858"/>
    <cellStyle name="Comma (0,000) TBD 3 30" xfId="10859"/>
    <cellStyle name="Comma (0,000) TBD- 3 30" xfId="10860"/>
    <cellStyle name="Comma (0,000) TBD 3 31" xfId="10861"/>
    <cellStyle name="Comma (0,000) TBD- 3 31" xfId="10862"/>
    <cellStyle name="Comma (0,000) TBD 3 32" xfId="10863"/>
    <cellStyle name="Comma (0,000) TBD- 3 32" xfId="10864"/>
    <cellStyle name="Comma (0,000) TBD 3 33" xfId="10865"/>
    <cellStyle name="Comma (0,000) TBD- 3 33" xfId="10866"/>
    <cellStyle name="Comma (0,000) TBD 3 34" xfId="10867"/>
    <cellStyle name="Comma (0,000) TBD- 3 34" xfId="10868"/>
    <cellStyle name="Comma (0,000) TBD 3 35" xfId="10869"/>
    <cellStyle name="Comma (0,000) TBD- 3 35" xfId="10870"/>
    <cellStyle name="Comma (0,000) TBD 3 36" xfId="10871"/>
    <cellStyle name="Comma (0,000) TBD- 3 36" xfId="10872"/>
    <cellStyle name="Comma (0,000) TBD 3 37" xfId="10873"/>
    <cellStyle name="Comma (0,000) TBD- 3 37" xfId="10874"/>
    <cellStyle name="Comma (0,000) TBD 3 38" xfId="10875"/>
    <cellStyle name="Comma (0,000) TBD- 3 38" xfId="10876"/>
    <cellStyle name="Comma (0,000) TBD 3 39" xfId="10877"/>
    <cellStyle name="Comma (0,000) TBD- 3 39" xfId="10878"/>
    <cellStyle name="Comma (0,000) TBD 3 4" xfId="10879"/>
    <cellStyle name="Comma (0,000) TBD- 3 4" xfId="10880"/>
    <cellStyle name="Comma (0,000) TBD 3 40" xfId="10881"/>
    <cellStyle name="Comma (0,000) TBD- 3 40" xfId="10882"/>
    <cellStyle name="Comma (0,000) TBD 3 41" xfId="10883"/>
    <cellStyle name="Comma (0,000) TBD- 3 41" xfId="10884"/>
    <cellStyle name="Comma (0,000) TBD 3 42" xfId="10885"/>
    <cellStyle name="Comma (0,000) TBD- 3 42" xfId="10886"/>
    <cellStyle name="Comma (0,000) TBD 3 43" xfId="10887"/>
    <cellStyle name="Comma (0,000) TBD- 3 43" xfId="10888"/>
    <cellStyle name="Comma (0,000) TBD 3 44" xfId="10889"/>
    <cellStyle name="Comma (0,000) TBD- 3 44" xfId="10890"/>
    <cellStyle name="Comma (0,000) TBD 3 45" xfId="10891"/>
    <cellStyle name="Comma (0,000) TBD- 3 45" xfId="10892"/>
    <cellStyle name="Comma (0,000) TBD 3 46" xfId="10893"/>
    <cellStyle name="Comma (0,000) TBD- 3 46" xfId="10894"/>
    <cellStyle name="Comma (0,000) TBD 3 47" xfId="10895"/>
    <cellStyle name="Comma (0,000) TBD- 3 47" xfId="10896"/>
    <cellStyle name="Comma (0,000) TBD 3 48" xfId="10897"/>
    <cellStyle name="Comma (0,000) TBD- 3 48" xfId="10898"/>
    <cellStyle name="Comma (0,000) TBD 3 49" xfId="10899"/>
    <cellStyle name="Comma (0,000) TBD- 3 49" xfId="10900"/>
    <cellStyle name="Comma (0,000) TBD 3 5" xfId="10901"/>
    <cellStyle name="Comma (0,000) TBD- 3 5" xfId="10902"/>
    <cellStyle name="Comma (0,000) TBD 3 50" xfId="10903"/>
    <cellStyle name="Comma (0,000) TBD- 3 50" xfId="10904"/>
    <cellStyle name="Comma (0,000) TBD 3 51" xfId="10905"/>
    <cellStyle name="Comma (0,000) TBD- 3 51" xfId="10906"/>
    <cellStyle name="Comma (0,000) TBD 3 52" xfId="10907"/>
    <cellStyle name="Comma (0,000) TBD- 3 52" xfId="10908"/>
    <cellStyle name="Comma (0,000) TBD 3 53" xfId="10909"/>
    <cellStyle name="Comma (0,000) TBD- 3 53" xfId="10910"/>
    <cellStyle name="Comma (0,000) TBD 3 54" xfId="10911"/>
    <cellStyle name="Comma (0,000) TBD- 3 54" xfId="10912"/>
    <cellStyle name="Comma (0,000) TBD 3 55" xfId="10913"/>
    <cellStyle name="Comma (0,000) TBD- 3 55" xfId="10914"/>
    <cellStyle name="Comma (0,000) TBD 3 56" xfId="10915"/>
    <cellStyle name="Comma (0,000) TBD- 3 56" xfId="10916"/>
    <cellStyle name="Comma (0,000) TBD 3 57" xfId="10917"/>
    <cellStyle name="Comma (0,000) TBD- 3 57" xfId="10918"/>
    <cellStyle name="Comma (0,000) TBD 3 58" xfId="10919"/>
    <cellStyle name="Comma (0,000) TBD- 3 58" xfId="10920"/>
    <cellStyle name="Comma (0,000) TBD 3 59" xfId="10921"/>
    <cellStyle name="Comma (0,000) TBD- 3 59" xfId="10922"/>
    <cellStyle name="Comma (0,000) TBD 3 6" xfId="10923"/>
    <cellStyle name="Comma (0,000) TBD- 3 6" xfId="10924"/>
    <cellStyle name="Comma (0,000) TBD 3 60" xfId="10925"/>
    <cellStyle name="Comma (0,000) TBD- 3 60" xfId="10926"/>
    <cellStyle name="Comma (0,000) TBD 3 61" xfId="10927"/>
    <cellStyle name="Comma (0,000) TBD- 3 61" xfId="10928"/>
    <cellStyle name="Comma (0,000) TBD 3 62" xfId="10929"/>
    <cellStyle name="Comma (0,000) TBD- 3 62" xfId="10930"/>
    <cellStyle name="Comma (0,000) TBD 3 63" xfId="10931"/>
    <cellStyle name="Comma (0,000) TBD- 3 63" xfId="10932"/>
    <cellStyle name="Comma (0,000) TBD 3 64" xfId="10933"/>
    <cellStyle name="Comma (0,000) TBD- 3 64" xfId="10934"/>
    <cellStyle name="Comma (0,000) TBD 3 65" xfId="10935"/>
    <cellStyle name="Comma (0,000) TBD- 3 65" xfId="10936"/>
    <cellStyle name="Comma (0,000) TBD 3 66" xfId="10937"/>
    <cellStyle name="Comma (0,000) TBD- 3 66" xfId="10938"/>
    <cellStyle name="Comma (0,000) TBD 3 67" xfId="10939"/>
    <cellStyle name="Comma (0,000) TBD- 3 67" xfId="10940"/>
    <cellStyle name="Comma (0,000) TBD 3 68" xfId="10941"/>
    <cellStyle name="Comma (0,000) TBD- 3 68" xfId="10942"/>
    <cellStyle name="Comma (0,000) TBD 3 69" xfId="10943"/>
    <cellStyle name="Comma (0,000) TBD- 3 69" xfId="10944"/>
    <cellStyle name="Comma (0,000) TBD 3 7" xfId="10945"/>
    <cellStyle name="Comma (0,000) TBD- 3 7" xfId="10946"/>
    <cellStyle name="Comma (0,000) TBD 3 70" xfId="10947"/>
    <cellStyle name="Comma (0,000) TBD- 3 70" xfId="10948"/>
    <cellStyle name="Comma (0,000) TBD 3 71" xfId="10949"/>
    <cellStyle name="Comma (0,000) TBD- 3 71" xfId="10950"/>
    <cellStyle name="Comma (0,000) TBD 3 72" xfId="10951"/>
    <cellStyle name="Comma (0,000) TBD- 3 72" xfId="10952"/>
    <cellStyle name="Comma (0,000) TBD 3 73" xfId="10953"/>
    <cellStyle name="Comma (0,000) TBD- 3 73" xfId="10954"/>
    <cellStyle name="Comma (0,000) TBD 3 74" xfId="10955"/>
    <cellStyle name="Comma (0,000) TBD- 3 74" xfId="10956"/>
    <cellStyle name="Comma (0,000) TBD 3 75" xfId="10957"/>
    <cellStyle name="Comma (0,000) TBD- 3 75" xfId="10958"/>
    <cellStyle name="Comma (0,000) TBD 3 76" xfId="10959"/>
    <cellStyle name="Comma (0,000) TBD- 3 76" xfId="10960"/>
    <cellStyle name="Comma (0,000) TBD 3 77" xfId="10961"/>
    <cellStyle name="Comma (0,000) TBD- 3 77" xfId="10962"/>
    <cellStyle name="Comma (0,000) TBD 3 78" xfId="10963"/>
    <cellStyle name="Comma (0,000) TBD- 3 78" xfId="10964"/>
    <cellStyle name="Comma (0,000) TBD 3 79" xfId="10965"/>
    <cellStyle name="Comma (0,000) TBD- 3 79" xfId="10966"/>
    <cellStyle name="Comma (0,000) TBD 3 8" xfId="10967"/>
    <cellStyle name="Comma (0,000) TBD- 3 8" xfId="10968"/>
    <cellStyle name="Comma (0,000) TBD 3 80" xfId="10969"/>
    <cellStyle name="Comma (0,000) TBD- 3 80" xfId="10970"/>
    <cellStyle name="Comma (0,000) TBD 3 81" xfId="10971"/>
    <cellStyle name="Comma (0,000) TBD- 3 81" xfId="10972"/>
    <cellStyle name="Comma (0,000) TBD 3 82" xfId="10973"/>
    <cellStyle name="Comma (0,000) TBD- 3 82" xfId="10974"/>
    <cellStyle name="Comma (0,000) TBD 3 83" xfId="10975"/>
    <cellStyle name="Comma (0,000) TBD- 3 83" xfId="10976"/>
    <cellStyle name="Comma (0,000) TBD 3 84" xfId="10977"/>
    <cellStyle name="Comma (0,000) TBD- 3 84" xfId="10978"/>
    <cellStyle name="Comma (0,000) TBD 3 85" xfId="10979"/>
    <cellStyle name="Comma (0,000) TBD- 3 85" xfId="10980"/>
    <cellStyle name="Comma (0,000) TBD 3 86" xfId="10981"/>
    <cellStyle name="Comma (0,000) TBD- 3 86" xfId="10982"/>
    <cellStyle name="Comma (0,000) TBD 3 87" xfId="10983"/>
    <cellStyle name="Comma (0,000) TBD- 3 87" xfId="10984"/>
    <cellStyle name="Comma (0,000) TBD 3 88" xfId="10985"/>
    <cellStyle name="Comma (0,000) TBD- 3 88" xfId="10986"/>
    <cellStyle name="Comma (0,000) TBD 3 89" xfId="10987"/>
    <cellStyle name="Comma (0,000) TBD- 3 89" xfId="10988"/>
    <cellStyle name="Comma (0,000) TBD 3 9" xfId="10989"/>
    <cellStyle name="Comma (0,000) TBD- 3 9" xfId="10990"/>
    <cellStyle name="Comma (0,000) TBD 3 90" xfId="10991"/>
    <cellStyle name="Comma (0,000) TBD- 3 90" xfId="10992"/>
    <cellStyle name="Comma (0,000) TBD 3 91" xfId="10993"/>
    <cellStyle name="Comma (0,000) TBD- 3 91" xfId="10994"/>
    <cellStyle name="Comma (0,000) TBD 3 92" xfId="10995"/>
    <cellStyle name="Comma (0,000) TBD- 3 92" xfId="10996"/>
    <cellStyle name="Comma (0,000) TBD 3 93" xfId="10997"/>
    <cellStyle name="Comma (0,000) TBD- 3 93" xfId="10998"/>
    <cellStyle name="Comma (0,000) TBD 3 94" xfId="10999"/>
    <cellStyle name="Comma (0,000) TBD- 3 94" xfId="11000"/>
    <cellStyle name="Comma (0,000) TBD 3 95" xfId="11001"/>
    <cellStyle name="Comma (0,000) TBD- 3 95" xfId="11002"/>
    <cellStyle name="Comma (0,000) TBD 3 96" xfId="11003"/>
    <cellStyle name="Comma (0,000) TBD- 3 96" xfId="11004"/>
    <cellStyle name="Comma (0,000) TBD 3 97" xfId="11005"/>
    <cellStyle name="Comma (0,000) TBD- 3 97" xfId="11006"/>
    <cellStyle name="Comma (0,000) TBD 3 98" xfId="11007"/>
    <cellStyle name="Comma (0,000) TBD- 3 98" xfId="11008"/>
    <cellStyle name="Comma (0,000) TBD 3 99" xfId="11009"/>
    <cellStyle name="Comma (0,000) TBD- 3 99" xfId="11010"/>
    <cellStyle name="Comma (0,000) TBD 4" xfId="11011"/>
    <cellStyle name="Comma (0,000) TBD- 4" xfId="11012"/>
    <cellStyle name="Comma (0,000) TBD 4 10" xfId="11013"/>
    <cellStyle name="Comma (0,000) TBD- 4 10" xfId="11014"/>
    <cellStyle name="Comma (0,000) TBD 4 100" xfId="11015"/>
    <cellStyle name="Comma (0,000) TBD- 4 100" xfId="11016"/>
    <cellStyle name="Comma (0,000) TBD 4 101" xfId="11017"/>
    <cellStyle name="Comma (0,000) TBD- 4 101" xfId="11018"/>
    <cellStyle name="Comma (0,000) TBD 4 102" xfId="11019"/>
    <cellStyle name="Comma (0,000) TBD- 4 102" xfId="11020"/>
    <cellStyle name="Comma (0,000) TBD 4 103" xfId="11021"/>
    <cellStyle name="Comma (0,000) TBD- 4 103" xfId="11022"/>
    <cellStyle name="Comma (0,000) TBD 4 104" xfId="11023"/>
    <cellStyle name="Comma (0,000) TBD- 4 104" xfId="11024"/>
    <cellStyle name="Comma (0,000) TBD 4 105" xfId="11025"/>
    <cellStyle name="Comma (0,000) TBD- 4 105" xfId="11026"/>
    <cellStyle name="Comma (0,000) TBD 4 106" xfId="11027"/>
    <cellStyle name="Comma (0,000) TBD- 4 106" xfId="11028"/>
    <cellStyle name="Comma (0,000) TBD 4 107" xfId="11029"/>
    <cellStyle name="Comma (0,000) TBD- 4 107" xfId="11030"/>
    <cellStyle name="Comma (0,000) TBD 4 108" xfId="11031"/>
    <cellStyle name="Comma (0,000) TBD- 4 108" xfId="11032"/>
    <cellStyle name="Comma (0,000) TBD 4 109" xfId="11033"/>
    <cellStyle name="Comma (0,000) TBD- 4 109" xfId="11034"/>
    <cellStyle name="Comma (0,000) TBD 4 11" xfId="11035"/>
    <cellStyle name="Comma (0,000) TBD- 4 11" xfId="11036"/>
    <cellStyle name="Comma (0,000) TBD 4 110" xfId="11037"/>
    <cellStyle name="Comma (0,000) TBD- 4 110" xfId="11038"/>
    <cellStyle name="Comma (0,000) TBD 4 111" xfId="11039"/>
    <cellStyle name="Comma (0,000) TBD- 4 111" xfId="11040"/>
    <cellStyle name="Comma (0,000) TBD 4 112" xfId="11041"/>
    <cellStyle name="Comma (0,000) TBD- 4 112" xfId="11042"/>
    <cellStyle name="Comma (0,000) TBD 4 113" xfId="11043"/>
    <cellStyle name="Comma (0,000) TBD- 4 113" xfId="11044"/>
    <cellStyle name="Comma (0,000) TBD 4 114" xfId="11045"/>
    <cellStyle name="Comma (0,000) TBD- 4 114" xfId="11046"/>
    <cellStyle name="Comma (0,000) TBD 4 115" xfId="11047"/>
    <cellStyle name="Comma (0,000) TBD- 4 115" xfId="11048"/>
    <cellStyle name="Comma (0,000) TBD 4 116" xfId="11049"/>
    <cellStyle name="Comma (0,000) TBD- 4 116" xfId="11050"/>
    <cellStyle name="Comma (0,000) TBD 4 117" xfId="11051"/>
    <cellStyle name="Comma (0,000) TBD- 4 117" xfId="11052"/>
    <cellStyle name="Comma (0,000) TBD 4 118" xfId="11053"/>
    <cellStyle name="Comma (0,000) TBD- 4 118" xfId="11054"/>
    <cellStyle name="Comma (0,000) TBD 4 119" xfId="11055"/>
    <cellStyle name="Comma (0,000) TBD- 4 119" xfId="11056"/>
    <cellStyle name="Comma (0,000) TBD 4 12" xfId="11057"/>
    <cellStyle name="Comma (0,000) TBD- 4 12" xfId="11058"/>
    <cellStyle name="Comma (0,000) TBD 4 120" xfId="11059"/>
    <cellStyle name="Comma (0,000) TBD- 4 120" xfId="11060"/>
    <cellStyle name="Comma (0,000) TBD 4 121" xfId="11061"/>
    <cellStyle name="Comma (0,000) TBD- 4 121" xfId="11062"/>
    <cellStyle name="Comma (0,000) TBD 4 122" xfId="11063"/>
    <cellStyle name="Comma (0,000) TBD- 4 122" xfId="11064"/>
    <cellStyle name="Comma (0,000) TBD 4 123" xfId="11065"/>
    <cellStyle name="Comma (0,000) TBD- 4 123" xfId="11066"/>
    <cellStyle name="Comma (0,000) TBD 4 124" xfId="11067"/>
    <cellStyle name="Comma (0,000) TBD- 4 124" xfId="11068"/>
    <cellStyle name="Comma (0,000) TBD 4 125" xfId="11069"/>
    <cellStyle name="Comma (0,000) TBD- 4 125" xfId="11070"/>
    <cellStyle name="Comma (0,000) TBD 4 126" xfId="11071"/>
    <cellStyle name="Comma (0,000) TBD- 4 126" xfId="11072"/>
    <cellStyle name="Comma (0,000) TBD 4 127" xfId="11073"/>
    <cellStyle name="Comma (0,000) TBD- 4 127" xfId="11074"/>
    <cellStyle name="Comma (0,000) TBD 4 128" xfId="11075"/>
    <cellStyle name="Comma (0,000) TBD- 4 128" xfId="11076"/>
    <cellStyle name="Comma (0,000) TBD 4 129" xfId="11077"/>
    <cellStyle name="Comma (0,000) TBD- 4 129" xfId="11078"/>
    <cellStyle name="Comma (0,000) TBD 4 13" xfId="11079"/>
    <cellStyle name="Comma (0,000) TBD- 4 13" xfId="11080"/>
    <cellStyle name="Comma (0,000) TBD 4 130" xfId="11081"/>
    <cellStyle name="Comma (0,000) TBD- 4 130" xfId="11082"/>
    <cellStyle name="Comma (0,000) TBD 4 131" xfId="11083"/>
    <cellStyle name="Comma (0,000) TBD- 4 131" xfId="11084"/>
    <cellStyle name="Comma (0,000) TBD 4 132" xfId="11085"/>
    <cellStyle name="Comma (0,000) TBD- 4 132" xfId="11086"/>
    <cellStyle name="Comma (0,000) TBD 4 133" xfId="11087"/>
    <cellStyle name="Comma (0,000) TBD- 4 133" xfId="11088"/>
    <cellStyle name="Comma (0,000) TBD 4 134" xfId="11089"/>
    <cellStyle name="Comma (0,000) TBD- 4 134" xfId="11090"/>
    <cellStyle name="Comma (0,000) TBD 4 135" xfId="11091"/>
    <cellStyle name="Comma (0,000) TBD- 4 135" xfId="11092"/>
    <cellStyle name="Comma (0,000) TBD 4 136" xfId="11093"/>
    <cellStyle name="Comma (0,000) TBD- 4 136" xfId="11094"/>
    <cellStyle name="Comma (0,000) TBD 4 137" xfId="11095"/>
    <cellStyle name="Comma (0,000) TBD- 4 137" xfId="11096"/>
    <cellStyle name="Comma (0,000) TBD 4 138" xfId="11097"/>
    <cellStyle name="Comma (0,000) TBD- 4 138" xfId="11098"/>
    <cellStyle name="Comma (0,000) TBD 4 139" xfId="11099"/>
    <cellStyle name="Comma (0,000) TBD- 4 139" xfId="11100"/>
    <cellStyle name="Comma (0,000) TBD 4 14" xfId="11101"/>
    <cellStyle name="Comma (0,000) TBD- 4 14" xfId="11102"/>
    <cellStyle name="Comma (0,000) TBD 4 140" xfId="11103"/>
    <cellStyle name="Comma (0,000) TBD- 4 140" xfId="11104"/>
    <cellStyle name="Comma (0,000) TBD 4 141" xfId="11105"/>
    <cellStyle name="Comma (0,000) TBD- 4 141" xfId="11106"/>
    <cellStyle name="Comma (0,000) TBD 4 142" xfId="11107"/>
    <cellStyle name="Comma (0,000) TBD- 4 142" xfId="11108"/>
    <cellStyle name="Comma (0,000) TBD 4 143" xfId="11109"/>
    <cellStyle name="Comma (0,000) TBD- 4 143" xfId="11110"/>
    <cellStyle name="Comma (0,000) TBD 4 144" xfId="11111"/>
    <cellStyle name="Comma (0,000) TBD- 4 144" xfId="11112"/>
    <cellStyle name="Comma (0,000) TBD 4 145" xfId="11113"/>
    <cellStyle name="Comma (0,000) TBD- 4 145" xfId="11114"/>
    <cellStyle name="Comma (0,000) TBD 4 146" xfId="11115"/>
    <cellStyle name="Comma (0,000) TBD- 4 146" xfId="11116"/>
    <cellStyle name="Comma (0,000) TBD 4 147" xfId="11117"/>
    <cellStyle name="Comma (0,000) TBD- 4 147" xfId="11118"/>
    <cellStyle name="Comma (0,000) TBD 4 148" xfId="11119"/>
    <cellStyle name="Comma (0,000) TBD- 4 148" xfId="11120"/>
    <cellStyle name="Comma (0,000) TBD 4 149" xfId="11121"/>
    <cellStyle name="Comma (0,000) TBD- 4 149" xfId="11122"/>
    <cellStyle name="Comma (0,000) TBD 4 15" xfId="11123"/>
    <cellStyle name="Comma (0,000) TBD- 4 15" xfId="11124"/>
    <cellStyle name="Comma (0,000) TBD 4 150" xfId="11125"/>
    <cellStyle name="Comma (0,000) TBD- 4 150" xfId="11126"/>
    <cellStyle name="Comma (0,000) TBD 4 151" xfId="11127"/>
    <cellStyle name="Comma (0,000) TBD- 4 151" xfId="11128"/>
    <cellStyle name="Comma (0,000) TBD 4 152" xfId="11129"/>
    <cellStyle name="Comma (0,000) TBD- 4 152" xfId="11130"/>
    <cellStyle name="Comma (0,000) TBD 4 153" xfId="11131"/>
    <cellStyle name="Comma (0,000) TBD- 4 153" xfId="11132"/>
    <cellStyle name="Comma (0,000) TBD 4 16" xfId="11133"/>
    <cellStyle name="Comma (0,000) TBD- 4 16" xfId="11134"/>
    <cellStyle name="Comma (0,000) TBD 4 17" xfId="11135"/>
    <cellStyle name="Comma (0,000) TBD- 4 17" xfId="11136"/>
    <cellStyle name="Comma (0,000) TBD 4 18" xfId="11137"/>
    <cellStyle name="Comma (0,000) TBD- 4 18" xfId="11138"/>
    <cellStyle name="Comma (0,000) TBD 4 19" xfId="11139"/>
    <cellStyle name="Comma (0,000) TBD- 4 19" xfId="11140"/>
    <cellStyle name="Comma (0,000) TBD 4 2" xfId="11141"/>
    <cellStyle name="Comma (0,000) TBD- 4 2" xfId="11142"/>
    <cellStyle name="Comma (0,000) TBD 4 20" xfId="11143"/>
    <cellStyle name="Comma (0,000) TBD- 4 20" xfId="11144"/>
    <cellStyle name="Comma (0,000) TBD 4 21" xfId="11145"/>
    <cellStyle name="Comma (0,000) TBD- 4 21" xfId="11146"/>
    <cellStyle name="Comma (0,000) TBD 4 22" xfId="11147"/>
    <cellStyle name="Comma (0,000) TBD- 4 22" xfId="11148"/>
    <cellStyle name="Comma (0,000) TBD 4 23" xfId="11149"/>
    <cellStyle name="Comma (0,000) TBD- 4 23" xfId="11150"/>
    <cellStyle name="Comma (0,000) TBD 4 24" xfId="11151"/>
    <cellStyle name="Comma (0,000) TBD- 4 24" xfId="11152"/>
    <cellStyle name="Comma (0,000) TBD 4 25" xfId="11153"/>
    <cellStyle name="Comma (0,000) TBD- 4 25" xfId="11154"/>
    <cellStyle name="Comma (0,000) TBD 4 26" xfId="11155"/>
    <cellStyle name="Comma (0,000) TBD- 4 26" xfId="11156"/>
    <cellStyle name="Comma (0,000) TBD 4 27" xfId="11157"/>
    <cellStyle name="Comma (0,000) TBD- 4 27" xfId="11158"/>
    <cellStyle name="Comma (0,000) TBD 4 28" xfId="11159"/>
    <cellStyle name="Comma (0,000) TBD- 4 28" xfId="11160"/>
    <cellStyle name="Comma (0,000) TBD 4 29" xfId="11161"/>
    <cellStyle name="Comma (0,000) TBD- 4 29" xfId="11162"/>
    <cellStyle name="Comma (0,000) TBD 4 3" xfId="11163"/>
    <cellStyle name="Comma (0,000) TBD- 4 3" xfId="11164"/>
    <cellStyle name="Comma (0,000) TBD 4 30" xfId="11165"/>
    <cellStyle name="Comma (0,000) TBD- 4 30" xfId="11166"/>
    <cellStyle name="Comma (0,000) TBD 4 31" xfId="11167"/>
    <cellStyle name="Comma (0,000) TBD- 4 31" xfId="11168"/>
    <cellStyle name="Comma (0,000) TBD 4 32" xfId="11169"/>
    <cellStyle name="Comma (0,000) TBD- 4 32" xfId="11170"/>
    <cellStyle name="Comma (0,000) TBD 4 33" xfId="11171"/>
    <cellStyle name="Comma (0,000) TBD- 4 33" xfId="11172"/>
    <cellStyle name="Comma (0,000) TBD 4 34" xfId="11173"/>
    <cellStyle name="Comma (0,000) TBD- 4 34" xfId="11174"/>
    <cellStyle name="Comma (0,000) TBD 4 35" xfId="11175"/>
    <cellStyle name="Comma (0,000) TBD- 4 35" xfId="11176"/>
    <cellStyle name="Comma (0,000) TBD 4 36" xfId="11177"/>
    <cellStyle name="Comma (0,000) TBD- 4 36" xfId="11178"/>
    <cellStyle name="Comma (0,000) TBD 4 37" xfId="11179"/>
    <cellStyle name="Comma (0,000) TBD- 4 37" xfId="11180"/>
    <cellStyle name="Comma (0,000) TBD 4 38" xfId="11181"/>
    <cellStyle name="Comma (0,000) TBD- 4 38" xfId="11182"/>
    <cellStyle name="Comma (0,000) TBD 4 39" xfId="11183"/>
    <cellStyle name="Comma (0,000) TBD- 4 39" xfId="11184"/>
    <cellStyle name="Comma (0,000) TBD 4 4" xfId="11185"/>
    <cellStyle name="Comma (0,000) TBD- 4 4" xfId="11186"/>
    <cellStyle name="Comma (0,000) TBD 4 40" xfId="11187"/>
    <cellStyle name="Comma (0,000) TBD- 4 40" xfId="11188"/>
    <cellStyle name="Comma (0,000) TBD 4 41" xfId="11189"/>
    <cellStyle name="Comma (0,000) TBD- 4 41" xfId="11190"/>
    <cellStyle name="Comma (0,000) TBD 4 42" xfId="11191"/>
    <cellStyle name="Comma (0,000) TBD- 4 42" xfId="11192"/>
    <cellStyle name="Comma (0,000) TBD 4 43" xfId="11193"/>
    <cellStyle name="Comma (0,000) TBD- 4 43" xfId="11194"/>
    <cellStyle name="Comma (0,000) TBD 4 44" xfId="11195"/>
    <cellStyle name="Comma (0,000) TBD- 4 44" xfId="11196"/>
    <cellStyle name="Comma (0,000) TBD 4 45" xfId="11197"/>
    <cellStyle name="Comma (0,000) TBD- 4 45" xfId="11198"/>
    <cellStyle name="Comma (0,000) TBD 4 46" xfId="11199"/>
    <cellStyle name="Comma (0,000) TBD- 4 46" xfId="11200"/>
    <cellStyle name="Comma (0,000) TBD 4 47" xfId="11201"/>
    <cellStyle name="Comma (0,000) TBD- 4 47" xfId="11202"/>
    <cellStyle name="Comma (0,000) TBD 4 48" xfId="11203"/>
    <cellStyle name="Comma (0,000) TBD- 4 48" xfId="11204"/>
    <cellStyle name="Comma (0,000) TBD 4 49" xfId="11205"/>
    <cellStyle name="Comma (0,000) TBD- 4 49" xfId="11206"/>
    <cellStyle name="Comma (0,000) TBD 4 5" xfId="11207"/>
    <cellStyle name="Comma (0,000) TBD- 4 5" xfId="11208"/>
    <cellStyle name="Comma (0,000) TBD 4 50" xfId="11209"/>
    <cellStyle name="Comma (0,000) TBD- 4 50" xfId="11210"/>
    <cellStyle name="Comma (0,000) TBD 4 51" xfId="11211"/>
    <cellStyle name="Comma (0,000) TBD- 4 51" xfId="11212"/>
    <cellStyle name="Comma (0,000) TBD 4 52" xfId="11213"/>
    <cellStyle name="Comma (0,000) TBD- 4 52" xfId="11214"/>
    <cellStyle name="Comma (0,000) TBD 4 53" xfId="11215"/>
    <cellStyle name="Comma (0,000) TBD- 4 53" xfId="11216"/>
    <cellStyle name="Comma (0,000) TBD 4 54" xfId="11217"/>
    <cellStyle name="Comma (0,000) TBD- 4 54" xfId="11218"/>
    <cellStyle name="Comma (0,000) TBD 4 55" xfId="11219"/>
    <cellStyle name="Comma (0,000) TBD- 4 55" xfId="11220"/>
    <cellStyle name="Comma (0,000) TBD 4 56" xfId="11221"/>
    <cellStyle name="Comma (0,000) TBD- 4 56" xfId="11222"/>
    <cellStyle name="Comma (0,000) TBD 4 57" xfId="11223"/>
    <cellStyle name="Comma (0,000) TBD- 4 57" xfId="11224"/>
    <cellStyle name="Comma (0,000) TBD 4 58" xfId="11225"/>
    <cellStyle name="Comma (0,000) TBD- 4 58" xfId="11226"/>
    <cellStyle name="Comma (0,000) TBD 4 59" xfId="11227"/>
    <cellStyle name="Comma (0,000) TBD- 4 59" xfId="11228"/>
    <cellStyle name="Comma (0,000) TBD 4 6" xfId="11229"/>
    <cellStyle name="Comma (0,000) TBD- 4 6" xfId="11230"/>
    <cellStyle name="Comma (0,000) TBD 4 60" xfId="11231"/>
    <cellStyle name="Comma (0,000) TBD- 4 60" xfId="11232"/>
    <cellStyle name="Comma (0,000) TBD 4 61" xfId="11233"/>
    <cellStyle name="Comma (0,000) TBD- 4 61" xfId="11234"/>
    <cellStyle name="Comma (0,000) TBD 4 62" xfId="11235"/>
    <cellStyle name="Comma (0,000) TBD- 4 62" xfId="11236"/>
    <cellStyle name="Comma (0,000) TBD 4 63" xfId="11237"/>
    <cellStyle name="Comma (0,000) TBD- 4 63" xfId="11238"/>
    <cellStyle name="Comma (0,000) TBD 4 64" xfId="11239"/>
    <cellStyle name="Comma (0,000) TBD- 4 64" xfId="11240"/>
    <cellStyle name="Comma (0,000) TBD 4 65" xfId="11241"/>
    <cellStyle name="Comma (0,000) TBD- 4 65" xfId="11242"/>
    <cellStyle name="Comma (0,000) TBD 4 66" xfId="11243"/>
    <cellStyle name="Comma (0,000) TBD- 4 66" xfId="11244"/>
    <cellStyle name="Comma (0,000) TBD 4 67" xfId="11245"/>
    <cellStyle name="Comma (0,000) TBD- 4 67" xfId="11246"/>
    <cellStyle name="Comma (0,000) TBD 4 68" xfId="11247"/>
    <cellStyle name="Comma (0,000) TBD- 4 68" xfId="11248"/>
    <cellStyle name="Comma (0,000) TBD 4 69" xfId="11249"/>
    <cellStyle name="Comma (0,000) TBD- 4 69" xfId="11250"/>
    <cellStyle name="Comma (0,000) TBD 4 7" xfId="11251"/>
    <cellStyle name="Comma (0,000) TBD- 4 7" xfId="11252"/>
    <cellStyle name="Comma (0,000) TBD 4 70" xfId="11253"/>
    <cellStyle name="Comma (0,000) TBD- 4 70" xfId="11254"/>
    <cellStyle name="Comma (0,000) TBD 4 71" xfId="11255"/>
    <cellStyle name="Comma (0,000) TBD- 4 71" xfId="11256"/>
    <cellStyle name="Comma (0,000) TBD 4 72" xfId="11257"/>
    <cellStyle name="Comma (0,000) TBD- 4 72" xfId="11258"/>
    <cellStyle name="Comma (0,000) TBD 4 73" xfId="11259"/>
    <cellStyle name="Comma (0,000) TBD- 4 73" xfId="11260"/>
    <cellStyle name="Comma (0,000) TBD 4 74" xfId="11261"/>
    <cellStyle name="Comma (0,000) TBD- 4 74" xfId="11262"/>
    <cellStyle name="Comma (0,000) TBD 4 75" xfId="11263"/>
    <cellStyle name="Comma (0,000) TBD- 4 75" xfId="11264"/>
    <cellStyle name="Comma (0,000) TBD 4 76" xfId="11265"/>
    <cellStyle name="Comma (0,000) TBD- 4 76" xfId="11266"/>
    <cellStyle name="Comma (0,000) TBD 4 77" xfId="11267"/>
    <cellStyle name="Comma (0,000) TBD- 4 77" xfId="11268"/>
    <cellStyle name="Comma (0,000) TBD 4 78" xfId="11269"/>
    <cellStyle name="Comma (0,000) TBD- 4 78" xfId="11270"/>
    <cellStyle name="Comma (0,000) TBD 4 79" xfId="11271"/>
    <cellStyle name="Comma (0,000) TBD- 4 79" xfId="11272"/>
    <cellStyle name="Comma (0,000) TBD 4 8" xfId="11273"/>
    <cellStyle name="Comma (0,000) TBD- 4 8" xfId="11274"/>
    <cellStyle name="Comma (0,000) TBD 4 80" xfId="11275"/>
    <cellStyle name="Comma (0,000) TBD- 4 80" xfId="11276"/>
    <cellStyle name="Comma (0,000) TBD 4 81" xfId="11277"/>
    <cellStyle name="Comma (0,000) TBD- 4 81" xfId="11278"/>
    <cellStyle name="Comma (0,000) TBD 4 82" xfId="11279"/>
    <cellStyle name="Comma (0,000) TBD- 4 82" xfId="11280"/>
    <cellStyle name="Comma (0,000) TBD 4 83" xfId="11281"/>
    <cellStyle name="Comma (0,000) TBD- 4 83" xfId="11282"/>
    <cellStyle name="Comma (0,000) TBD 4 84" xfId="11283"/>
    <cellStyle name="Comma (0,000) TBD- 4 84" xfId="11284"/>
    <cellStyle name="Comma (0,000) TBD 4 85" xfId="11285"/>
    <cellStyle name="Comma (0,000) TBD- 4 85" xfId="11286"/>
    <cellStyle name="Comma (0,000) TBD 4 86" xfId="11287"/>
    <cellStyle name="Comma (0,000) TBD- 4 86" xfId="11288"/>
    <cellStyle name="Comma (0,000) TBD 4 87" xfId="11289"/>
    <cellStyle name="Comma (0,000) TBD- 4 87" xfId="11290"/>
    <cellStyle name="Comma (0,000) TBD 4 88" xfId="11291"/>
    <cellStyle name="Comma (0,000) TBD- 4 88" xfId="11292"/>
    <cellStyle name="Comma (0,000) TBD 4 89" xfId="11293"/>
    <cellStyle name="Comma (0,000) TBD- 4 89" xfId="11294"/>
    <cellStyle name="Comma (0,000) TBD 4 9" xfId="11295"/>
    <cellStyle name="Comma (0,000) TBD- 4 9" xfId="11296"/>
    <cellStyle name="Comma (0,000) TBD 4 90" xfId="11297"/>
    <cellStyle name="Comma (0,000) TBD- 4 90" xfId="11298"/>
    <cellStyle name="Comma (0,000) TBD 4 91" xfId="11299"/>
    <cellStyle name="Comma (0,000) TBD- 4 91" xfId="11300"/>
    <cellStyle name="Comma (0,000) TBD 4 92" xfId="11301"/>
    <cellStyle name="Comma (0,000) TBD- 4 92" xfId="11302"/>
    <cellStyle name="Comma (0,000) TBD 4 93" xfId="11303"/>
    <cellStyle name="Comma (0,000) TBD- 4 93" xfId="11304"/>
    <cellStyle name="Comma (0,000) TBD 4 94" xfId="11305"/>
    <cellStyle name="Comma (0,000) TBD- 4 94" xfId="11306"/>
    <cellStyle name="Comma (0,000) TBD 4 95" xfId="11307"/>
    <cellStyle name="Comma (0,000) TBD- 4 95" xfId="11308"/>
    <cellStyle name="Comma (0,000) TBD 4 96" xfId="11309"/>
    <cellStyle name="Comma (0,000) TBD- 4 96" xfId="11310"/>
    <cellStyle name="Comma (0,000) TBD 4 97" xfId="11311"/>
    <cellStyle name="Comma (0,000) TBD- 4 97" xfId="11312"/>
    <cellStyle name="Comma (0,000) TBD 4 98" xfId="11313"/>
    <cellStyle name="Comma (0,000) TBD- 4 98" xfId="11314"/>
    <cellStyle name="Comma (0,000) TBD 4 99" xfId="11315"/>
    <cellStyle name="Comma (0,000) TBD- 4 99" xfId="11316"/>
    <cellStyle name="Comma (0,000) TBD 5" xfId="11317"/>
    <cellStyle name="Comma (0,000) TBD- 5" xfId="11318"/>
    <cellStyle name="Comma (0,000) TBD 5 10" xfId="11319"/>
    <cellStyle name="Comma (0,000) TBD- 5 10" xfId="11320"/>
    <cellStyle name="Comma (0,000) TBD 5 100" xfId="11321"/>
    <cellStyle name="Comma (0,000) TBD- 5 100" xfId="11322"/>
    <cellStyle name="Comma (0,000) TBD 5 101" xfId="11323"/>
    <cellStyle name="Comma (0,000) TBD- 5 101" xfId="11324"/>
    <cellStyle name="Comma (0,000) TBD 5 102" xfId="11325"/>
    <cellStyle name="Comma (0,000) TBD- 5 102" xfId="11326"/>
    <cellStyle name="Comma (0,000) TBD 5 103" xfId="11327"/>
    <cellStyle name="Comma (0,000) TBD- 5 103" xfId="11328"/>
    <cellStyle name="Comma (0,000) TBD 5 104" xfId="11329"/>
    <cellStyle name="Comma (0,000) TBD- 5 104" xfId="11330"/>
    <cellStyle name="Comma (0,000) TBD 5 105" xfId="11331"/>
    <cellStyle name="Comma (0,000) TBD- 5 105" xfId="11332"/>
    <cellStyle name="Comma (0,000) TBD 5 106" xfId="11333"/>
    <cellStyle name="Comma (0,000) TBD- 5 106" xfId="11334"/>
    <cellStyle name="Comma (0,000) TBD 5 107" xfId="11335"/>
    <cellStyle name="Comma (0,000) TBD- 5 107" xfId="11336"/>
    <cellStyle name="Comma (0,000) TBD 5 108" xfId="11337"/>
    <cellStyle name="Comma (0,000) TBD- 5 108" xfId="11338"/>
    <cellStyle name="Comma (0,000) TBD 5 109" xfId="11339"/>
    <cellStyle name="Comma (0,000) TBD- 5 109" xfId="11340"/>
    <cellStyle name="Comma (0,000) TBD 5 11" xfId="11341"/>
    <cellStyle name="Comma (0,000) TBD- 5 11" xfId="11342"/>
    <cellStyle name="Comma (0,000) TBD 5 110" xfId="11343"/>
    <cellStyle name="Comma (0,000) TBD- 5 110" xfId="11344"/>
    <cellStyle name="Comma (0,000) TBD 5 111" xfId="11345"/>
    <cellStyle name="Comma (0,000) TBD- 5 111" xfId="11346"/>
    <cellStyle name="Comma (0,000) TBD 5 112" xfId="11347"/>
    <cellStyle name="Comma (0,000) TBD- 5 112" xfId="11348"/>
    <cellStyle name="Comma (0,000) TBD 5 113" xfId="11349"/>
    <cellStyle name="Comma (0,000) TBD- 5 113" xfId="11350"/>
    <cellStyle name="Comma (0,000) TBD 5 114" xfId="11351"/>
    <cellStyle name="Comma (0,000) TBD- 5 114" xfId="11352"/>
    <cellStyle name="Comma (0,000) TBD 5 115" xfId="11353"/>
    <cellStyle name="Comma (0,000) TBD- 5 115" xfId="11354"/>
    <cellStyle name="Comma (0,000) TBD 5 116" xfId="11355"/>
    <cellStyle name="Comma (0,000) TBD- 5 116" xfId="11356"/>
    <cellStyle name="Comma (0,000) TBD 5 117" xfId="11357"/>
    <cellStyle name="Comma (0,000) TBD- 5 117" xfId="11358"/>
    <cellStyle name="Comma (0,000) TBD 5 118" xfId="11359"/>
    <cellStyle name="Comma (0,000) TBD- 5 118" xfId="11360"/>
    <cellStyle name="Comma (0,000) TBD 5 119" xfId="11361"/>
    <cellStyle name="Comma (0,000) TBD- 5 119" xfId="11362"/>
    <cellStyle name="Comma (0,000) TBD 5 12" xfId="11363"/>
    <cellStyle name="Comma (0,000) TBD- 5 12" xfId="11364"/>
    <cellStyle name="Comma (0,000) TBD 5 120" xfId="11365"/>
    <cellStyle name="Comma (0,000) TBD- 5 120" xfId="11366"/>
    <cellStyle name="Comma (0,000) TBD 5 121" xfId="11367"/>
    <cellStyle name="Comma (0,000) TBD- 5 121" xfId="11368"/>
    <cellStyle name="Comma (0,000) TBD 5 122" xfId="11369"/>
    <cellStyle name="Comma (0,000) TBD- 5 122" xfId="11370"/>
    <cellStyle name="Comma (0,000) TBD 5 123" xfId="11371"/>
    <cellStyle name="Comma (0,000) TBD- 5 123" xfId="11372"/>
    <cellStyle name="Comma (0,000) TBD 5 124" xfId="11373"/>
    <cellStyle name="Comma (0,000) TBD- 5 124" xfId="11374"/>
    <cellStyle name="Comma (0,000) TBD 5 125" xfId="11375"/>
    <cellStyle name="Comma (0,000) TBD- 5 125" xfId="11376"/>
    <cellStyle name="Comma (0,000) TBD 5 126" xfId="11377"/>
    <cellStyle name="Comma (0,000) TBD- 5 126" xfId="11378"/>
    <cellStyle name="Comma (0,000) TBD 5 127" xfId="11379"/>
    <cellStyle name="Comma (0,000) TBD- 5 127" xfId="11380"/>
    <cellStyle name="Comma (0,000) TBD 5 128" xfId="11381"/>
    <cellStyle name="Comma (0,000) TBD- 5 128" xfId="11382"/>
    <cellStyle name="Comma (0,000) TBD 5 129" xfId="11383"/>
    <cellStyle name="Comma (0,000) TBD- 5 129" xfId="11384"/>
    <cellStyle name="Comma (0,000) TBD 5 13" xfId="11385"/>
    <cellStyle name="Comma (0,000) TBD- 5 13" xfId="11386"/>
    <cellStyle name="Comma (0,000) TBD 5 130" xfId="11387"/>
    <cellStyle name="Comma (0,000) TBD- 5 130" xfId="11388"/>
    <cellStyle name="Comma (0,000) TBD 5 131" xfId="11389"/>
    <cellStyle name="Comma (0,000) TBD- 5 131" xfId="11390"/>
    <cellStyle name="Comma (0,000) TBD 5 132" xfId="11391"/>
    <cellStyle name="Comma (0,000) TBD- 5 132" xfId="11392"/>
    <cellStyle name="Comma (0,000) TBD 5 133" xfId="11393"/>
    <cellStyle name="Comma (0,000) TBD- 5 133" xfId="11394"/>
    <cellStyle name="Comma (0,000) TBD 5 134" xfId="11395"/>
    <cellStyle name="Comma (0,000) TBD- 5 134" xfId="11396"/>
    <cellStyle name="Comma (0,000) TBD 5 135" xfId="11397"/>
    <cellStyle name="Comma (0,000) TBD- 5 135" xfId="11398"/>
    <cellStyle name="Comma (0,000) TBD 5 136" xfId="11399"/>
    <cellStyle name="Comma (0,000) TBD- 5 136" xfId="11400"/>
    <cellStyle name="Comma (0,000) TBD 5 137" xfId="11401"/>
    <cellStyle name="Comma (0,000) TBD- 5 137" xfId="11402"/>
    <cellStyle name="Comma (0,000) TBD 5 138" xfId="11403"/>
    <cellStyle name="Comma (0,000) TBD- 5 138" xfId="11404"/>
    <cellStyle name="Comma (0,000) TBD 5 139" xfId="11405"/>
    <cellStyle name="Comma (0,000) TBD- 5 139" xfId="11406"/>
    <cellStyle name="Comma (0,000) TBD 5 14" xfId="11407"/>
    <cellStyle name="Comma (0,000) TBD- 5 14" xfId="11408"/>
    <cellStyle name="Comma (0,000) TBD 5 140" xfId="11409"/>
    <cellStyle name="Comma (0,000) TBD- 5 140" xfId="11410"/>
    <cellStyle name="Comma (0,000) TBD 5 141" xfId="11411"/>
    <cellStyle name="Comma (0,000) TBD- 5 141" xfId="11412"/>
    <cellStyle name="Comma (0,000) TBD 5 142" xfId="11413"/>
    <cellStyle name="Comma (0,000) TBD- 5 142" xfId="11414"/>
    <cellStyle name="Comma (0,000) TBD 5 143" xfId="11415"/>
    <cellStyle name="Comma (0,000) TBD- 5 143" xfId="11416"/>
    <cellStyle name="Comma (0,000) TBD 5 144" xfId="11417"/>
    <cellStyle name="Comma (0,000) TBD- 5 144" xfId="11418"/>
    <cellStyle name="Comma (0,000) TBD 5 145" xfId="11419"/>
    <cellStyle name="Comma (0,000) TBD- 5 145" xfId="11420"/>
    <cellStyle name="Comma (0,000) TBD 5 146" xfId="11421"/>
    <cellStyle name="Comma (0,000) TBD- 5 146" xfId="11422"/>
    <cellStyle name="Comma (0,000) TBD 5 147" xfId="11423"/>
    <cellStyle name="Comma (0,000) TBD- 5 147" xfId="11424"/>
    <cellStyle name="Comma (0,000) TBD 5 148" xfId="11425"/>
    <cellStyle name="Comma (0,000) TBD- 5 148" xfId="11426"/>
    <cellStyle name="Comma (0,000) TBD 5 149" xfId="11427"/>
    <cellStyle name="Comma (0,000) TBD- 5 149" xfId="11428"/>
    <cellStyle name="Comma (0,000) TBD 5 15" xfId="11429"/>
    <cellStyle name="Comma (0,000) TBD- 5 15" xfId="11430"/>
    <cellStyle name="Comma (0,000) TBD 5 150" xfId="11431"/>
    <cellStyle name="Comma (0,000) TBD- 5 150" xfId="11432"/>
    <cellStyle name="Comma (0,000) TBD 5 151" xfId="11433"/>
    <cellStyle name="Comma (0,000) TBD- 5 151" xfId="11434"/>
    <cellStyle name="Comma (0,000) TBD 5 152" xfId="11435"/>
    <cellStyle name="Comma (0,000) TBD- 5 152" xfId="11436"/>
    <cellStyle name="Comma (0,000) TBD 5 153" xfId="11437"/>
    <cellStyle name="Comma (0,000) TBD- 5 153" xfId="11438"/>
    <cellStyle name="Comma (0,000) TBD 5 16" xfId="11439"/>
    <cellStyle name="Comma (0,000) TBD- 5 16" xfId="11440"/>
    <cellStyle name="Comma (0,000) TBD 5 17" xfId="11441"/>
    <cellStyle name="Comma (0,000) TBD- 5 17" xfId="11442"/>
    <cellStyle name="Comma (0,000) TBD 5 18" xfId="11443"/>
    <cellStyle name="Comma (0,000) TBD- 5 18" xfId="11444"/>
    <cellStyle name="Comma (0,000) TBD 5 19" xfId="11445"/>
    <cellStyle name="Comma (0,000) TBD- 5 19" xfId="11446"/>
    <cellStyle name="Comma (0,000) TBD 5 2" xfId="11447"/>
    <cellStyle name="Comma (0,000) TBD- 5 2" xfId="11448"/>
    <cellStyle name="Comma (0,000) TBD 5 20" xfId="11449"/>
    <cellStyle name="Comma (0,000) TBD- 5 20" xfId="11450"/>
    <cellStyle name="Comma (0,000) TBD 5 21" xfId="11451"/>
    <cellStyle name="Comma (0,000) TBD- 5 21" xfId="11452"/>
    <cellStyle name="Comma (0,000) TBD 5 22" xfId="11453"/>
    <cellStyle name="Comma (0,000) TBD- 5 22" xfId="11454"/>
    <cellStyle name="Comma (0,000) TBD 5 23" xfId="11455"/>
    <cellStyle name="Comma (0,000) TBD- 5 23" xfId="11456"/>
    <cellStyle name="Comma (0,000) TBD 5 24" xfId="11457"/>
    <cellStyle name="Comma (0,000) TBD- 5 24" xfId="11458"/>
    <cellStyle name="Comma (0,000) TBD 5 25" xfId="11459"/>
    <cellStyle name="Comma (0,000) TBD- 5 25" xfId="11460"/>
    <cellStyle name="Comma (0,000) TBD 5 26" xfId="11461"/>
    <cellStyle name="Comma (0,000) TBD- 5 26" xfId="11462"/>
    <cellStyle name="Comma (0,000) TBD 5 27" xfId="11463"/>
    <cellStyle name="Comma (0,000) TBD- 5 27" xfId="11464"/>
    <cellStyle name="Comma (0,000) TBD 5 28" xfId="11465"/>
    <cellStyle name="Comma (0,000) TBD- 5 28" xfId="11466"/>
    <cellStyle name="Comma (0,000) TBD 5 29" xfId="11467"/>
    <cellStyle name="Comma (0,000) TBD- 5 29" xfId="11468"/>
    <cellStyle name="Comma (0,000) TBD 5 3" xfId="11469"/>
    <cellStyle name="Comma (0,000) TBD- 5 3" xfId="11470"/>
    <cellStyle name="Comma (0,000) TBD 5 30" xfId="11471"/>
    <cellStyle name="Comma (0,000) TBD- 5 30" xfId="11472"/>
    <cellStyle name="Comma (0,000) TBD 5 31" xfId="11473"/>
    <cellStyle name="Comma (0,000) TBD- 5 31" xfId="11474"/>
    <cellStyle name="Comma (0,000) TBD 5 32" xfId="11475"/>
    <cellStyle name="Comma (0,000) TBD- 5 32" xfId="11476"/>
    <cellStyle name="Comma (0,000) TBD 5 33" xfId="11477"/>
    <cellStyle name="Comma (0,000) TBD- 5 33" xfId="11478"/>
    <cellStyle name="Comma (0,000) TBD 5 34" xfId="11479"/>
    <cellStyle name="Comma (0,000) TBD- 5 34" xfId="11480"/>
    <cellStyle name="Comma (0,000) TBD 5 35" xfId="11481"/>
    <cellStyle name="Comma (0,000) TBD- 5 35" xfId="11482"/>
    <cellStyle name="Comma (0,000) TBD 5 36" xfId="11483"/>
    <cellStyle name="Comma (0,000) TBD- 5 36" xfId="11484"/>
    <cellStyle name="Comma (0,000) TBD 5 37" xfId="11485"/>
    <cellStyle name="Comma (0,000) TBD- 5 37" xfId="11486"/>
    <cellStyle name="Comma (0,000) TBD 5 38" xfId="11487"/>
    <cellStyle name="Comma (0,000) TBD- 5 38" xfId="11488"/>
    <cellStyle name="Comma (0,000) TBD 5 39" xfId="11489"/>
    <cellStyle name="Comma (0,000) TBD- 5 39" xfId="11490"/>
    <cellStyle name="Comma (0,000) TBD 5 4" xfId="11491"/>
    <cellStyle name="Comma (0,000) TBD- 5 4" xfId="11492"/>
    <cellStyle name="Comma (0,000) TBD 5 40" xfId="11493"/>
    <cellStyle name="Comma (0,000) TBD- 5 40" xfId="11494"/>
    <cellStyle name="Comma (0,000) TBD 5 41" xfId="11495"/>
    <cellStyle name="Comma (0,000) TBD- 5 41" xfId="11496"/>
    <cellStyle name="Comma (0,000) TBD 5 42" xfId="11497"/>
    <cellStyle name="Comma (0,000) TBD- 5 42" xfId="11498"/>
    <cellStyle name="Comma (0,000) TBD 5 43" xfId="11499"/>
    <cellStyle name="Comma (0,000) TBD- 5 43" xfId="11500"/>
    <cellStyle name="Comma (0,000) TBD 5 44" xfId="11501"/>
    <cellStyle name="Comma (0,000) TBD- 5 44" xfId="11502"/>
    <cellStyle name="Comma (0,000) TBD 5 45" xfId="11503"/>
    <cellStyle name="Comma (0,000) TBD- 5 45" xfId="11504"/>
    <cellStyle name="Comma (0,000) TBD 5 46" xfId="11505"/>
    <cellStyle name="Comma (0,000) TBD- 5 46" xfId="11506"/>
    <cellStyle name="Comma (0,000) TBD 5 47" xfId="11507"/>
    <cellStyle name="Comma (0,000) TBD- 5 47" xfId="11508"/>
    <cellStyle name="Comma (0,000) TBD 5 48" xfId="11509"/>
    <cellStyle name="Comma (0,000) TBD- 5 48" xfId="11510"/>
    <cellStyle name="Comma (0,000) TBD 5 49" xfId="11511"/>
    <cellStyle name="Comma (0,000) TBD- 5 49" xfId="11512"/>
    <cellStyle name="Comma (0,000) TBD 5 5" xfId="11513"/>
    <cellStyle name="Comma (0,000) TBD- 5 5" xfId="11514"/>
    <cellStyle name="Comma (0,000) TBD 5 50" xfId="11515"/>
    <cellStyle name="Comma (0,000) TBD- 5 50" xfId="11516"/>
    <cellStyle name="Comma (0,000) TBD 5 51" xfId="11517"/>
    <cellStyle name="Comma (0,000) TBD- 5 51" xfId="11518"/>
    <cellStyle name="Comma (0,000) TBD 5 52" xfId="11519"/>
    <cellStyle name="Comma (0,000) TBD- 5 52" xfId="11520"/>
    <cellStyle name="Comma (0,000) TBD 5 53" xfId="11521"/>
    <cellStyle name="Comma (0,000) TBD- 5 53" xfId="11522"/>
    <cellStyle name="Comma (0,000) TBD 5 54" xfId="11523"/>
    <cellStyle name="Comma (0,000) TBD- 5 54" xfId="11524"/>
    <cellStyle name="Comma (0,000) TBD 5 55" xfId="11525"/>
    <cellStyle name="Comma (0,000) TBD- 5 55" xfId="11526"/>
    <cellStyle name="Comma (0,000) TBD 5 56" xfId="11527"/>
    <cellStyle name="Comma (0,000) TBD- 5 56" xfId="11528"/>
    <cellStyle name="Comma (0,000) TBD 5 57" xfId="11529"/>
    <cellStyle name="Comma (0,000) TBD- 5 57" xfId="11530"/>
    <cellStyle name="Comma (0,000) TBD 5 58" xfId="11531"/>
    <cellStyle name="Comma (0,000) TBD- 5 58" xfId="11532"/>
    <cellStyle name="Comma (0,000) TBD 5 59" xfId="11533"/>
    <cellStyle name="Comma (0,000) TBD- 5 59" xfId="11534"/>
    <cellStyle name="Comma (0,000) TBD 5 6" xfId="11535"/>
    <cellStyle name="Comma (0,000) TBD- 5 6" xfId="11536"/>
    <cellStyle name="Comma (0,000) TBD 5 60" xfId="11537"/>
    <cellStyle name="Comma (0,000) TBD- 5 60" xfId="11538"/>
    <cellStyle name="Comma (0,000) TBD 5 61" xfId="11539"/>
    <cellStyle name="Comma (0,000) TBD- 5 61" xfId="11540"/>
    <cellStyle name="Comma (0,000) TBD 5 62" xfId="11541"/>
    <cellStyle name="Comma (0,000) TBD- 5 62" xfId="11542"/>
    <cellStyle name="Comma (0,000) TBD 5 63" xfId="11543"/>
    <cellStyle name="Comma (0,000) TBD- 5 63" xfId="11544"/>
    <cellStyle name="Comma (0,000) TBD 5 64" xfId="11545"/>
    <cellStyle name="Comma (0,000) TBD- 5 64" xfId="11546"/>
    <cellStyle name="Comma (0,000) TBD 5 65" xfId="11547"/>
    <cellStyle name="Comma (0,000) TBD- 5 65" xfId="11548"/>
    <cellStyle name="Comma (0,000) TBD 5 66" xfId="11549"/>
    <cellStyle name="Comma (0,000) TBD- 5 66" xfId="11550"/>
    <cellStyle name="Comma (0,000) TBD 5 67" xfId="11551"/>
    <cellStyle name="Comma (0,000) TBD- 5 67" xfId="11552"/>
    <cellStyle name="Comma (0,000) TBD 5 68" xfId="11553"/>
    <cellStyle name="Comma (0,000) TBD- 5 68" xfId="11554"/>
    <cellStyle name="Comma (0,000) TBD 5 69" xfId="11555"/>
    <cellStyle name="Comma (0,000) TBD- 5 69" xfId="11556"/>
    <cellStyle name="Comma (0,000) TBD 5 7" xfId="11557"/>
    <cellStyle name="Comma (0,000) TBD- 5 7" xfId="11558"/>
    <cellStyle name="Comma (0,000) TBD 5 70" xfId="11559"/>
    <cellStyle name="Comma (0,000) TBD- 5 70" xfId="11560"/>
    <cellStyle name="Comma (0,000) TBD 5 71" xfId="11561"/>
    <cellStyle name="Comma (0,000) TBD- 5 71" xfId="11562"/>
    <cellStyle name="Comma (0,000) TBD 5 72" xfId="11563"/>
    <cellStyle name="Comma (0,000) TBD- 5 72" xfId="11564"/>
    <cellStyle name="Comma (0,000) TBD 5 73" xfId="11565"/>
    <cellStyle name="Comma (0,000) TBD- 5 73" xfId="11566"/>
    <cellStyle name="Comma (0,000) TBD 5 74" xfId="11567"/>
    <cellStyle name="Comma (0,000) TBD- 5 74" xfId="11568"/>
    <cellStyle name="Comma (0,000) TBD 5 75" xfId="11569"/>
    <cellStyle name="Comma (0,000) TBD- 5 75" xfId="11570"/>
    <cellStyle name="Comma (0,000) TBD 5 76" xfId="11571"/>
    <cellStyle name="Comma (0,000) TBD- 5 76" xfId="11572"/>
    <cellStyle name="Comma (0,000) TBD 5 77" xfId="11573"/>
    <cellStyle name="Comma (0,000) TBD- 5 77" xfId="11574"/>
    <cellStyle name="Comma (0,000) TBD 5 78" xfId="11575"/>
    <cellStyle name="Comma (0,000) TBD- 5 78" xfId="11576"/>
    <cellStyle name="Comma (0,000) TBD 5 79" xfId="11577"/>
    <cellStyle name="Comma (0,000) TBD- 5 79" xfId="11578"/>
    <cellStyle name="Comma (0,000) TBD 5 8" xfId="11579"/>
    <cellStyle name="Comma (0,000) TBD- 5 8" xfId="11580"/>
    <cellStyle name="Comma (0,000) TBD 5 80" xfId="11581"/>
    <cellStyle name="Comma (0,000) TBD- 5 80" xfId="11582"/>
    <cellStyle name="Comma (0,000) TBD 5 81" xfId="11583"/>
    <cellStyle name="Comma (0,000) TBD- 5 81" xfId="11584"/>
    <cellStyle name="Comma (0,000) TBD 5 82" xfId="11585"/>
    <cellStyle name="Comma (0,000) TBD- 5 82" xfId="11586"/>
    <cellStyle name="Comma (0,000) TBD 5 83" xfId="11587"/>
    <cellStyle name="Comma (0,000) TBD- 5 83" xfId="11588"/>
    <cellStyle name="Comma (0,000) TBD 5 84" xfId="11589"/>
    <cellStyle name="Comma (0,000) TBD- 5 84" xfId="11590"/>
    <cellStyle name="Comma (0,000) TBD 5 85" xfId="11591"/>
    <cellStyle name="Comma (0,000) TBD- 5 85" xfId="11592"/>
    <cellStyle name="Comma (0,000) TBD 5 86" xfId="11593"/>
    <cellStyle name="Comma (0,000) TBD- 5 86" xfId="11594"/>
    <cellStyle name="Comma (0,000) TBD 5 87" xfId="11595"/>
    <cellStyle name="Comma (0,000) TBD- 5 87" xfId="11596"/>
    <cellStyle name="Comma (0,000) TBD 5 88" xfId="11597"/>
    <cellStyle name="Comma (0,000) TBD- 5 88" xfId="11598"/>
    <cellStyle name="Comma (0,000) TBD 5 89" xfId="11599"/>
    <cellStyle name="Comma (0,000) TBD- 5 89" xfId="11600"/>
    <cellStyle name="Comma (0,000) TBD 5 9" xfId="11601"/>
    <cellStyle name="Comma (0,000) TBD- 5 9" xfId="11602"/>
    <cellStyle name="Comma (0,000) TBD 5 90" xfId="11603"/>
    <cellStyle name="Comma (0,000) TBD- 5 90" xfId="11604"/>
    <cellStyle name="Comma (0,000) TBD 5 91" xfId="11605"/>
    <cellStyle name="Comma (0,000) TBD- 5 91" xfId="11606"/>
    <cellStyle name="Comma (0,000) TBD 5 92" xfId="11607"/>
    <cellStyle name="Comma (0,000) TBD- 5 92" xfId="11608"/>
    <cellStyle name="Comma (0,000) TBD 5 93" xfId="11609"/>
    <cellStyle name="Comma (0,000) TBD- 5 93" xfId="11610"/>
    <cellStyle name="Comma (0,000) TBD 5 94" xfId="11611"/>
    <cellStyle name="Comma (0,000) TBD- 5 94" xfId="11612"/>
    <cellStyle name="Comma (0,000) TBD 5 95" xfId="11613"/>
    <cellStyle name="Comma (0,000) TBD- 5 95" xfId="11614"/>
    <cellStyle name="Comma (0,000) TBD 5 96" xfId="11615"/>
    <cellStyle name="Comma (0,000) TBD- 5 96" xfId="11616"/>
    <cellStyle name="Comma (0,000) TBD 5 97" xfId="11617"/>
    <cellStyle name="Comma (0,000) TBD- 5 97" xfId="11618"/>
    <cellStyle name="Comma (0,000) TBD 5 98" xfId="11619"/>
    <cellStyle name="Comma (0,000) TBD- 5 98" xfId="11620"/>
    <cellStyle name="Comma (0,000) TBD 5 99" xfId="11621"/>
    <cellStyle name="Comma (0,000) TBD- 5 99" xfId="11622"/>
    <cellStyle name="Comma (0,000) TBD 6" xfId="11623"/>
    <cellStyle name="Comma (0,000) TBD- 6" xfId="11624"/>
    <cellStyle name="Comma (0,000) TBD 6 10" xfId="11625"/>
    <cellStyle name="Comma (0,000) TBD- 6 10" xfId="11626"/>
    <cellStyle name="Comma (0,000) TBD 6 100" xfId="11627"/>
    <cellStyle name="Comma (0,000) TBD- 6 100" xfId="11628"/>
    <cellStyle name="Comma (0,000) TBD 6 101" xfId="11629"/>
    <cellStyle name="Comma (0,000) TBD- 6 101" xfId="11630"/>
    <cellStyle name="Comma (0,000) TBD 6 102" xfId="11631"/>
    <cellStyle name="Comma (0,000) TBD- 6 102" xfId="11632"/>
    <cellStyle name="Comma (0,000) TBD 6 103" xfId="11633"/>
    <cellStyle name="Comma (0,000) TBD- 6 103" xfId="11634"/>
    <cellStyle name="Comma (0,000) TBD 6 104" xfId="11635"/>
    <cellStyle name="Comma (0,000) TBD- 6 104" xfId="11636"/>
    <cellStyle name="Comma (0,000) TBD 6 105" xfId="11637"/>
    <cellStyle name="Comma (0,000) TBD- 6 105" xfId="11638"/>
    <cellStyle name="Comma (0,000) TBD 6 106" xfId="11639"/>
    <cellStyle name="Comma (0,000) TBD- 6 106" xfId="11640"/>
    <cellStyle name="Comma (0,000) TBD 6 107" xfId="11641"/>
    <cellStyle name="Comma (0,000) TBD- 6 107" xfId="11642"/>
    <cellStyle name="Comma (0,000) TBD 6 108" xfId="11643"/>
    <cellStyle name="Comma (0,000) TBD- 6 108" xfId="11644"/>
    <cellStyle name="Comma (0,000) TBD 6 109" xfId="11645"/>
    <cellStyle name="Comma (0,000) TBD- 6 109" xfId="11646"/>
    <cellStyle name="Comma (0,000) TBD 6 11" xfId="11647"/>
    <cellStyle name="Comma (0,000) TBD- 6 11" xfId="11648"/>
    <cellStyle name="Comma (0,000) TBD 6 110" xfId="11649"/>
    <cellStyle name="Comma (0,000) TBD- 6 110" xfId="11650"/>
    <cellStyle name="Comma (0,000) TBD 6 111" xfId="11651"/>
    <cellStyle name="Comma (0,000) TBD- 6 111" xfId="11652"/>
    <cellStyle name="Comma (0,000) TBD 6 112" xfId="11653"/>
    <cellStyle name="Comma (0,000) TBD- 6 112" xfId="11654"/>
    <cellStyle name="Comma (0,000) TBD 6 113" xfId="11655"/>
    <cellStyle name="Comma (0,000) TBD- 6 113" xfId="11656"/>
    <cellStyle name="Comma (0,000) TBD 6 114" xfId="11657"/>
    <cellStyle name="Comma (0,000) TBD- 6 114" xfId="11658"/>
    <cellStyle name="Comma (0,000) TBD 6 115" xfId="11659"/>
    <cellStyle name="Comma (0,000) TBD- 6 115" xfId="11660"/>
    <cellStyle name="Comma (0,000) TBD 6 116" xfId="11661"/>
    <cellStyle name="Comma (0,000) TBD- 6 116" xfId="11662"/>
    <cellStyle name="Comma (0,000) TBD 6 117" xfId="11663"/>
    <cellStyle name="Comma (0,000) TBD- 6 117" xfId="11664"/>
    <cellStyle name="Comma (0,000) TBD 6 118" xfId="11665"/>
    <cellStyle name="Comma (0,000) TBD- 6 118" xfId="11666"/>
    <cellStyle name="Comma (0,000) TBD 6 119" xfId="11667"/>
    <cellStyle name="Comma (0,000) TBD- 6 119" xfId="11668"/>
    <cellStyle name="Comma (0,000) TBD 6 12" xfId="11669"/>
    <cellStyle name="Comma (0,000) TBD- 6 12" xfId="11670"/>
    <cellStyle name="Comma (0,000) TBD 6 120" xfId="11671"/>
    <cellStyle name="Comma (0,000) TBD- 6 120" xfId="11672"/>
    <cellStyle name="Comma (0,000) TBD 6 121" xfId="11673"/>
    <cellStyle name="Comma (0,000) TBD- 6 121" xfId="11674"/>
    <cellStyle name="Comma (0,000) TBD 6 122" xfId="11675"/>
    <cellStyle name="Comma (0,000) TBD- 6 122" xfId="11676"/>
    <cellStyle name="Comma (0,000) TBD 6 123" xfId="11677"/>
    <cellStyle name="Comma (0,000) TBD- 6 123" xfId="11678"/>
    <cellStyle name="Comma (0,000) TBD 6 124" xfId="11679"/>
    <cellStyle name="Comma (0,000) TBD- 6 124" xfId="11680"/>
    <cellStyle name="Comma (0,000) TBD 6 125" xfId="11681"/>
    <cellStyle name="Comma (0,000) TBD- 6 125" xfId="11682"/>
    <cellStyle name="Comma (0,000) TBD 6 126" xfId="11683"/>
    <cellStyle name="Comma (0,000) TBD- 6 126" xfId="11684"/>
    <cellStyle name="Comma (0,000) TBD 6 127" xfId="11685"/>
    <cellStyle name="Comma (0,000) TBD- 6 127" xfId="11686"/>
    <cellStyle name="Comma (0,000) TBD 6 128" xfId="11687"/>
    <cellStyle name="Comma (0,000) TBD- 6 128" xfId="11688"/>
    <cellStyle name="Comma (0,000) TBD 6 129" xfId="11689"/>
    <cellStyle name="Comma (0,000) TBD- 6 129" xfId="11690"/>
    <cellStyle name="Comma (0,000) TBD 6 13" xfId="11691"/>
    <cellStyle name="Comma (0,000) TBD- 6 13" xfId="11692"/>
    <cellStyle name="Comma (0,000) TBD 6 130" xfId="11693"/>
    <cellStyle name="Comma (0,000) TBD- 6 130" xfId="11694"/>
    <cellStyle name="Comma (0,000) TBD 6 131" xfId="11695"/>
    <cellStyle name="Comma (0,000) TBD- 6 131" xfId="11696"/>
    <cellStyle name="Comma (0,000) TBD 6 132" xfId="11697"/>
    <cellStyle name="Comma (0,000) TBD- 6 132" xfId="11698"/>
    <cellStyle name="Comma (0,000) TBD 6 133" xfId="11699"/>
    <cellStyle name="Comma (0,000) TBD- 6 133" xfId="11700"/>
    <cellStyle name="Comma (0,000) TBD 6 134" xfId="11701"/>
    <cellStyle name="Comma (0,000) TBD- 6 134" xfId="11702"/>
    <cellStyle name="Comma (0,000) TBD 6 135" xfId="11703"/>
    <cellStyle name="Comma (0,000) TBD- 6 135" xfId="11704"/>
    <cellStyle name="Comma (0,000) TBD 6 136" xfId="11705"/>
    <cellStyle name="Comma (0,000) TBD- 6 136" xfId="11706"/>
    <cellStyle name="Comma (0,000) TBD 6 137" xfId="11707"/>
    <cellStyle name="Comma (0,000) TBD- 6 137" xfId="11708"/>
    <cellStyle name="Comma (0,000) TBD 6 138" xfId="11709"/>
    <cellStyle name="Comma (0,000) TBD- 6 138" xfId="11710"/>
    <cellStyle name="Comma (0,000) TBD 6 139" xfId="11711"/>
    <cellStyle name="Comma (0,000) TBD- 6 139" xfId="11712"/>
    <cellStyle name="Comma (0,000) TBD 6 14" xfId="11713"/>
    <cellStyle name="Comma (0,000) TBD- 6 14" xfId="11714"/>
    <cellStyle name="Comma (0,000) TBD 6 140" xfId="11715"/>
    <cellStyle name="Comma (0,000) TBD- 6 140" xfId="11716"/>
    <cellStyle name="Comma (0,000) TBD 6 141" xfId="11717"/>
    <cellStyle name="Comma (0,000) TBD- 6 141" xfId="11718"/>
    <cellStyle name="Comma (0,000) TBD 6 142" xfId="11719"/>
    <cellStyle name="Comma (0,000) TBD- 6 142" xfId="11720"/>
    <cellStyle name="Comma (0,000) TBD 6 143" xfId="11721"/>
    <cellStyle name="Comma (0,000) TBD- 6 143" xfId="11722"/>
    <cellStyle name="Comma (0,000) TBD 6 144" xfId="11723"/>
    <cellStyle name="Comma (0,000) TBD- 6 144" xfId="11724"/>
    <cellStyle name="Comma (0,000) TBD 6 145" xfId="11725"/>
    <cellStyle name="Comma (0,000) TBD- 6 145" xfId="11726"/>
    <cellStyle name="Comma (0,000) TBD 6 146" xfId="11727"/>
    <cellStyle name="Comma (0,000) TBD- 6 146" xfId="11728"/>
    <cellStyle name="Comma (0,000) TBD 6 147" xfId="11729"/>
    <cellStyle name="Comma (0,000) TBD- 6 147" xfId="11730"/>
    <cellStyle name="Comma (0,000) TBD 6 148" xfId="11731"/>
    <cellStyle name="Comma (0,000) TBD- 6 148" xfId="11732"/>
    <cellStyle name="Comma (0,000) TBD 6 149" xfId="11733"/>
    <cellStyle name="Comma (0,000) TBD- 6 149" xfId="11734"/>
    <cellStyle name="Comma (0,000) TBD 6 15" xfId="11735"/>
    <cellStyle name="Comma (0,000) TBD- 6 15" xfId="11736"/>
    <cellStyle name="Comma (0,000) TBD 6 150" xfId="11737"/>
    <cellStyle name="Comma (0,000) TBD- 6 150" xfId="11738"/>
    <cellStyle name="Comma (0,000) TBD 6 151" xfId="11739"/>
    <cellStyle name="Comma (0,000) TBD- 6 151" xfId="11740"/>
    <cellStyle name="Comma (0,000) TBD 6 152" xfId="11741"/>
    <cellStyle name="Comma (0,000) TBD- 6 152" xfId="11742"/>
    <cellStyle name="Comma (0,000) TBD 6 153" xfId="11743"/>
    <cellStyle name="Comma (0,000) TBD- 6 153" xfId="11744"/>
    <cellStyle name="Comma (0,000) TBD 6 16" xfId="11745"/>
    <cellStyle name="Comma (0,000) TBD- 6 16" xfId="11746"/>
    <cellStyle name="Comma (0,000) TBD 6 17" xfId="11747"/>
    <cellStyle name="Comma (0,000) TBD- 6 17" xfId="11748"/>
    <cellStyle name="Comma (0,000) TBD 6 18" xfId="11749"/>
    <cellStyle name="Comma (0,000) TBD- 6 18" xfId="11750"/>
    <cellStyle name="Comma (0,000) TBD 6 19" xfId="11751"/>
    <cellStyle name="Comma (0,000) TBD- 6 19" xfId="11752"/>
    <cellStyle name="Comma (0,000) TBD 6 2" xfId="11753"/>
    <cellStyle name="Comma (0,000) TBD- 6 2" xfId="11754"/>
    <cellStyle name="Comma (0,000) TBD 6 20" xfId="11755"/>
    <cellStyle name="Comma (0,000) TBD- 6 20" xfId="11756"/>
    <cellStyle name="Comma (0,000) TBD 6 21" xfId="11757"/>
    <cellStyle name="Comma (0,000) TBD- 6 21" xfId="11758"/>
    <cellStyle name="Comma (0,000) TBD 6 22" xfId="11759"/>
    <cellStyle name="Comma (0,000) TBD- 6 22" xfId="11760"/>
    <cellStyle name="Comma (0,000) TBD 6 23" xfId="11761"/>
    <cellStyle name="Comma (0,000) TBD- 6 23" xfId="11762"/>
    <cellStyle name="Comma (0,000) TBD 6 24" xfId="11763"/>
    <cellStyle name="Comma (0,000) TBD- 6 24" xfId="11764"/>
    <cellStyle name="Comma (0,000) TBD 6 25" xfId="11765"/>
    <cellStyle name="Comma (0,000) TBD- 6 25" xfId="11766"/>
    <cellStyle name="Comma (0,000) TBD 6 26" xfId="11767"/>
    <cellStyle name="Comma (0,000) TBD- 6 26" xfId="11768"/>
    <cellStyle name="Comma (0,000) TBD 6 27" xfId="11769"/>
    <cellStyle name="Comma (0,000) TBD- 6 27" xfId="11770"/>
    <cellStyle name="Comma (0,000) TBD 6 28" xfId="11771"/>
    <cellStyle name="Comma (0,000) TBD- 6 28" xfId="11772"/>
    <cellStyle name="Comma (0,000) TBD 6 29" xfId="11773"/>
    <cellStyle name="Comma (0,000) TBD- 6 29" xfId="11774"/>
    <cellStyle name="Comma (0,000) TBD 6 3" xfId="11775"/>
    <cellStyle name="Comma (0,000) TBD- 6 3" xfId="11776"/>
    <cellStyle name="Comma (0,000) TBD 6 30" xfId="11777"/>
    <cellStyle name="Comma (0,000) TBD- 6 30" xfId="11778"/>
    <cellStyle name="Comma (0,000) TBD 6 31" xfId="11779"/>
    <cellStyle name="Comma (0,000) TBD- 6 31" xfId="11780"/>
    <cellStyle name="Comma (0,000) TBD 6 32" xfId="11781"/>
    <cellStyle name="Comma (0,000) TBD- 6 32" xfId="11782"/>
    <cellStyle name="Comma (0,000) TBD 6 33" xfId="11783"/>
    <cellStyle name="Comma (0,000) TBD- 6 33" xfId="11784"/>
    <cellStyle name="Comma (0,000) TBD 6 34" xfId="11785"/>
    <cellStyle name="Comma (0,000) TBD- 6 34" xfId="11786"/>
    <cellStyle name="Comma (0,000) TBD 6 35" xfId="11787"/>
    <cellStyle name="Comma (0,000) TBD- 6 35" xfId="11788"/>
    <cellStyle name="Comma (0,000) TBD 6 36" xfId="11789"/>
    <cellStyle name="Comma (0,000) TBD- 6 36" xfId="11790"/>
    <cellStyle name="Comma (0,000) TBD 6 37" xfId="11791"/>
    <cellStyle name="Comma (0,000) TBD- 6 37" xfId="11792"/>
    <cellStyle name="Comma (0,000) TBD 6 38" xfId="11793"/>
    <cellStyle name="Comma (0,000) TBD- 6 38" xfId="11794"/>
    <cellStyle name="Comma (0,000) TBD 6 39" xfId="11795"/>
    <cellStyle name="Comma (0,000) TBD- 6 39" xfId="11796"/>
    <cellStyle name="Comma (0,000) TBD 6 4" xfId="11797"/>
    <cellStyle name="Comma (0,000) TBD- 6 4" xfId="11798"/>
    <cellStyle name="Comma (0,000) TBD 6 40" xfId="11799"/>
    <cellStyle name="Comma (0,000) TBD- 6 40" xfId="11800"/>
    <cellStyle name="Comma (0,000) TBD 6 41" xfId="11801"/>
    <cellStyle name="Comma (0,000) TBD- 6 41" xfId="11802"/>
    <cellStyle name="Comma (0,000) TBD 6 42" xfId="11803"/>
    <cellStyle name="Comma (0,000) TBD- 6 42" xfId="11804"/>
    <cellStyle name="Comma (0,000) TBD 6 43" xfId="11805"/>
    <cellStyle name="Comma (0,000) TBD- 6 43" xfId="11806"/>
    <cellStyle name="Comma (0,000) TBD 6 44" xfId="11807"/>
    <cellStyle name="Comma (0,000) TBD- 6 44" xfId="11808"/>
    <cellStyle name="Comma (0,000) TBD 6 45" xfId="11809"/>
    <cellStyle name="Comma (0,000) TBD- 6 45" xfId="11810"/>
    <cellStyle name="Comma (0,000) TBD 6 46" xfId="11811"/>
    <cellStyle name="Comma (0,000) TBD- 6 46" xfId="11812"/>
    <cellStyle name="Comma (0,000) TBD 6 47" xfId="11813"/>
    <cellStyle name="Comma (0,000) TBD- 6 47" xfId="11814"/>
    <cellStyle name="Comma (0,000) TBD 6 48" xfId="11815"/>
    <cellStyle name="Comma (0,000) TBD- 6 48" xfId="11816"/>
    <cellStyle name="Comma (0,000) TBD 6 49" xfId="11817"/>
    <cellStyle name="Comma (0,000) TBD- 6 49" xfId="11818"/>
    <cellStyle name="Comma (0,000) TBD 6 5" xfId="11819"/>
    <cellStyle name="Comma (0,000) TBD- 6 5" xfId="11820"/>
    <cellStyle name="Comma (0,000) TBD 6 50" xfId="11821"/>
    <cellStyle name="Comma (0,000) TBD- 6 50" xfId="11822"/>
    <cellStyle name="Comma (0,000) TBD 6 51" xfId="11823"/>
    <cellStyle name="Comma (0,000) TBD- 6 51" xfId="11824"/>
    <cellStyle name="Comma (0,000) TBD 6 52" xfId="11825"/>
    <cellStyle name="Comma (0,000) TBD- 6 52" xfId="11826"/>
    <cellStyle name="Comma (0,000) TBD 6 53" xfId="11827"/>
    <cellStyle name="Comma (0,000) TBD- 6 53" xfId="11828"/>
    <cellStyle name="Comma (0,000) TBD 6 54" xfId="11829"/>
    <cellStyle name="Comma (0,000) TBD- 6 54" xfId="11830"/>
    <cellStyle name="Comma (0,000) TBD 6 55" xfId="11831"/>
    <cellStyle name="Comma (0,000) TBD- 6 55" xfId="11832"/>
    <cellStyle name="Comma (0,000) TBD 6 56" xfId="11833"/>
    <cellStyle name="Comma (0,000) TBD- 6 56" xfId="11834"/>
    <cellStyle name="Comma (0,000) TBD 6 57" xfId="11835"/>
    <cellStyle name="Comma (0,000) TBD- 6 57" xfId="11836"/>
    <cellStyle name="Comma (0,000) TBD 6 58" xfId="11837"/>
    <cellStyle name="Comma (0,000) TBD- 6 58" xfId="11838"/>
    <cellStyle name="Comma (0,000) TBD 6 59" xfId="11839"/>
    <cellStyle name="Comma (0,000) TBD- 6 59" xfId="11840"/>
    <cellStyle name="Comma (0,000) TBD 6 6" xfId="11841"/>
    <cellStyle name="Comma (0,000) TBD- 6 6" xfId="11842"/>
    <cellStyle name="Comma (0,000) TBD 6 60" xfId="11843"/>
    <cellStyle name="Comma (0,000) TBD- 6 60" xfId="11844"/>
    <cellStyle name="Comma (0,000) TBD 6 61" xfId="11845"/>
    <cellStyle name="Comma (0,000) TBD- 6 61" xfId="11846"/>
    <cellStyle name="Comma (0,000) TBD 6 62" xfId="11847"/>
    <cellStyle name="Comma (0,000) TBD- 6 62" xfId="11848"/>
    <cellStyle name="Comma (0,000) TBD 6 63" xfId="11849"/>
    <cellStyle name="Comma (0,000) TBD- 6 63" xfId="11850"/>
    <cellStyle name="Comma (0,000) TBD 6 64" xfId="11851"/>
    <cellStyle name="Comma (0,000) TBD- 6 64" xfId="11852"/>
    <cellStyle name="Comma (0,000) TBD 6 65" xfId="11853"/>
    <cellStyle name="Comma (0,000) TBD- 6 65" xfId="11854"/>
    <cellStyle name="Comma (0,000) TBD 6 66" xfId="11855"/>
    <cellStyle name="Comma (0,000) TBD- 6 66" xfId="11856"/>
    <cellStyle name="Comma (0,000) TBD 6 67" xfId="11857"/>
    <cellStyle name="Comma (0,000) TBD- 6 67" xfId="11858"/>
    <cellStyle name="Comma (0,000) TBD 6 68" xfId="11859"/>
    <cellStyle name="Comma (0,000) TBD- 6 68" xfId="11860"/>
    <cellStyle name="Comma (0,000) TBD 6 69" xfId="11861"/>
    <cellStyle name="Comma (0,000) TBD- 6 69" xfId="11862"/>
    <cellStyle name="Comma (0,000) TBD 6 7" xfId="11863"/>
    <cellStyle name="Comma (0,000) TBD- 6 7" xfId="11864"/>
    <cellStyle name="Comma (0,000) TBD 6 70" xfId="11865"/>
    <cellStyle name="Comma (0,000) TBD- 6 70" xfId="11866"/>
    <cellStyle name="Comma (0,000) TBD 6 71" xfId="11867"/>
    <cellStyle name="Comma (0,000) TBD- 6 71" xfId="11868"/>
    <cellStyle name="Comma (0,000) TBD 6 72" xfId="11869"/>
    <cellStyle name="Comma (0,000) TBD- 6 72" xfId="11870"/>
    <cellStyle name="Comma (0,000) TBD 6 73" xfId="11871"/>
    <cellStyle name="Comma (0,000) TBD- 6 73" xfId="11872"/>
    <cellStyle name="Comma (0,000) TBD 6 74" xfId="11873"/>
    <cellStyle name="Comma (0,000) TBD- 6 74" xfId="11874"/>
    <cellStyle name="Comma (0,000) TBD 6 75" xfId="11875"/>
    <cellStyle name="Comma (0,000) TBD- 6 75" xfId="11876"/>
    <cellStyle name="Comma (0,000) TBD 6 76" xfId="11877"/>
    <cellStyle name="Comma (0,000) TBD- 6 76" xfId="11878"/>
    <cellStyle name="Comma (0,000) TBD 6 77" xfId="11879"/>
    <cellStyle name="Comma (0,000) TBD- 6 77" xfId="11880"/>
    <cellStyle name="Comma (0,000) TBD 6 78" xfId="11881"/>
    <cellStyle name="Comma (0,000) TBD- 6 78" xfId="11882"/>
    <cellStyle name="Comma (0,000) TBD 6 79" xfId="11883"/>
    <cellStyle name="Comma (0,000) TBD- 6 79" xfId="11884"/>
    <cellStyle name="Comma (0,000) TBD 6 8" xfId="11885"/>
    <cellStyle name="Comma (0,000) TBD- 6 8" xfId="11886"/>
    <cellStyle name="Comma (0,000) TBD 6 80" xfId="11887"/>
    <cellStyle name="Comma (0,000) TBD- 6 80" xfId="11888"/>
    <cellStyle name="Comma (0,000) TBD 6 81" xfId="11889"/>
    <cellStyle name="Comma (0,000) TBD- 6 81" xfId="11890"/>
    <cellStyle name="Comma (0,000) TBD 6 82" xfId="11891"/>
    <cellStyle name="Comma (0,000) TBD- 6 82" xfId="11892"/>
    <cellStyle name="Comma (0,000) TBD 6 83" xfId="11893"/>
    <cellStyle name="Comma (0,000) TBD- 6 83" xfId="11894"/>
    <cellStyle name="Comma (0,000) TBD 6 84" xfId="11895"/>
    <cellStyle name="Comma (0,000) TBD- 6 84" xfId="11896"/>
    <cellStyle name="Comma (0,000) TBD 6 85" xfId="11897"/>
    <cellStyle name="Comma (0,000) TBD- 6 85" xfId="11898"/>
    <cellStyle name="Comma (0,000) TBD 6 86" xfId="11899"/>
    <cellStyle name="Comma (0,000) TBD- 6 86" xfId="11900"/>
    <cellStyle name="Comma (0,000) TBD 6 87" xfId="11901"/>
    <cellStyle name="Comma (0,000) TBD- 6 87" xfId="11902"/>
    <cellStyle name="Comma (0,000) TBD 6 88" xfId="11903"/>
    <cellStyle name="Comma (0,000) TBD- 6 88" xfId="11904"/>
    <cellStyle name="Comma (0,000) TBD 6 89" xfId="11905"/>
    <cellStyle name="Comma (0,000) TBD- 6 89" xfId="11906"/>
    <cellStyle name="Comma (0,000) TBD 6 9" xfId="11907"/>
    <cellStyle name="Comma (0,000) TBD- 6 9" xfId="11908"/>
    <cellStyle name="Comma (0,000) TBD 6 90" xfId="11909"/>
    <cellStyle name="Comma (0,000) TBD- 6 90" xfId="11910"/>
    <cellStyle name="Comma (0,000) TBD 6 91" xfId="11911"/>
    <cellStyle name="Comma (0,000) TBD- 6 91" xfId="11912"/>
    <cellStyle name="Comma (0,000) TBD 6 92" xfId="11913"/>
    <cellStyle name="Comma (0,000) TBD- 6 92" xfId="11914"/>
    <cellStyle name="Comma (0,000) TBD 6 93" xfId="11915"/>
    <cellStyle name="Comma (0,000) TBD- 6 93" xfId="11916"/>
    <cellStyle name="Comma (0,000) TBD 6 94" xfId="11917"/>
    <cellStyle name="Comma (0,000) TBD- 6 94" xfId="11918"/>
    <cellStyle name="Comma (0,000) TBD 6 95" xfId="11919"/>
    <cellStyle name="Comma (0,000) TBD- 6 95" xfId="11920"/>
    <cellStyle name="Comma (0,000) TBD 6 96" xfId="11921"/>
    <cellStyle name="Comma (0,000) TBD- 6 96" xfId="11922"/>
    <cellStyle name="Comma (0,000) TBD 6 97" xfId="11923"/>
    <cellStyle name="Comma (0,000) TBD- 6 97" xfId="11924"/>
    <cellStyle name="Comma (0,000) TBD 6 98" xfId="11925"/>
    <cellStyle name="Comma (0,000) TBD- 6 98" xfId="11926"/>
    <cellStyle name="Comma (0,000) TBD 6 99" xfId="11927"/>
    <cellStyle name="Comma (0,000) TBD- 6 99" xfId="11928"/>
    <cellStyle name="Comma (0,000) TBD 7" xfId="11929"/>
    <cellStyle name="Comma (0,000) TBD- 7" xfId="11930"/>
    <cellStyle name="Comma (0,000) TBD 7 10" xfId="11931"/>
    <cellStyle name="Comma (0,000) TBD- 7 10" xfId="11932"/>
    <cellStyle name="Comma (0,000) TBD 7 100" xfId="11933"/>
    <cellStyle name="Comma (0,000) TBD- 7 100" xfId="11934"/>
    <cellStyle name="Comma (0,000) TBD 7 101" xfId="11935"/>
    <cellStyle name="Comma (0,000) TBD- 7 101" xfId="11936"/>
    <cellStyle name="Comma (0,000) TBD 7 102" xfId="11937"/>
    <cellStyle name="Comma (0,000) TBD- 7 102" xfId="11938"/>
    <cellStyle name="Comma (0,000) TBD 7 103" xfId="11939"/>
    <cellStyle name="Comma (0,000) TBD- 7 103" xfId="11940"/>
    <cellStyle name="Comma (0,000) TBD 7 104" xfId="11941"/>
    <cellStyle name="Comma (0,000) TBD- 7 104" xfId="11942"/>
    <cellStyle name="Comma (0,000) TBD 7 105" xfId="11943"/>
    <cellStyle name="Comma (0,000) TBD- 7 105" xfId="11944"/>
    <cellStyle name="Comma (0,000) TBD 7 106" xfId="11945"/>
    <cellStyle name="Comma (0,000) TBD- 7 106" xfId="11946"/>
    <cellStyle name="Comma (0,000) TBD 7 107" xfId="11947"/>
    <cellStyle name="Comma (0,000) TBD- 7 107" xfId="11948"/>
    <cellStyle name="Comma (0,000) TBD 7 108" xfId="11949"/>
    <cellStyle name="Comma (0,000) TBD- 7 108" xfId="11950"/>
    <cellStyle name="Comma (0,000) TBD 7 109" xfId="11951"/>
    <cellStyle name="Comma (0,000) TBD- 7 109" xfId="11952"/>
    <cellStyle name="Comma (0,000) TBD 7 11" xfId="11953"/>
    <cellStyle name="Comma (0,000) TBD- 7 11" xfId="11954"/>
    <cellStyle name="Comma (0,000) TBD 7 110" xfId="11955"/>
    <cellStyle name="Comma (0,000) TBD- 7 110" xfId="11956"/>
    <cellStyle name="Comma (0,000) TBD 7 111" xfId="11957"/>
    <cellStyle name="Comma (0,000) TBD- 7 111" xfId="11958"/>
    <cellStyle name="Comma (0,000) TBD 7 112" xfId="11959"/>
    <cellStyle name="Comma (0,000) TBD- 7 112" xfId="11960"/>
    <cellStyle name="Comma (0,000) TBD 7 113" xfId="11961"/>
    <cellStyle name="Comma (0,000) TBD- 7 113" xfId="11962"/>
    <cellStyle name="Comma (0,000) TBD 7 114" xfId="11963"/>
    <cellStyle name="Comma (0,000) TBD- 7 114" xfId="11964"/>
    <cellStyle name="Comma (0,000) TBD 7 115" xfId="11965"/>
    <cellStyle name="Comma (0,000) TBD- 7 115" xfId="11966"/>
    <cellStyle name="Comma (0,000) TBD 7 116" xfId="11967"/>
    <cellStyle name="Comma (0,000) TBD- 7 116" xfId="11968"/>
    <cellStyle name="Comma (0,000) TBD 7 117" xfId="11969"/>
    <cellStyle name="Comma (0,000) TBD- 7 117" xfId="11970"/>
    <cellStyle name="Comma (0,000) TBD 7 118" xfId="11971"/>
    <cellStyle name="Comma (0,000) TBD- 7 118" xfId="11972"/>
    <cellStyle name="Comma (0,000) TBD 7 119" xfId="11973"/>
    <cellStyle name="Comma (0,000) TBD- 7 119" xfId="11974"/>
    <cellStyle name="Comma (0,000) TBD 7 12" xfId="11975"/>
    <cellStyle name="Comma (0,000) TBD- 7 12" xfId="11976"/>
    <cellStyle name="Comma (0,000) TBD 7 120" xfId="11977"/>
    <cellStyle name="Comma (0,000) TBD- 7 120" xfId="11978"/>
    <cellStyle name="Comma (0,000) TBD 7 121" xfId="11979"/>
    <cellStyle name="Comma (0,000) TBD- 7 121" xfId="11980"/>
    <cellStyle name="Comma (0,000) TBD 7 122" xfId="11981"/>
    <cellStyle name="Comma (0,000) TBD- 7 122" xfId="11982"/>
    <cellStyle name="Comma (0,000) TBD 7 123" xfId="11983"/>
    <cellStyle name="Comma (0,000) TBD- 7 123" xfId="11984"/>
    <cellStyle name="Comma (0,000) TBD 7 124" xfId="11985"/>
    <cellStyle name="Comma (0,000) TBD- 7 124" xfId="11986"/>
    <cellStyle name="Comma (0,000) TBD 7 125" xfId="11987"/>
    <cellStyle name="Comma (0,000) TBD- 7 125" xfId="11988"/>
    <cellStyle name="Comma (0,000) TBD 7 126" xfId="11989"/>
    <cellStyle name="Comma (0,000) TBD- 7 126" xfId="11990"/>
    <cellStyle name="Comma (0,000) TBD 7 127" xfId="11991"/>
    <cellStyle name="Comma (0,000) TBD- 7 127" xfId="11992"/>
    <cellStyle name="Comma (0,000) TBD 7 128" xfId="11993"/>
    <cellStyle name="Comma (0,000) TBD- 7 128" xfId="11994"/>
    <cellStyle name="Comma (0,000) TBD 7 129" xfId="11995"/>
    <cellStyle name="Comma (0,000) TBD- 7 129" xfId="11996"/>
    <cellStyle name="Comma (0,000) TBD 7 13" xfId="11997"/>
    <cellStyle name="Comma (0,000) TBD- 7 13" xfId="11998"/>
    <cellStyle name="Comma (0,000) TBD 7 130" xfId="11999"/>
    <cellStyle name="Comma (0,000) TBD- 7 130" xfId="12000"/>
    <cellStyle name="Comma (0,000) TBD 7 131" xfId="12001"/>
    <cellStyle name="Comma (0,000) TBD- 7 131" xfId="12002"/>
    <cellStyle name="Comma (0,000) TBD 7 132" xfId="12003"/>
    <cellStyle name="Comma (0,000) TBD- 7 132" xfId="12004"/>
    <cellStyle name="Comma (0,000) TBD 7 133" xfId="12005"/>
    <cellStyle name="Comma (0,000) TBD- 7 133" xfId="12006"/>
    <cellStyle name="Comma (0,000) TBD 7 134" xfId="12007"/>
    <cellStyle name="Comma (0,000) TBD- 7 134" xfId="12008"/>
    <cellStyle name="Comma (0,000) TBD 7 135" xfId="12009"/>
    <cellStyle name="Comma (0,000) TBD- 7 135" xfId="12010"/>
    <cellStyle name="Comma (0,000) TBD 7 136" xfId="12011"/>
    <cellStyle name="Comma (0,000) TBD- 7 136" xfId="12012"/>
    <cellStyle name="Comma (0,000) TBD 7 137" xfId="12013"/>
    <cellStyle name="Comma (0,000) TBD- 7 137" xfId="12014"/>
    <cellStyle name="Comma (0,000) TBD 7 138" xfId="12015"/>
    <cellStyle name="Comma (0,000) TBD- 7 138" xfId="12016"/>
    <cellStyle name="Comma (0,000) TBD 7 139" xfId="12017"/>
    <cellStyle name="Comma (0,000) TBD- 7 139" xfId="12018"/>
    <cellStyle name="Comma (0,000) TBD 7 14" xfId="12019"/>
    <cellStyle name="Comma (0,000) TBD- 7 14" xfId="12020"/>
    <cellStyle name="Comma (0,000) TBD 7 140" xfId="12021"/>
    <cellStyle name="Comma (0,000) TBD- 7 140" xfId="12022"/>
    <cellStyle name="Comma (0,000) TBD 7 141" xfId="12023"/>
    <cellStyle name="Comma (0,000) TBD- 7 141" xfId="12024"/>
    <cellStyle name="Comma (0,000) TBD 7 142" xfId="12025"/>
    <cellStyle name="Comma (0,000) TBD- 7 142" xfId="12026"/>
    <cellStyle name="Comma (0,000) TBD 7 143" xfId="12027"/>
    <cellStyle name="Comma (0,000) TBD- 7 143" xfId="12028"/>
    <cellStyle name="Comma (0,000) TBD 7 144" xfId="12029"/>
    <cellStyle name="Comma (0,000) TBD- 7 144" xfId="12030"/>
    <cellStyle name="Comma (0,000) TBD 7 145" xfId="12031"/>
    <cellStyle name="Comma (0,000) TBD- 7 145" xfId="12032"/>
    <cellStyle name="Comma (0,000) TBD 7 146" xfId="12033"/>
    <cellStyle name="Comma (0,000) TBD- 7 146" xfId="12034"/>
    <cellStyle name="Comma (0,000) TBD 7 147" xfId="12035"/>
    <cellStyle name="Comma (0,000) TBD- 7 147" xfId="12036"/>
    <cellStyle name="Comma (0,000) TBD 7 148" xfId="12037"/>
    <cellStyle name="Comma (0,000) TBD- 7 148" xfId="12038"/>
    <cellStyle name="Comma (0,000) TBD 7 149" xfId="12039"/>
    <cellStyle name="Comma (0,000) TBD- 7 149" xfId="12040"/>
    <cellStyle name="Comma (0,000) TBD 7 15" xfId="12041"/>
    <cellStyle name="Comma (0,000) TBD- 7 15" xfId="12042"/>
    <cellStyle name="Comma (0,000) TBD 7 150" xfId="12043"/>
    <cellStyle name="Comma (0,000) TBD- 7 150" xfId="12044"/>
    <cellStyle name="Comma (0,000) TBD 7 151" xfId="12045"/>
    <cellStyle name="Comma (0,000) TBD- 7 151" xfId="12046"/>
    <cellStyle name="Comma (0,000) TBD 7 152" xfId="12047"/>
    <cellStyle name="Comma (0,000) TBD- 7 152" xfId="12048"/>
    <cellStyle name="Comma (0,000) TBD 7 153" xfId="12049"/>
    <cellStyle name="Comma (0,000) TBD- 7 153" xfId="12050"/>
    <cellStyle name="Comma (0,000) TBD 7 16" xfId="12051"/>
    <cellStyle name="Comma (0,000) TBD- 7 16" xfId="12052"/>
    <cellStyle name="Comma (0,000) TBD 7 17" xfId="12053"/>
    <cellStyle name="Comma (0,000) TBD- 7 17" xfId="12054"/>
    <cellStyle name="Comma (0,000) TBD 7 18" xfId="12055"/>
    <cellStyle name="Comma (0,000) TBD- 7 18" xfId="12056"/>
    <cellStyle name="Comma (0,000) TBD 7 19" xfId="12057"/>
    <cellStyle name="Comma (0,000) TBD- 7 19" xfId="12058"/>
    <cellStyle name="Comma (0,000) TBD 7 2" xfId="12059"/>
    <cellStyle name="Comma (0,000) TBD- 7 2" xfId="12060"/>
    <cellStyle name="Comma (0,000) TBD 7 20" xfId="12061"/>
    <cellStyle name="Comma (0,000) TBD- 7 20" xfId="12062"/>
    <cellStyle name="Comma (0,000) TBD 7 21" xfId="12063"/>
    <cellStyle name="Comma (0,000) TBD- 7 21" xfId="12064"/>
    <cellStyle name="Comma (0,000) TBD 7 22" xfId="12065"/>
    <cellStyle name="Comma (0,000) TBD- 7 22" xfId="12066"/>
    <cellStyle name="Comma (0,000) TBD 7 23" xfId="12067"/>
    <cellStyle name="Comma (0,000) TBD- 7 23" xfId="12068"/>
    <cellStyle name="Comma (0,000) TBD 7 24" xfId="12069"/>
    <cellStyle name="Comma (0,000) TBD- 7 24" xfId="12070"/>
    <cellStyle name="Comma (0,000) TBD 7 25" xfId="12071"/>
    <cellStyle name="Comma (0,000) TBD- 7 25" xfId="12072"/>
    <cellStyle name="Comma (0,000) TBD 7 26" xfId="12073"/>
    <cellStyle name="Comma (0,000) TBD- 7 26" xfId="12074"/>
    <cellStyle name="Comma (0,000) TBD 7 27" xfId="12075"/>
    <cellStyle name="Comma (0,000) TBD- 7 27" xfId="12076"/>
    <cellStyle name="Comma (0,000) TBD 7 28" xfId="12077"/>
    <cellStyle name="Comma (0,000) TBD- 7 28" xfId="12078"/>
    <cellStyle name="Comma (0,000) TBD 7 29" xfId="12079"/>
    <cellStyle name="Comma (0,000) TBD- 7 29" xfId="12080"/>
    <cellStyle name="Comma (0,000) TBD 7 3" xfId="12081"/>
    <cellStyle name="Comma (0,000) TBD- 7 3" xfId="12082"/>
    <cellStyle name="Comma (0,000) TBD 7 30" xfId="12083"/>
    <cellStyle name="Comma (0,000) TBD- 7 30" xfId="12084"/>
    <cellStyle name="Comma (0,000) TBD 7 31" xfId="12085"/>
    <cellStyle name="Comma (0,000) TBD- 7 31" xfId="12086"/>
    <cellStyle name="Comma (0,000) TBD 7 32" xfId="12087"/>
    <cellStyle name="Comma (0,000) TBD- 7 32" xfId="12088"/>
    <cellStyle name="Comma (0,000) TBD 7 33" xfId="12089"/>
    <cellStyle name="Comma (0,000) TBD- 7 33" xfId="12090"/>
    <cellStyle name="Comma (0,000) TBD 7 34" xfId="12091"/>
    <cellStyle name="Comma (0,000) TBD- 7 34" xfId="12092"/>
    <cellStyle name="Comma (0,000) TBD 7 35" xfId="12093"/>
    <cellStyle name="Comma (0,000) TBD- 7 35" xfId="12094"/>
    <cellStyle name="Comma (0,000) TBD 7 36" xfId="12095"/>
    <cellStyle name="Comma (0,000) TBD- 7 36" xfId="12096"/>
    <cellStyle name="Comma (0,000) TBD 7 37" xfId="12097"/>
    <cellStyle name="Comma (0,000) TBD- 7 37" xfId="12098"/>
    <cellStyle name="Comma (0,000) TBD 7 38" xfId="12099"/>
    <cellStyle name="Comma (0,000) TBD- 7 38" xfId="12100"/>
    <cellStyle name="Comma (0,000) TBD 7 39" xfId="12101"/>
    <cellStyle name="Comma (0,000) TBD- 7 39" xfId="12102"/>
    <cellStyle name="Comma (0,000) TBD 7 4" xfId="12103"/>
    <cellStyle name="Comma (0,000) TBD- 7 4" xfId="12104"/>
    <cellStyle name="Comma (0,000) TBD 7 40" xfId="12105"/>
    <cellStyle name="Comma (0,000) TBD- 7 40" xfId="12106"/>
    <cellStyle name="Comma (0,000) TBD 7 41" xfId="12107"/>
    <cellStyle name="Comma (0,000) TBD- 7 41" xfId="12108"/>
    <cellStyle name="Comma (0,000) TBD 7 42" xfId="12109"/>
    <cellStyle name="Comma (0,000) TBD- 7 42" xfId="12110"/>
    <cellStyle name="Comma (0,000) TBD 7 43" xfId="12111"/>
    <cellStyle name="Comma (0,000) TBD- 7 43" xfId="12112"/>
    <cellStyle name="Comma (0,000) TBD 7 44" xfId="12113"/>
    <cellStyle name="Comma (0,000) TBD- 7 44" xfId="12114"/>
    <cellStyle name="Comma (0,000) TBD 7 45" xfId="12115"/>
    <cellStyle name="Comma (0,000) TBD- 7 45" xfId="12116"/>
    <cellStyle name="Comma (0,000) TBD 7 46" xfId="12117"/>
    <cellStyle name="Comma (0,000) TBD- 7 46" xfId="12118"/>
    <cellStyle name="Comma (0,000) TBD 7 47" xfId="12119"/>
    <cellStyle name="Comma (0,000) TBD- 7 47" xfId="12120"/>
    <cellStyle name="Comma (0,000) TBD 7 48" xfId="12121"/>
    <cellStyle name="Comma (0,000) TBD- 7 48" xfId="12122"/>
    <cellStyle name="Comma (0,000) TBD 7 49" xfId="12123"/>
    <cellStyle name="Comma (0,000) TBD- 7 49" xfId="12124"/>
    <cellStyle name="Comma (0,000) TBD 7 5" xfId="12125"/>
    <cellStyle name="Comma (0,000) TBD- 7 5" xfId="12126"/>
    <cellStyle name="Comma (0,000) TBD 7 50" xfId="12127"/>
    <cellStyle name="Comma (0,000) TBD- 7 50" xfId="12128"/>
    <cellStyle name="Comma (0,000) TBD 7 51" xfId="12129"/>
    <cellStyle name="Comma (0,000) TBD- 7 51" xfId="12130"/>
    <cellStyle name="Comma (0,000) TBD 7 52" xfId="12131"/>
    <cellStyle name="Comma (0,000) TBD- 7 52" xfId="12132"/>
    <cellStyle name="Comma (0,000) TBD 7 53" xfId="12133"/>
    <cellStyle name="Comma (0,000) TBD- 7 53" xfId="12134"/>
    <cellStyle name="Comma (0,000) TBD 7 54" xfId="12135"/>
    <cellStyle name="Comma (0,000) TBD- 7 54" xfId="12136"/>
    <cellStyle name="Comma (0,000) TBD 7 55" xfId="12137"/>
    <cellStyle name="Comma (0,000) TBD- 7 55" xfId="12138"/>
    <cellStyle name="Comma (0,000) TBD 7 56" xfId="12139"/>
    <cellStyle name="Comma (0,000) TBD- 7 56" xfId="12140"/>
    <cellStyle name="Comma (0,000) TBD 7 57" xfId="12141"/>
    <cellStyle name="Comma (0,000) TBD- 7 57" xfId="12142"/>
    <cellStyle name="Comma (0,000) TBD 7 58" xfId="12143"/>
    <cellStyle name="Comma (0,000) TBD- 7 58" xfId="12144"/>
    <cellStyle name="Comma (0,000) TBD 7 59" xfId="12145"/>
    <cellStyle name="Comma (0,000) TBD- 7 59" xfId="12146"/>
    <cellStyle name="Comma (0,000) TBD 7 6" xfId="12147"/>
    <cellStyle name="Comma (0,000) TBD- 7 6" xfId="12148"/>
    <cellStyle name="Comma (0,000) TBD 7 60" xfId="12149"/>
    <cellStyle name="Comma (0,000) TBD- 7 60" xfId="12150"/>
    <cellStyle name="Comma (0,000) TBD 7 61" xfId="12151"/>
    <cellStyle name="Comma (0,000) TBD- 7 61" xfId="12152"/>
    <cellStyle name="Comma (0,000) TBD 7 62" xfId="12153"/>
    <cellStyle name="Comma (0,000) TBD- 7 62" xfId="12154"/>
    <cellStyle name="Comma (0,000) TBD 7 63" xfId="12155"/>
    <cellStyle name="Comma (0,000) TBD- 7 63" xfId="12156"/>
    <cellStyle name="Comma (0,000) TBD 7 64" xfId="12157"/>
    <cellStyle name="Comma (0,000) TBD- 7 64" xfId="12158"/>
    <cellStyle name="Comma (0,000) TBD 7 65" xfId="12159"/>
    <cellStyle name="Comma (0,000) TBD- 7 65" xfId="12160"/>
    <cellStyle name="Comma (0,000) TBD 7 66" xfId="12161"/>
    <cellStyle name="Comma (0,000) TBD- 7 66" xfId="12162"/>
    <cellStyle name="Comma (0,000) TBD 7 67" xfId="12163"/>
    <cellStyle name="Comma (0,000) TBD- 7 67" xfId="12164"/>
    <cellStyle name="Comma (0,000) TBD 7 68" xfId="12165"/>
    <cellStyle name="Comma (0,000) TBD- 7 68" xfId="12166"/>
    <cellStyle name="Comma (0,000) TBD 7 69" xfId="12167"/>
    <cellStyle name="Comma (0,000) TBD- 7 69" xfId="12168"/>
    <cellStyle name="Comma (0,000) TBD 7 7" xfId="12169"/>
    <cellStyle name="Comma (0,000) TBD- 7 7" xfId="12170"/>
    <cellStyle name="Comma (0,000) TBD 7 70" xfId="12171"/>
    <cellStyle name="Comma (0,000) TBD- 7 70" xfId="12172"/>
    <cellStyle name="Comma (0,000) TBD 7 71" xfId="12173"/>
    <cellStyle name="Comma (0,000) TBD- 7 71" xfId="12174"/>
    <cellStyle name="Comma (0,000) TBD 7 72" xfId="12175"/>
    <cellStyle name="Comma (0,000) TBD- 7 72" xfId="12176"/>
    <cellStyle name="Comma (0,000) TBD 7 73" xfId="12177"/>
    <cellStyle name="Comma (0,000) TBD- 7 73" xfId="12178"/>
    <cellStyle name="Comma (0,000) TBD 7 74" xfId="12179"/>
    <cellStyle name="Comma (0,000) TBD- 7 74" xfId="12180"/>
    <cellStyle name="Comma (0,000) TBD 7 75" xfId="12181"/>
    <cellStyle name="Comma (0,000) TBD- 7 75" xfId="12182"/>
    <cellStyle name="Comma (0,000) TBD 7 76" xfId="12183"/>
    <cellStyle name="Comma (0,000) TBD- 7 76" xfId="12184"/>
    <cellStyle name="Comma (0,000) TBD 7 77" xfId="12185"/>
    <cellStyle name="Comma (0,000) TBD- 7 77" xfId="12186"/>
    <cellStyle name="Comma (0,000) TBD 7 78" xfId="12187"/>
    <cellStyle name="Comma (0,000) TBD- 7 78" xfId="12188"/>
    <cellStyle name="Comma (0,000) TBD 7 79" xfId="12189"/>
    <cellStyle name="Comma (0,000) TBD- 7 79" xfId="12190"/>
    <cellStyle name="Comma (0,000) TBD 7 8" xfId="12191"/>
    <cellStyle name="Comma (0,000) TBD- 7 8" xfId="12192"/>
    <cellStyle name="Comma (0,000) TBD 7 80" xfId="12193"/>
    <cellStyle name="Comma (0,000) TBD- 7 80" xfId="12194"/>
    <cellStyle name="Comma (0,000) TBD 7 81" xfId="12195"/>
    <cellStyle name="Comma (0,000) TBD- 7 81" xfId="12196"/>
    <cellStyle name="Comma (0,000) TBD 7 82" xfId="12197"/>
    <cellStyle name="Comma (0,000) TBD- 7 82" xfId="12198"/>
    <cellStyle name="Comma (0,000) TBD 7 83" xfId="12199"/>
    <cellStyle name="Comma (0,000) TBD- 7 83" xfId="12200"/>
    <cellStyle name="Comma (0,000) TBD 7 84" xfId="12201"/>
    <cellStyle name="Comma (0,000) TBD- 7 84" xfId="12202"/>
    <cellStyle name="Comma (0,000) TBD 7 85" xfId="12203"/>
    <cellStyle name="Comma (0,000) TBD- 7 85" xfId="12204"/>
    <cellStyle name="Comma (0,000) TBD 7 86" xfId="12205"/>
    <cellStyle name="Comma (0,000) TBD- 7 86" xfId="12206"/>
    <cellStyle name="Comma (0,000) TBD 7 87" xfId="12207"/>
    <cellStyle name="Comma (0,000) TBD- 7 87" xfId="12208"/>
    <cellStyle name="Comma (0,000) TBD 7 88" xfId="12209"/>
    <cellStyle name="Comma (0,000) TBD- 7 88" xfId="12210"/>
    <cellStyle name="Comma (0,000) TBD 7 89" xfId="12211"/>
    <cellStyle name="Comma (0,000) TBD- 7 89" xfId="12212"/>
    <cellStyle name="Comma (0,000) TBD 7 9" xfId="12213"/>
    <cellStyle name="Comma (0,000) TBD- 7 9" xfId="12214"/>
    <cellStyle name="Comma (0,000) TBD 7 90" xfId="12215"/>
    <cellStyle name="Comma (0,000) TBD- 7 90" xfId="12216"/>
    <cellStyle name="Comma (0,000) TBD 7 91" xfId="12217"/>
    <cellStyle name="Comma (0,000) TBD- 7 91" xfId="12218"/>
    <cellStyle name="Comma (0,000) TBD 7 92" xfId="12219"/>
    <cellStyle name="Comma (0,000) TBD- 7 92" xfId="12220"/>
    <cellStyle name="Comma (0,000) TBD 7 93" xfId="12221"/>
    <cellStyle name="Comma (0,000) TBD- 7 93" xfId="12222"/>
    <cellStyle name="Comma (0,000) TBD 7 94" xfId="12223"/>
    <cellStyle name="Comma (0,000) TBD- 7 94" xfId="12224"/>
    <cellStyle name="Comma (0,000) TBD 7 95" xfId="12225"/>
    <cellStyle name="Comma (0,000) TBD- 7 95" xfId="12226"/>
    <cellStyle name="Comma (0,000) TBD 7 96" xfId="12227"/>
    <cellStyle name="Comma (0,000) TBD- 7 96" xfId="12228"/>
    <cellStyle name="Comma (0,000) TBD 7 97" xfId="12229"/>
    <cellStyle name="Comma (0,000) TBD- 7 97" xfId="12230"/>
    <cellStyle name="Comma (0,000) TBD 7 98" xfId="12231"/>
    <cellStyle name="Comma (0,000) TBD- 7 98" xfId="12232"/>
    <cellStyle name="Comma (0,000) TBD 7 99" xfId="12233"/>
    <cellStyle name="Comma (0,000) TBD- 7 99" xfId="12234"/>
    <cellStyle name="Comma (0,000) TBD 8" xfId="12235"/>
    <cellStyle name="Comma (0,000) TBD- 8" xfId="12236"/>
    <cellStyle name="Comma (0,000) TBD 8 10" xfId="12237"/>
    <cellStyle name="Comma (0,000) TBD- 8 10" xfId="12238"/>
    <cellStyle name="Comma (0,000) TBD 8 100" xfId="12239"/>
    <cellStyle name="Comma (0,000) TBD- 8 100" xfId="12240"/>
    <cellStyle name="Comma (0,000) TBD 8 101" xfId="12241"/>
    <cellStyle name="Comma (0,000) TBD- 8 101" xfId="12242"/>
    <cellStyle name="Comma (0,000) TBD 8 102" xfId="12243"/>
    <cellStyle name="Comma (0,000) TBD- 8 102" xfId="12244"/>
    <cellStyle name="Comma (0,000) TBD 8 103" xfId="12245"/>
    <cellStyle name="Comma (0,000) TBD- 8 103" xfId="12246"/>
    <cellStyle name="Comma (0,000) TBD 8 104" xfId="12247"/>
    <cellStyle name="Comma (0,000) TBD- 8 104" xfId="12248"/>
    <cellStyle name="Comma (0,000) TBD 8 105" xfId="12249"/>
    <cellStyle name="Comma (0,000) TBD- 8 105" xfId="12250"/>
    <cellStyle name="Comma (0,000) TBD 8 106" xfId="12251"/>
    <cellStyle name="Comma (0,000) TBD- 8 106" xfId="12252"/>
    <cellStyle name="Comma (0,000) TBD 8 107" xfId="12253"/>
    <cellStyle name="Comma (0,000) TBD- 8 107" xfId="12254"/>
    <cellStyle name="Comma (0,000) TBD 8 108" xfId="12255"/>
    <cellStyle name="Comma (0,000) TBD- 8 108" xfId="12256"/>
    <cellStyle name="Comma (0,000) TBD 8 109" xfId="12257"/>
    <cellStyle name="Comma (0,000) TBD- 8 109" xfId="12258"/>
    <cellStyle name="Comma (0,000) TBD 8 11" xfId="12259"/>
    <cellStyle name="Comma (0,000) TBD- 8 11" xfId="12260"/>
    <cellStyle name="Comma (0,000) TBD 8 110" xfId="12261"/>
    <cellStyle name="Comma (0,000) TBD- 8 110" xfId="12262"/>
    <cellStyle name="Comma (0,000) TBD 8 111" xfId="12263"/>
    <cellStyle name="Comma (0,000) TBD- 8 111" xfId="12264"/>
    <cellStyle name="Comma (0,000) TBD 8 112" xfId="12265"/>
    <cellStyle name="Comma (0,000) TBD- 8 112" xfId="12266"/>
    <cellStyle name="Comma (0,000) TBD 8 113" xfId="12267"/>
    <cellStyle name="Comma (0,000) TBD- 8 113" xfId="12268"/>
    <cellStyle name="Comma (0,000) TBD 8 114" xfId="12269"/>
    <cellStyle name="Comma (0,000) TBD- 8 114" xfId="12270"/>
    <cellStyle name="Comma (0,000) TBD 8 115" xfId="12271"/>
    <cellStyle name="Comma (0,000) TBD- 8 115" xfId="12272"/>
    <cellStyle name="Comma (0,000) TBD 8 116" xfId="12273"/>
    <cellStyle name="Comma (0,000) TBD- 8 116" xfId="12274"/>
    <cellStyle name="Comma (0,000) TBD 8 117" xfId="12275"/>
    <cellStyle name="Comma (0,000) TBD- 8 117" xfId="12276"/>
    <cellStyle name="Comma (0,000) TBD 8 118" xfId="12277"/>
    <cellStyle name="Comma (0,000) TBD- 8 118" xfId="12278"/>
    <cellStyle name="Comma (0,000) TBD 8 119" xfId="12279"/>
    <cellStyle name="Comma (0,000) TBD- 8 119" xfId="12280"/>
    <cellStyle name="Comma (0,000) TBD 8 12" xfId="12281"/>
    <cellStyle name="Comma (0,000) TBD- 8 12" xfId="12282"/>
    <cellStyle name="Comma (0,000) TBD 8 120" xfId="12283"/>
    <cellStyle name="Comma (0,000) TBD- 8 120" xfId="12284"/>
    <cellStyle name="Comma (0,000) TBD 8 121" xfId="12285"/>
    <cellStyle name="Comma (0,000) TBD- 8 121" xfId="12286"/>
    <cellStyle name="Comma (0,000) TBD 8 122" xfId="12287"/>
    <cellStyle name="Comma (0,000) TBD- 8 122" xfId="12288"/>
    <cellStyle name="Comma (0,000) TBD 8 123" xfId="12289"/>
    <cellStyle name="Comma (0,000) TBD- 8 123" xfId="12290"/>
    <cellStyle name="Comma (0,000) TBD 8 124" xfId="12291"/>
    <cellStyle name="Comma (0,000) TBD- 8 124" xfId="12292"/>
    <cellStyle name="Comma (0,000) TBD 8 125" xfId="12293"/>
    <cellStyle name="Comma (0,000) TBD- 8 125" xfId="12294"/>
    <cellStyle name="Comma (0,000) TBD 8 126" xfId="12295"/>
    <cellStyle name="Comma (0,000) TBD- 8 126" xfId="12296"/>
    <cellStyle name="Comma (0,000) TBD 8 127" xfId="12297"/>
    <cellStyle name="Comma (0,000) TBD- 8 127" xfId="12298"/>
    <cellStyle name="Comma (0,000) TBD 8 128" xfId="12299"/>
    <cellStyle name="Comma (0,000) TBD- 8 128" xfId="12300"/>
    <cellStyle name="Comma (0,000) TBD 8 129" xfId="12301"/>
    <cellStyle name="Comma (0,000) TBD- 8 129" xfId="12302"/>
    <cellStyle name="Comma (0,000) TBD 8 13" xfId="12303"/>
    <cellStyle name="Comma (0,000) TBD- 8 13" xfId="12304"/>
    <cellStyle name="Comma (0,000) TBD 8 130" xfId="12305"/>
    <cellStyle name="Comma (0,000) TBD- 8 130" xfId="12306"/>
    <cellStyle name="Comma (0,000) TBD 8 131" xfId="12307"/>
    <cellStyle name="Comma (0,000) TBD- 8 131" xfId="12308"/>
    <cellStyle name="Comma (0,000) TBD 8 132" xfId="12309"/>
    <cellStyle name="Comma (0,000) TBD- 8 132" xfId="12310"/>
    <cellStyle name="Comma (0,000) TBD 8 133" xfId="12311"/>
    <cellStyle name="Comma (0,000) TBD- 8 133" xfId="12312"/>
    <cellStyle name="Comma (0,000) TBD 8 134" xfId="12313"/>
    <cellStyle name="Comma (0,000) TBD- 8 134" xfId="12314"/>
    <cellStyle name="Comma (0,000) TBD 8 135" xfId="12315"/>
    <cellStyle name="Comma (0,000) TBD- 8 135" xfId="12316"/>
    <cellStyle name="Comma (0,000) TBD 8 136" xfId="12317"/>
    <cellStyle name="Comma (0,000) TBD- 8 136" xfId="12318"/>
    <cellStyle name="Comma (0,000) TBD 8 137" xfId="12319"/>
    <cellStyle name="Comma (0,000) TBD- 8 137" xfId="12320"/>
    <cellStyle name="Comma (0,000) TBD 8 138" xfId="12321"/>
    <cellStyle name="Comma (0,000) TBD- 8 138" xfId="12322"/>
    <cellStyle name="Comma (0,000) TBD 8 139" xfId="12323"/>
    <cellStyle name="Comma (0,000) TBD- 8 139" xfId="12324"/>
    <cellStyle name="Comma (0,000) TBD 8 14" xfId="12325"/>
    <cellStyle name="Comma (0,000) TBD- 8 14" xfId="12326"/>
    <cellStyle name="Comma (0,000) TBD 8 140" xfId="12327"/>
    <cellStyle name="Comma (0,000) TBD- 8 140" xfId="12328"/>
    <cellStyle name="Comma (0,000) TBD 8 141" xfId="12329"/>
    <cellStyle name="Comma (0,000) TBD- 8 141" xfId="12330"/>
    <cellStyle name="Comma (0,000) TBD 8 142" xfId="12331"/>
    <cellStyle name="Comma (0,000) TBD- 8 142" xfId="12332"/>
    <cellStyle name="Comma (0,000) TBD 8 143" xfId="12333"/>
    <cellStyle name="Comma (0,000) TBD- 8 143" xfId="12334"/>
    <cellStyle name="Comma (0,000) TBD 8 144" xfId="12335"/>
    <cellStyle name="Comma (0,000) TBD- 8 144" xfId="12336"/>
    <cellStyle name="Comma (0,000) TBD 8 145" xfId="12337"/>
    <cellStyle name="Comma (0,000) TBD- 8 145" xfId="12338"/>
    <cellStyle name="Comma (0,000) TBD 8 146" xfId="12339"/>
    <cellStyle name="Comma (0,000) TBD- 8 146" xfId="12340"/>
    <cellStyle name="Comma (0,000) TBD 8 147" xfId="12341"/>
    <cellStyle name="Comma (0,000) TBD- 8 147" xfId="12342"/>
    <cellStyle name="Comma (0,000) TBD 8 148" xfId="12343"/>
    <cellStyle name="Comma (0,000) TBD- 8 148" xfId="12344"/>
    <cellStyle name="Comma (0,000) TBD 8 149" xfId="12345"/>
    <cellStyle name="Comma (0,000) TBD- 8 149" xfId="12346"/>
    <cellStyle name="Comma (0,000) TBD 8 15" xfId="12347"/>
    <cellStyle name="Comma (0,000) TBD- 8 15" xfId="12348"/>
    <cellStyle name="Comma (0,000) TBD 8 150" xfId="12349"/>
    <cellStyle name="Comma (0,000) TBD- 8 150" xfId="12350"/>
    <cellStyle name="Comma (0,000) TBD 8 151" xfId="12351"/>
    <cellStyle name="Comma (0,000) TBD- 8 151" xfId="12352"/>
    <cellStyle name="Comma (0,000) TBD 8 152" xfId="12353"/>
    <cellStyle name="Comma (0,000) TBD- 8 152" xfId="12354"/>
    <cellStyle name="Comma (0,000) TBD 8 153" xfId="12355"/>
    <cellStyle name="Comma (0,000) TBD- 8 153" xfId="12356"/>
    <cellStyle name="Comma (0,000) TBD 8 16" xfId="12357"/>
    <cellStyle name="Comma (0,000) TBD- 8 16" xfId="12358"/>
    <cellStyle name="Comma (0,000) TBD 8 17" xfId="12359"/>
    <cellStyle name="Comma (0,000) TBD- 8 17" xfId="12360"/>
    <cellStyle name="Comma (0,000) TBD 8 18" xfId="12361"/>
    <cellStyle name="Comma (0,000) TBD- 8 18" xfId="12362"/>
    <cellStyle name="Comma (0,000) TBD 8 19" xfId="12363"/>
    <cellStyle name="Comma (0,000) TBD- 8 19" xfId="12364"/>
    <cellStyle name="Comma (0,000) TBD 8 2" xfId="12365"/>
    <cellStyle name="Comma (0,000) TBD- 8 2" xfId="12366"/>
    <cellStyle name="Comma (0,000) TBD 8 20" xfId="12367"/>
    <cellStyle name="Comma (0,000) TBD- 8 20" xfId="12368"/>
    <cellStyle name="Comma (0,000) TBD 8 21" xfId="12369"/>
    <cellStyle name="Comma (0,000) TBD- 8 21" xfId="12370"/>
    <cellStyle name="Comma (0,000) TBD 8 22" xfId="12371"/>
    <cellStyle name="Comma (0,000) TBD- 8 22" xfId="12372"/>
    <cellStyle name="Comma (0,000) TBD 8 23" xfId="12373"/>
    <cellStyle name="Comma (0,000) TBD- 8 23" xfId="12374"/>
    <cellStyle name="Comma (0,000) TBD 8 24" xfId="12375"/>
    <cellStyle name="Comma (0,000) TBD- 8 24" xfId="12376"/>
    <cellStyle name="Comma (0,000) TBD 8 25" xfId="12377"/>
    <cellStyle name="Comma (0,000) TBD- 8 25" xfId="12378"/>
    <cellStyle name="Comma (0,000) TBD 8 26" xfId="12379"/>
    <cellStyle name="Comma (0,000) TBD- 8 26" xfId="12380"/>
    <cellStyle name="Comma (0,000) TBD 8 27" xfId="12381"/>
    <cellStyle name="Comma (0,000) TBD- 8 27" xfId="12382"/>
    <cellStyle name="Comma (0,000) TBD 8 28" xfId="12383"/>
    <cellStyle name="Comma (0,000) TBD- 8 28" xfId="12384"/>
    <cellStyle name="Comma (0,000) TBD 8 29" xfId="12385"/>
    <cellStyle name="Comma (0,000) TBD- 8 29" xfId="12386"/>
    <cellStyle name="Comma (0,000) TBD 8 3" xfId="12387"/>
    <cellStyle name="Comma (0,000) TBD- 8 3" xfId="12388"/>
    <cellStyle name="Comma (0,000) TBD 8 30" xfId="12389"/>
    <cellStyle name="Comma (0,000) TBD- 8 30" xfId="12390"/>
    <cellStyle name="Comma (0,000) TBD 8 31" xfId="12391"/>
    <cellStyle name="Comma (0,000) TBD- 8 31" xfId="12392"/>
    <cellStyle name="Comma (0,000) TBD 8 32" xfId="12393"/>
    <cellStyle name="Comma (0,000) TBD- 8 32" xfId="12394"/>
    <cellStyle name="Comma (0,000) TBD 8 33" xfId="12395"/>
    <cellStyle name="Comma (0,000) TBD- 8 33" xfId="12396"/>
    <cellStyle name="Comma (0,000) TBD 8 34" xfId="12397"/>
    <cellStyle name="Comma (0,000) TBD- 8 34" xfId="12398"/>
    <cellStyle name="Comma (0,000) TBD 8 35" xfId="12399"/>
    <cellStyle name="Comma (0,000) TBD- 8 35" xfId="12400"/>
    <cellStyle name="Comma (0,000) TBD 8 36" xfId="12401"/>
    <cellStyle name="Comma (0,000) TBD- 8 36" xfId="12402"/>
    <cellStyle name="Comma (0,000) TBD 8 37" xfId="12403"/>
    <cellStyle name="Comma (0,000) TBD- 8 37" xfId="12404"/>
    <cellStyle name="Comma (0,000) TBD 8 38" xfId="12405"/>
    <cellStyle name="Comma (0,000) TBD- 8 38" xfId="12406"/>
    <cellStyle name="Comma (0,000) TBD 8 39" xfId="12407"/>
    <cellStyle name="Comma (0,000) TBD- 8 39" xfId="12408"/>
    <cellStyle name="Comma (0,000) TBD 8 4" xfId="12409"/>
    <cellStyle name="Comma (0,000) TBD- 8 4" xfId="12410"/>
    <cellStyle name="Comma (0,000) TBD 8 40" xfId="12411"/>
    <cellStyle name="Comma (0,000) TBD- 8 40" xfId="12412"/>
    <cellStyle name="Comma (0,000) TBD 8 41" xfId="12413"/>
    <cellStyle name="Comma (0,000) TBD- 8 41" xfId="12414"/>
    <cellStyle name="Comma (0,000) TBD 8 42" xfId="12415"/>
    <cellStyle name="Comma (0,000) TBD- 8 42" xfId="12416"/>
    <cellStyle name="Comma (0,000) TBD 8 43" xfId="12417"/>
    <cellStyle name="Comma (0,000) TBD- 8 43" xfId="12418"/>
    <cellStyle name="Comma (0,000) TBD 8 44" xfId="12419"/>
    <cellStyle name="Comma (0,000) TBD- 8 44" xfId="12420"/>
    <cellStyle name="Comma (0,000) TBD 8 45" xfId="12421"/>
    <cellStyle name="Comma (0,000) TBD- 8 45" xfId="12422"/>
    <cellStyle name="Comma (0,000) TBD 8 46" xfId="12423"/>
    <cellStyle name="Comma (0,000) TBD- 8 46" xfId="12424"/>
    <cellStyle name="Comma (0,000) TBD 8 47" xfId="12425"/>
    <cellStyle name="Comma (0,000) TBD- 8 47" xfId="12426"/>
    <cellStyle name="Comma (0,000) TBD 8 48" xfId="12427"/>
    <cellStyle name="Comma (0,000) TBD- 8 48" xfId="12428"/>
    <cellStyle name="Comma (0,000) TBD 8 49" xfId="12429"/>
    <cellStyle name="Comma (0,000) TBD- 8 49" xfId="12430"/>
    <cellStyle name="Comma (0,000) TBD 8 5" xfId="12431"/>
    <cellStyle name="Comma (0,000) TBD- 8 5" xfId="12432"/>
    <cellStyle name="Comma (0,000) TBD 8 50" xfId="12433"/>
    <cellStyle name="Comma (0,000) TBD- 8 50" xfId="12434"/>
    <cellStyle name="Comma (0,000) TBD 8 51" xfId="12435"/>
    <cellStyle name="Comma (0,000) TBD- 8 51" xfId="12436"/>
    <cellStyle name="Comma (0,000) TBD 8 52" xfId="12437"/>
    <cellStyle name="Comma (0,000) TBD- 8 52" xfId="12438"/>
    <cellStyle name="Comma (0,000) TBD 8 53" xfId="12439"/>
    <cellStyle name="Comma (0,000) TBD- 8 53" xfId="12440"/>
    <cellStyle name="Comma (0,000) TBD 8 54" xfId="12441"/>
    <cellStyle name="Comma (0,000) TBD- 8 54" xfId="12442"/>
    <cellStyle name="Comma (0,000) TBD 8 55" xfId="12443"/>
    <cellStyle name="Comma (0,000) TBD- 8 55" xfId="12444"/>
    <cellStyle name="Comma (0,000) TBD 8 56" xfId="12445"/>
    <cellStyle name="Comma (0,000) TBD- 8 56" xfId="12446"/>
    <cellStyle name="Comma (0,000) TBD 8 57" xfId="12447"/>
    <cellStyle name="Comma (0,000) TBD- 8 57" xfId="12448"/>
    <cellStyle name="Comma (0,000) TBD 8 58" xfId="12449"/>
    <cellStyle name="Comma (0,000) TBD- 8 58" xfId="12450"/>
    <cellStyle name="Comma (0,000) TBD 8 59" xfId="12451"/>
    <cellStyle name="Comma (0,000) TBD- 8 59" xfId="12452"/>
    <cellStyle name="Comma (0,000) TBD 8 6" xfId="12453"/>
    <cellStyle name="Comma (0,000) TBD- 8 6" xfId="12454"/>
    <cellStyle name="Comma (0,000) TBD 8 60" xfId="12455"/>
    <cellStyle name="Comma (0,000) TBD- 8 60" xfId="12456"/>
    <cellStyle name="Comma (0,000) TBD 8 61" xfId="12457"/>
    <cellStyle name="Comma (0,000) TBD- 8 61" xfId="12458"/>
    <cellStyle name="Comma (0,000) TBD 8 62" xfId="12459"/>
    <cellStyle name="Comma (0,000) TBD- 8 62" xfId="12460"/>
    <cellStyle name="Comma (0,000) TBD 8 63" xfId="12461"/>
    <cellStyle name="Comma (0,000) TBD- 8 63" xfId="12462"/>
    <cellStyle name="Comma (0,000) TBD 8 64" xfId="12463"/>
    <cellStyle name="Comma (0,000) TBD- 8 64" xfId="12464"/>
    <cellStyle name="Comma (0,000) TBD 8 65" xfId="12465"/>
    <cellStyle name="Comma (0,000) TBD- 8 65" xfId="12466"/>
    <cellStyle name="Comma (0,000) TBD 8 66" xfId="12467"/>
    <cellStyle name="Comma (0,000) TBD- 8 66" xfId="12468"/>
    <cellStyle name="Comma (0,000) TBD 8 67" xfId="12469"/>
    <cellStyle name="Comma (0,000) TBD- 8 67" xfId="12470"/>
    <cellStyle name="Comma (0,000) TBD 8 68" xfId="12471"/>
    <cellStyle name="Comma (0,000) TBD- 8 68" xfId="12472"/>
    <cellStyle name="Comma (0,000) TBD 8 69" xfId="12473"/>
    <cellStyle name="Comma (0,000) TBD- 8 69" xfId="12474"/>
    <cellStyle name="Comma (0,000) TBD 8 7" xfId="12475"/>
    <cellStyle name="Comma (0,000) TBD- 8 7" xfId="12476"/>
    <cellStyle name="Comma (0,000) TBD 8 70" xfId="12477"/>
    <cellStyle name="Comma (0,000) TBD- 8 70" xfId="12478"/>
    <cellStyle name="Comma (0,000) TBD 8 71" xfId="12479"/>
    <cellStyle name="Comma (0,000) TBD- 8 71" xfId="12480"/>
    <cellStyle name="Comma (0,000) TBD 8 72" xfId="12481"/>
    <cellStyle name="Comma (0,000) TBD- 8 72" xfId="12482"/>
    <cellStyle name="Comma (0,000) TBD 8 73" xfId="12483"/>
    <cellStyle name="Comma (0,000) TBD- 8 73" xfId="12484"/>
    <cellStyle name="Comma (0,000) TBD 8 74" xfId="12485"/>
    <cellStyle name="Comma (0,000) TBD- 8 74" xfId="12486"/>
    <cellStyle name="Comma (0,000) TBD 8 75" xfId="12487"/>
    <cellStyle name="Comma (0,000) TBD- 8 75" xfId="12488"/>
    <cellStyle name="Comma (0,000) TBD 8 76" xfId="12489"/>
    <cellStyle name="Comma (0,000) TBD- 8 76" xfId="12490"/>
    <cellStyle name="Comma (0,000) TBD 8 77" xfId="12491"/>
    <cellStyle name="Comma (0,000) TBD- 8 77" xfId="12492"/>
    <cellStyle name="Comma (0,000) TBD 8 78" xfId="12493"/>
    <cellStyle name="Comma (0,000) TBD- 8 78" xfId="12494"/>
    <cellStyle name="Comma (0,000) TBD 8 79" xfId="12495"/>
    <cellStyle name="Comma (0,000) TBD- 8 79" xfId="12496"/>
    <cellStyle name="Comma (0,000) TBD 8 8" xfId="12497"/>
    <cellStyle name="Comma (0,000) TBD- 8 8" xfId="12498"/>
    <cellStyle name="Comma (0,000) TBD 8 80" xfId="12499"/>
    <cellStyle name="Comma (0,000) TBD- 8 80" xfId="12500"/>
    <cellStyle name="Comma (0,000) TBD 8 81" xfId="12501"/>
    <cellStyle name="Comma (0,000) TBD- 8 81" xfId="12502"/>
    <cellStyle name="Comma (0,000) TBD 8 82" xfId="12503"/>
    <cellStyle name="Comma (0,000) TBD- 8 82" xfId="12504"/>
    <cellStyle name="Comma (0,000) TBD 8 83" xfId="12505"/>
    <cellStyle name="Comma (0,000) TBD- 8 83" xfId="12506"/>
    <cellStyle name="Comma (0,000) TBD 8 84" xfId="12507"/>
    <cellStyle name="Comma (0,000) TBD- 8 84" xfId="12508"/>
    <cellStyle name="Comma (0,000) TBD 8 85" xfId="12509"/>
    <cellStyle name="Comma (0,000) TBD- 8 85" xfId="12510"/>
    <cellStyle name="Comma (0,000) TBD 8 86" xfId="12511"/>
    <cellStyle name="Comma (0,000) TBD- 8 86" xfId="12512"/>
    <cellStyle name="Comma (0,000) TBD 8 87" xfId="12513"/>
    <cellStyle name="Comma (0,000) TBD- 8 87" xfId="12514"/>
    <cellStyle name="Comma (0,000) TBD 8 88" xfId="12515"/>
    <cellStyle name="Comma (0,000) TBD- 8 88" xfId="12516"/>
    <cellStyle name="Comma (0,000) TBD 8 89" xfId="12517"/>
    <cellStyle name="Comma (0,000) TBD- 8 89" xfId="12518"/>
    <cellStyle name="Comma (0,000) TBD 8 9" xfId="12519"/>
    <cellStyle name="Comma (0,000) TBD- 8 9" xfId="12520"/>
    <cellStyle name="Comma (0,000) TBD 8 90" xfId="12521"/>
    <cellStyle name="Comma (0,000) TBD- 8 90" xfId="12522"/>
    <cellStyle name="Comma (0,000) TBD 8 91" xfId="12523"/>
    <cellStyle name="Comma (0,000) TBD- 8 91" xfId="12524"/>
    <cellStyle name="Comma (0,000) TBD 8 92" xfId="12525"/>
    <cellStyle name="Comma (0,000) TBD- 8 92" xfId="12526"/>
    <cellStyle name="Comma (0,000) TBD 8 93" xfId="12527"/>
    <cellStyle name="Comma (0,000) TBD- 8 93" xfId="12528"/>
    <cellStyle name="Comma (0,000) TBD 8 94" xfId="12529"/>
    <cellStyle name="Comma (0,000) TBD- 8 94" xfId="12530"/>
    <cellStyle name="Comma (0,000) TBD 8 95" xfId="12531"/>
    <cellStyle name="Comma (0,000) TBD- 8 95" xfId="12532"/>
    <cellStyle name="Comma (0,000) TBD 8 96" xfId="12533"/>
    <cellStyle name="Comma (0,000) TBD- 8 96" xfId="12534"/>
    <cellStyle name="Comma (0,000) TBD 8 97" xfId="12535"/>
    <cellStyle name="Comma (0,000) TBD- 8 97" xfId="12536"/>
    <cellStyle name="Comma (0,000) TBD 8 98" xfId="12537"/>
    <cellStyle name="Comma (0,000) TBD- 8 98" xfId="12538"/>
    <cellStyle name="Comma (0,000) TBD 8 99" xfId="12539"/>
    <cellStyle name="Comma (0,000) TBD- 8 99" xfId="12540"/>
    <cellStyle name="Comma (0,000) TBD 9" xfId="12541"/>
    <cellStyle name="Comma (0,000) TBD- 9" xfId="12542"/>
    <cellStyle name="Comma (0,000) TBD 9 10" xfId="12543"/>
    <cellStyle name="Comma (0,000) TBD- 9 10" xfId="12544"/>
    <cellStyle name="Comma (0,000) TBD 9 100" xfId="12545"/>
    <cellStyle name="Comma (0,000) TBD- 9 100" xfId="12546"/>
    <cellStyle name="Comma (0,000) TBD 9 101" xfId="12547"/>
    <cellStyle name="Comma (0,000) TBD- 9 101" xfId="12548"/>
    <cellStyle name="Comma (0,000) TBD 9 102" xfId="12549"/>
    <cellStyle name="Comma (0,000) TBD- 9 102" xfId="12550"/>
    <cellStyle name="Comma (0,000) TBD 9 103" xfId="12551"/>
    <cellStyle name="Comma (0,000) TBD- 9 103" xfId="12552"/>
    <cellStyle name="Comma (0,000) TBD 9 104" xfId="12553"/>
    <cellStyle name="Comma (0,000) TBD- 9 104" xfId="12554"/>
    <cellStyle name="Comma (0,000) TBD 9 105" xfId="12555"/>
    <cellStyle name="Comma (0,000) TBD- 9 105" xfId="12556"/>
    <cellStyle name="Comma (0,000) TBD 9 106" xfId="12557"/>
    <cellStyle name="Comma (0,000) TBD- 9 106" xfId="12558"/>
    <cellStyle name="Comma (0,000) TBD 9 107" xfId="12559"/>
    <cellStyle name="Comma (0,000) TBD- 9 107" xfId="12560"/>
    <cellStyle name="Comma (0,000) TBD 9 108" xfId="12561"/>
    <cellStyle name="Comma (0,000) TBD- 9 108" xfId="12562"/>
    <cellStyle name="Comma (0,000) TBD 9 109" xfId="12563"/>
    <cellStyle name="Comma (0,000) TBD- 9 109" xfId="12564"/>
    <cellStyle name="Comma (0,000) TBD 9 11" xfId="12565"/>
    <cellStyle name="Comma (0,000) TBD- 9 11" xfId="12566"/>
    <cellStyle name="Comma (0,000) TBD 9 110" xfId="12567"/>
    <cellStyle name="Comma (0,000) TBD- 9 110" xfId="12568"/>
    <cellStyle name="Comma (0,000) TBD 9 111" xfId="12569"/>
    <cellStyle name="Comma (0,000) TBD- 9 111" xfId="12570"/>
    <cellStyle name="Comma (0,000) TBD 9 112" xfId="12571"/>
    <cellStyle name="Comma (0,000) TBD- 9 112" xfId="12572"/>
    <cellStyle name="Comma (0,000) TBD 9 113" xfId="12573"/>
    <cellStyle name="Comma (0,000) TBD- 9 113" xfId="12574"/>
    <cellStyle name="Comma (0,000) TBD 9 114" xfId="12575"/>
    <cellStyle name="Comma (0,000) TBD- 9 114" xfId="12576"/>
    <cellStyle name="Comma (0,000) TBD 9 115" xfId="12577"/>
    <cellStyle name="Comma (0,000) TBD- 9 115" xfId="12578"/>
    <cellStyle name="Comma (0,000) TBD 9 116" xfId="12579"/>
    <cellStyle name="Comma (0,000) TBD- 9 116" xfId="12580"/>
    <cellStyle name="Comma (0,000) TBD 9 117" xfId="12581"/>
    <cellStyle name="Comma (0,000) TBD- 9 117" xfId="12582"/>
    <cellStyle name="Comma (0,000) TBD 9 118" xfId="12583"/>
    <cellStyle name="Comma (0,000) TBD- 9 118" xfId="12584"/>
    <cellStyle name="Comma (0,000) TBD 9 119" xfId="12585"/>
    <cellStyle name="Comma (0,000) TBD- 9 119" xfId="12586"/>
    <cellStyle name="Comma (0,000) TBD 9 12" xfId="12587"/>
    <cellStyle name="Comma (0,000) TBD- 9 12" xfId="12588"/>
    <cellStyle name="Comma (0,000) TBD 9 120" xfId="12589"/>
    <cellStyle name="Comma (0,000) TBD- 9 120" xfId="12590"/>
    <cellStyle name="Comma (0,000) TBD 9 121" xfId="12591"/>
    <cellStyle name="Comma (0,000) TBD- 9 121" xfId="12592"/>
    <cellStyle name="Comma (0,000) TBD 9 122" xfId="12593"/>
    <cellStyle name="Comma (0,000) TBD- 9 122" xfId="12594"/>
    <cellStyle name="Comma (0,000) TBD 9 123" xfId="12595"/>
    <cellStyle name="Comma (0,000) TBD- 9 123" xfId="12596"/>
    <cellStyle name="Comma (0,000) TBD 9 124" xfId="12597"/>
    <cellStyle name="Comma (0,000) TBD- 9 124" xfId="12598"/>
    <cellStyle name="Comma (0,000) TBD 9 125" xfId="12599"/>
    <cellStyle name="Comma (0,000) TBD- 9 125" xfId="12600"/>
    <cellStyle name="Comma (0,000) TBD 9 126" xfId="12601"/>
    <cellStyle name="Comma (0,000) TBD- 9 126" xfId="12602"/>
    <cellStyle name="Comma (0,000) TBD 9 127" xfId="12603"/>
    <cellStyle name="Comma (0,000) TBD- 9 127" xfId="12604"/>
    <cellStyle name="Comma (0,000) TBD 9 128" xfId="12605"/>
    <cellStyle name="Comma (0,000) TBD- 9 128" xfId="12606"/>
    <cellStyle name="Comma (0,000) TBD 9 129" xfId="12607"/>
    <cellStyle name="Comma (0,000) TBD- 9 129" xfId="12608"/>
    <cellStyle name="Comma (0,000) TBD 9 13" xfId="12609"/>
    <cellStyle name="Comma (0,000) TBD- 9 13" xfId="12610"/>
    <cellStyle name="Comma (0,000) TBD 9 130" xfId="12611"/>
    <cellStyle name="Comma (0,000) TBD- 9 130" xfId="12612"/>
    <cellStyle name="Comma (0,000) TBD 9 131" xfId="12613"/>
    <cellStyle name="Comma (0,000) TBD- 9 131" xfId="12614"/>
    <cellStyle name="Comma (0,000) TBD 9 132" xfId="12615"/>
    <cellStyle name="Comma (0,000) TBD- 9 132" xfId="12616"/>
    <cellStyle name="Comma (0,000) TBD 9 133" xfId="12617"/>
    <cellStyle name="Comma (0,000) TBD- 9 133" xfId="12618"/>
    <cellStyle name="Comma (0,000) TBD 9 134" xfId="12619"/>
    <cellStyle name="Comma (0,000) TBD- 9 134" xfId="12620"/>
    <cellStyle name="Comma (0,000) TBD 9 135" xfId="12621"/>
    <cellStyle name="Comma (0,000) TBD- 9 135" xfId="12622"/>
    <cellStyle name="Comma (0,000) TBD 9 136" xfId="12623"/>
    <cellStyle name="Comma (0,000) TBD- 9 136" xfId="12624"/>
    <cellStyle name="Comma (0,000) TBD 9 137" xfId="12625"/>
    <cellStyle name="Comma (0,000) TBD- 9 137" xfId="12626"/>
    <cellStyle name="Comma (0,000) TBD 9 138" xfId="12627"/>
    <cellStyle name="Comma (0,000) TBD- 9 138" xfId="12628"/>
    <cellStyle name="Comma (0,000) TBD 9 139" xfId="12629"/>
    <cellStyle name="Comma (0,000) TBD- 9 139" xfId="12630"/>
    <cellStyle name="Comma (0,000) TBD 9 14" xfId="12631"/>
    <cellStyle name="Comma (0,000) TBD- 9 14" xfId="12632"/>
    <cellStyle name="Comma (0,000) TBD 9 140" xfId="12633"/>
    <cellStyle name="Comma (0,000) TBD- 9 140" xfId="12634"/>
    <cellStyle name="Comma (0,000) TBD 9 141" xfId="12635"/>
    <cellStyle name="Comma (0,000) TBD- 9 141" xfId="12636"/>
    <cellStyle name="Comma (0,000) TBD 9 142" xfId="12637"/>
    <cellStyle name="Comma (0,000) TBD- 9 142" xfId="12638"/>
    <cellStyle name="Comma (0,000) TBD 9 143" xfId="12639"/>
    <cellStyle name="Comma (0,000) TBD- 9 143" xfId="12640"/>
    <cellStyle name="Comma (0,000) TBD 9 144" xfId="12641"/>
    <cellStyle name="Comma (0,000) TBD- 9 144" xfId="12642"/>
    <cellStyle name="Comma (0,000) TBD 9 145" xfId="12643"/>
    <cellStyle name="Comma (0,000) TBD- 9 145" xfId="12644"/>
    <cellStyle name="Comma (0,000) TBD 9 146" xfId="12645"/>
    <cellStyle name="Comma (0,000) TBD- 9 146" xfId="12646"/>
    <cellStyle name="Comma (0,000) TBD 9 147" xfId="12647"/>
    <cellStyle name="Comma (0,000) TBD- 9 147" xfId="12648"/>
    <cellStyle name="Comma (0,000) TBD 9 148" xfId="12649"/>
    <cellStyle name="Comma (0,000) TBD- 9 148" xfId="12650"/>
    <cellStyle name="Comma (0,000) TBD 9 149" xfId="12651"/>
    <cellStyle name="Comma (0,000) TBD- 9 149" xfId="12652"/>
    <cellStyle name="Comma (0,000) TBD 9 15" xfId="12653"/>
    <cellStyle name="Comma (0,000) TBD- 9 15" xfId="12654"/>
    <cellStyle name="Comma (0,000) TBD 9 150" xfId="12655"/>
    <cellStyle name="Comma (0,000) TBD- 9 150" xfId="12656"/>
    <cellStyle name="Comma (0,000) TBD 9 151" xfId="12657"/>
    <cellStyle name="Comma (0,000) TBD- 9 151" xfId="12658"/>
    <cellStyle name="Comma (0,000) TBD 9 152" xfId="12659"/>
    <cellStyle name="Comma (0,000) TBD- 9 152" xfId="12660"/>
    <cellStyle name="Comma (0,000) TBD 9 153" xfId="12661"/>
    <cellStyle name="Comma (0,000) TBD- 9 153" xfId="12662"/>
    <cellStyle name="Comma (0,000) TBD 9 16" xfId="12663"/>
    <cellStyle name="Comma (0,000) TBD- 9 16" xfId="12664"/>
    <cellStyle name="Comma (0,000) TBD 9 17" xfId="12665"/>
    <cellStyle name="Comma (0,000) TBD- 9 17" xfId="12666"/>
    <cellStyle name="Comma (0,000) TBD 9 18" xfId="12667"/>
    <cellStyle name="Comma (0,000) TBD- 9 18" xfId="12668"/>
    <cellStyle name="Comma (0,000) TBD 9 19" xfId="12669"/>
    <cellStyle name="Comma (0,000) TBD- 9 19" xfId="12670"/>
    <cellStyle name="Comma (0,000) TBD 9 2" xfId="12671"/>
    <cellStyle name="Comma (0,000) TBD- 9 2" xfId="12672"/>
    <cellStyle name="Comma (0,000) TBD 9 20" xfId="12673"/>
    <cellStyle name="Comma (0,000) TBD- 9 20" xfId="12674"/>
    <cellStyle name="Comma (0,000) TBD 9 21" xfId="12675"/>
    <cellStyle name="Comma (0,000) TBD- 9 21" xfId="12676"/>
    <cellStyle name="Comma (0,000) TBD 9 22" xfId="12677"/>
    <cellStyle name="Comma (0,000) TBD- 9 22" xfId="12678"/>
    <cellStyle name="Comma (0,000) TBD 9 23" xfId="12679"/>
    <cellStyle name="Comma (0,000) TBD- 9 23" xfId="12680"/>
    <cellStyle name="Comma (0,000) TBD 9 24" xfId="12681"/>
    <cellStyle name="Comma (0,000) TBD- 9 24" xfId="12682"/>
    <cellStyle name="Comma (0,000) TBD 9 25" xfId="12683"/>
    <cellStyle name="Comma (0,000) TBD- 9 25" xfId="12684"/>
    <cellStyle name="Comma (0,000) TBD 9 26" xfId="12685"/>
    <cellStyle name="Comma (0,000) TBD- 9 26" xfId="12686"/>
    <cellStyle name="Comma (0,000) TBD 9 27" xfId="12687"/>
    <cellStyle name="Comma (0,000) TBD- 9 27" xfId="12688"/>
    <cellStyle name="Comma (0,000) TBD 9 28" xfId="12689"/>
    <cellStyle name="Comma (0,000) TBD- 9 28" xfId="12690"/>
    <cellStyle name="Comma (0,000) TBD 9 29" xfId="12691"/>
    <cellStyle name="Comma (0,000) TBD- 9 29" xfId="12692"/>
    <cellStyle name="Comma (0,000) TBD 9 3" xfId="12693"/>
    <cellStyle name="Comma (0,000) TBD- 9 3" xfId="12694"/>
    <cellStyle name="Comma (0,000) TBD 9 30" xfId="12695"/>
    <cellStyle name="Comma (0,000) TBD- 9 30" xfId="12696"/>
    <cellStyle name="Comma (0,000) TBD 9 31" xfId="12697"/>
    <cellStyle name="Comma (0,000) TBD- 9 31" xfId="12698"/>
    <cellStyle name="Comma (0,000) TBD 9 32" xfId="12699"/>
    <cellStyle name="Comma (0,000) TBD- 9 32" xfId="12700"/>
    <cellStyle name="Comma (0,000) TBD 9 33" xfId="12701"/>
    <cellStyle name="Comma (0,000) TBD- 9 33" xfId="12702"/>
    <cellStyle name="Comma (0,000) TBD 9 34" xfId="12703"/>
    <cellStyle name="Comma (0,000) TBD- 9 34" xfId="12704"/>
    <cellStyle name="Comma (0,000) TBD 9 35" xfId="12705"/>
    <cellStyle name="Comma (0,000) TBD- 9 35" xfId="12706"/>
    <cellStyle name="Comma (0,000) TBD 9 36" xfId="12707"/>
    <cellStyle name="Comma (0,000) TBD- 9 36" xfId="12708"/>
    <cellStyle name="Comma (0,000) TBD 9 37" xfId="12709"/>
    <cellStyle name="Comma (0,000) TBD- 9 37" xfId="12710"/>
    <cellStyle name="Comma (0,000) TBD 9 38" xfId="12711"/>
    <cellStyle name="Comma (0,000) TBD- 9 38" xfId="12712"/>
    <cellStyle name="Comma (0,000) TBD 9 39" xfId="12713"/>
    <cellStyle name="Comma (0,000) TBD- 9 39" xfId="12714"/>
    <cellStyle name="Comma (0,000) TBD 9 4" xfId="12715"/>
    <cellStyle name="Comma (0,000) TBD- 9 4" xfId="12716"/>
    <cellStyle name="Comma (0,000) TBD 9 40" xfId="12717"/>
    <cellStyle name="Comma (0,000) TBD- 9 40" xfId="12718"/>
    <cellStyle name="Comma (0,000) TBD 9 41" xfId="12719"/>
    <cellStyle name="Comma (0,000) TBD- 9 41" xfId="12720"/>
    <cellStyle name="Comma (0,000) TBD 9 42" xfId="12721"/>
    <cellStyle name="Comma (0,000) TBD- 9 42" xfId="12722"/>
    <cellStyle name="Comma (0,000) TBD 9 43" xfId="12723"/>
    <cellStyle name="Comma (0,000) TBD- 9 43" xfId="12724"/>
    <cellStyle name="Comma (0,000) TBD 9 44" xfId="12725"/>
    <cellStyle name="Comma (0,000) TBD- 9 44" xfId="12726"/>
    <cellStyle name="Comma (0,000) TBD 9 45" xfId="12727"/>
    <cellStyle name="Comma (0,000) TBD- 9 45" xfId="12728"/>
    <cellStyle name="Comma (0,000) TBD 9 46" xfId="12729"/>
    <cellStyle name="Comma (0,000) TBD- 9 46" xfId="12730"/>
    <cellStyle name="Comma (0,000) TBD 9 47" xfId="12731"/>
    <cellStyle name="Comma (0,000) TBD- 9 47" xfId="12732"/>
    <cellStyle name="Comma (0,000) TBD 9 48" xfId="12733"/>
    <cellStyle name="Comma (0,000) TBD- 9 48" xfId="12734"/>
    <cellStyle name="Comma (0,000) TBD 9 49" xfId="12735"/>
    <cellStyle name="Comma (0,000) TBD- 9 49" xfId="12736"/>
    <cellStyle name="Comma (0,000) TBD 9 5" xfId="12737"/>
    <cellStyle name="Comma (0,000) TBD- 9 5" xfId="12738"/>
    <cellStyle name="Comma (0,000) TBD 9 50" xfId="12739"/>
    <cellStyle name="Comma (0,000) TBD- 9 50" xfId="12740"/>
    <cellStyle name="Comma (0,000) TBD 9 51" xfId="12741"/>
    <cellStyle name="Comma (0,000) TBD- 9 51" xfId="12742"/>
    <cellStyle name="Comma (0,000) TBD 9 52" xfId="12743"/>
    <cellStyle name="Comma (0,000) TBD- 9 52" xfId="12744"/>
    <cellStyle name="Comma (0,000) TBD 9 53" xfId="12745"/>
    <cellStyle name="Comma (0,000) TBD- 9 53" xfId="12746"/>
    <cellStyle name="Comma (0,000) TBD 9 54" xfId="12747"/>
    <cellStyle name="Comma (0,000) TBD- 9 54" xfId="12748"/>
    <cellStyle name="Comma (0,000) TBD 9 55" xfId="12749"/>
    <cellStyle name="Comma (0,000) TBD- 9 55" xfId="12750"/>
    <cellStyle name="Comma (0,000) TBD 9 56" xfId="12751"/>
    <cellStyle name="Comma (0,000) TBD- 9 56" xfId="12752"/>
    <cellStyle name="Comma (0,000) TBD 9 57" xfId="12753"/>
    <cellStyle name="Comma (0,000) TBD- 9 57" xfId="12754"/>
    <cellStyle name="Comma (0,000) TBD 9 58" xfId="12755"/>
    <cellStyle name="Comma (0,000) TBD- 9 58" xfId="12756"/>
    <cellStyle name="Comma (0,000) TBD 9 59" xfId="12757"/>
    <cellStyle name="Comma (0,000) TBD- 9 59" xfId="12758"/>
    <cellStyle name="Comma (0,000) TBD 9 6" xfId="12759"/>
    <cellStyle name="Comma (0,000) TBD- 9 6" xfId="12760"/>
    <cellStyle name="Comma (0,000) TBD 9 60" xfId="12761"/>
    <cellStyle name="Comma (0,000) TBD- 9 60" xfId="12762"/>
    <cellStyle name="Comma (0,000) TBD 9 61" xfId="12763"/>
    <cellStyle name="Comma (0,000) TBD- 9 61" xfId="12764"/>
    <cellStyle name="Comma (0,000) TBD 9 62" xfId="12765"/>
    <cellStyle name="Comma (0,000) TBD- 9 62" xfId="12766"/>
    <cellStyle name="Comma (0,000) TBD 9 63" xfId="12767"/>
    <cellStyle name="Comma (0,000) TBD- 9 63" xfId="12768"/>
    <cellStyle name="Comma (0,000) TBD 9 64" xfId="12769"/>
    <cellStyle name="Comma (0,000) TBD- 9 64" xfId="12770"/>
    <cellStyle name="Comma (0,000) TBD 9 65" xfId="12771"/>
    <cellStyle name="Comma (0,000) TBD- 9 65" xfId="12772"/>
    <cellStyle name="Comma (0,000) TBD 9 66" xfId="12773"/>
    <cellStyle name="Comma (0,000) TBD- 9 66" xfId="12774"/>
    <cellStyle name="Comma (0,000) TBD 9 67" xfId="12775"/>
    <cellStyle name="Comma (0,000) TBD- 9 67" xfId="12776"/>
    <cellStyle name="Comma (0,000) TBD 9 68" xfId="12777"/>
    <cellStyle name="Comma (0,000) TBD- 9 68" xfId="12778"/>
    <cellStyle name="Comma (0,000) TBD 9 69" xfId="12779"/>
    <cellStyle name="Comma (0,000) TBD- 9 69" xfId="12780"/>
    <cellStyle name="Comma (0,000) TBD 9 7" xfId="12781"/>
    <cellStyle name="Comma (0,000) TBD- 9 7" xfId="12782"/>
    <cellStyle name="Comma (0,000) TBD 9 70" xfId="12783"/>
    <cellStyle name="Comma (0,000) TBD- 9 70" xfId="12784"/>
    <cellStyle name="Comma (0,000) TBD 9 71" xfId="12785"/>
    <cellStyle name="Comma (0,000) TBD- 9 71" xfId="12786"/>
    <cellStyle name="Comma (0,000) TBD 9 72" xfId="12787"/>
    <cellStyle name="Comma (0,000) TBD- 9 72" xfId="12788"/>
    <cellStyle name="Comma (0,000) TBD 9 73" xfId="12789"/>
    <cellStyle name="Comma (0,000) TBD- 9 73" xfId="12790"/>
    <cellStyle name="Comma (0,000) TBD 9 74" xfId="12791"/>
    <cellStyle name="Comma (0,000) TBD- 9 74" xfId="12792"/>
    <cellStyle name="Comma (0,000) TBD 9 75" xfId="12793"/>
    <cellStyle name="Comma (0,000) TBD- 9 75" xfId="12794"/>
    <cellStyle name="Comma (0,000) TBD 9 76" xfId="12795"/>
    <cellStyle name="Comma (0,000) TBD- 9 76" xfId="12796"/>
    <cellStyle name="Comma (0,000) TBD 9 77" xfId="12797"/>
    <cellStyle name="Comma (0,000) TBD- 9 77" xfId="12798"/>
    <cellStyle name="Comma (0,000) TBD 9 78" xfId="12799"/>
    <cellStyle name="Comma (0,000) TBD- 9 78" xfId="12800"/>
    <cellStyle name="Comma (0,000) TBD 9 79" xfId="12801"/>
    <cellStyle name="Comma (0,000) TBD- 9 79" xfId="12802"/>
    <cellStyle name="Comma (0,000) TBD 9 8" xfId="12803"/>
    <cellStyle name="Comma (0,000) TBD- 9 8" xfId="12804"/>
    <cellStyle name="Comma (0,000) TBD 9 80" xfId="12805"/>
    <cellStyle name="Comma (0,000) TBD- 9 80" xfId="12806"/>
    <cellStyle name="Comma (0,000) TBD 9 81" xfId="12807"/>
    <cellStyle name="Comma (0,000) TBD- 9 81" xfId="12808"/>
    <cellStyle name="Comma (0,000) TBD 9 82" xfId="12809"/>
    <cellStyle name="Comma (0,000) TBD- 9 82" xfId="12810"/>
    <cellStyle name="Comma (0,000) TBD 9 83" xfId="12811"/>
    <cellStyle name="Comma (0,000) TBD- 9 83" xfId="12812"/>
    <cellStyle name="Comma (0,000) TBD 9 84" xfId="12813"/>
    <cellStyle name="Comma (0,000) TBD- 9 84" xfId="12814"/>
    <cellStyle name="Comma (0,000) TBD 9 85" xfId="12815"/>
    <cellStyle name="Comma (0,000) TBD- 9 85" xfId="12816"/>
    <cellStyle name="Comma (0,000) TBD 9 86" xfId="12817"/>
    <cellStyle name="Comma (0,000) TBD- 9 86" xfId="12818"/>
    <cellStyle name="Comma (0,000) TBD 9 87" xfId="12819"/>
    <cellStyle name="Comma (0,000) TBD- 9 87" xfId="12820"/>
    <cellStyle name="Comma (0,000) TBD 9 88" xfId="12821"/>
    <cellStyle name="Comma (0,000) TBD- 9 88" xfId="12822"/>
    <cellStyle name="Comma (0,000) TBD 9 89" xfId="12823"/>
    <cellStyle name="Comma (0,000) TBD- 9 89" xfId="12824"/>
    <cellStyle name="Comma (0,000) TBD 9 9" xfId="12825"/>
    <cellStyle name="Comma (0,000) TBD- 9 9" xfId="12826"/>
    <cellStyle name="Comma (0,000) TBD 9 90" xfId="12827"/>
    <cellStyle name="Comma (0,000) TBD- 9 90" xfId="12828"/>
    <cellStyle name="Comma (0,000) TBD 9 91" xfId="12829"/>
    <cellStyle name="Comma (0,000) TBD- 9 91" xfId="12830"/>
    <cellStyle name="Comma (0,000) TBD 9 92" xfId="12831"/>
    <cellStyle name="Comma (0,000) TBD- 9 92" xfId="12832"/>
    <cellStyle name="Comma (0,000) TBD 9 93" xfId="12833"/>
    <cellStyle name="Comma (0,000) TBD- 9 93" xfId="12834"/>
    <cellStyle name="Comma (0,000) TBD 9 94" xfId="12835"/>
    <cellStyle name="Comma (0,000) TBD- 9 94" xfId="12836"/>
    <cellStyle name="Comma (0,000) TBD 9 95" xfId="12837"/>
    <cellStyle name="Comma (0,000) TBD- 9 95" xfId="12838"/>
    <cellStyle name="Comma (0,000) TBD 9 96" xfId="12839"/>
    <cellStyle name="Comma (0,000) TBD- 9 96" xfId="12840"/>
    <cellStyle name="Comma (0,000) TBD 9 97" xfId="12841"/>
    <cellStyle name="Comma (0,000) TBD- 9 97" xfId="12842"/>
    <cellStyle name="Comma (0,000) TBD 9 98" xfId="12843"/>
    <cellStyle name="Comma (0,000) TBD- 9 98" xfId="12844"/>
    <cellStyle name="Comma (0,000) TBD 9 99" xfId="12845"/>
    <cellStyle name="Comma (0,000) TBD- 9 99" xfId="12846"/>
    <cellStyle name="Comma (0,000) TBD_Page 2f (2)" xfId="12847"/>
    <cellStyle name="Comma (0,000) TBD-_Page 2f (2)" xfId="12848"/>
    <cellStyle name="Comma (0,000) TBD_Page 2f (2) 10" xfId="12849"/>
    <cellStyle name="Comma (0,000) TBD-_Page 2f (2) 10" xfId="12850"/>
    <cellStyle name="Comma (0,000) TBD_Page 2f (2) 10 10" xfId="12851"/>
    <cellStyle name="Comma (0,000) TBD-_Page 2f (2) 10 10" xfId="12852"/>
    <cellStyle name="Comma (0,000) TBD_Page 2f (2) 10 100" xfId="12853"/>
    <cellStyle name="Comma (0,000) TBD-_Page 2f (2) 10 100" xfId="12854"/>
    <cellStyle name="Comma (0,000) TBD_Page 2f (2) 10 101" xfId="12855"/>
    <cellStyle name="Comma (0,000) TBD-_Page 2f (2) 10 101" xfId="12856"/>
    <cellStyle name="Comma (0,000) TBD_Page 2f (2) 10 102" xfId="12857"/>
    <cellStyle name="Comma (0,000) TBD-_Page 2f (2) 10 102" xfId="12858"/>
    <cellStyle name="Comma (0,000) TBD_Page 2f (2) 10 103" xfId="12859"/>
    <cellStyle name="Comma (0,000) TBD-_Page 2f (2) 10 103" xfId="12860"/>
    <cellStyle name="Comma (0,000) TBD_Page 2f (2) 10 104" xfId="12861"/>
    <cellStyle name="Comma (0,000) TBD-_Page 2f (2) 10 104" xfId="12862"/>
    <cellStyle name="Comma (0,000) TBD_Page 2f (2) 10 105" xfId="12863"/>
    <cellStyle name="Comma (0,000) TBD-_Page 2f (2) 10 105" xfId="12864"/>
    <cellStyle name="Comma (0,000) TBD_Page 2f (2) 10 106" xfId="12865"/>
    <cellStyle name="Comma (0,000) TBD-_Page 2f (2) 10 106" xfId="12866"/>
    <cellStyle name="Comma (0,000) TBD_Page 2f (2) 10 107" xfId="12867"/>
    <cellStyle name="Comma (0,000) TBD-_Page 2f (2) 10 107" xfId="12868"/>
    <cellStyle name="Comma (0,000) TBD_Page 2f (2) 10 108" xfId="12869"/>
    <cellStyle name="Comma (0,000) TBD-_Page 2f (2) 10 108" xfId="12870"/>
    <cellStyle name="Comma (0,000) TBD_Page 2f (2) 10 109" xfId="12871"/>
    <cellStyle name="Comma (0,000) TBD-_Page 2f (2) 10 109" xfId="12872"/>
    <cellStyle name="Comma (0,000) TBD_Page 2f (2) 10 11" xfId="12873"/>
    <cellStyle name="Comma (0,000) TBD-_Page 2f (2) 10 11" xfId="12874"/>
    <cellStyle name="Comma (0,000) TBD_Page 2f (2) 10 110" xfId="12875"/>
    <cellStyle name="Comma (0,000) TBD-_Page 2f (2) 10 110" xfId="12876"/>
    <cellStyle name="Comma (0,000) TBD_Page 2f (2) 10 111" xfId="12877"/>
    <cellStyle name="Comma (0,000) TBD-_Page 2f (2) 10 111" xfId="12878"/>
    <cellStyle name="Comma (0,000) TBD_Page 2f (2) 10 112" xfId="12879"/>
    <cellStyle name="Comma (0,000) TBD-_Page 2f (2) 10 112" xfId="12880"/>
    <cellStyle name="Comma (0,000) TBD_Page 2f (2) 10 113" xfId="12881"/>
    <cellStyle name="Comma (0,000) TBD-_Page 2f (2) 10 113" xfId="12882"/>
    <cellStyle name="Comma (0,000) TBD_Page 2f (2) 10 114" xfId="12883"/>
    <cellStyle name="Comma (0,000) TBD-_Page 2f (2) 10 114" xfId="12884"/>
    <cellStyle name="Comma (0,000) TBD_Page 2f (2) 10 115" xfId="12885"/>
    <cellStyle name="Comma (0,000) TBD-_Page 2f (2) 10 115" xfId="12886"/>
    <cellStyle name="Comma (0,000) TBD_Page 2f (2) 10 116" xfId="12887"/>
    <cellStyle name="Comma (0,000) TBD-_Page 2f (2) 10 116" xfId="12888"/>
    <cellStyle name="Comma (0,000) TBD_Page 2f (2) 10 117" xfId="12889"/>
    <cellStyle name="Comma (0,000) TBD-_Page 2f (2) 10 117" xfId="12890"/>
    <cellStyle name="Comma (0,000) TBD_Page 2f (2) 10 118" xfId="12891"/>
    <cellStyle name="Comma (0,000) TBD-_Page 2f (2) 10 118" xfId="12892"/>
    <cellStyle name="Comma (0,000) TBD_Page 2f (2) 10 119" xfId="12893"/>
    <cellStyle name="Comma (0,000) TBD-_Page 2f (2) 10 119" xfId="12894"/>
    <cellStyle name="Comma (0,000) TBD_Page 2f (2) 10 12" xfId="12895"/>
    <cellStyle name="Comma (0,000) TBD-_Page 2f (2) 10 12" xfId="12896"/>
    <cellStyle name="Comma (0,000) TBD_Page 2f (2) 10 120" xfId="12897"/>
    <cellStyle name="Comma (0,000) TBD-_Page 2f (2) 10 120" xfId="12898"/>
    <cellStyle name="Comma (0,000) TBD_Page 2f (2) 10 121" xfId="12899"/>
    <cellStyle name="Comma (0,000) TBD-_Page 2f (2) 10 121" xfId="12900"/>
    <cellStyle name="Comma (0,000) TBD_Page 2f (2) 10 122" xfId="12901"/>
    <cellStyle name="Comma (0,000) TBD-_Page 2f (2) 10 122" xfId="12902"/>
    <cellStyle name="Comma (0,000) TBD_Page 2f (2) 10 123" xfId="12903"/>
    <cellStyle name="Comma (0,000) TBD-_Page 2f (2) 10 123" xfId="12904"/>
    <cellStyle name="Comma (0,000) TBD_Page 2f (2) 10 124" xfId="12905"/>
    <cellStyle name="Comma (0,000) TBD-_Page 2f (2) 10 124" xfId="12906"/>
    <cellStyle name="Comma (0,000) TBD_Page 2f (2) 10 125" xfId="12907"/>
    <cellStyle name="Comma (0,000) TBD-_Page 2f (2) 10 125" xfId="12908"/>
    <cellStyle name="Comma (0,000) TBD_Page 2f (2) 10 126" xfId="12909"/>
    <cellStyle name="Comma (0,000) TBD-_Page 2f (2) 10 126" xfId="12910"/>
    <cellStyle name="Comma (0,000) TBD_Page 2f (2) 10 127" xfId="12911"/>
    <cellStyle name="Comma (0,000) TBD-_Page 2f (2) 10 127" xfId="12912"/>
    <cellStyle name="Comma (0,000) TBD_Page 2f (2) 10 128" xfId="12913"/>
    <cellStyle name="Comma (0,000) TBD-_Page 2f (2) 10 128" xfId="12914"/>
    <cellStyle name="Comma (0,000) TBD_Page 2f (2) 10 129" xfId="12915"/>
    <cellStyle name="Comma (0,000) TBD-_Page 2f (2) 10 129" xfId="12916"/>
    <cellStyle name="Comma (0,000) TBD_Page 2f (2) 10 13" xfId="12917"/>
    <cellStyle name="Comma (0,000) TBD-_Page 2f (2) 10 13" xfId="12918"/>
    <cellStyle name="Comma (0,000) TBD_Page 2f (2) 10 130" xfId="12919"/>
    <cellStyle name="Comma (0,000) TBD-_Page 2f (2) 10 130" xfId="12920"/>
    <cellStyle name="Comma (0,000) TBD_Page 2f (2) 10 131" xfId="12921"/>
    <cellStyle name="Comma (0,000) TBD-_Page 2f (2) 10 131" xfId="12922"/>
    <cellStyle name="Comma (0,000) TBD_Page 2f (2) 10 132" xfId="12923"/>
    <cellStyle name="Comma (0,000) TBD-_Page 2f (2) 10 132" xfId="12924"/>
    <cellStyle name="Comma (0,000) TBD_Page 2f (2) 10 133" xfId="12925"/>
    <cellStyle name="Comma (0,000) TBD-_Page 2f (2) 10 133" xfId="12926"/>
    <cellStyle name="Comma (0,000) TBD_Page 2f (2) 10 134" xfId="12927"/>
    <cellStyle name="Comma (0,000) TBD-_Page 2f (2) 10 134" xfId="12928"/>
    <cellStyle name="Comma (0,000) TBD_Page 2f (2) 10 135" xfId="12929"/>
    <cellStyle name="Comma (0,000) TBD-_Page 2f (2) 10 135" xfId="12930"/>
    <cellStyle name="Comma (0,000) TBD_Page 2f (2) 10 136" xfId="12931"/>
    <cellStyle name="Comma (0,000) TBD-_Page 2f (2) 10 136" xfId="12932"/>
    <cellStyle name="Comma (0,000) TBD_Page 2f (2) 10 137" xfId="12933"/>
    <cellStyle name="Comma (0,000) TBD-_Page 2f (2) 10 137" xfId="12934"/>
    <cellStyle name="Comma (0,000) TBD_Page 2f (2) 10 138" xfId="12935"/>
    <cellStyle name="Comma (0,000) TBD-_Page 2f (2) 10 138" xfId="12936"/>
    <cellStyle name="Comma (0,000) TBD_Page 2f (2) 10 139" xfId="12937"/>
    <cellStyle name="Comma (0,000) TBD-_Page 2f (2) 10 139" xfId="12938"/>
    <cellStyle name="Comma (0,000) TBD_Page 2f (2) 10 14" xfId="12939"/>
    <cellStyle name="Comma (0,000) TBD-_Page 2f (2) 10 14" xfId="12940"/>
    <cellStyle name="Comma (0,000) TBD_Page 2f (2) 10 140" xfId="12941"/>
    <cellStyle name="Comma (0,000) TBD-_Page 2f (2) 10 140" xfId="12942"/>
    <cellStyle name="Comma (0,000) TBD_Page 2f (2) 10 141" xfId="12943"/>
    <cellStyle name="Comma (0,000) TBD-_Page 2f (2) 10 141" xfId="12944"/>
    <cellStyle name="Comma (0,000) TBD_Page 2f (2) 10 142" xfId="12945"/>
    <cellStyle name="Comma (0,000) TBD-_Page 2f (2) 10 142" xfId="12946"/>
    <cellStyle name="Comma (0,000) TBD_Page 2f (2) 10 143" xfId="12947"/>
    <cellStyle name="Comma (0,000) TBD-_Page 2f (2) 10 143" xfId="12948"/>
    <cellStyle name="Comma (0,000) TBD_Page 2f (2) 10 144" xfId="12949"/>
    <cellStyle name="Comma (0,000) TBD-_Page 2f (2) 10 144" xfId="12950"/>
    <cellStyle name="Comma (0,000) TBD_Page 2f (2) 10 145" xfId="12951"/>
    <cellStyle name="Comma (0,000) TBD-_Page 2f (2) 10 145" xfId="12952"/>
    <cellStyle name="Comma (0,000) TBD_Page 2f (2) 10 146" xfId="12953"/>
    <cellStyle name="Comma (0,000) TBD-_Page 2f (2) 10 146" xfId="12954"/>
    <cellStyle name="Comma (0,000) TBD_Page 2f (2) 10 147" xfId="12955"/>
    <cellStyle name="Comma (0,000) TBD-_Page 2f (2) 10 147" xfId="12956"/>
    <cellStyle name="Comma (0,000) TBD_Page 2f (2) 10 148" xfId="12957"/>
    <cellStyle name="Comma (0,000) TBD-_Page 2f (2) 10 148" xfId="12958"/>
    <cellStyle name="Comma (0,000) TBD_Page 2f (2) 10 149" xfId="12959"/>
    <cellStyle name="Comma (0,000) TBD-_Page 2f (2) 10 149" xfId="12960"/>
    <cellStyle name="Comma (0,000) TBD_Page 2f (2) 10 15" xfId="12961"/>
    <cellStyle name="Comma (0,000) TBD-_Page 2f (2) 10 15" xfId="12962"/>
    <cellStyle name="Comma (0,000) TBD_Page 2f (2) 10 150" xfId="12963"/>
    <cellStyle name="Comma (0,000) TBD-_Page 2f (2) 10 150" xfId="12964"/>
    <cellStyle name="Comma (0,000) TBD_Page 2f (2) 10 151" xfId="12965"/>
    <cellStyle name="Comma (0,000) TBD-_Page 2f (2) 10 151" xfId="12966"/>
    <cellStyle name="Comma (0,000) TBD_Page 2f (2) 10 152" xfId="12967"/>
    <cellStyle name="Comma (0,000) TBD-_Page 2f (2) 10 152" xfId="12968"/>
    <cellStyle name="Comma (0,000) TBD_Page 2f (2) 10 153" xfId="12969"/>
    <cellStyle name="Comma (0,000) TBD-_Page 2f (2) 10 153" xfId="12970"/>
    <cellStyle name="Comma (0,000) TBD_Page 2f (2) 10 16" xfId="12971"/>
    <cellStyle name="Comma (0,000) TBD-_Page 2f (2) 10 16" xfId="12972"/>
    <cellStyle name="Comma (0,000) TBD_Page 2f (2) 10 17" xfId="12973"/>
    <cellStyle name="Comma (0,000) TBD-_Page 2f (2) 10 17" xfId="12974"/>
    <cellStyle name="Comma (0,000) TBD_Page 2f (2) 10 18" xfId="12975"/>
    <cellStyle name="Comma (0,000) TBD-_Page 2f (2) 10 18" xfId="12976"/>
    <cellStyle name="Comma (0,000) TBD_Page 2f (2) 10 19" xfId="12977"/>
    <cellStyle name="Comma (0,000) TBD-_Page 2f (2) 10 19" xfId="12978"/>
    <cellStyle name="Comma (0,000) TBD_Page 2f (2) 10 2" xfId="12979"/>
    <cellStyle name="Comma (0,000) TBD-_Page 2f (2) 10 2" xfId="12980"/>
    <cellStyle name="Comma (0,000) TBD_Page 2f (2) 10 20" xfId="12981"/>
    <cellStyle name="Comma (0,000) TBD-_Page 2f (2) 10 20" xfId="12982"/>
    <cellStyle name="Comma (0,000) TBD_Page 2f (2) 10 21" xfId="12983"/>
    <cellStyle name="Comma (0,000) TBD-_Page 2f (2) 10 21" xfId="12984"/>
    <cellStyle name="Comma (0,000) TBD_Page 2f (2) 10 22" xfId="12985"/>
    <cellStyle name="Comma (0,000) TBD-_Page 2f (2) 10 22" xfId="12986"/>
    <cellStyle name="Comma (0,000) TBD_Page 2f (2) 10 23" xfId="12987"/>
    <cellStyle name="Comma (0,000) TBD-_Page 2f (2) 10 23" xfId="12988"/>
    <cellStyle name="Comma (0,000) TBD_Page 2f (2) 10 24" xfId="12989"/>
    <cellStyle name="Comma (0,000) TBD-_Page 2f (2) 10 24" xfId="12990"/>
    <cellStyle name="Comma (0,000) TBD_Page 2f (2) 10 25" xfId="12991"/>
    <cellStyle name="Comma (0,000) TBD-_Page 2f (2) 10 25" xfId="12992"/>
    <cellStyle name="Comma (0,000) TBD_Page 2f (2) 10 26" xfId="12993"/>
    <cellStyle name="Comma (0,000) TBD-_Page 2f (2) 10 26" xfId="12994"/>
    <cellStyle name="Comma (0,000) TBD_Page 2f (2) 10 27" xfId="12995"/>
    <cellStyle name="Comma (0,000) TBD-_Page 2f (2) 10 27" xfId="12996"/>
    <cellStyle name="Comma (0,000) TBD_Page 2f (2) 10 28" xfId="12997"/>
    <cellStyle name="Comma (0,000) TBD-_Page 2f (2) 10 28" xfId="12998"/>
    <cellStyle name="Comma (0,000) TBD_Page 2f (2) 10 29" xfId="12999"/>
    <cellStyle name="Comma (0,000) TBD-_Page 2f (2) 10 29" xfId="13000"/>
    <cellStyle name="Comma (0,000) TBD_Page 2f (2) 10 3" xfId="13001"/>
    <cellStyle name="Comma (0,000) TBD-_Page 2f (2) 10 3" xfId="13002"/>
    <cellStyle name="Comma (0,000) TBD_Page 2f (2) 10 30" xfId="13003"/>
    <cellStyle name="Comma (0,000) TBD-_Page 2f (2) 10 30" xfId="13004"/>
    <cellStyle name="Comma (0,000) TBD_Page 2f (2) 10 31" xfId="13005"/>
    <cellStyle name="Comma (0,000) TBD-_Page 2f (2) 10 31" xfId="13006"/>
    <cellStyle name="Comma (0,000) TBD_Page 2f (2) 10 32" xfId="13007"/>
    <cellStyle name="Comma (0,000) TBD-_Page 2f (2) 10 32" xfId="13008"/>
    <cellStyle name="Comma (0,000) TBD_Page 2f (2) 10 33" xfId="13009"/>
    <cellStyle name="Comma (0,000) TBD-_Page 2f (2) 10 33" xfId="13010"/>
    <cellStyle name="Comma (0,000) TBD_Page 2f (2) 10 34" xfId="13011"/>
    <cellStyle name="Comma (0,000) TBD-_Page 2f (2) 10 34" xfId="13012"/>
    <cellStyle name="Comma (0,000) TBD_Page 2f (2) 10 35" xfId="13013"/>
    <cellStyle name="Comma (0,000) TBD-_Page 2f (2) 10 35" xfId="13014"/>
    <cellStyle name="Comma (0,000) TBD_Page 2f (2) 10 36" xfId="13015"/>
    <cellStyle name="Comma (0,000) TBD-_Page 2f (2) 10 36" xfId="13016"/>
    <cellStyle name="Comma (0,000) TBD_Page 2f (2) 10 37" xfId="13017"/>
    <cellStyle name="Comma (0,000) TBD-_Page 2f (2) 10 37" xfId="13018"/>
    <cellStyle name="Comma (0,000) TBD_Page 2f (2) 10 38" xfId="13019"/>
    <cellStyle name="Comma (0,000) TBD-_Page 2f (2) 10 38" xfId="13020"/>
    <cellStyle name="Comma (0,000) TBD_Page 2f (2) 10 39" xfId="13021"/>
    <cellStyle name="Comma (0,000) TBD-_Page 2f (2) 10 39" xfId="13022"/>
    <cellStyle name="Comma (0,000) TBD_Page 2f (2) 10 4" xfId="13023"/>
    <cellStyle name="Comma (0,000) TBD-_Page 2f (2) 10 4" xfId="13024"/>
    <cellStyle name="Comma (0,000) TBD_Page 2f (2) 10 40" xfId="13025"/>
    <cellStyle name="Comma (0,000) TBD-_Page 2f (2) 10 40" xfId="13026"/>
    <cellStyle name="Comma (0,000) TBD_Page 2f (2) 10 41" xfId="13027"/>
    <cellStyle name="Comma (0,000) TBD-_Page 2f (2) 10 41" xfId="13028"/>
    <cellStyle name="Comma (0,000) TBD_Page 2f (2) 10 42" xfId="13029"/>
    <cellStyle name="Comma (0,000) TBD-_Page 2f (2) 10 42" xfId="13030"/>
    <cellStyle name="Comma (0,000) TBD_Page 2f (2) 10 43" xfId="13031"/>
    <cellStyle name="Comma (0,000) TBD-_Page 2f (2) 10 43" xfId="13032"/>
    <cellStyle name="Comma (0,000) TBD_Page 2f (2) 10 44" xfId="13033"/>
    <cellStyle name="Comma (0,000) TBD-_Page 2f (2) 10 44" xfId="13034"/>
    <cellStyle name="Comma (0,000) TBD_Page 2f (2) 10 45" xfId="13035"/>
    <cellStyle name="Comma (0,000) TBD-_Page 2f (2) 10 45" xfId="13036"/>
    <cellStyle name="Comma (0,000) TBD_Page 2f (2) 10 46" xfId="13037"/>
    <cellStyle name="Comma (0,000) TBD-_Page 2f (2) 10 46" xfId="13038"/>
    <cellStyle name="Comma (0,000) TBD_Page 2f (2) 10 47" xfId="13039"/>
    <cellStyle name="Comma (0,000) TBD-_Page 2f (2) 10 47" xfId="13040"/>
    <cellStyle name="Comma (0,000) TBD_Page 2f (2) 10 48" xfId="13041"/>
    <cellStyle name="Comma (0,000) TBD-_Page 2f (2) 10 48" xfId="13042"/>
    <cellStyle name="Comma (0,000) TBD_Page 2f (2) 10 49" xfId="13043"/>
    <cellStyle name="Comma (0,000) TBD-_Page 2f (2) 10 49" xfId="13044"/>
    <cellStyle name="Comma (0,000) TBD_Page 2f (2) 10 5" xfId="13045"/>
    <cellStyle name="Comma (0,000) TBD-_Page 2f (2) 10 5" xfId="13046"/>
    <cellStyle name="Comma (0,000) TBD_Page 2f (2) 10 50" xfId="13047"/>
    <cellStyle name="Comma (0,000) TBD-_Page 2f (2) 10 50" xfId="13048"/>
    <cellStyle name="Comma (0,000) TBD_Page 2f (2) 10 51" xfId="13049"/>
    <cellStyle name="Comma (0,000) TBD-_Page 2f (2) 10 51" xfId="13050"/>
    <cellStyle name="Comma (0,000) TBD_Page 2f (2) 10 52" xfId="13051"/>
    <cellStyle name="Comma (0,000) TBD-_Page 2f (2) 10 52" xfId="13052"/>
    <cellStyle name="Comma (0,000) TBD_Page 2f (2) 10 53" xfId="13053"/>
    <cellStyle name="Comma (0,000) TBD-_Page 2f (2) 10 53" xfId="13054"/>
    <cellStyle name="Comma (0,000) TBD_Page 2f (2) 10 54" xfId="13055"/>
    <cellStyle name="Comma (0,000) TBD-_Page 2f (2) 10 54" xfId="13056"/>
    <cellStyle name="Comma (0,000) TBD_Page 2f (2) 10 55" xfId="13057"/>
    <cellStyle name="Comma (0,000) TBD-_Page 2f (2) 10 55" xfId="13058"/>
    <cellStyle name="Comma (0,000) TBD_Page 2f (2) 10 56" xfId="13059"/>
    <cellStyle name="Comma (0,000) TBD-_Page 2f (2) 10 56" xfId="13060"/>
    <cellStyle name="Comma (0,000) TBD_Page 2f (2) 10 57" xfId="13061"/>
    <cellStyle name="Comma (0,000) TBD-_Page 2f (2) 10 57" xfId="13062"/>
    <cellStyle name="Comma (0,000) TBD_Page 2f (2) 10 58" xfId="13063"/>
    <cellStyle name="Comma (0,000) TBD-_Page 2f (2) 10 58" xfId="13064"/>
    <cellStyle name="Comma (0,000) TBD_Page 2f (2) 10 59" xfId="13065"/>
    <cellStyle name="Comma (0,000) TBD-_Page 2f (2) 10 59" xfId="13066"/>
    <cellStyle name="Comma (0,000) TBD_Page 2f (2) 10 6" xfId="13067"/>
    <cellStyle name="Comma (0,000) TBD-_Page 2f (2) 10 6" xfId="13068"/>
    <cellStyle name="Comma (0,000) TBD_Page 2f (2) 10 60" xfId="13069"/>
    <cellStyle name="Comma (0,000) TBD-_Page 2f (2) 10 60" xfId="13070"/>
    <cellStyle name="Comma (0,000) TBD_Page 2f (2) 10 61" xfId="13071"/>
    <cellStyle name="Comma (0,000) TBD-_Page 2f (2) 10 61" xfId="13072"/>
    <cellStyle name="Comma (0,000) TBD_Page 2f (2) 10 62" xfId="13073"/>
    <cellStyle name="Comma (0,000) TBD-_Page 2f (2) 10 62" xfId="13074"/>
    <cellStyle name="Comma (0,000) TBD_Page 2f (2) 10 63" xfId="13075"/>
    <cellStyle name="Comma (0,000) TBD-_Page 2f (2) 10 63" xfId="13076"/>
    <cellStyle name="Comma (0,000) TBD_Page 2f (2) 10 64" xfId="13077"/>
    <cellStyle name="Comma (0,000) TBD-_Page 2f (2) 10 64" xfId="13078"/>
    <cellStyle name="Comma (0,000) TBD_Page 2f (2) 10 65" xfId="13079"/>
    <cellStyle name="Comma (0,000) TBD-_Page 2f (2) 10 65" xfId="13080"/>
    <cellStyle name="Comma (0,000) TBD_Page 2f (2) 10 66" xfId="13081"/>
    <cellStyle name="Comma (0,000) TBD-_Page 2f (2) 10 66" xfId="13082"/>
    <cellStyle name="Comma (0,000) TBD_Page 2f (2) 10 67" xfId="13083"/>
    <cellStyle name="Comma (0,000) TBD-_Page 2f (2) 10 67" xfId="13084"/>
    <cellStyle name="Comma (0,000) TBD_Page 2f (2) 10 68" xfId="13085"/>
    <cellStyle name="Comma (0,000) TBD-_Page 2f (2) 10 68" xfId="13086"/>
    <cellStyle name="Comma (0,000) TBD_Page 2f (2) 10 69" xfId="13087"/>
    <cellStyle name="Comma (0,000) TBD-_Page 2f (2) 10 69" xfId="13088"/>
    <cellStyle name="Comma (0,000) TBD_Page 2f (2) 10 7" xfId="13089"/>
    <cellStyle name="Comma (0,000) TBD-_Page 2f (2) 10 7" xfId="13090"/>
    <cellStyle name="Comma (0,000) TBD_Page 2f (2) 10 70" xfId="13091"/>
    <cellStyle name="Comma (0,000) TBD-_Page 2f (2) 10 70" xfId="13092"/>
    <cellStyle name="Comma (0,000) TBD_Page 2f (2) 10 71" xfId="13093"/>
    <cellStyle name="Comma (0,000) TBD-_Page 2f (2) 10 71" xfId="13094"/>
    <cellStyle name="Comma (0,000) TBD_Page 2f (2) 10 72" xfId="13095"/>
    <cellStyle name="Comma (0,000) TBD-_Page 2f (2) 10 72" xfId="13096"/>
    <cellStyle name="Comma (0,000) TBD_Page 2f (2) 10 73" xfId="13097"/>
    <cellStyle name="Comma (0,000) TBD-_Page 2f (2) 10 73" xfId="13098"/>
    <cellStyle name="Comma (0,000) TBD_Page 2f (2) 10 74" xfId="13099"/>
    <cellStyle name="Comma (0,000) TBD-_Page 2f (2) 10 74" xfId="13100"/>
    <cellStyle name="Comma (0,000) TBD_Page 2f (2) 10 75" xfId="13101"/>
    <cellStyle name="Comma (0,000) TBD-_Page 2f (2) 10 75" xfId="13102"/>
    <cellStyle name="Comma (0,000) TBD_Page 2f (2) 10 76" xfId="13103"/>
    <cellStyle name="Comma (0,000) TBD-_Page 2f (2) 10 76" xfId="13104"/>
    <cellStyle name="Comma (0,000) TBD_Page 2f (2) 10 77" xfId="13105"/>
    <cellStyle name="Comma (0,000) TBD-_Page 2f (2) 10 77" xfId="13106"/>
    <cellStyle name="Comma (0,000) TBD_Page 2f (2) 10 78" xfId="13107"/>
    <cellStyle name="Comma (0,000) TBD-_Page 2f (2) 10 78" xfId="13108"/>
    <cellStyle name="Comma (0,000) TBD_Page 2f (2) 10 79" xfId="13109"/>
    <cellStyle name="Comma (0,000) TBD-_Page 2f (2) 10 79" xfId="13110"/>
    <cellStyle name="Comma (0,000) TBD_Page 2f (2) 10 8" xfId="13111"/>
    <cellStyle name="Comma (0,000) TBD-_Page 2f (2) 10 8" xfId="13112"/>
    <cellStyle name="Comma (0,000) TBD_Page 2f (2) 10 80" xfId="13113"/>
    <cellStyle name="Comma (0,000) TBD-_Page 2f (2) 10 80" xfId="13114"/>
    <cellStyle name="Comma (0,000) TBD_Page 2f (2) 10 81" xfId="13115"/>
    <cellStyle name="Comma (0,000) TBD-_Page 2f (2) 10 81" xfId="13116"/>
    <cellStyle name="Comma (0,000) TBD_Page 2f (2) 10 82" xfId="13117"/>
    <cellStyle name="Comma (0,000) TBD-_Page 2f (2) 10 82" xfId="13118"/>
    <cellStyle name="Comma (0,000) TBD_Page 2f (2) 10 83" xfId="13119"/>
    <cellStyle name="Comma (0,000) TBD-_Page 2f (2) 10 83" xfId="13120"/>
    <cellStyle name="Comma (0,000) TBD_Page 2f (2) 10 84" xfId="13121"/>
    <cellStyle name="Comma (0,000) TBD-_Page 2f (2) 10 84" xfId="13122"/>
    <cellStyle name="Comma (0,000) TBD_Page 2f (2) 10 85" xfId="13123"/>
    <cellStyle name="Comma (0,000) TBD-_Page 2f (2) 10 85" xfId="13124"/>
    <cellStyle name="Comma (0,000) TBD_Page 2f (2) 10 86" xfId="13125"/>
    <cellStyle name="Comma (0,000) TBD-_Page 2f (2) 10 86" xfId="13126"/>
    <cellStyle name="Comma (0,000) TBD_Page 2f (2) 10 87" xfId="13127"/>
    <cellStyle name="Comma (0,000) TBD-_Page 2f (2) 10 87" xfId="13128"/>
    <cellStyle name="Comma (0,000) TBD_Page 2f (2) 10 88" xfId="13129"/>
    <cellStyle name="Comma (0,000) TBD-_Page 2f (2) 10 88" xfId="13130"/>
    <cellStyle name="Comma (0,000) TBD_Page 2f (2) 10 89" xfId="13131"/>
    <cellStyle name="Comma (0,000) TBD-_Page 2f (2) 10 89" xfId="13132"/>
    <cellStyle name="Comma (0,000) TBD_Page 2f (2) 10 9" xfId="13133"/>
    <cellStyle name="Comma (0,000) TBD-_Page 2f (2) 10 9" xfId="13134"/>
    <cellStyle name="Comma (0,000) TBD_Page 2f (2) 10 90" xfId="13135"/>
    <cellStyle name="Comma (0,000) TBD-_Page 2f (2) 10 90" xfId="13136"/>
    <cellStyle name="Comma (0,000) TBD_Page 2f (2) 10 91" xfId="13137"/>
    <cellStyle name="Comma (0,000) TBD-_Page 2f (2) 10 91" xfId="13138"/>
    <cellStyle name="Comma (0,000) TBD_Page 2f (2) 10 92" xfId="13139"/>
    <cellStyle name="Comma (0,000) TBD-_Page 2f (2) 10 92" xfId="13140"/>
    <cellStyle name="Comma (0,000) TBD_Page 2f (2) 10 93" xfId="13141"/>
    <cellStyle name="Comma (0,000) TBD-_Page 2f (2) 10 93" xfId="13142"/>
    <cellStyle name="Comma (0,000) TBD_Page 2f (2) 10 94" xfId="13143"/>
    <cellStyle name="Comma (0,000) TBD-_Page 2f (2) 10 94" xfId="13144"/>
    <cellStyle name="Comma (0,000) TBD_Page 2f (2) 10 95" xfId="13145"/>
    <cellStyle name="Comma (0,000) TBD-_Page 2f (2) 10 95" xfId="13146"/>
    <cellStyle name="Comma (0,000) TBD_Page 2f (2) 10 96" xfId="13147"/>
    <cellStyle name="Comma (0,000) TBD-_Page 2f (2) 10 96" xfId="13148"/>
    <cellStyle name="Comma (0,000) TBD_Page 2f (2) 10 97" xfId="13149"/>
    <cellStyle name="Comma (0,000) TBD-_Page 2f (2) 10 97" xfId="13150"/>
    <cellStyle name="Comma (0,000) TBD_Page 2f (2) 10 98" xfId="13151"/>
    <cellStyle name="Comma (0,000) TBD-_Page 2f (2) 10 98" xfId="13152"/>
    <cellStyle name="Comma (0,000) TBD_Page 2f (2) 10 99" xfId="13153"/>
    <cellStyle name="Comma (0,000) TBD-_Page 2f (2) 10 99" xfId="13154"/>
    <cellStyle name="Comma (0,000) TBD_Page 2f (2) 11" xfId="13155"/>
    <cellStyle name="Comma (0,000) TBD-_Page 2f (2) 11" xfId="13156"/>
    <cellStyle name="Comma (0,000) TBD_Page 2f (2) 11 10" xfId="13157"/>
    <cellStyle name="Comma (0,000) TBD-_Page 2f (2) 11 10" xfId="13158"/>
    <cellStyle name="Comma (0,000) TBD_Page 2f (2) 11 100" xfId="13159"/>
    <cellStyle name="Comma (0,000) TBD-_Page 2f (2) 11 100" xfId="13160"/>
    <cellStyle name="Comma (0,000) TBD_Page 2f (2) 11 101" xfId="13161"/>
    <cellStyle name="Comma (0,000) TBD-_Page 2f (2) 11 101" xfId="13162"/>
    <cellStyle name="Comma (0,000) TBD_Page 2f (2) 11 102" xfId="13163"/>
    <cellStyle name="Comma (0,000) TBD-_Page 2f (2) 11 102" xfId="13164"/>
    <cellStyle name="Comma (0,000) TBD_Page 2f (2) 11 103" xfId="13165"/>
    <cellStyle name="Comma (0,000) TBD-_Page 2f (2) 11 103" xfId="13166"/>
    <cellStyle name="Comma (0,000) TBD_Page 2f (2) 11 104" xfId="13167"/>
    <cellStyle name="Comma (0,000) TBD-_Page 2f (2) 11 104" xfId="13168"/>
    <cellStyle name="Comma (0,000) TBD_Page 2f (2) 11 105" xfId="13169"/>
    <cellStyle name="Comma (0,000) TBD-_Page 2f (2) 11 105" xfId="13170"/>
    <cellStyle name="Comma (0,000) TBD_Page 2f (2) 11 106" xfId="13171"/>
    <cellStyle name="Comma (0,000) TBD-_Page 2f (2) 11 106" xfId="13172"/>
    <cellStyle name="Comma (0,000) TBD_Page 2f (2) 11 107" xfId="13173"/>
    <cellStyle name="Comma (0,000) TBD-_Page 2f (2) 11 107" xfId="13174"/>
    <cellStyle name="Comma (0,000) TBD_Page 2f (2) 11 108" xfId="13175"/>
    <cellStyle name="Comma (0,000) TBD-_Page 2f (2) 11 108" xfId="13176"/>
    <cellStyle name="Comma (0,000) TBD_Page 2f (2) 11 109" xfId="13177"/>
    <cellStyle name="Comma (0,000) TBD-_Page 2f (2) 11 109" xfId="13178"/>
    <cellStyle name="Comma (0,000) TBD_Page 2f (2) 11 11" xfId="13179"/>
    <cellStyle name="Comma (0,000) TBD-_Page 2f (2) 11 11" xfId="13180"/>
    <cellStyle name="Comma (0,000) TBD_Page 2f (2) 11 110" xfId="13181"/>
    <cellStyle name="Comma (0,000) TBD-_Page 2f (2) 11 110" xfId="13182"/>
    <cellStyle name="Comma (0,000) TBD_Page 2f (2) 11 111" xfId="13183"/>
    <cellStyle name="Comma (0,000) TBD-_Page 2f (2) 11 111" xfId="13184"/>
    <cellStyle name="Comma (0,000) TBD_Page 2f (2) 11 112" xfId="13185"/>
    <cellStyle name="Comma (0,000) TBD-_Page 2f (2) 11 112" xfId="13186"/>
    <cellStyle name="Comma (0,000) TBD_Page 2f (2) 11 113" xfId="13187"/>
    <cellStyle name="Comma (0,000) TBD-_Page 2f (2) 11 113" xfId="13188"/>
    <cellStyle name="Comma (0,000) TBD_Page 2f (2) 11 114" xfId="13189"/>
    <cellStyle name="Comma (0,000) TBD-_Page 2f (2) 11 114" xfId="13190"/>
    <cellStyle name="Comma (0,000) TBD_Page 2f (2) 11 115" xfId="13191"/>
    <cellStyle name="Comma (0,000) TBD-_Page 2f (2) 11 115" xfId="13192"/>
    <cellStyle name="Comma (0,000) TBD_Page 2f (2) 11 116" xfId="13193"/>
    <cellStyle name="Comma (0,000) TBD-_Page 2f (2) 11 116" xfId="13194"/>
    <cellStyle name="Comma (0,000) TBD_Page 2f (2) 11 117" xfId="13195"/>
    <cellStyle name="Comma (0,000) TBD-_Page 2f (2) 11 117" xfId="13196"/>
    <cellStyle name="Comma (0,000) TBD_Page 2f (2) 11 118" xfId="13197"/>
    <cellStyle name="Comma (0,000) TBD-_Page 2f (2) 11 118" xfId="13198"/>
    <cellStyle name="Comma (0,000) TBD_Page 2f (2) 11 119" xfId="13199"/>
    <cellStyle name="Comma (0,000) TBD-_Page 2f (2) 11 119" xfId="13200"/>
    <cellStyle name="Comma (0,000) TBD_Page 2f (2) 11 12" xfId="13201"/>
    <cellStyle name="Comma (0,000) TBD-_Page 2f (2) 11 12" xfId="13202"/>
    <cellStyle name="Comma (0,000) TBD_Page 2f (2) 11 120" xfId="13203"/>
    <cellStyle name="Comma (0,000) TBD-_Page 2f (2) 11 120" xfId="13204"/>
    <cellStyle name="Comma (0,000) TBD_Page 2f (2) 11 121" xfId="13205"/>
    <cellStyle name="Comma (0,000) TBD-_Page 2f (2) 11 121" xfId="13206"/>
    <cellStyle name="Comma (0,000) TBD_Page 2f (2) 11 122" xfId="13207"/>
    <cellStyle name="Comma (0,000) TBD-_Page 2f (2) 11 122" xfId="13208"/>
    <cellStyle name="Comma (0,000) TBD_Page 2f (2) 11 123" xfId="13209"/>
    <cellStyle name="Comma (0,000) TBD-_Page 2f (2) 11 123" xfId="13210"/>
    <cellStyle name="Comma (0,000) TBD_Page 2f (2) 11 124" xfId="13211"/>
    <cellStyle name="Comma (0,000) TBD-_Page 2f (2) 11 124" xfId="13212"/>
    <cellStyle name="Comma (0,000) TBD_Page 2f (2) 11 125" xfId="13213"/>
    <cellStyle name="Comma (0,000) TBD-_Page 2f (2) 11 125" xfId="13214"/>
    <cellStyle name="Comma (0,000) TBD_Page 2f (2) 11 126" xfId="13215"/>
    <cellStyle name="Comma (0,000) TBD-_Page 2f (2) 11 126" xfId="13216"/>
    <cellStyle name="Comma (0,000) TBD_Page 2f (2) 11 127" xfId="13217"/>
    <cellStyle name="Comma (0,000) TBD-_Page 2f (2) 11 127" xfId="13218"/>
    <cellStyle name="Comma (0,000) TBD_Page 2f (2) 11 128" xfId="13219"/>
    <cellStyle name="Comma (0,000) TBD-_Page 2f (2) 11 128" xfId="13220"/>
    <cellStyle name="Comma (0,000) TBD_Page 2f (2) 11 129" xfId="13221"/>
    <cellStyle name="Comma (0,000) TBD-_Page 2f (2) 11 129" xfId="13222"/>
    <cellStyle name="Comma (0,000) TBD_Page 2f (2) 11 13" xfId="13223"/>
    <cellStyle name="Comma (0,000) TBD-_Page 2f (2) 11 13" xfId="13224"/>
    <cellStyle name="Comma (0,000) TBD_Page 2f (2) 11 130" xfId="13225"/>
    <cellStyle name="Comma (0,000) TBD-_Page 2f (2) 11 130" xfId="13226"/>
    <cellStyle name="Comma (0,000) TBD_Page 2f (2) 11 131" xfId="13227"/>
    <cellStyle name="Comma (0,000) TBD-_Page 2f (2) 11 131" xfId="13228"/>
    <cellStyle name="Comma (0,000) TBD_Page 2f (2) 11 132" xfId="13229"/>
    <cellStyle name="Comma (0,000) TBD-_Page 2f (2) 11 132" xfId="13230"/>
    <cellStyle name="Comma (0,000) TBD_Page 2f (2) 11 133" xfId="13231"/>
    <cellStyle name="Comma (0,000) TBD-_Page 2f (2) 11 133" xfId="13232"/>
    <cellStyle name="Comma (0,000) TBD_Page 2f (2) 11 134" xfId="13233"/>
    <cellStyle name="Comma (0,000) TBD-_Page 2f (2) 11 134" xfId="13234"/>
    <cellStyle name="Comma (0,000) TBD_Page 2f (2) 11 135" xfId="13235"/>
    <cellStyle name="Comma (0,000) TBD-_Page 2f (2) 11 135" xfId="13236"/>
    <cellStyle name="Comma (0,000) TBD_Page 2f (2) 11 136" xfId="13237"/>
    <cellStyle name="Comma (0,000) TBD-_Page 2f (2) 11 136" xfId="13238"/>
    <cellStyle name="Comma (0,000) TBD_Page 2f (2) 11 137" xfId="13239"/>
    <cellStyle name="Comma (0,000) TBD-_Page 2f (2) 11 137" xfId="13240"/>
    <cellStyle name="Comma (0,000) TBD_Page 2f (2) 11 138" xfId="13241"/>
    <cellStyle name="Comma (0,000) TBD-_Page 2f (2) 11 138" xfId="13242"/>
    <cellStyle name="Comma (0,000) TBD_Page 2f (2) 11 139" xfId="13243"/>
    <cellStyle name="Comma (0,000) TBD-_Page 2f (2) 11 139" xfId="13244"/>
    <cellStyle name="Comma (0,000) TBD_Page 2f (2) 11 14" xfId="13245"/>
    <cellStyle name="Comma (0,000) TBD-_Page 2f (2) 11 14" xfId="13246"/>
    <cellStyle name="Comma (0,000) TBD_Page 2f (2) 11 140" xfId="13247"/>
    <cellStyle name="Comma (0,000) TBD-_Page 2f (2) 11 140" xfId="13248"/>
    <cellStyle name="Comma (0,000) TBD_Page 2f (2) 11 141" xfId="13249"/>
    <cellStyle name="Comma (0,000) TBD-_Page 2f (2) 11 141" xfId="13250"/>
    <cellStyle name="Comma (0,000) TBD_Page 2f (2) 11 142" xfId="13251"/>
    <cellStyle name="Comma (0,000) TBD-_Page 2f (2) 11 142" xfId="13252"/>
    <cellStyle name="Comma (0,000) TBD_Page 2f (2) 11 143" xfId="13253"/>
    <cellStyle name="Comma (0,000) TBD-_Page 2f (2) 11 143" xfId="13254"/>
    <cellStyle name="Comma (0,000) TBD_Page 2f (2) 11 144" xfId="13255"/>
    <cellStyle name="Comma (0,000) TBD-_Page 2f (2) 11 144" xfId="13256"/>
    <cellStyle name="Comma (0,000) TBD_Page 2f (2) 11 145" xfId="13257"/>
    <cellStyle name="Comma (0,000) TBD-_Page 2f (2) 11 145" xfId="13258"/>
    <cellStyle name="Comma (0,000) TBD_Page 2f (2) 11 146" xfId="13259"/>
    <cellStyle name="Comma (0,000) TBD-_Page 2f (2) 11 146" xfId="13260"/>
    <cellStyle name="Comma (0,000) TBD_Page 2f (2) 11 147" xfId="13261"/>
    <cellStyle name="Comma (0,000) TBD-_Page 2f (2) 11 147" xfId="13262"/>
    <cellStyle name="Comma (0,000) TBD_Page 2f (2) 11 148" xfId="13263"/>
    <cellStyle name="Comma (0,000) TBD-_Page 2f (2) 11 148" xfId="13264"/>
    <cellStyle name="Comma (0,000) TBD_Page 2f (2) 11 149" xfId="13265"/>
    <cellStyle name="Comma (0,000) TBD-_Page 2f (2) 11 149" xfId="13266"/>
    <cellStyle name="Comma (0,000) TBD_Page 2f (2) 11 15" xfId="13267"/>
    <cellStyle name="Comma (0,000) TBD-_Page 2f (2) 11 15" xfId="13268"/>
    <cellStyle name="Comma (0,000) TBD_Page 2f (2) 11 150" xfId="13269"/>
    <cellStyle name="Comma (0,000) TBD-_Page 2f (2) 11 150" xfId="13270"/>
    <cellStyle name="Comma (0,000) TBD_Page 2f (2) 11 151" xfId="13271"/>
    <cellStyle name="Comma (0,000) TBD-_Page 2f (2) 11 151" xfId="13272"/>
    <cellStyle name="Comma (0,000) TBD_Page 2f (2) 11 152" xfId="13273"/>
    <cellStyle name="Comma (0,000) TBD-_Page 2f (2) 11 152" xfId="13274"/>
    <cellStyle name="Comma (0,000) TBD_Page 2f (2) 11 153" xfId="13275"/>
    <cellStyle name="Comma (0,000) TBD-_Page 2f (2) 11 153" xfId="13276"/>
    <cellStyle name="Comma (0,000) TBD_Page 2f (2) 11 16" xfId="13277"/>
    <cellStyle name="Comma (0,000) TBD-_Page 2f (2) 11 16" xfId="13278"/>
    <cellStyle name="Comma (0,000) TBD_Page 2f (2) 11 17" xfId="13279"/>
    <cellStyle name="Comma (0,000) TBD-_Page 2f (2) 11 17" xfId="13280"/>
    <cellStyle name="Comma (0,000) TBD_Page 2f (2) 11 18" xfId="13281"/>
    <cellStyle name="Comma (0,000) TBD-_Page 2f (2) 11 18" xfId="13282"/>
    <cellStyle name="Comma (0,000) TBD_Page 2f (2) 11 19" xfId="13283"/>
    <cellStyle name="Comma (0,000) TBD-_Page 2f (2) 11 19" xfId="13284"/>
    <cellStyle name="Comma (0,000) TBD_Page 2f (2) 11 2" xfId="13285"/>
    <cellStyle name="Comma (0,000) TBD-_Page 2f (2) 11 2" xfId="13286"/>
    <cellStyle name="Comma (0,000) TBD_Page 2f (2) 11 20" xfId="13287"/>
    <cellStyle name="Comma (0,000) TBD-_Page 2f (2) 11 20" xfId="13288"/>
    <cellStyle name="Comma (0,000) TBD_Page 2f (2) 11 21" xfId="13289"/>
    <cellStyle name="Comma (0,000) TBD-_Page 2f (2) 11 21" xfId="13290"/>
    <cellStyle name="Comma (0,000) TBD_Page 2f (2) 11 22" xfId="13291"/>
    <cellStyle name="Comma (0,000) TBD-_Page 2f (2) 11 22" xfId="13292"/>
    <cellStyle name="Comma (0,000) TBD_Page 2f (2) 11 23" xfId="13293"/>
    <cellStyle name="Comma (0,000) TBD-_Page 2f (2) 11 23" xfId="13294"/>
    <cellStyle name="Comma (0,000) TBD_Page 2f (2) 11 24" xfId="13295"/>
    <cellStyle name="Comma (0,000) TBD-_Page 2f (2) 11 24" xfId="13296"/>
    <cellStyle name="Comma (0,000) TBD_Page 2f (2) 11 25" xfId="13297"/>
    <cellStyle name="Comma (0,000) TBD-_Page 2f (2) 11 25" xfId="13298"/>
    <cellStyle name="Comma (0,000) TBD_Page 2f (2) 11 26" xfId="13299"/>
    <cellStyle name="Comma (0,000) TBD-_Page 2f (2) 11 26" xfId="13300"/>
    <cellStyle name="Comma (0,000) TBD_Page 2f (2) 11 27" xfId="13301"/>
    <cellStyle name="Comma (0,000) TBD-_Page 2f (2) 11 27" xfId="13302"/>
    <cellStyle name="Comma (0,000) TBD_Page 2f (2) 11 28" xfId="13303"/>
    <cellStyle name="Comma (0,000) TBD-_Page 2f (2) 11 28" xfId="13304"/>
    <cellStyle name="Comma (0,000) TBD_Page 2f (2) 11 29" xfId="13305"/>
    <cellStyle name="Comma (0,000) TBD-_Page 2f (2) 11 29" xfId="13306"/>
    <cellStyle name="Comma (0,000) TBD_Page 2f (2) 11 3" xfId="13307"/>
    <cellStyle name="Comma (0,000) TBD-_Page 2f (2) 11 3" xfId="13308"/>
    <cellStyle name="Comma (0,000) TBD_Page 2f (2) 11 30" xfId="13309"/>
    <cellStyle name="Comma (0,000) TBD-_Page 2f (2) 11 30" xfId="13310"/>
    <cellStyle name="Comma (0,000) TBD_Page 2f (2) 11 31" xfId="13311"/>
    <cellStyle name="Comma (0,000) TBD-_Page 2f (2) 11 31" xfId="13312"/>
    <cellStyle name="Comma (0,000) TBD_Page 2f (2) 11 32" xfId="13313"/>
    <cellStyle name="Comma (0,000) TBD-_Page 2f (2) 11 32" xfId="13314"/>
    <cellStyle name="Comma (0,000) TBD_Page 2f (2) 11 33" xfId="13315"/>
    <cellStyle name="Comma (0,000) TBD-_Page 2f (2) 11 33" xfId="13316"/>
    <cellStyle name="Comma (0,000) TBD_Page 2f (2) 11 34" xfId="13317"/>
    <cellStyle name="Comma (0,000) TBD-_Page 2f (2) 11 34" xfId="13318"/>
    <cellStyle name="Comma (0,000) TBD_Page 2f (2) 11 35" xfId="13319"/>
    <cellStyle name="Comma (0,000) TBD-_Page 2f (2) 11 35" xfId="13320"/>
    <cellStyle name="Comma (0,000) TBD_Page 2f (2) 11 36" xfId="13321"/>
    <cellStyle name="Comma (0,000) TBD-_Page 2f (2) 11 36" xfId="13322"/>
    <cellStyle name="Comma (0,000) TBD_Page 2f (2) 11 37" xfId="13323"/>
    <cellStyle name="Comma (0,000) TBD-_Page 2f (2) 11 37" xfId="13324"/>
    <cellStyle name="Comma (0,000) TBD_Page 2f (2) 11 38" xfId="13325"/>
    <cellStyle name="Comma (0,000) TBD-_Page 2f (2) 11 38" xfId="13326"/>
    <cellStyle name="Comma (0,000) TBD_Page 2f (2) 11 39" xfId="13327"/>
    <cellStyle name="Comma (0,000) TBD-_Page 2f (2) 11 39" xfId="13328"/>
    <cellStyle name="Comma (0,000) TBD_Page 2f (2) 11 4" xfId="13329"/>
    <cellStyle name="Comma (0,000) TBD-_Page 2f (2) 11 4" xfId="13330"/>
    <cellStyle name="Comma (0,000) TBD_Page 2f (2) 11 40" xfId="13331"/>
    <cellStyle name="Comma (0,000) TBD-_Page 2f (2) 11 40" xfId="13332"/>
    <cellStyle name="Comma (0,000) TBD_Page 2f (2) 11 41" xfId="13333"/>
    <cellStyle name="Comma (0,000) TBD-_Page 2f (2) 11 41" xfId="13334"/>
    <cellStyle name="Comma (0,000) TBD_Page 2f (2) 11 42" xfId="13335"/>
    <cellStyle name="Comma (0,000) TBD-_Page 2f (2) 11 42" xfId="13336"/>
    <cellStyle name="Comma (0,000) TBD_Page 2f (2) 11 43" xfId="13337"/>
    <cellStyle name="Comma (0,000) TBD-_Page 2f (2) 11 43" xfId="13338"/>
    <cellStyle name="Comma (0,000) TBD_Page 2f (2) 11 44" xfId="13339"/>
    <cellStyle name="Comma (0,000) TBD-_Page 2f (2) 11 44" xfId="13340"/>
    <cellStyle name="Comma (0,000) TBD_Page 2f (2) 11 45" xfId="13341"/>
    <cellStyle name="Comma (0,000) TBD-_Page 2f (2) 11 45" xfId="13342"/>
    <cellStyle name="Comma (0,000) TBD_Page 2f (2) 11 46" xfId="13343"/>
    <cellStyle name="Comma (0,000) TBD-_Page 2f (2) 11 46" xfId="13344"/>
    <cellStyle name="Comma (0,000) TBD_Page 2f (2) 11 47" xfId="13345"/>
    <cellStyle name="Comma (0,000) TBD-_Page 2f (2) 11 47" xfId="13346"/>
    <cellStyle name="Comma (0,000) TBD_Page 2f (2) 11 48" xfId="13347"/>
    <cellStyle name="Comma (0,000) TBD-_Page 2f (2) 11 48" xfId="13348"/>
    <cellStyle name="Comma (0,000) TBD_Page 2f (2) 11 49" xfId="13349"/>
    <cellStyle name="Comma (0,000) TBD-_Page 2f (2) 11 49" xfId="13350"/>
    <cellStyle name="Comma (0,000) TBD_Page 2f (2) 11 5" xfId="13351"/>
    <cellStyle name="Comma (0,000) TBD-_Page 2f (2) 11 5" xfId="13352"/>
    <cellStyle name="Comma (0,000) TBD_Page 2f (2) 11 50" xfId="13353"/>
    <cellStyle name="Comma (0,000) TBD-_Page 2f (2) 11 50" xfId="13354"/>
    <cellStyle name="Comma (0,000) TBD_Page 2f (2) 11 51" xfId="13355"/>
    <cellStyle name="Comma (0,000) TBD-_Page 2f (2) 11 51" xfId="13356"/>
    <cellStyle name="Comma (0,000) TBD_Page 2f (2) 11 52" xfId="13357"/>
    <cellStyle name="Comma (0,000) TBD-_Page 2f (2) 11 52" xfId="13358"/>
    <cellStyle name="Comma (0,000) TBD_Page 2f (2) 11 53" xfId="13359"/>
    <cellStyle name="Comma (0,000) TBD-_Page 2f (2) 11 53" xfId="13360"/>
    <cellStyle name="Comma (0,000) TBD_Page 2f (2) 11 54" xfId="13361"/>
    <cellStyle name="Comma (0,000) TBD-_Page 2f (2) 11 54" xfId="13362"/>
    <cellStyle name="Comma (0,000) TBD_Page 2f (2) 11 55" xfId="13363"/>
    <cellStyle name="Comma (0,000) TBD-_Page 2f (2) 11 55" xfId="13364"/>
    <cellStyle name="Comma (0,000) TBD_Page 2f (2) 11 56" xfId="13365"/>
    <cellStyle name="Comma (0,000) TBD-_Page 2f (2) 11 56" xfId="13366"/>
    <cellStyle name="Comma (0,000) TBD_Page 2f (2) 11 57" xfId="13367"/>
    <cellStyle name="Comma (0,000) TBD-_Page 2f (2) 11 57" xfId="13368"/>
    <cellStyle name="Comma (0,000) TBD_Page 2f (2) 11 58" xfId="13369"/>
    <cellStyle name="Comma (0,000) TBD-_Page 2f (2) 11 58" xfId="13370"/>
    <cellStyle name="Comma (0,000) TBD_Page 2f (2) 11 59" xfId="13371"/>
    <cellStyle name="Comma (0,000) TBD-_Page 2f (2) 11 59" xfId="13372"/>
    <cellStyle name="Comma (0,000) TBD_Page 2f (2) 11 6" xfId="13373"/>
    <cellStyle name="Comma (0,000) TBD-_Page 2f (2) 11 6" xfId="13374"/>
    <cellStyle name="Comma (0,000) TBD_Page 2f (2) 11 60" xfId="13375"/>
    <cellStyle name="Comma (0,000) TBD-_Page 2f (2) 11 60" xfId="13376"/>
    <cellStyle name="Comma (0,000) TBD_Page 2f (2) 11 61" xfId="13377"/>
    <cellStyle name="Comma (0,000) TBD-_Page 2f (2) 11 61" xfId="13378"/>
    <cellStyle name="Comma (0,000) TBD_Page 2f (2) 11 62" xfId="13379"/>
    <cellStyle name="Comma (0,000) TBD-_Page 2f (2) 11 62" xfId="13380"/>
    <cellStyle name="Comma (0,000) TBD_Page 2f (2) 11 63" xfId="13381"/>
    <cellStyle name="Comma (0,000) TBD-_Page 2f (2) 11 63" xfId="13382"/>
    <cellStyle name="Comma (0,000) TBD_Page 2f (2) 11 64" xfId="13383"/>
    <cellStyle name="Comma (0,000) TBD-_Page 2f (2) 11 64" xfId="13384"/>
    <cellStyle name="Comma (0,000) TBD_Page 2f (2) 11 65" xfId="13385"/>
    <cellStyle name="Comma (0,000) TBD-_Page 2f (2) 11 65" xfId="13386"/>
    <cellStyle name="Comma (0,000) TBD_Page 2f (2) 11 66" xfId="13387"/>
    <cellStyle name="Comma (0,000) TBD-_Page 2f (2) 11 66" xfId="13388"/>
    <cellStyle name="Comma (0,000) TBD_Page 2f (2) 11 67" xfId="13389"/>
    <cellStyle name="Comma (0,000) TBD-_Page 2f (2) 11 67" xfId="13390"/>
    <cellStyle name="Comma (0,000) TBD_Page 2f (2) 11 68" xfId="13391"/>
    <cellStyle name="Comma (0,000) TBD-_Page 2f (2) 11 68" xfId="13392"/>
    <cellStyle name="Comma (0,000) TBD_Page 2f (2) 11 69" xfId="13393"/>
    <cellStyle name="Comma (0,000) TBD-_Page 2f (2) 11 69" xfId="13394"/>
    <cellStyle name="Comma (0,000) TBD_Page 2f (2) 11 7" xfId="13395"/>
    <cellStyle name="Comma (0,000) TBD-_Page 2f (2) 11 7" xfId="13396"/>
    <cellStyle name="Comma (0,000) TBD_Page 2f (2) 11 70" xfId="13397"/>
    <cellStyle name="Comma (0,000) TBD-_Page 2f (2) 11 70" xfId="13398"/>
    <cellStyle name="Comma (0,000) TBD_Page 2f (2) 11 71" xfId="13399"/>
    <cellStyle name="Comma (0,000) TBD-_Page 2f (2) 11 71" xfId="13400"/>
    <cellStyle name="Comma (0,000) TBD_Page 2f (2) 11 72" xfId="13401"/>
    <cellStyle name="Comma (0,000) TBD-_Page 2f (2) 11 72" xfId="13402"/>
    <cellStyle name="Comma (0,000) TBD_Page 2f (2) 11 73" xfId="13403"/>
    <cellStyle name="Comma (0,000) TBD-_Page 2f (2) 11 73" xfId="13404"/>
    <cellStyle name="Comma (0,000) TBD_Page 2f (2) 11 74" xfId="13405"/>
    <cellStyle name="Comma (0,000) TBD-_Page 2f (2) 11 74" xfId="13406"/>
    <cellStyle name="Comma (0,000) TBD_Page 2f (2) 11 75" xfId="13407"/>
    <cellStyle name="Comma (0,000) TBD-_Page 2f (2) 11 75" xfId="13408"/>
    <cellStyle name="Comma (0,000) TBD_Page 2f (2) 11 76" xfId="13409"/>
    <cellStyle name="Comma (0,000) TBD-_Page 2f (2) 11 76" xfId="13410"/>
    <cellStyle name="Comma (0,000) TBD_Page 2f (2) 11 77" xfId="13411"/>
    <cellStyle name="Comma (0,000) TBD-_Page 2f (2) 11 77" xfId="13412"/>
    <cellStyle name="Comma (0,000) TBD_Page 2f (2) 11 78" xfId="13413"/>
    <cellStyle name="Comma (0,000) TBD-_Page 2f (2) 11 78" xfId="13414"/>
    <cellStyle name="Comma (0,000) TBD_Page 2f (2) 11 79" xfId="13415"/>
    <cellStyle name="Comma (0,000) TBD-_Page 2f (2) 11 79" xfId="13416"/>
    <cellStyle name="Comma (0,000) TBD_Page 2f (2) 11 8" xfId="13417"/>
    <cellStyle name="Comma (0,000) TBD-_Page 2f (2) 11 8" xfId="13418"/>
    <cellStyle name="Comma (0,000) TBD_Page 2f (2) 11 80" xfId="13419"/>
    <cellStyle name="Comma (0,000) TBD-_Page 2f (2) 11 80" xfId="13420"/>
    <cellStyle name="Comma (0,000) TBD_Page 2f (2) 11 81" xfId="13421"/>
    <cellStyle name="Comma (0,000) TBD-_Page 2f (2) 11 81" xfId="13422"/>
    <cellStyle name="Comma (0,000) TBD_Page 2f (2) 11 82" xfId="13423"/>
    <cellStyle name="Comma (0,000) TBD-_Page 2f (2) 11 82" xfId="13424"/>
    <cellStyle name="Comma (0,000) TBD_Page 2f (2) 11 83" xfId="13425"/>
    <cellStyle name="Comma (0,000) TBD-_Page 2f (2) 11 83" xfId="13426"/>
    <cellStyle name="Comma (0,000) TBD_Page 2f (2) 11 84" xfId="13427"/>
    <cellStyle name="Comma (0,000) TBD-_Page 2f (2) 11 84" xfId="13428"/>
    <cellStyle name="Comma (0,000) TBD_Page 2f (2) 11 85" xfId="13429"/>
    <cellStyle name="Comma (0,000) TBD-_Page 2f (2) 11 85" xfId="13430"/>
    <cellStyle name="Comma (0,000) TBD_Page 2f (2) 11 86" xfId="13431"/>
    <cellStyle name="Comma (0,000) TBD-_Page 2f (2) 11 86" xfId="13432"/>
    <cellStyle name="Comma (0,000) TBD_Page 2f (2) 11 87" xfId="13433"/>
    <cellStyle name="Comma (0,000) TBD-_Page 2f (2) 11 87" xfId="13434"/>
    <cellStyle name="Comma (0,000) TBD_Page 2f (2) 11 88" xfId="13435"/>
    <cellStyle name="Comma (0,000) TBD-_Page 2f (2) 11 88" xfId="13436"/>
    <cellStyle name="Comma (0,000) TBD_Page 2f (2) 11 89" xfId="13437"/>
    <cellStyle name="Comma (0,000) TBD-_Page 2f (2) 11 89" xfId="13438"/>
    <cellStyle name="Comma (0,000) TBD_Page 2f (2) 11 9" xfId="13439"/>
    <cellStyle name="Comma (0,000) TBD-_Page 2f (2) 11 9" xfId="13440"/>
    <cellStyle name="Comma (0,000) TBD_Page 2f (2) 11 90" xfId="13441"/>
    <cellStyle name="Comma (0,000) TBD-_Page 2f (2) 11 90" xfId="13442"/>
    <cellStyle name="Comma (0,000) TBD_Page 2f (2) 11 91" xfId="13443"/>
    <cellStyle name="Comma (0,000) TBD-_Page 2f (2) 11 91" xfId="13444"/>
    <cellStyle name="Comma (0,000) TBD_Page 2f (2) 11 92" xfId="13445"/>
    <cellStyle name="Comma (0,000) TBD-_Page 2f (2) 11 92" xfId="13446"/>
    <cellStyle name="Comma (0,000) TBD_Page 2f (2) 11 93" xfId="13447"/>
    <cellStyle name="Comma (0,000) TBD-_Page 2f (2) 11 93" xfId="13448"/>
    <cellStyle name="Comma (0,000) TBD_Page 2f (2) 11 94" xfId="13449"/>
    <cellStyle name="Comma (0,000) TBD-_Page 2f (2) 11 94" xfId="13450"/>
    <cellStyle name="Comma (0,000) TBD_Page 2f (2) 11 95" xfId="13451"/>
    <cellStyle name="Comma (0,000) TBD-_Page 2f (2) 11 95" xfId="13452"/>
    <cellStyle name="Comma (0,000) TBD_Page 2f (2) 11 96" xfId="13453"/>
    <cellStyle name="Comma (0,000) TBD-_Page 2f (2) 11 96" xfId="13454"/>
    <cellStyle name="Comma (0,000) TBD_Page 2f (2) 11 97" xfId="13455"/>
    <cellStyle name="Comma (0,000) TBD-_Page 2f (2) 11 97" xfId="13456"/>
    <cellStyle name="Comma (0,000) TBD_Page 2f (2) 11 98" xfId="13457"/>
    <cellStyle name="Comma (0,000) TBD-_Page 2f (2) 11 98" xfId="13458"/>
    <cellStyle name="Comma (0,000) TBD_Page 2f (2) 11 99" xfId="13459"/>
    <cellStyle name="Comma (0,000) TBD-_Page 2f (2) 11 99" xfId="13460"/>
    <cellStyle name="Comma (0,000) TBD_Page 2f (2) 12" xfId="13461"/>
    <cellStyle name="Comma (0,000) TBD-_Page 2f (2) 12" xfId="13462"/>
    <cellStyle name="Comma (0,000) TBD_Page 2f (2) 12 10" xfId="13463"/>
    <cellStyle name="Comma (0,000) TBD-_Page 2f (2) 12 10" xfId="13464"/>
    <cellStyle name="Comma (0,000) TBD_Page 2f (2) 12 100" xfId="13465"/>
    <cellStyle name="Comma (0,000) TBD-_Page 2f (2) 12 100" xfId="13466"/>
    <cellStyle name="Comma (0,000) TBD_Page 2f (2) 12 101" xfId="13467"/>
    <cellStyle name="Comma (0,000) TBD-_Page 2f (2) 12 101" xfId="13468"/>
    <cellStyle name="Comma (0,000) TBD_Page 2f (2) 12 102" xfId="13469"/>
    <cellStyle name="Comma (0,000) TBD-_Page 2f (2) 12 102" xfId="13470"/>
    <cellStyle name="Comma (0,000) TBD_Page 2f (2) 12 103" xfId="13471"/>
    <cellStyle name="Comma (0,000) TBD-_Page 2f (2) 12 103" xfId="13472"/>
    <cellStyle name="Comma (0,000) TBD_Page 2f (2) 12 104" xfId="13473"/>
    <cellStyle name="Comma (0,000) TBD-_Page 2f (2) 12 104" xfId="13474"/>
    <cellStyle name="Comma (0,000) TBD_Page 2f (2) 12 105" xfId="13475"/>
    <cellStyle name="Comma (0,000) TBD-_Page 2f (2) 12 105" xfId="13476"/>
    <cellStyle name="Comma (0,000) TBD_Page 2f (2) 12 106" xfId="13477"/>
    <cellStyle name="Comma (0,000) TBD-_Page 2f (2) 12 106" xfId="13478"/>
    <cellStyle name="Comma (0,000) TBD_Page 2f (2) 12 107" xfId="13479"/>
    <cellStyle name="Comma (0,000) TBD-_Page 2f (2) 12 107" xfId="13480"/>
    <cellStyle name="Comma (0,000) TBD_Page 2f (2) 12 108" xfId="13481"/>
    <cellStyle name="Comma (0,000) TBD-_Page 2f (2) 12 108" xfId="13482"/>
    <cellStyle name="Comma (0,000) TBD_Page 2f (2) 12 109" xfId="13483"/>
    <cellStyle name="Comma (0,000) TBD-_Page 2f (2) 12 109" xfId="13484"/>
    <cellStyle name="Comma (0,000) TBD_Page 2f (2) 12 11" xfId="13485"/>
    <cellStyle name="Comma (0,000) TBD-_Page 2f (2) 12 11" xfId="13486"/>
    <cellStyle name="Comma (0,000) TBD_Page 2f (2) 12 110" xfId="13487"/>
    <cellStyle name="Comma (0,000) TBD-_Page 2f (2) 12 110" xfId="13488"/>
    <cellStyle name="Comma (0,000) TBD_Page 2f (2) 12 111" xfId="13489"/>
    <cellStyle name="Comma (0,000) TBD-_Page 2f (2) 12 111" xfId="13490"/>
    <cellStyle name="Comma (0,000) TBD_Page 2f (2) 12 112" xfId="13491"/>
    <cellStyle name="Comma (0,000) TBD-_Page 2f (2) 12 112" xfId="13492"/>
    <cellStyle name="Comma (0,000) TBD_Page 2f (2) 12 113" xfId="13493"/>
    <cellStyle name="Comma (0,000) TBD-_Page 2f (2) 12 113" xfId="13494"/>
    <cellStyle name="Comma (0,000) TBD_Page 2f (2) 12 114" xfId="13495"/>
    <cellStyle name="Comma (0,000) TBD-_Page 2f (2) 12 114" xfId="13496"/>
    <cellStyle name="Comma (0,000) TBD_Page 2f (2) 12 115" xfId="13497"/>
    <cellStyle name="Comma (0,000) TBD-_Page 2f (2) 12 115" xfId="13498"/>
    <cellStyle name="Comma (0,000) TBD_Page 2f (2) 12 116" xfId="13499"/>
    <cellStyle name="Comma (0,000) TBD-_Page 2f (2) 12 116" xfId="13500"/>
    <cellStyle name="Comma (0,000) TBD_Page 2f (2) 12 117" xfId="13501"/>
    <cellStyle name="Comma (0,000) TBD-_Page 2f (2) 12 117" xfId="13502"/>
    <cellStyle name="Comma (0,000) TBD_Page 2f (2) 12 118" xfId="13503"/>
    <cellStyle name="Comma (0,000) TBD-_Page 2f (2) 12 118" xfId="13504"/>
    <cellStyle name="Comma (0,000) TBD_Page 2f (2) 12 119" xfId="13505"/>
    <cellStyle name="Comma (0,000) TBD-_Page 2f (2) 12 119" xfId="13506"/>
    <cellStyle name="Comma (0,000) TBD_Page 2f (2) 12 12" xfId="13507"/>
    <cellStyle name="Comma (0,000) TBD-_Page 2f (2) 12 12" xfId="13508"/>
    <cellStyle name="Comma (0,000) TBD_Page 2f (2) 12 120" xfId="13509"/>
    <cellStyle name="Comma (0,000) TBD-_Page 2f (2) 12 120" xfId="13510"/>
    <cellStyle name="Comma (0,000) TBD_Page 2f (2) 12 121" xfId="13511"/>
    <cellStyle name="Comma (0,000) TBD-_Page 2f (2) 12 121" xfId="13512"/>
    <cellStyle name="Comma (0,000) TBD_Page 2f (2) 12 122" xfId="13513"/>
    <cellStyle name="Comma (0,000) TBD-_Page 2f (2) 12 122" xfId="13514"/>
    <cellStyle name="Comma (0,000) TBD_Page 2f (2) 12 123" xfId="13515"/>
    <cellStyle name="Comma (0,000) TBD-_Page 2f (2) 12 123" xfId="13516"/>
    <cellStyle name="Comma (0,000) TBD_Page 2f (2) 12 124" xfId="13517"/>
    <cellStyle name="Comma (0,000) TBD-_Page 2f (2) 12 124" xfId="13518"/>
    <cellStyle name="Comma (0,000) TBD_Page 2f (2) 12 125" xfId="13519"/>
    <cellStyle name="Comma (0,000) TBD-_Page 2f (2) 12 125" xfId="13520"/>
    <cellStyle name="Comma (0,000) TBD_Page 2f (2) 12 126" xfId="13521"/>
    <cellStyle name="Comma (0,000) TBD-_Page 2f (2) 12 126" xfId="13522"/>
    <cellStyle name="Comma (0,000) TBD_Page 2f (2) 12 127" xfId="13523"/>
    <cellStyle name="Comma (0,000) TBD-_Page 2f (2) 12 127" xfId="13524"/>
    <cellStyle name="Comma (0,000) TBD_Page 2f (2) 12 128" xfId="13525"/>
    <cellStyle name="Comma (0,000) TBD-_Page 2f (2) 12 128" xfId="13526"/>
    <cellStyle name="Comma (0,000) TBD_Page 2f (2) 12 129" xfId="13527"/>
    <cellStyle name="Comma (0,000) TBD-_Page 2f (2) 12 129" xfId="13528"/>
    <cellStyle name="Comma (0,000) TBD_Page 2f (2) 12 13" xfId="13529"/>
    <cellStyle name="Comma (0,000) TBD-_Page 2f (2) 12 13" xfId="13530"/>
    <cellStyle name="Comma (0,000) TBD_Page 2f (2) 12 130" xfId="13531"/>
    <cellStyle name="Comma (0,000) TBD-_Page 2f (2) 12 130" xfId="13532"/>
    <cellStyle name="Comma (0,000) TBD_Page 2f (2) 12 131" xfId="13533"/>
    <cellStyle name="Comma (0,000) TBD-_Page 2f (2) 12 131" xfId="13534"/>
    <cellStyle name="Comma (0,000) TBD_Page 2f (2) 12 132" xfId="13535"/>
    <cellStyle name="Comma (0,000) TBD-_Page 2f (2) 12 132" xfId="13536"/>
    <cellStyle name="Comma (0,000) TBD_Page 2f (2) 12 133" xfId="13537"/>
    <cellStyle name="Comma (0,000) TBD-_Page 2f (2) 12 133" xfId="13538"/>
    <cellStyle name="Comma (0,000) TBD_Page 2f (2) 12 134" xfId="13539"/>
    <cellStyle name="Comma (0,000) TBD-_Page 2f (2) 12 134" xfId="13540"/>
    <cellStyle name="Comma (0,000) TBD_Page 2f (2) 12 135" xfId="13541"/>
    <cellStyle name="Comma (0,000) TBD-_Page 2f (2) 12 135" xfId="13542"/>
    <cellStyle name="Comma (0,000) TBD_Page 2f (2) 12 136" xfId="13543"/>
    <cellStyle name="Comma (0,000) TBD-_Page 2f (2) 12 136" xfId="13544"/>
    <cellStyle name="Comma (0,000) TBD_Page 2f (2) 12 137" xfId="13545"/>
    <cellStyle name="Comma (0,000) TBD-_Page 2f (2) 12 137" xfId="13546"/>
    <cellStyle name="Comma (0,000) TBD_Page 2f (2) 12 138" xfId="13547"/>
    <cellStyle name="Comma (0,000) TBD-_Page 2f (2) 12 138" xfId="13548"/>
    <cellStyle name="Comma (0,000) TBD_Page 2f (2) 12 139" xfId="13549"/>
    <cellStyle name="Comma (0,000) TBD-_Page 2f (2) 12 139" xfId="13550"/>
    <cellStyle name="Comma (0,000) TBD_Page 2f (2) 12 14" xfId="13551"/>
    <cellStyle name="Comma (0,000) TBD-_Page 2f (2) 12 14" xfId="13552"/>
    <cellStyle name="Comma (0,000) TBD_Page 2f (2) 12 140" xfId="13553"/>
    <cellStyle name="Comma (0,000) TBD-_Page 2f (2) 12 140" xfId="13554"/>
    <cellStyle name="Comma (0,000) TBD_Page 2f (2) 12 141" xfId="13555"/>
    <cellStyle name="Comma (0,000) TBD-_Page 2f (2) 12 141" xfId="13556"/>
    <cellStyle name="Comma (0,000) TBD_Page 2f (2) 12 142" xfId="13557"/>
    <cellStyle name="Comma (0,000) TBD-_Page 2f (2) 12 142" xfId="13558"/>
    <cellStyle name="Comma (0,000) TBD_Page 2f (2) 12 143" xfId="13559"/>
    <cellStyle name="Comma (0,000) TBD-_Page 2f (2) 12 143" xfId="13560"/>
    <cellStyle name="Comma (0,000) TBD_Page 2f (2) 12 144" xfId="13561"/>
    <cellStyle name="Comma (0,000) TBD-_Page 2f (2) 12 144" xfId="13562"/>
    <cellStyle name="Comma (0,000) TBD_Page 2f (2) 12 145" xfId="13563"/>
    <cellStyle name="Comma (0,000) TBD-_Page 2f (2) 12 145" xfId="13564"/>
    <cellStyle name="Comma (0,000) TBD_Page 2f (2) 12 146" xfId="13565"/>
    <cellStyle name="Comma (0,000) TBD-_Page 2f (2) 12 146" xfId="13566"/>
    <cellStyle name="Comma (0,000) TBD_Page 2f (2) 12 147" xfId="13567"/>
    <cellStyle name="Comma (0,000) TBD-_Page 2f (2) 12 147" xfId="13568"/>
    <cellStyle name="Comma (0,000) TBD_Page 2f (2) 12 148" xfId="13569"/>
    <cellStyle name="Comma (0,000) TBD-_Page 2f (2) 12 148" xfId="13570"/>
    <cellStyle name="Comma (0,000) TBD_Page 2f (2) 12 149" xfId="13571"/>
    <cellStyle name="Comma (0,000) TBD-_Page 2f (2) 12 149" xfId="13572"/>
    <cellStyle name="Comma (0,000) TBD_Page 2f (2) 12 15" xfId="13573"/>
    <cellStyle name="Comma (0,000) TBD-_Page 2f (2) 12 15" xfId="13574"/>
    <cellStyle name="Comma (0,000) TBD_Page 2f (2) 12 150" xfId="13575"/>
    <cellStyle name="Comma (0,000) TBD-_Page 2f (2) 12 150" xfId="13576"/>
    <cellStyle name="Comma (0,000) TBD_Page 2f (2) 12 151" xfId="13577"/>
    <cellStyle name="Comma (0,000) TBD-_Page 2f (2) 12 151" xfId="13578"/>
    <cellStyle name="Comma (0,000) TBD_Page 2f (2) 12 152" xfId="13579"/>
    <cellStyle name="Comma (0,000) TBD-_Page 2f (2) 12 152" xfId="13580"/>
    <cellStyle name="Comma (0,000) TBD_Page 2f (2) 12 153" xfId="13581"/>
    <cellStyle name="Comma (0,000) TBD-_Page 2f (2) 12 153" xfId="13582"/>
    <cellStyle name="Comma (0,000) TBD_Page 2f (2) 12 16" xfId="13583"/>
    <cellStyle name="Comma (0,000) TBD-_Page 2f (2) 12 16" xfId="13584"/>
    <cellStyle name="Comma (0,000) TBD_Page 2f (2) 12 17" xfId="13585"/>
    <cellStyle name="Comma (0,000) TBD-_Page 2f (2) 12 17" xfId="13586"/>
    <cellStyle name="Comma (0,000) TBD_Page 2f (2) 12 18" xfId="13587"/>
    <cellStyle name="Comma (0,000) TBD-_Page 2f (2) 12 18" xfId="13588"/>
    <cellStyle name="Comma (0,000) TBD_Page 2f (2) 12 19" xfId="13589"/>
    <cellStyle name="Comma (0,000) TBD-_Page 2f (2) 12 19" xfId="13590"/>
    <cellStyle name="Comma (0,000) TBD_Page 2f (2) 12 2" xfId="13591"/>
    <cellStyle name="Comma (0,000) TBD-_Page 2f (2) 12 2" xfId="13592"/>
    <cellStyle name="Comma (0,000) TBD_Page 2f (2) 12 20" xfId="13593"/>
    <cellStyle name="Comma (0,000) TBD-_Page 2f (2) 12 20" xfId="13594"/>
    <cellStyle name="Comma (0,000) TBD_Page 2f (2) 12 21" xfId="13595"/>
    <cellStyle name="Comma (0,000) TBD-_Page 2f (2) 12 21" xfId="13596"/>
    <cellStyle name="Comma (0,000) TBD_Page 2f (2) 12 22" xfId="13597"/>
    <cellStyle name="Comma (0,000) TBD-_Page 2f (2) 12 22" xfId="13598"/>
    <cellStyle name="Comma (0,000) TBD_Page 2f (2) 12 23" xfId="13599"/>
    <cellStyle name="Comma (0,000) TBD-_Page 2f (2) 12 23" xfId="13600"/>
    <cellStyle name="Comma (0,000) TBD_Page 2f (2) 12 24" xfId="13601"/>
    <cellStyle name="Comma (0,000) TBD-_Page 2f (2) 12 24" xfId="13602"/>
    <cellStyle name="Comma (0,000) TBD_Page 2f (2) 12 25" xfId="13603"/>
    <cellStyle name="Comma (0,000) TBD-_Page 2f (2) 12 25" xfId="13604"/>
    <cellStyle name="Comma (0,000) TBD_Page 2f (2) 12 26" xfId="13605"/>
    <cellStyle name="Comma (0,000) TBD-_Page 2f (2) 12 26" xfId="13606"/>
    <cellStyle name="Comma (0,000) TBD_Page 2f (2) 12 27" xfId="13607"/>
    <cellStyle name="Comma (0,000) TBD-_Page 2f (2) 12 27" xfId="13608"/>
    <cellStyle name="Comma (0,000) TBD_Page 2f (2) 12 28" xfId="13609"/>
    <cellStyle name="Comma (0,000) TBD-_Page 2f (2) 12 28" xfId="13610"/>
    <cellStyle name="Comma (0,000) TBD_Page 2f (2) 12 29" xfId="13611"/>
    <cellStyle name="Comma (0,000) TBD-_Page 2f (2) 12 29" xfId="13612"/>
    <cellStyle name="Comma (0,000) TBD_Page 2f (2) 12 3" xfId="13613"/>
    <cellStyle name="Comma (0,000) TBD-_Page 2f (2) 12 3" xfId="13614"/>
    <cellStyle name="Comma (0,000) TBD_Page 2f (2) 12 30" xfId="13615"/>
    <cellStyle name="Comma (0,000) TBD-_Page 2f (2) 12 30" xfId="13616"/>
    <cellStyle name="Comma (0,000) TBD_Page 2f (2) 12 31" xfId="13617"/>
    <cellStyle name="Comma (0,000) TBD-_Page 2f (2) 12 31" xfId="13618"/>
    <cellStyle name="Comma (0,000) TBD_Page 2f (2) 12 32" xfId="13619"/>
    <cellStyle name="Comma (0,000) TBD-_Page 2f (2) 12 32" xfId="13620"/>
    <cellStyle name="Comma (0,000) TBD_Page 2f (2) 12 33" xfId="13621"/>
    <cellStyle name="Comma (0,000) TBD-_Page 2f (2) 12 33" xfId="13622"/>
    <cellStyle name="Comma (0,000) TBD_Page 2f (2) 12 34" xfId="13623"/>
    <cellStyle name="Comma (0,000) TBD-_Page 2f (2) 12 34" xfId="13624"/>
    <cellStyle name="Comma (0,000) TBD_Page 2f (2) 12 35" xfId="13625"/>
    <cellStyle name="Comma (0,000) TBD-_Page 2f (2) 12 35" xfId="13626"/>
    <cellStyle name="Comma (0,000) TBD_Page 2f (2) 12 36" xfId="13627"/>
    <cellStyle name="Comma (0,000) TBD-_Page 2f (2) 12 36" xfId="13628"/>
    <cellStyle name="Comma (0,000) TBD_Page 2f (2) 12 37" xfId="13629"/>
    <cellStyle name="Comma (0,000) TBD-_Page 2f (2) 12 37" xfId="13630"/>
    <cellStyle name="Comma (0,000) TBD_Page 2f (2) 12 38" xfId="13631"/>
    <cellStyle name="Comma (0,000) TBD-_Page 2f (2) 12 38" xfId="13632"/>
    <cellStyle name="Comma (0,000) TBD_Page 2f (2) 12 39" xfId="13633"/>
    <cellStyle name="Comma (0,000) TBD-_Page 2f (2) 12 39" xfId="13634"/>
    <cellStyle name="Comma (0,000) TBD_Page 2f (2) 12 4" xfId="13635"/>
    <cellStyle name="Comma (0,000) TBD-_Page 2f (2) 12 4" xfId="13636"/>
    <cellStyle name="Comma (0,000) TBD_Page 2f (2) 12 40" xfId="13637"/>
    <cellStyle name="Comma (0,000) TBD-_Page 2f (2) 12 40" xfId="13638"/>
    <cellStyle name="Comma (0,000) TBD_Page 2f (2) 12 41" xfId="13639"/>
    <cellStyle name="Comma (0,000) TBD-_Page 2f (2) 12 41" xfId="13640"/>
    <cellStyle name="Comma (0,000) TBD_Page 2f (2) 12 42" xfId="13641"/>
    <cellStyle name="Comma (0,000) TBD-_Page 2f (2) 12 42" xfId="13642"/>
    <cellStyle name="Comma (0,000) TBD_Page 2f (2) 12 43" xfId="13643"/>
    <cellStyle name="Comma (0,000) TBD-_Page 2f (2) 12 43" xfId="13644"/>
    <cellStyle name="Comma (0,000) TBD_Page 2f (2) 12 44" xfId="13645"/>
    <cellStyle name="Comma (0,000) TBD-_Page 2f (2) 12 44" xfId="13646"/>
    <cellStyle name="Comma (0,000) TBD_Page 2f (2) 12 45" xfId="13647"/>
    <cellStyle name="Comma (0,000) TBD-_Page 2f (2) 12 45" xfId="13648"/>
    <cellStyle name="Comma (0,000) TBD_Page 2f (2) 12 46" xfId="13649"/>
    <cellStyle name="Comma (0,000) TBD-_Page 2f (2) 12 46" xfId="13650"/>
    <cellStyle name="Comma (0,000) TBD_Page 2f (2) 12 47" xfId="13651"/>
    <cellStyle name="Comma (0,000) TBD-_Page 2f (2) 12 47" xfId="13652"/>
    <cellStyle name="Comma (0,000) TBD_Page 2f (2) 12 48" xfId="13653"/>
    <cellStyle name="Comma (0,000) TBD-_Page 2f (2) 12 48" xfId="13654"/>
    <cellStyle name="Comma (0,000) TBD_Page 2f (2) 12 49" xfId="13655"/>
    <cellStyle name="Comma (0,000) TBD-_Page 2f (2) 12 49" xfId="13656"/>
    <cellStyle name="Comma (0,000) TBD_Page 2f (2) 12 5" xfId="13657"/>
    <cellStyle name="Comma (0,000) TBD-_Page 2f (2) 12 5" xfId="13658"/>
    <cellStyle name="Comma (0,000) TBD_Page 2f (2) 12 50" xfId="13659"/>
    <cellStyle name="Comma (0,000) TBD-_Page 2f (2) 12 50" xfId="13660"/>
    <cellStyle name="Comma (0,000) TBD_Page 2f (2) 12 51" xfId="13661"/>
    <cellStyle name="Comma (0,000) TBD-_Page 2f (2) 12 51" xfId="13662"/>
    <cellStyle name="Comma (0,000) TBD_Page 2f (2) 12 52" xfId="13663"/>
    <cellStyle name="Comma (0,000) TBD-_Page 2f (2) 12 52" xfId="13664"/>
    <cellStyle name="Comma (0,000) TBD_Page 2f (2) 12 53" xfId="13665"/>
    <cellStyle name="Comma (0,000) TBD-_Page 2f (2) 12 53" xfId="13666"/>
    <cellStyle name="Comma (0,000) TBD_Page 2f (2) 12 54" xfId="13667"/>
    <cellStyle name="Comma (0,000) TBD-_Page 2f (2) 12 54" xfId="13668"/>
    <cellStyle name="Comma (0,000) TBD_Page 2f (2) 12 55" xfId="13669"/>
    <cellStyle name="Comma (0,000) TBD-_Page 2f (2) 12 55" xfId="13670"/>
    <cellStyle name="Comma (0,000) TBD_Page 2f (2) 12 56" xfId="13671"/>
    <cellStyle name="Comma (0,000) TBD-_Page 2f (2) 12 56" xfId="13672"/>
    <cellStyle name="Comma (0,000) TBD_Page 2f (2) 12 57" xfId="13673"/>
    <cellStyle name="Comma (0,000) TBD-_Page 2f (2) 12 57" xfId="13674"/>
    <cellStyle name="Comma (0,000) TBD_Page 2f (2) 12 58" xfId="13675"/>
    <cellStyle name="Comma (0,000) TBD-_Page 2f (2) 12 58" xfId="13676"/>
    <cellStyle name="Comma (0,000) TBD_Page 2f (2) 12 59" xfId="13677"/>
    <cellStyle name="Comma (0,000) TBD-_Page 2f (2) 12 59" xfId="13678"/>
    <cellStyle name="Comma (0,000) TBD_Page 2f (2) 12 6" xfId="13679"/>
    <cellStyle name="Comma (0,000) TBD-_Page 2f (2) 12 6" xfId="13680"/>
    <cellStyle name="Comma (0,000) TBD_Page 2f (2) 12 60" xfId="13681"/>
    <cellStyle name="Comma (0,000) TBD-_Page 2f (2) 12 60" xfId="13682"/>
    <cellStyle name="Comma (0,000) TBD_Page 2f (2) 12 61" xfId="13683"/>
    <cellStyle name="Comma (0,000) TBD-_Page 2f (2) 12 61" xfId="13684"/>
    <cellStyle name="Comma (0,000) TBD_Page 2f (2) 12 62" xfId="13685"/>
    <cellStyle name="Comma (0,000) TBD-_Page 2f (2) 12 62" xfId="13686"/>
    <cellStyle name="Comma (0,000) TBD_Page 2f (2) 12 63" xfId="13687"/>
    <cellStyle name="Comma (0,000) TBD-_Page 2f (2) 12 63" xfId="13688"/>
    <cellStyle name="Comma (0,000) TBD_Page 2f (2) 12 64" xfId="13689"/>
    <cellStyle name="Comma (0,000) TBD-_Page 2f (2) 12 64" xfId="13690"/>
    <cellStyle name="Comma (0,000) TBD_Page 2f (2) 12 65" xfId="13691"/>
    <cellStyle name="Comma (0,000) TBD-_Page 2f (2) 12 65" xfId="13692"/>
    <cellStyle name="Comma (0,000) TBD_Page 2f (2) 12 66" xfId="13693"/>
    <cellStyle name="Comma (0,000) TBD-_Page 2f (2) 12 66" xfId="13694"/>
    <cellStyle name="Comma (0,000) TBD_Page 2f (2) 12 67" xfId="13695"/>
    <cellStyle name="Comma (0,000) TBD-_Page 2f (2) 12 67" xfId="13696"/>
    <cellStyle name="Comma (0,000) TBD_Page 2f (2) 12 68" xfId="13697"/>
    <cellStyle name="Comma (0,000) TBD-_Page 2f (2) 12 68" xfId="13698"/>
    <cellStyle name="Comma (0,000) TBD_Page 2f (2) 12 69" xfId="13699"/>
    <cellStyle name="Comma (0,000) TBD-_Page 2f (2) 12 69" xfId="13700"/>
    <cellStyle name="Comma (0,000) TBD_Page 2f (2) 12 7" xfId="13701"/>
    <cellStyle name="Comma (0,000) TBD-_Page 2f (2) 12 7" xfId="13702"/>
    <cellStyle name="Comma (0,000) TBD_Page 2f (2) 12 70" xfId="13703"/>
    <cellStyle name="Comma (0,000) TBD-_Page 2f (2) 12 70" xfId="13704"/>
    <cellStyle name="Comma (0,000) TBD_Page 2f (2) 12 71" xfId="13705"/>
    <cellStyle name="Comma (0,000) TBD-_Page 2f (2) 12 71" xfId="13706"/>
    <cellStyle name="Comma (0,000) TBD_Page 2f (2) 12 72" xfId="13707"/>
    <cellStyle name="Comma (0,000) TBD-_Page 2f (2) 12 72" xfId="13708"/>
    <cellStyle name="Comma (0,000) TBD_Page 2f (2) 12 73" xfId="13709"/>
    <cellStyle name="Comma (0,000) TBD-_Page 2f (2) 12 73" xfId="13710"/>
    <cellStyle name="Comma (0,000) TBD_Page 2f (2) 12 74" xfId="13711"/>
    <cellStyle name="Comma (0,000) TBD-_Page 2f (2) 12 74" xfId="13712"/>
    <cellStyle name="Comma (0,000) TBD_Page 2f (2) 12 75" xfId="13713"/>
    <cellStyle name="Comma (0,000) TBD-_Page 2f (2) 12 75" xfId="13714"/>
    <cellStyle name="Comma (0,000) TBD_Page 2f (2) 12 76" xfId="13715"/>
    <cellStyle name="Comma (0,000) TBD-_Page 2f (2) 12 76" xfId="13716"/>
    <cellStyle name="Comma (0,000) TBD_Page 2f (2) 12 77" xfId="13717"/>
    <cellStyle name="Comma (0,000) TBD-_Page 2f (2) 12 77" xfId="13718"/>
    <cellStyle name="Comma (0,000) TBD_Page 2f (2) 12 78" xfId="13719"/>
    <cellStyle name="Comma (0,000) TBD-_Page 2f (2) 12 78" xfId="13720"/>
    <cellStyle name="Comma (0,000) TBD_Page 2f (2) 12 79" xfId="13721"/>
    <cellStyle name="Comma (0,000) TBD-_Page 2f (2) 12 79" xfId="13722"/>
    <cellStyle name="Comma (0,000) TBD_Page 2f (2) 12 8" xfId="13723"/>
    <cellStyle name="Comma (0,000) TBD-_Page 2f (2) 12 8" xfId="13724"/>
    <cellStyle name="Comma (0,000) TBD_Page 2f (2) 12 80" xfId="13725"/>
    <cellStyle name="Comma (0,000) TBD-_Page 2f (2) 12 80" xfId="13726"/>
    <cellStyle name="Comma (0,000) TBD_Page 2f (2) 12 81" xfId="13727"/>
    <cellStyle name="Comma (0,000) TBD-_Page 2f (2) 12 81" xfId="13728"/>
    <cellStyle name="Comma (0,000) TBD_Page 2f (2) 12 82" xfId="13729"/>
    <cellStyle name="Comma (0,000) TBD-_Page 2f (2) 12 82" xfId="13730"/>
    <cellStyle name="Comma (0,000) TBD_Page 2f (2) 12 83" xfId="13731"/>
    <cellStyle name="Comma (0,000) TBD-_Page 2f (2) 12 83" xfId="13732"/>
    <cellStyle name="Comma (0,000) TBD_Page 2f (2) 12 84" xfId="13733"/>
    <cellStyle name="Comma (0,000) TBD-_Page 2f (2) 12 84" xfId="13734"/>
    <cellStyle name="Comma (0,000) TBD_Page 2f (2) 12 85" xfId="13735"/>
    <cellStyle name="Comma (0,000) TBD-_Page 2f (2) 12 85" xfId="13736"/>
    <cellStyle name="Comma (0,000) TBD_Page 2f (2) 12 86" xfId="13737"/>
    <cellStyle name="Comma (0,000) TBD-_Page 2f (2) 12 86" xfId="13738"/>
    <cellStyle name="Comma (0,000) TBD_Page 2f (2) 12 87" xfId="13739"/>
    <cellStyle name="Comma (0,000) TBD-_Page 2f (2) 12 87" xfId="13740"/>
    <cellStyle name="Comma (0,000) TBD_Page 2f (2) 12 88" xfId="13741"/>
    <cellStyle name="Comma (0,000) TBD-_Page 2f (2) 12 88" xfId="13742"/>
    <cellStyle name="Comma (0,000) TBD_Page 2f (2) 12 89" xfId="13743"/>
    <cellStyle name="Comma (0,000) TBD-_Page 2f (2) 12 89" xfId="13744"/>
    <cellStyle name="Comma (0,000) TBD_Page 2f (2) 12 9" xfId="13745"/>
    <cellStyle name="Comma (0,000) TBD-_Page 2f (2) 12 9" xfId="13746"/>
    <cellStyle name="Comma (0,000) TBD_Page 2f (2) 12 90" xfId="13747"/>
    <cellStyle name="Comma (0,000) TBD-_Page 2f (2) 12 90" xfId="13748"/>
    <cellStyle name="Comma (0,000) TBD_Page 2f (2) 12 91" xfId="13749"/>
    <cellStyle name="Comma (0,000) TBD-_Page 2f (2) 12 91" xfId="13750"/>
    <cellStyle name="Comma (0,000) TBD_Page 2f (2) 12 92" xfId="13751"/>
    <cellStyle name="Comma (0,000) TBD-_Page 2f (2) 12 92" xfId="13752"/>
    <cellStyle name="Comma (0,000) TBD_Page 2f (2) 12 93" xfId="13753"/>
    <cellStyle name="Comma (0,000) TBD-_Page 2f (2) 12 93" xfId="13754"/>
    <cellStyle name="Comma (0,000) TBD_Page 2f (2) 12 94" xfId="13755"/>
    <cellStyle name="Comma (0,000) TBD-_Page 2f (2) 12 94" xfId="13756"/>
    <cellStyle name="Comma (0,000) TBD_Page 2f (2) 12 95" xfId="13757"/>
    <cellStyle name="Comma (0,000) TBD-_Page 2f (2) 12 95" xfId="13758"/>
    <cellStyle name="Comma (0,000) TBD_Page 2f (2) 12 96" xfId="13759"/>
    <cellStyle name="Comma (0,000) TBD-_Page 2f (2) 12 96" xfId="13760"/>
    <cellStyle name="Comma (0,000) TBD_Page 2f (2) 12 97" xfId="13761"/>
    <cellStyle name="Comma (0,000) TBD-_Page 2f (2) 12 97" xfId="13762"/>
    <cellStyle name="Comma (0,000) TBD_Page 2f (2) 12 98" xfId="13763"/>
    <cellStyle name="Comma (0,000) TBD-_Page 2f (2) 12 98" xfId="13764"/>
    <cellStyle name="Comma (0,000) TBD_Page 2f (2) 12 99" xfId="13765"/>
    <cellStyle name="Comma (0,000) TBD-_Page 2f (2) 12 99" xfId="13766"/>
    <cellStyle name="Comma (0,000) TBD_Page 2f (2) 13" xfId="13767"/>
    <cellStyle name="Comma (0,000) TBD-_Page 2f (2) 13" xfId="13768"/>
    <cellStyle name="Comma (0,000) TBD_Page 2f (2) 13 10" xfId="13769"/>
    <cellStyle name="Comma (0,000) TBD-_Page 2f (2) 13 10" xfId="13770"/>
    <cellStyle name="Comma (0,000) TBD_Page 2f (2) 13 100" xfId="13771"/>
    <cellStyle name="Comma (0,000) TBD-_Page 2f (2) 13 100" xfId="13772"/>
    <cellStyle name="Comma (0,000) TBD_Page 2f (2) 13 101" xfId="13773"/>
    <cellStyle name="Comma (0,000) TBD-_Page 2f (2) 13 101" xfId="13774"/>
    <cellStyle name="Comma (0,000) TBD_Page 2f (2) 13 102" xfId="13775"/>
    <cellStyle name="Comma (0,000) TBD-_Page 2f (2) 13 102" xfId="13776"/>
    <cellStyle name="Comma (0,000) TBD_Page 2f (2) 13 103" xfId="13777"/>
    <cellStyle name="Comma (0,000) TBD-_Page 2f (2) 13 103" xfId="13778"/>
    <cellStyle name="Comma (0,000) TBD_Page 2f (2) 13 104" xfId="13779"/>
    <cellStyle name="Comma (0,000) TBD-_Page 2f (2) 13 104" xfId="13780"/>
    <cellStyle name="Comma (0,000) TBD_Page 2f (2) 13 105" xfId="13781"/>
    <cellStyle name="Comma (0,000) TBD-_Page 2f (2) 13 105" xfId="13782"/>
    <cellStyle name="Comma (0,000) TBD_Page 2f (2) 13 106" xfId="13783"/>
    <cellStyle name="Comma (0,000) TBD-_Page 2f (2) 13 106" xfId="13784"/>
    <cellStyle name="Comma (0,000) TBD_Page 2f (2) 13 107" xfId="13785"/>
    <cellStyle name="Comma (0,000) TBD-_Page 2f (2) 13 107" xfId="13786"/>
    <cellStyle name="Comma (0,000) TBD_Page 2f (2) 13 108" xfId="13787"/>
    <cellStyle name="Comma (0,000) TBD-_Page 2f (2) 13 108" xfId="13788"/>
    <cellStyle name="Comma (0,000) TBD_Page 2f (2) 13 109" xfId="13789"/>
    <cellStyle name="Comma (0,000) TBD-_Page 2f (2) 13 109" xfId="13790"/>
    <cellStyle name="Comma (0,000) TBD_Page 2f (2) 13 11" xfId="13791"/>
    <cellStyle name="Comma (0,000) TBD-_Page 2f (2) 13 11" xfId="13792"/>
    <cellStyle name="Comma (0,000) TBD_Page 2f (2) 13 110" xfId="13793"/>
    <cellStyle name="Comma (0,000) TBD-_Page 2f (2) 13 110" xfId="13794"/>
    <cellStyle name="Comma (0,000) TBD_Page 2f (2) 13 111" xfId="13795"/>
    <cellStyle name="Comma (0,000) TBD-_Page 2f (2) 13 111" xfId="13796"/>
    <cellStyle name="Comma (0,000) TBD_Page 2f (2) 13 112" xfId="13797"/>
    <cellStyle name="Comma (0,000) TBD-_Page 2f (2) 13 112" xfId="13798"/>
    <cellStyle name="Comma (0,000) TBD_Page 2f (2) 13 113" xfId="13799"/>
    <cellStyle name="Comma (0,000) TBD-_Page 2f (2) 13 113" xfId="13800"/>
    <cellStyle name="Comma (0,000) TBD_Page 2f (2) 13 114" xfId="13801"/>
    <cellStyle name="Comma (0,000) TBD-_Page 2f (2) 13 114" xfId="13802"/>
    <cellStyle name="Comma (0,000) TBD_Page 2f (2) 13 115" xfId="13803"/>
    <cellStyle name="Comma (0,000) TBD-_Page 2f (2) 13 115" xfId="13804"/>
    <cellStyle name="Comma (0,000) TBD_Page 2f (2) 13 116" xfId="13805"/>
    <cellStyle name="Comma (0,000) TBD-_Page 2f (2) 13 116" xfId="13806"/>
    <cellStyle name="Comma (0,000) TBD_Page 2f (2) 13 117" xfId="13807"/>
    <cellStyle name="Comma (0,000) TBD-_Page 2f (2) 13 117" xfId="13808"/>
    <cellStyle name="Comma (0,000) TBD_Page 2f (2) 13 118" xfId="13809"/>
    <cellStyle name="Comma (0,000) TBD-_Page 2f (2) 13 118" xfId="13810"/>
    <cellStyle name="Comma (0,000) TBD_Page 2f (2) 13 119" xfId="13811"/>
    <cellStyle name="Comma (0,000) TBD-_Page 2f (2) 13 119" xfId="13812"/>
    <cellStyle name="Comma (0,000) TBD_Page 2f (2) 13 12" xfId="13813"/>
    <cellStyle name="Comma (0,000) TBD-_Page 2f (2) 13 12" xfId="13814"/>
    <cellStyle name="Comma (0,000) TBD_Page 2f (2) 13 120" xfId="13815"/>
    <cellStyle name="Comma (0,000) TBD-_Page 2f (2) 13 120" xfId="13816"/>
    <cellStyle name="Comma (0,000) TBD_Page 2f (2) 13 121" xfId="13817"/>
    <cellStyle name="Comma (0,000) TBD-_Page 2f (2) 13 121" xfId="13818"/>
    <cellStyle name="Comma (0,000) TBD_Page 2f (2) 13 122" xfId="13819"/>
    <cellStyle name="Comma (0,000) TBD-_Page 2f (2) 13 122" xfId="13820"/>
    <cellStyle name="Comma (0,000) TBD_Page 2f (2) 13 123" xfId="13821"/>
    <cellStyle name="Comma (0,000) TBD-_Page 2f (2) 13 123" xfId="13822"/>
    <cellStyle name="Comma (0,000) TBD_Page 2f (2) 13 124" xfId="13823"/>
    <cellStyle name="Comma (0,000) TBD-_Page 2f (2) 13 124" xfId="13824"/>
    <cellStyle name="Comma (0,000) TBD_Page 2f (2) 13 125" xfId="13825"/>
    <cellStyle name="Comma (0,000) TBD-_Page 2f (2) 13 125" xfId="13826"/>
    <cellStyle name="Comma (0,000) TBD_Page 2f (2) 13 126" xfId="13827"/>
    <cellStyle name="Comma (0,000) TBD-_Page 2f (2) 13 126" xfId="13828"/>
    <cellStyle name="Comma (0,000) TBD_Page 2f (2) 13 127" xfId="13829"/>
    <cellStyle name="Comma (0,000) TBD-_Page 2f (2) 13 127" xfId="13830"/>
    <cellStyle name="Comma (0,000) TBD_Page 2f (2) 13 128" xfId="13831"/>
    <cellStyle name="Comma (0,000) TBD-_Page 2f (2) 13 128" xfId="13832"/>
    <cellStyle name="Comma (0,000) TBD_Page 2f (2) 13 129" xfId="13833"/>
    <cellStyle name="Comma (0,000) TBD-_Page 2f (2) 13 129" xfId="13834"/>
    <cellStyle name="Comma (0,000) TBD_Page 2f (2) 13 13" xfId="13835"/>
    <cellStyle name="Comma (0,000) TBD-_Page 2f (2) 13 13" xfId="13836"/>
    <cellStyle name="Comma (0,000) TBD_Page 2f (2) 13 130" xfId="13837"/>
    <cellStyle name="Comma (0,000) TBD-_Page 2f (2) 13 130" xfId="13838"/>
    <cellStyle name="Comma (0,000) TBD_Page 2f (2) 13 131" xfId="13839"/>
    <cellStyle name="Comma (0,000) TBD-_Page 2f (2) 13 131" xfId="13840"/>
    <cellStyle name="Comma (0,000) TBD_Page 2f (2) 13 132" xfId="13841"/>
    <cellStyle name="Comma (0,000) TBD-_Page 2f (2) 13 132" xfId="13842"/>
    <cellStyle name="Comma (0,000) TBD_Page 2f (2) 13 133" xfId="13843"/>
    <cellStyle name="Comma (0,000) TBD-_Page 2f (2) 13 133" xfId="13844"/>
    <cellStyle name="Comma (0,000) TBD_Page 2f (2) 13 134" xfId="13845"/>
    <cellStyle name="Comma (0,000) TBD-_Page 2f (2) 13 134" xfId="13846"/>
    <cellStyle name="Comma (0,000) TBD_Page 2f (2) 13 135" xfId="13847"/>
    <cellStyle name="Comma (0,000) TBD-_Page 2f (2) 13 135" xfId="13848"/>
    <cellStyle name="Comma (0,000) TBD_Page 2f (2) 13 136" xfId="13849"/>
    <cellStyle name="Comma (0,000) TBD-_Page 2f (2) 13 136" xfId="13850"/>
    <cellStyle name="Comma (0,000) TBD_Page 2f (2) 13 137" xfId="13851"/>
    <cellStyle name="Comma (0,000) TBD-_Page 2f (2) 13 137" xfId="13852"/>
    <cellStyle name="Comma (0,000) TBD_Page 2f (2) 13 138" xfId="13853"/>
    <cellStyle name="Comma (0,000) TBD-_Page 2f (2) 13 138" xfId="13854"/>
    <cellStyle name="Comma (0,000) TBD_Page 2f (2) 13 139" xfId="13855"/>
    <cellStyle name="Comma (0,000) TBD-_Page 2f (2) 13 139" xfId="13856"/>
    <cellStyle name="Comma (0,000) TBD_Page 2f (2) 13 14" xfId="13857"/>
    <cellStyle name="Comma (0,000) TBD-_Page 2f (2) 13 14" xfId="13858"/>
    <cellStyle name="Comma (0,000) TBD_Page 2f (2) 13 140" xfId="13859"/>
    <cellStyle name="Comma (0,000) TBD-_Page 2f (2) 13 140" xfId="13860"/>
    <cellStyle name="Comma (0,000) TBD_Page 2f (2) 13 141" xfId="13861"/>
    <cellStyle name="Comma (0,000) TBD-_Page 2f (2) 13 141" xfId="13862"/>
    <cellStyle name="Comma (0,000) TBD_Page 2f (2) 13 142" xfId="13863"/>
    <cellStyle name="Comma (0,000) TBD-_Page 2f (2) 13 142" xfId="13864"/>
    <cellStyle name="Comma (0,000) TBD_Page 2f (2) 13 143" xfId="13865"/>
    <cellStyle name="Comma (0,000) TBD-_Page 2f (2) 13 143" xfId="13866"/>
    <cellStyle name="Comma (0,000) TBD_Page 2f (2) 13 144" xfId="13867"/>
    <cellStyle name="Comma (0,000) TBD-_Page 2f (2) 13 144" xfId="13868"/>
    <cellStyle name="Comma (0,000) TBD_Page 2f (2) 13 145" xfId="13869"/>
    <cellStyle name="Comma (0,000) TBD-_Page 2f (2) 13 145" xfId="13870"/>
    <cellStyle name="Comma (0,000) TBD_Page 2f (2) 13 146" xfId="13871"/>
    <cellStyle name="Comma (0,000) TBD-_Page 2f (2) 13 146" xfId="13872"/>
    <cellStyle name="Comma (0,000) TBD_Page 2f (2) 13 147" xfId="13873"/>
    <cellStyle name="Comma (0,000) TBD-_Page 2f (2) 13 147" xfId="13874"/>
    <cellStyle name="Comma (0,000) TBD_Page 2f (2) 13 148" xfId="13875"/>
    <cellStyle name="Comma (0,000) TBD-_Page 2f (2) 13 148" xfId="13876"/>
    <cellStyle name="Comma (0,000) TBD_Page 2f (2) 13 149" xfId="13877"/>
    <cellStyle name="Comma (0,000) TBD-_Page 2f (2) 13 149" xfId="13878"/>
    <cellStyle name="Comma (0,000) TBD_Page 2f (2) 13 15" xfId="13879"/>
    <cellStyle name="Comma (0,000) TBD-_Page 2f (2) 13 15" xfId="13880"/>
    <cellStyle name="Comma (0,000) TBD_Page 2f (2) 13 150" xfId="13881"/>
    <cellStyle name="Comma (0,000) TBD-_Page 2f (2) 13 150" xfId="13882"/>
    <cellStyle name="Comma (0,000) TBD_Page 2f (2) 13 151" xfId="13883"/>
    <cellStyle name="Comma (0,000) TBD-_Page 2f (2) 13 151" xfId="13884"/>
    <cellStyle name="Comma (0,000) TBD_Page 2f (2) 13 152" xfId="13885"/>
    <cellStyle name="Comma (0,000) TBD-_Page 2f (2) 13 152" xfId="13886"/>
    <cellStyle name="Comma (0,000) TBD_Page 2f (2) 13 153" xfId="13887"/>
    <cellStyle name="Comma (0,000) TBD-_Page 2f (2) 13 153" xfId="13888"/>
    <cellStyle name="Comma (0,000) TBD_Page 2f (2) 13 16" xfId="13889"/>
    <cellStyle name="Comma (0,000) TBD-_Page 2f (2) 13 16" xfId="13890"/>
    <cellStyle name="Comma (0,000) TBD_Page 2f (2) 13 17" xfId="13891"/>
    <cellStyle name="Comma (0,000) TBD-_Page 2f (2) 13 17" xfId="13892"/>
    <cellStyle name="Comma (0,000) TBD_Page 2f (2) 13 18" xfId="13893"/>
    <cellStyle name="Comma (0,000) TBD-_Page 2f (2) 13 18" xfId="13894"/>
    <cellStyle name="Comma (0,000) TBD_Page 2f (2) 13 19" xfId="13895"/>
    <cellStyle name="Comma (0,000) TBD-_Page 2f (2) 13 19" xfId="13896"/>
    <cellStyle name="Comma (0,000) TBD_Page 2f (2) 13 2" xfId="13897"/>
    <cellStyle name="Comma (0,000) TBD-_Page 2f (2) 13 2" xfId="13898"/>
    <cellStyle name="Comma (0,000) TBD_Page 2f (2) 13 20" xfId="13899"/>
    <cellStyle name="Comma (0,000) TBD-_Page 2f (2) 13 20" xfId="13900"/>
    <cellStyle name="Comma (0,000) TBD_Page 2f (2) 13 21" xfId="13901"/>
    <cellStyle name="Comma (0,000) TBD-_Page 2f (2) 13 21" xfId="13902"/>
    <cellStyle name="Comma (0,000) TBD_Page 2f (2) 13 22" xfId="13903"/>
    <cellStyle name="Comma (0,000) TBD-_Page 2f (2) 13 22" xfId="13904"/>
    <cellStyle name="Comma (0,000) TBD_Page 2f (2) 13 23" xfId="13905"/>
    <cellStyle name="Comma (0,000) TBD-_Page 2f (2) 13 23" xfId="13906"/>
    <cellStyle name="Comma (0,000) TBD_Page 2f (2) 13 24" xfId="13907"/>
    <cellStyle name="Comma (0,000) TBD-_Page 2f (2) 13 24" xfId="13908"/>
    <cellStyle name="Comma (0,000) TBD_Page 2f (2) 13 25" xfId="13909"/>
    <cellStyle name="Comma (0,000) TBD-_Page 2f (2) 13 25" xfId="13910"/>
    <cellStyle name="Comma (0,000) TBD_Page 2f (2) 13 26" xfId="13911"/>
    <cellStyle name="Comma (0,000) TBD-_Page 2f (2) 13 26" xfId="13912"/>
    <cellStyle name="Comma (0,000) TBD_Page 2f (2) 13 27" xfId="13913"/>
    <cellStyle name="Comma (0,000) TBD-_Page 2f (2) 13 27" xfId="13914"/>
    <cellStyle name="Comma (0,000) TBD_Page 2f (2) 13 28" xfId="13915"/>
    <cellStyle name="Comma (0,000) TBD-_Page 2f (2) 13 28" xfId="13916"/>
    <cellStyle name="Comma (0,000) TBD_Page 2f (2) 13 29" xfId="13917"/>
    <cellStyle name="Comma (0,000) TBD-_Page 2f (2) 13 29" xfId="13918"/>
    <cellStyle name="Comma (0,000) TBD_Page 2f (2) 13 3" xfId="13919"/>
    <cellStyle name="Comma (0,000) TBD-_Page 2f (2) 13 3" xfId="13920"/>
    <cellStyle name="Comma (0,000) TBD_Page 2f (2) 13 30" xfId="13921"/>
    <cellStyle name="Comma (0,000) TBD-_Page 2f (2) 13 30" xfId="13922"/>
    <cellStyle name="Comma (0,000) TBD_Page 2f (2) 13 31" xfId="13923"/>
    <cellStyle name="Comma (0,000) TBD-_Page 2f (2) 13 31" xfId="13924"/>
    <cellStyle name="Comma (0,000) TBD_Page 2f (2) 13 32" xfId="13925"/>
    <cellStyle name="Comma (0,000) TBD-_Page 2f (2) 13 32" xfId="13926"/>
    <cellStyle name="Comma (0,000) TBD_Page 2f (2) 13 33" xfId="13927"/>
    <cellStyle name="Comma (0,000) TBD-_Page 2f (2) 13 33" xfId="13928"/>
    <cellStyle name="Comma (0,000) TBD_Page 2f (2) 13 34" xfId="13929"/>
    <cellStyle name="Comma (0,000) TBD-_Page 2f (2) 13 34" xfId="13930"/>
    <cellStyle name="Comma (0,000) TBD_Page 2f (2) 13 35" xfId="13931"/>
    <cellStyle name="Comma (0,000) TBD-_Page 2f (2) 13 35" xfId="13932"/>
    <cellStyle name="Comma (0,000) TBD_Page 2f (2) 13 36" xfId="13933"/>
    <cellStyle name="Comma (0,000) TBD-_Page 2f (2) 13 36" xfId="13934"/>
    <cellStyle name="Comma (0,000) TBD_Page 2f (2) 13 37" xfId="13935"/>
    <cellStyle name="Comma (0,000) TBD-_Page 2f (2) 13 37" xfId="13936"/>
    <cellStyle name="Comma (0,000) TBD_Page 2f (2) 13 38" xfId="13937"/>
    <cellStyle name="Comma (0,000) TBD-_Page 2f (2) 13 38" xfId="13938"/>
    <cellStyle name="Comma (0,000) TBD_Page 2f (2) 13 39" xfId="13939"/>
    <cellStyle name="Comma (0,000) TBD-_Page 2f (2) 13 39" xfId="13940"/>
    <cellStyle name="Comma (0,000) TBD_Page 2f (2) 13 4" xfId="13941"/>
    <cellStyle name="Comma (0,000) TBD-_Page 2f (2) 13 4" xfId="13942"/>
    <cellStyle name="Comma (0,000) TBD_Page 2f (2) 13 40" xfId="13943"/>
    <cellStyle name="Comma (0,000) TBD-_Page 2f (2) 13 40" xfId="13944"/>
    <cellStyle name="Comma (0,000) TBD_Page 2f (2) 13 41" xfId="13945"/>
    <cellStyle name="Comma (0,000) TBD-_Page 2f (2) 13 41" xfId="13946"/>
    <cellStyle name="Comma (0,000) TBD_Page 2f (2) 13 42" xfId="13947"/>
    <cellStyle name="Comma (0,000) TBD-_Page 2f (2) 13 42" xfId="13948"/>
    <cellStyle name="Comma (0,000) TBD_Page 2f (2) 13 43" xfId="13949"/>
    <cellStyle name="Comma (0,000) TBD-_Page 2f (2) 13 43" xfId="13950"/>
    <cellStyle name="Comma (0,000) TBD_Page 2f (2) 13 44" xfId="13951"/>
    <cellStyle name="Comma (0,000) TBD-_Page 2f (2) 13 44" xfId="13952"/>
    <cellStyle name="Comma (0,000) TBD_Page 2f (2) 13 45" xfId="13953"/>
    <cellStyle name="Comma (0,000) TBD-_Page 2f (2) 13 45" xfId="13954"/>
    <cellStyle name="Comma (0,000) TBD_Page 2f (2) 13 46" xfId="13955"/>
    <cellStyle name="Comma (0,000) TBD-_Page 2f (2) 13 46" xfId="13956"/>
    <cellStyle name="Comma (0,000) TBD_Page 2f (2) 13 47" xfId="13957"/>
    <cellStyle name="Comma (0,000) TBD-_Page 2f (2) 13 47" xfId="13958"/>
    <cellStyle name="Comma (0,000) TBD_Page 2f (2) 13 48" xfId="13959"/>
    <cellStyle name="Comma (0,000) TBD-_Page 2f (2) 13 48" xfId="13960"/>
    <cellStyle name="Comma (0,000) TBD_Page 2f (2) 13 49" xfId="13961"/>
    <cellStyle name="Comma (0,000) TBD-_Page 2f (2) 13 49" xfId="13962"/>
    <cellStyle name="Comma (0,000) TBD_Page 2f (2) 13 5" xfId="13963"/>
    <cellStyle name="Comma (0,000) TBD-_Page 2f (2) 13 5" xfId="13964"/>
    <cellStyle name="Comma (0,000) TBD_Page 2f (2) 13 50" xfId="13965"/>
    <cellStyle name="Comma (0,000) TBD-_Page 2f (2) 13 50" xfId="13966"/>
    <cellStyle name="Comma (0,000) TBD_Page 2f (2) 13 51" xfId="13967"/>
    <cellStyle name="Comma (0,000) TBD-_Page 2f (2) 13 51" xfId="13968"/>
    <cellStyle name="Comma (0,000) TBD_Page 2f (2) 13 52" xfId="13969"/>
    <cellStyle name="Comma (0,000) TBD-_Page 2f (2) 13 52" xfId="13970"/>
    <cellStyle name="Comma (0,000) TBD_Page 2f (2) 13 53" xfId="13971"/>
    <cellStyle name="Comma (0,000) TBD-_Page 2f (2) 13 53" xfId="13972"/>
    <cellStyle name="Comma (0,000) TBD_Page 2f (2) 13 54" xfId="13973"/>
    <cellStyle name="Comma (0,000) TBD-_Page 2f (2) 13 54" xfId="13974"/>
    <cellStyle name="Comma (0,000) TBD_Page 2f (2) 13 55" xfId="13975"/>
    <cellStyle name="Comma (0,000) TBD-_Page 2f (2) 13 55" xfId="13976"/>
    <cellStyle name="Comma (0,000) TBD_Page 2f (2) 13 56" xfId="13977"/>
    <cellStyle name="Comma (0,000) TBD-_Page 2f (2) 13 56" xfId="13978"/>
    <cellStyle name="Comma (0,000) TBD_Page 2f (2) 13 57" xfId="13979"/>
    <cellStyle name="Comma (0,000) TBD-_Page 2f (2) 13 57" xfId="13980"/>
    <cellStyle name="Comma (0,000) TBD_Page 2f (2) 13 58" xfId="13981"/>
    <cellStyle name="Comma (0,000) TBD-_Page 2f (2) 13 58" xfId="13982"/>
    <cellStyle name="Comma (0,000) TBD_Page 2f (2) 13 59" xfId="13983"/>
    <cellStyle name="Comma (0,000) TBD-_Page 2f (2) 13 59" xfId="13984"/>
    <cellStyle name="Comma (0,000) TBD_Page 2f (2) 13 6" xfId="13985"/>
    <cellStyle name="Comma (0,000) TBD-_Page 2f (2) 13 6" xfId="13986"/>
    <cellStyle name="Comma (0,000) TBD_Page 2f (2) 13 60" xfId="13987"/>
    <cellStyle name="Comma (0,000) TBD-_Page 2f (2) 13 60" xfId="13988"/>
    <cellStyle name="Comma (0,000) TBD_Page 2f (2) 13 61" xfId="13989"/>
    <cellStyle name="Comma (0,000) TBD-_Page 2f (2) 13 61" xfId="13990"/>
    <cellStyle name="Comma (0,000) TBD_Page 2f (2) 13 62" xfId="13991"/>
    <cellStyle name="Comma (0,000) TBD-_Page 2f (2) 13 62" xfId="13992"/>
    <cellStyle name="Comma (0,000) TBD_Page 2f (2) 13 63" xfId="13993"/>
    <cellStyle name="Comma (0,000) TBD-_Page 2f (2) 13 63" xfId="13994"/>
    <cellStyle name="Comma (0,000) TBD_Page 2f (2) 13 64" xfId="13995"/>
    <cellStyle name="Comma (0,000) TBD-_Page 2f (2) 13 64" xfId="13996"/>
    <cellStyle name="Comma (0,000) TBD_Page 2f (2) 13 65" xfId="13997"/>
    <cellStyle name="Comma (0,000) TBD-_Page 2f (2) 13 65" xfId="13998"/>
    <cellStyle name="Comma (0,000) TBD_Page 2f (2) 13 66" xfId="13999"/>
    <cellStyle name="Comma (0,000) TBD-_Page 2f (2) 13 66" xfId="14000"/>
    <cellStyle name="Comma (0,000) TBD_Page 2f (2) 13 67" xfId="14001"/>
    <cellStyle name="Comma (0,000) TBD-_Page 2f (2) 13 67" xfId="14002"/>
    <cellStyle name="Comma (0,000) TBD_Page 2f (2) 13 68" xfId="14003"/>
    <cellStyle name="Comma (0,000) TBD-_Page 2f (2) 13 68" xfId="14004"/>
    <cellStyle name="Comma (0,000) TBD_Page 2f (2) 13 69" xfId="14005"/>
    <cellStyle name="Comma (0,000) TBD-_Page 2f (2) 13 69" xfId="14006"/>
    <cellStyle name="Comma (0,000) TBD_Page 2f (2) 13 7" xfId="14007"/>
    <cellStyle name="Comma (0,000) TBD-_Page 2f (2) 13 7" xfId="14008"/>
    <cellStyle name="Comma (0,000) TBD_Page 2f (2) 13 70" xfId="14009"/>
    <cellStyle name="Comma (0,000) TBD-_Page 2f (2) 13 70" xfId="14010"/>
    <cellStyle name="Comma (0,000) TBD_Page 2f (2) 13 71" xfId="14011"/>
    <cellStyle name="Comma (0,000) TBD-_Page 2f (2) 13 71" xfId="14012"/>
    <cellStyle name="Comma (0,000) TBD_Page 2f (2) 13 72" xfId="14013"/>
    <cellStyle name="Comma (0,000) TBD-_Page 2f (2) 13 72" xfId="14014"/>
    <cellStyle name="Comma (0,000) TBD_Page 2f (2) 13 73" xfId="14015"/>
    <cellStyle name="Comma (0,000) TBD-_Page 2f (2) 13 73" xfId="14016"/>
    <cellStyle name="Comma (0,000) TBD_Page 2f (2) 13 74" xfId="14017"/>
    <cellStyle name="Comma (0,000) TBD-_Page 2f (2) 13 74" xfId="14018"/>
    <cellStyle name="Comma (0,000) TBD_Page 2f (2) 13 75" xfId="14019"/>
    <cellStyle name="Comma (0,000) TBD-_Page 2f (2) 13 75" xfId="14020"/>
    <cellStyle name="Comma (0,000) TBD_Page 2f (2) 13 76" xfId="14021"/>
    <cellStyle name="Comma (0,000) TBD-_Page 2f (2) 13 76" xfId="14022"/>
    <cellStyle name="Comma (0,000) TBD_Page 2f (2) 13 77" xfId="14023"/>
    <cellStyle name="Comma (0,000) TBD-_Page 2f (2) 13 77" xfId="14024"/>
    <cellStyle name="Comma (0,000) TBD_Page 2f (2) 13 78" xfId="14025"/>
    <cellStyle name="Comma (0,000) TBD-_Page 2f (2) 13 78" xfId="14026"/>
    <cellStyle name="Comma (0,000) TBD_Page 2f (2) 13 79" xfId="14027"/>
    <cellStyle name="Comma (0,000) TBD-_Page 2f (2) 13 79" xfId="14028"/>
    <cellStyle name="Comma (0,000) TBD_Page 2f (2) 13 8" xfId="14029"/>
    <cellStyle name="Comma (0,000) TBD-_Page 2f (2) 13 8" xfId="14030"/>
    <cellStyle name="Comma (0,000) TBD_Page 2f (2) 13 80" xfId="14031"/>
    <cellStyle name="Comma (0,000) TBD-_Page 2f (2) 13 80" xfId="14032"/>
    <cellStyle name="Comma (0,000) TBD_Page 2f (2) 13 81" xfId="14033"/>
    <cellStyle name="Comma (0,000) TBD-_Page 2f (2) 13 81" xfId="14034"/>
    <cellStyle name="Comma (0,000) TBD_Page 2f (2) 13 82" xfId="14035"/>
    <cellStyle name="Comma (0,000) TBD-_Page 2f (2) 13 82" xfId="14036"/>
    <cellStyle name="Comma (0,000) TBD_Page 2f (2) 13 83" xfId="14037"/>
    <cellStyle name="Comma (0,000) TBD-_Page 2f (2) 13 83" xfId="14038"/>
    <cellStyle name="Comma (0,000) TBD_Page 2f (2) 13 84" xfId="14039"/>
    <cellStyle name="Comma (0,000) TBD-_Page 2f (2) 13 84" xfId="14040"/>
    <cellStyle name="Comma (0,000) TBD_Page 2f (2) 13 85" xfId="14041"/>
    <cellStyle name="Comma (0,000) TBD-_Page 2f (2) 13 85" xfId="14042"/>
    <cellStyle name="Comma (0,000) TBD_Page 2f (2) 13 86" xfId="14043"/>
    <cellStyle name="Comma (0,000) TBD-_Page 2f (2) 13 86" xfId="14044"/>
    <cellStyle name="Comma (0,000) TBD_Page 2f (2) 13 87" xfId="14045"/>
    <cellStyle name="Comma (0,000) TBD-_Page 2f (2) 13 87" xfId="14046"/>
    <cellStyle name="Comma (0,000) TBD_Page 2f (2) 13 88" xfId="14047"/>
    <cellStyle name="Comma (0,000) TBD-_Page 2f (2) 13 88" xfId="14048"/>
    <cellStyle name="Comma (0,000) TBD_Page 2f (2) 13 89" xfId="14049"/>
    <cellStyle name="Comma (0,000) TBD-_Page 2f (2) 13 89" xfId="14050"/>
    <cellStyle name="Comma (0,000) TBD_Page 2f (2) 13 9" xfId="14051"/>
    <cellStyle name="Comma (0,000) TBD-_Page 2f (2) 13 9" xfId="14052"/>
    <cellStyle name="Comma (0,000) TBD_Page 2f (2) 13 90" xfId="14053"/>
    <cellStyle name="Comma (0,000) TBD-_Page 2f (2) 13 90" xfId="14054"/>
    <cellStyle name="Comma (0,000) TBD_Page 2f (2) 13 91" xfId="14055"/>
    <cellStyle name="Comma (0,000) TBD-_Page 2f (2) 13 91" xfId="14056"/>
    <cellStyle name="Comma (0,000) TBD_Page 2f (2) 13 92" xfId="14057"/>
    <cellStyle name="Comma (0,000) TBD-_Page 2f (2) 13 92" xfId="14058"/>
    <cellStyle name="Comma (0,000) TBD_Page 2f (2) 13 93" xfId="14059"/>
    <cellStyle name="Comma (0,000) TBD-_Page 2f (2) 13 93" xfId="14060"/>
    <cellStyle name="Comma (0,000) TBD_Page 2f (2) 13 94" xfId="14061"/>
    <cellStyle name="Comma (0,000) TBD-_Page 2f (2) 13 94" xfId="14062"/>
    <cellStyle name="Comma (0,000) TBD_Page 2f (2) 13 95" xfId="14063"/>
    <cellStyle name="Comma (0,000) TBD-_Page 2f (2) 13 95" xfId="14064"/>
    <cellStyle name="Comma (0,000) TBD_Page 2f (2) 13 96" xfId="14065"/>
    <cellStyle name="Comma (0,000) TBD-_Page 2f (2) 13 96" xfId="14066"/>
    <cellStyle name="Comma (0,000) TBD_Page 2f (2) 13 97" xfId="14067"/>
    <cellStyle name="Comma (0,000) TBD-_Page 2f (2) 13 97" xfId="14068"/>
    <cellStyle name="Comma (0,000) TBD_Page 2f (2) 13 98" xfId="14069"/>
    <cellStyle name="Comma (0,000) TBD-_Page 2f (2) 13 98" xfId="14070"/>
    <cellStyle name="Comma (0,000) TBD_Page 2f (2) 13 99" xfId="14071"/>
    <cellStyle name="Comma (0,000) TBD-_Page 2f (2) 13 99" xfId="14072"/>
    <cellStyle name="Comma (0,000) TBD_Page 2f (2) 14" xfId="14073"/>
    <cellStyle name="Comma (0,000) TBD-_Page 2f (2) 14" xfId="14074"/>
    <cellStyle name="Comma (0,000) TBD_Page 2f (2) 14 10" xfId="14075"/>
    <cellStyle name="Comma (0,000) TBD-_Page 2f (2) 14 10" xfId="14076"/>
    <cellStyle name="Comma (0,000) TBD_Page 2f (2) 14 100" xfId="14077"/>
    <cellStyle name="Comma (0,000) TBD-_Page 2f (2) 14 100" xfId="14078"/>
    <cellStyle name="Comma (0,000) TBD_Page 2f (2) 14 101" xfId="14079"/>
    <cellStyle name="Comma (0,000) TBD-_Page 2f (2) 14 101" xfId="14080"/>
    <cellStyle name="Comma (0,000) TBD_Page 2f (2) 14 102" xfId="14081"/>
    <cellStyle name="Comma (0,000) TBD-_Page 2f (2) 14 102" xfId="14082"/>
    <cellStyle name="Comma (0,000) TBD_Page 2f (2) 14 103" xfId="14083"/>
    <cellStyle name="Comma (0,000) TBD-_Page 2f (2) 14 103" xfId="14084"/>
    <cellStyle name="Comma (0,000) TBD_Page 2f (2) 14 104" xfId="14085"/>
    <cellStyle name="Comma (0,000) TBD-_Page 2f (2) 14 104" xfId="14086"/>
    <cellStyle name="Comma (0,000) TBD_Page 2f (2) 14 105" xfId="14087"/>
    <cellStyle name="Comma (0,000) TBD-_Page 2f (2) 14 105" xfId="14088"/>
    <cellStyle name="Comma (0,000) TBD_Page 2f (2) 14 106" xfId="14089"/>
    <cellStyle name="Comma (0,000) TBD-_Page 2f (2) 14 106" xfId="14090"/>
    <cellStyle name="Comma (0,000) TBD_Page 2f (2) 14 107" xfId="14091"/>
    <cellStyle name="Comma (0,000) TBD-_Page 2f (2) 14 107" xfId="14092"/>
    <cellStyle name="Comma (0,000) TBD_Page 2f (2) 14 108" xfId="14093"/>
    <cellStyle name="Comma (0,000) TBD-_Page 2f (2) 14 108" xfId="14094"/>
    <cellStyle name="Comma (0,000) TBD_Page 2f (2) 14 109" xfId="14095"/>
    <cellStyle name="Comma (0,000) TBD-_Page 2f (2) 14 109" xfId="14096"/>
    <cellStyle name="Comma (0,000) TBD_Page 2f (2) 14 11" xfId="14097"/>
    <cellStyle name="Comma (0,000) TBD-_Page 2f (2) 14 11" xfId="14098"/>
    <cellStyle name="Comma (0,000) TBD_Page 2f (2) 14 110" xfId="14099"/>
    <cellStyle name="Comma (0,000) TBD-_Page 2f (2) 14 110" xfId="14100"/>
    <cellStyle name="Comma (0,000) TBD_Page 2f (2) 14 111" xfId="14101"/>
    <cellStyle name="Comma (0,000) TBD-_Page 2f (2) 14 111" xfId="14102"/>
    <cellStyle name="Comma (0,000) TBD_Page 2f (2) 14 112" xfId="14103"/>
    <cellStyle name="Comma (0,000) TBD-_Page 2f (2) 14 112" xfId="14104"/>
    <cellStyle name="Comma (0,000) TBD_Page 2f (2) 14 113" xfId="14105"/>
    <cellStyle name="Comma (0,000) TBD-_Page 2f (2) 14 113" xfId="14106"/>
    <cellStyle name="Comma (0,000) TBD_Page 2f (2) 14 114" xfId="14107"/>
    <cellStyle name="Comma (0,000) TBD-_Page 2f (2) 14 114" xfId="14108"/>
    <cellStyle name="Comma (0,000) TBD_Page 2f (2) 14 115" xfId="14109"/>
    <cellStyle name="Comma (0,000) TBD-_Page 2f (2) 14 115" xfId="14110"/>
    <cellStyle name="Comma (0,000) TBD_Page 2f (2) 14 116" xfId="14111"/>
    <cellStyle name="Comma (0,000) TBD-_Page 2f (2) 14 116" xfId="14112"/>
    <cellStyle name="Comma (0,000) TBD_Page 2f (2) 14 117" xfId="14113"/>
    <cellStyle name="Comma (0,000) TBD-_Page 2f (2) 14 117" xfId="14114"/>
    <cellStyle name="Comma (0,000) TBD_Page 2f (2) 14 118" xfId="14115"/>
    <cellStyle name="Comma (0,000) TBD-_Page 2f (2) 14 118" xfId="14116"/>
    <cellStyle name="Comma (0,000) TBD_Page 2f (2) 14 119" xfId="14117"/>
    <cellStyle name="Comma (0,000) TBD-_Page 2f (2) 14 119" xfId="14118"/>
    <cellStyle name="Comma (0,000) TBD_Page 2f (2) 14 12" xfId="14119"/>
    <cellStyle name="Comma (0,000) TBD-_Page 2f (2) 14 12" xfId="14120"/>
    <cellStyle name="Comma (0,000) TBD_Page 2f (2) 14 120" xfId="14121"/>
    <cellStyle name="Comma (0,000) TBD-_Page 2f (2) 14 120" xfId="14122"/>
    <cellStyle name="Comma (0,000) TBD_Page 2f (2) 14 121" xfId="14123"/>
    <cellStyle name="Comma (0,000) TBD-_Page 2f (2) 14 121" xfId="14124"/>
    <cellStyle name="Comma (0,000) TBD_Page 2f (2) 14 122" xfId="14125"/>
    <cellStyle name="Comma (0,000) TBD-_Page 2f (2) 14 122" xfId="14126"/>
    <cellStyle name="Comma (0,000) TBD_Page 2f (2) 14 123" xfId="14127"/>
    <cellStyle name="Comma (0,000) TBD-_Page 2f (2) 14 123" xfId="14128"/>
    <cellStyle name="Comma (0,000) TBD_Page 2f (2) 14 124" xfId="14129"/>
    <cellStyle name="Comma (0,000) TBD-_Page 2f (2) 14 124" xfId="14130"/>
    <cellStyle name="Comma (0,000) TBD_Page 2f (2) 14 125" xfId="14131"/>
    <cellStyle name="Comma (0,000) TBD-_Page 2f (2) 14 125" xfId="14132"/>
    <cellStyle name="Comma (0,000) TBD_Page 2f (2) 14 126" xfId="14133"/>
    <cellStyle name="Comma (0,000) TBD-_Page 2f (2) 14 126" xfId="14134"/>
    <cellStyle name="Comma (0,000) TBD_Page 2f (2) 14 127" xfId="14135"/>
    <cellStyle name="Comma (0,000) TBD-_Page 2f (2) 14 127" xfId="14136"/>
    <cellStyle name="Comma (0,000) TBD_Page 2f (2) 14 128" xfId="14137"/>
    <cellStyle name="Comma (0,000) TBD-_Page 2f (2) 14 128" xfId="14138"/>
    <cellStyle name="Comma (0,000) TBD_Page 2f (2) 14 129" xfId="14139"/>
    <cellStyle name="Comma (0,000) TBD-_Page 2f (2) 14 129" xfId="14140"/>
    <cellStyle name="Comma (0,000) TBD_Page 2f (2) 14 13" xfId="14141"/>
    <cellStyle name="Comma (0,000) TBD-_Page 2f (2) 14 13" xfId="14142"/>
    <cellStyle name="Comma (0,000) TBD_Page 2f (2) 14 130" xfId="14143"/>
    <cellStyle name="Comma (0,000) TBD-_Page 2f (2) 14 130" xfId="14144"/>
    <cellStyle name="Comma (0,000) TBD_Page 2f (2) 14 131" xfId="14145"/>
    <cellStyle name="Comma (0,000) TBD-_Page 2f (2) 14 131" xfId="14146"/>
    <cellStyle name="Comma (0,000) TBD_Page 2f (2) 14 132" xfId="14147"/>
    <cellStyle name="Comma (0,000) TBD-_Page 2f (2) 14 132" xfId="14148"/>
    <cellStyle name="Comma (0,000) TBD_Page 2f (2) 14 133" xfId="14149"/>
    <cellStyle name="Comma (0,000) TBD-_Page 2f (2) 14 133" xfId="14150"/>
    <cellStyle name="Comma (0,000) TBD_Page 2f (2) 14 134" xfId="14151"/>
    <cellStyle name="Comma (0,000) TBD-_Page 2f (2) 14 134" xfId="14152"/>
    <cellStyle name="Comma (0,000) TBD_Page 2f (2) 14 135" xfId="14153"/>
    <cellStyle name="Comma (0,000) TBD-_Page 2f (2) 14 135" xfId="14154"/>
    <cellStyle name="Comma (0,000) TBD_Page 2f (2) 14 136" xfId="14155"/>
    <cellStyle name="Comma (0,000) TBD-_Page 2f (2) 14 136" xfId="14156"/>
    <cellStyle name="Comma (0,000) TBD_Page 2f (2) 14 137" xfId="14157"/>
    <cellStyle name="Comma (0,000) TBD-_Page 2f (2) 14 137" xfId="14158"/>
    <cellStyle name="Comma (0,000) TBD_Page 2f (2) 14 138" xfId="14159"/>
    <cellStyle name="Comma (0,000) TBD-_Page 2f (2) 14 138" xfId="14160"/>
    <cellStyle name="Comma (0,000) TBD_Page 2f (2) 14 139" xfId="14161"/>
    <cellStyle name="Comma (0,000) TBD-_Page 2f (2) 14 139" xfId="14162"/>
    <cellStyle name="Comma (0,000) TBD_Page 2f (2) 14 14" xfId="14163"/>
    <cellStyle name="Comma (0,000) TBD-_Page 2f (2) 14 14" xfId="14164"/>
    <cellStyle name="Comma (0,000) TBD_Page 2f (2) 14 140" xfId="14165"/>
    <cellStyle name="Comma (0,000) TBD-_Page 2f (2) 14 140" xfId="14166"/>
    <cellStyle name="Comma (0,000) TBD_Page 2f (2) 14 141" xfId="14167"/>
    <cellStyle name="Comma (0,000) TBD-_Page 2f (2) 14 141" xfId="14168"/>
    <cellStyle name="Comma (0,000) TBD_Page 2f (2) 14 142" xfId="14169"/>
    <cellStyle name="Comma (0,000) TBD-_Page 2f (2) 14 142" xfId="14170"/>
    <cellStyle name="Comma (0,000) TBD_Page 2f (2) 14 143" xfId="14171"/>
    <cellStyle name="Comma (0,000) TBD-_Page 2f (2) 14 143" xfId="14172"/>
    <cellStyle name="Comma (0,000) TBD_Page 2f (2) 14 144" xfId="14173"/>
    <cellStyle name="Comma (0,000) TBD-_Page 2f (2) 14 144" xfId="14174"/>
    <cellStyle name="Comma (0,000) TBD_Page 2f (2) 14 145" xfId="14175"/>
    <cellStyle name="Comma (0,000) TBD-_Page 2f (2) 14 145" xfId="14176"/>
    <cellStyle name="Comma (0,000) TBD_Page 2f (2) 14 146" xfId="14177"/>
    <cellStyle name="Comma (0,000) TBD-_Page 2f (2) 14 146" xfId="14178"/>
    <cellStyle name="Comma (0,000) TBD_Page 2f (2) 14 147" xfId="14179"/>
    <cellStyle name="Comma (0,000) TBD-_Page 2f (2) 14 147" xfId="14180"/>
    <cellStyle name="Comma (0,000) TBD_Page 2f (2) 14 148" xfId="14181"/>
    <cellStyle name="Comma (0,000) TBD-_Page 2f (2) 14 148" xfId="14182"/>
    <cellStyle name="Comma (0,000) TBD_Page 2f (2) 14 149" xfId="14183"/>
    <cellStyle name="Comma (0,000) TBD-_Page 2f (2) 14 149" xfId="14184"/>
    <cellStyle name="Comma (0,000) TBD_Page 2f (2) 14 15" xfId="14185"/>
    <cellStyle name="Comma (0,000) TBD-_Page 2f (2) 14 15" xfId="14186"/>
    <cellStyle name="Comma (0,000) TBD_Page 2f (2) 14 150" xfId="14187"/>
    <cellStyle name="Comma (0,000) TBD-_Page 2f (2) 14 150" xfId="14188"/>
    <cellStyle name="Comma (0,000) TBD_Page 2f (2) 14 151" xfId="14189"/>
    <cellStyle name="Comma (0,000) TBD-_Page 2f (2) 14 151" xfId="14190"/>
    <cellStyle name="Comma (0,000) TBD_Page 2f (2) 14 152" xfId="14191"/>
    <cellStyle name="Comma (0,000) TBD-_Page 2f (2) 14 152" xfId="14192"/>
    <cellStyle name="Comma (0,000) TBD_Page 2f (2) 14 153" xfId="14193"/>
    <cellStyle name="Comma (0,000) TBD-_Page 2f (2) 14 153" xfId="14194"/>
    <cellStyle name="Comma (0,000) TBD_Page 2f (2) 14 16" xfId="14195"/>
    <cellStyle name="Comma (0,000) TBD-_Page 2f (2) 14 16" xfId="14196"/>
    <cellStyle name="Comma (0,000) TBD_Page 2f (2) 14 17" xfId="14197"/>
    <cellStyle name="Comma (0,000) TBD-_Page 2f (2) 14 17" xfId="14198"/>
    <cellStyle name="Comma (0,000) TBD_Page 2f (2) 14 18" xfId="14199"/>
    <cellStyle name="Comma (0,000) TBD-_Page 2f (2) 14 18" xfId="14200"/>
    <cellStyle name="Comma (0,000) TBD_Page 2f (2) 14 19" xfId="14201"/>
    <cellStyle name="Comma (0,000) TBD-_Page 2f (2) 14 19" xfId="14202"/>
    <cellStyle name="Comma (0,000) TBD_Page 2f (2) 14 2" xfId="14203"/>
    <cellStyle name="Comma (0,000) TBD-_Page 2f (2) 14 2" xfId="14204"/>
    <cellStyle name="Comma (0,000) TBD_Page 2f (2) 14 20" xfId="14205"/>
    <cellStyle name="Comma (0,000) TBD-_Page 2f (2) 14 20" xfId="14206"/>
    <cellStyle name="Comma (0,000) TBD_Page 2f (2) 14 21" xfId="14207"/>
    <cellStyle name="Comma (0,000) TBD-_Page 2f (2) 14 21" xfId="14208"/>
    <cellStyle name="Comma (0,000) TBD_Page 2f (2) 14 22" xfId="14209"/>
    <cellStyle name="Comma (0,000) TBD-_Page 2f (2) 14 22" xfId="14210"/>
    <cellStyle name="Comma (0,000) TBD_Page 2f (2) 14 23" xfId="14211"/>
    <cellStyle name="Comma (0,000) TBD-_Page 2f (2) 14 23" xfId="14212"/>
    <cellStyle name="Comma (0,000) TBD_Page 2f (2) 14 24" xfId="14213"/>
    <cellStyle name="Comma (0,000) TBD-_Page 2f (2) 14 24" xfId="14214"/>
    <cellStyle name="Comma (0,000) TBD_Page 2f (2) 14 25" xfId="14215"/>
    <cellStyle name="Comma (0,000) TBD-_Page 2f (2) 14 25" xfId="14216"/>
    <cellStyle name="Comma (0,000) TBD_Page 2f (2) 14 26" xfId="14217"/>
    <cellStyle name="Comma (0,000) TBD-_Page 2f (2) 14 26" xfId="14218"/>
    <cellStyle name="Comma (0,000) TBD_Page 2f (2) 14 27" xfId="14219"/>
    <cellStyle name="Comma (0,000) TBD-_Page 2f (2) 14 27" xfId="14220"/>
    <cellStyle name="Comma (0,000) TBD_Page 2f (2) 14 28" xfId="14221"/>
    <cellStyle name="Comma (0,000) TBD-_Page 2f (2) 14 28" xfId="14222"/>
    <cellStyle name="Comma (0,000) TBD_Page 2f (2) 14 29" xfId="14223"/>
    <cellStyle name="Comma (0,000) TBD-_Page 2f (2) 14 29" xfId="14224"/>
    <cellStyle name="Comma (0,000) TBD_Page 2f (2) 14 3" xfId="14225"/>
    <cellStyle name="Comma (0,000) TBD-_Page 2f (2) 14 3" xfId="14226"/>
    <cellStyle name="Comma (0,000) TBD_Page 2f (2) 14 30" xfId="14227"/>
    <cellStyle name="Comma (0,000) TBD-_Page 2f (2) 14 30" xfId="14228"/>
    <cellStyle name="Comma (0,000) TBD_Page 2f (2) 14 31" xfId="14229"/>
    <cellStyle name="Comma (0,000) TBD-_Page 2f (2) 14 31" xfId="14230"/>
    <cellStyle name="Comma (0,000) TBD_Page 2f (2) 14 32" xfId="14231"/>
    <cellStyle name="Comma (0,000) TBD-_Page 2f (2) 14 32" xfId="14232"/>
    <cellStyle name="Comma (0,000) TBD_Page 2f (2) 14 33" xfId="14233"/>
    <cellStyle name="Comma (0,000) TBD-_Page 2f (2) 14 33" xfId="14234"/>
    <cellStyle name="Comma (0,000) TBD_Page 2f (2) 14 34" xfId="14235"/>
    <cellStyle name="Comma (0,000) TBD-_Page 2f (2) 14 34" xfId="14236"/>
    <cellStyle name="Comma (0,000) TBD_Page 2f (2) 14 35" xfId="14237"/>
    <cellStyle name="Comma (0,000) TBD-_Page 2f (2) 14 35" xfId="14238"/>
    <cellStyle name="Comma (0,000) TBD_Page 2f (2) 14 36" xfId="14239"/>
    <cellStyle name="Comma (0,000) TBD-_Page 2f (2) 14 36" xfId="14240"/>
    <cellStyle name="Comma (0,000) TBD_Page 2f (2) 14 37" xfId="14241"/>
    <cellStyle name="Comma (0,000) TBD-_Page 2f (2) 14 37" xfId="14242"/>
    <cellStyle name="Comma (0,000) TBD_Page 2f (2) 14 38" xfId="14243"/>
    <cellStyle name="Comma (0,000) TBD-_Page 2f (2) 14 38" xfId="14244"/>
    <cellStyle name="Comma (0,000) TBD_Page 2f (2) 14 39" xfId="14245"/>
    <cellStyle name="Comma (0,000) TBD-_Page 2f (2) 14 39" xfId="14246"/>
    <cellStyle name="Comma (0,000) TBD_Page 2f (2) 14 4" xfId="14247"/>
    <cellStyle name="Comma (0,000) TBD-_Page 2f (2) 14 4" xfId="14248"/>
    <cellStyle name="Comma (0,000) TBD_Page 2f (2) 14 40" xfId="14249"/>
    <cellStyle name="Comma (0,000) TBD-_Page 2f (2) 14 40" xfId="14250"/>
    <cellStyle name="Comma (0,000) TBD_Page 2f (2) 14 41" xfId="14251"/>
    <cellStyle name="Comma (0,000) TBD-_Page 2f (2) 14 41" xfId="14252"/>
    <cellStyle name="Comma (0,000) TBD_Page 2f (2) 14 42" xfId="14253"/>
    <cellStyle name="Comma (0,000) TBD-_Page 2f (2) 14 42" xfId="14254"/>
    <cellStyle name="Comma (0,000) TBD_Page 2f (2) 14 43" xfId="14255"/>
    <cellStyle name="Comma (0,000) TBD-_Page 2f (2) 14 43" xfId="14256"/>
    <cellStyle name="Comma (0,000) TBD_Page 2f (2) 14 44" xfId="14257"/>
    <cellStyle name="Comma (0,000) TBD-_Page 2f (2) 14 44" xfId="14258"/>
    <cellStyle name="Comma (0,000) TBD_Page 2f (2) 14 45" xfId="14259"/>
    <cellStyle name="Comma (0,000) TBD-_Page 2f (2) 14 45" xfId="14260"/>
    <cellStyle name="Comma (0,000) TBD_Page 2f (2) 14 46" xfId="14261"/>
    <cellStyle name="Comma (0,000) TBD-_Page 2f (2) 14 46" xfId="14262"/>
    <cellStyle name="Comma (0,000) TBD_Page 2f (2) 14 47" xfId="14263"/>
    <cellStyle name="Comma (0,000) TBD-_Page 2f (2) 14 47" xfId="14264"/>
    <cellStyle name="Comma (0,000) TBD_Page 2f (2) 14 48" xfId="14265"/>
    <cellStyle name="Comma (0,000) TBD-_Page 2f (2) 14 48" xfId="14266"/>
    <cellStyle name="Comma (0,000) TBD_Page 2f (2) 14 49" xfId="14267"/>
    <cellStyle name="Comma (0,000) TBD-_Page 2f (2) 14 49" xfId="14268"/>
    <cellStyle name="Comma (0,000) TBD_Page 2f (2) 14 5" xfId="14269"/>
    <cellStyle name="Comma (0,000) TBD-_Page 2f (2) 14 5" xfId="14270"/>
    <cellStyle name="Comma (0,000) TBD_Page 2f (2) 14 50" xfId="14271"/>
    <cellStyle name="Comma (0,000) TBD-_Page 2f (2) 14 50" xfId="14272"/>
    <cellStyle name="Comma (0,000) TBD_Page 2f (2) 14 51" xfId="14273"/>
    <cellStyle name="Comma (0,000) TBD-_Page 2f (2) 14 51" xfId="14274"/>
    <cellStyle name="Comma (0,000) TBD_Page 2f (2) 14 52" xfId="14275"/>
    <cellStyle name="Comma (0,000) TBD-_Page 2f (2) 14 52" xfId="14276"/>
    <cellStyle name="Comma (0,000) TBD_Page 2f (2) 14 53" xfId="14277"/>
    <cellStyle name="Comma (0,000) TBD-_Page 2f (2) 14 53" xfId="14278"/>
    <cellStyle name="Comma (0,000) TBD_Page 2f (2) 14 54" xfId="14279"/>
    <cellStyle name="Comma (0,000) TBD-_Page 2f (2) 14 54" xfId="14280"/>
    <cellStyle name="Comma (0,000) TBD_Page 2f (2) 14 55" xfId="14281"/>
    <cellStyle name="Comma (0,000) TBD-_Page 2f (2) 14 55" xfId="14282"/>
    <cellStyle name="Comma (0,000) TBD_Page 2f (2) 14 56" xfId="14283"/>
    <cellStyle name="Comma (0,000) TBD-_Page 2f (2) 14 56" xfId="14284"/>
    <cellStyle name="Comma (0,000) TBD_Page 2f (2) 14 57" xfId="14285"/>
    <cellStyle name="Comma (0,000) TBD-_Page 2f (2) 14 57" xfId="14286"/>
    <cellStyle name="Comma (0,000) TBD_Page 2f (2) 14 58" xfId="14287"/>
    <cellStyle name="Comma (0,000) TBD-_Page 2f (2) 14 58" xfId="14288"/>
    <cellStyle name="Comma (0,000) TBD_Page 2f (2) 14 59" xfId="14289"/>
    <cellStyle name="Comma (0,000) TBD-_Page 2f (2) 14 59" xfId="14290"/>
    <cellStyle name="Comma (0,000) TBD_Page 2f (2) 14 6" xfId="14291"/>
    <cellStyle name="Comma (0,000) TBD-_Page 2f (2) 14 6" xfId="14292"/>
    <cellStyle name="Comma (0,000) TBD_Page 2f (2) 14 60" xfId="14293"/>
    <cellStyle name="Comma (0,000) TBD-_Page 2f (2) 14 60" xfId="14294"/>
    <cellStyle name="Comma (0,000) TBD_Page 2f (2) 14 61" xfId="14295"/>
    <cellStyle name="Comma (0,000) TBD-_Page 2f (2) 14 61" xfId="14296"/>
    <cellStyle name="Comma (0,000) TBD_Page 2f (2) 14 62" xfId="14297"/>
    <cellStyle name="Comma (0,000) TBD-_Page 2f (2) 14 62" xfId="14298"/>
    <cellStyle name="Comma (0,000) TBD_Page 2f (2) 14 63" xfId="14299"/>
    <cellStyle name="Comma (0,000) TBD-_Page 2f (2) 14 63" xfId="14300"/>
    <cellStyle name="Comma (0,000) TBD_Page 2f (2) 14 64" xfId="14301"/>
    <cellStyle name="Comma (0,000) TBD-_Page 2f (2) 14 64" xfId="14302"/>
    <cellStyle name="Comma (0,000) TBD_Page 2f (2) 14 65" xfId="14303"/>
    <cellStyle name="Comma (0,000) TBD-_Page 2f (2) 14 65" xfId="14304"/>
    <cellStyle name="Comma (0,000) TBD_Page 2f (2) 14 66" xfId="14305"/>
    <cellStyle name="Comma (0,000) TBD-_Page 2f (2) 14 66" xfId="14306"/>
    <cellStyle name="Comma (0,000) TBD_Page 2f (2) 14 67" xfId="14307"/>
    <cellStyle name="Comma (0,000) TBD-_Page 2f (2) 14 67" xfId="14308"/>
    <cellStyle name="Comma (0,000) TBD_Page 2f (2) 14 68" xfId="14309"/>
    <cellStyle name="Comma (0,000) TBD-_Page 2f (2) 14 68" xfId="14310"/>
    <cellStyle name="Comma (0,000) TBD_Page 2f (2) 14 69" xfId="14311"/>
    <cellStyle name="Comma (0,000) TBD-_Page 2f (2) 14 69" xfId="14312"/>
    <cellStyle name="Comma (0,000) TBD_Page 2f (2) 14 7" xfId="14313"/>
    <cellStyle name="Comma (0,000) TBD-_Page 2f (2) 14 7" xfId="14314"/>
    <cellStyle name="Comma (0,000) TBD_Page 2f (2) 14 70" xfId="14315"/>
    <cellStyle name="Comma (0,000) TBD-_Page 2f (2) 14 70" xfId="14316"/>
    <cellStyle name="Comma (0,000) TBD_Page 2f (2) 14 71" xfId="14317"/>
    <cellStyle name="Comma (0,000) TBD-_Page 2f (2) 14 71" xfId="14318"/>
    <cellStyle name="Comma (0,000) TBD_Page 2f (2) 14 72" xfId="14319"/>
    <cellStyle name="Comma (0,000) TBD-_Page 2f (2) 14 72" xfId="14320"/>
    <cellStyle name="Comma (0,000) TBD_Page 2f (2) 14 73" xfId="14321"/>
    <cellStyle name="Comma (0,000) TBD-_Page 2f (2) 14 73" xfId="14322"/>
    <cellStyle name="Comma (0,000) TBD_Page 2f (2) 14 74" xfId="14323"/>
    <cellStyle name="Comma (0,000) TBD-_Page 2f (2) 14 74" xfId="14324"/>
    <cellStyle name="Comma (0,000) TBD_Page 2f (2) 14 75" xfId="14325"/>
    <cellStyle name="Comma (0,000) TBD-_Page 2f (2) 14 75" xfId="14326"/>
    <cellStyle name="Comma (0,000) TBD_Page 2f (2) 14 76" xfId="14327"/>
    <cellStyle name="Comma (0,000) TBD-_Page 2f (2) 14 76" xfId="14328"/>
    <cellStyle name="Comma (0,000) TBD_Page 2f (2) 14 77" xfId="14329"/>
    <cellStyle name="Comma (0,000) TBD-_Page 2f (2) 14 77" xfId="14330"/>
    <cellStyle name="Comma (0,000) TBD_Page 2f (2) 14 78" xfId="14331"/>
    <cellStyle name="Comma (0,000) TBD-_Page 2f (2) 14 78" xfId="14332"/>
    <cellStyle name="Comma (0,000) TBD_Page 2f (2) 14 79" xfId="14333"/>
    <cellStyle name="Comma (0,000) TBD-_Page 2f (2) 14 79" xfId="14334"/>
    <cellStyle name="Comma (0,000) TBD_Page 2f (2) 14 8" xfId="14335"/>
    <cellStyle name="Comma (0,000) TBD-_Page 2f (2) 14 8" xfId="14336"/>
    <cellStyle name="Comma (0,000) TBD_Page 2f (2) 14 80" xfId="14337"/>
    <cellStyle name="Comma (0,000) TBD-_Page 2f (2) 14 80" xfId="14338"/>
    <cellStyle name="Comma (0,000) TBD_Page 2f (2) 14 81" xfId="14339"/>
    <cellStyle name="Comma (0,000) TBD-_Page 2f (2) 14 81" xfId="14340"/>
    <cellStyle name="Comma (0,000) TBD_Page 2f (2) 14 82" xfId="14341"/>
    <cellStyle name="Comma (0,000) TBD-_Page 2f (2) 14 82" xfId="14342"/>
    <cellStyle name="Comma (0,000) TBD_Page 2f (2) 14 83" xfId="14343"/>
    <cellStyle name="Comma (0,000) TBD-_Page 2f (2) 14 83" xfId="14344"/>
    <cellStyle name="Comma (0,000) TBD_Page 2f (2) 14 84" xfId="14345"/>
    <cellStyle name="Comma (0,000) TBD-_Page 2f (2) 14 84" xfId="14346"/>
    <cellStyle name="Comma (0,000) TBD_Page 2f (2) 14 85" xfId="14347"/>
    <cellStyle name="Comma (0,000) TBD-_Page 2f (2) 14 85" xfId="14348"/>
    <cellStyle name="Comma (0,000) TBD_Page 2f (2) 14 86" xfId="14349"/>
    <cellStyle name="Comma (0,000) TBD-_Page 2f (2) 14 86" xfId="14350"/>
    <cellStyle name="Comma (0,000) TBD_Page 2f (2) 14 87" xfId="14351"/>
    <cellStyle name="Comma (0,000) TBD-_Page 2f (2) 14 87" xfId="14352"/>
    <cellStyle name="Comma (0,000) TBD_Page 2f (2) 14 88" xfId="14353"/>
    <cellStyle name="Comma (0,000) TBD-_Page 2f (2) 14 88" xfId="14354"/>
    <cellStyle name="Comma (0,000) TBD_Page 2f (2) 14 89" xfId="14355"/>
    <cellStyle name="Comma (0,000) TBD-_Page 2f (2) 14 89" xfId="14356"/>
    <cellStyle name="Comma (0,000) TBD_Page 2f (2) 14 9" xfId="14357"/>
    <cellStyle name="Comma (0,000) TBD-_Page 2f (2) 14 9" xfId="14358"/>
    <cellStyle name="Comma (0,000) TBD_Page 2f (2) 14 90" xfId="14359"/>
    <cellStyle name="Comma (0,000) TBD-_Page 2f (2) 14 90" xfId="14360"/>
    <cellStyle name="Comma (0,000) TBD_Page 2f (2) 14 91" xfId="14361"/>
    <cellStyle name="Comma (0,000) TBD-_Page 2f (2) 14 91" xfId="14362"/>
    <cellStyle name="Comma (0,000) TBD_Page 2f (2) 14 92" xfId="14363"/>
    <cellStyle name="Comma (0,000) TBD-_Page 2f (2) 14 92" xfId="14364"/>
    <cellStyle name="Comma (0,000) TBD_Page 2f (2) 14 93" xfId="14365"/>
    <cellStyle name="Comma (0,000) TBD-_Page 2f (2) 14 93" xfId="14366"/>
    <cellStyle name="Comma (0,000) TBD_Page 2f (2) 14 94" xfId="14367"/>
    <cellStyle name="Comma (0,000) TBD-_Page 2f (2) 14 94" xfId="14368"/>
    <cellStyle name="Comma (0,000) TBD_Page 2f (2) 14 95" xfId="14369"/>
    <cellStyle name="Comma (0,000) TBD-_Page 2f (2) 14 95" xfId="14370"/>
    <cellStyle name="Comma (0,000) TBD_Page 2f (2) 14 96" xfId="14371"/>
    <cellStyle name="Comma (0,000) TBD-_Page 2f (2) 14 96" xfId="14372"/>
    <cellStyle name="Comma (0,000) TBD_Page 2f (2) 14 97" xfId="14373"/>
    <cellStyle name="Comma (0,000) TBD-_Page 2f (2) 14 97" xfId="14374"/>
    <cellStyle name="Comma (0,000) TBD_Page 2f (2) 14 98" xfId="14375"/>
    <cellStyle name="Comma (0,000) TBD-_Page 2f (2) 14 98" xfId="14376"/>
    <cellStyle name="Comma (0,000) TBD_Page 2f (2) 14 99" xfId="14377"/>
    <cellStyle name="Comma (0,000) TBD-_Page 2f (2) 14 99" xfId="14378"/>
    <cellStyle name="Comma (0,000) TBD_Page 2f (2) 2" xfId="14379"/>
    <cellStyle name="Comma (0,000) TBD-_Page 2f (2) 2" xfId="14380"/>
    <cellStyle name="Comma (0,000) TBD_Page 2f (2) 2 10" xfId="14381"/>
    <cellStyle name="Comma (0,000) TBD-_Page 2f (2) 2 10" xfId="14382"/>
    <cellStyle name="Comma (0,000) TBD_Page 2f (2) 2 100" xfId="14383"/>
    <cellStyle name="Comma (0,000) TBD-_Page 2f (2) 2 100" xfId="14384"/>
    <cellStyle name="Comma (0,000) TBD_Page 2f (2) 2 101" xfId="14385"/>
    <cellStyle name="Comma (0,000) TBD-_Page 2f (2) 2 101" xfId="14386"/>
    <cellStyle name="Comma (0,000) TBD_Page 2f (2) 2 102" xfId="14387"/>
    <cellStyle name="Comma (0,000) TBD-_Page 2f (2) 2 102" xfId="14388"/>
    <cellStyle name="Comma (0,000) TBD_Page 2f (2) 2 103" xfId="14389"/>
    <cellStyle name="Comma (0,000) TBD-_Page 2f (2) 2 103" xfId="14390"/>
    <cellStyle name="Comma (0,000) TBD_Page 2f (2) 2 104" xfId="14391"/>
    <cellStyle name="Comma (0,000) TBD-_Page 2f (2) 2 104" xfId="14392"/>
    <cellStyle name="Comma (0,000) TBD_Page 2f (2) 2 105" xfId="14393"/>
    <cellStyle name="Comma (0,000) TBD-_Page 2f (2) 2 105" xfId="14394"/>
    <cellStyle name="Comma (0,000) TBD_Page 2f (2) 2 106" xfId="14395"/>
    <cellStyle name="Comma (0,000) TBD-_Page 2f (2) 2 106" xfId="14396"/>
    <cellStyle name="Comma (0,000) TBD_Page 2f (2) 2 107" xfId="14397"/>
    <cellStyle name="Comma (0,000) TBD-_Page 2f (2) 2 107" xfId="14398"/>
    <cellStyle name="Comma (0,000) TBD_Page 2f (2) 2 108" xfId="14399"/>
    <cellStyle name="Comma (0,000) TBD-_Page 2f (2) 2 108" xfId="14400"/>
    <cellStyle name="Comma (0,000) TBD_Page 2f (2) 2 109" xfId="14401"/>
    <cellStyle name="Comma (0,000) TBD-_Page 2f (2) 2 109" xfId="14402"/>
    <cellStyle name="Comma (0,000) TBD_Page 2f (2) 2 11" xfId="14403"/>
    <cellStyle name="Comma (0,000) TBD-_Page 2f (2) 2 11" xfId="14404"/>
    <cellStyle name="Comma (0,000) TBD_Page 2f (2) 2 110" xfId="14405"/>
    <cellStyle name="Comma (0,000) TBD-_Page 2f (2) 2 110" xfId="14406"/>
    <cellStyle name="Comma (0,000) TBD_Page 2f (2) 2 111" xfId="14407"/>
    <cellStyle name="Comma (0,000) TBD-_Page 2f (2) 2 111" xfId="14408"/>
    <cellStyle name="Comma (0,000) TBD_Page 2f (2) 2 112" xfId="14409"/>
    <cellStyle name="Comma (0,000) TBD-_Page 2f (2) 2 112" xfId="14410"/>
    <cellStyle name="Comma (0,000) TBD_Page 2f (2) 2 113" xfId="14411"/>
    <cellStyle name="Comma (0,000) TBD-_Page 2f (2) 2 113" xfId="14412"/>
    <cellStyle name="Comma (0,000) TBD_Page 2f (2) 2 114" xfId="14413"/>
    <cellStyle name="Comma (0,000) TBD-_Page 2f (2) 2 114" xfId="14414"/>
    <cellStyle name="Comma (0,000) TBD_Page 2f (2) 2 115" xfId="14415"/>
    <cellStyle name="Comma (0,000) TBD-_Page 2f (2) 2 115" xfId="14416"/>
    <cellStyle name="Comma (0,000) TBD_Page 2f (2) 2 116" xfId="14417"/>
    <cellStyle name="Comma (0,000) TBD-_Page 2f (2) 2 116" xfId="14418"/>
    <cellStyle name="Comma (0,000) TBD_Page 2f (2) 2 117" xfId="14419"/>
    <cellStyle name="Comma (0,000) TBD-_Page 2f (2) 2 117" xfId="14420"/>
    <cellStyle name="Comma (0,000) TBD_Page 2f (2) 2 118" xfId="14421"/>
    <cellStyle name="Comma (0,000) TBD-_Page 2f (2) 2 118" xfId="14422"/>
    <cellStyle name="Comma (0,000) TBD_Page 2f (2) 2 119" xfId="14423"/>
    <cellStyle name="Comma (0,000) TBD-_Page 2f (2) 2 119" xfId="14424"/>
    <cellStyle name="Comma (0,000) TBD_Page 2f (2) 2 12" xfId="14425"/>
    <cellStyle name="Comma (0,000) TBD-_Page 2f (2) 2 12" xfId="14426"/>
    <cellStyle name="Comma (0,000) TBD_Page 2f (2) 2 120" xfId="14427"/>
    <cellStyle name="Comma (0,000) TBD-_Page 2f (2) 2 120" xfId="14428"/>
    <cellStyle name="Comma (0,000) TBD_Page 2f (2) 2 121" xfId="14429"/>
    <cellStyle name="Comma (0,000) TBD-_Page 2f (2) 2 121" xfId="14430"/>
    <cellStyle name="Comma (0,000) TBD_Page 2f (2) 2 122" xfId="14431"/>
    <cellStyle name="Comma (0,000) TBD-_Page 2f (2) 2 122" xfId="14432"/>
    <cellStyle name="Comma (0,000) TBD_Page 2f (2) 2 123" xfId="14433"/>
    <cellStyle name="Comma (0,000) TBD-_Page 2f (2) 2 123" xfId="14434"/>
    <cellStyle name="Comma (0,000) TBD_Page 2f (2) 2 124" xfId="14435"/>
    <cellStyle name="Comma (0,000) TBD-_Page 2f (2) 2 124" xfId="14436"/>
    <cellStyle name="Comma (0,000) TBD_Page 2f (2) 2 125" xfId="14437"/>
    <cellStyle name="Comma (0,000) TBD-_Page 2f (2) 2 125" xfId="14438"/>
    <cellStyle name="Comma (0,000) TBD_Page 2f (2) 2 126" xfId="14439"/>
    <cellStyle name="Comma (0,000) TBD-_Page 2f (2) 2 126" xfId="14440"/>
    <cellStyle name="Comma (0,000) TBD_Page 2f (2) 2 127" xfId="14441"/>
    <cellStyle name="Comma (0,000) TBD-_Page 2f (2) 2 127" xfId="14442"/>
    <cellStyle name="Comma (0,000) TBD_Page 2f (2) 2 128" xfId="14443"/>
    <cellStyle name="Comma (0,000) TBD-_Page 2f (2) 2 128" xfId="14444"/>
    <cellStyle name="Comma (0,000) TBD_Page 2f (2) 2 129" xfId="14445"/>
    <cellStyle name="Comma (0,000) TBD-_Page 2f (2) 2 129" xfId="14446"/>
    <cellStyle name="Comma (0,000) TBD_Page 2f (2) 2 13" xfId="14447"/>
    <cellStyle name="Comma (0,000) TBD-_Page 2f (2) 2 13" xfId="14448"/>
    <cellStyle name="Comma (0,000) TBD_Page 2f (2) 2 130" xfId="14449"/>
    <cellStyle name="Comma (0,000) TBD-_Page 2f (2) 2 130" xfId="14450"/>
    <cellStyle name="Comma (0,000) TBD_Page 2f (2) 2 131" xfId="14451"/>
    <cellStyle name="Comma (0,000) TBD-_Page 2f (2) 2 131" xfId="14452"/>
    <cellStyle name="Comma (0,000) TBD_Page 2f (2) 2 132" xfId="14453"/>
    <cellStyle name="Comma (0,000) TBD-_Page 2f (2) 2 132" xfId="14454"/>
    <cellStyle name="Comma (0,000) TBD_Page 2f (2) 2 133" xfId="14455"/>
    <cellStyle name="Comma (0,000) TBD-_Page 2f (2) 2 133" xfId="14456"/>
    <cellStyle name="Comma (0,000) TBD_Page 2f (2) 2 134" xfId="14457"/>
    <cellStyle name="Comma (0,000) TBD-_Page 2f (2) 2 134" xfId="14458"/>
    <cellStyle name="Comma (0,000) TBD_Page 2f (2) 2 135" xfId="14459"/>
    <cellStyle name="Comma (0,000) TBD-_Page 2f (2) 2 135" xfId="14460"/>
    <cellStyle name="Comma (0,000) TBD_Page 2f (2) 2 136" xfId="14461"/>
    <cellStyle name="Comma (0,000) TBD-_Page 2f (2) 2 136" xfId="14462"/>
    <cellStyle name="Comma (0,000) TBD_Page 2f (2) 2 137" xfId="14463"/>
    <cellStyle name="Comma (0,000) TBD-_Page 2f (2) 2 137" xfId="14464"/>
    <cellStyle name="Comma (0,000) TBD_Page 2f (2) 2 138" xfId="14465"/>
    <cellStyle name="Comma (0,000) TBD-_Page 2f (2) 2 138" xfId="14466"/>
    <cellStyle name="Comma (0,000) TBD_Page 2f (2) 2 139" xfId="14467"/>
    <cellStyle name="Comma (0,000) TBD-_Page 2f (2) 2 139" xfId="14468"/>
    <cellStyle name="Comma (0,000) TBD_Page 2f (2) 2 14" xfId="14469"/>
    <cellStyle name="Comma (0,000) TBD-_Page 2f (2) 2 14" xfId="14470"/>
    <cellStyle name="Comma (0,000) TBD_Page 2f (2) 2 140" xfId="14471"/>
    <cellStyle name="Comma (0,000) TBD-_Page 2f (2) 2 140" xfId="14472"/>
    <cellStyle name="Comma (0,000) TBD_Page 2f (2) 2 141" xfId="14473"/>
    <cellStyle name="Comma (0,000) TBD-_Page 2f (2) 2 141" xfId="14474"/>
    <cellStyle name="Comma (0,000) TBD_Page 2f (2) 2 142" xfId="14475"/>
    <cellStyle name="Comma (0,000) TBD-_Page 2f (2) 2 142" xfId="14476"/>
    <cellStyle name="Comma (0,000) TBD_Page 2f (2) 2 143" xfId="14477"/>
    <cellStyle name="Comma (0,000) TBD-_Page 2f (2) 2 143" xfId="14478"/>
    <cellStyle name="Comma (0,000) TBD_Page 2f (2) 2 144" xfId="14479"/>
    <cellStyle name="Comma (0,000) TBD-_Page 2f (2) 2 144" xfId="14480"/>
    <cellStyle name="Comma (0,000) TBD_Page 2f (2) 2 145" xfId="14481"/>
    <cellStyle name="Comma (0,000) TBD-_Page 2f (2) 2 145" xfId="14482"/>
    <cellStyle name="Comma (0,000) TBD_Page 2f (2) 2 146" xfId="14483"/>
    <cellStyle name="Comma (0,000) TBD-_Page 2f (2) 2 146" xfId="14484"/>
    <cellStyle name="Comma (0,000) TBD_Page 2f (2) 2 147" xfId="14485"/>
    <cellStyle name="Comma (0,000) TBD-_Page 2f (2) 2 147" xfId="14486"/>
    <cellStyle name="Comma (0,000) TBD_Page 2f (2) 2 148" xfId="14487"/>
    <cellStyle name="Comma (0,000) TBD-_Page 2f (2) 2 148" xfId="14488"/>
    <cellStyle name="Comma (0,000) TBD_Page 2f (2) 2 149" xfId="14489"/>
    <cellStyle name="Comma (0,000) TBD-_Page 2f (2) 2 149" xfId="14490"/>
    <cellStyle name="Comma (0,000) TBD_Page 2f (2) 2 15" xfId="14491"/>
    <cellStyle name="Comma (0,000) TBD-_Page 2f (2) 2 15" xfId="14492"/>
    <cellStyle name="Comma (0,000) TBD_Page 2f (2) 2 150" xfId="14493"/>
    <cellStyle name="Comma (0,000) TBD-_Page 2f (2) 2 150" xfId="14494"/>
    <cellStyle name="Comma (0,000) TBD_Page 2f (2) 2 151" xfId="14495"/>
    <cellStyle name="Comma (0,000) TBD-_Page 2f (2) 2 151" xfId="14496"/>
    <cellStyle name="Comma (0,000) TBD_Page 2f (2) 2 152" xfId="14497"/>
    <cellStyle name="Comma (0,000) TBD-_Page 2f (2) 2 152" xfId="14498"/>
    <cellStyle name="Comma (0,000) TBD_Page 2f (2) 2 153" xfId="14499"/>
    <cellStyle name="Comma (0,000) TBD-_Page 2f (2) 2 153" xfId="14500"/>
    <cellStyle name="Comma (0,000) TBD_Page 2f (2) 2 16" xfId="14501"/>
    <cellStyle name="Comma (0,000) TBD-_Page 2f (2) 2 16" xfId="14502"/>
    <cellStyle name="Comma (0,000) TBD_Page 2f (2) 2 17" xfId="14503"/>
    <cellStyle name="Comma (0,000) TBD-_Page 2f (2) 2 17" xfId="14504"/>
    <cellStyle name="Comma (0,000) TBD_Page 2f (2) 2 18" xfId="14505"/>
    <cellStyle name="Comma (0,000) TBD-_Page 2f (2) 2 18" xfId="14506"/>
    <cellStyle name="Comma (0,000) TBD_Page 2f (2) 2 19" xfId="14507"/>
    <cellStyle name="Comma (0,000) TBD-_Page 2f (2) 2 19" xfId="14508"/>
    <cellStyle name="Comma (0,000) TBD_Page 2f (2) 2 2" xfId="14509"/>
    <cellStyle name="Comma (0,000) TBD-_Page 2f (2) 2 2" xfId="14510"/>
    <cellStyle name="Comma (0,000) TBD_Page 2f (2) 2 20" xfId="14511"/>
    <cellStyle name="Comma (0,000) TBD-_Page 2f (2) 2 20" xfId="14512"/>
    <cellStyle name="Comma (0,000) TBD_Page 2f (2) 2 21" xfId="14513"/>
    <cellStyle name="Comma (0,000) TBD-_Page 2f (2) 2 21" xfId="14514"/>
    <cellStyle name="Comma (0,000) TBD_Page 2f (2) 2 22" xfId="14515"/>
    <cellStyle name="Comma (0,000) TBD-_Page 2f (2) 2 22" xfId="14516"/>
    <cellStyle name="Comma (0,000) TBD_Page 2f (2) 2 23" xfId="14517"/>
    <cellStyle name="Comma (0,000) TBD-_Page 2f (2) 2 23" xfId="14518"/>
    <cellStyle name="Comma (0,000) TBD_Page 2f (2) 2 24" xfId="14519"/>
    <cellStyle name="Comma (0,000) TBD-_Page 2f (2) 2 24" xfId="14520"/>
    <cellStyle name="Comma (0,000) TBD_Page 2f (2) 2 25" xfId="14521"/>
    <cellStyle name="Comma (0,000) TBD-_Page 2f (2) 2 25" xfId="14522"/>
    <cellStyle name="Comma (0,000) TBD_Page 2f (2) 2 26" xfId="14523"/>
    <cellStyle name="Comma (0,000) TBD-_Page 2f (2) 2 26" xfId="14524"/>
    <cellStyle name="Comma (0,000) TBD_Page 2f (2) 2 27" xfId="14525"/>
    <cellStyle name="Comma (0,000) TBD-_Page 2f (2) 2 27" xfId="14526"/>
    <cellStyle name="Comma (0,000) TBD_Page 2f (2) 2 28" xfId="14527"/>
    <cellStyle name="Comma (0,000) TBD-_Page 2f (2) 2 28" xfId="14528"/>
    <cellStyle name="Comma (0,000) TBD_Page 2f (2) 2 29" xfId="14529"/>
    <cellStyle name="Comma (0,000) TBD-_Page 2f (2) 2 29" xfId="14530"/>
    <cellStyle name="Comma (0,000) TBD_Page 2f (2) 2 3" xfId="14531"/>
    <cellStyle name="Comma (0,000) TBD-_Page 2f (2) 2 3" xfId="14532"/>
    <cellStyle name="Comma (0,000) TBD_Page 2f (2) 2 30" xfId="14533"/>
    <cellStyle name="Comma (0,000) TBD-_Page 2f (2) 2 30" xfId="14534"/>
    <cellStyle name="Comma (0,000) TBD_Page 2f (2) 2 31" xfId="14535"/>
    <cellStyle name="Comma (0,000) TBD-_Page 2f (2) 2 31" xfId="14536"/>
    <cellStyle name="Comma (0,000) TBD_Page 2f (2) 2 32" xfId="14537"/>
    <cellStyle name="Comma (0,000) TBD-_Page 2f (2) 2 32" xfId="14538"/>
    <cellStyle name="Comma (0,000) TBD_Page 2f (2) 2 33" xfId="14539"/>
    <cellStyle name="Comma (0,000) TBD-_Page 2f (2) 2 33" xfId="14540"/>
    <cellStyle name="Comma (0,000) TBD_Page 2f (2) 2 34" xfId="14541"/>
    <cellStyle name="Comma (0,000) TBD-_Page 2f (2) 2 34" xfId="14542"/>
    <cellStyle name="Comma (0,000) TBD_Page 2f (2) 2 35" xfId="14543"/>
    <cellStyle name="Comma (0,000) TBD-_Page 2f (2) 2 35" xfId="14544"/>
    <cellStyle name="Comma (0,000) TBD_Page 2f (2) 2 36" xfId="14545"/>
    <cellStyle name="Comma (0,000) TBD-_Page 2f (2) 2 36" xfId="14546"/>
    <cellStyle name="Comma (0,000) TBD_Page 2f (2) 2 37" xfId="14547"/>
    <cellStyle name="Comma (0,000) TBD-_Page 2f (2) 2 37" xfId="14548"/>
    <cellStyle name="Comma (0,000) TBD_Page 2f (2) 2 38" xfId="14549"/>
    <cellStyle name="Comma (0,000) TBD-_Page 2f (2) 2 38" xfId="14550"/>
    <cellStyle name="Comma (0,000) TBD_Page 2f (2) 2 39" xfId="14551"/>
    <cellStyle name="Comma (0,000) TBD-_Page 2f (2) 2 39" xfId="14552"/>
    <cellStyle name="Comma (0,000) TBD_Page 2f (2) 2 4" xfId="14553"/>
    <cellStyle name="Comma (0,000) TBD-_Page 2f (2) 2 4" xfId="14554"/>
    <cellStyle name="Comma (0,000) TBD_Page 2f (2) 2 40" xfId="14555"/>
    <cellStyle name="Comma (0,000) TBD-_Page 2f (2) 2 40" xfId="14556"/>
    <cellStyle name="Comma (0,000) TBD_Page 2f (2) 2 41" xfId="14557"/>
    <cellStyle name="Comma (0,000) TBD-_Page 2f (2) 2 41" xfId="14558"/>
    <cellStyle name="Comma (0,000) TBD_Page 2f (2) 2 42" xfId="14559"/>
    <cellStyle name="Comma (0,000) TBD-_Page 2f (2) 2 42" xfId="14560"/>
    <cellStyle name="Comma (0,000) TBD_Page 2f (2) 2 43" xfId="14561"/>
    <cellStyle name="Comma (0,000) TBD-_Page 2f (2) 2 43" xfId="14562"/>
    <cellStyle name="Comma (0,000) TBD_Page 2f (2) 2 44" xfId="14563"/>
    <cellStyle name="Comma (0,000) TBD-_Page 2f (2) 2 44" xfId="14564"/>
    <cellStyle name="Comma (0,000) TBD_Page 2f (2) 2 45" xfId="14565"/>
    <cellStyle name="Comma (0,000) TBD-_Page 2f (2) 2 45" xfId="14566"/>
    <cellStyle name="Comma (0,000) TBD_Page 2f (2) 2 46" xfId="14567"/>
    <cellStyle name="Comma (0,000) TBD-_Page 2f (2) 2 46" xfId="14568"/>
    <cellStyle name="Comma (0,000) TBD_Page 2f (2) 2 47" xfId="14569"/>
    <cellStyle name="Comma (0,000) TBD-_Page 2f (2) 2 47" xfId="14570"/>
    <cellStyle name="Comma (0,000) TBD_Page 2f (2) 2 48" xfId="14571"/>
    <cellStyle name="Comma (0,000) TBD-_Page 2f (2) 2 48" xfId="14572"/>
    <cellStyle name="Comma (0,000) TBD_Page 2f (2) 2 49" xfId="14573"/>
    <cellStyle name="Comma (0,000) TBD-_Page 2f (2) 2 49" xfId="14574"/>
    <cellStyle name="Comma (0,000) TBD_Page 2f (2) 2 5" xfId="14575"/>
    <cellStyle name="Comma (0,000) TBD-_Page 2f (2) 2 5" xfId="14576"/>
    <cellStyle name="Comma (0,000) TBD_Page 2f (2) 2 50" xfId="14577"/>
    <cellStyle name="Comma (0,000) TBD-_Page 2f (2) 2 50" xfId="14578"/>
    <cellStyle name="Comma (0,000) TBD_Page 2f (2) 2 51" xfId="14579"/>
    <cellStyle name="Comma (0,000) TBD-_Page 2f (2) 2 51" xfId="14580"/>
    <cellStyle name="Comma (0,000) TBD_Page 2f (2) 2 52" xfId="14581"/>
    <cellStyle name="Comma (0,000) TBD-_Page 2f (2) 2 52" xfId="14582"/>
    <cellStyle name="Comma (0,000) TBD_Page 2f (2) 2 53" xfId="14583"/>
    <cellStyle name="Comma (0,000) TBD-_Page 2f (2) 2 53" xfId="14584"/>
    <cellStyle name="Comma (0,000) TBD_Page 2f (2) 2 54" xfId="14585"/>
    <cellStyle name="Comma (0,000) TBD-_Page 2f (2) 2 54" xfId="14586"/>
    <cellStyle name="Comma (0,000) TBD_Page 2f (2) 2 55" xfId="14587"/>
    <cellStyle name="Comma (0,000) TBD-_Page 2f (2) 2 55" xfId="14588"/>
    <cellStyle name="Comma (0,000) TBD_Page 2f (2) 2 56" xfId="14589"/>
    <cellStyle name="Comma (0,000) TBD-_Page 2f (2) 2 56" xfId="14590"/>
    <cellStyle name="Comma (0,000) TBD_Page 2f (2) 2 57" xfId="14591"/>
    <cellStyle name="Comma (0,000) TBD-_Page 2f (2) 2 57" xfId="14592"/>
    <cellStyle name="Comma (0,000) TBD_Page 2f (2) 2 58" xfId="14593"/>
    <cellStyle name="Comma (0,000) TBD-_Page 2f (2) 2 58" xfId="14594"/>
    <cellStyle name="Comma (0,000) TBD_Page 2f (2) 2 59" xfId="14595"/>
    <cellStyle name="Comma (0,000) TBD-_Page 2f (2) 2 59" xfId="14596"/>
    <cellStyle name="Comma (0,000) TBD_Page 2f (2) 2 6" xfId="14597"/>
    <cellStyle name="Comma (0,000) TBD-_Page 2f (2) 2 6" xfId="14598"/>
    <cellStyle name="Comma (0,000) TBD_Page 2f (2) 2 60" xfId="14599"/>
    <cellStyle name="Comma (0,000) TBD-_Page 2f (2) 2 60" xfId="14600"/>
    <cellStyle name="Comma (0,000) TBD_Page 2f (2) 2 61" xfId="14601"/>
    <cellStyle name="Comma (0,000) TBD-_Page 2f (2) 2 61" xfId="14602"/>
    <cellStyle name="Comma (0,000) TBD_Page 2f (2) 2 62" xfId="14603"/>
    <cellStyle name="Comma (0,000) TBD-_Page 2f (2) 2 62" xfId="14604"/>
    <cellStyle name="Comma (0,000) TBD_Page 2f (2) 2 63" xfId="14605"/>
    <cellStyle name="Comma (0,000) TBD-_Page 2f (2) 2 63" xfId="14606"/>
    <cellStyle name="Comma (0,000) TBD_Page 2f (2) 2 64" xfId="14607"/>
    <cellStyle name="Comma (0,000) TBD-_Page 2f (2) 2 64" xfId="14608"/>
    <cellStyle name="Comma (0,000) TBD_Page 2f (2) 2 65" xfId="14609"/>
    <cellStyle name="Comma (0,000) TBD-_Page 2f (2) 2 65" xfId="14610"/>
    <cellStyle name="Comma (0,000) TBD_Page 2f (2) 2 66" xfId="14611"/>
    <cellStyle name="Comma (0,000) TBD-_Page 2f (2) 2 66" xfId="14612"/>
    <cellStyle name="Comma (0,000) TBD_Page 2f (2) 2 67" xfId="14613"/>
    <cellStyle name="Comma (0,000) TBD-_Page 2f (2) 2 67" xfId="14614"/>
    <cellStyle name="Comma (0,000) TBD_Page 2f (2) 2 68" xfId="14615"/>
    <cellStyle name="Comma (0,000) TBD-_Page 2f (2) 2 68" xfId="14616"/>
    <cellStyle name="Comma (0,000) TBD_Page 2f (2) 2 69" xfId="14617"/>
    <cellStyle name="Comma (0,000) TBD-_Page 2f (2) 2 69" xfId="14618"/>
    <cellStyle name="Comma (0,000) TBD_Page 2f (2) 2 7" xfId="14619"/>
    <cellStyle name="Comma (0,000) TBD-_Page 2f (2) 2 7" xfId="14620"/>
    <cellStyle name="Comma (0,000) TBD_Page 2f (2) 2 70" xfId="14621"/>
    <cellStyle name="Comma (0,000) TBD-_Page 2f (2) 2 70" xfId="14622"/>
    <cellStyle name="Comma (0,000) TBD_Page 2f (2) 2 71" xfId="14623"/>
    <cellStyle name="Comma (0,000) TBD-_Page 2f (2) 2 71" xfId="14624"/>
    <cellStyle name="Comma (0,000) TBD_Page 2f (2) 2 72" xfId="14625"/>
    <cellStyle name="Comma (0,000) TBD-_Page 2f (2) 2 72" xfId="14626"/>
    <cellStyle name="Comma (0,000) TBD_Page 2f (2) 2 73" xfId="14627"/>
    <cellStyle name="Comma (0,000) TBD-_Page 2f (2) 2 73" xfId="14628"/>
    <cellStyle name="Comma (0,000) TBD_Page 2f (2) 2 74" xfId="14629"/>
    <cellStyle name="Comma (0,000) TBD-_Page 2f (2) 2 74" xfId="14630"/>
    <cellStyle name="Comma (0,000) TBD_Page 2f (2) 2 75" xfId="14631"/>
    <cellStyle name="Comma (0,000) TBD-_Page 2f (2) 2 75" xfId="14632"/>
    <cellStyle name="Comma (0,000) TBD_Page 2f (2) 2 76" xfId="14633"/>
    <cellStyle name="Comma (0,000) TBD-_Page 2f (2) 2 76" xfId="14634"/>
    <cellStyle name="Comma (0,000) TBD_Page 2f (2) 2 77" xfId="14635"/>
    <cellStyle name="Comma (0,000) TBD-_Page 2f (2) 2 77" xfId="14636"/>
    <cellStyle name="Comma (0,000) TBD_Page 2f (2) 2 78" xfId="14637"/>
    <cellStyle name="Comma (0,000) TBD-_Page 2f (2) 2 78" xfId="14638"/>
    <cellStyle name="Comma (0,000) TBD_Page 2f (2) 2 79" xfId="14639"/>
    <cellStyle name="Comma (0,000) TBD-_Page 2f (2) 2 79" xfId="14640"/>
    <cellStyle name="Comma (0,000) TBD_Page 2f (2) 2 8" xfId="14641"/>
    <cellStyle name="Comma (0,000) TBD-_Page 2f (2) 2 8" xfId="14642"/>
    <cellStyle name="Comma (0,000) TBD_Page 2f (2) 2 80" xfId="14643"/>
    <cellStyle name="Comma (0,000) TBD-_Page 2f (2) 2 80" xfId="14644"/>
    <cellStyle name="Comma (0,000) TBD_Page 2f (2) 2 81" xfId="14645"/>
    <cellStyle name="Comma (0,000) TBD-_Page 2f (2) 2 81" xfId="14646"/>
    <cellStyle name="Comma (0,000) TBD_Page 2f (2) 2 82" xfId="14647"/>
    <cellStyle name="Comma (0,000) TBD-_Page 2f (2) 2 82" xfId="14648"/>
    <cellStyle name="Comma (0,000) TBD_Page 2f (2) 2 83" xfId="14649"/>
    <cellStyle name="Comma (0,000) TBD-_Page 2f (2) 2 83" xfId="14650"/>
    <cellStyle name="Comma (0,000) TBD_Page 2f (2) 2 84" xfId="14651"/>
    <cellStyle name="Comma (0,000) TBD-_Page 2f (2) 2 84" xfId="14652"/>
    <cellStyle name="Comma (0,000) TBD_Page 2f (2) 2 85" xfId="14653"/>
    <cellStyle name="Comma (0,000) TBD-_Page 2f (2) 2 85" xfId="14654"/>
    <cellStyle name="Comma (0,000) TBD_Page 2f (2) 2 86" xfId="14655"/>
    <cellStyle name="Comma (0,000) TBD-_Page 2f (2) 2 86" xfId="14656"/>
    <cellStyle name="Comma (0,000) TBD_Page 2f (2) 2 87" xfId="14657"/>
    <cellStyle name="Comma (0,000) TBD-_Page 2f (2) 2 87" xfId="14658"/>
    <cellStyle name="Comma (0,000) TBD_Page 2f (2) 2 88" xfId="14659"/>
    <cellStyle name="Comma (0,000) TBD-_Page 2f (2) 2 88" xfId="14660"/>
    <cellStyle name="Comma (0,000) TBD_Page 2f (2) 2 89" xfId="14661"/>
    <cellStyle name="Comma (0,000) TBD-_Page 2f (2) 2 89" xfId="14662"/>
    <cellStyle name="Comma (0,000) TBD_Page 2f (2) 2 9" xfId="14663"/>
    <cellStyle name="Comma (0,000) TBD-_Page 2f (2) 2 9" xfId="14664"/>
    <cellStyle name="Comma (0,000) TBD_Page 2f (2) 2 90" xfId="14665"/>
    <cellStyle name="Comma (0,000) TBD-_Page 2f (2) 2 90" xfId="14666"/>
    <cellStyle name="Comma (0,000) TBD_Page 2f (2) 2 91" xfId="14667"/>
    <cellStyle name="Comma (0,000) TBD-_Page 2f (2) 2 91" xfId="14668"/>
    <cellStyle name="Comma (0,000) TBD_Page 2f (2) 2 92" xfId="14669"/>
    <cellStyle name="Comma (0,000) TBD-_Page 2f (2) 2 92" xfId="14670"/>
    <cellStyle name="Comma (0,000) TBD_Page 2f (2) 2 93" xfId="14671"/>
    <cellStyle name="Comma (0,000) TBD-_Page 2f (2) 2 93" xfId="14672"/>
    <cellStyle name="Comma (0,000) TBD_Page 2f (2) 2 94" xfId="14673"/>
    <cellStyle name="Comma (0,000) TBD-_Page 2f (2) 2 94" xfId="14674"/>
    <cellStyle name="Comma (0,000) TBD_Page 2f (2) 2 95" xfId="14675"/>
    <cellStyle name="Comma (0,000) TBD-_Page 2f (2) 2 95" xfId="14676"/>
    <cellStyle name="Comma (0,000) TBD_Page 2f (2) 2 96" xfId="14677"/>
    <cellStyle name="Comma (0,000) TBD-_Page 2f (2) 2 96" xfId="14678"/>
    <cellStyle name="Comma (0,000) TBD_Page 2f (2) 2 97" xfId="14679"/>
    <cellStyle name="Comma (0,000) TBD-_Page 2f (2) 2 97" xfId="14680"/>
    <cellStyle name="Comma (0,000) TBD_Page 2f (2) 2 98" xfId="14681"/>
    <cellStyle name="Comma (0,000) TBD-_Page 2f (2) 2 98" xfId="14682"/>
    <cellStyle name="Comma (0,000) TBD_Page 2f (2) 2 99" xfId="14683"/>
    <cellStyle name="Comma (0,000) TBD-_Page 2f (2) 2 99" xfId="14684"/>
    <cellStyle name="Comma (0,000) TBD_Page 2f (2) 3" xfId="14685"/>
    <cellStyle name="Comma (0,000) TBD-_Page 2f (2) 3" xfId="14686"/>
    <cellStyle name="Comma (0,000) TBD_Page 2f (2) 3 10" xfId="14687"/>
    <cellStyle name="Comma (0,000) TBD-_Page 2f (2) 3 10" xfId="14688"/>
    <cellStyle name="Comma (0,000) TBD_Page 2f (2) 3 100" xfId="14689"/>
    <cellStyle name="Comma (0,000) TBD-_Page 2f (2) 3 100" xfId="14690"/>
    <cellStyle name="Comma (0,000) TBD_Page 2f (2) 3 101" xfId="14691"/>
    <cellStyle name="Comma (0,000) TBD-_Page 2f (2) 3 101" xfId="14692"/>
    <cellStyle name="Comma (0,000) TBD_Page 2f (2) 3 102" xfId="14693"/>
    <cellStyle name="Comma (0,000) TBD-_Page 2f (2) 3 102" xfId="14694"/>
    <cellStyle name="Comma (0,000) TBD_Page 2f (2) 3 103" xfId="14695"/>
    <cellStyle name="Comma (0,000) TBD-_Page 2f (2) 3 103" xfId="14696"/>
    <cellStyle name="Comma (0,000) TBD_Page 2f (2) 3 104" xfId="14697"/>
    <cellStyle name="Comma (0,000) TBD-_Page 2f (2) 3 104" xfId="14698"/>
    <cellStyle name="Comma (0,000) TBD_Page 2f (2) 3 105" xfId="14699"/>
    <cellStyle name="Comma (0,000) TBD-_Page 2f (2) 3 105" xfId="14700"/>
    <cellStyle name="Comma (0,000) TBD_Page 2f (2) 3 106" xfId="14701"/>
    <cellStyle name="Comma (0,000) TBD-_Page 2f (2) 3 106" xfId="14702"/>
    <cellStyle name="Comma (0,000) TBD_Page 2f (2) 3 107" xfId="14703"/>
    <cellStyle name="Comma (0,000) TBD-_Page 2f (2) 3 107" xfId="14704"/>
    <cellStyle name="Comma (0,000) TBD_Page 2f (2) 3 108" xfId="14705"/>
    <cellStyle name="Comma (0,000) TBD-_Page 2f (2) 3 108" xfId="14706"/>
    <cellStyle name="Comma (0,000) TBD_Page 2f (2) 3 109" xfId="14707"/>
    <cellStyle name="Comma (0,000) TBD-_Page 2f (2) 3 109" xfId="14708"/>
    <cellStyle name="Comma (0,000) TBD_Page 2f (2) 3 11" xfId="14709"/>
    <cellStyle name="Comma (0,000) TBD-_Page 2f (2) 3 11" xfId="14710"/>
    <cellStyle name="Comma (0,000) TBD_Page 2f (2) 3 110" xfId="14711"/>
    <cellStyle name="Comma (0,000) TBD-_Page 2f (2) 3 110" xfId="14712"/>
    <cellStyle name="Comma (0,000) TBD_Page 2f (2) 3 111" xfId="14713"/>
    <cellStyle name="Comma (0,000) TBD-_Page 2f (2) 3 111" xfId="14714"/>
    <cellStyle name="Comma (0,000) TBD_Page 2f (2) 3 112" xfId="14715"/>
    <cellStyle name="Comma (0,000) TBD-_Page 2f (2) 3 112" xfId="14716"/>
    <cellStyle name="Comma (0,000) TBD_Page 2f (2) 3 113" xfId="14717"/>
    <cellStyle name="Comma (0,000) TBD-_Page 2f (2) 3 113" xfId="14718"/>
    <cellStyle name="Comma (0,000) TBD_Page 2f (2) 3 114" xfId="14719"/>
    <cellStyle name="Comma (0,000) TBD-_Page 2f (2) 3 114" xfId="14720"/>
    <cellStyle name="Comma (0,000) TBD_Page 2f (2) 3 115" xfId="14721"/>
    <cellStyle name="Comma (0,000) TBD-_Page 2f (2) 3 115" xfId="14722"/>
    <cellStyle name="Comma (0,000) TBD_Page 2f (2) 3 116" xfId="14723"/>
    <cellStyle name="Comma (0,000) TBD-_Page 2f (2) 3 116" xfId="14724"/>
    <cellStyle name="Comma (0,000) TBD_Page 2f (2) 3 117" xfId="14725"/>
    <cellStyle name="Comma (0,000) TBD-_Page 2f (2) 3 117" xfId="14726"/>
    <cellStyle name="Comma (0,000) TBD_Page 2f (2) 3 118" xfId="14727"/>
    <cellStyle name="Comma (0,000) TBD-_Page 2f (2) 3 118" xfId="14728"/>
    <cellStyle name="Comma (0,000) TBD_Page 2f (2) 3 119" xfId="14729"/>
    <cellStyle name="Comma (0,000) TBD-_Page 2f (2) 3 119" xfId="14730"/>
    <cellStyle name="Comma (0,000) TBD_Page 2f (2) 3 12" xfId="14731"/>
    <cellStyle name="Comma (0,000) TBD-_Page 2f (2) 3 12" xfId="14732"/>
    <cellStyle name="Comma (0,000) TBD_Page 2f (2) 3 120" xfId="14733"/>
    <cellStyle name="Comma (0,000) TBD-_Page 2f (2) 3 120" xfId="14734"/>
    <cellStyle name="Comma (0,000) TBD_Page 2f (2) 3 121" xfId="14735"/>
    <cellStyle name="Comma (0,000) TBD-_Page 2f (2) 3 121" xfId="14736"/>
    <cellStyle name="Comma (0,000) TBD_Page 2f (2) 3 122" xfId="14737"/>
    <cellStyle name="Comma (0,000) TBD-_Page 2f (2) 3 122" xfId="14738"/>
    <cellStyle name="Comma (0,000) TBD_Page 2f (2) 3 123" xfId="14739"/>
    <cellStyle name="Comma (0,000) TBD-_Page 2f (2) 3 123" xfId="14740"/>
    <cellStyle name="Comma (0,000) TBD_Page 2f (2) 3 124" xfId="14741"/>
    <cellStyle name="Comma (0,000) TBD-_Page 2f (2) 3 124" xfId="14742"/>
    <cellStyle name="Comma (0,000) TBD_Page 2f (2) 3 125" xfId="14743"/>
    <cellStyle name="Comma (0,000) TBD-_Page 2f (2) 3 125" xfId="14744"/>
    <cellStyle name="Comma (0,000) TBD_Page 2f (2) 3 126" xfId="14745"/>
    <cellStyle name="Comma (0,000) TBD-_Page 2f (2) 3 126" xfId="14746"/>
    <cellStyle name="Comma (0,000) TBD_Page 2f (2) 3 127" xfId="14747"/>
    <cellStyle name="Comma (0,000) TBD-_Page 2f (2) 3 127" xfId="14748"/>
    <cellStyle name="Comma (0,000) TBD_Page 2f (2) 3 128" xfId="14749"/>
    <cellStyle name="Comma (0,000) TBD-_Page 2f (2) 3 128" xfId="14750"/>
    <cellStyle name="Comma (0,000) TBD_Page 2f (2) 3 129" xfId="14751"/>
    <cellStyle name="Comma (0,000) TBD-_Page 2f (2) 3 129" xfId="14752"/>
    <cellStyle name="Comma (0,000) TBD_Page 2f (2) 3 13" xfId="14753"/>
    <cellStyle name="Comma (0,000) TBD-_Page 2f (2) 3 13" xfId="14754"/>
    <cellStyle name="Comma (0,000) TBD_Page 2f (2) 3 130" xfId="14755"/>
    <cellStyle name="Comma (0,000) TBD-_Page 2f (2) 3 130" xfId="14756"/>
    <cellStyle name="Comma (0,000) TBD_Page 2f (2) 3 131" xfId="14757"/>
    <cellStyle name="Comma (0,000) TBD-_Page 2f (2) 3 131" xfId="14758"/>
    <cellStyle name="Comma (0,000) TBD_Page 2f (2) 3 132" xfId="14759"/>
    <cellStyle name="Comma (0,000) TBD-_Page 2f (2) 3 132" xfId="14760"/>
    <cellStyle name="Comma (0,000) TBD_Page 2f (2) 3 133" xfId="14761"/>
    <cellStyle name="Comma (0,000) TBD-_Page 2f (2) 3 133" xfId="14762"/>
    <cellStyle name="Comma (0,000) TBD_Page 2f (2) 3 134" xfId="14763"/>
    <cellStyle name="Comma (0,000) TBD-_Page 2f (2) 3 134" xfId="14764"/>
    <cellStyle name="Comma (0,000) TBD_Page 2f (2) 3 135" xfId="14765"/>
    <cellStyle name="Comma (0,000) TBD-_Page 2f (2) 3 135" xfId="14766"/>
    <cellStyle name="Comma (0,000) TBD_Page 2f (2) 3 136" xfId="14767"/>
    <cellStyle name="Comma (0,000) TBD-_Page 2f (2) 3 136" xfId="14768"/>
    <cellStyle name="Comma (0,000) TBD_Page 2f (2) 3 137" xfId="14769"/>
    <cellStyle name="Comma (0,000) TBD-_Page 2f (2) 3 137" xfId="14770"/>
    <cellStyle name="Comma (0,000) TBD_Page 2f (2) 3 138" xfId="14771"/>
    <cellStyle name="Comma (0,000) TBD-_Page 2f (2) 3 138" xfId="14772"/>
    <cellStyle name="Comma (0,000) TBD_Page 2f (2) 3 139" xfId="14773"/>
    <cellStyle name="Comma (0,000) TBD-_Page 2f (2) 3 139" xfId="14774"/>
    <cellStyle name="Comma (0,000) TBD_Page 2f (2) 3 14" xfId="14775"/>
    <cellStyle name="Comma (0,000) TBD-_Page 2f (2) 3 14" xfId="14776"/>
    <cellStyle name="Comma (0,000) TBD_Page 2f (2) 3 140" xfId="14777"/>
    <cellStyle name="Comma (0,000) TBD-_Page 2f (2) 3 140" xfId="14778"/>
    <cellStyle name="Comma (0,000) TBD_Page 2f (2) 3 141" xfId="14779"/>
    <cellStyle name="Comma (0,000) TBD-_Page 2f (2) 3 141" xfId="14780"/>
    <cellStyle name="Comma (0,000) TBD_Page 2f (2) 3 142" xfId="14781"/>
    <cellStyle name="Comma (0,000) TBD-_Page 2f (2) 3 142" xfId="14782"/>
    <cellStyle name="Comma (0,000) TBD_Page 2f (2) 3 143" xfId="14783"/>
    <cellStyle name="Comma (0,000) TBD-_Page 2f (2) 3 143" xfId="14784"/>
    <cellStyle name="Comma (0,000) TBD_Page 2f (2) 3 144" xfId="14785"/>
    <cellStyle name="Comma (0,000) TBD-_Page 2f (2) 3 144" xfId="14786"/>
    <cellStyle name="Comma (0,000) TBD_Page 2f (2) 3 145" xfId="14787"/>
    <cellStyle name="Comma (0,000) TBD-_Page 2f (2) 3 145" xfId="14788"/>
    <cellStyle name="Comma (0,000) TBD_Page 2f (2) 3 146" xfId="14789"/>
    <cellStyle name="Comma (0,000) TBD-_Page 2f (2) 3 146" xfId="14790"/>
    <cellStyle name="Comma (0,000) TBD_Page 2f (2) 3 147" xfId="14791"/>
    <cellStyle name="Comma (0,000) TBD-_Page 2f (2) 3 147" xfId="14792"/>
    <cellStyle name="Comma (0,000) TBD_Page 2f (2) 3 148" xfId="14793"/>
    <cellStyle name="Comma (0,000) TBD-_Page 2f (2) 3 148" xfId="14794"/>
    <cellStyle name="Comma (0,000) TBD_Page 2f (2) 3 149" xfId="14795"/>
    <cellStyle name="Comma (0,000) TBD-_Page 2f (2) 3 149" xfId="14796"/>
    <cellStyle name="Comma (0,000) TBD_Page 2f (2) 3 15" xfId="14797"/>
    <cellStyle name="Comma (0,000) TBD-_Page 2f (2) 3 15" xfId="14798"/>
    <cellStyle name="Comma (0,000) TBD_Page 2f (2) 3 150" xfId="14799"/>
    <cellStyle name="Comma (0,000) TBD-_Page 2f (2) 3 150" xfId="14800"/>
    <cellStyle name="Comma (0,000) TBD_Page 2f (2) 3 151" xfId="14801"/>
    <cellStyle name="Comma (0,000) TBD-_Page 2f (2) 3 151" xfId="14802"/>
    <cellStyle name="Comma (0,000) TBD_Page 2f (2) 3 152" xfId="14803"/>
    <cellStyle name="Comma (0,000) TBD-_Page 2f (2) 3 152" xfId="14804"/>
    <cellStyle name="Comma (0,000) TBD_Page 2f (2) 3 153" xfId="14805"/>
    <cellStyle name="Comma (0,000) TBD-_Page 2f (2) 3 153" xfId="14806"/>
    <cellStyle name="Comma (0,000) TBD_Page 2f (2) 3 16" xfId="14807"/>
    <cellStyle name="Comma (0,000) TBD-_Page 2f (2) 3 16" xfId="14808"/>
    <cellStyle name="Comma (0,000) TBD_Page 2f (2) 3 17" xfId="14809"/>
    <cellStyle name="Comma (0,000) TBD-_Page 2f (2) 3 17" xfId="14810"/>
    <cellStyle name="Comma (0,000) TBD_Page 2f (2) 3 18" xfId="14811"/>
    <cellStyle name="Comma (0,000) TBD-_Page 2f (2) 3 18" xfId="14812"/>
    <cellStyle name="Comma (0,000) TBD_Page 2f (2) 3 19" xfId="14813"/>
    <cellStyle name="Comma (0,000) TBD-_Page 2f (2) 3 19" xfId="14814"/>
    <cellStyle name="Comma (0,000) TBD_Page 2f (2) 3 2" xfId="14815"/>
    <cellStyle name="Comma (0,000) TBD-_Page 2f (2) 3 2" xfId="14816"/>
    <cellStyle name="Comma (0,000) TBD_Page 2f (2) 3 20" xfId="14817"/>
    <cellStyle name="Comma (0,000) TBD-_Page 2f (2) 3 20" xfId="14818"/>
    <cellStyle name="Comma (0,000) TBD_Page 2f (2) 3 21" xfId="14819"/>
    <cellStyle name="Comma (0,000) TBD-_Page 2f (2) 3 21" xfId="14820"/>
    <cellStyle name="Comma (0,000) TBD_Page 2f (2) 3 22" xfId="14821"/>
    <cellStyle name="Comma (0,000) TBD-_Page 2f (2) 3 22" xfId="14822"/>
    <cellStyle name="Comma (0,000) TBD_Page 2f (2) 3 23" xfId="14823"/>
    <cellStyle name="Comma (0,000) TBD-_Page 2f (2) 3 23" xfId="14824"/>
    <cellStyle name="Comma (0,000) TBD_Page 2f (2) 3 24" xfId="14825"/>
    <cellStyle name="Comma (0,000) TBD-_Page 2f (2) 3 24" xfId="14826"/>
    <cellStyle name="Comma (0,000) TBD_Page 2f (2) 3 25" xfId="14827"/>
    <cellStyle name="Comma (0,000) TBD-_Page 2f (2) 3 25" xfId="14828"/>
    <cellStyle name="Comma (0,000) TBD_Page 2f (2) 3 26" xfId="14829"/>
    <cellStyle name="Comma (0,000) TBD-_Page 2f (2) 3 26" xfId="14830"/>
    <cellStyle name="Comma (0,000) TBD_Page 2f (2) 3 27" xfId="14831"/>
    <cellStyle name="Comma (0,000) TBD-_Page 2f (2) 3 27" xfId="14832"/>
    <cellStyle name="Comma (0,000) TBD_Page 2f (2) 3 28" xfId="14833"/>
    <cellStyle name="Comma (0,000) TBD-_Page 2f (2) 3 28" xfId="14834"/>
    <cellStyle name="Comma (0,000) TBD_Page 2f (2) 3 29" xfId="14835"/>
    <cellStyle name="Comma (0,000) TBD-_Page 2f (2) 3 29" xfId="14836"/>
    <cellStyle name="Comma (0,000) TBD_Page 2f (2) 3 3" xfId="14837"/>
    <cellStyle name="Comma (0,000) TBD-_Page 2f (2) 3 3" xfId="14838"/>
    <cellStyle name="Comma (0,000) TBD_Page 2f (2) 3 30" xfId="14839"/>
    <cellStyle name="Comma (0,000) TBD-_Page 2f (2) 3 30" xfId="14840"/>
    <cellStyle name="Comma (0,000) TBD_Page 2f (2) 3 31" xfId="14841"/>
    <cellStyle name="Comma (0,000) TBD-_Page 2f (2) 3 31" xfId="14842"/>
    <cellStyle name="Comma (0,000) TBD_Page 2f (2) 3 32" xfId="14843"/>
    <cellStyle name="Comma (0,000) TBD-_Page 2f (2) 3 32" xfId="14844"/>
    <cellStyle name="Comma (0,000) TBD_Page 2f (2) 3 33" xfId="14845"/>
    <cellStyle name="Comma (0,000) TBD-_Page 2f (2) 3 33" xfId="14846"/>
    <cellStyle name="Comma (0,000) TBD_Page 2f (2) 3 34" xfId="14847"/>
    <cellStyle name="Comma (0,000) TBD-_Page 2f (2) 3 34" xfId="14848"/>
    <cellStyle name="Comma (0,000) TBD_Page 2f (2) 3 35" xfId="14849"/>
    <cellStyle name="Comma (0,000) TBD-_Page 2f (2) 3 35" xfId="14850"/>
    <cellStyle name="Comma (0,000) TBD_Page 2f (2) 3 36" xfId="14851"/>
    <cellStyle name="Comma (0,000) TBD-_Page 2f (2) 3 36" xfId="14852"/>
    <cellStyle name="Comma (0,000) TBD_Page 2f (2) 3 37" xfId="14853"/>
    <cellStyle name="Comma (0,000) TBD-_Page 2f (2) 3 37" xfId="14854"/>
    <cellStyle name="Comma (0,000) TBD_Page 2f (2) 3 38" xfId="14855"/>
    <cellStyle name="Comma (0,000) TBD-_Page 2f (2) 3 38" xfId="14856"/>
    <cellStyle name="Comma (0,000) TBD_Page 2f (2) 3 39" xfId="14857"/>
    <cellStyle name="Comma (0,000) TBD-_Page 2f (2) 3 39" xfId="14858"/>
    <cellStyle name="Comma (0,000) TBD_Page 2f (2) 3 4" xfId="14859"/>
    <cellStyle name="Comma (0,000) TBD-_Page 2f (2) 3 4" xfId="14860"/>
    <cellStyle name="Comma (0,000) TBD_Page 2f (2) 3 40" xfId="14861"/>
    <cellStyle name="Comma (0,000) TBD-_Page 2f (2) 3 40" xfId="14862"/>
    <cellStyle name="Comma (0,000) TBD_Page 2f (2) 3 41" xfId="14863"/>
    <cellStyle name="Comma (0,000) TBD-_Page 2f (2) 3 41" xfId="14864"/>
    <cellStyle name="Comma (0,000) TBD_Page 2f (2) 3 42" xfId="14865"/>
    <cellStyle name="Comma (0,000) TBD-_Page 2f (2) 3 42" xfId="14866"/>
    <cellStyle name="Comma (0,000) TBD_Page 2f (2) 3 43" xfId="14867"/>
    <cellStyle name="Comma (0,000) TBD-_Page 2f (2) 3 43" xfId="14868"/>
    <cellStyle name="Comma (0,000) TBD_Page 2f (2) 3 44" xfId="14869"/>
    <cellStyle name="Comma (0,000) TBD-_Page 2f (2) 3 44" xfId="14870"/>
    <cellStyle name="Comma (0,000) TBD_Page 2f (2) 3 45" xfId="14871"/>
    <cellStyle name="Comma (0,000) TBD-_Page 2f (2) 3 45" xfId="14872"/>
    <cellStyle name="Comma (0,000) TBD_Page 2f (2) 3 46" xfId="14873"/>
    <cellStyle name="Comma (0,000) TBD-_Page 2f (2) 3 46" xfId="14874"/>
    <cellStyle name="Comma (0,000) TBD_Page 2f (2) 3 47" xfId="14875"/>
    <cellStyle name="Comma (0,000) TBD-_Page 2f (2) 3 47" xfId="14876"/>
    <cellStyle name="Comma (0,000) TBD_Page 2f (2) 3 48" xfId="14877"/>
    <cellStyle name="Comma (0,000) TBD-_Page 2f (2) 3 48" xfId="14878"/>
    <cellStyle name="Comma (0,000) TBD_Page 2f (2) 3 49" xfId="14879"/>
    <cellStyle name="Comma (0,000) TBD-_Page 2f (2) 3 49" xfId="14880"/>
    <cellStyle name="Comma (0,000) TBD_Page 2f (2) 3 5" xfId="14881"/>
    <cellStyle name="Comma (0,000) TBD-_Page 2f (2) 3 5" xfId="14882"/>
    <cellStyle name="Comma (0,000) TBD_Page 2f (2) 3 50" xfId="14883"/>
    <cellStyle name="Comma (0,000) TBD-_Page 2f (2) 3 50" xfId="14884"/>
    <cellStyle name="Comma (0,000) TBD_Page 2f (2) 3 51" xfId="14885"/>
    <cellStyle name="Comma (0,000) TBD-_Page 2f (2) 3 51" xfId="14886"/>
    <cellStyle name="Comma (0,000) TBD_Page 2f (2) 3 52" xfId="14887"/>
    <cellStyle name="Comma (0,000) TBD-_Page 2f (2) 3 52" xfId="14888"/>
    <cellStyle name="Comma (0,000) TBD_Page 2f (2) 3 53" xfId="14889"/>
    <cellStyle name="Comma (0,000) TBD-_Page 2f (2) 3 53" xfId="14890"/>
    <cellStyle name="Comma (0,000) TBD_Page 2f (2) 3 54" xfId="14891"/>
    <cellStyle name="Comma (0,000) TBD-_Page 2f (2) 3 54" xfId="14892"/>
    <cellStyle name="Comma (0,000) TBD_Page 2f (2) 3 55" xfId="14893"/>
    <cellStyle name="Comma (0,000) TBD-_Page 2f (2) 3 55" xfId="14894"/>
    <cellStyle name="Comma (0,000) TBD_Page 2f (2) 3 56" xfId="14895"/>
    <cellStyle name="Comma (0,000) TBD-_Page 2f (2) 3 56" xfId="14896"/>
    <cellStyle name="Comma (0,000) TBD_Page 2f (2) 3 57" xfId="14897"/>
    <cellStyle name="Comma (0,000) TBD-_Page 2f (2) 3 57" xfId="14898"/>
    <cellStyle name="Comma (0,000) TBD_Page 2f (2) 3 58" xfId="14899"/>
    <cellStyle name="Comma (0,000) TBD-_Page 2f (2) 3 58" xfId="14900"/>
    <cellStyle name="Comma (0,000) TBD_Page 2f (2) 3 59" xfId="14901"/>
    <cellStyle name="Comma (0,000) TBD-_Page 2f (2) 3 59" xfId="14902"/>
    <cellStyle name="Comma (0,000) TBD_Page 2f (2) 3 6" xfId="14903"/>
    <cellStyle name="Comma (0,000) TBD-_Page 2f (2) 3 6" xfId="14904"/>
    <cellStyle name="Comma (0,000) TBD_Page 2f (2) 3 60" xfId="14905"/>
    <cellStyle name="Comma (0,000) TBD-_Page 2f (2) 3 60" xfId="14906"/>
    <cellStyle name="Comma (0,000) TBD_Page 2f (2) 3 61" xfId="14907"/>
    <cellStyle name="Comma (0,000) TBD-_Page 2f (2) 3 61" xfId="14908"/>
    <cellStyle name="Comma (0,000) TBD_Page 2f (2) 3 62" xfId="14909"/>
    <cellStyle name="Comma (0,000) TBD-_Page 2f (2) 3 62" xfId="14910"/>
    <cellStyle name="Comma (0,000) TBD_Page 2f (2) 3 63" xfId="14911"/>
    <cellStyle name="Comma (0,000) TBD-_Page 2f (2) 3 63" xfId="14912"/>
    <cellStyle name="Comma (0,000) TBD_Page 2f (2) 3 64" xfId="14913"/>
    <cellStyle name="Comma (0,000) TBD-_Page 2f (2) 3 64" xfId="14914"/>
    <cellStyle name="Comma (0,000) TBD_Page 2f (2) 3 65" xfId="14915"/>
    <cellStyle name="Comma (0,000) TBD-_Page 2f (2) 3 65" xfId="14916"/>
    <cellStyle name="Comma (0,000) TBD_Page 2f (2) 3 66" xfId="14917"/>
    <cellStyle name="Comma (0,000) TBD-_Page 2f (2) 3 66" xfId="14918"/>
    <cellStyle name="Comma (0,000) TBD_Page 2f (2) 3 67" xfId="14919"/>
    <cellStyle name="Comma (0,000) TBD-_Page 2f (2) 3 67" xfId="14920"/>
    <cellStyle name="Comma (0,000) TBD_Page 2f (2) 3 68" xfId="14921"/>
    <cellStyle name="Comma (0,000) TBD-_Page 2f (2) 3 68" xfId="14922"/>
    <cellStyle name="Comma (0,000) TBD_Page 2f (2) 3 69" xfId="14923"/>
    <cellStyle name="Comma (0,000) TBD-_Page 2f (2) 3 69" xfId="14924"/>
    <cellStyle name="Comma (0,000) TBD_Page 2f (2) 3 7" xfId="14925"/>
    <cellStyle name="Comma (0,000) TBD-_Page 2f (2) 3 7" xfId="14926"/>
    <cellStyle name="Comma (0,000) TBD_Page 2f (2) 3 70" xfId="14927"/>
    <cellStyle name="Comma (0,000) TBD-_Page 2f (2) 3 70" xfId="14928"/>
    <cellStyle name="Comma (0,000) TBD_Page 2f (2) 3 71" xfId="14929"/>
    <cellStyle name="Comma (0,000) TBD-_Page 2f (2) 3 71" xfId="14930"/>
    <cellStyle name="Comma (0,000) TBD_Page 2f (2) 3 72" xfId="14931"/>
    <cellStyle name="Comma (0,000) TBD-_Page 2f (2) 3 72" xfId="14932"/>
    <cellStyle name="Comma (0,000) TBD_Page 2f (2) 3 73" xfId="14933"/>
    <cellStyle name="Comma (0,000) TBD-_Page 2f (2) 3 73" xfId="14934"/>
    <cellStyle name="Comma (0,000) TBD_Page 2f (2) 3 74" xfId="14935"/>
    <cellStyle name="Comma (0,000) TBD-_Page 2f (2) 3 74" xfId="14936"/>
    <cellStyle name="Comma (0,000) TBD_Page 2f (2) 3 75" xfId="14937"/>
    <cellStyle name="Comma (0,000) TBD-_Page 2f (2) 3 75" xfId="14938"/>
    <cellStyle name="Comma (0,000) TBD_Page 2f (2) 3 76" xfId="14939"/>
    <cellStyle name="Comma (0,000) TBD-_Page 2f (2) 3 76" xfId="14940"/>
    <cellStyle name="Comma (0,000) TBD_Page 2f (2) 3 77" xfId="14941"/>
    <cellStyle name="Comma (0,000) TBD-_Page 2f (2) 3 77" xfId="14942"/>
    <cellStyle name="Comma (0,000) TBD_Page 2f (2) 3 78" xfId="14943"/>
    <cellStyle name="Comma (0,000) TBD-_Page 2f (2) 3 78" xfId="14944"/>
    <cellStyle name="Comma (0,000) TBD_Page 2f (2) 3 79" xfId="14945"/>
    <cellStyle name="Comma (0,000) TBD-_Page 2f (2) 3 79" xfId="14946"/>
    <cellStyle name="Comma (0,000) TBD_Page 2f (2) 3 8" xfId="14947"/>
    <cellStyle name="Comma (0,000) TBD-_Page 2f (2) 3 8" xfId="14948"/>
    <cellStyle name="Comma (0,000) TBD_Page 2f (2) 3 80" xfId="14949"/>
    <cellStyle name="Comma (0,000) TBD-_Page 2f (2) 3 80" xfId="14950"/>
    <cellStyle name="Comma (0,000) TBD_Page 2f (2) 3 81" xfId="14951"/>
    <cellStyle name="Comma (0,000) TBD-_Page 2f (2) 3 81" xfId="14952"/>
    <cellStyle name="Comma (0,000) TBD_Page 2f (2) 3 82" xfId="14953"/>
    <cellStyle name="Comma (0,000) TBD-_Page 2f (2) 3 82" xfId="14954"/>
    <cellStyle name="Comma (0,000) TBD_Page 2f (2) 3 83" xfId="14955"/>
    <cellStyle name="Comma (0,000) TBD-_Page 2f (2) 3 83" xfId="14956"/>
    <cellStyle name="Comma (0,000) TBD_Page 2f (2) 3 84" xfId="14957"/>
    <cellStyle name="Comma (0,000) TBD-_Page 2f (2) 3 84" xfId="14958"/>
    <cellStyle name="Comma (0,000) TBD_Page 2f (2) 3 85" xfId="14959"/>
    <cellStyle name="Comma (0,000) TBD-_Page 2f (2) 3 85" xfId="14960"/>
    <cellStyle name="Comma (0,000) TBD_Page 2f (2) 3 86" xfId="14961"/>
    <cellStyle name="Comma (0,000) TBD-_Page 2f (2) 3 86" xfId="14962"/>
    <cellStyle name="Comma (0,000) TBD_Page 2f (2) 3 87" xfId="14963"/>
    <cellStyle name="Comma (0,000) TBD-_Page 2f (2) 3 87" xfId="14964"/>
    <cellStyle name="Comma (0,000) TBD_Page 2f (2) 3 88" xfId="14965"/>
    <cellStyle name="Comma (0,000) TBD-_Page 2f (2) 3 88" xfId="14966"/>
    <cellStyle name="Comma (0,000) TBD_Page 2f (2) 3 89" xfId="14967"/>
    <cellStyle name="Comma (0,000) TBD-_Page 2f (2) 3 89" xfId="14968"/>
    <cellStyle name="Comma (0,000) TBD_Page 2f (2) 3 9" xfId="14969"/>
    <cellStyle name="Comma (0,000) TBD-_Page 2f (2) 3 9" xfId="14970"/>
    <cellStyle name="Comma (0,000) TBD_Page 2f (2) 3 90" xfId="14971"/>
    <cellStyle name="Comma (0,000) TBD-_Page 2f (2) 3 90" xfId="14972"/>
    <cellStyle name="Comma (0,000) TBD_Page 2f (2) 3 91" xfId="14973"/>
    <cellStyle name="Comma (0,000) TBD-_Page 2f (2) 3 91" xfId="14974"/>
    <cellStyle name="Comma (0,000) TBD_Page 2f (2) 3 92" xfId="14975"/>
    <cellStyle name="Comma (0,000) TBD-_Page 2f (2) 3 92" xfId="14976"/>
    <cellStyle name="Comma (0,000) TBD_Page 2f (2) 3 93" xfId="14977"/>
    <cellStyle name="Comma (0,000) TBD-_Page 2f (2) 3 93" xfId="14978"/>
    <cellStyle name="Comma (0,000) TBD_Page 2f (2) 3 94" xfId="14979"/>
    <cellStyle name="Comma (0,000) TBD-_Page 2f (2) 3 94" xfId="14980"/>
    <cellStyle name="Comma (0,000) TBD_Page 2f (2) 3 95" xfId="14981"/>
    <cellStyle name="Comma (0,000) TBD-_Page 2f (2) 3 95" xfId="14982"/>
    <cellStyle name="Comma (0,000) TBD_Page 2f (2) 3 96" xfId="14983"/>
    <cellStyle name="Comma (0,000) TBD-_Page 2f (2) 3 96" xfId="14984"/>
    <cellStyle name="Comma (0,000) TBD_Page 2f (2) 3 97" xfId="14985"/>
    <cellStyle name="Comma (0,000) TBD-_Page 2f (2) 3 97" xfId="14986"/>
    <cellStyle name="Comma (0,000) TBD_Page 2f (2) 3 98" xfId="14987"/>
    <cellStyle name="Comma (0,000) TBD-_Page 2f (2) 3 98" xfId="14988"/>
    <cellStyle name="Comma (0,000) TBD_Page 2f (2) 3 99" xfId="14989"/>
    <cellStyle name="Comma (0,000) TBD-_Page 2f (2) 3 99" xfId="14990"/>
    <cellStyle name="Comma (0,000) TBD_Page 2f (2) 4" xfId="14991"/>
    <cellStyle name="Comma (0,000) TBD-_Page 2f (2) 4" xfId="14992"/>
    <cellStyle name="Comma (0,000) TBD_Page 2f (2) 4 10" xfId="14993"/>
    <cellStyle name="Comma (0,000) TBD-_Page 2f (2) 4 10" xfId="14994"/>
    <cellStyle name="Comma (0,000) TBD_Page 2f (2) 4 100" xfId="14995"/>
    <cellStyle name="Comma (0,000) TBD-_Page 2f (2) 4 100" xfId="14996"/>
    <cellStyle name="Comma (0,000) TBD_Page 2f (2) 4 101" xfId="14997"/>
    <cellStyle name="Comma (0,000) TBD-_Page 2f (2) 4 101" xfId="14998"/>
    <cellStyle name="Comma (0,000) TBD_Page 2f (2) 4 102" xfId="14999"/>
    <cellStyle name="Comma (0,000) TBD-_Page 2f (2) 4 102" xfId="15000"/>
    <cellStyle name="Comma (0,000) TBD_Page 2f (2) 4 103" xfId="15001"/>
    <cellStyle name="Comma (0,000) TBD-_Page 2f (2) 4 103" xfId="15002"/>
    <cellStyle name="Comma (0,000) TBD_Page 2f (2) 4 104" xfId="15003"/>
    <cellStyle name="Comma (0,000) TBD-_Page 2f (2) 4 104" xfId="15004"/>
    <cellStyle name="Comma (0,000) TBD_Page 2f (2) 4 105" xfId="15005"/>
    <cellStyle name="Comma (0,000) TBD-_Page 2f (2) 4 105" xfId="15006"/>
    <cellStyle name="Comma (0,000) TBD_Page 2f (2) 4 106" xfId="15007"/>
    <cellStyle name="Comma (0,000) TBD-_Page 2f (2) 4 106" xfId="15008"/>
    <cellStyle name="Comma (0,000) TBD_Page 2f (2) 4 107" xfId="15009"/>
    <cellStyle name="Comma (0,000) TBD-_Page 2f (2) 4 107" xfId="15010"/>
    <cellStyle name="Comma (0,000) TBD_Page 2f (2) 4 108" xfId="15011"/>
    <cellStyle name="Comma (0,000) TBD-_Page 2f (2) 4 108" xfId="15012"/>
    <cellStyle name="Comma (0,000) TBD_Page 2f (2) 4 109" xfId="15013"/>
    <cellStyle name="Comma (0,000) TBD-_Page 2f (2) 4 109" xfId="15014"/>
    <cellStyle name="Comma (0,000) TBD_Page 2f (2) 4 11" xfId="15015"/>
    <cellStyle name="Comma (0,000) TBD-_Page 2f (2) 4 11" xfId="15016"/>
    <cellStyle name="Comma (0,000) TBD_Page 2f (2) 4 110" xfId="15017"/>
    <cellStyle name="Comma (0,000) TBD-_Page 2f (2) 4 110" xfId="15018"/>
    <cellStyle name="Comma (0,000) TBD_Page 2f (2) 4 111" xfId="15019"/>
    <cellStyle name="Comma (0,000) TBD-_Page 2f (2) 4 111" xfId="15020"/>
    <cellStyle name="Comma (0,000) TBD_Page 2f (2) 4 112" xfId="15021"/>
    <cellStyle name="Comma (0,000) TBD-_Page 2f (2) 4 112" xfId="15022"/>
    <cellStyle name="Comma (0,000) TBD_Page 2f (2) 4 113" xfId="15023"/>
    <cellStyle name="Comma (0,000) TBD-_Page 2f (2) 4 113" xfId="15024"/>
    <cellStyle name="Comma (0,000) TBD_Page 2f (2) 4 114" xfId="15025"/>
    <cellStyle name="Comma (0,000) TBD-_Page 2f (2) 4 114" xfId="15026"/>
    <cellStyle name="Comma (0,000) TBD_Page 2f (2) 4 115" xfId="15027"/>
    <cellStyle name="Comma (0,000) TBD-_Page 2f (2) 4 115" xfId="15028"/>
    <cellStyle name="Comma (0,000) TBD_Page 2f (2) 4 116" xfId="15029"/>
    <cellStyle name="Comma (0,000) TBD-_Page 2f (2) 4 116" xfId="15030"/>
    <cellStyle name="Comma (0,000) TBD_Page 2f (2) 4 117" xfId="15031"/>
    <cellStyle name="Comma (0,000) TBD-_Page 2f (2) 4 117" xfId="15032"/>
    <cellStyle name="Comma (0,000) TBD_Page 2f (2) 4 118" xfId="15033"/>
    <cellStyle name="Comma (0,000) TBD-_Page 2f (2) 4 118" xfId="15034"/>
    <cellStyle name="Comma (0,000) TBD_Page 2f (2) 4 119" xfId="15035"/>
    <cellStyle name="Comma (0,000) TBD-_Page 2f (2) 4 119" xfId="15036"/>
    <cellStyle name="Comma (0,000) TBD_Page 2f (2) 4 12" xfId="15037"/>
    <cellStyle name="Comma (0,000) TBD-_Page 2f (2) 4 12" xfId="15038"/>
    <cellStyle name="Comma (0,000) TBD_Page 2f (2) 4 120" xfId="15039"/>
    <cellStyle name="Comma (0,000) TBD-_Page 2f (2) 4 120" xfId="15040"/>
    <cellStyle name="Comma (0,000) TBD_Page 2f (2) 4 121" xfId="15041"/>
    <cellStyle name="Comma (0,000) TBD-_Page 2f (2) 4 121" xfId="15042"/>
    <cellStyle name="Comma (0,000) TBD_Page 2f (2) 4 122" xfId="15043"/>
    <cellStyle name="Comma (0,000) TBD-_Page 2f (2) 4 122" xfId="15044"/>
    <cellStyle name="Comma (0,000) TBD_Page 2f (2) 4 123" xfId="15045"/>
    <cellStyle name="Comma (0,000) TBD-_Page 2f (2) 4 123" xfId="15046"/>
    <cellStyle name="Comma (0,000) TBD_Page 2f (2) 4 124" xfId="15047"/>
    <cellStyle name="Comma (0,000) TBD-_Page 2f (2) 4 124" xfId="15048"/>
    <cellStyle name="Comma (0,000) TBD_Page 2f (2) 4 125" xfId="15049"/>
    <cellStyle name="Comma (0,000) TBD-_Page 2f (2) 4 125" xfId="15050"/>
    <cellStyle name="Comma (0,000) TBD_Page 2f (2) 4 126" xfId="15051"/>
    <cellStyle name="Comma (0,000) TBD-_Page 2f (2) 4 126" xfId="15052"/>
    <cellStyle name="Comma (0,000) TBD_Page 2f (2) 4 127" xfId="15053"/>
    <cellStyle name="Comma (0,000) TBD-_Page 2f (2) 4 127" xfId="15054"/>
    <cellStyle name="Comma (0,000) TBD_Page 2f (2) 4 128" xfId="15055"/>
    <cellStyle name="Comma (0,000) TBD-_Page 2f (2) 4 128" xfId="15056"/>
    <cellStyle name="Comma (0,000) TBD_Page 2f (2) 4 129" xfId="15057"/>
    <cellStyle name="Comma (0,000) TBD-_Page 2f (2) 4 129" xfId="15058"/>
    <cellStyle name="Comma (0,000) TBD_Page 2f (2) 4 13" xfId="15059"/>
    <cellStyle name="Comma (0,000) TBD-_Page 2f (2) 4 13" xfId="15060"/>
    <cellStyle name="Comma (0,000) TBD_Page 2f (2) 4 130" xfId="15061"/>
    <cellStyle name="Comma (0,000) TBD-_Page 2f (2) 4 130" xfId="15062"/>
    <cellStyle name="Comma (0,000) TBD_Page 2f (2) 4 131" xfId="15063"/>
    <cellStyle name="Comma (0,000) TBD-_Page 2f (2) 4 131" xfId="15064"/>
    <cellStyle name="Comma (0,000) TBD_Page 2f (2) 4 132" xfId="15065"/>
    <cellStyle name="Comma (0,000) TBD-_Page 2f (2) 4 132" xfId="15066"/>
    <cellStyle name="Comma (0,000) TBD_Page 2f (2) 4 133" xfId="15067"/>
    <cellStyle name="Comma (0,000) TBD-_Page 2f (2) 4 133" xfId="15068"/>
    <cellStyle name="Comma (0,000) TBD_Page 2f (2) 4 134" xfId="15069"/>
    <cellStyle name="Comma (0,000) TBD-_Page 2f (2) 4 134" xfId="15070"/>
    <cellStyle name="Comma (0,000) TBD_Page 2f (2) 4 135" xfId="15071"/>
    <cellStyle name="Comma (0,000) TBD-_Page 2f (2) 4 135" xfId="15072"/>
    <cellStyle name="Comma (0,000) TBD_Page 2f (2) 4 136" xfId="15073"/>
    <cellStyle name="Comma (0,000) TBD-_Page 2f (2) 4 136" xfId="15074"/>
    <cellStyle name="Comma (0,000) TBD_Page 2f (2) 4 137" xfId="15075"/>
    <cellStyle name="Comma (0,000) TBD-_Page 2f (2) 4 137" xfId="15076"/>
    <cellStyle name="Comma (0,000) TBD_Page 2f (2) 4 138" xfId="15077"/>
    <cellStyle name="Comma (0,000) TBD-_Page 2f (2) 4 138" xfId="15078"/>
    <cellStyle name="Comma (0,000) TBD_Page 2f (2) 4 139" xfId="15079"/>
    <cellStyle name="Comma (0,000) TBD-_Page 2f (2) 4 139" xfId="15080"/>
    <cellStyle name="Comma (0,000) TBD_Page 2f (2) 4 14" xfId="15081"/>
    <cellStyle name="Comma (0,000) TBD-_Page 2f (2) 4 14" xfId="15082"/>
    <cellStyle name="Comma (0,000) TBD_Page 2f (2) 4 140" xfId="15083"/>
    <cellStyle name="Comma (0,000) TBD-_Page 2f (2) 4 140" xfId="15084"/>
    <cellStyle name="Comma (0,000) TBD_Page 2f (2) 4 141" xfId="15085"/>
    <cellStyle name="Comma (0,000) TBD-_Page 2f (2) 4 141" xfId="15086"/>
    <cellStyle name="Comma (0,000) TBD_Page 2f (2) 4 142" xfId="15087"/>
    <cellStyle name="Comma (0,000) TBD-_Page 2f (2) 4 142" xfId="15088"/>
    <cellStyle name="Comma (0,000) TBD_Page 2f (2) 4 143" xfId="15089"/>
    <cellStyle name="Comma (0,000) TBD-_Page 2f (2) 4 143" xfId="15090"/>
    <cellStyle name="Comma (0,000) TBD_Page 2f (2) 4 144" xfId="15091"/>
    <cellStyle name="Comma (0,000) TBD-_Page 2f (2) 4 144" xfId="15092"/>
    <cellStyle name="Comma (0,000) TBD_Page 2f (2) 4 145" xfId="15093"/>
    <cellStyle name="Comma (0,000) TBD-_Page 2f (2) 4 145" xfId="15094"/>
    <cellStyle name="Comma (0,000) TBD_Page 2f (2) 4 146" xfId="15095"/>
    <cellStyle name="Comma (0,000) TBD-_Page 2f (2) 4 146" xfId="15096"/>
    <cellStyle name="Comma (0,000) TBD_Page 2f (2) 4 147" xfId="15097"/>
    <cellStyle name="Comma (0,000) TBD-_Page 2f (2) 4 147" xfId="15098"/>
    <cellStyle name="Comma (0,000) TBD_Page 2f (2) 4 148" xfId="15099"/>
    <cellStyle name="Comma (0,000) TBD-_Page 2f (2) 4 148" xfId="15100"/>
    <cellStyle name="Comma (0,000) TBD_Page 2f (2) 4 149" xfId="15101"/>
    <cellStyle name="Comma (0,000) TBD-_Page 2f (2) 4 149" xfId="15102"/>
    <cellStyle name="Comma (0,000) TBD_Page 2f (2) 4 15" xfId="15103"/>
    <cellStyle name="Comma (0,000) TBD-_Page 2f (2) 4 15" xfId="15104"/>
    <cellStyle name="Comma (0,000) TBD_Page 2f (2) 4 150" xfId="15105"/>
    <cellStyle name="Comma (0,000) TBD-_Page 2f (2) 4 150" xfId="15106"/>
    <cellStyle name="Comma (0,000) TBD_Page 2f (2) 4 151" xfId="15107"/>
    <cellStyle name="Comma (0,000) TBD-_Page 2f (2) 4 151" xfId="15108"/>
    <cellStyle name="Comma (0,000) TBD_Page 2f (2) 4 152" xfId="15109"/>
    <cellStyle name="Comma (0,000) TBD-_Page 2f (2) 4 152" xfId="15110"/>
    <cellStyle name="Comma (0,000) TBD_Page 2f (2) 4 153" xfId="15111"/>
    <cellStyle name="Comma (0,000) TBD-_Page 2f (2) 4 153" xfId="15112"/>
    <cellStyle name="Comma (0,000) TBD_Page 2f (2) 4 16" xfId="15113"/>
    <cellStyle name="Comma (0,000) TBD-_Page 2f (2) 4 16" xfId="15114"/>
    <cellStyle name="Comma (0,000) TBD_Page 2f (2) 4 17" xfId="15115"/>
    <cellStyle name="Comma (0,000) TBD-_Page 2f (2) 4 17" xfId="15116"/>
    <cellStyle name="Comma (0,000) TBD_Page 2f (2) 4 18" xfId="15117"/>
    <cellStyle name="Comma (0,000) TBD-_Page 2f (2) 4 18" xfId="15118"/>
    <cellStyle name="Comma (0,000) TBD_Page 2f (2) 4 19" xfId="15119"/>
    <cellStyle name="Comma (0,000) TBD-_Page 2f (2) 4 19" xfId="15120"/>
    <cellStyle name="Comma (0,000) TBD_Page 2f (2) 4 2" xfId="15121"/>
    <cellStyle name="Comma (0,000) TBD-_Page 2f (2) 4 2" xfId="15122"/>
    <cellStyle name="Comma (0,000) TBD_Page 2f (2) 4 20" xfId="15123"/>
    <cellStyle name="Comma (0,000) TBD-_Page 2f (2) 4 20" xfId="15124"/>
    <cellStyle name="Comma (0,000) TBD_Page 2f (2) 4 21" xfId="15125"/>
    <cellStyle name="Comma (0,000) TBD-_Page 2f (2) 4 21" xfId="15126"/>
    <cellStyle name="Comma (0,000) TBD_Page 2f (2) 4 22" xfId="15127"/>
    <cellStyle name="Comma (0,000) TBD-_Page 2f (2) 4 22" xfId="15128"/>
    <cellStyle name="Comma (0,000) TBD_Page 2f (2) 4 23" xfId="15129"/>
    <cellStyle name="Comma (0,000) TBD-_Page 2f (2) 4 23" xfId="15130"/>
    <cellStyle name="Comma (0,000) TBD_Page 2f (2) 4 24" xfId="15131"/>
    <cellStyle name="Comma (0,000) TBD-_Page 2f (2) 4 24" xfId="15132"/>
    <cellStyle name="Comma (0,000) TBD_Page 2f (2) 4 25" xfId="15133"/>
    <cellStyle name="Comma (0,000) TBD-_Page 2f (2) 4 25" xfId="15134"/>
    <cellStyle name="Comma (0,000) TBD_Page 2f (2) 4 26" xfId="15135"/>
    <cellStyle name="Comma (0,000) TBD-_Page 2f (2) 4 26" xfId="15136"/>
    <cellStyle name="Comma (0,000) TBD_Page 2f (2) 4 27" xfId="15137"/>
    <cellStyle name="Comma (0,000) TBD-_Page 2f (2) 4 27" xfId="15138"/>
    <cellStyle name="Comma (0,000) TBD_Page 2f (2) 4 28" xfId="15139"/>
    <cellStyle name="Comma (0,000) TBD-_Page 2f (2) 4 28" xfId="15140"/>
    <cellStyle name="Comma (0,000) TBD_Page 2f (2) 4 29" xfId="15141"/>
    <cellStyle name="Comma (0,000) TBD-_Page 2f (2) 4 29" xfId="15142"/>
    <cellStyle name="Comma (0,000) TBD_Page 2f (2) 4 3" xfId="15143"/>
    <cellStyle name="Comma (0,000) TBD-_Page 2f (2) 4 3" xfId="15144"/>
    <cellStyle name="Comma (0,000) TBD_Page 2f (2) 4 30" xfId="15145"/>
    <cellStyle name="Comma (0,000) TBD-_Page 2f (2) 4 30" xfId="15146"/>
    <cellStyle name="Comma (0,000) TBD_Page 2f (2) 4 31" xfId="15147"/>
    <cellStyle name="Comma (0,000) TBD-_Page 2f (2) 4 31" xfId="15148"/>
    <cellStyle name="Comma (0,000) TBD_Page 2f (2) 4 32" xfId="15149"/>
    <cellStyle name="Comma (0,000) TBD-_Page 2f (2) 4 32" xfId="15150"/>
    <cellStyle name="Comma (0,000) TBD_Page 2f (2) 4 33" xfId="15151"/>
    <cellStyle name="Comma (0,000) TBD-_Page 2f (2) 4 33" xfId="15152"/>
    <cellStyle name="Comma (0,000) TBD_Page 2f (2) 4 34" xfId="15153"/>
    <cellStyle name="Comma (0,000) TBD-_Page 2f (2) 4 34" xfId="15154"/>
    <cellStyle name="Comma (0,000) TBD_Page 2f (2) 4 35" xfId="15155"/>
    <cellStyle name="Comma (0,000) TBD-_Page 2f (2) 4 35" xfId="15156"/>
    <cellStyle name="Comma (0,000) TBD_Page 2f (2) 4 36" xfId="15157"/>
    <cellStyle name="Comma (0,000) TBD-_Page 2f (2) 4 36" xfId="15158"/>
    <cellStyle name="Comma (0,000) TBD_Page 2f (2) 4 37" xfId="15159"/>
    <cellStyle name="Comma (0,000) TBD-_Page 2f (2) 4 37" xfId="15160"/>
    <cellStyle name="Comma (0,000) TBD_Page 2f (2) 4 38" xfId="15161"/>
    <cellStyle name="Comma (0,000) TBD-_Page 2f (2) 4 38" xfId="15162"/>
    <cellStyle name="Comma (0,000) TBD_Page 2f (2) 4 39" xfId="15163"/>
    <cellStyle name="Comma (0,000) TBD-_Page 2f (2) 4 39" xfId="15164"/>
    <cellStyle name="Comma (0,000) TBD_Page 2f (2) 4 4" xfId="15165"/>
    <cellStyle name="Comma (0,000) TBD-_Page 2f (2) 4 4" xfId="15166"/>
    <cellStyle name="Comma (0,000) TBD_Page 2f (2) 4 40" xfId="15167"/>
    <cellStyle name="Comma (0,000) TBD-_Page 2f (2) 4 40" xfId="15168"/>
    <cellStyle name="Comma (0,000) TBD_Page 2f (2) 4 41" xfId="15169"/>
    <cellStyle name="Comma (0,000) TBD-_Page 2f (2) 4 41" xfId="15170"/>
    <cellStyle name="Comma (0,000) TBD_Page 2f (2) 4 42" xfId="15171"/>
    <cellStyle name="Comma (0,000) TBD-_Page 2f (2) 4 42" xfId="15172"/>
    <cellStyle name="Comma (0,000) TBD_Page 2f (2) 4 43" xfId="15173"/>
    <cellStyle name="Comma (0,000) TBD-_Page 2f (2) 4 43" xfId="15174"/>
    <cellStyle name="Comma (0,000) TBD_Page 2f (2) 4 44" xfId="15175"/>
    <cellStyle name="Comma (0,000) TBD-_Page 2f (2) 4 44" xfId="15176"/>
    <cellStyle name="Comma (0,000) TBD_Page 2f (2) 4 45" xfId="15177"/>
    <cellStyle name="Comma (0,000) TBD-_Page 2f (2) 4 45" xfId="15178"/>
    <cellStyle name="Comma (0,000) TBD_Page 2f (2) 4 46" xfId="15179"/>
    <cellStyle name="Comma (0,000) TBD-_Page 2f (2) 4 46" xfId="15180"/>
    <cellStyle name="Comma (0,000) TBD_Page 2f (2) 4 47" xfId="15181"/>
    <cellStyle name="Comma (0,000) TBD-_Page 2f (2) 4 47" xfId="15182"/>
    <cellStyle name="Comma (0,000) TBD_Page 2f (2) 4 48" xfId="15183"/>
    <cellStyle name="Comma (0,000) TBD-_Page 2f (2) 4 48" xfId="15184"/>
    <cellStyle name="Comma (0,000) TBD_Page 2f (2) 4 49" xfId="15185"/>
    <cellStyle name="Comma (0,000) TBD-_Page 2f (2) 4 49" xfId="15186"/>
    <cellStyle name="Comma (0,000) TBD_Page 2f (2) 4 5" xfId="15187"/>
    <cellStyle name="Comma (0,000) TBD-_Page 2f (2) 4 5" xfId="15188"/>
    <cellStyle name="Comma (0,000) TBD_Page 2f (2) 4 50" xfId="15189"/>
    <cellStyle name="Comma (0,000) TBD-_Page 2f (2) 4 50" xfId="15190"/>
    <cellStyle name="Comma (0,000) TBD_Page 2f (2) 4 51" xfId="15191"/>
    <cellStyle name="Comma (0,000) TBD-_Page 2f (2) 4 51" xfId="15192"/>
    <cellStyle name="Comma (0,000) TBD_Page 2f (2) 4 52" xfId="15193"/>
    <cellStyle name="Comma (0,000) TBD-_Page 2f (2) 4 52" xfId="15194"/>
    <cellStyle name="Comma (0,000) TBD_Page 2f (2) 4 53" xfId="15195"/>
    <cellStyle name="Comma (0,000) TBD-_Page 2f (2) 4 53" xfId="15196"/>
    <cellStyle name="Comma (0,000) TBD_Page 2f (2) 4 54" xfId="15197"/>
    <cellStyle name="Comma (0,000) TBD-_Page 2f (2) 4 54" xfId="15198"/>
    <cellStyle name="Comma (0,000) TBD_Page 2f (2) 4 55" xfId="15199"/>
    <cellStyle name="Comma (0,000) TBD-_Page 2f (2) 4 55" xfId="15200"/>
    <cellStyle name="Comma (0,000) TBD_Page 2f (2) 4 56" xfId="15201"/>
    <cellStyle name="Comma (0,000) TBD-_Page 2f (2) 4 56" xfId="15202"/>
    <cellStyle name="Comma (0,000) TBD_Page 2f (2) 4 57" xfId="15203"/>
    <cellStyle name="Comma (0,000) TBD-_Page 2f (2) 4 57" xfId="15204"/>
    <cellStyle name="Comma (0,000) TBD_Page 2f (2) 4 58" xfId="15205"/>
    <cellStyle name="Comma (0,000) TBD-_Page 2f (2) 4 58" xfId="15206"/>
    <cellStyle name="Comma (0,000) TBD_Page 2f (2) 4 59" xfId="15207"/>
    <cellStyle name="Comma (0,000) TBD-_Page 2f (2) 4 59" xfId="15208"/>
    <cellStyle name="Comma (0,000) TBD_Page 2f (2) 4 6" xfId="15209"/>
    <cellStyle name="Comma (0,000) TBD-_Page 2f (2) 4 6" xfId="15210"/>
    <cellStyle name="Comma (0,000) TBD_Page 2f (2) 4 60" xfId="15211"/>
    <cellStyle name="Comma (0,000) TBD-_Page 2f (2) 4 60" xfId="15212"/>
    <cellStyle name="Comma (0,000) TBD_Page 2f (2) 4 61" xfId="15213"/>
    <cellStyle name="Comma (0,000) TBD-_Page 2f (2) 4 61" xfId="15214"/>
    <cellStyle name="Comma (0,000) TBD_Page 2f (2) 4 62" xfId="15215"/>
    <cellStyle name="Comma (0,000) TBD-_Page 2f (2) 4 62" xfId="15216"/>
    <cellStyle name="Comma (0,000) TBD_Page 2f (2) 4 63" xfId="15217"/>
    <cellStyle name="Comma (0,000) TBD-_Page 2f (2) 4 63" xfId="15218"/>
    <cellStyle name="Comma (0,000) TBD_Page 2f (2) 4 64" xfId="15219"/>
    <cellStyle name="Comma (0,000) TBD-_Page 2f (2) 4 64" xfId="15220"/>
    <cellStyle name="Comma (0,000) TBD_Page 2f (2) 4 65" xfId="15221"/>
    <cellStyle name="Comma (0,000) TBD-_Page 2f (2) 4 65" xfId="15222"/>
    <cellStyle name="Comma (0,000) TBD_Page 2f (2) 4 66" xfId="15223"/>
    <cellStyle name="Comma (0,000) TBD-_Page 2f (2) 4 66" xfId="15224"/>
    <cellStyle name="Comma (0,000) TBD_Page 2f (2) 4 67" xfId="15225"/>
    <cellStyle name="Comma (0,000) TBD-_Page 2f (2) 4 67" xfId="15226"/>
    <cellStyle name="Comma (0,000) TBD_Page 2f (2) 4 68" xfId="15227"/>
    <cellStyle name="Comma (0,000) TBD-_Page 2f (2) 4 68" xfId="15228"/>
    <cellStyle name="Comma (0,000) TBD_Page 2f (2) 4 69" xfId="15229"/>
    <cellStyle name="Comma (0,000) TBD-_Page 2f (2) 4 69" xfId="15230"/>
    <cellStyle name="Comma (0,000) TBD_Page 2f (2) 4 7" xfId="15231"/>
    <cellStyle name="Comma (0,000) TBD-_Page 2f (2) 4 7" xfId="15232"/>
    <cellStyle name="Comma (0,000) TBD_Page 2f (2) 4 70" xfId="15233"/>
    <cellStyle name="Comma (0,000) TBD-_Page 2f (2) 4 70" xfId="15234"/>
    <cellStyle name="Comma (0,000) TBD_Page 2f (2) 4 71" xfId="15235"/>
    <cellStyle name="Comma (0,000) TBD-_Page 2f (2) 4 71" xfId="15236"/>
    <cellStyle name="Comma (0,000) TBD_Page 2f (2) 4 72" xfId="15237"/>
    <cellStyle name="Comma (0,000) TBD-_Page 2f (2) 4 72" xfId="15238"/>
    <cellStyle name="Comma (0,000) TBD_Page 2f (2) 4 73" xfId="15239"/>
    <cellStyle name="Comma (0,000) TBD-_Page 2f (2) 4 73" xfId="15240"/>
    <cellStyle name="Comma (0,000) TBD_Page 2f (2) 4 74" xfId="15241"/>
    <cellStyle name="Comma (0,000) TBD-_Page 2f (2) 4 74" xfId="15242"/>
    <cellStyle name="Comma (0,000) TBD_Page 2f (2) 4 75" xfId="15243"/>
    <cellStyle name="Comma (0,000) TBD-_Page 2f (2) 4 75" xfId="15244"/>
    <cellStyle name="Comma (0,000) TBD_Page 2f (2) 4 76" xfId="15245"/>
    <cellStyle name="Comma (0,000) TBD-_Page 2f (2) 4 76" xfId="15246"/>
    <cellStyle name="Comma (0,000) TBD_Page 2f (2) 4 77" xfId="15247"/>
    <cellStyle name="Comma (0,000) TBD-_Page 2f (2) 4 77" xfId="15248"/>
    <cellStyle name="Comma (0,000) TBD_Page 2f (2) 4 78" xfId="15249"/>
    <cellStyle name="Comma (0,000) TBD-_Page 2f (2) 4 78" xfId="15250"/>
    <cellStyle name="Comma (0,000) TBD_Page 2f (2) 4 79" xfId="15251"/>
    <cellStyle name="Comma (0,000) TBD-_Page 2f (2) 4 79" xfId="15252"/>
    <cellStyle name="Comma (0,000) TBD_Page 2f (2) 4 8" xfId="15253"/>
    <cellStyle name="Comma (0,000) TBD-_Page 2f (2) 4 8" xfId="15254"/>
    <cellStyle name="Comma (0,000) TBD_Page 2f (2) 4 80" xfId="15255"/>
    <cellStyle name="Comma (0,000) TBD-_Page 2f (2) 4 80" xfId="15256"/>
    <cellStyle name="Comma (0,000) TBD_Page 2f (2) 4 81" xfId="15257"/>
    <cellStyle name="Comma (0,000) TBD-_Page 2f (2) 4 81" xfId="15258"/>
    <cellStyle name="Comma (0,000) TBD_Page 2f (2) 4 82" xfId="15259"/>
    <cellStyle name="Comma (0,000) TBD-_Page 2f (2) 4 82" xfId="15260"/>
    <cellStyle name="Comma (0,000) TBD_Page 2f (2) 4 83" xfId="15261"/>
    <cellStyle name="Comma (0,000) TBD-_Page 2f (2) 4 83" xfId="15262"/>
    <cellStyle name="Comma (0,000) TBD_Page 2f (2) 4 84" xfId="15263"/>
    <cellStyle name="Comma (0,000) TBD-_Page 2f (2) 4 84" xfId="15264"/>
    <cellStyle name="Comma (0,000) TBD_Page 2f (2) 4 85" xfId="15265"/>
    <cellStyle name="Comma (0,000) TBD-_Page 2f (2) 4 85" xfId="15266"/>
    <cellStyle name="Comma (0,000) TBD_Page 2f (2) 4 86" xfId="15267"/>
    <cellStyle name="Comma (0,000) TBD-_Page 2f (2) 4 86" xfId="15268"/>
    <cellStyle name="Comma (0,000) TBD_Page 2f (2) 4 87" xfId="15269"/>
    <cellStyle name="Comma (0,000) TBD-_Page 2f (2) 4 87" xfId="15270"/>
    <cellStyle name="Comma (0,000) TBD_Page 2f (2) 4 88" xfId="15271"/>
    <cellStyle name="Comma (0,000) TBD-_Page 2f (2) 4 88" xfId="15272"/>
    <cellStyle name="Comma (0,000) TBD_Page 2f (2) 4 89" xfId="15273"/>
    <cellStyle name="Comma (0,000) TBD-_Page 2f (2) 4 89" xfId="15274"/>
    <cellStyle name="Comma (0,000) TBD_Page 2f (2) 4 9" xfId="15275"/>
    <cellStyle name="Comma (0,000) TBD-_Page 2f (2) 4 9" xfId="15276"/>
    <cellStyle name="Comma (0,000) TBD_Page 2f (2) 4 90" xfId="15277"/>
    <cellStyle name="Comma (0,000) TBD-_Page 2f (2) 4 90" xfId="15278"/>
    <cellStyle name="Comma (0,000) TBD_Page 2f (2) 4 91" xfId="15279"/>
    <cellStyle name="Comma (0,000) TBD-_Page 2f (2) 4 91" xfId="15280"/>
    <cellStyle name="Comma (0,000) TBD_Page 2f (2) 4 92" xfId="15281"/>
    <cellStyle name="Comma (0,000) TBD-_Page 2f (2) 4 92" xfId="15282"/>
    <cellStyle name="Comma (0,000) TBD_Page 2f (2) 4 93" xfId="15283"/>
    <cellStyle name="Comma (0,000) TBD-_Page 2f (2) 4 93" xfId="15284"/>
    <cellStyle name="Comma (0,000) TBD_Page 2f (2) 4 94" xfId="15285"/>
    <cellStyle name="Comma (0,000) TBD-_Page 2f (2) 4 94" xfId="15286"/>
    <cellStyle name="Comma (0,000) TBD_Page 2f (2) 4 95" xfId="15287"/>
    <cellStyle name="Comma (0,000) TBD-_Page 2f (2) 4 95" xfId="15288"/>
    <cellStyle name="Comma (0,000) TBD_Page 2f (2) 4 96" xfId="15289"/>
    <cellStyle name="Comma (0,000) TBD-_Page 2f (2) 4 96" xfId="15290"/>
    <cellStyle name="Comma (0,000) TBD_Page 2f (2) 4 97" xfId="15291"/>
    <cellStyle name="Comma (0,000) TBD-_Page 2f (2) 4 97" xfId="15292"/>
    <cellStyle name="Comma (0,000) TBD_Page 2f (2) 4 98" xfId="15293"/>
    <cellStyle name="Comma (0,000) TBD-_Page 2f (2) 4 98" xfId="15294"/>
    <cellStyle name="Comma (0,000) TBD_Page 2f (2) 4 99" xfId="15295"/>
    <cellStyle name="Comma (0,000) TBD-_Page 2f (2) 4 99" xfId="15296"/>
    <cellStyle name="Comma (0,000) TBD_Page 2f (2) 5" xfId="15297"/>
    <cellStyle name="Comma (0,000) TBD-_Page 2f (2) 5" xfId="15298"/>
    <cellStyle name="Comma (0,000) TBD_Page 2f (2) 5 10" xfId="15299"/>
    <cellStyle name="Comma (0,000) TBD-_Page 2f (2) 5 10" xfId="15300"/>
    <cellStyle name="Comma (0,000) TBD_Page 2f (2) 5 100" xfId="15301"/>
    <cellStyle name="Comma (0,000) TBD-_Page 2f (2) 5 100" xfId="15302"/>
    <cellStyle name="Comma (0,000) TBD_Page 2f (2) 5 101" xfId="15303"/>
    <cellStyle name="Comma (0,000) TBD-_Page 2f (2) 5 101" xfId="15304"/>
    <cellStyle name="Comma (0,000) TBD_Page 2f (2) 5 102" xfId="15305"/>
    <cellStyle name="Comma (0,000) TBD-_Page 2f (2) 5 102" xfId="15306"/>
    <cellStyle name="Comma (0,000) TBD_Page 2f (2) 5 103" xfId="15307"/>
    <cellStyle name="Comma (0,000) TBD-_Page 2f (2) 5 103" xfId="15308"/>
    <cellStyle name="Comma (0,000) TBD_Page 2f (2) 5 104" xfId="15309"/>
    <cellStyle name="Comma (0,000) TBD-_Page 2f (2) 5 104" xfId="15310"/>
    <cellStyle name="Comma (0,000) TBD_Page 2f (2) 5 105" xfId="15311"/>
    <cellStyle name="Comma (0,000) TBD-_Page 2f (2) 5 105" xfId="15312"/>
    <cellStyle name="Comma (0,000) TBD_Page 2f (2) 5 106" xfId="15313"/>
    <cellStyle name="Comma (0,000) TBD-_Page 2f (2) 5 106" xfId="15314"/>
    <cellStyle name="Comma (0,000) TBD_Page 2f (2) 5 107" xfId="15315"/>
    <cellStyle name="Comma (0,000) TBD-_Page 2f (2) 5 107" xfId="15316"/>
    <cellStyle name="Comma (0,000) TBD_Page 2f (2) 5 108" xfId="15317"/>
    <cellStyle name="Comma (0,000) TBD-_Page 2f (2) 5 108" xfId="15318"/>
    <cellStyle name="Comma (0,000) TBD_Page 2f (2) 5 109" xfId="15319"/>
    <cellStyle name="Comma (0,000) TBD-_Page 2f (2) 5 109" xfId="15320"/>
    <cellStyle name="Comma (0,000) TBD_Page 2f (2) 5 11" xfId="15321"/>
    <cellStyle name="Comma (0,000) TBD-_Page 2f (2) 5 11" xfId="15322"/>
    <cellStyle name="Comma (0,000) TBD_Page 2f (2) 5 110" xfId="15323"/>
    <cellStyle name="Comma (0,000) TBD-_Page 2f (2) 5 110" xfId="15324"/>
    <cellStyle name="Comma (0,000) TBD_Page 2f (2) 5 111" xfId="15325"/>
    <cellStyle name="Comma (0,000) TBD-_Page 2f (2) 5 111" xfId="15326"/>
    <cellStyle name="Comma (0,000) TBD_Page 2f (2) 5 112" xfId="15327"/>
    <cellStyle name="Comma (0,000) TBD-_Page 2f (2) 5 112" xfId="15328"/>
    <cellStyle name="Comma (0,000) TBD_Page 2f (2) 5 113" xfId="15329"/>
    <cellStyle name="Comma (0,000) TBD-_Page 2f (2) 5 113" xfId="15330"/>
    <cellStyle name="Comma (0,000) TBD_Page 2f (2) 5 114" xfId="15331"/>
    <cellStyle name="Comma (0,000) TBD-_Page 2f (2) 5 114" xfId="15332"/>
    <cellStyle name="Comma (0,000) TBD_Page 2f (2) 5 115" xfId="15333"/>
    <cellStyle name="Comma (0,000) TBD-_Page 2f (2) 5 115" xfId="15334"/>
    <cellStyle name="Comma (0,000) TBD_Page 2f (2) 5 116" xfId="15335"/>
    <cellStyle name="Comma (0,000) TBD-_Page 2f (2) 5 116" xfId="15336"/>
    <cellStyle name="Comma (0,000) TBD_Page 2f (2) 5 117" xfId="15337"/>
    <cellStyle name="Comma (0,000) TBD-_Page 2f (2) 5 117" xfId="15338"/>
    <cellStyle name="Comma (0,000) TBD_Page 2f (2) 5 118" xfId="15339"/>
    <cellStyle name="Comma (0,000) TBD-_Page 2f (2) 5 118" xfId="15340"/>
    <cellStyle name="Comma (0,000) TBD_Page 2f (2) 5 119" xfId="15341"/>
    <cellStyle name="Comma (0,000) TBD-_Page 2f (2) 5 119" xfId="15342"/>
    <cellStyle name="Comma (0,000) TBD_Page 2f (2) 5 12" xfId="15343"/>
    <cellStyle name="Comma (0,000) TBD-_Page 2f (2) 5 12" xfId="15344"/>
    <cellStyle name="Comma (0,000) TBD_Page 2f (2) 5 120" xfId="15345"/>
    <cellStyle name="Comma (0,000) TBD-_Page 2f (2) 5 120" xfId="15346"/>
    <cellStyle name="Comma (0,000) TBD_Page 2f (2) 5 121" xfId="15347"/>
    <cellStyle name="Comma (0,000) TBD-_Page 2f (2) 5 121" xfId="15348"/>
    <cellStyle name="Comma (0,000) TBD_Page 2f (2) 5 122" xfId="15349"/>
    <cellStyle name="Comma (0,000) TBD-_Page 2f (2) 5 122" xfId="15350"/>
    <cellStyle name="Comma (0,000) TBD_Page 2f (2) 5 123" xfId="15351"/>
    <cellStyle name="Comma (0,000) TBD-_Page 2f (2) 5 123" xfId="15352"/>
    <cellStyle name="Comma (0,000) TBD_Page 2f (2) 5 124" xfId="15353"/>
    <cellStyle name="Comma (0,000) TBD-_Page 2f (2) 5 124" xfId="15354"/>
    <cellStyle name="Comma (0,000) TBD_Page 2f (2) 5 125" xfId="15355"/>
    <cellStyle name="Comma (0,000) TBD-_Page 2f (2) 5 125" xfId="15356"/>
    <cellStyle name="Comma (0,000) TBD_Page 2f (2) 5 126" xfId="15357"/>
    <cellStyle name="Comma (0,000) TBD-_Page 2f (2) 5 126" xfId="15358"/>
    <cellStyle name="Comma (0,000) TBD_Page 2f (2) 5 127" xfId="15359"/>
    <cellStyle name="Comma (0,000) TBD-_Page 2f (2) 5 127" xfId="15360"/>
    <cellStyle name="Comma (0,000) TBD_Page 2f (2) 5 128" xfId="15361"/>
    <cellStyle name="Comma (0,000) TBD-_Page 2f (2) 5 128" xfId="15362"/>
    <cellStyle name="Comma (0,000) TBD_Page 2f (2) 5 129" xfId="15363"/>
    <cellStyle name="Comma (0,000) TBD-_Page 2f (2) 5 129" xfId="15364"/>
    <cellStyle name="Comma (0,000) TBD_Page 2f (2) 5 13" xfId="15365"/>
    <cellStyle name="Comma (0,000) TBD-_Page 2f (2) 5 13" xfId="15366"/>
    <cellStyle name="Comma (0,000) TBD_Page 2f (2) 5 130" xfId="15367"/>
    <cellStyle name="Comma (0,000) TBD-_Page 2f (2) 5 130" xfId="15368"/>
    <cellStyle name="Comma (0,000) TBD_Page 2f (2) 5 131" xfId="15369"/>
    <cellStyle name="Comma (0,000) TBD-_Page 2f (2) 5 131" xfId="15370"/>
    <cellStyle name="Comma (0,000) TBD_Page 2f (2) 5 132" xfId="15371"/>
    <cellStyle name="Comma (0,000) TBD-_Page 2f (2) 5 132" xfId="15372"/>
    <cellStyle name="Comma (0,000) TBD_Page 2f (2) 5 133" xfId="15373"/>
    <cellStyle name="Comma (0,000) TBD-_Page 2f (2) 5 133" xfId="15374"/>
    <cellStyle name="Comma (0,000) TBD_Page 2f (2) 5 134" xfId="15375"/>
    <cellStyle name="Comma (0,000) TBD-_Page 2f (2) 5 134" xfId="15376"/>
    <cellStyle name="Comma (0,000) TBD_Page 2f (2) 5 135" xfId="15377"/>
    <cellStyle name="Comma (0,000) TBD-_Page 2f (2) 5 135" xfId="15378"/>
    <cellStyle name="Comma (0,000) TBD_Page 2f (2) 5 136" xfId="15379"/>
    <cellStyle name="Comma (0,000) TBD-_Page 2f (2) 5 136" xfId="15380"/>
    <cellStyle name="Comma (0,000) TBD_Page 2f (2) 5 137" xfId="15381"/>
    <cellStyle name="Comma (0,000) TBD-_Page 2f (2) 5 137" xfId="15382"/>
    <cellStyle name="Comma (0,000) TBD_Page 2f (2) 5 138" xfId="15383"/>
    <cellStyle name="Comma (0,000) TBD-_Page 2f (2) 5 138" xfId="15384"/>
    <cellStyle name="Comma (0,000) TBD_Page 2f (2) 5 139" xfId="15385"/>
    <cellStyle name="Comma (0,000) TBD-_Page 2f (2) 5 139" xfId="15386"/>
    <cellStyle name="Comma (0,000) TBD_Page 2f (2) 5 14" xfId="15387"/>
    <cellStyle name="Comma (0,000) TBD-_Page 2f (2) 5 14" xfId="15388"/>
    <cellStyle name="Comma (0,000) TBD_Page 2f (2) 5 140" xfId="15389"/>
    <cellStyle name="Comma (0,000) TBD-_Page 2f (2) 5 140" xfId="15390"/>
    <cellStyle name="Comma (0,000) TBD_Page 2f (2) 5 141" xfId="15391"/>
    <cellStyle name="Comma (0,000) TBD-_Page 2f (2) 5 141" xfId="15392"/>
    <cellStyle name="Comma (0,000) TBD_Page 2f (2) 5 142" xfId="15393"/>
    <cellStyle name="Comma (0,000) TBD-_Page 2f (2) 5 142" xfId="15394"/>
    <cellStyle name="Comma (0,000) TBD_Page 2f (2) 5 143" xfId="15395"/>
    <cellStyle name="Comma (0,000) TBD-_Page 2f (2) 5 143" xfId="15396"/>
    <cellStyle name="Comma (0,000) TBD_Page 2f (2) 5 144" xfId="15397"/>
    <cellStyle name="Comma (0,000) TBD-_Page 2f (2) 5 144" xfId="15398"/>
    <cellStyle name="Comma (0,000) TBD_Page 2f (2) 5 145" xfId="15399"/>
    <cellStyle name="Comma (0,000) TBD-_Page 2f (2) 5 145" xfId="15400"/>
    <cellStyle name="Comma (0,000) TBD_Page 2f (2) 5 146" xfId="15401"/>
    <cellStyle name="Comma (0,000) TBD-_Page 2f (2) 5 146" xfId="15402"/>
    <cellStyle name="Comma (0,000) TBD_Page 2f (2) 5 147" xfId="15403"/>
    <cellStyle name="Comma (0,000) TBD-_Page 2f (2) 5 147" xfId="15404"/>
    <cellStyle name="Comma (0,000) TBD_Page 2f (2) 5 148" xfId="15405"/>
    <cellStyle name="Comma (0,000) TBD-_Page 2f (2) 5 148" xfId="15406"/>
    <cellStyle name="Comma (0,000) TBD_Page 2f (2) 5 149" xfId="15407"/>
    <cellStyle name="Comma (0,000) TBD-_Page 2f (2) 5 149" xfId="15408"/>
    <cellStyle name="Comma (0,000) TBD_Page 2f (2) 5 15" xfId="15409"/>
    <cellStyle name="Comma (0,000) TBD-_Page 2f (2) 5 15" xfId="15410"/>
    <cellStyle name="Comma (0,000) TBD_Page 2f (2) 5 150" xfId="15411"/>
    <cellStyle name="Comma (0,000) TBD-_Page 2f (2) 5 150" xfId="15412"/>
    <cellStyle name="Comma (0,000) TBD_Page 2f (2) 5 151" xfId="15413"/>
    <cellStyle name="Comma (0,000) TBD-_Page 2f (2) 5 151" xfId="15414"/>
    <cellStyle name="Comma (0,000) TBD_Page 2f (2) 5 152" xfId="15415"/>
    <cellStyle name="Comma (0,000) TBD-_Page 2f (2) 5 152" xfId="15416"/>
    <cellStyle name="Comma (0,000) TBD_Page 2f (2) 5 153" xfId="15417"/>
    <cellStyle name="Comma (0,000) TBD-_Page 2f (2) 5 153" xfId="15418"/>
    <cellStyle name="Comma (0,000) TBD_Page 2f (2) 5 16" xfId="15419"/>
    <cellStyle name="Comma (0,000) TBD-_Page 2f (2) 5 16" xfId="15420"/>
    <cellStyle name="Comma (0,000) TBD_Page 2f (2) 5 17" xfId="15421"/>
    <cellStyle name="Comma (0,000) TBD-_Page 2f (2) 5 17" xfId="15422"/>
    <cellStyle name="Comma (0,000) TBD_Page 2f (2) 5 18" xfId="15423"/>
    <cellStyle name="Comma (0,000) TBD-_Page 2f (2) 5 18" xfId="15424"/>
    <cellStyle name="Comma (0,000) TBD_Page 2f (2) 5 19" xfId="15425"/>
    <cellStyle name="Comma (0,000) TBD-_Page 2f (2) 5 19" xfId="15426"/>
    <cellStyle name="Comma (0,000) TBD_Page 2f (2) 5 2" xfId="15427"/>
    <cellStyle name="Comma (0,000) TBD-_Page 2f (2) 5 2" xfId="15428"/>
    <cellStyle name="Comma (0,000) TBD_Page 2f (2) 5 20" xfId="15429"/>
    <cellStyle name="Comma (0,000) TBD-_Page 2f (2) 5 20" xfId="15430"/>
    <cellStyle name="Comma (0,000) TBD_Page 2f (2) 5 21" xfId="15431"/>
    <cellStyle name="Comma (0,000) TBD-_Page 2f (2) 5 21" xfId="15432"/>
    <cellStyle name="Comma (0,000) TBD_Page 2f (2) 5 22" xfId="15433"/>
    <cellStyle name="Comma (0,000) TBD-_Page 2f (2) 5 22" xfId="15434"/>
    <cellStyle name="Comma (0,000) TBD_Page 2f (2) 5 23" xfId="15435"/>
    <cellStyle name="Comma (0,000) TBD-_Page 2f (2) 5 23" xfId="15436"/>
    <cellStyle name="Comma (0,000) TBD_Page 2f (2) 5 24" xfId="15437"/>
    <cellStyle name="Comma (0,000) TBD-_Page 2f (2) 5 24" xfId="15438"/>
    <cellStyle name="Comma (0,000) TBD_Page 2f (2) 5 25" xfId="15439"/>
    <cellStyle name="Comma (0,000) TBD-_Page 2f (2) 5 25" xfId="15440"/>
    <cellStyle name="Comma (0,000) TBD_Page 2f (2) 5 26" xfId="15441"/>
    <cellStyle name="Comma (0,000) TBD-_Page 2f (2) 5 26" xfId="15442"/>
    <cellStyle name="Comma (0,000) TBD_Page 2f (2) 5 27" xfId="15443"/>
    <cellStyle name="Comma (0,000) TBD-_Page 2f (2) 5 27" xfId="15444"/>
    <cellStyle name="Comma (0,000) TBD_Page 2f (2) 5 28" xfId="15445"/>
    <cellStyle name="Comma (0,000) TBD-_Page 2f (2) 5 28" xfId="15446"/>
    <cellStyle name="Comma (0,000) TBD_Page 2f (2) 5 29" xfId="15447"/>
    <cellStyle name="Comma (0,000) TBD-_Page 2f (2) 5 29" xfId="15448"/>
    <cellStyle name="Comma (0,000) TBD_Page 2f (2) 5 3" xfId="15449"/>
    <cellStyle name="Comma (0,000) TBD-_Page 2f (2) 5 3" xfId="15450"/>
    <cellStyle name="Comma (0,000) TBD_Page 2f (2) 5 30" xfId="15451"/>
    <cellStyle name="Comma (0,000) TBD-_Page 2f (2) 5 30" xfId="15452"/>
    <cellStyle name="Comma (0,000) TBD_Page 2f (2) 5 31" xfId="15453"/>
    <cellStyle name="Comma (0,000) TBD-_Page 2f (2) 5 31" xfId="15454"/>
    <cellStyle name="Comma (0,000) TBD_Page 2f (2) 5 32" xfId="15455"/>
    <cellStyle name="Comma (0,000) TBD-_Page 2f (2) 5 32" xfId="15456"/>
    <cellStyle name="Comma (0,000) TBD_Page 2f (2) 5 33" xfId="15457"/>
    <cellStyle name="Comma (0,000) TBD-_Page 2f (2) 5 33" xfId="15458"/>
    <cellStyle name="Comma (0,000) TBD_Page 2f (2) 5 34" xfId="15459"/>
    <cellStyle name="Comma (0,000) TBD-_Page 2f (2) 5 34" xfId="15460"/>
    <cellStyle name="Comma (0,000) TBD_Page 2f (2) 5 35" xfId="15461"/>
    <cellStyle name="Comma (0,000) TBD-_Page 2f (2) 5 35" xfId="15462"/>
    <cellStyle name="Comma (0,000) TBD_Page 2f (2) 5 36" xfId="15463"/>
    <cellStyle name="Comma (0,000) TBD-_Page 2f (2) 5 36" xfId="15464"/>
    <cellStyle name="Comma (0,000) TBD_Page 2f (2) 5 37" xfId="15465"/>
    <cellStyle name="Comma (0,000) TBD-_Page 2f (2) 5 37" xfId="15466"/>
    <cellStyle name="Comma (0,000) TBD_Page 2f (2) 5 38" xfId="15467"/>
    <cellStyle name="Comma (0,000) TBD-_Page 2f (2) 5 38" xfId="15468"/>
    <cellStyle name="Comma (0,000) TBD_Page 2f (2) 5 39" xfId="15469"/>
    <cellStyle name="Comma (0,000) TBD-_Page 2f (2) 5 39" xfId="15470"/>
    <cellStyle name="Comma (0,000) TBD_Page 2f (2) 5 4" xfId="15471"/>
    <cellStyle name="Comma (0,000) TBD-_Page 2f (2) 5 4" xfId="15472"/>
    <cellStyle name="Comma (0,000) TBD_Page 2f (2) 5 40" xfId="15473"/>
    <cellStyle name="Comma (0,000) TBD-_Page 2f (2) 5 40" xfId="15474"/>
    <cellStyle name="Comma (0,000) TBD_Page 2f (2) 5 41" xfId="15475"/>
    <cellStyle name="Comma (0,000) TBD-_Page 2f (2) 5 41" xfId="15476"/>
    <cellStyle name="Comma (0,000) TBD_Page 2f (2) 5 42" xfId="15477"/>
    <cellStyle name="Comma (0,000) TBD-_Page 2f (2) 5 42" xfId="15478"/>
    <cellStyle name="Comma (0,000) TBD_Page 2f (2) 5 43" xfId="15479"/>
    <cellStyle name="Comma (0,000) TBD-_Page 2f (2) 5 43" xfId="15480"/>
    <cellStyle name="Comma (0,000) TBD_Page 2f (2) 5 44" xfId="15481"/>
    <cellStyle name="Comma (0,000) TBD-_Page 2f (2) 5 44" xfId="15482"/>
    <cellStyle name="Comma (0,000) TBD_Page 2f (2) 5 45" xfId="15483"/>
    <cellStyle name="Comma (0,000) TBD-_Page 2f (2) 5 45" xfId="15484"/>
    <cellStyle name="Comma (0,000) TBD_Page 2f (2) 5 46" xfId="15485"/>
    <cellStyle name="Comma (0,000) TBD-_Page 2f (2) 5 46" xfId="15486"/>
    <cellStyle name="Comma (0,000) TBD_Page 2f (2) 5 47" xfId="15487"/>
    <cellStyle name="Comma (0,000) TBD-_Page 2f (2) 5 47" xfId="15488"/>
    <cellStyle name="Comma (0,000) TBD_Page 2f (2) 5 48" xfId="15489"/>
    <cellStyle name="Comma (0,000) TBD-_Page 2f (2) 5 48" xfId="15490"/>
    <cellStyle name="Comma (0,000) TBD_Page 2f (2) 5 49" xfId="15491"/>
    <cellStyle name="Comma (0,000) TBD-_Page 2f (2) 5 49" xfId="15492"/>
    <cellStyle name="Comma (0,000) TBD_Page 2f (2) 5 5" xfId="15493"/>
    <cellStyle name="Comma (0,000) TBD-_Page 2f (2) 5 5" xfId="15494"/>
    <cellStyle name="Comma (0,000) TBD_Page 2f (2) 5 50" xfId="15495"/>
    <cellStyle name="Comma (0,000) TBD-_Page 2f (2) 5 50" xfId="15496"/>
    <cellStyle name="Comma (0,000) TBD_Page 2f (2) 5 51" xfId="15497"/>
    <cellStyle name="Comma (0,000) TBD-_Page 2f (2) 5 51" xfId="15498"/>
    <cellStyle name="Comma (0,000) TBD_Page 2f (2) 5 52" xfId="15499"/>
    <cellStyle name="Comma (0,000) TBD-_Page 2f (2) 5 52" xfId="15500"/>
    <cellStyle name="Comma (0,000) TBD_Page 2f (2) 5 53" xfId="15501"/>
    <cellStyle name="Comma (0,000) TBD-_Page 2f (2) 5 53" xfId="15502"/>
    <cellStyle name="Comma (0,000) TBD_Page 2f (2) 5 54" xfId="15503"/>
    <cellStyle name="Comma (0,000) TBD-_Page 2f (2) 5 54" xfId="15504"/>
    <cellStyle name="Comma (0,000) TBD_Page 2f (2) 5 55" xfId="15505"/>
    <cellStyle name="Comma (0,000) TBD-_Page 2f (2) 5 55" xfId="15506"/>
    <cellStyle name="Comma (0,000) TBD_Page 2f (2) 5 56" xfId="15507"/>
    <cellStyle name="Comma (0,000) TBD-_Page 2f (2) 5 56" xfId="15508"/>
    <cellStyle name="Comma (0,000) TBD_Page 2f (2) 5 57" xfId="15509"/>
    <cellStyle name="Comma (0,000) TBD-_Page 2f (2) 5 57" xfId="15510"/>
    <cellStyle name="Comma (0,000) TBD_Page 2f (2) 5 58" xfId="15511"/>
    <cellStyle name="Comma (0,000) TBD-_Page 2f (2) 5 58" xfId="15512"/>
    <cellStyle name="Comma (0,000) TBD_Page 2f (2) 5 59" xfId="15513"/>
    <cellStyle name="Comma (0,000) TBD-_Page 2f (2) 5 59" xfId="15514"/>
    <cellStyle name="Comma (0,000) TBD_Page 2f (2) 5 6" xfId="15515"/>
    <cellStyle name="Comma (0,000) TBD-_Page 2f (2) 5 6" xfId="15516"/>
    <cellStyle name="Comma (0,000) TBD_Page 2f (2) 5 60" xfId="15517"/>
    <cellStyle name="Comma (0,000) TBD-_Page 2f (2) 5 60" xfId="15518"/>
    <cellStyle name="Comma (0,000) TBD_Page 2f (2) 5 61" xfId="15519"/>
    <cellStyle name="Comma (0,000) TBD-_Page 2f (2) 5 61" xfId="15520"/>
    <cellStyle name="Comma (0,000) TBD_Page 2f (2) 5 62" xfId="15521"/>
    <cellStyle name="Comma (0,000) TBD-_Page 2f (2) 5 62" xfId="15522"/>
    <cellStyle name="Comma (0,000) TBD_Page 2f (2) 5 63" xfId="15523"/>
    <cellStyle name="Comma (0,000) TBD-_Page 2f (2) 5 63" xfId="15524"/>
    <cellStyle name="Comma (0,000) TBD_Page 2f (2) 5 64" xfId="15525"/>
    <cellStyle name="Comma (0,000) TBD-_Page 2f (2) 5 64" xfId="15526"/>
    <cellStyle name="Comma (0,000) TBD_Page 2f (2) 5 65" xfId="15527"/>
    <cellStyle name="Comma (0,000) TBD-_Page 2f (2) 5 65" xfId="15528"/>
    <cellStyle name="Comma (0,000) TBD_Page 2f (2) 5 66" xfId="15529"/>
    <cellStyle name="Comma (0,000) TBD-_Page 2f (2) 5 66" xfId="15530"/>
    <cellStyle name="Comma (0,000) TBD_Page 2f (2) 5 67" xfId="15531"/>
    <cellStyle name="Comma (0,000) TBD-_Page 2f (2) 5 67" xfId="15532"/>
    <cellStyle name="Comma (0,000) TBD_Page 2f (2) 5 68" xfId="15533"/>
    <cellStyle name="Comma (0,000) TBD-_Page 2f (2) 5 68" xfId="15534"/>
    <cellStyle name="Comma (0,000) TBD_Page 2f (2) 5 69" xfId="15535"/>
    <cellStyle name="Comma (0,000) TBD-_Page 2f (2) 5 69" xfId="15536"/>
    <cellStyle name="Comma (0,000) TBD_Page 2f (2) 5 7" xfId="15537"/>
    <cellStyle name="Comma (0,000) TBD-_Page 2f (2) 5 7" xfId="15538"/>
    <cellStyle name="Comma (0,000) TBD_Page 2f (2) 5 70" xfId="15539"/>
    <cellStyle name="Comma (0,000) TBD-_Page 2f (2) 5 70" xfId="15540"/>
    <cellStyle name="Comma (0,000) TBD_Page 2f (2) 5 71" xfId="15541"/>
    <cellStyle name="Comma (0,000) TBD-_Page 2f (2) 5 71" xfId="15542"/>
    <cellStyle name="Comma (0,000) TBD_Page 2f (2) 5 72" xfId="15543"/>
    <cellStyle name="Comma (0,000) TBD-_Page 2f (2) 5 72" xfId="15544"/>
    <cellStyle name="Comma (0,000) TBD_Page 2f (2) 5 73" xfId="15545"/>
    <cellStyle name="Comma (0,000) TBD-_Page 2f (2) 5 73" xfId="15546"/>
    <cellStyle name="Comma (0,000) TBD_Page 2f (2) 5 74" xfId="15547"/>
    <cellStyle name="Comma (0,000) TBD-_Page 2f (2) 5 74" xfId="15548"/>
    <cellStyle name="Comma (0,000) TBD_Page 2f (2) 5 75" xfId="15549"/>
    <cellStyle name="Comma (0,000) TBD-_Page 2f (2) 5 75" xfId="15550"/>
    <cellStyle name="Comma (0,000) TBD_Page 2f (2) 5 76" xfId="15551"/>
    <cellStyle name="Comma (0,000) TBD-_Page 2f (2) 5 76" xfId="15552"/>
    <cellStyle name="Comma (0,000) TBD_Page 2f (2) 5 77" xfId="15553"/>
    <cellStyle name="Comma (0,000) TBD-_Page 2f (2) 5 77" xfId="15554"/>
    <cellStyle name="Comma (0,000) TBD_Page 2f (2) 5 78" xfId="15555"/>
    <cellStyle name="Comma (0,000) TBD-_Page 2f (2) 5 78" xfId="15556"/>
    <cellStyle name="Comma (0,000) TBD_Page 2f (2) 5 79" xfId="15557"/>
    <cellStyle name="Comma (0,000) TBD-_Page 2f (2) 5 79" xfId="15558"/>
    <cellStyle name="Comma (0,000) TBD_Page 2f (2) 5 8" xfId="15559"/>
    <cellStyle name="Comma (0,000) TBD-_Page 2f (2) 5 8" xfId="15560"/>
    <cellStyle name="Comma (0,000) TBD_Page 2f (2) 5 80" xfId="15561"/>
    <cellStyle name="Comma (0,000) TBD-_Page 2f (2) 5 80" xfId="15562"/>
    <cellStyle name="Comma (0,000) TBD_Page 2f (2) 5 81" xfId="15563"/>
    <cellStyle name="Comma (0,000) TBD-_Page 2f (2) 5 81" xfId="15564"/>
    <cellStyle name="Comma (0,000) TBD_Page 2f (2) 5 82" xfId="15565"/>
    <cellStyle name="Comma (0,000) TBD-_Page 2f (2) 5 82" xfId="15566"/>
    <cellStyle name="Comma (0,000) TBD_Page 2f (2) 5 83" xfId="15567"/>
    <cellStyle name="Comma (0,000) TBD-_Page 2f (2) 5 83" xfId="15568"/>
    <cellStyle name="Comma (0,000) TBD_Page 2f (2) 5 84" xfId="15569"/>
    <cellStyle name="Comma (0,000) TBD-_Page 2f (2) 5 84" xfId="15570"/>
    <cellStyle name="Comma (0,000) TBD_Page 2f (2) 5 85" xfId="15571"/>
    <cellStyle name="Comma (0,000) TBD-_Page 2f (2) 5 85" xfId="15572"/>
    <cellStyle name="Comma (0,000) TBD_Page 2f (2) 5 86" xfId="15573"/>
    <cellStyle name="Comma (0,000) TBD-_Page 2f (2) 5 86" xfId="15574"/>
    <cellStyle name="Comma (0,000) TBD_Page 2f (2) 5 87" xfId="15575"/>
    <cellStyle name="Comma (0,000) TBD-_Page 2f (2) 5 87" xfId="15576"/>
    <cellStyle name="Comma (0,000) TBD_Page 2f (2) 5 88" xfId="15577"/>
    <cellStyle name="Comma (0,000) TBD-_Page 2f (2) 5 88" xfId="15578"/>
    <cellStyle name="Comma (0,000) TBD_Page 2f (2) 5 89" xfId="15579"/>
    <cellStyle name="Comma (0,000) TBD-_Page 2f (2) 5 89" xfId="15580"/>
    <cellStyle name="Comma (0,000) TBD_Page 2f (2) 5 9" xfId="15581"/>
    <cellStyle name="Comma (0,000) TBD-_Page 2f (2) 5 9" xfId="15582"/>
    <cellStyle name="Comma (0,000) TBD_Page 2f (2) 5 90" xfId="15583"/>
    <cellStyle name="Comma (0,000) TBD-_Page 2f (2) 5 90" xfId="15584"/>
    <cellStyle name="Comma (0,000) TBD_Page 2f (2) 5 91" xfId="15585"/>
    <cellStyle name="Comma (0,000) TBD-_Page 2f (2) 5 91" xfId="15586"/>
    <cellStyle name="Comma (0,000) TBD_Page 2f (2) 5 92" xfId="15587"/>
    <cellStyle name="Comma (0,000) TBD-_Page 2f (2) 5 92" xfId="15588"/>
    <cellStyle name="Comma (0,000) TBD_Page 2f (2) 5 93" xfId="15589"/>
    <cellStyle name="Comma (0,000) TBD-_Page 2f (2) 5 93" xfId="15590"/>
    <cellStyle name="Comma (0,000) TBD_Page 2f (2) 5 94" xfId="15591"/>
    <cellStyle name="Comma (0,000) TBD-_Page 2f (2) 5 94" xfId="15592"/>
    <cellStyle name="Comma (0,000) TBD_Page 2f (2) 5 95" xfId="15593"/>
    <cellStyle name="Comma (0,000) TBD-_Page 2f (2) 5 95" xfId="15594"/>
    <cellStyle name="Comma (0,000) TBD_Page 2f (2) 5 96" xfId="15595"/>
    <cellStyle name="Comma (0,000) TBD-_Page 2f (2) 5 96" xfId="15596"/>
    <cellStyle name="Comma (0,000) TBD_Page 2f (2) 5 97" xfId="15597"/>
    <cellStyle name="Comma (0,000) TBD-_Page 2f (2) 5 97" xfId="15598"/>
    <cellStyle name="Comma (0,000) TBD_Page 2f (2) 5 98" xfId="15599"/>
    <cellStyle name="Comma (0,000) TBD-_Page 2f (2) 5 98" xfId="15600"/>
    <cellStyle name="Comma (0,000) TBD_Page 2f (2) 5 99" xfId="15601"/>
    <cellStyle name="Comma (0,000) TBD-_Page 2f (2) 5 99" xfId="15602"/>
    <cellStyle name="Comma (0,000) TBD_Page 2f (2) 6" xfId="15603"/>
    <cellStyle name="Comma (0,000) TBD-_Page 2f (2) 6" xfId="15604"/>
    <cellStyle name="Comma (0,000) TBD_Page 2f (2) 6 10" xfId="15605"/>
    <cellStyle name="Comma (0,000) TBD-_Page 2f (2) 6 10" xfId="15606"/>
    <cellStyle name="Comma (0,000) TBD_Page 2f (2) 6 100" xfId="15607"/>
    <cellStyle name="Comma (0,000) TBD-_Page 2f (2) 6 100" xfId="15608"/>
    <cellStyle name="Comma (0,000) TBD_Page 2f (2) 6 101" xfId="15609"/>
    <cellStyle name="Comma (0,000) TBD-_Page 2f (2) 6 101" xfId="15610"/>
    <cellStyle name="Comma (0,000) TBD_Page 2f (2) 6 102" xfId="15611"/>
    <cellStyle name="Comma (0,000) TBD-_Page 2f (2) 6 102" xfId="15612"/>
    <cellStyle name="Comma (0,000) TBD_Page 2f (2) 6 103" xfId="15613"/>
    <cellStyle name="Comma (0,000) TBD-_Page 2f (2) 6 103" xfId="15614"/>
    <cellStyle name="Comma (0,000) TBD_Page 2f (2) 6 104" xfId="15615"/>
    <cellStyle name="Comma (0,000) TBD-_Page 2f (2) 6 104" xfId="15616"/>
    <cellStyle name="Comma (0,000) TBD_Page 2f (2) 6 105" xfId="15617"/>
    <cellStyle name="Comma (0,000) TBD-_Page 2f (2) 6 105" xfId="15618"/>
    <cellStyle name="Comma (0,000) TBD_Page 2f (2) 6 106" xfId="15619"/>
    <cellStyle name="Comma (0,000) TBD-_Page 2f (2) 6 106" xfId="15620"/>
    <cellStyle name="Comma (0,000) TBD_Page 2f (2) 6 107" xfId="15621"/>
    <cellStyle name="Comma (0,000) TBD-_Page 2f (2) 6 107" xfId="15622"/>
    <cellStyle name="Comma (0,000) TBD_Page 2f (2) 6 108" xfId="15623"/>
    <cellStyle name="Comma (0,000) TBD-_Page 2f (2) 6 108" xfId="15624"/>
    <cellStyle name="Comma (0,000) TBD_Page 2f (2) 6 109" xfId="15625"/>
    <cellStyle name="Comma (0,000) TBD-_Page 2f (2) 6 109" xfId="15626"/>
    <cellStyle name="Comma (0,000) TBD_Page 2f (2) 6 11" xfId="15627"/>
    <cellStyle name="Comma (0,000) TBD-_Page 2f (2) 6 11" xfId="15628"/>
    <cellStyle name="Comma (0,000) TBD_Page 2f (2) 6 110" xfId="15629"/>
    <cellStyle name="Comma (0,000) TBD-_Page 2f (2) 6 110" xfId="15630"/>
    <cellStyle name="Comma (0,000) TBD_Page 2f (2) 6 111" xfId="15631"/>
    <cellStyle name="Comma (0,000) TBD-_Page 2f (2) 6 111" xfId="15632"/>
    <cellStyle name="Comma (0,000) TBD_Page 2f (2) 6 112" xfId="15633"/>
    <cellStyle name="Comma (0,000) TBD-_Page 2f (2) 6 112" xfId="15634"/>
    <cellStyle name="Comma (0,000) TBD_Page 2f (2) 6 113" xfId="15635"/>
    <cellStyle name="Comma (0,000) TBD-_Page 2f (2) 6 113" xfId="15636"/>
    <cellStyle name="Comma (0,000) TBD_Page 2f (2) 6 114" xfId="15637"/>
    <cellStyle name="Comma (0,000) TBD-_Page 2f (2) 6 114" xfId="15638"/>
    <cellStyle name="Comma (0,000) TBD_Page 2f (2) 6 115" xfId="15639"/>
    <cellStyle name="Comma (0,000) TBD-_Page 2f (2) 6 115" xfId="15640"/>
    <cellStyle name="Comma (0,000) TBD_Page 2f (2) 6 116" xfId="15641"/>
    <cellStyle name="Comma (0,000) TBD-_Page 2f (2) 6 116" xfId="15642"/>
    <cellStyle name="Comma (0,000) TBD_Page 2f (2) 6 117" xfId="15643"/>
    <cellStyle name="Comma (0,000) TBD-_Page 2f (2) 6 117" xfId="15644"/>
    <cellStyle name="Comma (0,000) TBD_Page 2f (2) 6 118" xfId="15645"/>
    <cellStyle name="Comma (0,000) TBD-_Page 2f (2) 6 118" xfId="15646"/>
    <cellStyle name="Comma (0,000) TBD_Page 2f (2) 6 119" xfId="15647"/>
    <cellStyle name="Comma (0,000) TBD-_Page 2f (2) 6 119" xfId="15648"/>
    <cellStyle name="Comma (0,000) TBD_Page 2f (2) 6 12" xfId="15649"/>
    <cellStyle name="Comma (0,000) TBD-_Page 2f (2) 6 12" xfId="15650"/>
    <cellStyle name="Comma (0,000) TBD_Page 2f (2) 6 120" xfId="15651"/>
    <cellStyle name="Comma (0,000) TBD-_Page 2f (2) 6 120" xfId="15652"/>
    <cellStyle name="Comma (0,000) TBD_Page 2f (2) 6 121" xfId="15653"/>
    <cellStyle name="Comma (0,000) TBD-_Page 2f (2) 6 121" xfId="15654"/>
    <cellStyle name="Comma (0,000) TBD_Page 2f (2) 6 122" xfId="15655"/>
    <cellStyle name="Comma (0,000) TBD-_Page 2f (2) 6 122" xfId="15656"/>
    <cellStyle name="Comma (0,000) TBD_Page 2f (2) 6 123" xfId="15657"/>
    <cellStyle name="Comma (0,000) TBD-_Page 2f (2) 6 123" xfId="15658"/>
    <cellStyle name="Comma (0,000) TBD_Page 2f (2) 6 124" xfId="15659"/>
    <cellStyle name="Comma (0,000) TBD-_Page 2f (2) 6 124" xfId="15660"/>
    <cellStyle name="Comma (0,000) TBD_Page 2f (2) 6 125" xfId="15661"/>
    <cellStyle name="Comma (0,000) TBD-_Page 2f (2) 6 125" xfId="15662"/>
    <cellStyle name="Comma (0,000) TBD_Page 2f (2) 6 126" xfId="15663"/>
    <cellStyle name="Comma (0,000) TBD-_Page 2f (2) 6 126" xfId="15664"/>
    <cellStyle name="Comma (0,000) TBD_Page 2f (2) 6 127" xfId="15665"/>
    <cellStyle name="Comma (0,000) TBD-_Page 2f (2) 6 127" xfId="15666"/>
    <cellStyle name="Comma (0,000) TBD_Page 2f (2) 6 128" xfId="15667"/>
    <cellStyle name="Comma (0,000) TBD-_Page 2f (2) 6 128" xfId="15668"/>
    <cellStyle name="Comma (0,000) TBD_Page 2f (2) 6 129" xfId="15669"/>
    <cellStyle name="Comma (0,000) TBD-_Page 2f (2) 6 129" xfId="15670"/>
    <cellStyle name="Comma (0,000) TBD_Page 2f (2) 6 13" xfId="15671"/>
    <cellStyle name="Comma (0,000) TBD-_Page 2f (2) 6 13" xfId="15672"/>
    <cellStyle name="Comma (0,000) TBD_Page 2f (2) 6 130" xfId="15673"/>
    <cellStyle name="Comma (0,000) TBD-_Page 2f (2) 6 130" xfId="15674"/>
    <cellStyle name="Comma (0,000) TBD_Page 2f (2) 6 131" xfId="15675"/>
    <cellStyle name="Comma (0,000) TBD-_Page 2f (2) 6 131" xfId="15676"/>
    <cellStyle name="Comma (0,000) TBD_Page 2f (2) 6 132" xfId="15677"/>
    <cellStyle name="Comma (0,000) TBD-_Page 2f (2) 6 132" xfId="15678"/>
    <cellStyle name="Comma (0,000) TBD_Page 2f (2) 6 133" xfId="15679"/>
    <cellStyle name="Comma (0,000) TBD-_Page 2f (2) 6 133" xfId="15680"/>
    <cellStyle name="Comma (0,000) TBD_Page 2f (2) 6 134" xfId="15681"/>
    <cellStyle name="Comma (0,000) TBD-_Page 2f (2) 6 134" xfId="15682"/>
    <cellStyle name="Comma (0,000) TBD_Page 2f (2) 6 135" xfId="15683"/>
    <cellStyle name="Comma (0,000) TBD-_Page 2f (2) 6 135" xfId="15684"/>
    <cellStyle name="Comma (0,000) TBD_Page 2f (2) 6 136" xfId="15685"/>
    <cellStyle name="Comma (0,000) TBD-_Page 2f (2) 6 136" xfId="15686"/>
    <cellStyle name="Comma (0,000) TBD_Page 2f (2) 6 137" xfId="15687"/>
    <cellStyle name="Comma (0,000) TBD-_Page 2f (2) 6 137" xfId="15688"/>
    <cellStyle name="Comma (0,000) TBD_Page 2f (2) 6 138" xfId="15689"/>
    <cellStyle name="Comma (0,000) TBD-_Page 2f (2) 6 138" xfId="15690"/>
    <cellStyle name="Comma (0,000) TBD_Page 2f (2) 6 139" xfId="15691"/>
    <cellStyle name="Comma (0,000) TBD-_Page 2f (2) 6 139" xfId="15692"/>
    <cellStyle name="Comma (0,000) TBD_Page 2f (2) 6 14" xfId="15693"/>
    <cellStyle name="Comma (0,000) TBD-_Page 2f (2) 6 14" xfId="15694"/>
    <cellStyle name="Comma (0,000) TBD_Page 2f (2) 6 140" xfId="15695"/>
    <cellStyle name="Comma (0,000) TBD-_Page 2f (2) 6 140" xfId="15696"/>
    <cellStyle name="Comma (0,000) TBD_Page 2f (2) 6 141" xfId="15697"/>
    <cellStyle name="Comma (0,000) TBD-_Page 2f (2) 6 141" xfId="15698"/>
    <cellStyle name="Comma (0,000) TBD_Page 2f (2) 6 142" xfId="15699"/>
    <cellStyle name="Comma (0,000) TBD-_Page 2f (2) 6 142" xfId="15700"/>
    <cellStyle name="Comma (0,000) TBD_Page 2f (2) 6 143" xfId="15701"/>
    <cellStyle name="Comma (0,000) TBD-_Page 2f (2) 6 143" xfId="15702"/>
    <cellStyle name="Comma (0,000) TBD_Page 2f (2) 6 144" xfId="15703"/>
    <cellStyle name="Comma (0,000) TBD-_Page 2f (2) 6 144" xfId="15704"/>
    <cellStyle name="Comma (0,000) TBD_Page 2f (2) 6 145" xfId="15705"/>
    <cellStyle name="Comma (0,000) TBD-_Page 2f (2) 6 145" xfId="15706"/>
    <cellStyle name="Comma (0,000) TBD_Page 2f (2) 6 146" xfId="15707"/>
    <cellStyle name="Comma (0,000) TBD-_Page 2f (2) 6 146" xfId="15708"/>
    <cellStyle name="Comma (0,000) TBD_Page 2f (2) 6 147" xfId="15709"/>
    <cellStyle name="Comma (0,000) TBD-_Page 2f (2) 6 147" xfId="15710"/>
    <cellStyle name="Comma (0,000) TBD_Page 2f (2) 6 148" xfId="15711"/>
    <cellStyle name="Comma (0,000) TBD-_Page 2f (2) 6 148" xfId="15712"/>
    <cellStyle name="Comma (0,000) TBD_Page 2f (2) 6 149" xfId="15713"/>
    <cellStyle name="Comma (0,000) TBD-_Page 2f (2) 6 149" xfId="15714"/>
    <cellStyle name="Comma (0,000) TBD_Page 2f (2) 6 15" xfId="15715"/>
    <cellStyle name="Comma (0,000) TBD-_Page 2f (2) 6 15" xfId="15716"/>
    <cellStyle name="Comma (0,000) TBD_Page 2f (2) 6 150" xfId="15717"/>
    <cellStyle name="Comma (0,000) TBD-_Page 2f (2) 6 150" xfId="15718"/>
    <cellStyle name="Comma (0,000) TBD_Page 2f (2) 6 151" xfId="15719"/>
    <cellStyle name="Comma (0,000) TBD-_Page 2f (2) 6 151" xfId="15720"/>
    <cellStyle name="Comma (0,000) TBD_Page 2f (2) 6 152" xfId="15721"/>
    <cellStyle name="Comma (0,000) TBD-_Page 2f (2) 6 152" xfId="15722"/>
    <cellStyle name="Comma (0,000) TBD_Page 2f (2) 6 153" xfId="15723"/>
    <cellStyle name="Comma (0,000) TBD-_Page 2f (2) 6 153" xfId="15724"/>
    <cellStyle name="Comma (0,000) TBD_Page 2f (2) 6 16" xfId="15725"/>
    <cellStyle name="Comma (0,000) TBD-_Page 2f (2) 6 16" xfId="15726"/>
    <cellStyle name="Comma (0,000) TBD_Page 2f (2) 6 17" xfId="15727"/>
    <cellStyle name="Comma (0,000) TBD-_Page 2f (2) 6 17" xfId="15728"/>
    <cellStyle name="Comma (0,000) TBD_Page 2f (2) 6 18" xfId="15729"/>
    <cellStyle name="Comma (0,000) TBD-_Page 2f (2) 6 18" xfId="15730"/>
    <cellStyle name="Comma (0,000) TBD_Page 2f (2) 6 19" xfId="15731"/>
    <cellStyle name="Comma (0,000) TBD-_Page 2f (2) 6 19" xfId="15732"/>
    <cellStyle name="Comma (0,000) TBD_Page 2f (2) 6 2" xfId="15733"/>
    <cellStyle name="Comma (0,000) TBD-_Page 2f (2) 6 2" xfId="15734"/>
    <cellStyle name="Comma (0,000) TBD_Page 2f (2) 6 20" xfId="15735"/>
    <cellStyle name="Comma (0,000) TBD-_Page 2f (2) 6 20" xfId="15736"/>
    <cellStyle name="Comma (0,000) TBD_Page 2f (2) 6 21" xfId="15737"/>
    <cellStyle name="Comma (0,000) TBD-_Page 2f (2) 6 21" xfId="15738"/>
    <cellStyle name="Comma (0,000) TBD_Page 2f (2) 6 22" xfId="15739"/>
    <cellStyle name="Comma (0,000) TBD-_Page 2f (2) 6 22" xfId="15740"/>
    <cellStyle name="Comma (0,000) TBD_Page 2f (2) 6 23" xfId="15741"/>
    <cellStyle name="Comma (0,000) TBD-_Page 2f (2) 6 23" xfId="15742"/>
    <cellStyle name="Comma (0,000) TBD_Page 2f (2) 6 24" xfId="15743"/>
    <cellStyle name="Comma (0,000) TBD-_Page 2f (2) 6 24" xfId="15744"/>
    <cellStyle name="Comma (0,000) TBD_Page 2f (2) 6 25" xfId="15745"/>
    <cellStyle name="Comma (0,000) TBD-_Page 2f (2) 6 25" xfId="15746"/>
    <cellStyle name="Comma (0,000) TBD_Page 2f (2) 6 26" xfId="15747"/>
    <cellStyle name="Comma (0,000) TBD-_Page 2f (2) 6 26" xfId="15748"/>
    <cellStyle name="Comma (0,000) TBD_Page 2f (2) 6 27" xfId="15749"/>
    <cellStyle name="Comma (0,000) TBD-_Page 2f (2) 6 27" xfId="15750"/>
    <cellStyle name="Comma (0,000) TBD_Page 2f (2) 6 28" xfId="15751"/>
    <cellStyle name="Comma (0,000) TBD-_Page 2f (2) 6 28" xfId="15752"/>
    <cellStyle name="Comma (0,000) TBD_Page 2f (2) 6 29" xfId="15753"/>
    <cellStyle name="Comma (0,000) TBD-_Page 2f (2) 6 29" xfId="15754"/>
    <cellStyle name="Comma (0,000) TBD_Page 2f (2) 6 3" xfId="15755"/>
    <cellStyle name="Comma (0,000) TBD-_Page 2f (2) 6 3" xfId="15756"/>
    <cellStyle name="Comma (0,000) TBD_Page 2f (2) 6 30" xfId="15757"/>
    <cellStyle name="Comma (0,000) TBD-_Page 2f (2) 6 30" xfId="15758"/>
    <cellStyle name="Comma (0,000) TBD_Page 2f (2) 6 31" xfId="15759"/>
    <cellStyle name="Comma (0,000) TBD-_Page 2f (2) 6 31" xfId="15760"/>
    <cellStyle name="Comma (0,000) TBD_Page 2f (2) 6 32" xfId="15761"/>
    <cellStyle name="Comma (0,000) TBD-_Page 2f (2) 6 32" xfId="15762"/>
    <cellStyle name="Comma (0,000) TBD_Page 2f (2) 6 33" xfId="15763"/>
    <cellStyle name="Comma (0,000) TBD-_Page 2f (2) 6 33" xfId="15764"/>
    <cellStyle name="Comma (0,000) TBD_Page 2f (2) 6 34" xfId="15765"/>
    <cellStyle name="Comma (0,000) TBD-_Page 2f (2) 6 34" xfId="15766"/>
    <cellStyle name="Comma (0,000) TBD_Page 2f (2) 6 35" xfId="15767"/>
    <cellStyle name="Comma (0,000) TBD-_Page 2f (2) 6 35" xfId="15768"/>
    <cellStyle name="Comma (0,000) TBD_Page 2f (2) 6 36" xfId="15769"/>
    <cellStyle name="Comma (0,000) TBD-_Page 2f (2) 6 36" xfId="15770"/>
    <cellStyle name="Comma (0,000) TBD_Page 2f (2) 6 37" xfId="15771"/>
    <cellStyle name="Comma (0,000) TBD-_Page 2f (2) 6 37" xfId="15772"/>
    <cellStyle name="Comma (0,000) TBD_Page 2f (2) 6 38" xfId="15773"/>
    <cellStyle name="Comma (0,000) TBD-_Page 2f (2) 6 38" xfId="15774"/>
    <cellStyle name="Comma (0,000) TBD_Page 2f (2) 6 39" xfId="15775"/>
    <cellStyle name="Comma (0,000) TBD-_Page 2f (2) 6 39" xfId="15776"/>
    <cellStyle name="Comma (0,000) TBD_Page 2f (2) 6 4" xfId="15777"/>
    <cellStyle name="Comma (0,000) TBD-_Page 2f (2) 6 4" xfId="15778"/>
    <cellStyle name="Comma (0,000) TBD_Page 2f (2) 6 40" xfId="15779"/>
    <cellStyle name="Comma (0,000) TBD-_Page 2f (2) 6 40" xfId="15780"/>
    <cellStyle name="Comma (0,000) TBD_Page 2f (2) 6 41" xfId="15781"/>
    <cellStyle name="Comma (0,000) TBD-_Page 2f (2) 6 41" xfId="15782"/>
    <cellStyle name="Comma (0,000) TBD_Page 2f (2) 6 42" xfId="15783"/>
    <cellStyle name="Comma (0,000) TBD-_Page 2f (2) 6 42" xfId="15784"/>
    <cellStyle name="Comma (0,000) TBD_Page 2f (2) 6 43" xfId="15785"/>
    <cellStyle name="Comma (0,000) TBD-_Page 2f (2) 6 43" xfId="15786"/>
    <cellStyle name="Comma (0,000) TBD_Page 2f (2) 6 44" xfId="15787"/>
    <cellStyle name="Comma (0,000) TBD-_Page 2f (2) 6 44" xfId="15788"/>
    <cellStyle name="Comma (0,000) TBD_Page 2f (2) 6 45" xfId="15789"/>
    <cellStyle name="Comma (0,000) TBD-_Page 2f (2) 6 45" xfId="15790"/>
    <cellStyle name="Comma (0,000) TBD_Page 2f (2) 6 46" xfId="15791"/>
    <cellStyle name="Comma (0,000) TBD-_Page 2f (2) 6 46" xfId="15792"/>
    <cellStyle name="Comma (0,000) TBD_Page 2f (2) 6 47" xfId="15793"/>
    <cellStyle name="Comma (0,000) TBD-_Page 2f (2) 6 47" xfId="15794"/>
    <cellStyle name="Comma (0,000) TBD_Page 2f (2) 6 48" xfId="15795"/>
    <cellStyle name="Comma (0,000) TBD-_Page 2f (2) 6 48" xfId="15796"/>
    <cellStyle name="Comma (0,000) TBD_Page 2f (2) 6 49" xfId="15797"/>
    <cellStyle name="Comma (0,000) TBD-_Page 2f (2) 6 49" xfId="15798"/>
    <cellStyle name="Comma (0,000) TBD_Page 2f (2) 6 5" xfId="15799"/>
    <cellStyle name="Comma (0,000) TBD-_Page 2f (2) 6 5" xfId="15800"/>
    <cellStyle name="Comma (0,000) TBD_Page 2f (2) 6 50" xfId="15801"/>
    <cellStyle name="Comma (0,000) TBD-_Page 2f (2) 6 50" xfId="15802"/>
    <cellStyle name="Comma (0,000) TBD_Page 2f (2) 6 51" xfId="15803"/>
    <cellStyle name="Comma (0,000) TBD-_Page 2f (2) 6 51" xfId="15804"/>
    <cellStyle name="Comma (0,000) TBD_Page 2f (2) 6 52" xfId="15805"/>
    <cellStyle name="Comma (0,000) TBD-_Page 2f (2) 6 52" xfId="15806"/>
    <cellStyle name="Comma (0,000) TBD_Page 2f (2) 6 53" xfId="15807"/>
    <cellStyle name="Comma (0,000) TBD-_Page 2f (2) 6 53" xfId="15808"/>
    <cellStyle name="Comma (0,000) TBD_Page 2f (2) 6 54" xfId="15809"/>
    <cellStyle name="Comma (0,000) TBD-_Page 2f (2) 6 54" xfId="15810"/>
    <cellStyle name="Comma (0,000) TBD_Page 2f (2) 6 55" xfId="15811"/>
    <cellStyle name="Comma (0,000) TBD-_Page 2f (2) 6 55" xfId="15812"/>
    <cellStyle name="Comma (0,000) TBD_Page 2f (2) 6 56" xfId="15813"/>
    <cellStyle name="Comma (0,000) TBD-_Page 2f (2) 6 56" xfId="15814"/>
    <cellStyle name="Comma (0,000) TBD_Page 2f (2) 6 57" xfId="15815"/>
    <cellStyle name="Comma (0,000) TBD-_Page 2f (2) 6 57" xfId="15816"/>
    <cellStyle name="Comma (0,000) TBD_Page 2f (2) 6 58" xfId="15817"/>
    <cellStyle name="Comma (0,000) TBD-_Page 2f (2) 6 58" xfId="15818"/>
    <cellStyle name="Comma (0,000) TBD_Page 2f (2) 6 59" xfId="15819"/>
    <cellStyle name="Comma (0,000) TBD-_Page 2f (2) 6 59" xfId="15820"/>
    <cellStyle name="Comma (0,000) TBD_Page 2f (2) 6 6" xfId="15821"/>
    <cellStyle name="Comma (0,000) TBD-_Page 2f (2) 6 6" xfId="15822"/>
    <cellStyle name="Comma (0,000) TBD_Page 2f (2) 6 60" xfId="15823"/>
    <cellStyle name="Comma (0,000) TBD-_Page 2f (2) 6 60" xfId="15824"/>
    <cellStyle name="Comma (0,000) TBD_Page 2f (2) 6 61" xfId="15825"/>
    <cellStyle name="Comma (0,000) TBD-_Page 2f (2) 6 61" xfId="15826"/>
    <cellStyle name="Comma (0,000) TBD_Page 2f (2) 6 62" xfId="15827"/>
    <cellStyle name="Comma (0,000) TBD-_Page 2f (2) 6 62" xfId="15828"/>
    <cellStyle name="Comma (0,000) TBD_Page 2f (2) 6 63" xfId="15829"/>
    <cellStyle name="Comma (0,000) TBD-_Page 2f (2) 6 63" xfId="15830"/>
    <cellStyle name="Comma (0,000) TBD_Page 2f (2) 6 64" xfId="15831"/>
    <cellStyle name="Comma (0,000) TBD-_Page 2f (2) 6 64" xfId="15832"/>
    <cellStyle name="Comma (0,000) TBD_Page 2f (2) 6 65" xfId="15833"/>
    <cellStyle name="Comma (0,000) TBD-_Page 2f (2) 6 65" xfId="15834"/>
    <cellStyle name="Comma (0,000) TBD_Page 2f (2) 6 66" xfId="15835"/>
    <cellStyle name="Comma (0,000) TBD-_Page 2f (2) 6 66" xfId="15836"/>
    <cellStyle name="Comma (0,000) TBD_Page 2f (2) 6 67" xfId="15837"/>
    <cellStyle name="Comma (0,000) TBD-_Page 2f (2) 6 67" xfId="15838"/>
    <cellStyle name="Comma (0,000) TBD_Page 2f (2) 6 68" xfId="15839"/>
    <cellStyle name="Comma (0,000) TBD-_Page 2f (2) 6 68" xfId="15840"/>
    <cellStyle name="Comma (0,000) TBD_Page 2f (2) 6 69" xfId="15841"/>
    <cellStyle name="Comma (0,000) TBD-_Page 2f (2) 6 69" xfId="15842"/>
    <cellStyle name="Comma (0,000) TBD_Page 2f (2) 6 7" xfId="15843"/>
    <cellStyle name="Comma (0,000) TBD-_Page 2f (2) 6 7" xfId="15844"/>
    <cellStyle name="Comma (0,000) TBD_Page 2f (2) 6 70" xfId="15845"/>
    <cellStyle name="Comma (0,000) TBD-_Page 2f (2) 6 70" xfId="15846"/>
    <cellStyle name="Comma (0,000) TBD_Page 2f (2) 6 71" xfId="15847"/>
    <cellStyle name="Comma (0,000) TBD-_Page 2f (2) 6 71" xfId="15848"/>
    <cellStyle name="Comma (0,000) TBD_Page 2f (2) 6 72" xfId="15849"/>
    <cellStyle name="Comma (0,000) TBD-_Page 2f (2) 6 72" xfId="15850"/>
    <cellStyle name="Comma (0,000) TBD_Page 2f (2) 6 73" xfId="15851"/>
    <cellStyle name="Comma (0,000) TBD-_Page 2f (2) 6 73" xfId="15852"/>
    <cellStyle name="Comma (0,000) TBD_Page 2f (2) 6 74" xfId="15853"/>
    <cellStyle name="Comma (0,000) TBD-_Page 2f (2) 6 74" xfId="15854"/>
    <cellStyle name="Comma (0,000) TBD_Page 2f (2) 6 75" xfId="15855"/>
    <cellStyle name="Comma (0,000) TBD-_Page 2f (2) 6 75" xfId="15856"/>
    <cellStyle name="Comma (0,000) TBD_Page 2f (2) 6 76" xfId="15857"/>
    <cellStyle name="Comma (0,000) TBD-_Page 2f (2) 6 76" xfId="15858"/>
    <cellStyle name="Comma (0,000) TBD_Page 2f (2) 6 77" xfId="15859"/>
    <cellStyle name="Comma (0,000) TBD-_Page 2f (2) 6 77" xfId="15860"/>
    <cellStyle name="Comma (0,000) TBD_Page 2f (2) 6 78" xfId="15861"/>
    <cellStyle name="Comma (0,000) TBD-_Page 2f (2) 6 78" xfId="15862"/>
    <cellStyle name="Comma (0,000) TBD_Page 2f (2) 6 79" xfId="15863"/>
    <cellStyle name="Comma (0,000) TBD-_Page 2f (2) 6 79" xfId="15864"/>
    <cellStyle name="Comma (0,000) TBD_Page 2f (2) 6 8" xfId="15865"/>
    <cellStyle name="Comma (0,000) TBD-_Page 2f (2) 6 8" xfId="15866"/>
    <cellStyle name="Comma (0,000) TBD_Page 2f (2) 6 80" xfId="15867"/>
    <cellStyle name="Comma (0,000) TBD-_Page 2f (2) 6 80" xfId="15868"/>
    <cellStyle name="Comma (0,000) TBD_Page 2f (2) 6 81" xfId="15869"/>
    <cellStyle name="Comma (0,000) TBD-_Page 2f (2) 6 81" xfId="15870"/>
    <cellStyle name="Comma (0,000) TBD_Page 2f (2) 6 82" xfId="15871"/>
    <cellStyle name="Comma (0,000) TBD-_Page 2f (2) 6 82" xfId="15872"/>
    <cellStyle name="Comma (0,000) TBD_Page 2f (2) 6 83" xfId="15873"/>
    <cellStyle name="Comma (0,000) TBD-_Page 2f (2) 6 83" xfId="15874"/>
    <cellStyle name="Comma (0,000) TBD_Page 2f (2) 6 84" xfId="15875"/>
    <cellStyle name="Comma (0,000) TBD-_Page 2f (2) 6 84" xfId="15876"/>
    <cellStyle name="Comma (0,000) TBD_Page 2f (2) 6 85" xfId="15877"/>
    <cellStyle name="Comma (0,000) TBD-_Page 2f (2) 6 85" xfId="15878"/>
    <cellStyle name="Comma (0,000) TBD_Page 2f (2) 6 86" xfId="15879"/>
    <cellStyle name="Comma (0,000) TBD-_Page 2f (2) 6 86" xfId="15880"/>
    <cellStyle name="Comma (0,000) TBD_Page 2f (2) 6 87" xfId="15881"/>
    <cellStyle name="Comma (0,000) TBD-_Page 2f (2) 6 87" xfId="15882"/>
    <cellStyle name="Comma (0,000) TBD_Page 2f (2) 6 88" xfId="15883"/>
    <cellStyle name="Comma (0,000) TBD-_Page 2f (2) 6 88" xfId="15884"/>
    <cellStyle name="Comma (0,000) TBD_Page 2f (2) 6 89" xfId="15885"/>
    <cellStyle name="Comma (0,000) TBD-_Page 2f (2) 6 89" xfId="15886"/>
    <cellStyle name="Comma (0,000) TBD_Page 2f (2) 6 9" xfId="15887"/>
    <cellStyle name="Comma (0,000) TBD-_Page 2f (2) 6 9" xfId="15888"/>
    <cellStyle name="Comma (0,000) TBD_Page 2f (2) 6 90" xfId="15889"/>
    <cellStyle name="Comma (0,000) TBD-_Page 2f (2) 6 90" xfId="15890"/>
    <cellStyle name="Comma (0,000) TBD_Page 2f (2) 6 91" xfId="15891"/>
    <cellStyle name="Comma (0,000) TBD-_Page 2f (2) 6 91" xfId="15892"/>
    <cellStyle name="Comma (0,000) TBD_Page 2f (2) 6 92" xfId="15893"/>
    <cellStyle name="Comma (0,000) TBD-_Page 2f (2) 6 92" xfId="15894"/>
    <cellStyle name="Comma (0,000) TBD_Page 2f (2) 6 93" xfId="15895"/>
    <cellStyle name="Comma (0,000) TBD-_Page 2f (2) 6 93" xfId="15896"/>
    <cellStyle name="Comma (0,000) TBD_Page 2f (2) 6 94" xfId="15897"/>
    <cellStyle name="Comma (0,000) TBD-_Page 2f (2) 6 94" xfId="15898"/>
    <cellStyle name="Comma (0,000) TBD_Page 2f (2) 6 95" xfId="15899"/>
    <cellStyle name="Comma (0,000) TBD-_Page 2f (2) 6 95" xfId="15900"/>
    <cellStyle name="Comma (0,000) TBD_Page 2f (2) 6 96" xfId="15901"/>
    <cellStyle name="Comma (0,000) TBD-_Page 2f (2) 6 96" xfId="15902"/>
    <cellStyle name="Comma (0,000) TBD_Page 2f (2) 6 97" xfId="15903"/>
    <cellStyle name="Comma (0,000) TBD-_Page 2f (2) 6 97" xfId="15904"/>
    <cellStyle name="Comma (0,000) TBD_Page 2f (2) 6 98" xfId="15905"/>
    <cellStyle name="Comma (0,000) TBD-_Page 2f (2) 6 98" xfId="15906"/>
    <cellStyle name="Comma (0,000) TBD_Page 2f (2) 6 99" xfId="15907"/>
    <cellStyle name="Comma (0,000) TBD-_Page 2f (2) 6 99" xfId="15908"/>
    <cellStyle name="Comma (0,000) TBD_Page 2f (2) 7" xfId="15909"/>
    <cellStyle name="Comma (0,000) TBD-_Page 2f (2) 7" xfId="15910"/>
    <cellStyle name="Comma (0,000) TBD_Page 2f (2) 7 10" xfId="15911"/>
    <cellStyle name="Comma (0,000) TBD-_Page 2f (2) 7 10" xfId="15912"/>
    <cellStyle name="Comma (0,000) TBD_Page 2f (2) 7 100" xfId="15913"/>
    <cellStyle name="Comma (0,000) TBD-_Page 2f (2) 7 100" xfId="15914"/>
    <cellStyle name="Comma (0,000) TBD_Page 2f (2) 7 101" xfId="15915"/>
    <cellStyle name="Comma (0,000) TBD-_Page 2f (2) 7 101" xfId="15916"/>
    <cellStyle name="Comma (0,000) TBD_Page 2f (2) 7 102" xfId="15917"/>
    <cellStyle name="Comma (0,000) TBD-_Page 2f (2) 7 102" xfId="15918"/>
    <cellStyle name="Comma (0,000) TBD_Page 2f (2) 7 103" xfId="15919"/>
    <cellStyle name="Comma (0,000) TBD-_Page 2f (2) 7 103" xfId="15920"/>
    <cellStyle name="Comma (0,000) TBD_Page 2f (2) 7 104" xfId="15921"/>
    <cellStyle name="Comma (0,000) TBD-_Page 2f (2) 7 104" xfId="15922"/>
    <cellStyle name="Comma (0,000) TBD_Page 2f (2) 7 105" xfId="15923"/>
    <cellStyle name="Comma (0,000) TBD-_Page 2f (2) 7 105" xfId="15924"/>
    <cellStyle name="Comma (0,000) TBD_Page 2f (2) 7 106" xfId="15925"/>
    <cellStyle name="Comma (0,000) TBD-_Page 2f (2) 7 106" xfId="15926"/>
    <cellStyle name="Comma (0,000) TBD_Page 2f (2) 7 107" xfId="15927"/>
    <cellStyle name="Comma (0,000) TBD-_Page 2f (2) 7 107" xfId="15928"/>
    <cellStyle name="Comma (0,000) TBD_Page 2f (2) 7 108" xfId="15929"/>
    <cellStyle name="Comma (0,000) TBD-_Page 2f (2) 7 108" xfId="15930"/>
    <cellStyle name="Comma (0,000) TBD_Page 2f (2) 7 109" xfId="15931"/>
    <cellStyle name="Comma (0,000) TBD-_Page 2f (2) 7 109" xfId="15932"/>
    <cellStyle name="Comma (0,000) TBD_Page 2f (2) 7 11" xfId="15933"/>
    <cellStyle name="Comma (0,000) TBD-_Page 2f (2) 7 11" xfId="15934"/>
    <cellStyle name="Comma (0,000) TBD_Page 2f (2) 7 110" xfId="15935"/>
    <cellStyle name="Comma (0,000) TBD-_Page 2f (2) 7 110" xfId="15936"/>
    <cellStyle name="Comma (0,000) TBD_Page 2f (2) 7 111" xfId="15937"/>
    <cellStyle name="Comma (0,000) TBD-_Page 2f (2) 7 111" xfId="15938"/>
    <cellStyle name="Comma (0,000) TBD_Page 2f (2) 7 112" xfId="15939"/>
    <cellStyle name="Comma (0,000) TBD-_Page 2f (2) 7 112" xfId="15940"/>
    <cellStyle name="Comma (0,000) TBD_Page 2f (2) 7 113" xfId="15941"/>
    <cellStyle name="Comma (0,000) TBD-_Page 2f (2) 7 113" xfId="15942"/>
    <cellStyle name="Comma (0,000) TBD_Page 2f (2) 7 114" xfId="15943"/>
    <cellStyle name="Comma (0,000) TBD-_Page 2f (2) 7 114" xfId="15944"/>
    <cellStyle name="Comma (0,000) TBD_Page 2f (2) 7 115" xfId="15945"/>
    <cellStyle name="Comma (0,000) TBD-_Page 2f (2) 7 115" xfId="15946"/>
    <cellStyle name="Comma (0,000) TBD_Page 2f (2) 7 116" xfId="15947"/>
    <cellStyle name="Comma (0,000) TBD-_Page 2f (2) 7 116" xfId="15948"/>
    <cellStyle name="Comma (0,000) TBD_Page 2f (2) 7 117" xfId="15949"/>
    <cellStyle name="Comma (0,000) TBD-_Page 2f (2) 7 117" xfId="15950"/>
    <cellStyle name="Comma (0,000) TBD_Page 2f (2) 7 118" xfId="15951"/>
    <cellStyle name="Comma (0,000) TBD-_Page 2f (2) 7 118" xfId="15952"/>
    <cellStyle name="Comma (0,000) TBD_Page 2f (2) 7 119" xfId="15953"/>
    <cellStyle name="Comma (0,000) TBD-_Page 2f (2) 7 119" xfId="15954"/>
    <cellStyle name="Comma (0,000) TBD_Page 2f (2) 7 12" xfId="15955"/>
    <cellStyle name="Comma (0,000) TBD-_Page 2f (2) 7 12" xfId="15956"/>
    <cellStyle name="Comma (0,000) TBD_Page 2f (2) 7 120" xfId="15957"/>
    <cellStyle name="Comma (0,000) TBD-_Page 2f (2) 7 120" xfId="15958"/>
    <cellStyle name="Comma (0,000) TBD_Page 2f (2) 7 121" xfId="15959"/>
    <cellStyle name="Comma (0,000) TBD-_Page 2f (2) 7 121" xfId="15960"/>
    <cellStyle name="Comma (0,000) TBD_Page 2f (2) 7 122" xfId="15961"/>
    <cellStyle name="Comma (0,000) TBD-_Page 2f (2) 7 122" xfId="15962"/>
    <cellStyle name="Comma (0,000) TBD_Page 2f (2) 7 123" xfId="15963"/>
    <cellStyle name="Comma (0,000) TBD-_Page 2f (2) 7 123" xfId="15964"/>
    <cellStyle name="Comma (0,000) TBD_Page 2f (2) 7 124" xfId="15965"/>
    <cellStyle name="Comma (0,000) TBD-_Page 2f (2) 7 124" xfId="15966"/>
    <cellStyle name="Comma (0,000) TBD_Page 2f (2) 7 125" xfId="15967"/>
    <cellStyle name="Comma (0,000) TBD-_Page 2f (2) 7 125" xfId="15968"/>
    <cellStyle name="Comma (0,000) TBD_Page 2f (2) 7 126" xfId="15969"/>
    <cellStyle name="Comma (0,000) TBD-_Page 2f (2) 7 126" xfId="15970"/>
    <cellStyle name="Comma (0,000) TBD_Page 2f (2) 7 127" xfId="15971"/>
    <cellStyle name="Comma (0,000) TBD-_Page 2f (2) 7 127" xfId="15972"/>
    <cellStyle name="Comma (0,000) TBD_Page 2f (2) 7 128" xfId="15973"/>
    <cellStyle name="Comma (0,000) TBD-_Page 2f (2) 7 128" xfId="15974"/>
    <cellStyle name="Comma (0,000) TBD_Page 2f (2) 7 129" xfId="15975"/>
    <cellStyle name="Comma (0,000) TBD-_Page 2f (2) 7 129" xfId="15976"/>
    <cellStyle name="Comma (0,000) TBD_Page 2f (2) 7 13" xfId="15977"/>
    <cellStyle name="Comma (0,000) TBD-_Page 2f (2) 7 13" xfId="15978"/>
    <cellStyle name="Comma (0,000) TBD_Page 2f (2) 7 130" xfId="15979"/>
    <cellStyle name="Comma (0,000) TBD-_Page 2f (2) 7 130" xfId="15980"/>
    <cellStyle name="Comma (0,000) TBD_Page 2f (2) 7 131" xfId="15981"/>
    <cellStyle name="Comma (0,000) TBD-_Page 2f (2) 7 131" xfId="15982"/>
    <cellStyle name="Comma (0,000) TBD_Page 2f (2) 7 132" xfId="15983"/>
    <cellStyle name="Comma (0,000) TBD-_Page 2f (2) 7 132" xfId="15984"/>
    <cellStyle name="Comma (0,000) TBD_Page 2f (2) 7 133" xfId="15985"/>
    <cellStyle name="Comma (0,000) TBD-_Page 2f (2) 7 133" xfId="15986"/>
    <cellStyle name="Comma (0,000) TBD_Page 2f (2) 7 134" xfId="15987"/>
    <cellStyle name="Comma (0,000) TBD-_Page 2f (2) 7 134" xfId="15988"/>
    <cellStyle name="Comma (0,000) TBD_Page 2f (2) 7 135" xfId="15989"/>
    <cellStyle name="Comma (0,000) TBD-_Page 2f (2) 7 135" xfId="15990"/>
    <cellStyle name="Comma (0,000) TBD_Page 2f (2) 7 136" xfId="15991"/>
    <cellStyle name="Comma (0,000) TBD-_Page 2f (2) 7 136" xfId="15992"/>
    <cellStyle name="Comma (0,000) TBD_Page 2f (2) 7 137" xfId="15993"/>
    <cellStyle name="Comma (0,000) TBD-_Page 2f (2) 7 137" xfId="15994"/>
    <cellStyle name="Comma (0,000) TBD_Page 2f (2) 7 138" xfId="15995"/>
    <cellStyle name="Comma (0,000) TBD-_Page 2f (2) 7 138" xfId="15996"/>
    <cellStyle name="Comma (0,000) TBD_Page 2f (2) 7 139" xfId="15997"/>
    <cellStyle name="Comma (0,000) TBD-_Page 2f (2) 7 139" xfId="15998"/>
    <cellStyle name="Comma (0,000) TBD_Page 2f (2) 7 14" xfId="15999"/>
    <cellStyle name="Comma (0,000) TBD-_Page 2f (2) 7 14" xfId="16000"/>
    <cellStyle name="Comma (0,000) TBD_Page 2f (2) 7 140" xfId="16001"/>
    <cellStyle name="Comma (0,000) TBD-_Page 2f (2) 7 140" xfId="16002"/>
    <cellStyle name="Comma (0,000) TBD_Page 2f (2) 7 141" xfId="16003"/>
    <cellStyle name="Comma (0,000) TBD-_Page 2f (2) 7 141" xfId="16004"/>
    <cellStyle name="Comma (0,000) TBD_Page 2f (2) 7 142" xfId="16005"/>
    <cellStyle name="Comma (0,000) TBD-_Page 2f (2) 7 142" xfId="16006"/>
    <cellStyle name="Comma (0,000) TBD_Page 2f (2) 7 143" xfId="16007"/>
    <cellStyle name="Comma (0,000) TBD-_Page 2f (2) 7 143" xfId="16008"/>
    <cellStyle name="Comma (0,000) TBD_Page 2f (2) 7 144" xfId="16009"/>
    <cellStyle name="Comma (0,000) TBD-_Page 2f (2) 7 144" xfId="16010"/>
    <cellStyle name="Comma (0,000) TBD_Page 2f (2) 7 145" xfId="16011"/>
    <cellStyle name="Comma (0,000) TBD-_Page 2f (2) 7 145" xfId="16012"/>
    <cellStyle name="Comma (0,000) TBD_Page 2f (2) 7 146" xfId="16013"/>
    <cellStyle name="Comma (0,000) TBD-_Page 2f (2) 7 146" xfId="16014"/>
    <cellStyle name="Comma (0,000) TBD_Page 2f (2) 7 147" xfId="16015"/>
    <cellStyle name="Comma (0,000) TBD-_Page 2f (2) 7 147" xfId="16016"/>
    <cellStyle name="Comma (0,000) TBD_Page 2f (2) 7 148" xfId="16017"/>
    <cellStyle name="Comma (0,000) TBD-_Page 2f (2) 7 148" xfId="16018"/>
    <cellStyle name="Comma (0,000) TBD_Page 2f (2) 7 149" xfId="16019"/>
    <cellStyle name="Comma (0,000) TBD-_Page 2f (2) 7 149" xfId="16020"/>
    <cellStyle name="Comma (0,000) TBD_Page 2f (2) 7 15" xfId="16021"/>
    <cellStyle name="Comma (0,000) TBD-_Page 2f (2) 7 15" xfId="16022"/>
    <cellStyle name="Comma (0,000) TBD_Page 2f (2) 7 150" xfId="16023"/>
    <cellStyle name="Comma (0,000) TBD-_Page 2f (2) 7 150" xfId="16024"/>
    <cellStyle name="Comma (0,000) TBD_Page 2f (2) 7 151" xfId="16025"/>
    <cellStyle name="Comma (0,000) TBD-_Page 2f (2) 7 151" xfId="16026"/>
    <cellStyle name="Comma (0,000) TBD_Page 2f (2) 7 152" xfId="16027"/>
    <cellStyle name="Comma (0,000) TBD-_Page 2f (2) 7 152" xfId="16028"/>
    <cellStyle name="Comma (0,000) TBD_Page 2f (2) 7 153" xfId="16029"/>
    <cellStyle name="Comma (0,000) TBD-_Page 2f (2) 7 153" xfId="16030"/>
    <cellStyle name="Comma (0,000) TBD_Page 2f (2) 7 16" xfId="16031"/>
    <cellStyle name="Comma (0,000) TBD-_Page 2f (2) 7 16" xfId="16032"/>
    <cellStyle name="Comma (0,000) TBD_Page 2f (2) 7 17" xfId="16033"/>
    <cellStyle name="Comma (0,000) TBD-_Page 2f (2) 7 17" xfId="16034"/>
    <cellStyle name="Comma (0,000) TBD_Page 2f (2) 7 18" xfId="16035"/>
    <cellStyle name="Comma (0,000) TBD-_Page 2f (2) 7 18" xfId="16036"/>
    <cellStyle name="Comma (0,000) TBD_Page 2f (2) 7 19" xfId="16037"/>
    <cellStyle name="Comma (0,000) TBD-_Page 2f (2) 7 19" xfId="16038"/>
    <cellStyle name="Comma (0,000) TBD_Page 2f (2) 7 2" xfId="16039"/>
    <cellStyle name="Comma (0,000) TBD-_Page 2f (2) 7 2" xfId="16040"/>
    <cellStyle name="Comma (0,000) TBD_Page 2f (2) 7 20" xfId="16041"/>
    <cellStyle name="Comma (0,000) TBD-_Page 2f (2) 7 20" xfId="16042"/>
    <cellStyle name="Comma (0,000) TBD_Page 2f (2) 7 21" xfId="16043"/>
    <cellStyle name="Comma (0,000) TBD-_Page 2f (2) 7 21" xfId="16044"/>
    <cellStyle name="Comma (0,000) TBD_Page 2f (2) 7 22" xfId="16045"/>
    <cellStyle name="Comma (0,000) TBD-_Page 2f (2) 7 22" xfId="16046"/>
    <cellStyle name="Comma (0,000) TBD_Page 2f (2) 7 23" xfId="16047"/>
    <cellStyle name="Comma (0,000) TBD-_Page 2f (2) 7 23" xfId="16048"/>
    <cellStyle name="Comma (0,000) TBD_Page 2f (2) 7 24" xfId="16049"/>
    <cellStyle name="Comma (0,000) TBD-_Page 2f (2) 7 24" xfId="16050"/>
    <cellStyle name="Comma (0,000) TBD_Page 2f (2) 7 25" xfId="16051"/>
    <cellStyle name="Comma (0,000) TBD-_Page 2f (2) 7 25" xfId="16052"/>
    <cellStyle name="Comma (0,000) TBD_Page 2f (2) 7 26" xfId="16053"/>
    <cellStyle name="Comma (0,000) TBD-_Page 2f (2) 7 26" xfId="16054"/>
    <cellStyle name="Comma (0,000) TBD_Page 2f (2) 7 27" xfId="16055"/>
    <cellStyle name="Comma (0,000) TBD-_Page 2f (2) 7 27" xfId="16056"/>
    <cellStyle name="Comma (0,000) TBD_Page 2f (2) 7 28" xfId="16057"/>
    <cellStyle name="Comma (0,000) TBD-_Page 2f (2) 7 28" xfId="16058"/>
    <cellStyle name="Comma (0,000) TBD_Page 2f (2) 7 29" xfId="16059"/>
    <cellStyle name="Comma (0,000) TBD-_Page 2f (2) 7 29" xfId="16060"/>
    <cellStyle name="Comma (0,000) TBD_Page 2f (2) 7 3" xfId="16061"/>
    <cellStyle name="Comma (0,000) TBD-_Page 2f (2) 7 3" xfId="16062"/>
    <cellStyle name="Comma (0,000) TBD_Page 2f (2) 7 30" xfId="16063"/>
    <cellStyle name="Comma (0,000) TBD-_Page 2f (2) 7 30" xfId="16064"/>
    <cellStyle name="Comma (0,000) TBD_Page 2f (2) 7 31" xfId="16065"/>
    <cellStyle name="Comma (0,000) TBD-_Page 2f (2) 7 31" xfId="16066"/>
    <cellStyle name="Comma (0,000) TBD_Page 2f (2) 7 32" xfId="16067"/>
    <cellStyle name="Comma (0,000) TBD-_Page 2f (2) 7 32" xfId="16068"/>
    <cellStyle name="Comma (0,000) TBD_Page 2f (2) 7 33" xfId="16069"/>
    <cellStyle name="Comma (0,000) TBD-_Page 2f (2) 7 33" xfId="16070"/>
    <cellStyle name="Comma (0,000) TBD_Page 2f (2) 7 34" xfId="16071"/>
    <cellStyle name="Comma (0,000) TBD-_Page 2f (2) 7 34" xfId="16072"/>
    <cellStyle name="Comma (0,000) TBD_Page 2f (2) 7 35" xfId="16073"/>
    <cellStyle name="Comma (0,000) TBD-_Page 2f (2) 7 35" xfId="16074"/>
    <cellStyle name="Comma (0,000) TBD_Page 2f (2) 7 36" xfId="16075"/>
    <cellStyle name="Comma (0,000) TBD-_Page 2f (2) 7 36" xfId="16076"/>
    <cellStyle name="Comma (0,000) TBD_Page 2f (2) 7 37" xfId="16077"/>
    <cellStyle name="Comma (0,000) TBD-_Page 2f (2) 7 37" xfId="16078"/>
    <cellStyle name="Comma (0,000) TBD_Page 2f (2) 7 38" xfId="16079"/>
    <cellStyle name="Comma (0,000) TBD-_Page 2f (2) 7 38" xfId="16080"/>
    <cellStyle name="Comma (0,000) TBD_Page 2f (2) 7 39" xfId="16081"/>
    <cellStyle name="Comma (0,000) TBD-_Page 2f (2) 7 39" xfId="16082"/>
    <cellStyle name="Comma (0,000) TBD_Page 2f (2) 7 4" xfId="16083"/>
    <cellStyle name="Comma (0,000) TBD-_Page 2f (2) 7 4" xfId="16084"/>
    <cellStyle name="Comma (0,000) TBD_Page 2f (2) 7 40" xfId="16085"/>
    <cellStyle name="Comma (0,000) TBD-_Page 2f (2) 7 40" xfId="16086"/>
    <cellStyle name="Comma (0,000) TBD_Page 2f (2) 7 41" xfId="16087"/>
    <cellStyle name="Comma (0,000) TBD-_Page 2f (2) 7 41" xfId="16088"/>
    <cellStyle name="Comma (0,000) TBD_Page 2f (2) 7 42" xfId="16089"/>
    <cellStyle name="Comma (0,000) TBD-_Page 2f (2) 7 42" xfId="16090"/>
    <cellStyle name="Comma (0,000) TBD_Page 2f (2) 7 43" xfId="16091"/>
    <cellStyle name="Comma (0,000) TBD-_Page 2f (2) 7 43" xfId="16092"/>
    <cellStyle name="Comma (0,000) TBD_Page 2f (2) 7 44" xfId="16093"/>
    <cellStyle name="Comma (0,000) TBD-_Page 2f (2) 7 44" xfId="16094"/>
    <cellStyle name="Comma (0,000) TBD_Page 2f (2) 7 45" xfId="16095"/>
    <cellStyle name="Comma (0,000) TBD-_Page 2f (2) 7 45" xfId="16096"/>
    <cellStyle name="Comma (0,000) TBD_Page 2f (2) 7 46" xfId="16097"/>
    <cellStyle name="Comma (0,000) TBD-_Page 2f (2) 7 46" xfId="16098"/>
    <cellStyle name="Comma (0,000) TBD_Page 2f (2) 7 47" xfId="16099"/>
    <cellStyle name="Comma (0,000) TBD-_Page 2f (2) 7 47" xfId="16100"/>
    <cellStyle name="Comma (0,000) TBD_Page 2f (2) 7 48" xfId="16101"/>
    <cellStyle name="Comma (0,000) TBD-_Page 2f (2) 7 48" xfId="16102"/>
    <cellStyle name="Comma (0,000) TBD_Page 2f (2) 7 49" xfId="16103"/>
    <cellStyle name="Comma (0,000) TBD-_Page 2f (2) 7 49" xfId="16104"/>
    <cellStyle name="Comma (0,000) TBD_Page 2f (2) 7 5" xfId="16105"/>
    <cellStyle name="Comma (0,000) TBD-_Page 2f (2) 7 5" xfId="16106"/>
    <cellStyle name="Comma (0,000) TBD_Page 2f (2) 7 50" xfId="16107"/>
    <cellStyle name="Comma (0,000) TBD-_Page 2f (2) 7 50" xfId="16108"/>
    <cellStyle name="Comma (0,000) TBD_Page 2f (2) 7 51" xfId="16109"/>
    <cellStyle name="Comma (0,000) TBD-_Page 2f (2) 7 51" xfId="16110"/>
    <cellStyle name="Comma (0,000) TBD_Page 2f (2) 7 52" xfId="16111"/>
    <cellStyle name="Comma (0,000) TBD-_Page 2f (2) 7 52" xfId="16112"/>
    <cellStyle name="Comma (0,000) TBD_Page 2f (2) 7 53" xfId="16113"/>
    <cellStyle name="Comma (0,000) TBD-_Page 2f (2) 7 53" xfId="16114"/>
    <cellStyle name="Comma (0,000) TBD_Page 2f (2) 7 54" xfId="16115"/>
    <cellStyle name="Comma (0,000) TBD-_Page 2f (2) 7 54" xfId="16116"/>
    <cellStyle name="Comma (0,000) TBD_Page 2f (2) 7 55" xfId="16117"/>
    <cellStyle name="Comma (0,000) TBD-_Page 2f (2) 7 55" xfId="16118"/>
    <cellStyle name="Comma (0,000) TBD_Page 2f (2) 7 56" xfId="16119"/>
    <cellStyle name="Comma (0,000) TBD-_Page 2f (2) 7 56" xfId="16120"/>
    <cellStyle name="Comma (0,000) TBD_Page 2f (2) 7 57" xfId="16121"/>
    <cellStyle name="Comma (0,000) TBD-_Page 2f (2) 7 57" xfId="16122"/>
    <cellStyle name="Comma (0,000) TBD_Page 2f (2) 7 58" xfId="16123"/>
    <cellStyle name="Comma (0,000) TBD-_Page 2f (2) 7 58" xfId="16124"/>
    <cellStyle name="Comma (0,000) TBD_Page 2f (2) 7 59" xfId="16125"/>
    <cellStyle name="Comma (0,000) TBD-_Page 2f (2) 7 59" xfId="16126"/>
    <cellStyle name="Comma (0,000) TBD_Page 2f (2) 7 6" xfId="16127"/>
    <cellStyle name="Comma (0,000) TBD-_Page 2f (2) 7 6" xfId="16128"/>
    <cellStyle name="Comma (0,000) TBD_Page 2f (2) 7 60" xfId="16129"/>
    <cellStyle name="Comma (0,000) TBD-_Page 2f (2) 7 60" xfId="16130"/>
    <cellStyle name="Comma (0,000) TBD_Page 2f (2) 7 61" xfId="16131"/>
    <cellStyle name="Comma (0,000) TBD-_Page 2f (2) 7 61" xfId="16132"/>
    <cellStyle name="Comma (0,000) TBD_Page 2f (2) 7 62" xfId="16133"/>
    <cellStyle name="Comma (0,000) TBD-_Page 2f (2) 7 62" xfId="16134"/>
    <cellStyle name="Comma (0,000) TBD_Page 2f (2) 7 63" xfId="16135"/>
    <cellStyle name="Comma (0,000) TBD-_Page 2f (2) 7 63" xfId="16136"/>
    <cellStyle name="Comma (0,000) TBD_Page 2f (2) 7 64" xfId="16137"/>
    <cellStyle name="Comma (0,000) TBD-_Page 2f (2) 7 64" xfId="16138"/>
    <cellStyle name="Comma (0,000) TBD_Page 2f (2) 7 65" xfId="16139"/>
    <cellStyle name="Comma (0,000) TBD-_Page 2f (2) 7 65" xfId="16140"/>
    <cellStyle name="Comma (0,000) TBD_Page 2f (2) 7 66" xfId="16141"/>
    <cellStyle name="Comma (0,000) TBD-_Page 2f (2) 7 66" xfId="16142"/>
    <cellStyle name="Comma (0,000) TBD_Page 2f (2) 7 67" xfId="16143"/>
    <cellStyle name="Comma (0,000) TBD-_Page 2f (2) 7 67" xfId="16144"/>
    <cellStyle name="Comma (0,000) TBD_Page 2f (2) 7 68" xfId="16145"/>
    <cellStyle name="Comma (0,000) TBD-_Page 2f (2) 7 68" xfId="16146"/>
    <cellStyle name="Comma (0,000) TBD_Page 2f (2) 7 69" xfId="16147"/>
    <cellStyle name="Comma (0,000) TBD-_Page 2f (2) 7 69" xfId="16148"/>
    <cellStyle name="Comma (0,000) TBD_Page 2f (2) 7 7" xfId="16149"/>
    <cellStyle name="Comma (0,000) TBD-_Page 2f (2) 7 7" xfId="16150"/>
    <cellStyle name="Comma (0,000) TBD_Page 2f (2) 7 70" xfId="16151"/>
    <cellStyle name="Comma (0,000) TBD-_Page 2f (2) 7 70" xfId="16152"/>
    <cellStyle name="Comma (0,000) TBD_Page 2f (2) 7 71" xfId="16153"/>
    <cellStyle name="Comma (0,000) TBD-_Page 2f (2) 7 71" xfId="16154"/>
    <cellStyle name="Comma (0,000) TBD_Page 2f (2) 7 72" xfId="16155"/>
    <cellStyle name="Comma (0,000) TBD-_Page 2f (2) 7 72" xfId="16156"/>
    <cellStyle name="Comma (0,000) TBD_Page 2f (2) 7 73" xfId="16157"/>
    <cellStyle name="Comma (0,000) TBD-_Page 2f (2) 7 73" xfId="16158"/>
    <cellStyle name="Comma (0,000) TBD_Page 2f (2) 7 74" xfId="16159"/>
    <cellStyle name="Comma (0,000) TBD-_Page 2f (2) 7 74" xfId="16160"/>
    <cellStyle name="Comma (0,000) TBD_Page 2f (2) 7 75" xfId="16161"/>
    <cellStyle name="Comma (0,000) TBD-_Page 2f (2) 7 75" xfId="16162"/>
    <cellStyle name="Comma (0,000) TBD_Page 2f (2) 7 76" xfId="16163"/>
    <cellStyle name="Comma (0,000) TBD-_Page 2f (2) 7 76" xfId="16164"/>
    <cellStyle name="Comma (0,000) TBD_Page 2f (2) 7 77" xfId="16165"/>
    <cellStyle name="Comma (0,000) TBD-_Page 2f (2) 7 77" xfId="16166"/>
    <cellStyle name="Comma (0,000) TBD_Page 2f (2) 7 78" xfId="16167"/>
    <cellStyle name="Comma (0,000) TBD-_Page 2f (2) 7 78" xfId="16168"/>
    <cellStyle name="Comma (0,000) TBD_Page 2f (2) 7 79" xfId="16169"/>
    <cellStyle name="Comma (0,000) TBD-_Page 2f (2) 7 79" xfId="16170"/>
    <cellStyle name="Comma (0,000) TBD_Page 2f (2) 7 8" xfId="16171"/>
    <cellStyle name="Comma (0,000) TBD-_Page 2f (2) 7 8" xfId="16172"/>
    <cellStyle name="Comma (0,000) TBD_Page 2f (2) 7 80" xfId="16173"/>
    <cellStyle name="Comma (0,000) TBD-_Page 2f (2) 7 80" xfId="16174"/>
    <cellStyle name="Comma (0,000) TBD_Page 2f (2) 7 81" xfId="16175"/>
    <cellStyle name="Comma (0,000) TBD-_Page 2f (2) 7 81" xfId="16176"/>
    <cellStyle name="Comma (0,000) TBD_Page 2f (2) 7 82" xfId="16177"/>
    <cellStyle name="Comma (0,000) TBD-_Page 2f (2) 7 82" xfId="16178"/>
    <cellStyle name="Comma (0,000) TBD_Page 2f (2) 7 83" xfId="16179"/>
    <cellStyle name="Comma (0,000) TBD-_Page 2f (2) 7 83" xfId="16180"/>
    <cellStyle name="Comma (0,000) TBD_Page 2f (2) 7 84" xfId="16181"/>
    <cellStyle name="Comma (0,000) TBD-_Page 2f (2) 7 84" xfId="16182"/>
    <cellStyle name="Comma (0,000) TBD_Page 2f (2) 7 85" xfId="16183"/>
    <cellStyle name="Comma (0,000) TBD-_Page 2f (2) 7 85" xfId="16184"/>
    <cellStyle name="Comma (0,000) TBD_Page 2f (2) 7 86" xfId="16185"/>
    <cellStyle name="Comma (0,000) TBD-_Page 2f (2) 7 86" xfId="16186"/>
    <cellStyle name="Comma (0,000) TBD_Page 2f (2) 7 87" xfId="16187"/>
    <cellStyle name="Comma (0,000) TBD-_Page 2f (2) 7 87" xfId="16188"/>
    <cellStyle name="Comma (0,000) TBD_Page 2f (2) 7 88" xfId="16189"/>
    <cellStyle name="Comma (0,000) TBD-_Page 2f (2) 7 88" xfId="16190"/>
    <cellStyle name="Comma (0,000) TBD_Page 2f (2) 7 89" xfId="16191"/>
    <cellStyle name="Comma (0,000) TBD-_Page 2f (2) 7 89" xfId="16192"/>
    <cellStyle name="Comma (0,000) TBD_Page 2f (2) 7 9" xfId="16193"/>
    <cellStyle name="Comma (0,000) TBD-_Page 2f (2) 7 9" xfId="16194"/>
    <cellStyle name="Comma (0,000) TBD_Page 2f (2) 7 90" xfId="16195"/>
    <cellStyle name="Comma (0,000) TBD-_Page 2f (2) 7 90" xfId="16196"/>
    <cellStyle name="Comma (0,000) TBD_Page 2f (2) 7 91" xfId="16197"/>
    <cellStyle name="Comma (0,000) TBD-_Page 2f (2) 7 91" xfId="16198"/>
    <cellStyle name="Comma (0,000) TBD_Page 2f (2) 7 92" xfId="16199"/>
    <cellStyle name="Comma (0,000) TBD-_Page 2f (2) 7 92" xfId="16200"/>
    <cellStyle name="Comma (0,000) TBD_Page 2f (2) 7 93" xfId="16201"/>
    <cellStyle name="Comma (0,000) TBD-_Page 2f (2) 7 93" xfId="16202"/>
    <cellStyle name="Comma (0,000) TBD_Page 2f (2) 7 94" xfId="16203"/>
    <cellStyle name="Comma (0,000) TBD-_Page 2f (2) 7 94" xfId="16204"/>
    <cellStyle name="Comma (0,000) TBD_Page 2f (2) 7 95" xfId="16205"/>
    <cellStyle name="Comma (0,000) TBD-_Page 2f (2) 7 95" xfId="16206"/>
    <cellStyle name="Comma (0,000) TBD_Page 2f (2) 7 96" xfId="16207"/>
    <cellStyle name="Comma (0,000) TBD-_Page 2f (2) 7 96" xfId="16208"/>
    <cellStyle name="Comma (0,000) TBD_Page 2f (2) 7 97" xfId="16209"/>
    <cellStyle name="Comma (0,000) TBD-_Page 2f (2) 7 97" xfId="16210"/>
    <cellStyle name="Comma (0,000) TBD_Page 2f (2) 7 98" xfId="16211"/>
    <cellStyle name="Comma (0,000) TBD-_Page 2f (2) 7 98" xfId="16212"/>
    <cellStyle name="Comma (0,000) TBD_Page 2f (2) 7 99" xfId="16213"/>
    <cellStyle name="Comma (0,000) TBD-_Page 2f (2) 7 99" xfId="16214"/>
    <cellStyle name="Comma (0,000) TBD_Page 2f (2) 8" xfId="16215"/>
    <cellStyle name="Comma (0,000) TBD-_Page 2f (2) 8" xfId="16216"/>
    <cellStyle name="Comma (0,000) TBD_Page 2f (2) 8 10" xfId="16217"/>
    <cellStyle name="Comma (0,000) TBD-_Page 2f (2) 8 10" xfId="16218"/>
    <cellStyle name="Comma (0,000) TBD_Page 2f (2) 8 100" xfId="16219"/>
    <cellStyle name="Comma (0,000) TBD-_Page 2f (2) 8 100" xfId="16220"/>
    <cellStyle name="Comma (0,000) TBD_Page 2f (2) 8 101" xfId="16221"/>
    <cellStyle name="Comma (0,000) TBD-_Page 2f (2) 8 101" xfId="16222"/>
    <cellStyle name="Comma (0,000) TBD_Page 2f (2) 8 102" xfId="16223"/>
    <cellStyle name="Comma (0,000) TBD-_Page 2f (2) 8 102" xfId="16224"/>
    <cellStyle name="Comma (0,000) TBD_Page 2f (2) 8 103" xfId="16225"/>
    <cellStyle name="Comma (0,000) TBD-_Page 2f (2) 8 103" xfId="16226"/>
    <cellStyle name="Comma (0,000) TBD_Page 2f (2) 8 104" xfId="16227"/>
    <cellStyle name="Comma (0,000) TBD-_Page 2f (2) 8 104" xfId="16228"/>
    <cellStyle name="Comma (0,000) TBD_Page 2f (2) 8 105" xfId="16229"/>
    <cellStyle name="Comma (0,000) TBD-_Page 2f (2) 8 105" xfId="16230"/>
    <cellStyle name="Comma (0,000) TBD_Page 2f (2) 8 106" xfId="16231"/>
    <cellStyle name="Comma (0,000) TBD-_Page 2f (2) 8 106" xfId="16232"/>
    <cellStyle name="Comma (0,000) TBD_Page 2f (2) 8 107" xfId="16233"/>
    <cellStyle name="Comma (0,000) TBD-_Page 2f (2) 8 107" xfId="16234"/>
    <cellStyle name="Comma (0,000) TBD_Page 2f (2) 8 108" xfId="16235"/>
    <cellStyle name="Comma (0,000) TBD-_Page 2f (2) 8 108" xfId="16236"/>
    <cellStyle name="Comma (0,000) TBD_Page 2f (2) 8 109" xfId="16237"/>
    <cellStyle name="Comma (0,000) TBD-_Page 2f (2) 8 109" xfId="16238"/>
    <cellStyle name="Comma (0,000) TBD_Page 2f (2) 8 11" xfId="16239"/>
    <cellStyle name="Comma (0,000) TBD-_Page 2f (2) 8 11" xfId="16240"/>
    <cellStyle name="Comma (0,000) TBD_Page 2f (2) 8 110" xfId="16241"/>
    <cellStyle name="Comma (0,000) TBD-_Page 2f (2) 8 110" xfId="16242"/>
    <cellStyle name="Comma (0,000) TBD_Page 2f (2) 8 111" xfId="16243"/>
    <cellStyle name="Comma (0,000) TBD-_Page 2f (2) 8 111" xfId="16244"/>
    <cellStyle name="Comma (0,000) TBD_Page 2f (2) 8 112" xfId="16245"/>
    <cellStyle name="Comma (0,000) TBD-_Page 2f (2) 8 112" xfId="16246"/>
    <cellStyle name="Comma (0,000) TBD_Page 2f (2) 8 113" xfId="16247"/>
    <cellStyle name="Comma (0,000) TBD-_Page 2f (2) 8 113" xfId="16248"/>
    <cellStyle name="Comma (0,000) TBD_Page 2f (2) 8 114" xfId="16249"/>
    <cellStyle name="Comma (0,000) TBD-_Page 2f (2) 8 114" xfId="16250"/>
    <cellStyle name="Comma (0,000) TBD_Page 2f (2) 8 115" xfId="16251"/>
    <cellStyle name="Comma (0,000) TBD-_Page 2f (2) 8 115" xfId="16252"/>
    <cellStyle name="Comma (0,000) TBD_Page 2f (2) 8 116" xfId="16253"/>
    <cellStyle name="Comma (0,000) TBD-_Page 2f (2) 8 116" xfId="16254"/>
    <cellStyle name="Comma (0,000) TBD_Page 2f (2) 8 117" xfId="16255"/>
    <cellStyle name="Comma (0,000) TBD-_Page 2f (2) 8 117" xfId="16256"/>
    <cellStyle name="Comma (0,000) TBD_Page 2f (2) 8 118" xfId="16257"/>
    <cellStyle name="Comma (0,000) TBD-_Page 2f (2) 8 118" xfId="16258"/>
    <cellStyle name="Comma (0,000) TBD_Page 2f (2) 8 119" xfId="16259"/>
    <cellStyle name="Comma (0,000) TBD-_Page 2f (2) 8 119" xfId="16260"/>
    <cellStyle name="Comma (0,000) TBD_Page 2f (2) 8 12" xfId="16261"/>
    <cellStyle name="Comma (0,000) TBD-_Page 2f (2) 8 12" xfId="16262"/>
    <cellStyle name="Comma (0,000) TBD_Page 2f (2) 8 120" xfId="16263"/>
    <cellStyle name="Comma (0,000) TBD-_Page 2f (2) 8 120" xfId="16264"/>
    <cellStyle name="Comma (0,000) TBD_Page 2f (2) 8 121" xfId="16265"/>
    <cellStyle name="Comma (0,000) TBD-_Page 2f (2) 8 121" xfId="16266"/>
    <cellStyle name="Comma (0,000) TBD_Page 2f (2) 8 122" xfId="16267"/>
    <cellStyle name="Comma (0,000) TBD-_Page 2f (2) 8 122" xfId="16268"/>
    <cellStyle name="Comma (0,000) TBD_Page 2f (2) 8 123" xfId="16269"/>
    <cellStyle name="Comma (0,000) TBD-_Page 2f (2) 8 123" xfId="16270"/>
    <cellStyle name="Comma (0,000) TBD_Page 2f (2) 8 124" xfId="16271"/>
    <cellStyle name="Comma (0,000) TBD-_Page 2f (2) 8 124" xfId="16272"/>
    <cellStyle name="Comma (0,000) TBD_Page 2f (2) 8 125" xfId="16273"/>
    <cellStyle name="Comma (0,000) TBD-_Page 2f (2) 8 125" xfId="16274"/>
    <cellStyle name="Comma (0,000) TBD_Page 2f (2) 8 126" xfId="16275"/>
    <cellStyle name="Comma (0,000) TBD-_Page 2f (2) 8 126" xfId="16276"/>
    <cellStyle name="Comma (0,000) TBD_Page 2f (2) 8 127" xfId="16277"/>
    <cellStyle name="Comma (0,000) TBD-_Page 2f (2) 8 127" xfId="16278"/>
    <cellStyle name="Comma (0,000) TBD_Page 2f (2) 8 128" xfId="16279"/>
    <cellStyle name="Comma (0,000) TBD-_Page 2f (2) 8 128" xfId="16280"/>
    <cellStyle name="Comma (0,000) TBD_Page 2f (2) 8 129" xfId="16281"/>
    <cellStyle name="Comma (0,000) TBD-_Page 2f (2) 8 129" xfId="16282"/>
    <cellStyle name="Comma (0,000) TBD_Page 2f (2) 8 13" xfId="16283"/>
    <cellStyle name="Comma (0,000) TBD-_Page 2f (2) 8 13" xfId="16284"/>
    <cellStyle name="Comma (0,000) TBD_Page 2f (2) 8 130" xfId="16285"/>
    <cellStyle name="Comma (0,000) TBD-_Page 2f (2) 8 130" xfId="16286"/>
    <cellStyle name="Comma (0,000) TBD_Page 2f (2) 8 131" xfId="16287"/>
    <cellStyle name="Comma (0,000) TBD-_Page 2f (2) 8 131" xfId="16288"/>
    <cellStyle name="Comma (0,000) TBD_Page 2f (2) 8 132" xfId="16289"/>
    <cellStyle name="Comma (0,000) TBD-_Page 2f (2) 8 132" xfId="16290"/>
    <cellStyle name="Comma (0,000) TBD_Page 2f (2) 8 133" xfId="16291"/>
    <cellStyle name="Comma (0,000) TBD-_Page 2f (2) 8 133" xfId="16292"/>
    <cellStyle name="Comma (0,000) TBD_Page 2f (2) 8 134" xfId="16293"/>
    <cellStyle name="Comma (0,000) TBD-_Page 2f (2) 8 134" xfId="16294"/>
    <cellStyle name="Comma (0,000) TBD_Page 2f (2) 8 135" xfId="16295"/>
    <cellStyle name="Comma (0,000) TBD-_Page 2f (2) 8 135" xfId="16296"/>
    <cellStyle name="Comma (0,000) TBD_Page 2f (2) 8 136" xfId="16297"/>
    <cellStyle name="Comma (0,000) TBD-_Page 2f (2) 8 136" xfId="16298"/>
    <cellStyle name="Comma (0,000) TBD_Page 2f (2) 8 137" xfId="16299"/>
    <cellStyle name="Comma (0,000) TBD-_Page 2f (2) 8 137" xfId="16300"/>
    <cellStyle name="Comma (0,000) TBD_Page 2f (2) 8 138" xfId="16301"/>
    <cellStyle name="Comma (0,000) TBD-_Page 2f (2) 8 138" xfId="16302"/>
    <cellStyle name="Comma (0,000) TBD_Page 2f (2) 8 139" xfId="16303"/>
    <cellStyle name="Comma (0,000) TBD-_Page 2f (2) 8 139" xfId="16304"/>
    <cellStyle name="Comma (0,000) TBD_Page 2f (2) 8 14" xfId="16305"/>
    <cellStyle name="Comma (0,000) TBD-_Page 2f (2) 8 14" xfId="16306"/>
    <cellStyle name="Comma (0,000) TBD_Page 2f (2) 8 140" xfId="16307"/>
    <cellStyle name="Comma (0,000) TBD-_Page 2f (2) 8 140" xfId="16308"/>
    <cellStyle name="Comma (0,000) TBD_Page 2f (2) 8 141" xfId="16309"/>
    <cellStyle name="Comma (0,000) TBD-_Page 2f (2) 8 141" xfId="16310"/>
    <cellStyle name="Comma (0,000) TBD_Page 2f (2) 8 142" xfId="16311"/>
    <cellStyle name="Comma (0,000) TBD-_Page 2f (2) 8 142" xfId="16312"/>
    <cellStyle name="Comma (0,000) TBD_Page 2f (2) 8 143" xfId="16313"/>
    <cellStyle name="Comma (0,000) TBD-_Page 2f (2) 8 143" xfId="16314"/>
    <cellStyle name="Comma (0,000) TBD_Page 2f (2) 8 144" xfId="16315"/>
    <cellStyle name="Comma (0,000) TBD-_Page 2f (2) 8 144" xfId="16316"/>
    <cellStyle name="Comma (0,000) TBD_Page 2f (2) 8 145" xfId="16317"/>
    <cellStyle name="Comma (0,000) TBD-_Page 2f (2) 8 145" xfId="16318"/>
    <cellStyle name="Comma (0,000) TBD_Page 2f (2) 8 146" xfId="16319"/>
    <cellStyle name="Comma (0,000) TBD-_Page 2f (2) 8 146" xfId="16320"/>
    <cellStyle name="Comma (0,000) TBD_Page 2f (2) 8 147" xfId="16321"/>
    <cellStyle name="Comma (0,000) TBD-_Page 2f (2) 8 147" xfId="16322"/>
    <cellStyle name="Comma (0,000) TBD_Page 2f (2) 8 148" xfId="16323"/>
    <cellStyle name="Comma (0,000) TBD-_Page 2f (2) 8 148" xfId="16324"/>
    <cellStyle name="Comma (0,000) TBD_Page 2f (2) 8 149" xfId="16325"/>
    <cellStyle name="Comma (0,000) TBD-_Page 2f (2) 8 149" xfId="16326"/>
    <cellStyle name="Comma (0,000) TBD_Page 2f (2) 8 15" xfId="16327"/>
    <cellStyle name="Comma (0,000) TBD-_Page 2f (2) 8 15" xfId="16328"/>
    <cellStyle name="Comma (0,000) TBD_Page 2f (2) 8 150" xfId="16329"/>
    <cellStyle name="Comma (0,000) TBD-_Page 2f (2) 8 150" xfId="16330"/>
    <cellStyle name="Comma (0,000) TBD_Page 2f (2) 8 151" xfId="16331"/>
    <cellStyle name="Comma (0,000) TBD-_Page 2f (2) 8 151" xfId="16332"/>
    <cellStyle name="Comma (0,000) TBD_Page 2f (2) 8 152" xfId="16333"/>
    <cellStyle name="Comma (0,000) TBD-_Page 2f (2) 8 152" xfId="16334"/>
    <cellStyle name="Comma (0,000) TBD_Page 2f (2) 8 153" xfId="16335"/>
    <cellStyle name="Comma (0,000) TBD-_Page 2f (2) 8 153" xfId="16336"/>
    <cellStyle name="Comma (0,000) TBD_Page 2f (2) 8 16" xfId="16337"/>
    <cellStyle name="Comma (0,000) TBD-_Page 2f (2) 8 16" xfId="16338"/>
    <cellStyle name="Comma (0,000) TBD_Page 2f (2) 8 17" xfId="16339"/>
    <cellStyle name="Comma (0,000) TBD-_Page 2f (2) 8 17" xfId="16340"/>
    <cellStyle name="Comma (0,000) TBD_Page 2f (2) 8 18" xfId="16341"/>
    <cellStyle name="Comma (0,000) TBD-_Page 2f (2) 8 18" xfId="16342"/>
    <cellStyle name="Comma (0,000) TBD_Page 2f (2) 8 19" xfId="16343"/>
    <cellStyle name="Comma (0,000) TBD-_Page 2f (2) 8 19" xfId="16344"/>
    <cellStyle name="Comma (0,000) TBD_Page 2f (2) 8 2" xfId="16345"/>
    <cellStyle name="Comma (0,000) TBD-_Page 2f (2) 8 2" xfId="16346"/>
    <cellStyle name="Comma (0,000) TBD_Page 2f (2) 8 20" xfId="16347"/>
    <cellStyle name="Comma (0,000) TBD-_Page 2f (2) 8 20" xfId="16348"/>
    <cellStyle name="Comma (0,000) TBD_Page 2f (2) 8 21" xfId="16349"/>
    <cellStyle name="Comma (0,000) TBD-_Page 2f (2) 8 21" xfId="16350"/>
    <cellStyle name="Comma (0,000) TBD_Page 2f (2) 8 22" xfId="16351"/>
    <cellStyle name="Comma (0,000) TBD-_Page 2f (2) 8 22" xfId="16352"/>
    <cellStyle name="Comma (0,000) TBD_Page 2f (2) 8 23" xfId="16353"/>
    <cellStyle name="Comma (0,000) TBD-_Page 2f (2) 8 23" xfId="16354"/>
    <cellStyle name="Comma (0,000) TBD_Page 2f (2) 8 24" xfId="16355"/>
    <cellStyle name="Comma (0,000) TBD-_Page 2f (2) 8 24" xfId="16356"/>
    <cellStyle name="Comma (0,000) TBD_Page 2f (2) 8 25" xfId="16357"/>
    <cellStyle name="Comma (0,000) TBD-_Page 2f (2) 8 25" xfId="16358"/>
    <cellStyle name="Comma (0,000) TBD_Page 2f (2) 8 26" xfId="16359"/>
    <cellStyle name="Comma (0,000) TBD-_Page 2f (2) 8 26" xfId="16360"/>
    <cellStyle name="Comma (0,000) TBD_Page 2f (2) 8 27" xfId="16361"/>
    <cellStyle name="Comma (0,000) TBD-_Page 2f (2) 8 27" xfId="16362"/>
    <cellStyle name="Comma (0,000) TBD_Page 2f (2) 8 28" xfId="16363"/>
    <cellStyle name="Comma (0,000) TBD-_Page 2f (2) 8 28" xfId="16364"/>
    <cellStyle name="Comma (0,000) TBD_Page 2f (2) 8 29" xfId="16365"/>
    <cellStyle name="Comma (0,000) TBD-_Page 2f (2) 8 29" xfId="16366"/>
    <cellStyle name="Comma (0,000) TBD_Page 2f (2) 8 3" xfId="16367"/>
    <cellStyle name="Comma (0,000) TBD-_Page 2f (2) 8 3" xfId="16368"/>
    <cellStyle name="Comma (0,000) TBD_Page 2f (2) 8 30" xfId="16369"/>
    <cellStyle name="Comma (0,000) TBD-_Page 2f (2) 8 30" xfId="16370"/>
    <cellStyle name="Comma (0,000) TBD_Page 2f (2) 8 31" xfId="16371"/>
    <cellStyle name="Comma (0,000) TBD-_Page 2f (2) 8 31" xfId="16372"/>
    <cellStyle name="Comma (0,000) TBD_Page 2f (2) 8 32" xfId="16373"/>
    <cellStyle name="Comma (0,000) TBD-_Page 2f (2) 8 32" xfId="16374"/>
    <cellStyle name="Comma (0,000) TBD_Page 2f (2) 8 33" xfId="16375"/>
    <cellStyle name="Comma (0,000) TBD-_Page 2f (2) 8 33" xfId="16376"/>
    <cellStyle name="Comma (0,000) TBD_Page 2f (2) 8 34" xfId="16377"/>
    <cellStyle name="Comma (0,000) TBD-_Page 2f (2) 8 34" xfId="16378"/>
    <cellStyle name="Comma (0,000) TBD_Page 2f (2) 8 35" xfId="16379"/>
    <cellStyle name="Comma (0,000) TBD-_Page 2f (2) 8 35" xfId="16380"/>
    <cellStyle name="Comma (0,000) TBD_Page 2f (2) 8 36" xfId="16381"/>
    <cellStyle name="Comma (0,000) TBD-_Page 2f (2) 8 36" xfId="16382"/>
    <cellStyle name="Comma (0,000) TBD_Page 2f (2) 8 37" xfId="16383"/>
    <cellStyle name="Comma (0,000) TBD-_Page 2f (2) 8 37" xfId="16384"/>
    <cellStyle name="Comma (0,000) TBD_Page 2f (2) 8 38" xfId="16385"/>
    <cellStyle name="Comma (0,000) TBD-_Page 2f (2) 8 38" xfId="16386"/>
    <cellStyle name="Comma (0,000) TBD_Page 2f (2) 8 39" xfId="16387"/>
    <cellStyle name="Comma (0,000) TBD-_Page 2f (2) 8 39" xfId="16388"/>
    <cellStyle name="Comma (0,000) TBD_Page 2f (2) 8 4" xfId="16389"/>
    <cellStyle name="Comma (0,000) TBD-_Page 2f (2) 8 4" xfId="16390"/>
    <cellStyle name="Comma (0,000) TBD_Page 2f (2) 8 40" xfId="16391"/>
    <cellStyle name="Comma (0,000) TBD-_Page 2f (2) 8 40" xfId="16392"/>
    <cellStyle name="Comma (0,000) TBD_Page 2f (2) 8 41" xfId="16393"/>
    <cellStyle name="Comma (0,000) TBD-_Page 2f (2) 8 41" xfId="16394"/>
    <cellStyle name="Comma (0,000) TBD_Page 2f (2) 8 42" xfId="16395"/>
    <cellStyle name="Comma (0,000) TBD-_Page 2f (2) 8 42" xfId="16396"/>
    <cellStyle name="Comma (0,000) TBD_Page 2f (2) 8 43" xfId="16397"/>
    <cellStyle name="Comma (0,000) TBD-_Page 2f (2) 8 43" xfId="16398"/>
    <cellStyle name="Comma (0,000) TBD_Page 2f (2) 8 44" xfId="16399"/>
    <cellStyle name="Comma (0,000) TBD-_Page 2f (2) 8 44" xfId="16400"/>
    <cellStyle name="Comma (0,000) TBD_Page 2f (2) 8 45" xfId="16401"/>
    <cellStyle name="Comma (0,000) TBD-_Page 2f (2) 8 45" xfId="16402"/>
    <cellStyle name="Comma (0,000) TBD_Page 2f (2) 8 46" xfId="16403"/>
    <cellStyle name="Comma (0,000) TBD-_Page 2f (2) 8 46" xfId="16404"/>
    <cellStyle name="Comma (0,000) TBD_Page 2f (2) 8 47" xfId="16405"/>
    <cellStyle name="Comma (0,000) TBD-_Page 2f (2) 8 47" xfId="16406"/>
    <cellStyle name="Comma (0,000) TBD_Page 2f (2) 8 48" xfId="16407"/>
    <cellStyle name="Comma (0,000) TBD-_Page 2f (2) 8 48" xfId="16408"/>
    <cellStyle name="Comma (0,000) TBD_Page 2f (2) 8 49" xfId="16409"/>
    <cellStyle name="Comma (0,000) TBD-_Page 2f (2) 8 49" xfId="16410"/>
    <cellStyle name="Comma (0,000) TBD_Page 2f (2) 8 5" xfId="16411"/>
    <cellStyle name="Comma (0,000) TBD-_Page 2f (2) 8 5" xfId="16412"/>
    <cellStyle name="Comma (0,000) TBD_Page 2f (2) 8 50" xfId="16413"/>
    <cellStyle name="Comma (0,000) TBD-_Page 2f (2) 8 50" xfId="16414"/>
    <cellStyle name="Comma (0,000) TBD_Page 2f (2) 8 51" xfId="16415"/>
    <cellStyle name="Comma (0,000) TBD-_Page 2f (2) 8 51" xfId="16416"/>
    <cellStyle name="Comma (0,000) TBD_Page 2f (2) 8 52" xfId="16417"/>
    <cellStyle name="Comma (0,000) TBD-_Page 2f (2) 8 52" xfId="16418"/>
    <cellStyle name="Comma (0,000) TBD_Page 2f (2) 8 53" xfId="16419"/>
    <cellStyle name="Comma (0,000) TBD-_Page 2f (2) 8 53" xfId="16420"/>
    <cellStyle name="Comma (0,000) TBD_Page 2f (2) 8 54" xfId="16421"/>
    <cellStyle name="Comma (0,000) TBD-_Page 2f (2) 8 54" xfId="16422"/>
    <cellStyle name="Comma (0,000) TBD_Page 2f (2) 8 55" xfId="16423"/>
    <cellStyle name="Comma (0,000) TBD-_Page 2f (2) 8 55" xfId="16424"/>
    <cellStyle name="Comma (0,000) TBD_Page 2f (2) 8 56" xfId="16425"/>
    <cellStyle name="Comma (0,000) TBD-_Page 2f (2) 8 56" xfId="16426"/>
    <cellStyle name="Comma (0,000) TBD_Page 2f (2) 8 57" xfId="16427"/>
    <cellStyle name="Comma (0,000) TBD-_Page 2f (2) 8 57" xfId="16428"/>
    <cellStyle name="Comma (0,000) TBD_Page 2f (2) 8 58" xfId="16429"/>
    <cellStyle name="Comma (0,000) TBD-_Page 2f (2) 8 58" xfId="16430"/>
    <cellStyle name="Comma (0,000) TBD_Page 2f (2) 8 59" xfId="16431"/>
    <cellStyle name="Comma (0,000) TBD-_Page 2f (2) 8 59" xfId="16432"/>
    <cellStyle name="Comma (0,000) TBD_Page 2f (2) 8 6" xfId="16433"/>
    <cellStyle name="Comma (0,000) TBD-_Page 2f (2) 8 6" xfId="16434"/>
    <cellStyle name="Comma (0,000) TBD_Page 2f (2) 8 60" xfId="16435"/>
    <cellStyle name="Comma (0,000) TBD-_Page 2f (2) 8 60" xfId="16436"/>
    <cellStyle name="Comma (0,000) TBD_Page 2f (2) 8 61" xfId="16437"/>
    <cellStyle name="Comma (0,000) TBD-_Page 2f (2) 8 61" xfId="16438"/>
    <cellStyle name="Comma (0,000) TBD_Page 2f (2) 8 62" xfId="16439"/>
    <cellStyle name="Comma (0,000) TBD-_Page 2f (2) 8 62" xfId="16440"/>
    <cellStyle name="Comma (0,000) TBD_Page 2f (2) 8 63" xfId="16441"/>
    <cellStyle name="Comma (0,000) TBD-_Page 2f (2) 8 63" xfId="16442"/>
    <cellStyle name="Comma (0,000) TBD_Page 2f (2) 8 64" xfId="16443"/>
    <cellStyle name="Comma (0,000) TBD-_Page 2f (2) 8 64" xfId="16444"/>
    <cellStyle name="Comma (0,000) TBD_Page 2f (2) 8 65" xfId="16445"/>
    <cellStyle name="Comma (0,000) TBD-_Page 2f (2) 8 65" xfId="16446"/>
    <cellStyle name="Comma (0,000) TBD_Page 2f (2) 8 66" xfId="16447"/>
    <cellStyle name="Comma (0,000) TBD-_Page 2f (2) 8 66" xfId="16448"/>
    <cellStyle name="Comma (0,000) TBD_Page 2f (2) 8 67" xfId="16449"/>
    <cellStyle name="Comma (0,000) TBD-_Page 2f (2) 8 67" xfId="16450"/>
    <cellStyle name="Comma (0,000) TBD_Page 2f (2) 8 68" xfId="16451"/>
    <cellStyle name="Comma (0,000) TBD-_Page 2f (2) 8 68" xfId="16452"/>
    <cellStyle name="Comma (0,000) TBD_Page 2f (2) 8 69" xfId="16453"/>
    <cellStyle name="Comma (0,000) TBD-_Page 2f (2) 8 69" xfId="16454"/>
    <cellStyle name="Comma (0,000) TBD_Page 2f (2) 8 7" xfId="16455"/>
    <cellStyle name="Comma (0,000) TBD-_Page 2f (2) 8 7" xfId="16456"/>
    <cellStyle name="Comma (0,000) TBD_Page 2f (2) 8 70" xfId="16457"/>
    <cellStyle name="Comma (0,000) TBD-_Page 2f (2) 8 70" xfId="16458"/>
    <cellStyle name="Comma (0,000) TBD_Page 2f (2) 8 71" xfId="16459"/>
    <cellStyle name="Comma (0,000) TBD-_Page 2f (2) 8 71" xfId="16460"/>
    <cellStyle name="Comma (0,000) TBD_Page 2f (2) 8 72" xfId="16461"/>
    <cellStyle name="Comma (0,000) TBD-_Page 2f (2) 8 72" xfId="16462"/>
    <cellStyle name="Comma (0,000) TBD_Page 2f (2) 8 73" xfId="16463"/>
    <cellStyle name="Comma (0,000) TBD-_Page 2f (2) 8 73" xfId="16464"/>
    <cellStyle name="Comma (0,000) TBD_Page 2f (2) 8 74" xfId="16465"/>
    <cellStyle name="Comma (0,000) TBD-_Page 2f (2) 8 74" xfId="16466"/>
    <cellStyle name="Comma (0,000) TBD_Page 2f (2) 8 75" xfId="16467"/>
    <cellStyle name="Comma (0,000) TBD-_Page 2f (2) 8 75" xfId="16468"/>
    <cellStyle name="Comma (0,000) TBD_Page 2f (2) 8 76" xfId="16469"/>
    <cellStyle name="Comma (0,000) TBD-_Page 2f (2) 8 76" xfId="16470"/>
    <cellStyle name="Comma (0,000) TBD_Page 2f (2) 8 77" xfId="16471"/>
    <cellStyle name="Comma (0,000) TBD-_Page 2f (2) 8 77" xfId="16472"/>
    <cellStyle name="Comma (0,000) TBD_Page 2f (2) 8 78" xfId="16473"/>
    <cellStyle name="Comma (0,000) TBD-_Page 2f (2) 8 78" xfId="16474"/>
    <cellStyle name="Comma (0,000) TBD_Page 2f (2) 8 79" xfId="16475"/>
    <cellStyle name="Comma (0,000) TBD-_Page 2f (2) 8 79" xfId="16476"/>
    <cellStyle name="Comma (0,000) TBD_Page 2f (2) 8 8" xfId="16477"/>
    <cellStyle name="Comma (0,000) TBD-_Page 2f (2) 8 8" xfId="16478"/>
    <cellStyle name="Comma (0,000) TBD_Page 2f (2) 8 80" xfId="16479"/>
    <cellStyle name="Comma (0,000) TBD-_Page 2f (2) 8 80" xfId="16480"/>
    <cellStyle name="Comma (0,000) TBD_Page 2f (2) 8 81" xfId="16481"/>
    <cellStyle name="Comma (0,000) TBD-_Page 2f (2) 8 81" xfId="16482"/>
    <cellStyle name="Comma (0,000) TBD_Page 2f (2) 8 82" xfId="16483"/>
    <cellStyle name="Comma (0,000) TBD-_Page 2f (2) 8 82" xfId="16484"/>
    <cellStyle name="Comma (0,000) TBD_Page 2f (2) 8 83" xfId="16485"/>
    <cellStyle name="Comma (0,000) TBD-_Page 2f (2) 8 83" xfId="16486"/>
    <cellStyle name="Comma (0,000) TBD_Page 2f (2) 8 84" xfId="16487"/>
    <cellStyle name="Comma (0,000) TBD-_Page 2f (2) 8 84" xfId="16488"/>
    <cellStyle name="Comma (0,000) TBD_Page 2f (2) 8 85" xfId="16489"/>
    <cellStyle name="Comma (0,000) TBD-_Page 2f (2) 8 85" xfId="16490"/>
    <cellStyle name="Comma (0,000) TBD_Page 2f (2) 8 86" xfId="16491"/>
    <cellStyle name="Comma (0,000) TBD-_Page 2f (2) 8 86" xfId="16492"/>
    <cellStyle name="Comma (0,000) TBD_Page 2f (2) 8 87" xfId="16493"/>
    <cellStyle name="Comma (0,000) TBD-_Page 2f (2) 8 87" xfId="16494"/>
    <cellStyle name="Comma (0,000) TBD_Page 2f (2) 8 88" xfId="16495"/>
    <cellStyle name="Comma (0,000) TBD-_Page 2f (2) 8 88" xfId="16496"/>
    <cellStyle name="Comma (0,000) TBD_Page 2f (2) 8 89" xfId="16497"/>
    <cellStyle name="Comma (0,000) TBD-_Page 2f (2) 8 89" xfId="16498"/>
    <cellStyle name="Comma (0,000) TBD_Page 2f (2) 8 9" xfId="16499"/>
    <cellStyle name="Comma (0,000) TBD-_Page 2f (2) 8 9" xfId="16500"/>
    <cellStyle name="Comma (0,000) TBD_Page 2f (2) 8 90" xfId="16501"/>
    <cellStyle name="Comma (0,000) TBD-_Page 2f (2) 8 90" xfId="16502"/>
    <cellStyle name="Comma (0,000) TBD_Page 2f (2) 8 91" xfId="16503"/>
    <cellStyle name="Comma (0,000) TBD-_Page 2f (2) 8 91" xfId="16504"/>
    <cellStyle name="Comma (0,000) TBD_Page 2f (2) 8 92" xfId="16505"/>
    <cellStyle name="Comma (0,000) TBD-_Page 2f (2) 8 92" xfId="16506"/>
    <cellStyle name="Comma (0,000) TBD_Page 2f (2) 8 93" xfId="16507"/>
    <cellStyle name="Comma (0,000) TBD-_Page 2f (2) 8 93" xfId="16508"/>
    <cellStyle name="Comma (0,000) TBD_Page 2f (2) 8 94" xfId="16509"/>
    <cellStyle name="Comma (0,000) TBD-_Page 2f (2) 8 94" xfId="16510"/>
    <cellStyle name="Comma (0,000) TBD_Page 2f (2) 8 95" xfId="16511"/>
    <cellStyle name="Comma (0,000) TBD-_Page 2f (2) 8 95" xfId="16512"/>
    <cellStyle name="Comma (0,000) TBD_Page 2f (2) 8 96" xfId="16513"/>
    <cellStyle name="Comma (0,000) TBD-_Page 2f (2) 8 96" xfId="16514"/>
    <cellStyle name="Comma (0,000) TBD_Page 2f (2) 8 97" xfId="16515"/>
    <cellStyle name="Comma (0,000) TBD-_Page 2f (2) 8 97" xfId="16516"/>
    <cellStyle name="Comma (0,000) TBD_Page 2f (2) 8 98" xfId="16517"/>
    <cellStyle name="Comma (0,000) TBD-_Page 2f (2) 8 98" xfId="16518"/>
    <cellStyle name="Comma (0,000) TBD_Page 2f (2) 8 99" xfId="16519"/>
    <cellStyle name="Comma (0,000) TBD-_Page 2f (2) 8 99" xfId="16520"/>
    <cellStyle name="Comma (0,000) TBD_Page 2f (2) 9" xfId="16521"/>
    <cellStyle name="Comma (0,000) TBD-_Page 2f (2) 9" xfId="16522"/>
    <cellStyle name="Comma (0,000) TBD_Page 2f (2) 9 10" xfId="16523"/>
    <cellStyle name="Comma (0,000) TBD-_Page 2f (2) 9 10" xfId="16524"/>
    <cellStyle name="Comma (0,000) TBD_Page 2f (2) 9 100" xfId="16525"/>
    <cellStyle name="Comma (0,000) TBD-_Page 2f (2) 9 100" xfId="16526"/>
    <cellStyle name="Comma (0,000) TBD_Page 2f (2) 9 101" xfId="16527"/>
    <cellStyle name="Comma (0,000) TBD-_Page 2f (2) 9 101" xfId="16528"/>
    <cellStyle name="Comma (0,000) TBD_Page 2f (2) 9 102" xfId="16529"/>
    <cellStyle name="Comma (0,000) TBD-_Page 2f (2) 9 102" xfId="16530"/>
    <cellStyle name="Comma (0,000) TBD_Page 2f (2) 9 103" xfId="16531"/>
    <cellStyle name="Comma (0,000) TBD-_Page 2f (2) 9 103" xfId="16532"/>
    <cellStyle name="Comma (0,000) TBD_Page 2f (2) 9 104" xfId="16533"/>
    <cellStyle name="Comma (0,000) TBD-_Page 2f (2) 9 104" xfId="16534"/>
    <cellStyle name="Comma (0,000) TBD_Page 2f (2) 9 105" xfId="16535"/>
    <cellStyle name="Comma (0,000) TBD-_Page 2f (2) 9 105" xfId="16536"/>
    <cellStyle name="Comma (0,000) TBD_Page 2f (2) 9 106" xfId="16537"/>
    <cellStyle name="Comma (0,000) TBD-_Page 2f (2) 9 106" xfId="16538"/>
    <cellStyle name="Comma (0,000) TBD_Page 2f (2) 9 107" xfId="16539"/>
    <cellStyle name="Comma (0,000) TBD-_Page 2f (2) 9 107" xfId="16540"/>
    <cellStyle name="Comma (0,000) TBD_Page 2f (2) 9 108" xfId="16541"/>
    <cellStyle name="Comma (0,000) TBD-_Page 2f (2) 9 108" xfId="16542"/>
    <cellStyle name="Comma (0,000) TBD_Page 2f (2) 9 109" xfId="16543"/>
    <cellStyle name="Comma (0,000) TBD-_Page 2f (2) 9 109" xfId="16544"/>
    <cellStyle name="Comma (0,000) TBD_Page 2f (2) 9 11" xfId="16545"/>
    <cellStyle name="Comma (0,000) TBD-_Page 2f (2) 9 11" xfId="16546"/>
    <cellStyle name="Comma (0,000) TBD_Page 2f (2) 9 110" xfId="16547"/>
    <cellStyle name="Comma (0,000) TBD-_Page 2f (2) 9 110" xfId="16548"/>
    <cellStyle name="Comma (0,000) TBD_Page 2f (2) 9 111" xfId="16549"/>
    <cellStyle name="Comma (0,000) TBD-_Page 2f (2) 9 111" xfId="16550"/>
    <cellStyle name="Comma (0,000) TBD_Page 2f (2) 9 112" xfId="16551"/>
    <cellStyle name="Comma (0,000) TBD-_Page 2f (2) 9 112" xfId="16552"/>
    <cellStyle name="Comma (0,000) TBD_Page 2f (2) 9 113" xfId="16553"/>
    <cellStyle name="Comma (0,000) TBD-_Page 2f (2) 9 113" xfId="16554"/>
    <cellStyle name="Comma (0,000) TBD_Page 2f (2) 9 114" xfId="16555"/>
    <cellStyle name="Comma (0,000) TBD-_Page 2f (2) 9 114" xfId="16556"/>
    <cellStyle name="Comma (0,000) TBD_Page 2f (2) 9 115" xfId="16557"/>
    <cellStyle name="Comma (0,000) TBD-_Page 2f (2) 9 115" xfId="16558"/>
    <cellStyle name="Comma (0,000) TBD_Page 2f (2) 9 116" xfId="16559"/>
    <cellStyle name="Comma (0,000) TBD-_Page 2f (2) 9 116" xfId="16560"/>
    <cellStyle name="Comma (0,000) TBD_Page 2f (2) 9 117" xfId="16561"/>
    <cellStyle name="Comma (0,000) TBD-_Page 2f (2) 9 117" xfId="16562"/>
    <cellStyle name="Comma (0,000) TBD_Page 2f (2) 9 118" xfId="16563"/>
    <cellStyle name="Comma (0,000) TBD-_Page 2f (2) 9 118" xfId="16564"/>
    <cellStyle name="Comma (0,000) TBD_Page 2f (2) 9 119" xfId="16565"/>
    <cellStyle name="Comma (0,000) TBD-_Page 2f (2) 9 119" xfId="16566"/>
    <cellStyle name="Comma (0,000) TBD_Page 2f (2) 9 12" xfId="16567"/>
    <cellStyle name="Comma (0,000) TBD-_Page 2f (2) 9 12" xfId="16568"/>
    <cellStyle name="Comma (0,000) TBD_Page 2f (2) 9 120" xfId="16569"/>
    <cellStyle name="Comma (0,000) TBD-_Page 2f (2) 9 120" xfId="16570"/>
    <cellStyle name="Comma (0,000) TBD_Page 2f (2) 9 121" xfId="16571"/>
    <cellStyle name="Comma (0,000) TBD-_Page 2f (2) 9 121" xfId="16572"/>
    <cellStyle name="Comma (0,000) TBD_Page 2f (2) 9 122" xfId="16573"/>
    <cellStyle name="Comma (0,000) TBD-_Page 2f (2) 9 122" xfId="16574"/>
    <cellStyle name="Comma (0,000) TBD_Page 2f (2) 9 123" xfId="16575"/>
    <cellStyle name="Comma (0,000) TBD-_Page 2f (2) 9 123" xfId="16576"/>
    <cellStyle name="Comma (0,000) TBD_Page 2f (2) 9 124" xfId="16577"/>
    <cellStyle name="Comma (0,000) TBD-_Page 2f (2) 9 124" xfId="16578"/>
    <cellStyle name="Comma (0,000) TBD_Page 2f (2) 9 125" xfId="16579"/>
    <cellStyle name="Comma (0,000) TBD-_Page 2f (2) 9 125" xfId="16580"/>
    <cellStyle name="Comma (0,000) TBD_Page 2f (2) 9 126" xfId="16581"/>
    <cellStyle name="Comma (0,000) TBD-_Page 2f (2) 9 126" xfId="16582"/>
    <cellStyle name="Comma (0,000) TBD_Page 2f (2) 9 127" xfId="16583"/>
    <cellStyle name="Comma (0,000) TBD-_Page 2f (2) 9 127" xfId="16584"/>
    <cellStyle name="Comma (0,000) TBD_Page 2f (2) 9 128" xfId="16585"/>
    <cellStyle name="Comma (0,000) TBD-_Page 2f (2) 9 128" xfId="16586"/>
    <cellStyle name="Comma (0,000) TBD_Page 2f (2) 9 129" xfId="16587"/>
    <cellStyle name="Comma (0,000) TBD-_Page 2f (2) 9 129" xfId="16588"/>
    <cellStyle name="Comma (0,000) TBD_Page 2f (2) 9 13" xfId="16589"/>
    <cellStyle name="Comma (0,000) TBD-_Page 2f (2) 9 13" xfId="16590"/>
    <cellStyle name="Comma (0,000) TBD_Page 2f (2) 9 130" xfId="16591"/>
    <cellStyle name="Comma (0,000) TBD-_Page 2f (2) 9 130" xfId="16592"/>
    <cellStyle name="Comma (0,000) TBD_Page 2f (2) 9 131" xfId="16593"/>
    <cellStyle name="Comma (0,000) TBD-_Page 2f (2) 9 131" xfId="16594"/>
    <cellStyle name="Comma (0,000) TBD_Page 2f (2) 9 132" xfId="16595"/>
    <cellStyle name="Comma (0,000) TBD-_Page 2f (2) 9 132" xfId="16596"/>
    <cellStyle name="Comma (0,000) TBD_Page 2f (2) 9 133" xfId="16597"/>
    <cellStyle name="Comma (0,000) TBD-_Page 2f (2) 9 133" xfId="16598"/>
    <cellStyle name="Comma (0,000) TBD_Page 2f (2) 9 134" xfId="16599"/>
    <cellStyle name="Comma (0,000) TBD-_Page 2f (2) 9 134" xfId="16600"/>
    <cellStyle name="Comma (0,000) TBD_Page 2f (2) 9 135" xfId="16601"/>
    <cellStyle name="Comma (0,000) TBD-_Page 2f (2) 9 135" xfId="16602"/>
    <cellStyle name="Comma (0,000) TBD_Page 2f (2) 9 136" xfId="16603"/>
    <cellStyle name="Comma (0,000) TBD-_Page 2f (2) 9 136" xfId="16604"/>
    <cellStyle name="Comma (0,000) TBD_Page 2f (2) 9 137" xfId="16605"/>
    <cellStyle name="Comma (0,000) TBD-_Page 2f (2) 9 137" xfId="16606"/>
    <cellStyle name="Comma (0,000) TBD_Page 2f (2) 9 138" xfId="16607"/>
    <cellStyle name="Comma (0,000) TBD-_Page 2f (2) 9 138" xfId="16608"/>
    <cellStyle name="Comma (0,000) TBD_Page 2f (2) 9 139" xfId="16609"/>
    <cellStyle name="Comma (0,000) TBD-_Page 2f (2) 9 139" xfId="16610"/>
    <cellStyle name="Comma (0,000) TBD_Page 2f (2) 9 14" xfId="16611"/>
    <cellStyle name="Comma (0,000) TBD-_Page 2f (2) 9 14" xfId="16612"/>
    <cellStyle name="Comma (0,000) TBD_Page 2f (2) 9 140" xfId="16613"/>
    <cellStyle name="Comma (0,000) TBD-_Page 2f (2) 9 140" xfId="16614"/>
    <cellStyle name="Comma (0,000) TBD_Page 2f (2) 9 141" xfId="16615"/>
    <cellStyle name="Comma (0,000) TBD-_Page 2f (2) 9 141" xfId="16616"/>
    <cellStyle name="Comma (0,000) TBD_Page 2f (2) 9 142" xfId="16617"/>
    <cellStyle name="Comma (0,000) TBD-_Page 2f (2) 9 142" xfId="16618"/>
    <cellStyle name="Comma (0,000) TBD_Page 2f (2) 9 143" xfId="16619"/>
    <cellStyle name="Comma (0,000) TBD-_Page 2f (2) 9 143" xfId="16620"/>
    <cellStyle name="Comma (0,000) TBD_Page 2f (2) 9 144" xfId="16621"/>
    <cellStyle name="Comma (0,000) TBD-_Page 2f (2) 9 144" xfId="16622"/>
    <cellStyle name="Comma (0,000) TBD_Page 2f (2) 9 145" xfId="16623"/>
    <cellStyle name="Comma (0,000) TBD-_Page 2f (2) 9 145" xfId="16624"/>
    <cellStyle name="Comma (0,000) TBD_Page 2f (2) 9 146" xfId="16625"/>
    <cellStyle name="Comma (0,000) TBD-_Page 2f (2) 9 146" xfId="16626"/>
    <cellStyle name="Comma (0,000) TBD_Page 2f (2) 9 147" xfId="16627"/>
    <cellStyle name="Comma (0,000) TBD-_Page 2f (2) 9 147" xfId="16628"/>
    <cellStyle name="Comma (0,000) TBD_Page 2f (2) 9 148" xfId="16629"/>
    <cellStyle name="Comma (0,000) TBD-_Page 2f (2) 9 148" xfId="16630"/>
    <cellStyle name="Comma (0,000) TBD_Page 2f (2) 9 149" xfId="16631"/>
    <cellStyle name="Comma (0,000) TBD-_Page 2f (2) 9 149" xfId="16632"/>
    <cellStyle name="Comma (0,000) TBD_Page 2f (2) 9 15" xfId="16633"/>
    <cellStyle name="Comma (0,000) TBD-_Page 2f (2) 9 15" xfId="16634"/>
    <cellStyle name="Comma (0,000) TBD_Page 2f (2) 9 150" xfId="16635"/>
    <cellStyle name="Comma (0,000) TBD-_Page 2f (2) 9 150" xfId="16636"/>
    <cellStyle name="Comma (0,000) TBD_Page 2f (2) 9 151" xfId="16637"/>
    <cellStyle name="Comma (0,000) TBD-_Page 2f (2) 9 151" xfId="16638"/>
    <cellStyle name="Comma (0,000) TBD_Page 2f (2) 9 152" xfId="16639"/>
    <cellStyle name="Comma (0,000) TBD-_Page 2f (2) 9 152" xfId="16640"/>
    <cellStyle name="Comma (0,000) TBD_Page 2f (2) 9 153" xfId="16641"/>
    <cellStyle name="Comma (0,000) TBD-_Page 2f (2) 9 153" xfId="16642"/>
    <cellStyle name="Comma (0,000) TBD_Page 2f (2) 9 16" xfId="16643"/>
    <cellStyle name="Comma (0,000) TBD-_Page 2f (2) 9 16" xfId="16644"/>
    <cellStyle name="Comma (0,000) TBD_Page 2f (2) 9 17" xfId="16645"/>
    <cellStyle name="Comma (0,000) TBD-_Page 2f (2) 9 17" xfId="16646"/>
    <cellStyle name="Comma (0,000) TBD_Page 2f (2) 9 18" xfId="16647"/>
    <cellStyle name="Comma (0,000) TBD-_Page 2f (2) 9 18" xfId="16648"/>
    <cellStyle name="Comma (0,000) TBD_Page 2f (2) 9 19" xfId="16649"/>
    <cellStyle name="Comma (0,000) TBD-_Page 2f (2) 9 19" xfId="16650"/>
    <cellStyle name="Comma (0,000) TBD_Page 2f (2) 9 2" xfId="16651"/>
    <cellStyle name="Comma (0,000) TBD-_Page 2f (2) 9 2" xfId="16652"/>
    <cellStyle name="Comma (0,000) TBD_Page 2f (2) 9 20" xfId="16653"/>
    <cellStyle name="Comma (0,000) TBD-_Page 2f (2) 9 20" xfId="16654"/>
    <cellStyle name="Comma (0,000) TBD_Page 2f (2) 9 21" xfId="16655"/>
    <cellStyle name="Comma (0,000) TBD-_Page 2f (2) 9 21" xfId="16656"/>
    <cellStyle name="Comma (0,000) TBD_Page 2f (2) 9 22" xfId="16657"/>
    <cellStyle name="Comma (0,000) TBD-_Page 2f (2) 9 22" xfId="16658"/>
    <cellStyle name="Comma (0,000) TBD_Page 2f (2) 9 23" xfId="16659"/>
    <cellStyle name="Comma (0,000) TBD-_Page 2f (2) 9 23" xfId="16660"/>
    <cellStyle name="Comma (0,000) TBD_Page 2f (2) 9 24" xfId="16661"/>
    <cellStyle name="Comma (0,000) TBD-_Page 2f (2) 9 24" xfId="16662"/>
    <cellStyle name="Comma (0,000) TBD_Page 2f (2) 9 25" xfId="16663"/>
    <cellStyle name="Comma (0,000) TBD-_Page 2f (2) 9 25" xfId="16664"/>
    <cellStyle name="Comma (0,000) TBD_Page 2f (2) 9 26" xfId="16665"/>
    <cellStyle name="Comma (0,000) TBD-_Page 2f (2) 9 26" xfId="16666"/>
    <cellStyle name="Comma (0,000) TBD_Page 2f (2) 9 27" xfId="16667"/>
    <cellStyle name="Comma (0,000) TBD-_Page 2f (2) 9 27" xfId="16668"/>
    <cellStyle name="Comma (0,000) TBD_Page 2f (2) 9 28" xfId="16669"/>
    <cellStyle name="Comma (0,000) TBD-_Page 2f (2) 9 28" xfId="16670"/>
    <cellStyle name="Comma (0,000) TBD_Page 2f (2) 9 29" xfId="16671"/>
    <cellStyle name="Comma (0,000) TBD-_Page 2f (2) 9 29" xfId="16672"/>
    <cellStyle name="Comma (0,000) TBD_Page 2f (2) 9 3" xfId="16673"/>
    <cellStyle name="Comma (0,000) TBD-_Page 2f (2) 9 3" xfId="16674"/>
    <cellStyle name="Comma (0,000) TBD_Page 2f (2) 9 30" xfId="16675"/>
    <cellStyle name="Comma (0,000) TBD-_Page 2f (2) 9 30" xfId="16676"/>
    <cellStyle name="Comma (0,000) TBD_Page 2f (2) 9 31" xfId="16677"/>
    <cellStyle name="Comma (0,000) TBD-_Page 2f (2) 9 31" xfId="16678"/>
    <cellStyle name="Comma (0,000) TBD_Page 2f (2) 9 32" xfId="16679"/>
    <cellStyle name="Comma (0,000) TBD-_Page 2f (2) 9 32" xfId="16680"/>
    <cellStyle name="Comma (0,000) TBD_Page 2f (2) 9 33" xfId="16681"/>
    <cellStyle name="Comma (0,000) TBD-_Page 2f (2) 9 33" xfId="16682"/>
    <cellStyle name="Comma (0,000) TBD_Page 2f (2) 9 34" xfId="16683"/>
    <cellStyle name="Comma (0,000) TBD-_Page 2f (2) 9 34" xfId="16684"/>
    <cellStyle name="Comma (0,000) TBD_Page 2f (2) 9 35" xfId="16685"/>
    <cellStyle name="Comma (0,000) TBD-_Page 2f (2) 9 35" xfId="16686"/>
    <cellStyle name="Comma (0,000) TBD_Page 2f (2) 9 36" xfId="16687"/>
    <cellStyle name="Comma (0,000) TBD-_Page 2f (2) 9 36" xfId="16688"/>
    <cellStyle name="Comma (0,000) TBD_Page 2f (2) 9 37" xfId="16689"/>
    <cellStyle name="Comma (0,000) TBD-_Page 2f (2) 9 37" xfId="16690"/>
    <cellStyle name="Comma (0,000) TBD_Page 2f (2) 9 38" xfId="16691"/>
    <cellStyle name="Comma (0,000) TBD-_Page 2f (2) 9 38" xfId="16692"/>
    <cellStyle name="Comma (0,000) TBD_Page 2f (2) 9 39" xfId="16693"/>
    <cellStyle name="Comma (0,000) TBD-_Page 2f (2) 9 39" xfId="16694"/>
    <cellStyle name="Comma (0,000) TBD_Page 2f (2) 9 4" xfId="16695"/>
    <cellStyle name="Comma (0,000) TBD-_Page 2f (2) 9 4" xfId="16696"/>
    <cellStyle name="Comma (0,000) TBD_Page 2f (2) 9 40" xfId="16697"/>
    <cellStyle name="Comma (0,000) TBD-_Page 2f (2) 9 40" xfId="16698"/>
    <cellStyle name="Comma (0,000) TBD_Page 2f (2) 9 41" xfId="16699"/>
    <cellStyle name="Comma (0,000) TBD-_Page 2f (2) 9 41" xfId="16700"/>
    <cellStyle name="Comma (0,000) TBD_Page 2f (2) 9 42" xfId="16701"/>
    <cellStyle name="Comma (0,000) TBD-_Page 2f (2) 9 42" xfId="16702"/>
    <cellStyle name="Comma (0,000) TBD_Page 2f (2) 9 43" xfId="16703"/>
    <cellStyle name="Comma (0,000) TBD-_Page 2f (2) 9 43" xfId="16704"/>
    <cellStyle name="Comma (0,000) TBD_Page 2f (2) 9 44" xfId="16705"/>
    <cellStyle name="Comma (0,000) TBD-_Page 2f (2) 9 44" xfId="16706"/>
    <cellStyle name="Comma (0,000) TBD_Page 2f (2) 9 45" xfId="16707"/>
    <cellStyle name="Comma (0,000) TBD-_Page 2f (2) 9 45" xfId="16708"/>
    <cellStyle name="Comma (0,000) TBD_Page 2f (2) 9 46" xfId="16709"/>
    <cellStyle name="Comma (0,000) TBD-_Page 2f (2) 9 46" xfId="16710"/>
    <cellStyle name="Comma (0,000) TBD_Page 2f (2) 9 47" xfId="16711"/>
    <cellStyle name="Comma (0,000) TBD-_Page 2f (2) 9 47" xfId="16712"/>
    <cellStyle name="Comma (0,000) TBD_Page 2f (2) 9 48" xfId="16713"/>
    <cellStyle name="Comma (0,000) TBD-_Page 2f (2) 9 48" xfId="16714"/>
    <cellStyle name="Comma (0,000) TBD_Page 2f (2) 9 49" xfId="16715"/>
    <cellStyle name="Comma (0,000) TBD-_Page 2f (2) 9 49" xfId="16716"/>
    <cellStyle name="Comma (0,000) TBD_Page 2f (2) 9 5" xfId="16717"/>
    <cellStyle name="Comma (0,000) TBD-_Page 2f (2) 9 5" xfId="16718"/>
    <cellStyle name="Comma (0,000) TBD_Page 2f (2) 9 50" xfId="16719"/>
    <cellStyle name="Comma (0,000) TBD-_Page 2f (2) 9 50" xfId="16720"/>
    <cellStyle name="Comma (0,000) TBD_Page 2f (2) 9 51" xfId="16721"/>
    <cellStyle name="Comma (0,000) TBD-_Page 2f (2) 9 51" xfId="16722"/>
    <cellStyle name="Comma (0,000) TBD_Page 2f (2) 9 52" xfId="16723"/>
    <cellStyle name="Comma (0,000) TBD-_Page 2f (2) 9 52" xfId="16724"/>
    <cellStyle name="Comma (0,000) TBD_Page 2f (2) 9 53" xfId="16725"/>
    <cellStyle name="Comma (0,000) TBD-_Page 2f (2) 9 53" xfId="16726"/>
    <cellStyle name="Comma (0,000) TBD_Page 2f (2) 9 54" xfId="16727"/>
    <cellStyle name="Comma (0,000) TBD-_Page 2f (2) 9 54" xfId="16728"/>
    <cellStyle name="Comma (0,000) TBD_Page 2f (2) 9 55" xfId="16729"/>
    <cellStyle name="Comma (0,000) TBD-_Page 2f (2) 9 55" xfId="16730"/>
    <cellStyle name="Comma (0,000) TBD_Page 2f (2) 9 56" xfId="16731"/>
    <cellStyle name="Comma (0,000) TBD-_Page 2f (2) 9 56" xfId="16732"/>
    <cellStyle name="Comma (0,000) TBD_Page 2f (2) 9 57" xfId="16733"/>
    <cellStyle name="Comma (0,000) TBD-_Page 2f (2) 9 57" xfId="16734"/>
    <cellStyle name="Comma (0,000) TBD_Page 2f (2) 9 58" xfId="16735"/>
    <cellStyle name="Comma (0,000) TBD-_Page 2f (2) 9 58" xfId="16736"/>
    <cellStyle name="Comma (0,000) TBD_Page 2f (2) 9 59" xfId="16737"/>
    <cellStyle name="Comma (0,000) TBD-_Page 2f (2) 9 59" xfId="16738"/>
    <cellStyle name="Comma (0,000) TBD_Page 2f (2) 9 6" xfId="16739"/>
    <cellStyle name="Comma (0,000) TBD-_Page 2f (2) 9 6" xfId="16740"/>
    <cellStyle name="Comma (0,000) TBD_Page 2f (2) 9 60" xfId="16741"/>
    <cellStyle name="Comma (0,000) TBD-_Page 2f (2) 9 60" xfId="16742"/>
    <cellStyle name="Comma (0,000) TBD_Page 2f (2) 9 61" xfId="16743"/>
    <cellStyle name="Comma (0,000) TBD-_Page 2f (2) 9 61" xfId="16744"/>
    <cellStyle name="Comma (0,000) TBD_Page 2f (2) 9 62" xfId="16745"/>
    <cellStyle name="Comma (0,000) TBD-_Page 2f (2) 9 62" xfId="16746"/>
    <cellStyle name="Comma (0,000) TBD_Page 2f (2) 9 63" xfId="16747"/>
    <cellStyle name="Comma (0,000) TBD-_Page 2f (2) 9 63" xfId="16748"/>
    <cellStyle name="Comma (0,000) TBD_Page 2f (2) 9 64" xfId="16749"/>
    <cellStyle name="Comma (0,000) TBD-_Page 2f (2) 9 64" xfId="16750"/>
    <cellStyle name="Comma (0,000) TBD_Page 2f (2) 9 65" xfId="16751"/>
    <cellStyle name="Comma (0,000) TBD-_Page 2f (2) 9 65" xfId="16752"/>
    <cellStyle name="Comma (0,000) TBD_Page 2f (2) 9 66" xfId="16753"/>
    <cellStyle name="Comma (0,000) TBD-_Page 2f (2) 9 66" xfId="16754"/>
    <cellStyle name="Comma (0,000) TBD_Page 2f (2) 9 67" xfId="16755"/>
    <cellStyle name="Comma (0,000) TBD-_Page 2f (2) 9 67" xfId="16756"/>
    <cellStyle name="Comma (0,000) TBD_Page 2f (2) 9 68" xfId="16757"/>
    <cellStyle name="Comma (0,000) TBD-_Page 2f (2) 9 68" xfId="16758"/>
    <cellStyle name="Comma (0,000) TBD_Page 2f (2) 9 69" xfId="16759"/>
    <cellStyle name="Comma (0,000) TBD-_Page 2f (2) 9 69" xfId="16760"/>
    <cellStyle name="Comma (0,000) TBD_Page 2f (2) 9 7" xfId="16761"/>
    <cellStyle name="Comma (0,000) TBD-_Page 2f (2) 9 7" xfId="16762"/>
    <cellStyle name="Comma (0,000) TBD_Page 2f (2) 9 70" xfId="16763"/>
    <cellStyle name="Comma (0,000) TBD-_Page 2f (2) 9 70" xfId="16764"/>
    <cellStyle name="Comma (0,000) TBD_Page 2f (2) 9 71" xfId="16765"/>
    <cellStyle name="Comma (0,000) TBD-_Page 2f (2) 9 71" xfId="16766"/>
    <cellStyle name="Comma (0,000) TBD_Page 2f (2) 9 72" xfId="16767"/>
    <cellStyle name="Comma (0,000) TBD-_Page 2f (2) 9 72" xfId="16768"/>
    <cellStyle name="Comma (0,000) TBD_Page 2f (2) 9 73" xfId="16769"/>
    <cellStyle name="Comma (0,000) TBD-_Page 2f (2) 9 73" xfId="16770"/>
    <cellStyle name="Comma (0,000) TBD_Page 2f (2) 9 74" xfId="16771"/>
    <cellStyle name="Comma (0,000) TBD-_Page 2f (2) 9 74" xfId="16772"/>
    <cellStyle name="Comma (0,000) TBD_Page 2f (2) 9 75" xfId="16773"/>
    <cellStyle name="Comma (0,000) TBD-_Page 2f (2) 9 75" xfId="16774"/>
    <cellStyle name="Comma (0,000) TBD_Page 2f (2) 9 76" xfId="16775"/>
    <cellStyle name="Comma (0,000) TBD-_Page 2f (2) 9 76" xfId="16776"/>
    <cellStyle name="Comma (0,000) TBD_Page 2f (2) 9 77" xfId="16777"/>
    <cellStyle name="Comma (0,000) TBD-_Page 2f (2) 9 77" xfId="16778"/>
    <cellStyle name="Comma (0,000) TBD_Page 2f (2) 9 78" xfId="16779"/>
    <cellStyle name="Comma (0,000) TBD-_Page 2f (2) 9 78" xfId="16780"/>
    <cellStyle name="Comma (0,000) TBD_Page 2f (2) 9 79" xfId="16781"/>
    <cellStyle name="Comma (0,000) TBD-_Page 2f (2) 9 79" xfId="16782"/>
    <cellStyle name="Comma (0,000) TBD_Page 2f (2) 9 8" xfId="16783"/>
    <cellStyle name="Comma (0,000) TBD-_Page 2f (2) 9 8" xfId="16784"/>
    <cellStyle name="Comma (0,000) TBD_Page 2f (2) 9 80" xfId="16785"/>
    <cellStyle name="Comma (0,000) TBD-_Page 2f (2) 9 80" xfId="16786"/>
    <cellStyle name="Comma (0,000) TBD_Page 2f (2) 9 81" xfId="16787"/>
    <cellStyle name="Comma (0,000) TBD-_Page 2f (2) 9 81" xfId="16788"/>
    <cellStyle name="Comma (0,000) TBD_Page 2f (2) 9 82" xfId="16789"/>
    <cellStyle name="Comma (0,000) TBD-_Page 2f (2) 9 82" xfId="16790"/>
    <cellStyle name="Comma (0,000) TBD_Page 2f (2) 9 83" xfId="16791"/>
    <cellStyle name="Comma (0,000) TBD-_Page 2f (2) 9 83" xfId="16792"/>
    <cellStyle name="Comma (0,000) TBD_Page 2f (2) 9 84" xfId="16793"/>
    <cellStyle name="Comma (0,000) TBD-_Page 2f (2) 9 84" xfId="16794"/>
    <cellStyle name="Comma (0,000) TBD_Page 2f (2) 9 85" xfId="16795"/>
    <cellStyle name="Comma (0,000) TBD-_Page 2f (2) 9 85" xfId="16796"/>
    <cellStyle name="Comma (0,000) TBD_Page 2f (2) 9 86" xfId="16797"/>
    <cellStyle name="Comma (0,000) TBD-_Page 2f (2) 9 86" xfId="16798"/>
    <cellStyle name="Comma (0,000) TBD_Page 2f (2) 9 87" xfId="16799"/>
    <cellStyle name="Comma (0,000) TBD-_Page 2f (2) 9 87" xfId="16800"/>
    <cellStyle name="Comma (0,000) TBD_Page 2f (2) 9 88" xfId="16801"/>
    <cellStyle name="Comma (0,000) TBD-_Page 2f (2) 9 88" xfId="16802"/>
    <cellStyle name="Comma (0,000) TBD_Page 2f (2) 9 89" xfId="16803"/>
    <cellStyle name="Comma (0,000) TBD-_Page 2f (2) 9 89" xfId="16804"/>
    <cellStyle name="Comma (0,000) TBD_Page 2f (2) 9 9" xfId="16805"/>
    <cellStyle name="Comma (0,000) TBD-_Page 2f (2) 9 9" xfId="16806"/>
    <cellStyle name="Comma (0,000) TBD_Page 2f (2) 9 90" xfId="16807"/>
    <cellStyle name="Comma (0,000) TBD-_Page 2f (2) 9 90" xfId="16808"/>
    <cellStyle name="Comma (0,000) TBD_Page 2f (2) 9 91" xfId="16809"/>
    <cellStyle name="Comma (0,000) TBD-_Page 2f (2) 9 91" xfId="16810"/>
    <cellStyle name="Comma (0,000) TBD_Page 2f (2) 9 92" xfId="16811"/>
    <cellStyle name="Comma (0,000) TBD-_Page 2f (2) 9 92" xfId="16812"/>
    <cellStyle name="Comma (0,000) TBD_Page 2f (2) 9 93" xfId="16813"/>
    <cellStyle name="Comma (0,000) TBD-_Page 2f (2) 9 93" xfId="16814"/>
    <cellStyle name="Comma (0,000) TBD_Page 2f (2) 9 94" xfId="16815"/>
    <cellStyle name="Comma (0,000) TBD-_Page 2f (2) 9 94" xfId="16816"/>
    <cellStyle name="Comma (0,000) TBD_Page 2f (2) 9 95" xfId="16817"/>
    <cellStyle name="Comma (0,000) TBD-_Page 2f (2) 9 95" xfId="16818"/>
    <cellStyle name="Comma (0,000) TBD_Page 2f (2) 9 96" xfId="16819"/>
    <cellStyle name="Comma (0,000) TBD-_Page 2f (2) 9 96" xfId="16820"/>
    <cellStyle name="Comma (0,000) TBD_Page 2f (2) 9 97" xfId="16821"/>
    <cellStyle name="Comma (0,000) TBD-_Page 2f (2) 9 97" xfId="16822"/>
    <cellStyle name="Comma (0,000) TBD_Page 2f (2) 9 98" xfId="16823"/>
    <cellStyle name="Comma (0,000) TBD-_Page 2f (2) 9 98" xfId="16824"/>
    <cellStyle name="Comma (0,000) TBD_Page 2f (2) 9 99" xfId="16825"/>
    <cellStyle name="Comma (0,000) TBD-_Page 2f (2) 9 99" xfId="16826"/>
    <cellStyle name="Comma (0,000) TBD_Tab 1" xfId="16827"/>
    <cellStyle name="Comma (0,000) TBD-_YoY" xfId="16828"/>
    <cellStyle name="Comma (0,000)_(4+8) YoY (3)" xfId="16829"/>
    <cellStyle name="Comma (00)" xfId="16830"/>
    <cellStyle name="Comma (000)" xfId="16831"/>
    <cellStyle name="Comma (000) 2" xfId="16832"/>
    <cellStyle name="Comma (1)" xfId="16833"/>
    <cellStyle name="Comma (2)" xfId="16834"/>
    <cellStyle name="Comma (Mils.)" xfId="16835"/>
    <cellStyle name="Comma (Mils.) 2" xfId="16836"/>
    <cellStyle name="Comma [0] -" xfId="16837"/>
    <cellStyle name="Comma [0] incl." xfId="16838"/>
    <cellStyle name="Comma [0] incl. 2" xfId="16839"/>
    <cellStyle name="Comma [0] incl. 2 2" xfId="16840"/>
    <cellStyle name="Comma [0] incl. 3" xfId="16841"/>
    <cellStyle name="Comma [0] incl. 3 2" xfId="16842"/>
    <cellStyle name="Comma [0] N/A" xfId="16843"/>
    <cellStyle name="Comma [0] N/A 2" xfId="16844"/>
    <cellStyle name="Comma [0] N/A 2 2" xfId="16845"/>
    <cellStyle name="Comma [0] N/A 3" xfId="16846"/>
    <cellStyle name="Comma [0] N/A 3 2" xfId="16847"/>
    <cellStyle name="Comma [0] TBD" xfId="16848"/>
    <cellStyle name="Comma [0] TBD-" xfId="16849"/>
    <cellStyle name="Comma [0] TBD 10" xfId="16850"/>
    <cellStyle name="Comma [0] TBD- 10" xfId="16851"/>
    <cellStyle name="Comma [0] TBD 10 10" xfId="16852"/>
    <cellStyle name="Comma [0] TBD- 10 10" xfId="16853"/>
    <cellStyle name="Comma [0] TBD 10 100" xfId="16854"/>
    <cellStyle name="Comma [0] TBD- 10 100" xfId="16855"/>
    <cellStyle name="Comma [0] TBD 10 101" xfId="16856"/>
    <cellStyle name="Comma [0] TBD- 10 101" xfId="16857"/>
    <cellStyle name="Comma [0] TBD 10 102" xfId="16858"/>
    <cellStyle name="Comma [0] TBD- 10 102" xfId="16859"/>
    <cellStyle name="Comma [0] TBD 10 103" xfId="16860"/>
    <cellStyle name="Comma [0] TBD- 10 103" xfId="16861"/>
    <cellStyle name="Comma [0] TBD 10 104" xfId="16862"/>
    <cellStyle name="Comma [0] TBD- 10 104" xfId="16863"/>
    <cellStyle name="Comma [0] TBD 10 105" xfId="16864"/>
    <cellStyle name="Comma [0] TBD- 10 105" xfId="16865"/>
    <cellStyle name="Comma [0] TBD 10 106" xfId="16866"/>
    <cellStyle name="Comma [0] TBD- 10 106" xfId="16867"/>
    <cellStyle name="Comma [0] TBD 10 107" xfId="16868"/>
    <cellStyle name="Comma [0] TBD- 10 107" xfId="16869"/>
    <cellStyle name="Comma [0] TBD 10 108" xfId="16870"/>
    <cellStyle name="Comma [0] TBD- 10 108" xfId="16871"/>
    <cellStyle name="Comma [0] TBD 10 109" xfId="16872"/>
    <cellStyle name="Comma [0] TBD- 10 109" xfId="16873"/>
    <cellStyle name="Comma [0] TBD 10 11" xfId="16874"/>
    <cellStyle name="Comma [0] TBD- 10 11" xfId="16875"/>
    <cellStyle name="Comma [0] TBD 10 110" xfId="16876"/>
    <cellStyle name="Comma [0] TBD- 10 110" xfId="16877"/>
    <cellStyle name="Comma [0] TBD 10 111" xfId="16878"/>
    <cellStyle name="Comma [0] TBD- 10 111" xfId="16879"/>
    <cellStyle name="Comma [0] TBD 10 112" xfId="16880"/>
    <cellStyle name="Comma [0] TBD- 10 112" xfId="16881"/>
    <cellStyle name="Comma [0] TBD 10 113" xfId="16882"/>
    <cellStyle name="Comma [0] TBD- 10 113" xfId="16883"/>
    <cellStyle name="Comma [0] TBD 10 114" xfId="16884"/>
    <cellStyle name="Comma [0] TBD- 10 114" xfId="16885"/>
    <cellStyle name="Comma [0] TBD 10 115" xfId="16886"/>
    <cellStyle name="Comma [0] TBD- 10 115" xfId="16887"/>
    <cellStyle name="Comma [0] TBD 10 116" xfId="16888"/>
    <cellStyle name="Comma [0] TBD- 10 116" xfId="16889"/>
    <cellStyle name="Comma [0] TBD 10 117" xfId="16890"/>
    <cellStyle name="Comma [0] TBD- 10 117" xfId="16891"/>
    <cellStyle name="Comma [0] TBD 10 118" xfId="16892"/>
    <cellStyle name="Comma [0] TBD- 10 118" xfId="16893"/>
    <cellStyle name="Comma [0] TBD 10 119" xfId="16894"/>
    <cellStyle name="Comma [0] TBD- 10 119" xfId="16895"/>
    <cellStyle name="Comma [0] TBD 10 12" xfId="16896"/>
    <cellStyle name="Comma [0] TBD- 10 12" xfId="16897"/>
    <cellStyle name="Comma [0] TBD 10 120" xfId="16898"/>
    <cellStyle name="Comma [0] TBD- 10 120" xfId="16899"/>
    <cellStyle name="Comma [0] TBD 10 121" xfId="16900"/>
    <cellStyle name="Comma [0] TBD- 10 121" xfId="16901"/>
    <cellStyle name="Comma [0] TBD 10 122" xfId="16902"/>
    <cellStyle name="Comma [0] TBD- 10 122" xfId="16903"/>
    <cellStyle name="Comma [0] TBD 10 123" xfId="16904"/>
    <cellStyle name="Comma [0] TBD- 10 123" xfId="16905"/>
    <cellStyle name="Comma [0] TBD 10 124" xfId="16906"/>
    <cellStyle name="Comma [0] TBD- 10 124" xfId="16907"/>
    <cellStyle name="Comma [0] TBD 10 125" xfId="16908"/>
    <cellStyle name="Comma [0] TBD- 10 125" xfId="16909"/>
    <cellStyle name="Comma [0] TBD 10 126" xfId="16910"/>
    <cellStyle name="Comma [0] TBD- 10 126" xfId="16911"/>
    <cellStyle name="Comma [0] TBD 10 127" xfId="16912"/>
    <cellStyle name="Comma [0] TBD- 10 127" xfId="16913"/>
    <cellStyle name="Comma [0] TBD 10 128" xfId="16914"/>
    <cellStyle name="Comma [0] TBD- 10 128" xfId="16915"/>
    <cellStyle name="Comma [0] TBD 10 129" xfId="16916"/>
    <cellStyle name="Comma [0] TBD- 10 129" xfId="16917"/>
    <cellStyle name="Comma [0] TBD 10 13" xfId="16918"/>
    <cellStyle name="Comma [0] TBD- 10 13" xfId="16919"/>
    <cellStyle name="Comma [0] TBD 10 130" xfId="16920"/>
    <cellStyle name="Comma [0] TBD- 10 130" xfId="16921"/>
    <cellStyle name="Comma [0] TBD 10 131" xfId="16922"/>
    <cellStyle name="Comma [0] TBD- 10 131" xfId="16923"/>
    <cellStyle name="Comma [0] TBD 10 132" xfId="16924"/>
    <cellStyle name="Comma [0] TBD- 10 132" xfId="16925"/>
    <cellStyle name="Comma [0] TBD 10 133" xfId="16926"/>
    <cellStyle name="Comma [0] TBD- 10 133" xfId="16927"/>
    <cellStyle name="Comma [0] TBD 10 134" xfId="16928"/>
    <cellStyle name="Comma [0] TBD- 10 134" xfId="16929"/>
    <cellStyle name="Comma [0] TBD 10 135" xfId="16930"/>
    <cellStyle name="Comma [0] TBD- 10 135" xfId="16931"/>
    <cellStyle name="Comma [0] TBD 10 136" xfId="16932"/>
    <cellStyle name="Comma [0] TBD- 10 136" xfId="16933"/>
    <cellStyle name="Comma [0] TBD 10 137" xfId="16934"/>
    <cellStyle name="Comma [0] TBD- 10 137" xfId="16935"/>
    <cellStyle name="Comma [0] TBD 10 138" xfId="16936"/>
    <cellStyle name="Comma [0] TBD- 10 138" xfId="16937"/>
    <cellStyle name="Comma [0] TBD 10 139" xfId="16938"/>
    <cellStyle name="Comma [0] TBD- 10 139" xfId="16939"/>
    <cellStyle name="Comma [0] TBD 10 14" xfId="16940"/>
    <cellStyle name="Comma [0] TBD- 10 14" xfId="16941"/>
    <cellStyle name="Comma [0] TBD 10 140" xfId="16942"/>
    <cellStyle name="Comma [0] TBD- 10 140" xfId="16943"/>
    <cellStyle name="Comma [0] TBD 10 141" xfId="16944"/>
    <cellStyle name="Comma [0] TBD- 10 141" xfId="16945"/>
    <cellStyle name="Comma [0] TBD 10 142" xfId="16946"/>
    <cellStyle name="Comma [0] TBD- 10 142" xfId="16947"/>
    <cellStyle name="Comma [0] TBD 10 143" xfId="16948"/>
    <cellStyle name="Comma [0] TBD- 10 143" xfId="16949"/>
    <cellStyle name="Comma [0] TBD 10 144" xfId="16950"/>
    <cellStyle name="Comma [0] TBD- 10 144" xfId="16951"/>
    <cellStyle name="Comma [0] TBD 10 145" xfId="16952"/>
    <cellStyle name="Comma [0] TBD- 10 145" xfId="16953"/>
    <cellStyle name="Comma [0] TBD 10 146" xfId="16954"/>
    <cellStyle name="Comma [0] TBD- 10 146" xfId="16955"/>
    <cellStyle name="Comma [0] TBD 10 147" xfId="16956"/>
    <cellStyle name="Comma [0] TBD- 10 147" xfId="16957"/>
    <cellStyle name="Comma [0] TBD 10 148" xfId="16958"/>
    <cellStyle name="Comma [0] TBD- 10 148" xfId="16959"/>
    <cellStyle name="Comma [0] TBD 10 149" xfId="16960"/>
    <cellStyle name="Comma [0] TBD- 10 149" xfId="16961"/>
    <cellStyle name="Comma [0] TBD 10 15" xfId="16962"/>
    <cellStyle name="Comma [0] TBD- 10 15" xfId="16963"/>
    <cellStyle name="Comma [0] TBD 10 150" xfId="16964"/>
    <cellStyle name="Comma [0] TBD- 10 150" xfId="16965"/>
    <cellStyle name="Comma [0] TBD 10 151" xfId="16966"/>
    <cellStyle name="Comma [0] TBD- 10 151" xfId="16967"/>
    <cellStyle name="Comma [0] TBD 10 152" xfId="16968"/>
    <cellStyle name="Comma [0] TBD- 10 152" xfId="16969"/>
    <cellStyle name="Comma [0] TBD 10 153" xfId="16970"/>
    <cellStyle name="Comma [0] TBD- 10 153" xfId="16971"/>
    <cellStyle name="Comma [0] TBD 10 16" xfId="16972"/>
    <cellStyle name="Comma [0] TBD- 10 16" xfId="16973"/>
    <cellStyle name="Comma [0] TBD 10 17" xfId="16974"/>
    <cellStyle name="Comma [0] TBD- 10 17" xfId="16975"/>
    <cellStyle name="Comma [0] TBD 10 18" xfId="16976"/>
    <cellStyle name="Comma [0] TBD- 10 18" xfId="16977"/>
    <cellStyle name="Comma [0] TBD 10 19" xfId="16978"/>
    <cellStyle name="Comma [0] TBD- 10 19" xfId="16979"/>
    <cellStyle name="Comma [0] TBD 10 2" xfId="16980"/>
    <cellStyle name="Comma [0] TBD- 10 2" xfId="16981"/>
    <cellStyle name="Comma [0] TBD 10 20" xfId="16982"/>
    <cellStyle name="Comma [0] TBD- 10 20" xfId="16983"/>
    <cellStyle name="Comma [0] TBD 10 21" xfId="16984"/>
    <cellStyle name="Comma [0] TBD- 10 21" xfId="16985"/>
    <cellStyle name="Comma [0] TBD 10 22" xfId="16986"/>
    <cellStyle name="Comma [0] TBD- 10 22" xfId="16987"/>
    <cellStyle name="Comma [0] TBD 10 23" xfId="16988"/>
    <cellStyle name="Comma [0] TBD- 10 23" xfId="16989"/>
    <cellStyle name="Comma [0] TBD 10 24" xfId="16990"/>
    <cellStyle name="Comma [0] TBD- 10 24" xfId="16991"/>
    <cellStyle name="Comma [0] TBD 10 25" xfId="16992"/>
    <cellStyle name="Comma [0] TBD- 10 25" xfId="16993"/>
    <cellStyle name="Comma [0] TBD 10 26" xfId="16994"/>
    <cellStyle name="Comma [0] TBD- 10 26" xfId="16995"/>
    <cellStyle name="Comma [0] TBD 10 27" xfId="16996"/>
    <cellStyle name="Comma [0] TBD- 10 27" xfId="16997"/>
    <cellStyle name="Comma [0] TBD 10 28" xfId="16998"/>
    <cellStyle name="Comma [0] TBD- 10 28" xfId="16999"/>
    <cellStyle name="Comma [0] TBD 10 29" xfId="17000"/>
    <cellStyle name="Comma [0] TBD- 10 29" xfId="17001"/>
    <cellStyle name="Comma [0] TBD 10 3" xfId="17002"/>
    <cellStyle name="Comma [0] TBD- 10 3" xfId="17003"/>
    <cellStyle name="Comma [0] TBD 10 30" xfId="17004"/>
    <cellStyle name="Comma [0] TBD- 10 30" xfId="17005"/>
    <cellStyle name="Comma [0] TBD 10 31" xfId="17006"/>
    <cellStyle name="Comma [0] TBD- 10 31" xfId="17007"/>
    <cellStyle name="Comma [0] TBD 10 32" xfId="17008"/>
    <cellStyle name="Comma [0] TBD- 10 32" xfId="17009"/>
    <cellStyle name="Comma [0] TBD 10 33" xfId="17010"/>
    <cellStyle name="Comma [0] TBD- 10 33" xfId="17011"/>
    <cellStyle name="Comma [0] TBD 10 34" xfId="17012"/>
    <cellStyle name="Comma [0] TBD- 10 34" xfId="17013"/>
    <cellStyle name="Comma [0] TBD 10 35" xfId="17014"/>
    <cellStyle name="Comma [0] TBD- 10 35" xfId="17015"/>
    <cellStyle name="Comma [0] TBD 10 36" xfId="17016"/>
    <cellStyle name="Comma [0] TBD- 10 36" xfId="17017"/>
    <cellStyle name="Comma [0] TBD 10 37" xfId="17018"/>
    <cellStyle name="Comma [0] TBD- 10 37" xfId="17019"/>
    <cellStyle name="Comma [0] TBD 10 38" xfId="17020"/>
    <cellStyle name="Comma [0] TBD- 10 38" xfId="17021"/>
    <cellStyle name="Comma [0] TBD 10 39" xfId="17022"/>
    <cellStyle name="Comma [0] TBD- 10 39" xfId="17023"/>
    <cellStyle name="Comma [0] TBD 10 4" xfId="17024"/>
    <cellStyle name="Comma [0] TBD- 10 4" xfId="17025"/>
    <cellStyle name="Comma [0] TBD 10 40" xfId="17026"/>
    <cellStyle name="Comma [0] TBD- 10 40" xfId="17027"/>
    <cellStyle name="Comma [0] TBD 10 41" xfId="17028"/>
    <cellStyle name="Comma [0] TBD- 10 41" xfId="17029"/>
    <cellStyle name="Comma [0] TBD 10 42" xfId="17030"/>
    <cellStyle name="Comma [0] TBD- 10 42" xfId="17031"/>
    <cellStyle name="Comma [0] TBD 10 43" xfId="17032"/>
    <cellStyle name="Comma [0] TBD- 10 43" xfId="17033"/>
    <cellStyle name="Comma [0] TBD 10 44" xfId="17034"/>
    <cellStyle name="Comma [0] TBD- 10 44" xfId="17035"/>
    <cellStyle name="Comma [0] TBD 10 45" xfId="17036"/>
    <cellStyle name="Comma [0] TBD- 10 45" xfId="17037"/>
    <cellStyle name="Comma [0] TBD 10 46" xfId="17038"/>
    <cellStyle name="Comma [0] TBD- 10 46" xfId="17039"/>
    <cellStyle name="Comma [0] TBD 10 47" xfId="17040"/>
    <cellStyle name="Comma [0] TBD- 10 47" xfId="17041"/>
    <cellStyle name="Comma [0] TBD 10 48" xfId="17042"/>
    <cellStyle name="Comma [0] TBD- 10 48" xfId="17043"/>
    <cellStyle name="Comma [0] TBD 10 49" xfId="17044"/>
    <cellStyle name="Comma [0] TBD- 10 49" xfId="17045"/>
    <cellStyle name="Comma [0] TBD 10 5" xfId="17046"/>
    <cellStyle name="Comma [0] TBD- 10 5" xfId="17047"/>
    <cellStyle name="Comma [0] TBD 10 50" xfId="17048"/>
    <cellStyle name="Comma [0] TBD- 10 50" xfId="17049"/>
    <cellStyle name="Comma [0] TBD 10 51" xfId="17050"/>
    <cellStyle name="Comma [0] TBD- 10 51" xfId="17051"/>
    <cellStyle name="Comma [0] TBD 10 52" xfId="17052"/>
    <cellStyle name="Comma [0] TBD- 10 52" xfId="17053"/>
    <cellStyle name="Comma [0] TBD 10 53" xfId="17054"/>
    <cellStyle name="Comma [0] TBD- 10 53" xfId="17055"/>
    <cellStyle name="Comma [0] TBD 10 54" xfId="17056"/>
    <cellStyle name="Comma [0] TBD- 10 54" xfId="17057"/>
    <cellStyle name="Comma [0] TBD 10 55" xfId="17058"/>
    <cellStyle name="Comma [0] TBD- 10 55" xfId="17059"/>
    <cellStyle name="Comma [0] TBD 10 56" xfId="17060"/>
    <cellStyle name="Comma [0] TBD- 10 56" xfId="17061"/>
    <cellStyle name="Comma [0] TBD 10 57" xfId="17062"/>
    <cellStyle name="Comma [0] TBD- 10 57" xfId="17063"/>
    <cellStyle name="Comma [0] TBD 10 58" xfId="17064"/>
    <cellStyle name="Comma [0] TBD- 10 58" xfId="17065"/>
    <cellStyle name="Comma [0] TBD 10 59" xfId="17066"/>
    <cellStyle name="Comma [0] TBD- 10 59" xfId="17067"/>
    <cellStyle name="Comma [0] TBD 10 6" xfId="17068"/>
    <cellStyle name="Comma [0] TBD- 10 6" xfId="17069"/>
    <cellStyle name="Comma [0] TBD 10 60" xfId="17070"/>
    <cellStyle name="Comma [0] TBD- 10 60" xfId="17071"/>
    <cellStyle name="Comma [0] TBD 10 61" xfId="17072"/>
    <cellStyle name="Comma [0] TBD- 10 61" xfId="17073"/>
    <cellStyle name="Comma [0] TBD 10 62" xfId="17074"/>
    <cellStyle name="Comma [0] TBD- 10 62" xfId="17075"/>
    <cellStyle name="Comma [0] TBD 10 63" xfId="17076"/>
    <cellStyle name="Comma [0] TBD- 10 63" xfId="17077"/>
    <cellStyle name="Comma [0] TBD 10 64" xfId="17078"/>
    <cellStyle name="Comma [0] TBD- 10 64" xfId="17079"/>
    <cellStyle name="Comma [0] TBD 10 65" xfId="17080"/>
    <cellStyle name="Comma [0] TBD- 10 65" xfId="17081"/>
    <cellStyle name="Comma [0] TBD 10 66" xfId="17082"/>
    <cellStyle name="Comma [0] TBD- 10 66" xfId="17083"/>
    <cellStyle name="Comma [0] TBD 10 67" xfId="17084"/>
    <cellStyle name="Comma [0] TBD- 10 67" xfId="17085"/>
    <cellStyle name="Comma [0] TBD 10 68" xfId="17086"/>
    <cellStyle name="Comma [0] TBD- 10 68" xfId="17087"/>
    <cellStyle name="Comma [0] TBD 10 69" xfId="17088"/>
    <cellStyle name="Comma [0] TBD- 10 69" xfId="17089"/>
    <cellStyle name="Comma [0] TBD 10 7" xfId="17090"/>
    <cellStyle name="Comma [0] TBD- 10 7" xfId="17091"/>
    <cellStyle name="Comma [0] TBD 10 70" xfId="17092"/>
    <cellStyle name="Comma [0] TBD- 10 70" xfId="17093"/>
    <cellStyle name="Comma [0] TBD 10 71" xfId="17094"/>
    <cellStyle name="Comma [0] TBD- 10 71" xfId="17095"/>
    <cellStyle name="Comma [0] TBD 10 72" xfId="17096"/>
    <cellStyle name="Comma [0] TBD- 10 72" xfId="17097"/>
    <cellStyle name="Comma [0] TBD 10 73" xfId="17098"/>
    <cellStyle name="Comma [0] TBD- 10 73" xfId="17099"/>
    <cellStyle name="Comma [0] TBD 10 74" xfId="17100"/>
    <cellStyle name="Comma [0] TBD- 10 74" xfId="17101"/>
    <cellStyle name="Comma [0] TBD 10 75" xfId="17102"/>
    <cellStyle name="Comma [0] TBD- 10 75" xfId="17103"/>
    <cellStyle name="Comma [0] TBD 10 76" xfId="17104"/>
    <cellStyle name="Comma [0] TBD- 10 76" xfId="17105"/>
    <cellStyle name="Comma [0] TBD 10 77" xfId="17106"/>
    <cellStyle name="Comma [0] TBD- 10 77" xfId="17107"/>
    <cellStyle name="Comma [0] TBD 10 78" xfId="17108"/>
    <cellStyle name="Comma [0] TBD- 10 78" xfId="17109"/>
    <cellStyle name="Comma [0] TBD 10 79" xfId="17110"/>
    <cellStyle name="Comma [0] TBD- 10 79" xfId="17111"/>
    <cellStyle name="Comma [0] TBD 10 8" xfId="17112"/>
    <cellStyle name="Comma [0] TBD- 10 8" xfId="17113"/>
    <cellStyle name="Comma [0] TBD 10 80" xfId="17114"/>
    <cellStyle name="Comma [0] TBD- 10 80" xfId="17115"/>
    <cellStyle name="Comma [0] TBD 10 81" xfId="17116"/>
    <cellStyle name="Comma [0] TBD- 10 81" xfId="17117"/>
    <cellStyle name="Comma [0] TBD 10 82" xfId="17118"/>
    <cellStyle name="Comma [0] TBD- 10 82" xfId="17119"/>
    <cellStyle name="Comma [0] TBD 10 83" xfId="17120"/>
    <cellStyle name="Comma [0] TBD- 10 83" xfId="17121"/>
    <cellStyle name="Comma [0] TBD 10 84" xfId="17122"/>
    <cellStyle name="Comma [0] TBD- 10 84" xfId="17123"/>
    <cellStyle name="Comma [0] TBD 10 85" xfId="17124"/>
    <cellStyle name="Comma [0] TBD- 10 85" xfId="17125"/>
    <cellStyle name="Comma [0] TBD 10 86" xfId="17126"/>
    <cellStyle name="Comma [0] TBD- 10 86" xfId="17127"/>
    <cellStyle name="Comma [0] TBD 10 87" xfId="17128"/>
    <cellStyle name="Comma [0] TBD- 10 87" xfId="17129"/>
    <cellStyle name="Comma [0] TBD 10 88" xfId="17130"/>
    <cellStyle name="Comma [0] TBD- 10 88" xfId="17131"/>
    <cellStyle name="Comma [0] TBD 10 89" xfId="17132"/>
    <cellStyle name="Comma [0] TBD- 10 89" xfId="17133"/>
    <cellStyle name="Comma [0] TBD 10 9" xfId="17134"/>
    <cellStyle name="Comma [0] TBD- 10 9" xfId="17135"/>
    <cellStyle name="Comma [0] TBD 10 90" xfId="17136"/>
    <cellStyle name="Comma [0] TBD- 10 90" xfId="17137"/>
    <cellStyle name="Comma [0] TBD 10 91" xfId="17138"/>
    <cellStyle name="Comma [0] TBD- 10 91" xfId="17139"/>
    <cellStyle name="Comma [0] TBD 10 92" xfId="17140"/>
    <cellStyle name="Comma [0] TBD- 10 92" xfId="17141"/>
    <cellStyle name="Comma [0] TBD 10 93" xfId="17142"/>
    <cellStyle name="Comma [0] TBD- 10 93" xfId="17143"/>
    <cellStyle name="Comma [0] TBD 10 94" xfId="17144"/>
    <cellStyle name="Comma [0] TBD- 10 94" xfId="17145"/>
    <cellStyle name="Comma [0] TBD 10 95" xfId="17146"/>
    <cellStyle name="Comma [0] TBD- 10 95" xfId="17147"/>
    <cellStyle name="Comma [0] TBD 10 96" xfId="17148"/>
    <cellStyle name="Comma [0] TBD- 10 96" xfId="17149"/>
    <cellStyle name="Comma [0] TBD 10 97" xfId="17150"/>
    <cellStyle name="Comma [0] TBD- 10 97" xfId="17151"/>
    <cellStyle name="Comma [0] TBD 10 98" xfId="17152"/>
    <cellStyle name="Comma [0] TBD- 10 98" xfId="17153"/>
    <cellStyle name="Comma [0] TBD 10 99" xfId="17154"/>
    <cellStyle name="Comma [0] TBD- 10 99" xfId="17155"/>
    <cellStyle name="Comma [0] TBD 11" xfId="17156"/>
    <cellStyle name="Comma [0] TBD- 11" xfId="17157"/>
    <cellStyle name="Comma [0] TBD 11 10" xfId="17158"/>
    <cellStyle name="Comma [0] TBD- 11 10" xfId="17159"/>
    <cellStyle name="Comma [0] TBD 11 100" xfId="17160"/>
    <cellStyle name="Comma [0] TBD- 11 100" xfId="17161"/>
    <cellStyle name="Comma [0] TBD 11 101" xfId="17162"/>
    <cellStyle name="Comma [0] TBD- 11 101" xfId="17163"/>
    <cellStyle name="Comma [0] TBD 11 102" xfId="17164"/>
    <cellStyle name="Comma [0] TBD- 11 102" xfId="17165"/>
    <cellStyle name="Comma [0] TBD 11 103" xfId="17166"/>
    <cellStyle name="Comma [0] TBD- 11 103" xfId="17167"/>
    <cellStyle name="Comma [0] TBD 11 104" xfId="17168"/>
    <cellStyle name="Comma [0] TBD- 11 104" xfId="17169"/>
    <cellStyle name="Comma [0] TBD 11 105" xfId="17170"/>
    <cellStyle name="Comma [0] TBD- 11 105" xfId="17171"/>
    <cellStyle name="Comma [0] TBD 11 106" xfId="17172"/>
    <cellStyle name="Comma [0] TBD- 11 106" xfId="17173"/>
    <cellStyle name="Comma [0] TBD 11 107" xfId="17174"/>
    <cellStyle name="Comma [0] TBD- 11 107" xfId="17175"/>
    <cellStyle name="Comma [0] TBD 11 108" xfId="17176"/>
    <cellStyle name="Comma [0] TBD- 11 108" xfId="17177"/>
    <cellStyle name="Comma [0] TBD 11 109" xfId="17178"/>
    <cellStyle name="Comma [0] TBD- 11 109" xfId="17179"/>
    <cellStyle name="Comma [0] TBD 11 11" xfId="17180"/>
    <cellStyle name="Comma [0] TBD- 11 11" xfId="17181"/>
    <cellStyle name="Comma [0] TBD 11 110" xfId="17182"/>
    <cellStyle name="Comma [0] TBD- 11 110" xfId="17183"/>
    <cellStyle name="Comma [0] TBD 11 111" xfId="17184"/>
    <cellStyle name="Comma [0] TBD- 11 111" xfId="17185"/>
    <cellStyle name="Comma [0] TBD 11 112" xfId="17186"/>
    <cellStyle name="Comma [0] TBD- 11 112" xfId="17187"/>
    <cellStyle name="Comma [0] TBD 11 113" xfId="17188"/>
    <cellStyle name="Comma [0] TBD- 11 113" xfId="17189"/>
    <cellStyle name="Comma [0] TBD 11 114" xfId="17190"/>
    <cellStyle name="Comma [0] TBD- 11 114" xfId="17191"/>
    <cellStyle name="Comma [0] TBD 11 115" xfId="17192"/>
    <cellStyle name="Comma [0] TBD- 11 115" xfId="17193"/>
    <cellStyle name="Comma [0] TBD 11 116" xfId="17194"/>
    <cellStyle name="Comma [0] TBD- 11 116" xfId="17195"/>
    <cellStyle name="Comma [0] TBD 11 117" xfId="17196"/>
    <cellStyle name="Comma [0] TBD- 11 117" xfId="17197"/>
    <cellStyle name="Comma [0] TBD 11 118" xfId="17198"/>
    <cellStyle name="Comma [0] TBD- 11 118" xfId="17199"/>
    <cellStyle name="Comma [0] TBD 11 119" xfId="17200"/>
    <cellStyle name="Comma [0] TBD- 11 119" xfId="17201"/>
    <cellStyle name="Comma [0] TBD 11 12" xfId="17202"/>
    <cellStyle name="Comma [0] TBD- 11 12" xfId="17203"/>
    <cellStyle name="Comma [0] TBD 11 120" xfId="17204"/>
    <cellStyle name="Comma [0] TBD- 11 120" xfId="17205"/>
    <cellStyle name="Comma [0] TBD 11 121" xfId="17206"/>
    <cellStyle name="Comma [0] TBD- 11 121" xfId="17207"/>
    <cellStyle name="Comma [0] TBD 11 122" xfId="17208"/>
    <cellStyle name="Comma [0] TBD- 11 122" xfId="17209"/>
    <cellStyle name="Comma [0] TBD 11 123" xfId="17210"/>
    <cellStyle name="Comma [0] TBD- 11 123" xfId="17211"/>
    <cellStyle name="Comma [0] TBD 11 124" xfId="17212"/>
    <cellStyle name="Comma [0] TBD- 11 124" xfId="17213"/>
    <cellStyle name="Comma [0] TBD 11 125" xfId="17214"/>
    <cellStyle name="Comma [0] TBD- 11 125" xfId="17215"/>
    <cellStyle name="Comma [0] TBD 11 126" xfId="17216"/>
    <cellStyle name="Comma [0] TBD- 11 126" xfId="17217"/>
    <cellStyle name="Comma [0] TBD 11 127" xfId="17218"/>
    <cellStyle name="Comma [0] TBD- 11 127" xfId="17219"/>
    <cellStyle name="Comma [0] TBD 11 128" xfId="17220"/>
    <cellStyle name="Comma [0] TBD- 11 128" xfId="17221"/>
    <cellStyle name="Comma [0] TBD 11 129" xfId="17222"/>
    <cellStyle name="Comma [0] TBD- 11 129" xfId="17223"/>
    <cellStyle name="Comma [0] TBD 11 13" xfId="17224"/>
    <cellStyle name="Comma [0] TBD- 11 13" xfId="17225"/>
    <cellStyle name="Comma [0] TBD 11 130" xfId="17226"/>
    <cellStyle name="Comma [0] TBD- 11 130" xfId="17227"/>
    <cellStyle name="Comma [0] TBD 11 131" xfId="17228"/>
    <cellStyle name="Comma [0] TBD- 11 131" xfId="17229"/>
    <cellStyle name="Comma [0] TBD 11 132" xfId="17230"/>
    <cellStyle name="Comma [0] TBD- 11 132" xfId="17231"/>
    <cellStyle name="Comma [0] TBD 11 133" xfId="17232"/>
    <cellStyle name="Comma [0] TBD- 11 133" xfId="17233"/>
    <cellStyle name="Comma [0] TBD 11 134" xfId="17234"/>
    <cellStyle name="Comma [0] TBD- 11 134" xfId="17235"/>
    <cellStyle name="Comma [0] TBD 11 135" xfId="17236"/>
    <cellStyle name="Comma [0] TBD- 11 135" xfId="17237"/>
    <cellStyle name="Comma [0] TBD 11 136" xfId="17238"/>
    <cellStyle name="Comma [0] TBD- 11 136" xfId="17239"/>
    <cellStyle name="Comma [0] TBD 11 137" xfId="17240"/>
    <cellStyle name="Comma [0] TBD- 11 137" xfId="17241"/>
    <cellStyle name="Comma [0] TBD 11 138" xfId="17242"/>
    <cellStyle name="Comma [0] TBD- 11 138" xfId="17243"/>
    <cellStyle name="Comma [0] TBD 11 139" xfId="17244"/>
    <cellStyle name="Comma [0] TBD- 11 139" xfId="17245"/>
    <cellStyle name="Comma [0] TBD 11 14" xfId="17246"/>
    <cellStyle name="Comma [0] TBD- 11 14" xfId="17247"/>
    <cellStyle name="Comma [0] TBD 11 140" xfId="17248"/>
    <cellStyle name="Comma [0] TBD- 11 140" xfId="17249"/>
    <cellStyle name="Comma [0] TBD 11 141" xfId="17250"/>
    <cellStyle name="Comma [0] TBD- 11 141" xfId="17251"/>
    <cellStyle name="Comma [0] TBD 11 142" xfId="17252"/>
    <cellStyle name="Comma [0] TBD- 11 142" xfId="17253"/>
    <cellStyle name="Comma [0] TBD 11 143" xfId="17254"/>
    <cellStyle name="Comma [0] TBD- 11 143" xfId="17255"/>
    <cellStyle name="Comma [0] TBD 11 144" xfId="17256"/>
    <cellStyle name="Comma [0] TBD- 11 144" xfId="17257"/>
    <cellStyle name="Comma [0] TBD 11 145" xfId="17258"/>
    <cellStyle name="Comma [0] TBD- 11 145" xfId="17259"/>
    <cellStyle name="Comma [0] TBD 11 146" xfId="17260"/>
    <cellStyle name="Comma [0] TBD- 11 146" xfId="17261"/>
    <cellStyle name="Comma [0] TBD 11 147" xfId="17262"/>
    <cellStyle name="Comma [0] TBD- 11 147" xfId="17263"/>
    <cellStyle name="Comma [0] TBD 11 148" xfId="17264"/>
    <cellStyle name="Comma [0] TBD- 11 148" xfId="17265"/>
    <cellStyle name="Comma [0] TBD 11 149" xfId="17266"/>
    <cellStyle name="Comma [0] TBD- 11 149" xfId="17267"/>
    <cellStyle name="Comma [0] TBD 11 15" xfId="17268"/>
    <cellStyle name="Comma [0] TBD- 11 15" xfId="17269"/>
    <cellStyle name="Comma [0] TBD 11 150" xfId="17270"/>
    <cellStyle name="Comma [0] TBD- 11 150" xfId="17271"/>
    <cellStyle name="Comma [0] TBD 11 151" xfId="17272"/>
    <cellStyle name="Comma [0] TBD- 11 151" xfId="17273"/>
    <cellStyle name="Comma [0] TBD 11 152" xfId="17274"/>
    <cellStyle name="Comma [0] TBD- 11 152" xfId="17275"/>
    <cellStyle name="Comma [0] TBD 11 153" xfId="17276"/>
    <cellStyle name="Comma [0] TBD- 11 153" xfId="17277"/>
    <cellStyle name="Comma [0] TBD 11 16" xfId="17278"/>
    <cellStyle name="Comma [0] TBD- 11 16" xfId="17279"/>
    <cellStyle name="Comma [0] TBD 11 17" xfId="17280"/>
    <cellStyle name="Comma [0] TBD- 11 17" xfId="17281"/>
    <cellStyle name="Comma [0] TBD 11 18" xfId="17282"/>
    <cellStyle name="Comma [0] TBD- 11 18" xfId="17283"/>
    <cellStyle name="Comma [0] TBD 11 19" xfId="17284"/>
    <cellStyle name="Comma [0] TBD- 11 19" xfId="17285"/>
    <cellStyle name="Comma [0] TBD 11 2" xfId="17286"/>
    <cellStyle name="Comma [0] TBD- 11 2" xfId="17287"/>
    <cellStyle name="Comma [0] TBD 11 20" xfId="17288"/>
    <cellStyle name="Comma [0] TBD- 11 20" xfId="17289"/>
    <cellStyle name="Comma [0] TBD 11 21" xfId="17290"/>
    <cellStyle name="Comma [0] TBD- 11 21" xfId="17291"/>
    <cellStyle name="Comma [0] TBD 11 22" xfId="17292"/>
    <cellStyle name="Comma [0] TBD- 11 22" xfId="17293"/>
    <cellStyle name="Comma [0] TBD 11 23" xfId="17294"/>
    <cellStyle name="Comma [0] TBD- 11 23" xfId="17295"/>
    <cellStyle name="Comma [0] TBD 11 24" xfId="17296"/>
    <cellStyle name="Comma [0] TBD- 11 24" xfId="17297"/>
    <cellStyle name="Comma [0] TBD 11 25" xfId="17298"/>
    <cellStyle name="Comma [0] TBD- 11 25" xfId="17299"/>
    <cellStyle name="Comma [0] TBD 11 26" xfId="17300"/>
    <cellStyle name="Comma [0] TBD- 11 26" xfId="17301"/>
    <cellStyle name="Comma [0] TBD 11 27" xfId="17302"/>
    <cellStyle name="Comma [0] TBD- 11 27" xfId="17303"/>
    <cellStyle name="Comma [0] TBD 11 28" xfId="17304"/>
    <cellStyle name="Comma [0] TBD- 11 28" xfId="17305"/>
    <cellStyle name="Comma [0] TBD 11 29" xfId="17306"/>
    <cellStyle name="Comma [0] TBD- 11 29" xfId="17307"/>
    <cellStyle name="Comma [0] TBD 11 3" xfId="17308"/>
    <cellStyle name="Comma [0] TBD- 11 3" xfId="17309"/>
    <cellStyle name="Comma [0] TBD 11 30" xfId="17310"/>
    <cellStyle name="Comma [0] TBD- 11 30" xfId="17311"/>
    <cellStyle name="Comma [0] TBD 11 31" xfId="17312"/>
    <cellStyle name="Comma [0] TBD- 11 31" xfId="17313"/>
    <cellStyle name="Comma [0] TBD 11 32" xfId="17314"/>
    <cellStyle name="Comma [0] TBD- 11 32" xfId="17315"/>
    <cellStyle name="Comma [0] TBD 11 33" xfId="17316"/>
    <cellStyle name="Comma [0] TBD- 11 33" xfId="17317"/>
    <cellStyle name="Comma [0] TBD 11 34" xfId="17318"/>
    <cellStyle name="Comma [0] TBD- 11 34" xfId="17319"/>
    <cellStyle name="Comma [0] TBD 11 35" xfId="17320"/>
    <cellStyle name="Comma [0] TBD- 11 35" xfId="17321"/>
    <cellStyle name="Comma [0] TBD 11 36" xfId="17322"/>
    <cellStyle name="Comma [0] TBD- 11 36" xfId="17323"/>
    <cellStyle name="Comma [0] TBD 11 37" xfId="17324"/>
    <cellStyle name="Comma [0] TBD- 11 37" xfId="17325"/>
    <cellStyle name="Comma [0] TBD 11 38" xfId="17326"/>
    <cellStyle name="Comma [0] TBD- 11 38" xfId="17327"/>
    <cellStyle name="Comma [0] TBD 11 39" xfId="17328"/>
    <cellStyle name="Comma [0] TBD- 11 39" xfId="17329"/>
    <cellStyle name="Comma [0] TBD 11 4" xfId="17330"/>
    <cellStyle name="Comma [0] TBD- 11 4" xfId="17331"/>
    <cellStyle name="Comma [0] TBD 11 40" xfId="17332"/>
    <cellStyle name="Comma [0] TBD- 11 40" xfId="17333"/>
    <cellStyle name="Comma [0] TBD 11 41" xfId="17334"/>
    <cellStyle name="Comma [0] TBD- 11 41" xfId="17335"/>
    <cellStyle name="Comma [0] TBD 11 42" xfId="17336"/>
    <cellStyle name="Comma [0] TBD- 11 42" xfId="17337"/>
    <cellStyle name="Comma [0] TBD 11 43" xfId="17338"/>
    <cellStyle name="Comma [0] TBD- 11 43" xfId="17339"/>
    <cellStyle name="Comma [0] TBD 11 44" xfId="17340"/>
    <cellStyle name="Comma [0] TBD- 11 44" xfId="17341"/>
    <cellStyle name="Comma [0] TBD 11 45" xfId="17342"/>
    <cellStyle name="Comma [0] TBD- 11 45" xfId="17343"/>
    <cellStyle name="Comma [0] TBD 11 46" xfId="17344"/>
    <cellStyle name="Comma [0] TBD- 11 46" xfId="17345"/>
    <cellStyle name="Comma [0] TBD 11 47" xfId="17346"/>
    <cellStyle name="Comma [0] TBD- 11 47" xfId="17347"/>
    <cellStyle name="Comma [0] TBD 11 48" xfId="17348"/>
    <cellStyle name="Comma [0] TBD- 11 48" xfId="17349"/>
    <cellStyle name="Comma [0] TBD 11 49" xfId="17350"/>
    <cellStyle name="Comma [0] TBD- 11 49" xfId="17351"/>
    <cellStyle name="Comma [0] TBD 11 5" xfId="17352"/>
    <cellStyle name="Comma [0] TBD- 11 5" xfId="17353"/>
    <cellStyle name="Comma [0] TBD 11 50" xfId="17354"/>
    <cellStyle name="Comma [0] TBD- 11 50" xfId="17355"/>
    <cellStyle name="Comma [0] TBD 11 51" xfId="17356"/>
    <cellStyle name="Comma [0] TBD- 11 51" xfId="17357"/>
    <cellStyle name="Comma [0] TBD 11 52" xfId="17358"/>
    <cellStyle name="Comma [0] TBD- 11 52" xfId="17359"/>
    <cellStyle name="Comma [0] TBD 11 53" xfId="17360"/>
    <cellStyle name="Comma [0] TBD- 11 53" xfId="17361"/>
    <cellStyle name="Comma [0] TBD 11 54" xfId="17362"/>
    <cellStyle name="Comma [0] TBD- 11 54" xfId="17363"/>
    <cellStyle name="Comma [0] TBD 11 55" xfId="17364"/>
    <cellStyle name="Comma [0] TBD- 11 55" xfId="17365"/>
    <cellStyle name="Comma [0] TBD 11 56" xfId="17366"/>
    <cellStyle name="Comma [0] TBD- 11 56" xfId="17367"/>
    <cellStyle name="Comma [0] TBD 11 57" xfId="17368"/>
    <cellStyle name="Comma [0] TBD- 11 57" xfId="17369"/>
    <cellStyle name="Comma [0] TBD 11 58" xfId="17370"/>
    <cellStyle name="Comma [0] TBD- 11 58" xfId="17371"/>
    <cellStyle name="Comma [0] TBD 11 59" xfId="17372"/>
    <cellStyle name="Comma [0] TBD- 11 59" xfId="17373"/>
    <cellStyle name="Comma [0] TBD 11 6" xfId="17374"/>
    <cellStyle name="Comma [0] TBD- 11 6" xfId="17375"/>
    <cellStyle name="Comma [0] TBD 11 60" xfId="17376"/>
    <cellStyle name="Comma [0] TBD- 11 60" xfId="17377"/>
    <cellStyle name="Comma [0] TBD 11 61" xfId="17378"/>
    <cellStyle name="Comma [0] TBD- 11 61" xfId="17379"/>
    <cellStyle name="Comma [0] TBD 11 62" xfId="17380"/>
    <cellStyle name="Comma [0] TBD- 11 62" xfId="17381"/>
    <cellStyle name="Comma [0] TBD 11 63" xfId="17382"/>
    <cellStyle name="Comma [0] TBD- 11 63" xfId="17383"/>
    <cellStyle name="Comma [0] TBD 11 64" xfId="17384"/>
    <cellStyle name="Comma [0] TBD- 11 64" xfId="17385"/>
    <cellStyle name="Comma [0] TBD 11 65" xfId="17386"/>
    <cellStyle name="Comma [0] TBD- 11 65" xfId="17387"/>
    <cellStyle name="Comma [0] TBD 11 66" xfId="17388"/>
    <cellStyle name="Comma [0] TBD- 11 66" xfId="17389"/>
    <cellStyle name="Comma [0] TBD 11 67" xfId="17390"/>
    <cellStyle name="Comma [0] TBD- 11 67" xfId="17391"/>
    <cellStyle name="Comma [0] TBD 11 68" xfId="17392"/>
    <cellStyle name="Comma [0] TBD- 11 68" xfId="17393"/>
    <cellStyle name="Comma [0] TBD 11 69" xfId="17394"/>
    <cellStyle name="Comma [0] TBD- 11 69" xfId="17395"/>
    <cellStyle name="Comma [0] TBD 11 7" xfId="17396"/>
    <cellStyle name="Comma [0] TBD- 11 7" xfId="17397"/>
    <cellStyle name="Comma [0] TBD 11 70" xfId="17398"/>
    <cellStyle name="Comma [0] TBD- 11 70" xfId="17399"/>
    <cellStyle name="Comma [0] TBD 11 71" xfId="17400"/>
    <cellStyle name="Comma [0] TBD- 11 71" xfId="17401"/>
    <cellStyle name="Comma [0] TBD 11 72" xfId="17402"/>
    <cellStyle name="Comma [0] TBD- 11 72" xfId="17403"/>
    <cellStyle name="Comma [0] TBD 11 73" xfId="17404"/>
    <cellStyle name="Comma [0] TBD- 11 73" xfId="17405"/>
    <cellStyle name="Comma [0] TBD 11 74" xfId="17406"/>
    <cellStyle name="Comma [0] TBD- 11 74" xfId="17407"/>
    <cellStyle name="Comma [0] TBD 11 75" xfId="17408"/>
    <cellStyle name="Comma [0] TBD- 11 75" xfId="17409"/>
    <cellStyle name="Comma [0] TBD 11 76" xfId="17410"/>
    <cellStyle name="Comma [0] TBD- 11 76" xfId="17411"/>
    <cellStyle name="Comma [0] TBD 11 77" xfId="17412"/>
    <cellStyle name="Comma [0] TBD- 11 77" xfId="17413"/>
    <cellStyle name="Comma [0] TBD 11 78" xfId="17414"/>
    <cellStyle name="Comma [0] TBD- 11 78" xfId="17415"/>
    <cellStyle name="Comma [0] TBD 11 79" xfId="17416"/>
    <cellStyle name="Comma [0] TBD- 11 79" xfId="17417"/>
    <cellStyle name="Comma [0] TBD 11 8" xfId="17418"/>
    <cellStyle name="Comma [0] TBD- 11 8" xfId="17419"/>
    <cellStyle name="Comma [0] TBD 11 80" xfId="17420"/>
    <cellStyle name="Comma [0] TBD- 11 80" xfId="17421"/>
    <cellStyle name="Comma [0] TBD 11 81" xfId="17422"/>
    <cellStyle name="Comma [0] TBD- 11 81" xfId="17423"/>
    <cellStyle name="Comma [0] TBD 11 82" xfId="17424"/>
    <cellStyle name="Comma [0] TBD- 11 82" xfId="17425"/>
    <cellStyle name="Comma [0] TBD 11 83" xfId="17426"/>
    <cellStyle name="Comma [0] TBD- 11 83" xfId="17427"/>
    <cellStyle name="Comma [0] TBD 11 84" xfId="17428"/>
    <cellStyle name="Comma [0] TBD- 11 84" xfId="17429"/>
    <cellStyle name="Comma [0] TBD 11 85" xfId="17430"/>
    <cellStyle name="Comma [0] TBD- 11 85" xfId="17431"/>
    <cellStyle name="Comma [0] TBD 11 86" xfId="17432"/>
    <cellStyle name="Comma [0] TBD- 11 86" xfId="17433"/>
    <cellStyle name="Comma [0] TBD 11 87" xfId="17434"/>
    <cellStyle name="Comma [0] TBD- 11 87" xfId="17435"/>
    <cellStyle name="Comma [0] TBD 11 88" xfId="17436"/>
    <cellStyle name="Comma [0] TBD- 11 88" xfId="17437"/>
    <cellStyle name="Comma [0] TBD 11 89" xfId="17438"/>
    <cellStyle name="Comma [0] TBD- 11 89" xfId="17439"/>
    <cellStyle name="Comma [0] TBD 11 9" xfId="17440"/>
    <cellStyle name="Comma [0] TBD- 11 9" xfId="17441"/>
    <cellStyle name="Comma [0] TBD 11 90" xfId="17442"/>
    <cellStyle name="Comma [0] TBD- 11 90" xfId="17443"/>
    <cellStyle name="Comma [0] TBD 11 91" xfId="17444"/>
    <cellStyle name="Comma [0] TBD- 11 91" xfId="17445"/>
    <cellStyle name="Comma [0] TBD 11 92" xfId="17446"/>
    <cellStyle name="Comma [0] TBD- 11 92" xfId="17447"/>
    <cellStyle name="Comma [0] TBD 11 93" xfId="17448"/>
    <cellStyle name="Comma [0] TBD- 11 93" xfId="17449"/>
    <cellStyle name="Comma [0] TBD 11 94" xfId="17450"/>
    <cellStyle name="Comma [0] TBD- 11 94" xfId="17451"/>
    <cellStyle name="Comma [0] TBD 11 95" xfId="17452"/>
    <cellStyle name="Comma [0] TBD- 11 95" xfId="17453"/>
    <cellStyle name="Comma [0] TBD 11 96" xfId="17454"/>
    <cellStyle name="Comma [0] TBD- 11 96" xfId="17455"/>
    <cellStyle name="Comma [0] TBD 11 97" xfId="17456"/>
    <cellStyle name="Comma [0] TBD- 11 97" xfId="17457"/>
    <cellStyle name="Comma [0] TBD 11 98" xfId="17458"/>
    <cellStyle name="Comma [0] TBD- 11 98" xfId="17459"/>
    <cellStyle name="Comma [0] TBD 11 99" xfId="17460"/>
    <cellStyle name="Comma [0] TBD- 11 99" xfId="17461"/>
    <cellStyle name="Comma [0] TBD 12" xfId="17462"/>
    <cellStyle name="Comma [0] TBD- 12" xfId="17463"/>
    <cellStyle name="Comma [0] TBD 12 10" xfId="17464"/>
    <cellStyle name="Comma [0] TBD- 12 10" xfId="17465"/>
    <cellStyle name="Comma [0] TBD 12 100" xfId="17466"/>
    <cellStyle name="Comma [0] TBD- 12 100" xfId="17467"/>
    <cellStyle name="Comma [0] TBD 12 101" xfId="17468"/>
    <cellStyle name="Comma [0] TBD- 12 101" xfId="17469"/>
    <cellStyle name="Comma [0] TBD 12 102" xfId="17470"/>
    <cellStyle name="Comma [0] TBD- 12 102" xfId="17471"/>
    <cellStyle name="Comma [0] TBD 12 103" xfId="17472"/>
    <cellStyle name="Comma [0] TBD- 12 103" xfId="17473"/>
    <cellStyle name="Comma [0] TBD 12 104" xfId="17474"/>
    <cellStyle name="Comma [0] TBD- 12 104" xfId="17475"/>
    <cellStyle name="Comma [0] TBD 12 105" xfId="17476"/>
    <cellStyle name="Comma [0] TBD- 12 105" xfId="17477"/>
    <cellStyle name="Comma [0] TBD 12 106" xfId="17478"/>
    <cellStyle name="Comma [0] TBD- 12 106" xfId="17479"/>
    <cellStyle name="Comma [0] TBD 12 107" xfId="17480"/>
    <cellStyle name="Comma [0] TBD- 12 107" xfId="17481"/>
    <cellStyle name="Comma [0] TBD 12 108" xfId="17482"/>
    <cellStyle name="Comma [0] TBD- 12 108" xfId="17483"/>
    <cellStyle name="Comma [0] TBD 12 109" xfId="17484"/>
    <cellStyle name="Comma [0] TBD- 12 109" xfId="17485"/>
    <cellStyle name="Comma [0] TBD 12 11" xfId="17486"/>
    <cellStyle name="Comma [0] TBD- 12 11" xfId="17487"/>
    <cellStyle name="Comma [0] TBD 12 110" xfId="17488"/>
    <cellStyle name="Comma [0] TBD- 12 110" xfId="17489"/>
    <cellStyle name="Comma [0] TBD 12 111" xfId="17490"/>
    <cellStyle name="Comma [0] TBD- 12 111" xfId="17491"/>
    <cellStyle name="Comma [0] TBD 12 112" xfId="17492"/>
    <cellStyle name="Comma [0] TBD- 12 112" xfId="17493"/>
    <cellStyle name="Comma [0] TBD 12 113" xfId="17494"/>
    <cellStyle name="Comma [0] TBD- 12 113" xfId="17495"/>
    <cellStyle name="Comma [0] TBD 12 114" xfId="17496"/>
    <cellStyle name="Comma [0] TBD- 12 114" xfId="17497"/>
    <cellStyle name="Comma [0] TBD 12 115" xfId="17498"/>
    <cellStyle name="Comma [0] TBD- 12 115" xfId="17499"/>
    <cellStyle name="Comma [0] TBD 12 116" xfId="17500"/>
    <cellStyle name="Comma [0] TBD- 12 116" xfId="17501"/>
    <cellStyle name="Comma [0] TBD 12 117" xfId="17502"/>
    <cellStyle name="Comma [0] TBD- 12 117" xfId="17503"/>
    <cellStyle name="Comma [0] TBD 12 118" xfId="17504"/>
    <cellStyle name="Comma [0] TBD- 12 118" xfId="17505"/>
    <cellStyle name="Comma [0] TBD 12 119" xfId="17506"/>
    <cellStyle name="Comma [0] TBD- 12 119" xfId="17507"/>
    <cellStyle name="Comma [0] TBD 12 12" xfId="17508"/>
    <cellStyle name="Comma [0] TBD- 12 12" xfId="17509"/>
    <cellStyle name="Comma [0] TBD 12 120" xfId="17510"/>
    <cellStyle name="Comma [0] TBD- 12 120" xfId="17511"/>
    <cellStyle name="Comma [0] TBD 12 121" xfId="17512"/>
    <cellStyle name="Comma [0] TBD- 12 121" xfId="17513"/>
    <cellStyle name="Comma [0] TBD 12 122" xfId="17514"/>
    <cellStyle name="Comma [0] TBD- 12 122" xfId="17515"/>
    <cellStyle name="Comma [0] TBD 12 123" xfId="17516"/>
    <cellStyle name="Comma [0] TBD- 12 123" xfId="17517"/>
    <cellStyle name="Comma [0] TBD 12 124" xfId="17518"/>
    <cellStyle name="Comma [0] TBD- 12 124" xfId="17519"/>
    <cellStyle name="Comma [0] TBD 12 125" xfId="17520"/>
    <cellStyle name="Comma [0] TBD- 12 125" xfId="17521"/>
    <cellStyle name="Comma [0] TBD 12 126" xfId="17522"/>
    <cellStyle name="Comma [0] TBD- 12 126" xfId="17523"/>
    <cellStyle name="Comma [0] TBD 12 127" xfId="17524"/>
    <cellStyle name="Comma [0] TBD- 12 127" xfId="17525"/>
    <cellStyle name="Comma [0] TBD 12 128" xfId="17526"/>
    <cellStyle name="Comma [0] TBD- 12 128" xfId="17527"/>
    <cellStyle name="Comma [0] TBD 12 129" xfId="17528"/>
    <cellStyle name="Comma [0] TBD- 12 129" xfId="17529"/>
    <cellStyle name="Comma [0] TBD 12 13" xfId="17530"/>
    <cellStyle name="Comma [0] TBD- 12 13" xfId="17531"/>
    <cellStyle name="Comma [0] TBD 12 130" xfId="17532"/>
    <cellStyle name="Comma [0] TBD- 12 130" xfId="17533"/>
    <cellStyle name="Comma [0] TBD 12 131" xfId="17534"/>
    <cellStyle name="Comma [0] TBD- 12 131" xfId="17535"/>
    <cellStyle name="Comma [0] TBD 12 132" xfId="17536"/>
    <cellStyle name="Comma [0] TBD- 12 132" xfId="17537"/>
    <cellStyle name="Comma [0] TBD 12 133" xfId="17538"/>
    <cellStyle name="Comma [0] TBD- 12 133" xfId="17539"/>
    <cellStyle name="Comma [0] TBD 12 134" xfId="17540"/>
    <cellStyle name="Comma [0] TBD- 12 134" xfId="17541"/>
    <cellStyle name="Comma [0] TBD 12 135" xfId="17542"/>
    <cellStyle name="Comma [0] TBD- 12 135" xfId="17543"/>
    <cellStyle name="Comma [0] TBD 12 136" xfId="17544"/>
    <cellStyle name="Comma [0] TBD- 12 136" xfId="17545"/>
    <cellStyle name="Comma [0] TBD 12 137" xfId="17546"/>
    <cellStyle name="Comma [0] TBD- 12 137" xfId="17547"/>
    <cellStyle name="Comma [0] TBD 12 138" xfId="17548"/>
    <cellStyle name="Comma [0] TBD- 12 138" xfId="17549"/>
    <cellStyle name="Comma [0] TBD 12 139" xfId="17550"/>
    <cellStyle name="Comma [0] TBD- 12 139" xfId="17551"/>
    <cellStyle name="Comma [0] TBD 12 14" xfId="17552"/>
    <cellStyle name="Comma [0] TBD- 12 14" xfId="17553"/>
    <cellStyle name="Comma [0] TBD 12 140" xfId="17554"/>
    <cellStyle name="Comma [0] TBD- 12 140" xfId="17555"/>
    <cellStyle name="Comma [0] TBD 12 141" xfId="17556"/>
    <cellStyle name="Comma [0] TBD- 12 141" xfId="17557"/>
    <cellStyle name="Comma [0] TBD 12 142" xfId="17558"/>
    <cellStyle name="Comma [0] TBD- 12 142" xfId="17559"/>
    <cellStyle name="Comma [0] TBD 12 143" xfId="17560"/>
    <cellStyle name="Comma [0] TBD- 12 143" xfId="17561"/>
    <cellStyle name="Comma [0] TBD 12 144" xfId="17562"/>
    <cellStyle name="Comma [0] TBD- 12 144" xfId="17563"/>
    <cellStyle name="Comma [0] TBD 12 145" xfId="17564"/>
    <cellStyle name="Comma [0] TBD- 12 145" xfId="17565"/>
    <cellStyle name="Comma [0] TBD 12 146" xfId="17566"/>
    <cellStyle name="Comma [0] TBD- 12 146" xfId="17567"/>
    <cellStyle name="Comma [0] TBD 12 147" xfId="17568"/>
    <cellStyle name="Comma [0] TBD- 12 147" xfId="17569"/>
    <cellStyle name="Comma [0] TBD 12 148" xfId="17570"/>
    <cellStyle name="Comma [0] TBD- 12 148" xfId="17571"/>
    <cellStyle name="Comma [0] TBD 12 149" xfId="17572"/>
    <cellStyle name="Comma [0] TBD- 12 149" xfId="17573"/>
    <cellStyle name="Comma [0] TBD 12 15" xfId="17574"/>
    <cellStyle name="Comma [0] TBD- 12 15" xfId="17575"/>
    <cellStyle name="Comma [0] TBD 12 150" xfId="17576"/>
    <cellStyle name="Comma [0] TBD- 12 150" xfId="17577"/>
    <cellStyle name="Comma [0] TBD 12 151" xfId="17578"/>
    <cellStyle name="Comma [0] TBD- 12 151" xfId="17579"/>
    <cellStyle name="Comma [0] TBD 12 152" xfId="17580"/>
    <cellStyle name="Comma [0] TBD- 12 152" xfId="17581"/>
    <cellStyle name="Comma [0] TBD 12 153" xfId="17582"/>
    <cellStyle name="Comma [0] TBD- 12 153" xfId="17583"/>
    <cellStyle name="Comma [0] TBD 12 16" xfId="17584"/>
    <cellStyle name="Comma [0] TBD- 12 16" xfId="17585"/>
    <cellStyle name="Comma [0] TBD 12 17" xfId="17586"/>
    <cellStyle name="Comma [0] TBD- 12 17" xfId="17587"/>
    <cellStyle name="Comma [0] TBD 12 18" xfId="17588"/>
    <cellStyle name="Comma [0] TBD- 12 18" xfId="17589"/>
    <cellStyle name="Comma [0] TBD 12 19" xfId="17590"/>
    <cellStyle name="Comma [0] TBD- 12 19" xfId="17591"/>
    <cellStyle name="Comma [0] TBD 12 2" xfId="17592"/>
    <cellStyle name="Comma [0] TBD- 12 2" xfId="17593"/>
    <cellStyle name="Comma [0] TBD 12 20" xfId="17594"/>
    <cellStyle name="Comma [0] TBD- 12 20" xfId="17595"/>
    <cellStyle name="Comma [0] TBD 12 21" xfId="17596"/>
    <cellStyle name="Comma [0] TBD- 12 21" xfId="17597"/>
    <cellStyle name="Comma [0] TBD 12 22" xfId="17598"/>
    <cellStyle name="Comma [0] TBD- 12 22" xfId="17599"/>
    <cellStyle name="Comma [0] TBD 12 23" xfId="17600"/>
    <cellStyle name="Comma [0] TBD- 12 23" xfId="17601"/>
    <cellStyle name="Comma [0] TBD 12 24" xfId="17602"/>
    <cellStyle name="Comma [0] TBD- 12 24" xfId="17603"/>
    <cellStyle name="Comma [0] TBD 12 25" xfId="17604"/>
    <cellStyle name="Comma [0] TBD- 12 25" xfId="17605"/>
    <cellStyle name="Comma [0] TBD 12 26" xfId="17606"/>
    <cellStyle name="Comma [0] TBD- 12 26" xfId="17607"/>
    <cellStyle name="Comma [0] TBD 12 27" xfId="17608"/>
    <cellStyle name="Comma [0] TBD- 12 27" xfId="17609"/>
    <cellStyle name="Comma [0] TBD 12 28" xfId="17610"/>
    <cellStyle name="Comma [0] TBD- 12 28" xfId="17611"/>
    <cellStyle name="Comma [0] TBD 12 29" xfId="17612"/>
    <cellStyle name="Comma [0] TBD- 12 29" xfId="17613"/>
    <cellStyle name="Comma [0] TBD 12 3" xfId="17614"/>
    <cellStyle name="Comma [0] TBD- 12 3" xfId="17615"/>
    <cellStyle name="Comma [0] TBD 12 30" xfId="17616"/>
    <cellStyle name="Comma [0] TBD- 12 30" xfId="17617"/>
    <cellStyle name="Comma [0] TBD 12 31" xfId="17618"/>
    <cellStyle name="Comma [0] TBD- 12 31" xfId="17619"/>
    <cellStyle name="Comma [0] TBD 12 32" xfId="17620"/>
    <cellStyle name="Comma [0] TBD- 12 32" xfId="17621"/>
    <cellStyle name="Comma [0] TBD 12 33" xfId="17622"/>
    <cellStyle name="Comma [0] TBD- 12 33" xfId="17623"/>
    <cellStyle name="Comma [0] TBD 12 34" xfId="17624"/>
    <cellStyle name="Comma [0] TBD- 12 34" xfId="17625"/>
    <cellStyle name="Comma [0] TBD 12 35" xfId="17626"/>
    <cellStyle name="Comma [0] TBD- 12 35" xfId="17627"/>
    <cellStyle name="Comma [0] TBD 12 36" xfId="17628"/>
    <cellStyle name="Comma [0] TBD- 12 36" xfId="17629"/>
    <cellStyle name="Comma [0] TBD 12 37" xfId="17630"/>
    <cellStyle name="Comma [0] TBD- 12 37" xfId="17631"/>
    <cellStyle name="Comma [0] TBD 12 38" xfId="17632"/>
    <cellStyle name="Comma [0] TBD- 12 38" xfId="17633"/>
    <cellStyle name="Comma [0] TBD 12 39" xfId="17634"/>
    <cellStyle name="Comma [0] TBD- 12 39" xfId="17635"/>
    <cellStyle name="Comma [0] TBD 12 4" xfId="17636"/>
    <cellStyle name="Comma [0] TBD- 12 4" xfId="17637"/>
    <cellStyle name="Comma [0] TBD 12 40" xfId="17638"/>
    <cellStyle name="Comma [0] TBD- 12 40" xfId="17639"/>
    <cellStyle name="Comma [0] TBD 12 41" xfId="17640"/>
    <cellStyle name="Comma [0] TBD- 12 41" xfId="17641"/>
    <cellStyle name="Comma [0] TBD 12 42" xfId="17642"/>
    <cellStyle name="Comma [0] TBD- 12 42" xfId="17643"/>
    <cellStyle name="Comma [0] TBD 12 43" xfId="17644"/>
    <cellStyle name="Comma [0] TBD- 12 43" xfId="17645"/>
    <cellStyle name="Comma [0] TBD 12 44" xfId="17646"/>
    <cellStyle name="Comma [0] TBD- 12 44" xfId="17647"/>
    <cellStyle name="Comma [0] TBD 12 45" xfId="17648"/>
    <cellStyle name="Comma [0] TBD- 12 45" xfId="17649"/>
    <cellStyle name="Comma [0] TBD 12 46" xfId="17650"/>
    <cellStyle name="Comma [0] TBD- 12 46" xfId="17651"/>
    <cellStyle name="Comma [0] TBD 12 47" xfId="17652"/>
    <cellStyle name="Comma [0] TBD- 12 47" xfId="17653"/>
    <cellStyle name="Comma [0] TBD 12 48" xfId="17654"/>
    <cellStyle name="Comma [0] TBD- 12 48" xfId="17655"/>
    <cellStyle name="Comma [0] TBD 12 49" xfId="17656"/>
    <cellStyle name="Comma [0] TBD- 12 49" xfId="17657"/>
    <cellStyle name="Comma [0] TBD 12 5" xfId="17658"/>
    <cellStyle name="Comma [0] TBD- 12 5" xfId="17659"/>
    <cellStyle name="Comma [0] TBD 12 50" xfId="17660"/>
    <cellStyle name="Comma [0] TBD- 12 50" xfId="17661"/>
    <cellStyle name="Comma [0] TBD 12 51" xfId="17662"/>
    <cellStyle name="Comma [0] TBD- 12 51" xfId="17663"/>
    <cellStyle name="Comma [0] TBD 12 52" xfId="17664"/>
    <cellStyle name="Comma [0] TBD- 12 52" xfId="17665"/>
    <cellStyle name="Comma [0] TBD 12 53" xfId="17666"/>
    <cellStyle name="Comma [0] TBD- 12 53" xfId="17667"/>
    <cellStyle name="Comma [0] TBD 12 54" xfId="17668"/>
    <cellStyle name="Comma [0] TBD- 12 54" xfId="17669"/>
    <cellStyle name="Comma [0] TBD 12 55" xfId="17670"/>
    <cellStyle name="Comma [0] TBD- 12 55" xfId="17671"/>
    <cellStyle name="Comma [0] TBD 12 56" xfId="17672"/>
    <cellStyle name="Comma [0] TBD- 12 56" xfId="17673"/>
    <cellStyle name="Comma [0] TBD 12 57" xfId="17674"/>
    <cellStyle name="Comma [0] TBD- 12 57" xfId="17675"/>
    <cellStyle name="Comma [0] TBD 12 58" xfId="17676"/>
    <cellStyle name="Comma [0] TBD- 12 58" xfId="17677"/>
    <cellStyle name="Comma [0] TBD 12 59" xfId="17678"/>
    <cellStyle name="Comma [0] TBD- 12 59" xfId="17679"/>
    <cellStyle name="Comma [0] TBD 12 6" xfId="17680"/>
    <cellStyle name="Comma [0] TBD- 12 6" xfId="17681"/>
    <cellStyle name="Comma [0] TBD 12 60" xfId="17682"/>
    <cellStyle name="Comma [0] TBD- 12 60" xfId="17683"/>
    <cellStyle name="Comma [0] TBD 12 61" xfId="17684"/>
    <cellStyle name="Comma [0] TBD- 12 61" xfId="17685"/>
    <cellStyle name="Comma [0] TBD 12 62" xfId="17686"/>
    <cellStyle name="Comma [0] TBD- 12 62" xfId="17687"/>
    <cellStyle name="Comma [0] TBD 12 63" xfId="17688"/>
    <cellStyle name="Comma [0] TBD- 12 63" xfId="17689"/>
    <cellStyle name="Comma [0] TBD 12 64" xfId="17690"/>
    <cellStyle name="Comma [0] TBD- 12 64" xfId="17691"/>
    <cellStyle name="Comma [0] TBD 12 65" xfId="17692"/>
    <cellStyle name="Comma [0] TBD- 12 65" xfId="17693"/>
    <cellStyle name="Comma [0] TBD 12 66" xfId="17694"/>
    <cellStyle name="Comma [0] TBD- 12 66" xfId="17695"/>
    <cellStyle name="Comma [0] TBD 12 67" xfId="17696"/>
    <cellStyle name="Comma [0] TBD- 12 67" xfId="17697"/>
    <cellStyle name="Comma [0] TBD 12 68" xfId="17698"/>
    <cellStyle name="Comma [0] TBD- 12 68" xfId="17699"/>
    <cellStyle name="Comma [0] TBD 12 69" xfId="17700"/>
    <cellStyle name="Comma [0] TBD- 12 69" xfId="17701"/>
    <cellStyle name="Comma [0] TBD 12 7" xfId="17702"/>
    <cellStyle name="Comma [0] TBD- 12 7" xfId="17703"/>
    <cellStyle name="Comma [0] TBD 12 70" xfId="17704"/>
    <cellStyle name="Comma [0] TBD- 12 70" xfId="17705"/>
    <cellStyle name="Comma [0] TBD 12 71" xfId="17706"/>
    <cellStyle name="Comma [0] TBD- 12 71" xfId="17707"/>
    <cellStyle name="Comma [0] TBD 12 72" xfId="17708"/>
    <cellStyle name="Comma [0] TBD- 12 72" xfId="17709"/>
    <cellStyle name="Comma [0] TBD 12 73" xfId="17710"/>
    <cellStyle name="Comma [0] TBD- 12 73" xfId="17711"/>
    <cellStyle name="Comma [0] TBD 12 74" xfId="17712"/>
    <cellStyle name="Comma [0] TBD- 12 74" xfId="17713"/>
    <cellStyle name="Comma [0] TBD 12 75" xfId="17714"/>
    <cellStyle name="Comma [0] TBD- 12 75" xfId="17715"/>
    <cellStyle name="Comma [0] TBD 12 76" xfId="17716"/>
    <cellStyle name="Comma [0] TBD- 12 76" xfId="17717"/>
    <cellStyle name="Comma [0] TBD 12 77" xfId="17718"/>
    <cellStyle name="Comma [0] TBD- 12 77" xfId="17719"/>
    <cellStyle name="Comma [0] TBD 12 78" xfId="17720"/>
    <cellStyle name="Comma [0] TBD- 12 78" xfId="17721"/>
    <cellStyle name="Comma [0] TBD 12 79" xfId="17722"/>
    <cellStyle name="Comma [0] TBD- 12 79" xfId="17723"/>
    <cellStyle name="Comma [0] TBD 12 8" xfId="17724"/>
    <cellStyle name="Comma [0] TBD- 12 8" xfId="17725"/>
    <cellStyle name="Comma [0] TBD 12 80" xfId="17726"/>
    <cellStyle name="Comma [0] TBD- 12 80" xfId="17727"/>
    <cellStyle name="Comma [0] TBD 12 81" xfId="17728"/>
    <cellStyle name="Comma [0] TBD- 12 81" xfId="17729"/>
    <cellStyle name="Comma [0] TBD 12 82" xfId="17730"/>
    <cellStyle name="Comma [0] TBD- 12 82" xfId="17731"/>
    <cellStyle name="Comma [0] TBD 12 83" xfId="17732"/>
    <cellStyle name="Comma [0] TBD- 12 83" xfId="17733"/>
    <cellStyle name="Comma [0] TBD 12 84" xfId="17734"/>
    <cellStyle name="Comma [0] TBD- 12 84" xfId="17735"/>
    <cellStyle name="Comma [0] TBD 12 85" xfId="17736"/>
    <cellStyle name="Comma [0] TBD- 12 85" xfId="17737"/>
    <cellStyle name="Comma [0] TBD 12 86" xfId="17738"/>
    <cellStyle name="Comma [0] TBD- 12 86" xfId="17739"/>
    <cellStyle name="Comma [0] TBD 12 87" xfId="17740"/>
    <cellStyle name="Comma [0] TBD- 12 87" xfId="17741"/>
    <cellStyle name="Comma [0] TBD 12 88" xfId="17742"/>
    <cellStyle name="Comma [0] TBD- 12 88" xfId="17743"/>
    <cellStyle name="Comma [0] TBD 12 89" xfId="17744"/>
    <cellStyle name="Comma [0] TBD- 12 89" xfId="17745"/>
    <cellStyle name="Comma [0] TBD 12 9" xfId="17746"/>
    <cellStyle name="Comma [0] TBD- 12 9" xfId="17747"/>
    <cellStyle name="Comma [0] TBD 12 90" xfId="17748"/>
    <cellStyle name="Comma [0] TBD- 12 90" xfId="17749"/>
    <cellStyle name="Comma [0] TBD 12 91" xfId="17750"/>
    <cellStyle name="Comma [0] TBD- 12 91" xfId="17751"/>
    <cellStyle name="Comma [0] TBD 12 92" xfId="17752"/>
    <cellStyle name="Comma [0] TBD- 12 92" xfId="17753"/>
    <cellStyle name="Comma [0] TBD 12 93" xfId="17754"/>
    <cellStyle name="Comma [0] TBD- 12 93" xfId="17755"/>
    <cellStyle name="Comma [0] TBD 12 94" xfId="17756"/>
    <cellStyle name="Comma [0] TBD- 12 94" xfId="17757"/>
    <cellStyle name="Comma [0] TBD 12 95" xfId="17758"/>
    <cellStyle name="Comma [0] TBD- 12 95" xfId="17759"/>
    <cellStyle name="Comma [0] TBD 12 96" xfId="17760"/>
    <cellStyle name="Comma [0] TBD- 12 96" xfId="17761"/>
    <cellStyle name="Comma [0] TBD 12 97" xfId="17762"/>
    <cellStyle name="Comma [0] TBD- 12 97" xfId="17763"/>
    <cellStyle name="Comma [0] TBD 12 98" xfId="17764"/>
    <cellStyle name="Comma [0] TBD- 12 98" xfId="17765"/>
    <cellStyle name="Comma [0] TBD 12 99" xfId="17766"/>
    <cellStyle name="Comma [0] TBD- 12 99" xfId="17767"/>
    <cellStyle name="Comma [0] TBD 13" xfId="17768"/>
    <cellStyle name="Comma [0] TBD- 13" xfId="17769"/>
    <cellStyle name="Comma [0] TBD 13 10" xfId="17770"/>
    <cellStyle name="Comma [0] TBD- 13 10" xfId="17771"/>
    <cellStyle name="Comma [0] TBD 13 100" xfId="17772"/>
    <cellStyle name="Comma [0] TBD- 13 100" xfId="17773"/>
    <cellStyle name="Comma [0] TBD 13 101" xfId="17774"/>
    <cellStyle name="Comma [0] TBD- 13 101" xfId="17775"/>
    <cellStyle name="Comma [0] TBD 13 102" xfId="17776"/>
    <cellStyle name="Comma [0] TBD- 13 102" xfId="17777"/>
    <cellStyle name="Comma [0] TBD 13 103" xfId="17778"/>
    <cellStyle name="Comma [0] TBD- 13 103" xfId="17779"/>
    <cellStyle name="Comma [0] TBD 13 104" xfId="17780"/>
    <cellStyle name="Comma [0] TBD- 13 104" xfId="17781"/>
    <cellStyle name="Comma [0] TBD 13 105" xfId="17782"/>
    <cellStyle name="Comma [0] TBD- 13 105" xfId="17783"/>
    <cellStyle name="Comma [0] TBD 13 106" xfId="17784"/>
    <cellStyle name="Comma [0] TBD- 13 106" xfId="17785"/>
    <cellStyle name="Comma [0] TBD 13 107" xfId="17786"/>
    <cellStyle name="Comma [0] TBD- 13 107" xfId="17787"/>
    <cellStyle name="Comma [0] TBD 13 108" xfId="17788"/>
    <cellStyle name="Comma [0] TBD- 13 108" xfId="17789"/>
    <cellStyle name="Comma [0] TBD 13 109" xfId="17790"/>
    <cellStyle name="Comma [0] TBD- 13 109" xfId="17791"/>
    <cellStyle name="Comma [0] TBD 13 11" xfId="17792"/>
    <cellStyle name="Comma [0] TBD- 13 11" xfId="17793"/>
    <cellStyle name="Comma [0] TBD 13 110" xfId="17794"/>
    <cellStyle name="Comma [0] TBD- 13 110" xfId="17795"/>
    <cellStyle name="Comma [0] TBD 13 111" xfId="17796"/>
    <cellStyle name="Comma [0] TBD- 13 111" xfId="17797"/>
    <cellStyle name="Comma [0] TBD 13 112" xfId="17798"/>
    <cellStyle name="Comma [0] TBD- 13 112" xfId="17799"/>
    <cellStyle name="Comma [0] TBD 13 113" xfId="17800"/>
    <cellStyle name="Comma [0] TBD- 13 113" xfId="17801"/>
    <cellStyle name="Comma [0] TBD 13 114" xfId="17802"/>
    <cellStyle name="Comma [0] TBD- 13 114" xfId="17803"/>
    <cellStyle name="Comma [0] TBD 13 115" xfId="17804"/>
    <cellStyle name="Comma [0] TBD- 13 115" xfId="17805"/>
    <cellStyle name="Comma [0] TBD 13 116" xfId="17806"/>
    <cellStyle name="Comma [0] TBD- 13 116" xfId="17807"/>
    <cellStyle name="Comma [0] TBD 13 117" xfId="17808"/>
    <cellStyle name="Comma [0] TBD- 13 117" xfId="17809"/>
    <cellStyle name="Comma [0] TBD 13 118" xfId="17810"/>
    <cellStyle name="Comma [0] TBD- 13 118" xfId="17811"/>
    <cellStyle name="Comma [0] TBD 13 119" xfId="17812"/>
    <cellStyle name="Comma [0] TBD- 13 119" xfId="17813"/>
    <cellStyle name="Comma [0] TBD 13 12" xfId="17814"/>
    <cellStyle name="Comma [0] TBD- 13 12" xfId="17815"/>
    <cellStyle name="Comma [0] TBD 13 120" xfId="17816"/>
    <cellStyle name="Comma [0] TBD- 13 120" xfId="17817"/>
    <cellStyle name="Comma [0] TBD 13 121" xfId="17818"/>
    <cellStyle name="Comma [0] TBD- 13 121" xfId="17819"/>
    <cellStyle name="Comma [0] TBD 13 122" xfId="17820"/>
    <cellStyle name="Comma [0] TBD- 13 122" xfId="17821"/>
    <cellStyle name="Comma [0] TBD 13 123" xfId="17822"/>
    <cellStyle name="Comma [0] TBD- 13 123" xfId="17823"/>
    <cellStyle name="Comma [0] TBD 13 124" xfId="17824"/>
    <cellStyle name="Comma [0] TBD- 13 124" xfId="17825"/>
    <cellStyle name="Comma [0] TBD 13 125" xfId="17826"/>
    <cellStyle name="Comma [0] TBD- 13 125" xfId="17827"/>
    <cellStyle name="Comma [0] TBD 13 126" xfId="17828"/>
    <cellStyle name="Comma [0] TBD- 13 126" xfId="17829"/>
    <cellStyle name="Comma [0] TBD 13 127" xfId="17830"/>
    <cellStyle name="Comma [0] TBD- 13 127" xfId="17831"/>
    <cellStyle name="Comma [0] TBD 13 128" xfId="17832"/>
    <cellStyle name="Comma [0] TBD- 13 128" xfId="17833"/>
    <cellStyle name="Comma [0] TBD 13 129" xfId="17834"/>
    <cellStyle name="Comma [0] TBD- 13 129" xfId="17835"/>
    <cellStyle name="Comma [0] TBD 13 13" xfId="17836"/>
    <cellStyle name="Comma [0] TBD- 13 13" xfId="17837"/>
    <cellStyle name="Comma [0] TBD 13 130" xfId="17838"/>
    <cellStyle name="Comma [0] TBD- 13 130" xfId="17839"/>
    <cellStyle name="Comma [0] TBD 13 131" xfId="17840"/>
    <cellStyle name="Comma [0] TBD- 13 131" xfId="17841"/>
    <cellStyle name="Comma [0] TBD 13 132" xfId="17842"/>
    <cellStyle name="Comma [0] TBD- 13 132" xfId="17843"/>
    <cellStyle name="Comma [0] TBD 13 133" xfId="17844"/>
    <cellStyle name="Comma [0] TBD- 13 133" xfId="17845"/>
    <cellStyle name="Comma [0] TBD 13 134" xfId="17846"/>
    <cellStyle name="Comma [0] TBD- 13 134" xfId="17847"/>
    <cellStyle name="Comma [0] TBD 13 135" xfId="17848"/>
    <cellStyle name="Comma [0] TBD- 13 135" xfId="17849"/>
    <cellStyle name="Comma [0] TBD 13 136" xfId="17850"/>
    <cellStyle name="Comma [0] TBD- 13 136" xfId="17851"/>
    <cellStyle name="Comma [0] TBD 13 137" xfId="17852"/>
    <cellStyle name="Comma [0] TBD- 13 137" xfId="17853"/>
    <cellStyle name="Comma [0] TBD 13 138" xfId="17854"/>
    <cellStyle name="Comma [0] TBD- 13 138" xfId="17855"/>
    <cellStyle name="Comma [0] TBD 13 139" xfId="17856"/>
    <cellStyle name="Comma [0] TBD- 13 139" xfId="17857"/>
    <cellStyle name="Comma [0] TBD 13 14" xfId="17858"/>
    <cellStyle name="Comma [0] TBD- 13 14" xfId="17859"/>
    <cellStyle name="Comma [0] TBD 13 140" xfId="17860"/>
    <cellStyle name="Comma [0] TBD- 13 140" xfId="17861"/>
    <cellStyle name="Comma [0] TBD 13 141" xfId="17862"/>
    <cellStyle name="Comma [0] TBD- 13 141" xfId="17863"/>
    <cellStyle name="Comma [0] TBD 13 142" xfId="17864"/>
    <cellStyle name="Comma [0] TBD- 13 142" xfId="17865"/>
    <cellStyle name="Comma [0] TBD 13 143" xfId="17866"/>
    <cellStyle name="Comma [0] TBD- 13 143" xfId="17867"/>
    <cellStyle name="Comma [0] TBD 13 144" xfId="17868"/>
    <cellStyle name="Comma [0] TBD- 13 144" xfId="17869"/>
    <cellStyle name="Comma [0] TBD 13 145" xfId="17870"/>
    <cellStyle name="Comma [0] TBD- 13 145" xfId="17871"/>
    <cellStyle name="Comma [0] TBD 13 146" xfId="17872"/>
    <cellStyle name="Comma [0] TBD- 13 146" xfId="17873"/>
    <cellStyle name="Comma [0] TBD 13 147" xfId="17874"/>
    <cellStyle name="Comma [0] TBD- 13 147" xfId="17875"/>
    <cellStyle name="Comma [0] TBD 13 148" xfId="17876"/>
    <cellStyle name="Comma [0] TBD- 13 148" xfId="17877"/>
    <cellStyle name="Comma [0] TBD 13 149" xfId="17878"/>
    <cellStyle name="Comma [0] TBD- 13 149" xfId="17879"/>
    <cellStyle name="Comma [0] TBD 13 15" xfId="17880"/>
    <cellStyle name="Comma [0] TBD- 13 15" xfId="17881"/>
    <cellStyle name="Comma [0] TBD 13 150" xfId="17882"/>
    <cellStyle name="Comma [0] TBD- 13 150" xfId="17883"/>
    <cellStyle name="Comma [0] TBD 13 151" xfId="17884"/>
    <cellStyle name="Comma [0] TBD- 13 151" xfId="17885"/>
    <cellStyle name="Comma [0] TBD 13 152" xfId="17886"/>
    <cellStyle name="Comma [0] TBD- 13 152" xfId="17887"/>
    <cellStyle name="Comma [0] TBD 13 153" xfId="17888"/>
    <cellStyle name="Comma [0] TBD- 13 153" xfId="17889"/>
    <cellStyle name="Comma [0] TBD 13 16" xfId="17890"/>
    <cellStyle name="Comma [0] TBD- 13 16" xfId="17891"/>
    <cellStyle name="Comma [0] TBD 13 17" xfId="17892"/>
    <cellStyle name="Comma [0] TBD- 13 17" xfId="17893"/>
    <cellStyle name="Comma [0] TBD 13 18" xfId="17894"/>
    <cellStyle name="Comma [0] TBD- 13 18" xfId="17895"/>
    <cellStyle name="Comma [0] TBD 13 19" xfId="17896"/>
    <cellStyle name="Comma [0] TBD- 13 19" xfId="17897"/>
    <cellStyle name="Comma [0] TBD 13 2" xfId="17898"/>
    <cellStyle name="Comma [0] TBD- 13 2" xfId="17899"/>
    <cellStyle name="Comma [0] TBD 13 20" xfId="17900"/>
    <cellStyle name="Comma [0] TBD- 13 20" xfId="17901"/>
    <cellStyle name="Comma [0] TBD 13 21" xfId="17902"/>
    <cellStyle name="Comma [0] TBD- 13 21" xfId="17903"/>
    <cellStyle name="Comma [0] TBD 13 22" xfId="17904"/>
    <cellStyle name="Comma [0] TBD- 13 22" xfId="17905"/>
    <cellStyle name="Comma [0] TBD 13 23" xfId="17906"/>
    <cellStyle name="Comma [0] TBD- 13 23" xfId="17907"/>
    <cellStyle name="Comma [0] TBD 13 24" xfId="17908"/>
    <cellStyle name="Comma [0] TBD- 13 24" xfId="17909"/>
    <cellStyle name="Comma [0] TBD 13 25" xfId="17910"/>
    <cellStyle name="Comma [0] TBD- 13 25" xfId="17911"/>
    <cellStyle name="Comma [0] TBD 13 26" xfId="17912"/>
    <cellStyle name="Comma [0] TBD- 13 26" xfId="17913"/>
    <cellStyle name="Comma [0] TBD 13 27" xfId="17914"/>
    <cellStyle name="Comma [0] TBD- 13 27" xfId="17915"/>
    <cellStyle name="Comma [0] TBD 13 28" xfId="17916"/>
    <cellStyle name="Comma [0] TBD- 13 28" xfId="17917"/>
    <cellStyle name="Comma [0] TBD 13 29" xfId="17918"/>
    <cellStyle name="Comma [0] TBD- 13 29" xfId="17919"/>
    <cellStyle name="Comma [0] TBD 13 3" xfId="17920"/>
    <cellStyle name="Comma [0] TBD- 13 3" xfId="17921"/>
    <cellStyle name="Comma [0] TBD 13 30" xfId="17922"/>
    <cellStyle name="Comma [0] TBD- 13 30" xfId="17923"/>
    <cellStyle name="Comma [0] TBD 13 31" xfId="17924"/>
    <cellStyle name="Comma [0] TBD- 13 31" xfId="17925"/>
    <cellStyle name="Comma [0] TBD 13 32" xfId="17926"/>
    <cellStyle name="Comma [0] TBD- 13 32" xfId="17927"/>
    <cellStyle name="Comma [0] TBD 13 33" xfId="17928"/>
    <cellStyle name="Comma [0] TBD- 13 33" xfId="17929"/>
    <cellStyle name="Comma [0] TBD 13 34" xfId="17930"/>
    <cellStyle name="Comma [0] TBD- 13 34" xfId="17931"/>
    <cellStyle name="Comma [0] TBD 13 35" xfId="17932"/>
    <cellStyle name="Comma [0] TBD- 13 35" xfId="17933"/>
    <cellStyle name="Comma [0] TBD 13 36" xfId="17934"/>
    <cellStyle name="Comma [0] TBD- 13 36" xfId="17935"/>
    <cellStyle name="Comma [0] TBD 13 37" xfId="17936"/>
    <cellStyle name="Comma [0] TBD- 13 37" xfId="17937"/>
    <cellStyle name="Comma [0] TBD 13 38" xfId="17938"/>
    <cellStyle name="Comma [0] TBD- 13 38" xfId="17939"/>
    <cellStyle name="Comma [0] TBD 13 39" xfId="17940"/>
    <cellStyle name="Comma [0] TBD- 13 39" xfId="17941"/>
    <cellStyle name="Comma [0] TBD 13 4" xfId="17942"/>
    <cellStyle name="Comma [0] TBD- 13 4" xfId="17943"/>
    <cellStyle name="Comma [0] TBD 13 40" xfId="17944"/>
    <cellStyle name="Comma [0] TBD- 13 40" xfId="17945"/>
    <cellStyle name="Comma [0] TBD 13 41" xfId="17946"/>
    <cellStyle name="Comma [0] TBD- 13 41" xfId="17947"/>
    <cellStyle name="Comma [0] TBD 13 42" xfId="17948"/>
    <cellStyle name="Comma [0] TBD- 13 42" xfId="17949"/>
    <cellStyle name="Comma [0] TBD 13 43" xfId="17950"/>
    <cellStyle name="Comma [0] TBD- 13 43" xfId="17951"/>
    <cellStyle name="Comma [0] TBD 13 44" xfId="17952"/>
    <cellStyle name="Comma [0] TBD- 13 44" xfId="17953"/>
    <cellStyle name="Comma [0] TBD 13 45" xfId="17954"/>
    <cellStyle name="Comma [0] TBD- 13 45" xfId="17955"/>
    <cellStyle name="Comma [0] TBD 13 46" xfId="17956"/>
    <cellStyle name="Comma [0] TBD- 13 46" xfId="17957"/>
    <cellStyle name="Comma [0] TBD 13 47" xfId="17958"/>
    <cellStyle name="Comma [0] TBD- 13 47" xfId="17959"/>
    <cellStyle name="Comma [0] TBD 13 48" xfId="17960"/>
    <cellStyle name="Comma [0] TBD- 13 48" xfId="17961"/>
    <cellStyle name="Comma [0] TBD 13 49" xfId="17962"/>
    <cellStyle name="Comma [0] TBD- 13 49" xfId="17963"/>
    <cellStyle name="Comma [0] TBD 13 5" xfId="17964"/>
    <cellStyle name="Comma [0] TBD- 13 5" xfId="17965"/>
    <cellStyle name="Comma [0] TBD 13 50" xfId="17966"/>
    <cellStyle name="Comma [0] TBD- 13 50" xfId="17967"/>
    <cellStyle name="Comma [0] TBD 13 51" xfId="17968"/>
    <cellStyle name="Comma [0] TBD- 13 51" xfId="17969"/>
    <cellStyle name="Comma [0] TBD 13 52" xfId="17970"/>
    <cellStyle name="Comma [0] TBD- 13 52" xfId="17971"/>
    <cellStyle name="Comma [0] TBD 13 53" xfId="17972"/>
    <cellStyle name="Comma [0] TBD- 13 53" xfId="17973"/>
    <cellStyle name="Comma [0] TBD 13 54" xfId="17974"/>
    <cellStyle name="Comma [0] TBD- 13 54" xfId="17975"/>
    <cellStyle name="Comma [0] TBD 13 55" xfId="17976"/>
    <cellStyle name="Comma [0] TBD- 13 55" xfId="17977"/>
    <cellStyle name="Comma [0] TBD 13 56" xfId="17978"/>
    <cellStyle name="Comma [0] TBD- 13 56" xfId="17979"/>
    <cellStyle name="Comma [0] TBD 13 57" xfId="17980"/>
    <cellStyle name="Comma [0] TBD- 13 57" xfId="17981"/>
    <cellStyle name="Comma [0] TBD 13 58" xfId="17982"/>
    <cellStyle name="Comma [0] TBD- 13 58" xfId="17983"/>
    <cellStyle name="Comma [0] TBD 13 59" xfId="17984"/>
    <cellStyle name="Comma [0] TBD- 13 59" xfId="17985"/>
    <cellStyle name="Comma [0] TBD 13 6" xfId="17986"/>
    <cellStyle name="Comma [0] TBD- 13 6" xfId="17987"/>
    <cellStyle name="Comma [0] TBD 13 60" xfId="17988"/>
    <cellStyle name="Comma [0] TBD- 13 60" xfId="17989"/>
    <cellStyle name="Comma [0] TBD 13 61" xfId="17990"/>
    <cellStyle name="Comma [0] TBD- 13 61" xfId="17991"/>
    <cellStyle name="Comma [0] TBD 13 62" xfId="17992"/>
    <cellStyle name="Comma [0] TBD- 13 62" xfId="17993"/>
    <cellStyle name="Comma [0] TBD 13 63" xfId="17994"/>
    <cellStyle name="Comma [0] TBD- 13 63" xfId="17995"/>
    <cellStyle name="Comma [0] TBD 13 64" xfId="17996"/>
    <cellStyle name="Comma [0] TBD- 13 64" xfId="17997"/>
    <cellStyle name="Comma [0] TBD 13 65" xfId="17998"/>
    <cellStyle name="Comma [0] TBD- 13 65" xfId="17999"/>
    <cellStyle name="Comma [0] TBD 13 66" xfId="18000"/>
    <cellStyle name="Comma [0] TBD- 13 66" xfId="18001"/>
    <cellStyle name="Comma [0] TBD 13 67" xfId="18002"/>
    <cellStyle name="Comma [0] TBD- 13 67" xfId="18003"/>
    <cellStyle name="Comma [0] TBD 13 68" xfId="18004"/>
    <cellStyle name="Comma [0] TBD- 13 68" xfId="18005"/>
    <cellStyle name="Comma [0] TBD 13 69" xfId="18006"/>
    <cellStyle name="Comma [0] TBD- 13 69" xfId="18007"/>
    <cellStyle name="Comma [0] TBD 13 7" xfId="18008"/>
    <cellStyle name="Comma [0] TBD- 13 7" xfId="18009"/>
    <cellStyle name="Comma [0] TBD 13 70" xfId="18010"/>
    <cellStyle name="Comma [0] TBD- 13 70" xfId="18011"/>
    <cellStyle name="Comma [0] TBD 13 71" xfId="18012"/>
    <cellStyle name="Comma [0] TBD- 13 71" xfId="18013"/>
    <cellStyle name="Comma [0] TBD 13 72" xfId="18014"/>
    <cellStyle name="Comma [0] TBD- 13 72" xfId="18015"/>
    <cellStyle name="Comma [0] TBD 13 73" xfId="18016"/>
    <cellStyle name="Comma [0] TBD- 13 73" xfId="18017"/>
    <cellStyle name="Comma [0] TBD 13 74" xfId="18018"/>
    <cellStyle name="Comma [0] TBD- 13 74" xfId="18019"/>
    <cellStyle name="Comma [0] TBD 13 75" xfId="18020"/>
    <cellStyle name="Comma [0] TBD- 13 75" xfId="18021"/>
    <cellStyle name="Comma [0] TBD 13 76" xfId="18022"/>
    <cellStyle name="Comma [0] TBD- 13 76" xfId="18023"/>
    <cellStyle name="Comma [0] TBD 13 77" xfId="18024"/>
    <cellStyle name="Comma [0] TBD- 13 77" xfId="18025"/>
    <cellStyle name="Comma [0] TBD 13 78" xfId="18026"/>
    <cellStyle name="Comma [0] TBD- 13 78" xfId="18027"/>
    <cellStyle name="Comma [0] TBD 13 79" xfId="18028"/>
    <cellStyle name="Comma [0] TBD- 13 79" xfId="18029"/>
    <cellStyle name="Comma [0] TBD 13 8" xfId="18030"/>
    <cellStyle name="Comma [0] TBD- 13 8" xfId="18031"/>
    <cellStyle name="Comma [0] TBD 13 80" xfId="18032"/>
    <cellStyle name="Comma [0] TBD- 13 80" xfId="18033"/>
    <cellStyle name="Comma [0] TBD 13 81" xfId="18034"/>
    <cellStyle name="Comma [0] TBD- 13 81" xfId="18035"/>
    <cellStyle name="Comma [0] TBD 13 82" xfId="18036"/>
    <cellStyle name="Comma [0] TBD- 13 82" xfId="18037"/>
    <cellStyle name="Comma [0] TBD 13 83" xfId="18038"/>
    <cellStyle name="Comma [0] TBD- 13 83" xfId="18039"/>
    <cellStyle name="Comma [0] TBD 13 84" xfId="18040"/>
    <cellStyle name="Comma [0] TBD- 13 84" xfId="18041"/>
    <cellStyle name="Comma [0] TBD 13 85" xfId="18042"/>
    <cellStyle name="Comma [0] TBD- 13 85" xfId="18043"/>
    <cellStyle name="Comma [0] TBD 13 86" xfId="18044"/>
    <cellStyle name="Comma [0] TBD- 13 86" xfId="18045"/>
    <cellStyle name="Comma [0] TBD 13 87" xfId="18046"/>
    <cellStyle name="Comma [0] TBD- 13 87" xfId="18047"/>
    <cellStyle name="Comma [0] TBD 13 88" xfId="18048"/>
    <cellStyle name="Comma [0] TBD- 13 88" xfId="18049"/>
    <cellStyle name="Comma [0] TBD 13 89" xfId="18050"/>
    <cellStyle name="Comma [0] TBD- 13 89" xfId="18051"/>
    <cellStyle name="Comma [0] TBD 13 9" xfId="18052"/>
    <cellStyle name="Comma [0] TBD- 13 9" xfId="18053"/>
    <cellStyle name="Comma [0] TBD 13 90" xfId="18054"/>
    <cellStyle name="Comma [0] TBD- 13 90" xfId="18055"/>
    <cellStyle name="Comma [0] TBD 13 91" xfId="18056"/>
    <cellStyle name="Comma [0] TBD- 13 91" xfId="18057"/>
    <cellStyle name="Comma [0] TBD 13 92" xfId="18058"/>
    <cellStyle name="Comma [0] TBD- 13 92" xfId="18059"/>
    <cellStyle name="Comma [0] TBD 13 93" xfId="18060"/>
    <cellStyle name="Comma [0] TBD- 13 93" xfId="18061"/>
    <cellStyle name="Comma [0] TBD 13 94" xfId="18062"/>
    <cellStyle name="Comma [0] TBD- 13 94" xfId="18063"/>
    <cellStyle name="Comma [0] TBD 13 95" xfId="18064"/>
    <cellStyle name="Comma [0] TBD- 13 95" xfId="18065"/>
    <cellStyle name="Comma [0] TBD 13 96" xfId="18066"/>
    <cellStyle name="Comma [0] TBD- 13 96" xfId="18067"/>
    <cellStyle name="Comma [0] TBD 13 97" xfId="18068"/>
    <cellStyle name="Comma [0] TBD- 13 97" xfId="18069"/>
    <cellStyle name="Comma [0] TBD 13 98" xfId="18070"/>
    <cellStyle name="Comma [0] TBD- 13 98" xfId="18071"/>
    <cellStyle name="Comma [0] TBD 13 99" xfId="18072"/>
    <cellStyle name="Comma [0] TBD- 13 99" xfId="18073"/>
    <cellStyle name="Comma [0] TBD 14" xfId="18074"/>
    <cellStyle name="Comma [0] TBD- 14" xfId="18075"/>
    <cellStyle name="Comma [0] TBD 14 10" xfId="18076"/>
    <cellStyle name="Comma [0] TBD- 14 10" xfId="18077"/>
    <cellStyle name="Comma [0] TBD 14 100" xfId="18078"/>
    <cellStyle name="Comma [0] TBD- 14 100" xfId="18079"/>
    <cellStyle name="Comma [0] TBD 14 101" xfId="18080"/>
    <cellStyle name="Comma [0] TBD- 14 101" xfId="18081"/>
    <cellStyle name="Comma [0] TBD 14 102" xfId="18082"/>
    <cellStyle name="Comma [0] TBD- 14 102" xfId="18083"/>
    <cellStyle name="Comma [0] TBD 14 103" xfId="18084"/>
    <cellStyle name="Comma [0] TBD- 14 103" xfId="18085"/>
    <cellStyle name="Comma [0] TBD 14 104" xfId="18086"/>
    <cellStyle name="Comma [0] TBD- 14 104" xfId="18087"/>
    <cellStyle name="Comma [0] TBD 14 105" xfId="18088"/>
    <cellStyle name="Comma [0] TBD- 14 105" xfId="18089"/>
    <cellStyle name="Comma [0] TBD 14 106" xfId="18090"/>
    <cellStyle name="Comma [0] TBD- 14 106" xfId="18091"/>
    <cellStyle name="Comma [0] TBD 14 107" xfId="18092"/>
    <cellStyle name="Comma [0] TBD- 14 107" xfId="18093"/>
    <cellStyle name="Comma [0] TBD 14 108" xfId="18094"/>
    <cellStyle name="Comma [0] TBD- 14 108" xfId="18095"/>
    <cellStyle name="Comma [0] TBD 14 109" xfId="18096"/>
    <cellStyle name="Comma [0] TBD- 14 109" xfId="18097"/>
    <cellStyle name="Comma [0] TBD 14 11" xfId="18098"/>
    <cellStyle name="Comma [0] TBD- 14 11" xfId="18099"/>
    <cellStyle name="Comma [0] TBD 14 110" xfId="18100"/>
    <cellStyle name="Comma [0] TBD- 14 110" xfId="18101"/>
    <cellStyle name="Comma [0] TBD 14 111" xfId="18102"/>
    <cellStyle name="Comma [0] TBD- 14 111" xfId="18103"/>
    <cellStyle name="Comma [0] TBD 14 112" xfId="18104"/>
    <cellStyle name="Comma [0] TBD- 14 112" xfId="18105"/>
    <cellStyle name="Comma [0] TBD 14 113" xfId="18106"/>
    <cellStyle name="Comma [0] TBD- 14 113" xfId="18107"/>
    <cellStyle name="Comma [0] TBD 14 114" xfId="18108"/>
    <cellStyle name="Comma [0] TBD- 14 114" xfId="18109"/>
    <cellStyle name="Comma [0] TBD 14 115" xfId="18110"/>
    <cellStyle name="Comma [0] TBD- 14 115" xfId="18111"/>
    <cellStyle name="Comma [0] TBD 14 116" xfId="18112"/>
    <cellStyle name="Comma [0] TBD- 14 116" xfId="18113"/>
    <cellStyle name="Comma [0] TBD 14 117" xfId="18114"/>
    <cellStyle name="Comma [0] TBD- 14 117" xfId="18115"/>
    <cellStyle name="Comma [0] TBD 14 118" xfId="18116"/>
    <cellStyle name="Comma [0] TBD- 14 118" xfId="18117"/>
    <cellStyle name="Comma [0] TBD 14 119" xfId="18118"/>
    <cellStyle name="Comma [0] TBD- 14 119" xfId="18119"/>
    <cellStyle name="Comma [0] TBD 14 12" xfId="18120"/>
    <cellStyle name="Comma [0] TBD- 14 12" xfId="18121"/>
    <cellStyle name="Comma [0] TBD 14 120" xfId="18122"/>
    <cellStyle name="Comma [0] TBD- 14 120" xfId="18123"/>
    <cellStyle name="Comma [0] TBD 14 121" xfId="18124"/>
    <cellStyle name="Comma [0] TBD- 14 121" xfId="18125"/>
    <cellStyle name="Comma [0] TBD 14 122" xfId="18126"/>
    <cellStyle name="Comma [0] TBD- 14 122" xfId="18127"/>
    <cellStyle name="Comma [0] TBD 14 123" xfId="18128"/>
    <cellStyle name="Comma [0] TBD- 14 123" xfId="18129"/>
    <cellStyle name="Comma [0] TBD 14 124" xfId="18130"/>
    <cellStyle name="Comma [0] TBD- 14 124" xfId="18131"/>
    <cellStyle name="Comma [0] TBD 14 125" xfId="18132"/>
    <cellStyle name="Comma [0] TBD- 14 125" xfId="18133"/>
    <cellStyle name="Comma [0] TBD 14 126" xfId="18134"/>
    <cellStyle name="Comma [0] TBD- 14 126" xfId="18135"/>
    <cellStyle name="Comma [0] TBD 14 127" xfId="18136"/>
    <cellStyle name="Comma [0] TBD- 14 127" xfId="18137"/>
    <cellStyle name="Comma [0] TBD 14 128" xfId="18138"/>
    <cellStyle name="Comma [0] TBD- 14 128" xfId="18139"/>
    <cellStyle name="Comma [0] TBD 14 129" xfId="18140"/>
    <cellStyle name="Comma [0] TBD- 14 129" xfId="18141"/>
    <cellStyle name="Comma [0] TBD 14 13" xfId="18142"/>
    <cellStyle name="Comma [0] TBD- 14 13" xfId="18143"/>
    <cellStyle name="Comma [0] TBD 14 130" xfId="18144"/>
    <cellStyle name="Comma [0] TBD- 14 130" xfId="18145"/>
    <cellStyle name="Comma [0] TBD 14 131" xfId="18146"/>
    <cellStyle name="Comma [0] TBD- 14 131" xfId="18147"/>
    <cellStyle name="Comma [0] TBD 14 132" xfId="18148"/>
    <cellStyle name="Comma [0] TBD- 14 132" xfId="18149"/>
    <cellStyle name="Comma [0] TBD 14 133" xfId="18150"/>
    <cellStyle name="Comma [0] TBD- 14 133" xfId="18151"/>
    <cellStyle name="Comma [0] TBD 14 134" xfId="18152"/>
    <cellStyle name="Comma [0] TBD- 14 134" xfId="18153"/>
    <cellStyle name="Comma [0] TBD 14 135" xfId="18154"/>
    <cellStyle name="Comma [0] TBD- 14 135" xfId="18155"/>
    <cellStyle name="Comma [0] TBD 14 136" xfId="18156"/>
    <cellStyle name="Comma [0] TBD- 14 136" xfId="18157"/>
    <cellStyle name="Comma [0] TBD 14 137" xfId="18158"/>
    <cellStyle name="Comma [0] TBD- 14 137" xfId="18159"/>
    <cellStyle name="Comma [0] TBD 14 138" xfId="18160"/>
    <cellStyle name="Comma [0] TBD- 14 138" xfId="18161"/>
    <cellStyle name="Comma [0] TBD 14 139" xfId="18162"/>
    <cellStyle name="Comma [0] TBD- 14 139" xfId="18163"/>
    <cellStyle name="Comma [0] TBD 14 14" xfId="18164"/>
    <cellStyle name="Comma [0] TBD- 14 14" xfId="18165"/>
    <cellStyle name="Comma [0] TBD 14 140" xfId="18166"/>
    <cellStyle name="Comma [0] TBD- 14 140" xfId="18167"/>
    <cellStyle name="Comma [0] TBD 14 141" xfId="18168"/>
    <cellStyle name="Comma [0] TBD- 14 141" xfId="18169"/>
    <cellStyle name="Comma [0] TBD 14 142" xfId="18170"/>
    <cellStyle name="Comma [0] TBD- 14 142" xfId="18171"/>
    <cellStyle name="Comma [0] TBD 14 143" xfId="18172"/>
    <cellStyle name="Comma [0] TBD- 14 143" xfId="18173"/>
    <cellStyle name="Comma [0] TBD 14 144" xfId="18174"/>
    <cellStyle name="Comma [0] TBD- 14 144" xfId="18175"/>
    <cellStyle name="Comma [0] TBD 14 145" xfId="18176"/>
    <cellStyle name="Comma [0] TBD- 14 145" xfId="18177"/>
    <cellStyle name="Comma [0] TBD 14 146" xfId="18178"/>
    <cellStyle name="Comma [0] TBD- 14 146" xfId="18179"/>
    <cellStyle name="Comma [0] TBD 14 147" xfId="18180"/>
    <cellStyle name="Comma [0] TBD- 14 147" xfId="18181"/>
    <cellStyle name="Comma [0] TBD 14 148" xfId="18182"/>
    <cellStyle name="Comma [0] TBD- 14 148" xfId="18183"/>
    <cellStyle name="Comma [0] TBD 14 149" xfId="18184"/>
    <cellStyle name="Comma [0] TBD- 14 149" xfId="18185"/>
    <cellStyle name="Comma [0] TBD 14 15" xfId="18186"/>
    <cellStyle name="Comma [0] TBD- 14 15" xfId="18187"/>
    <cellStyle name="Comma [0] TBD 14 150" xfId="18188"/>
    <cellStyle name="Comma [0] TBD- 14 150" xfId="18189"/>
    <cellStyle name="Comma [0] TBD 14 151" xfId="18190"/>
    <cellStyle name="Comma [0] TBD- 14 151" xfId="18191"/>
    <cellStyle name="Comma [0] TBD 14 152" xfId="18192"/>
    <cellStyle name="Comma [0] TBD- 14 152" xfId="18193"/>
    <cellStyle name="Comma [0] TBD 14 153" xfId="18194"/>
    <cellStyle name="Comma [0] TBD- 14 153" xfId="18195"/>
    <cellStyle name="Comma [0] TBD 14 16" xfId="18196"/>
    <cellStyle name="Comma [0] TBD- 14 16" xfId="18197"/>
    <cellStyle name="Comma [0] TBD 14 17" xfId="18198"/>
    <cellStyle name="Comma [0] TBD- 14 17" xfId="18199"/>
    <cellStyle name="Comma [0] TBD 14 18" xfId="18200"/>
    <cellStyle name="Comma [0] TBD- 14 18" xfId="18201"/>
    <cellStyle name="Comma [0] TBD 14 19" xfId="18202"/>
    <cellStyle name="Comma [0] TBD- 14 19" xfId="18203"/>
    <cellStyle name="Comma [0] TBD 14 2" xfId="18204"/>
    <cellStyle name="Comma [0] TBD- 14 2" xfId="18205"/>
    <cellStyle name="Comma [0] TBD 14 20" xfId="18206"/>
    <cellStyle name="Comma [0] TBD- 14 20" xfId="18207"/>
    <cellStyle name="Comma [0] TBD 14 21" xfId="18208"/>
    <cellStyle name="Comma [0] TBD- 14 21" xfId="18209"/>
    <cellStyle name="Comma [0] TBD 14 22" xfId="18210"/>
    <cellStyle name="Comma [0] TBD- 14 22" xfId="18211"/>
    <cellStyle name="Comma [0] TBD 14 23" xfId="18212"/>
    <cellStyle name="Comma [0] TBD- 14 23" xfId="18213"/>
    <cellStyle name="Comma [0] TBD 14 24" xfId="18214"/>
    <cellStyle name="Comma [0] TBD- 14 24" xfId="18215"/>
    <cellStyle name="Comma [0] TBD 14 25" xfId="18216"/>
    <cellStyle name="Comma [0] TBD- 14 25" xfId="18217"/>
    <cellStyle name="Comma [0] TBD 14 26" xfId="18218"/>
    <cellStyle name="Comma [0] TBD- 14 26" xfId="18219"/>
    <cellStyle name="Comma [0] TBD 14 27" xfId="18220"/>
    <cellStyle name="Comma [0] TBD- 14 27" xfId="18221"/>
    <cellStyle name="Comma [0] TBD 14 28" xfId="18222"/>
    <cellStyle name="Comma [0] TBD- 14 28" xfId="18223"/>
    <cellStyle name="Comma [0] TBD 14 29" xfId="18224"/>
    <cellStyle name="Comma [0] TBD- 14 29" xfId="18225"/>
    <cellStyle name="Comma [0] TBD 14 3" xfId="18226"/>
    <cellStyle name="Comma [0] TBD- 14 3" xfId="18227"/>
    <cellStyle name="Comma [0] TBD 14 30" xfId="18228"/>
    <cellStyle name="Comma [0] TBD- 14 30" xfId="18229"/>
    <cellStyle name="Comma [0] TBD 14 31" xfId="18230"/>
    <cellStyle name="Comma [0] TBD- 14 31" xfId="18231"/>
    <cellStyle name="Comma [0] TBD 14 32" xfId="18232"/>
    <cellStyle name="Comma [0] TBD- 14 32" xfId="18233"/>
    <cellStyle name="Comma [0] TBD 14 33" xfId="18234"/>
    <cellStyle name="Comma [0] TBD- 14 33" xfId="18235"/>
    <cellStyle name="Comma [0] TBD 14 34" xfId="18236"/>
    <cellStyle name="Comma [0] TBD- 14 34" xfId="18237"/>
    <cellStyle name="Comma [0] TBD 14 35" xfId="18238"/>
    <cellStyle name="Comma [0] TBD- 14 35" xfId="18239"/>
    <cellStyle name="Comma [0] TBD 14 36" xfId="18240"/>
    <cellStyle name="Comma [0] TBD- 14 36" xfId="18241"/>
    <cellStyle name="Comma [0] TBD 14 37" xfId="18242"/>
    <cellStyle name="Comma [0] TBD- 14 37" xfId="18243"/>
    <cellStyle name="Comma [0] TBD 14 38" xfId="18244"/>
    <cellStyle name="Comma [0] TBD- 14 38" xfId="18245"/>
    <cellStyle name="Comma [0] TBD 14 39" xfId="18246"/>
    <cellStyle name="Comma [0] TBD- 14 39" xfId="18247"/>
    <cellStyle name="Comma [0] TBD 14 4" xfId="18248"/>
    <cellStyle name="Comma [0] TBD- 14 4" xfId="18249"/>
    <cellStyle name="Comma [0] TBD 14 40" xfId="18250"/>
    <cellStyle name="Comma [0] TBD- 14 40" xfId="18251"/>
    <cellStyle name="Comma [0] TBD 14 41" xfId="18252"/>
    <cellStyle name="Comma [0] TBD- 14 41" xfId="18253"/>
    <cellStyle name="Comma [0] TBD 14 42" xfId="18254"/>
    <cellStyle name="Comma [0] TBD- 14 42" xfId="18255"/>
    <cellStyle name="Comma [0] TBD 14 43" xfId="18256"/>
    <cellStyle name="Comma [0] TBD- 14 43" xfId="18257"/>
    <cellStyle name="Comma [0] TBD 14 44" xfId="18258"/>
    <cellStyle name="Comma [0] TBD- 14 44" xfId="18259"/>
    <cellStyle name="Comma [0] TBD 14 45" xfId="18260"/>
    <cellStyle name="Comma [0] TBD- 14 45" xfId="18261"/>
    <cellStyle name="Comma [0] TBD 14 46" xfId="18262"/>
    <cellStyle name="Comma [0] TBD- 14 46" xfId="18263"/>
    <cellStyle name="Comma [0] TBD 14 47" xfId="18264"/>
    <cellStyle name="Comma [0] TBD- 14 47" xfId="18265"/>
    <cellStyle name="Comma [0] TBD 14 48" xfId="18266"/>
    <cellStyle name="Comma [0] TBD- 14 48" xfId="18267"/>
    <cellStyle name="Comma [0] TBD 14 49" xfId="18268"/>
    <cellStyle name="Comma [0] TBD- 14 49" xfId="18269"/>
    <cellStyle name="Comma [0] TBD 14 5" xfId="18270"/>
    <cellStyle name="Comma [0] TBD- 14 5" xfId="18271"/>
    <cellStyle name="Comma [0] TBD 14 50" xfId="18272"/>
    <cellStyle name="Comma [0] TBD- 14 50" xfId="18273"/>
    <cellStyle name="Comma [0] TBD 14 51" xfId="18274"/>
    <cellStyle name="Comma [0] TBD- 14 51" xfId="18275"/>
    <cellStyle name="Comma [0] TBD 14 52" xfId="18276"/>
    <cellStyle name="Comma [0] TBD- 14 52" xfId="18277"/>
    <cellStyle name="Comma [0] TBD 14 53" xfId="18278"/>
    <cellStyle name="Comma [0] TBD- 14 53" xfId="18279"/>
    <cellStyle name="Comma [0] TBD 14 54" xfId="18280"/>
    <cellStyle name="Comma [0] TBD- 14 54" xfId="18281"/>
    <cellStyle name="Comma [0] TBD 14 55" xfId="18282"/>
    <cellStyle name="Comma [0] TBD- 14 55" xfId="18283"/>
    <cellStyle name="Comma [0] TBD 14 56" xfId="18284"/>
    <cellStyle name="Comma [0] TBD- 14 56" xfId="18285"/>
    <cellStyle name="Comma [0] TBD 14 57" xfId="18286"/>
    <cellStyle name="Comma [0] TBD- 14 57" xfId="18287"/>
    <cellStyle name="Comma [0] TBD 14 58" xfId="18288"/>
    <cellStyle name="Comma [0] TBD- 14 58" xfId="18289"/>
    <cellStyle name="Comma [0] TBD 14 59" xfId="18290"/>
    <cellStyle name="Comma [0] TBD- 14 59" xfId="18291"/>
    <cellStyle name="Comma [0] TBD 14 6" xfId="18292"/>
    <cellStyle name="Comma [0] TBD- 14 6" xfId="18293"/>
    <cellStyle name="Comma [0] TBD 14 60" xfId="18294"/>
    <cellStyle name="Comma [0] TBD- 14 60" xfId="18295"/>
    <cellStyle name="Comma [0] TBD 14 61" xfId="18296"/>
    <cellStyle name="Comma [0] TBD- 14 61" xfId="18297"/>
    <cellStyle name="Comma [0] TBD 14 62" xfId="18298"/>
    <cellStyle name="Comma [0] TBD- 14 62" xfId="18299"/>
    <cellStyle name="Comma [0] TBD 14 63" xfId="18300"/>
    <cellStyle name="Comma [0] TBD- 14 63" xfId="18301"/>
    <cellStyle name="Comma [0] TBD 14 64" xfId="18302"/>
    <cellStyle name="Comma [0] TBD- 14 64" xfId="18303"/>
    <cellStyle name="Comma [0] TBD 14 65" xfId="18304"/>
    <cellStyle name="Comma [0] TBD- 14 65" xfId="18305"/>
    <cellStyle name="Comma [0] TBD 14 66" xfId="18306"/>
    <cellStyle name="Comma [0] TBD- 14 66" xfId="18307"/>
    <cellStyle name="Comma [0] TBD 14 67" xfId="18308"/>
    <cellStyle name="Comma [0] TBD- 14 67" xfId="18309"/>
    <cellStyle name="Comma [0] TBD 14 68" xfId="18310"/>
    <cellStyle name="Comma [0] TBD- 14 68" xfId="18311"/>
    <cellStyle name="Comma [0] TBD 14 69" xfId="18312"/>
    <cellStyle name="Comma [0] TBD- 14 69" xfId="18313"/>
    <cellStyle name="Comma [0] TBD 14 7" xfId="18314"/>
    <cellStyle name="Comma [0] TBD- 14 7" xfId="18315"/>
    <cellStyle name="Comma [0] TBD 14 70" xfId="18316"/>
    <cellStyle name="Comma [0] TBD- 14 70" xfId="18317"/>
    <cellStyle name="Comma [0] TBD 14 71" xfId="18318"/>
    <cellStyle name="Comma [0] TBD- 14 71" xfId="18319"/>
    <cellStyle name="Comma [0] TBD 14 72" xfId="18320"/>
    <cellStyle name="Comma [0] TBD- 14 72" xfId="18321"/>
    <cellStyle name="Comma [0] TBD 14 73" xfId="18322"/>
    <cellStyle name="Comma [0] TBD- 14 73" xfId="18323"/>
    <cellStyle name="Comma [0] TBD 14 74" xfId="18324"/>
    <cellStyle name="Comma [0] TBD- 14 74" xfId="18325"/>
    <cellStyle name="Comma [0] TBD 14 75" xfId="18326"/>
    <cellStyle name="Comma [0] TBD- 14 75" xfId="18327"/>
    <cellStyle name="Comma [0] TBD 14 76" xfId="18328"/>
    <cellStyle name="Comma [0] TBD- 14 76" xfId="18329"/>
    <cellStyle name="Comma [0] TBD 14 77" xfId="18330"/>
    <cellStyle name="Comma [0] TBD- 14 77" xfId="18331"/>
    <cellStyle name="Comma [0] TBD 14 78" xfId="18332"/>
    <cellStyle name="Comma [0] TBD- 14 78" xfId="18333"/>
    <cellStyle name="Comma [0] TBD 14 79" xfId="18334"/>
    <cellStyle name="Comma [0] TBD- 14 79" xfId="18335"/>
    <cellStyle name="Comma [0] TBD 14 8" xfId="18336"/>
    <cellStyle name="Comma [0] TBD- 14 8" xfId="18337"/>
    <cellStyle name="Comma [0] TBD 14 80" xfId="18338"/>
    <cellStyle name="Comma [0] TBD- 14 80" xfId="18339"/>
    <cellStyle name="Comma [0] TBD 14 81" xfId="18340"/>
    <cellStyle name="Comma [0] TBD- 14 81" xfId="18341"/>
    <cellStyle name="Comma [0] TBD 14 82" xfId="18342"/>
    <cellStyle name="Comma [0] TBD- 14 82" xfId="18343"/>
    <cellStyle name="Comma [0] TBD 14 83" xfId="18344"/>
    <cellStyle name="Comma [0] TBD- 14 83" xfId="18345"/>
    <cellStyle name="Comma [0] TBD 14 84" xfId="18346"/>
    <cellStyle name="Comma [0] TBD- 14 84" xfId="18347"/>
    <cellStyle name="Comma [0] TBD 14 85" xfId="18348"/>
    <cellStyle name="Comma [0] TBD- 14 85" xfId="18349"/>
    <cellStyle name="Comma [0] TBD 14 86" xfId="18350"/>
    <cellStyle name="Comma [0] TBD- 14 86" xfId="18351"/>
    <cellStyle name="Comma [0] TBD 14 87" xfId="18352"/>
    <cellStyle name="Comma [0] TBD- 14 87" xfId="18353"/>
    <cellStyle name="Comma [0] TBD 14 88" xfId="18354"/>
    <cellStyle name="Comma [0] TBD- 14 88" xfId="18355"/>
    <cellStyle name="Comma [0] TBD 14 89" xfId="18356"/>
    <cellStyle name="Comma [0] TBD- 14 89" xfId="18357"/>
    <cellStyle name="Comma [0] TBD 14 9" xfId="18358"/>
    <cellStyle name="Comma [0] TBD- 14 9" xfId="18359"/>
    <cellStyle name="Comma [0] TBD 14 90" xfId="18360"/>
    <cellStyle name="Comma [0] TBD- 14 90" xfId="18361"/>
    <cellStyle name="Comma [0] TBD 14 91" xfId="18362"/>
    <cellStyle name="Comma [0] TBD- 14 91" xfId="18363"/>
    <cellStyle name="Comma [0] TBD 14 92" xfId="18364"/>
    <cellStyle name="Comma [0] TBD- 14 92" xfId="18365"/>
    <cellStyle name="Comma [0] TBD 14 93" xfId="18366"/>
    <cellStyle name="Comma [0] TBD- 14 93" xfId="18367"/>
    <cellStyle name="Comma [0] TBD 14 94" xfId="18368"/>
    <cellStyle name="Comma [0] TBD- 14 94" xfId="18369"/>
    <cellStyle name="Comma [0] TBD 14 95" xfId="18370"/>
    <cellStyle name="Comma [0] TBD- 14 95" xfId="18371"/>
    <cellStyle name="Comma [0] TBD 14 96" xfId="18372"/>
    <cellStyle name="Comma [0] TBD- 14 96" xfId="18373"/>
    <cellStyle name="Comma [0] TBD 14 97" xfId="18374"/>
    <cellStyle name="Comma [0] TBD- 14 97" xfId="18375"/>
    <cellStyle name="Comma [0] TBD 14 98" xfId="18376"/>
    <cellStyle name="Comma [0] TBD- 14 98" xfId="18377"/>
    <cellStyle name="Comma [0] TBD 14 99" xfId="18378"/>
    <cellStyle name="Comma [0] TBD- 14 99" xfId="18379"/>
    <cellStyle name="Comma [0] TBD 2" xfId="18380"/>
    <cellStyle name="Comma [0] TBD- 2" xfId="18381"/>
    <cellStyle name="Comma [0] TBD 2 10" xfId="18382"/>
    <cellStyle name="Comma [0] TBD- 2 10" xfId="18383"/>
    <cellStyle name="Comma [0] TBD 2 100" xfId="18384"/>
    <cellStyle name="Comma [0] TBD- 2 100" xfId="18385"/>
    <cellStyle name="Comma [0] TBD 2 101" xfId="18386"/>
    <cellStyle name="Comma [0] TBD- 2 101" xfId="18387"/>
    <cellStyle name="Comma [0] TBD 2 102" xfId="18388"/>
    <cellStyle name="Comma [0] TBD- 2 102" xfId="18389"/>
    <cellStyle name="Comma [0] TBD 2 103" xfId="18390"/>
    <cellStyle name="Comma [0] TBD- 2 103" xfId="18391"/>
    <cellStyle name="Comma [0] TBD 2 104" xfId="18392"/>
    <cellStyle name="Comma [0] TBD- 2 104" xfId="18393"/>
    <cellStyle name="Comma [0] TBD 2 105" xfId="18394"/>
    <cellStyle name="Comma [0] TBD- 2 105" xfId="18395"/>
    <cellStyle name="Comma [0] TBD 2 106" xfId="18396"/>
    <cellStyle name="Comma [0] TBD- 2 106" xfId="18397"/>
    <cellStyle name="Comma [0] TBD 2 107" xfId="18398"/>
    <cellStyle name="Comma [0] TBD- 2 107" xfId="18399"/>
    <cellStyle name="Comma [0] TBD 2 108" xfId="18400"/>
    <cellStyle name="Comma [0] TBD- 2 108" xfId="18401"/>
    <cellStyle name="Comma [0] TBD 2 109" xfId="18402"/>
    <cellStyle name="Comma [0] TBD- 2 109" xfId="18403"/>
    <cellStyle name="Comma [0] TBD 2 11" xfId="18404"/>
    <cellStyle name="Comma [0] TBD- 2 11" xfId="18405"/>
    <cellStyle name="Comma [0] TBD 2 110" xfId="18406"/>
    <cellStyle name="Comma [0] TBD- 2 110" xfId="18407"/>
    <cellStyle name="Comma [0] TBD 2 111" xfId="18408"/>
    <cellStyle name="Comma [0] TBD- 2 111" xfId="18409"/>
    <cellStyle name="Comma [0] TBD 2 112" xfId="18410"/>
    <cellStyle name="Comma [0] TBD- 2 112" xfId="18411"/>
    <cellStyle name="Comma [0] TBD 2 113" xfId="18412"/>
    <cellStyle name="Comma [0] TBD- 2 113" xfId="18413"/>
    <cellStyle name="Comma [0] TBD 2 114" xfId="18414"/>
    <cellStyle name="Comma [0] TBD- 2 114" xfId="18415"/>
    <cellStyle name="Comma [0] TBD 2 115" xfId="18416"/>
    <cellStyle name="Comma [0] TBD- 2 115" xfId="18417"/>
    <cellStyle name="Comma [0] TBD 2 116" xfId="18418"/>
    <cellStyle name="Comma [0] TBD- 2 116" xfId="18419"/>
    <cellStyle name="Comma [0] TBD 2 117" xfId="18420"/>
    <cellStyle name="Comma [0] TBD- 2 117" xfId="18421"/>
    <cellStyle name="Comma [0] TBD 2 118" xfId="18422"/>
    <cellStyle name="Comma [0] TBD- 2 118" xfId="18423"/>
    <cellStyle name="Comma [0] TBD 2 119" xfId="18424"/>
    <cellStyle name="Comma [0] TBD- 2 119" xfId="18425"/>
    <cellStyle name="Comma [0] TBD 2 12" xfId="18426"/>
    <cellStyle name="Comma [0] TBD- 2 12" xfId="18427"/>
    <cellStyle name="Comma [0] TBD 2 120" xfId="18428"/>
    <cellStyle name="Comma [0] TBD- 2 120" xfId="18429"/>
    <cellStyle name="Comma [0] TBD 2 121" xfId="18430"/>
    <cellStyle name="Comma [0] TBD- 2 121" xfId="18431"/>
    <cellStyle name="Comma [0] TBD 2 122" xfId="18432"/>
    <cellStyle name="Comma [0] TBD- 2 122" xfId="18433"/>
    <cellStyle name="Comma [0] TBD 2 123" xfId="18434"/>
    <cellStyle name="Comma [0] TBD- 2 123" xfId="18435"/>
    <cellStyle name="Comma [0] TBD 2 124" xfId="18436"/>
    <cellStyle name="Comma [0] TBD- 2 124" xfId="18437"/>
    <cellStyle name="Comma [0] TBD 2 125" xfId="18438"/>
    <cellStyle name="Comma [0] TBD- 2 125" xfId="18439"/>
    <cellStyle name="Comma [0] TBD 2 126" xfId="18440"/>
    <cellStyle name="Comma [0] TBD- 2 126" xfId="18441"/>
    <cellStyle name="Comma [0] TBD 2 127" xfId="18442"/>
    <cellStyle name="Comma [0] TBD- 2 127" xfId="18443"/>
    <cellStyle name="Comma [0] TBD 2 128" xfId="18444"/>
    <cellStyle name="Comma [0] TBD- 2 128" xfId="18445"/>
    <cellStyle name="Comma [0] TBD 2 129" xfId="18446"/>
    <cellStyle name="Comma [0] TBD- 2 129" xfId="18447"/>
    <cellStyle name="Comma [0] TBD 2 13" xfId="18448"/>
    <cellStyle name="Comma [0] TBD- 2 13" xfId="18449"/>
    <cellStyle name="Comma [0] TBD 2 130" xfId="18450"/>
    <cellStyle name="Comma [0] TBD- 2 130" xfId="18451"/>
    <cellStyle name="Comma [0] TBD 2 131" xfId="18452"/>
    <cellStyle name="Comma [0] TBD- 2 131" xfId="18453"/>
    <cellStyle name="Comma [0] TBD 2 132" xfId="18454"/>
    <cellStyle name="Comma [0] TBD- 2 132" xfId="18455"/>
    <cellStyle name="Comma [0] TBD 2 133" xfId="18456"/>
    <cellStyle name="Comma [0] TBD- 2 133" xfId="18457"/>
    <cellStyle name="Comma [0] TBD 2 134" xfId="18458"/>
    <cellStyle name="Comma [0] TBD- 2 134" xfId="18459"/>
    <cellStyle name="Comma [0] TBD 2 135" xfId="18460"/>
    <cellStyle name="Comma [0] TBD- 2 135" xfId="18461"/>
    <cellStyle name="Comma [0] TBD 2 136" xfId="18462"/>
    <cellStyle name="Comma [0] TBD- 2 136" xfId="18463"/>
    <cellStyle name="Comma [0] TBD 2 137" xfId="18464"/>
    <cellStyle name="Comma [0] TBD- 2 137" xfId="18465"/>
    <cellStyle name="Comma [0] TBD 2 138" xfId="18466"/>
    <cellStyle name="Comma [0] TBD- 2 138" xfId="18467"/>
    <cellStyle name="Comma [0] TBD 2 139" xfId="18468"/>
    <cellStyle name="Comma [0] TBD- 2 139" xfId="18469"/>
    <cellStyle name="Comma [0] TBD 2 14" xfId="18470"/>
    <cellStyle name="Comma [0] TBD- 2 14" xfId="18471"/>
    <cellStyle name="Comma [0] TBD 2 140" xfId="18472"/>
    <cellStyle name="Comma [0] TBD- 2 140" xfId="18473"/>
    <cellStyle name="Comma [0] TBD 2 141" xfId="18474"/>
    <cellStyle name="Comma [0] TBD- 2 141" xfId="18475"/>
    <cellStyle name="Comma [0] TBD 2 142" xfId="18476"/>
    <cellStyle name="Comma [0] TBD- 2 142" xfId="18477"/>
    <cellStyle name="Comma [0] TBD 2 143" xfId="18478"/>
    <cellStyle name="Comma [0] TBD- 2 143" xfId="18479"/>
    <cellStyle name="Comma [0] TBD 2 144" xfId="18480"/>
    <cellStyle name="Comma [0] TBD- 2 144" xfId="18481"/>
    <cellStyle name="Comma [0] TBD 2 145" xfId="18482"/>
    <cellStyle name="Comma [0] TBD- 2 145" xfId="18483"/>
    <cellStyle name="Comma [0] TBD 2 146" xfId="18484"/>
    <cellStyle name="Comma [0] TBD- 2 146" xfId="18485"/>
    <cellStyle name="Comma [0] TBD 2 147" xfId="18486"/>
    <cellStyle name="Comma [0] TBD- 2 147" xfId="18487"/>
    <cellStyle name="Comma [0] TBD 2 148" xfId="18488"/>
    <cellStyle name="Comma [0] TBD- 2 148" xfId="18489"/>
    <cellStyle name="Comma [0] TBD 2 149" xfId="18490"/>
    <cellStyle name="Comma [0] TBD- 2 149" xfId="18491"/>
    <cellStyle name="Comma [0] TBD 2 15" xfId="18492"/>
    <cellStyle name="Comma [0] TBD- 2 15" xfId="18493"/>
    <cellStyle name="Comma [0] TBD 2 150" xfId="18494"/>
    <cellStyle name="Comma [0] TBD- 2 150" xfId="18495"/>
    <cellStyle name="Comma [0] TBD 2 151" xfId="18496"/>
    <cellStyle name="Comma [0] TBD- 2 151" xfId="18497"/>
    <cellStyle name="Comma [0] TBD 2 152" xfId="18498"/>
    <cellStyle name="Comma [0] TBD- 2 152" xfId="18499"/>
    <cellStyle name="Comma [0] TBD 2 153" xfId="18500"/>
    <cellStyle name="Comma [0] TBD- 2 153" xfId="18501"/>
    <cellStyle name="Comma [0] TBD 2 16" xfId="18502"/>
    <cellStyle name="Comma [0] TBD- 2 16" xfId="18503"/>
    <cellStyle name="Comma [0] TBD 2 17" xfId="18504"/>
    <cellStyle name="Comma [0] TBD- 2 17" xfId="18505"/>
    <cellStyle name="Comma [0] TBD 2 18" xfId="18506"/>
    <cellStyle name="Comma [0] TBD- 2 18" xfId="18507"/>
    <cellStyle name="Comma [0] TBD 2 19" xfId="18508"/>
    <cellStyle name="Comma [0] TBD- 2 19" xfId="18509"/>
    <cellStyle name="Comma [0] TBD 2 2" xfId="18510"/>
    <cellStyle name="Comma [0] TBD- 2 2" xfId="18511"/>
    <cellStyle name="Comma [0] TBD 2 20" xfId="18512"/>
    <cellStyle name="Comma [0] TBD- 2 20" xfId="18513"/>
    <cellStyle name="Comma [0] TBD 2 21" xfId="18514"/>
    <cellStyle name="Comma [0] TBD- 2 21" xfId="18515"/>
    <cellStyle name="Comma [0] TBD 2 22" xfId="18516"/>
    <cellStyle name="Comma [0] TBD- 2 22" xfId="18517"/>
    <cellStyle name="Comma [0] TBD 2 23" xfId="18518"/>
    <cellStyle name="Comma [0] TBD- 2 23" xfId="18519"/>
    <cellStyle name="Comma [0] TBD 2 24" xfId="18520"/>
    <cellStyle name="Comma [0] TBD- 2 24" xfId="18521"/>
    <cellStyle name="Comma [0] TBD 2 25" xfId="18522"/>
    <cellStyle name="Comma [0] TBD- 2 25" xfId="18523"/>
    <cellStyle name="Comma [0] TBD 2 26" xfId="18524"/>
    <cellStyle name="Comma [0] TBD- 2 26" xfId="18525"/>
    <cellStyle name="Comma [0] TBD 2 27" xfId="18526"/>
    <cellStyle name="Comma [0] TBD- 2 27" xfId="18527"/>
    <cellStyle name="Comma [0] TBD 2 28" xfId="18528"/>
    <cellStyle name="Comma [0] TBD- 2 28" xfId="18529"/>
    <cellStyle name="Comma [0] TBD 2 29" xfId="18530"/>
    <cellStyle name="Comma [0] TBD- 2 29" xfId="18531"/>
    <cellStyle name="Comma [0] TBD 2 3" xfId="18532"/>
    <cellStyle name="Comma [0] TBD- 2 3" xfId="18533"/>
    <cellStyle name="Comma [0] TBD 2 30" xfId="18534"/>
    <cellStyle name="Comma [0] TBD- 2 30" xfId="18535"/>
    <cellStyle name="Comma [0] TBD 2 31" xfId="18536"/>
    <cellStyle name="Comma [0] TBD- 2 31" xfId="18537"/>
    <cellStyle name="Comma [0] TBD 2 32" xfId="18538"/>
    <cellStyle name="Comma [0] TBD- 2 32" xfId="18539"/>
    <cellStyle name="Comma [0] TBD 2 33" xfId="18540"/>
    <cellStyle name="Comma [0] TBD- 2 33" xfId="18541"/>
    <cellStyle name="Comma [0] TBD 2 34" xfId="18542"/>
    <cellStyle name="Comma [0] TBD- 2 34" xfId="18543"/>
    <cellStyle name="Comma [0] TBD 2 35" xfId="18544"/>
    <cellStyle name="Comma [0] TBD- 2 35" xfId="18545"/>
    <cellStyle name="Comma [0] TBD 2 36" xfId="18546"/>
    <cellStyle name="Comma [0] TBD- 2 36" xfId="18547"/>
    <cellStyle name="Comma [0] TBD 2 37" xfId="18548"/>
    <cellStyle name="Comma [0] TBD- 2 37" xfId="18549"/>
    <cellStyle name="Comma [0] TBD 2 38" xfId="18550"/>
    <cellStyle name="Comma [0] TBD- 2 38" xfId="18551"/>
    <cellStyle name="Comma [0] TBD 2 39" xfId="18552"/>
    <cellStyle name="Comma [0] TBD- 2 39" xfId="18553"/>
    <cellStyle name="Comma [0] TBD 2 4" xfId="18554"/>
    <cellStyle name="Comma [0] TBD- 2 4" xfId="18555"/>
    <cellStyle name="Comma [0] TBD 2 40" xfId="18556"/>
    <cellStyle name="Comma [0] TBD- 2 40" xfId="18557"/>
    <cellStyle name="Comma [0] TBD 2 41" xfId="18558"/>
    <cellStyle name="Comma [0] TBD- 2 41" xfId="18559"/>
    <cellStyle name="Comma [0] TBD 2 42" xfId="18560"/>
    <cellStyle name="Comma [0] TBD- 2 42" xfId="18561"/>
    <cellStyle name="Comma [0] TBD 2 43" xfId="18562"/>
    <cellStyle name="Comma [0] TBD- 2 43" xfId="18563"/>
    <cellStyle name="Comma [0] TBD 2 44" xfId="18564"/>
    <cellStyle name="Comma [0] TBD- 2 44" xfId="18565"/>
    <cellStyle name="Comma [0] TBD 2 45" xfId="18566"/>
    <cellStyle name="Comma [0] TBD- 2 45" xfId="18567"/>
    <cellStyle name="Comma [0] TBD 2 46" xfId="18568"/>
    <cellStyle name="Comma [0] TBD- 2 46" xfId="18569"/>
    <cellStyle name="Comma [0] TBD 2 47" xfId="18570"/>
    <cellStyle name="Comma [0] TBD- 2 47" xfId="18571"/>
    <cellStyle name="Comma [0] TBD 2 48" xfId="18572"/>
    <cellStyle name="Comma [0] TBD- 2 48" xfId="18573"/>
    <cellStyle name="Comma [0] TBD 2 49" xfId="18574"/>
    <cellStyle name="Comma [0] TBD- 2 49" xfId="18575"/>
    <cellStyle name="Comma [0] TBD 2 5" xfId="18576"/>
    <cellStyle name="Comma [0] TBD- 2 5" xfId="18577"/>
    <cellStyle name="Comma [0] TBD 2 50" xfId="18578"/>
    <cellStyle name="Comma [0] TBD- 2 50" xfId="18579"/>
    <cellStyle name="Comma [0] TBD 2 51" xfId="18580"/>
    <cellStyle name="Comma [0] TBD- 2 51" xfId="18581"/>
    <cellStyle name="Comma [0] TBD 2 52" xfId="18582"/>
    <cellStyle name="Comma [0] TBD- 2 52" xfId="18583"/>
    <cellStyle name="Comma [0] TBD 2 53" xfId="18584"/>
    <cellStyle name="Comma [0] TBD- 2 53" xfId="18585"/>
    <cellStyle name="Comma [0] TBD 2 54" xfId="18586"/>
    <cellStyle name="Comma [0] TBD- 2 54" xfId="18587"/>
    <cellStyle name="Comma [0] TBD 2 55" xfId="18588"/>
    <cellStyle name="Comma [0] TBD- 2 55" xfId="18589"/>
    <cellStyle name="Comma [0] TBD 2 56" xfId="18590"/>
    <cellStyle name="Comma [0] TBD- 2 56" xfId="18591"/>
    <cellStyle name="Comma [0] TBD 2 57" xfId="18592"/>
    <cellStyle name="Comma [0] TBD- 2 57" xfId="18593"/>
    <cellStyle name="Comma [0] TBD 2 58" xfId="18594"/>
    <cellStyle name="Comma [0] TBD- 2 58" xfId="18595"/>
    <cellStyle name="Comma [0] TBD 2 59" xfId="18596"/>
    <cellStyle name="Comma [0] TBD- 2 59" xfId="18597"/>
    <cellStyle name="Comma [0] TBD 2 6" xfId="18598"/>
    <cellStyle name="Comma [0] TBD- 2 6" xfId="18599"/>
    <cellStyle name="Comma [0] TBD 2 60" xfId="18600"/>
    <cellStyle name="Comma [0] TBD- 2 60" xfId="18601"/>
    <cellStyle name="Comma [0] TBD 2 61" xfId="18602"/>
    <cellStyle name="Comma [0] TBD- 2 61" xfId="18603"/>
    <cellStyle name="Comma [0] TBD 2 62" xfId="18604"/>
    <cellStyle name="Comma [0] TBD- 2 62" xfId="18605"/>
    <cellStyle name="Comma [0] TBD 2 63" xfId="18606"/>
    <cellStyle name="Comma [0] TBD- 2 63" xfId="18607"/>
    <cellStyle name="Comma [0] TBD 2 64" xfId="18608"/>
    <cellStyle name="Comma [0] TBD- 2 64" xfId="18609"/>
    <cellStyle name="Comma [0] TBD 2 65" xfId="18610"/>
    <cellStyle name="Comma [0] TBD- 2 65" xfId="18611"/>
    <cellStyle name="Comma [0] TBD 2 66" xfId="18612"/>
    <cellStyle name="Comma [0] TBD- 2 66" xfId="18613"/>
    <cellStyle name="Comma [0] TBD 2 67" xfId="18614"/>
    <cellStyle name="Comma [0] TBD- 2 67" xfId="18615"/>
    <cellStyle name="Comma [0] TBD 2 68" xfId="18616"/>
    <cellStyle name="Comma [0] TBD- 2 68" xfId="18617"/>
    <cellStyle name="Comma [0] TBD 2 69" xfId="18618"/>
    <cellStyle name="Comma [0] TBD- 2 69" xfId="18619"/>
    <cellStyle name="Comma [0] TBD 2 7" xfId="18620"/>
    <cellStyle name="Comma [0] TBD- 2 7" xfId="18621"/>
    <cellStyle name="Comma [0] TBD 2 70" xfId="18622"/>
    <cellStyle name="Comma [0] TBD- 2 70" xfId="18623"/>
    <cellStyle name="Comma [0] TBD 2 71" xfId="18624"/>
    <cellStyle name="Comma [0] TBD- 2 71" xfId="18625"/>
    <cellStyle name="Comma [0] TBD 2 72" xfId="18626"/>
    <cellStyle name="Comma [0] TBD- 2 72" xfId="18627"/>
    <cellStyle name="Comma [0] TBD 2 73" xfId="18628"/>
    <cellStyle name="Comma [0] TBD- 2 73" xfId="18629"/>
    <cellStyle name="Comma [0] TBD 2 74" xfId="18630"/>
    <cellStyle name="Comma [0] TBD- 2 74" xfId="18631"/>
    <cellStyle name="Comma [0] TBD 2 75" xfId="18632"/>
    <cellStyle name="Comma [0] TBD- 2 75" xfId="18633"/>
    <cellStyle name="Comma [0] TBD 2 76" xfId="18634"/>
    <cellStyle name="Comma [0] TBD- 2 76" xfId="18635"/>
    <cellStyle name="Comma [0] TBD 2 77" xfId="18636"/>
    <cellStyle name="Comma [0] TBD- 2 77" xfId="18637"/>
    <cellStyle name="Comma [0] TBD 2 78" xfId="18638"/>
    <cellStyle name="Comma [0] TBD- 2 78" xfId="18639"/>
    <cellStyle name="Comma [0] TBD 2 79" xfId="18640"/>
    <cellStyle name="Comma [0] TBD- 2 79" xfId="18641"/>
    <cellStyle name="Comma [0] TBD 2 8" xfId="18642"/>
    <cellStyle name="Comma [0] TBD- 2 8" xfId="18643"/>
    <cellStyle name="Comma [0] TBD 2 80" xfId="18644"/>
    <cellStyle name="Comma [0] TBD- 2 80" xfId="18645"/>
    <cellStyle name="Comma [0] TBD 2 81" xfId="18646"/>
    <cellStyle name="Comma [0] TBD- 2 81" xfId="18647"/>
    <cellStyle name="Comma [0] TBD 2 82" xfId="18648"/>
    <cellStyle name="Comma [0] TBD- 2 82" xfId="18649"/>
    <cellStyle name="Comma [0] TBD 2 83" xfId="18650"/>
    <cellStyle name="Comma [0] TBD- 2 83" xfId="18651"/>
    <cellStyle name="Comma [0] TBD 2 84" xfId="18652"/>
    <cellStyle name="Comma [0] TBD- 2 84" xfId="18653"/>
    <cellStyle name="Comma [0] TBD 2 85" xfId="18654"/>
    <cellStyle name="Comma [0] TBD- 2 85" xfId="18655"/>
    <cellStyle name="Comma [0] TBD 2 86" xfId="18656"/>
    <cellStyle name="Comma [0] TBD- 2 86" xfId="18657"/>
    <cellStyle name="Comma [0] TBD 2 87" xfId="18658"/>
    <cellStyle name="Comma [0] TBD- 2 87" xfId="18659"/>
    <cellStyle name="Comma [0] TBD 2 88" xfId="18660"/>
    <cellStyle name="Comma [0] TBD- 2 88" xfId="18661"/>
    <cellStyle name="Comma [0] TBD 2 89" xfId="18662"/>
    <cellStyle name="Comma [0] TBD- 2 89" xfId="18663"/>
    <cellStyle name="Comma [0] TBD 2 9" xfId="18664"/>
    <cellStyle name="Comma [0] TBD- 2 9" xfId="18665"/>
    <cellStyle name="Comma [0] TBD 2 90" xfId="18666"/>
    <cellStyle name="Comma [0] TBD- 2 90" xfId="18667"/>
    <cellStyle name="Comma [0] TBD 2 91" xfId="18668"/>
    <cellStyle name="Comma [0] TBD- 2 91" xfId="18669"/>
    <cellStyle name="Comma [0] TBD 2 92" xfId="18670"/>
    <cellStyle name="Comma [0] TBD- 2 92" xfId="18671"/>
    <cellStyle name="Comma [0] TBD 2 93" xfId="18672"/>
    <cellStyle name="Comma [0] TBD- 2 93" xfId="18673"/>
    <cellStyle name="Comma [0] TBD 2 94" xfId="18674"/>
    <cellStyle name="Comma [0] TBD- 2 94" xfId="18675"/>
    <cellStyle name="Comma [0] TBD 2 95" xfId="18676"/>
    <cellStyle name="Comma [0] TBD- 2 95" xfId="18677"/>
    <cellStyle name="Comma [0] TBD 2 96" xfId="18678"/>
    <cellStyle name="Comma [0] TBD- 2 96" xfId="18679"/>
    <cellStyle name="Comma [0] TBD 2 97" xfId="18680"/>
    <cellStyle name="Comma [0] TBD- 2 97" xfId="18681"/>
    <cellStyle name="Comma [0] TBD 2 98" xfId="18682"/>
    <cellStyle name="Comma [0] TBD- 2 98" xfId="18683"/>
    <cellStyle name="Comma [0] TBD 2 99" xfId="18684"/>
    <cellStyle name="Comma [0] TBD- 2 99" xfId="18685"/>
    <cellStyle name="Comma [0] TBD 3" xfId="18686"/>
    <cellStyle name="Comma [0] TBD- 3" xfId="18687"/>
    <cellStyle name="Comma [0] TBD 3 10" xfId="18688"/>
    <cellStyle name="Comma [0] TBD- 3 10" xfId="18689"/>
    <cellStyle name="Comma [0] TBD 3 100" xfId="18690"/>
    <cellStyle name="Comma [0] TBD- 3 100" xfId="18691"/>
    <cellStyle name="Comma [0] TBD 3 101" xfId="18692"/>
    <cellStyle name="Comma [0] TBD- 3 101" xfId="18693"/>
    <cellStyle name="Comma [0] TBD 3 102" xfId="18694"/>
    <cellStyle name="Comma [0] TBD- 3 102" xfId="18695"/>
    <cellStyle name="Comma [0] TBD 3 103" xfId="18696"/>
    <cellStyle name="Comma [0] TBD- 3 103" xfId="18697"/>
    <cellStyle name="Comma [0] TBD 3 104" xfId="18698"/>
    <cellStyle name="Comma [0] TBD- 3 104" xfId="18699"/>
    <cellStyle name="Comma [0] TBD 3 105" xfId="18700"/>
    <cellStyle name="Comma [0] TBD- 3 105" xfId="18701"/>
    <cellStyle name="Comma [0] TBD 3 106" xfId="18702"/>
    <cellStyle name="Comma [0] TBD- 3 106" xfId="18703"/>
    <cellStyle name="Comma [0] TBD 3 107" xfId="18704"/>
    <cellStyle name="Comma [0] TBD- 3 107" xfId="18705"/>
    <cellStyle name="Comma [0] TBD 3 108" xfId="18706"/>
    <cellStyle name="Comma [0] TBD- 3 108" xfId="18707"/>
    <cellStyle name="Comma [0] TBD 3 109" xfId="18708"/>
    <cellStyle name="Comma [0] TBD- 3 109" xfId="18709"/>
    <cellStyle name="Comma [0] TBD 3 11" xfId="18710"/>
    <cellStyle name="Comma [0] TBD- 3 11" xfId="18711"/>
    <cellStyle name="Comma [0] TBD 3 110" xfId="18712"/>
    <cellStyle name="Comma [0] TBD- 3 110" xfId="18713"/>
    <cellStyle name="Comma [0] TBD 3 111" xfId="18714"/>
    <cellStyle name="Comma [0] TBD- 3 111" xfId="18715"/>
    <cellStyle name="Comma [0] TBD 3 112" xfId="18716"/>
    <cellStyle name="Comma [0] TBD- 3 112" xfId="18717"/>
    <cellStyle name="Comma [0] TBD 3 113" xfId="18718"/>
    <cellStyle name="Comma [0] TBD- 3 113" xfId="18719"/>
    <cellStyle name="Comma [0] TBD 3 114" xfId="18720"/>
    <cellStyle name="Comma [0] TBD- 3 114" xfId="18721"/>
    <cellStyle name="Comma [0] TBD 3 115" xfId="18722"/>
    <cellStyle name="Comma [0] TBD- 3 115" xfId="18723"/>
    <cellStyle name="Comma [0] TBD 3 116" xfId="18724"/>
    <cellStyle name="Comma [0] TBD- 3 116" xfId="18725"/>
    <cellStyle name="Comma [0] TBD 3 117" xfId="18726"/>
    <cellStyle name="Comma [0] TBD- 3 117" xfId="18727"/>
    <cellStyle name="Comma [0] TBD 3 118" xfId="18728"/>
    <cellStyle name="Comma [0] TBD- 3 118" xfId="18729"/>
    <cellStyle name="Comma [0] TBD 3 119" xfId="18730"/>
    <cellStyle name="Comma [0] TBD- 3 119" xfId="18731"/>
    <cellStyle name="Comma [0] TBD 3 12" xfId="18732"/>
    <cellStyle name="Comma [0] TBD- 3 12" xfId="18733"/>
    <cellStyle name="Comma [0] TBD 3 120" xfId="18734"/>
    <cellStyle name="Comma [0] TBD- 3 120" xfId="18735"/>
    <cellStyle name="Comma [0] TBD 3 121" xfId="18736"/>
    <cellStyle name="Comma [0] TBD- 3 121" xfId="18737"/>
    <cellStyle name="Comma [0] TBD 3 122" xfId="18738"/>
    <cellStyle name="Comma [0] TBD- 3 122" xfId="18739"/>
    <cellStyle name="Comma [0] TBD 3 123" xfId="18740"/>
    <cellStyle name="Comma [0] TBD- 3 123" xfId="18741"/>
    <cellStyle name="Comma [0] TBD 3 124" xfId="18742"/>
    <cellStyle name="Comma [0] TBD- 3 124" xfId="18743"/>
    <cellStyle name="Comma [0] TBD 3 125" xfId="18744"/>
    <cellStyle name="Comma [0] TBD- 3 125" xfId="18745"/>
    <cellStyle name="Comma [0] TBD 3 126" xfId="18746"/>
    <cellStyle name="Comma [0] TBD- 3 126" xfId="18747"/>
    <cellStyle name="Comma [0] TBD 3 127" xfId="18748"/>
    <cellStyle name="Comma [0] TBD- 3 127" xfId="18749"/>
    <cellStyle name="Comma [0] TBD 3 128" xfId="18750"/>
    <cellStyle name="Comma [0] TBD- 3 128" xfId="18751"/>
    <cellStyle name="Comma [0] TBD 3 129" xfId="18752"/>
    <cellStyle name="Comma [0] TBD- 3 129" xfId="18753"/>
    <cellStyle name="Comma [0] TBD 3 13" xfId="18754"/>
    <cellStyle name="Comma [0] TBD- 3 13" xfId="18755"/>
    <cellStyle name="Comma [0] TBD 3 130" xfId="18756"/>
    <cellStyle name="Comma [0] TBD- 3 130" xfId="18757"/>
    <cellStyle name="Comma [0] TBD 3 131" xfId="18758"/>
    <cellStyle name="Comma [0] TBD- 3 131" xfId="18759"/>
    <cellStyle name="Comma [0] TBD 3 132" xfId="18760"/>
    <cellStyle name="Comma [0] TBD- 3 132" xfId="18761"/>
    <cellStyle name="Comma [0] TBD 3 133" xfId="18762"/>
    <cellStyle name="Comma [0] TBD- 3 133" xfId="18763"/>
    <cellStyle name="Comma [0] TBD 3 134" xfId="18764"/>
    <cellStyle name="Comma [0] TBD- 3 134" xfId="18765"/>
    <cellStyle name="Comma [0] TBD 3 135" xfId="18766"/>
    <cellStyle name="Comma [0] TBD- 3 135" xfId="18767"/>
    <cellStyle name="Comma [0] TBD 3 136" xfId="18768"/>
    <cellStyle name="Comma [0] TBD- 3 136" xfId="18769"/>
    <cellStyle name="Comma [0] TBD 3 137" xfId="18770"/>
    <cellStyle name="Comma [0] TBD- 3 137" xfId="18771"/>
    <cellStyle name="Comma [0] TBD 3 138" xfId="18772"/>
    <cellStyle name="Comma [0] TBD- 3 138" xfId="18773"/>
    <cellStyle name="Comma [0] TBD 3 139" xfId="18774"/>
    <cellStyle name="Comma [0] TBD- 3 139" xfId="18775"/>
    <cellStyle name="Comma [0] TBD 3 14" xfId="18776"/>
    <cellStyle name="Comma [0] TBD- 3 14" xfId="18777"/>
    <cellStyle name="Comma [0] TBD 3 140" xfId="18778"/>
    <cellStyle name="Comma [0] TBD- 3 140" xfId="18779"/>
    <cellStyle name="Comma [0] TBD 3 141" xfId="18780"/>
    <cellStyle name="Comma [0] TBD- 3 141" xfId="18781"/>
    <cellStyle name="Comma [0] TBD 3 142" xfId="18782"/>
    <cellStyle name="Comma [0] TBD- 3 142" xfId="18783"/>
    <cellStyle name="Comma [0] TBD 3 143" xfId="18784"/>
    <cellStyle name="Comma [0] TBD- 3 143" xfId="18785"/>
    <cellStyle name="Comma [0] TBD 3 144" xfId="18786"/>
    <cellStyle name="Comma [0] TBD- 3 144" xfId="18787"/>
    <cellStyle name="Comma [0] TBD 3 145" xfId="18788"/>
    <cellStyle name="Comma [0] TBD- 3 145" xfId="18789"/>
    <cellStyle name="Comma [0] TBD 3 146" xfId="18790"/>
    <cellStyle name="Comma [0] TBD- 3 146" xfId="18791"/>
    <cellStyle name="Comma [0] TBD 3 147" xfId="18792"/>
    <cellStyle name="Comma [0] TBD- 3 147" xfId="18793"/>
    <cellStyle name="Comma [0] TBD 3 148" xfId="18794"/>
    <cellStyle name="Comma [0] TBD- 3 148" xfId="18795"/>
    <cellStyle name="Comma [0] TBD 3 149" xfId="18796"/>
    <cellStyle name="Comma [0] TBD- 3 149" xfId="18797"/>
    <cellStyle name="Comma [0] TBD 3 15" xfId="18798"/>
    <cellStyle name="Comma [0] TBD- 3 15" xfId="18799"/>
    <cellStyle name="Comma [0] TBD 3 150" xfId="18800"/>
    <cellStyle name="Comma [0] TBD- 3 150" xfId="18801"/>
    <cellStyle name="Comma [0] TBD 3 151" xfId="18802"/>
    <cellStyle name="Comma [0] TBD- 3 151" xfId="18803"/>
    <cellStyle name="Comma [0] TBD 3 152" xfId="18804"/>
    <cellStyle name="Comma [0] TBD- 3 152" xfId="18805"/>
    <cellStyle name="Comma [0] TBD 3 153" xfId="18806"/>
    <cellStyle name="Comma [0] TBD- 3 153" xfId="18807"/>
    <cellStyle name="Comma [0] TBD 3 16" xfId="18808"/>
    <cellStyle name="Comma [0] TBD- 3 16" xfId="18809"/>
    <cellStyle name="Comma [0] TBD 3 17" xfId="18810"/>
    <cellStyle name="Comma [0] TBD- 3 17" xfId="18811"/>
    <cellStyle name="Comma [0] TBD 3 18" xfId="18812"/>
    <cellStyle name="Comma [0] TBD- 3 18" xfId="18813"/>
    <cellStyle name="Comma [0] TBD 3 19" xfId="18814"/>
    <cellStyle name="Comma [0] TBD- 3 19" xfId="18815"/>
    <cellStyle name="Comma [0] TBD 3 2" xfId="18816"/>
    <cellStyle name="Comma [0] TBD- 3 2" xfId="18817"/>
    <cellStyle name="Comma [0] TBD 3 20" xfId="18818"/>
    <cellStyle name="Comma [0] TBD- 3 20" xfId="18819"/>
    <cellStyle name="Comma [0] TBD 3 21" xfId="18820"/>
    <cellStyle name="Comma [0] TBD- 3 21" xfId="18821"/>
    <cellStyle name="Comma [0] TBD 3 22" xfId="18822"/>
    <cellStyle name="Comma [0] TBD- 3 22" xfId="18823"/>
    <cellStyle name="Comma [0] TBD 3 23" xfId="18824"/>
    <cellStyle name="Comma [0] TBD- 3 23" xfId="18825"/>
    <cellStyle name="Comma [0] TBD 3 24" xfId="18826"/>
    <cellStyle name="Comma [0] TBD- 3 24" xfId="18827"/>
    <cellStyle name="Comma [0] TBD 3 25" xfId="18828"/>
    <cellStyle name="Comma [0] TBD- 3 25" xfId="18829"/>
    <cellStyle name="Comma [0] TBD 3 26" xfId="18830"/>
    <cellStyle name="Comma [0] TBD- 3 26" xfId="18831"/>
    <cellStyle name="Comma [0] TBD 3 27" xfId="18832"/>
    <cellStyle name="Comma [0] TBD- 3 27" xfId="18833"/>
    <cellStyle name="Comma [0] TBD 3 28" xfId="18834"/>
    <cellStyle name="Comma [0] TBD- 3 28" xfId="18835"/>
    <cellStyle name="Comma [0] TBD 3 29" xfId="18836"/>
    <cellStyle name="Comma [0] TBD- 3 29" xfId="18837"/>
    <cellStyle name="Comma [0] TBD 3 3" xfId="18838"/>
    <cellStyle name="Comma [0] TBD- 3 3" xfId="18839"/>
    <cellStyle name="Comma [0] TBD 3 30" xfId="18840"/>
    <cellStyle name="Comma [0] TBD- 3 30" xfId="18841"/>
    <cellStyle name="Comma [0] TBD 3 31" xfId="18842"/>
    <cellStyle name="Comma [0] TBD- 3 31" xfId="18843"/>
    <cellStyle name="Comma [0] TBD 3 32" xfId="18844"/>
    <cellStyle name="Comma [0] TBD- 3 32" xfId="18845"/>
    <cellStyle name="Comma [0] TBD 3 33" xfId="18846"/>
    <cellStyle name="Comma [0] TBD- 3 33" xfId="18847"/>
    <cellStyle name="Comma [0] TBD 3 34" xfId="18848"/>
    <cellStyle name="Comma [0] TBD- 3 34" xfId="18849"/>
    <cellStyle name="Comma [0] TBD 3 35" xfId="18850"/>
    <cellStyle name="Comma [0] TBD- 3 35" xfId="18851"/>
    <cellStyle name="Comma [0] TBD 3 36" xfId="18852"/>
    <cellStyle name="Comma [0] TBD- 3 36" xfId="18853"/>
    <cellStyle name="Comma [0] TBD 3 37" xfId="18854"/>
    <cellStyle name="Comma [0] TBD- 3 37" xfId="18855"/>
    <cellStyle name="Comma [0] TBD 3 38" xfId="18856"/>
    <cellStyle name="Comma [0] TBD- 3 38" xfId="18857"/>
    <cellStyle name="Comma [0] TBD 3 39" xfId="18858"/>
    <cellStyle name="Comma [0] TBD- 3 39" xfId="18859"/>
    <cellStyle name="Comma [0] TBD 3 4" xfId="18860"/>
    <cellStyle name="Comma [0] TBD- 3 4" xfId="18861"/>
    <cellStyle name="Comma [0] TBD 3 40" xfId="18862"/>
    <cellStyle name="Comma [0] TBD- 3 40" xfId="18863"/>
    <cellStyle name="Comma [0] TBD 3 41" xfId="18864"/>
    <cellStyle name="Comma [0] TBD- 3 41" xfId="18865"/>
    <cellStyle name="Comma [0] TBD 3 42" xfId="18866"/>
    <cellStyle name="Comma [0] TBD- 3 42" xfId="18867"/>
    <cellStyle name="Comma [0] TBD 3 43" xfId="18868"/>
    <cellStyle name="Comma [0] TBD- 3 43" xfId="18869"/>
    <cellStyle name="Comma [0] TBD 3 44" xfId="18870"/>
    <cellStyle name="Comma [0] TBD- 3 44" xfId="18871"/>
    <cellStyle name="Comma [0] TBD 3 45" xfId="18872"/>
    <cellStyle name="Comma [0] TBD- 3 45" xfId="18873"/>
    <cellStyle name="Comma [0] TBD 3 46" xfId="18874"/>
    <cellStyle name="Comma [0] TBD- 3 46" xfId="18875"/>
    <cellStyle name="Comma [0] TBD 3 47" xfId="18876"/>
    <cellStyle name="Comma [0] TBD- 3 47" xfId="18877"/>
    <cellStyle name="Comma [0] TBD 3 48" xfId="18878"/>
    <cellStyle name="Comma [0] TBD- 3 48" xfId="18879"/>
    <cellStyle name="Comma [0] TBD 3 49" xfId="18880"/>
    <cellStyle name="Comma [0] TBD- 3 49" xfId="18881"/>
    <cellStyle name="Comma [0] TBD 3 5" xfId="18882"/>
    <cellStyle name="Comma [0] TBD- 3 5" xfId="18883"/>
    <cellStyle name="Comma [0] TBD 3 50" xfId="18884"/>
    <cellStyle name="Comma [0] TBD- 3 50" xfId="18885"/>
    <cellStyle name="Comma [0] TBD 3 51" xfId="18886"/>
    <cellStyle name="Comma [0] TBD- 3 51" xfId="18887"/>
    <cellStyle name="Comma [0] TBD 3 52" xfId="18888"/>
    <cellStyle name="Comma [0] TBD- 3 52" xfId="18889"/>
    <cellStyle name="Comma [0] TBD 3 53" xfId="18890"/>
    <cellStyle name="Comma [0] TBD- 3 53" xfId="18891"/>
    <cellStyle name="Comma [0] TBD 3 54" xfId="18892"/>
    <cellStyle name="Comma [0] TBD- 3 54" xfId="18893"/>
    <cellStyle name="Comma [0] TBD 3 55" xfId="18894"/>
    <cellStyle name="Comma [0] TBD- 3 55" xfId="18895"/>
    <cellStyle name="Comma [0] TBD 3 56" xfId="18896"/>
    <cellStyle name="Comma [0] TBD- 3 56" xfId="18897"/>
    <cellStyle name="Comma [0] TBD 3 57" xfId="18898"/>
    <cellStyle name="Comma [0] TBD- 3 57" xfId="18899"/>
    <cellStyle name="Comma [0] TBD 3 58" xfId="18900"/>
    <cellStyle name="Comma [0] TBD- 3 58" xfId="18901"/>
    <cellStyle name="Comma [0] TBD 3 59" xfId="18902"/>
    <cellStyle name="Comma [0] TBD- 3 59" xfId="18903"/>
    <cellStyle name="Comma [0] TBD 3 6" xfId="18904"/>
    <cellStyle name="Comma [0] TBD- 3 6" xfId="18905"/>
    <cellStyle name="Comma [0] TBD 3 60" xfId="18906"/>
    <cellStyle name="Comma [0] TBD- 3 60" xfId="18907"/>
    <cellStyle name="Comma [0] TBD 3 61" xfId="18908"/>
    <cellStyle name="Comma [0] TBD- 3 61" xfId="18909"/>
    <cellStyle name="Comma [0] TBD 3 62" xfId="18910"/>
    <cellStyle name="Comma [0] TBD- 3 62" xfId="18911"/>
    <cellStyle name="Comma [0] TBD 3 63" xfId="18912"/>
    <cellStyle name="Comma [0] TBD- 3 63" xfId="18913"/>
    <cellStyle name="Comma [0] TBD 3 64" xfId="18914"/>
    <cellStyle name="Comma [0] TBD- 3 64" xfId="18915"/>
    <cellStyle name="Comma [0] TBD 3 65" xfId="18916"/>
    <cellStyle name="Comma [0] TBD- 3 65" xfId="18917"/>
    <cellStyle name="Comma [0] TBD 3 66" xfId="18918"/>
    <cellStyle name="Comma [0] TBD- 3 66" xfId="18919"/>
    <cellStyle name="Comma [0] TBD 3 67" xfId="18920"/>
    <cellStyle name="Comma [0] TBD- 3 67" xfId="18921"/>
    <cellStyle name="Comma [0] TBD 3 68" xfId="18922"/>
    <cellStyle name="Comma [0] TBD- 3 68" xfId="18923"/>
    <cellStyle name="Comma [0] TBD 3 69" xfId="18924"/>
    <cellStyle name="Comma [0] TBD- 3 69" xfId="18925"/>
    <cellStyle name="Comma [0] TBD 3 7" xfId="18926"/>
    <cellStyle name="Comma [0] TBD- 3 7" xfId="18927"/>
    <cellStyle name="Comma [0] TBD 3 70" xfId="18928"/>
    <cellStyle name="Comma [0] TBD- 3 70" xfId="18929"/>
    <cellStyle name="Comma [0] TBD 3 71" xfId="18930"/>
    <cellStyle name="Comma [0] TBD- 3 71" xfId="18931"/>
    <cellStyle name="Comma [0] TBD 3 72" xfId="18932"/>
    <cellStyle name="Comma [0] TBD- 3 72" xfId="18933"/>
    <cellStyle name="Comma [0] TBD 3 73" xfId="18934"/>
    <cellStyle name="Comma [0] TBD- 3 73" xfId="18935"/>
    <cellStyle name="Comma [0] TBD 3 74" xfId="18936"/>
    <cellStyle name="Comma [0] TBD- 3 74" xfId="18937"/>
    <cellStyle name="Comma [0] TBD 3 75" xfId="18938"/>
    <cellStyle name="Comma [0] TBD- 3 75" xfId="18939"/>
    <cellStyle name="Comma [0] TBD 3 76" xfId="18940"/>
    <cellStyle name="Comma [0] TBD- 3 76" xfId="18941"/>
    <cellStyle name="Comma [0] TBD 3 77" xfId="18942"/>
    <cellStyle name="Comma [0] TBD- 3 77" xfId="18943"/>
    <cellStyle name="Comma [0] TBD 3 78" xfId="18944"/>
    <cellStyle name="Comma [0] TBD- 3 78" xfId="18945"/>
    <cellStyle name="Comma [0] TBD 3 79" xfId="18946"/>
    <cellStyle name="Comma [0] TBD- 3 79" xfId="18947"/>
    <cellStyle name="Comma [0] TBD 3 8" xfId="18948"/>
    <cellStyle name="Comma [0] TBD- 3 8" xfId="18949"/>
    <cellStyle name="Comma [0] TBD 3 80" xfId="18950"/>
    <cellStyle name="Comma [0] TBD- 3 80" xfId="18951"/>
    <cellStyle name="Comma [0] TBD 3 81" xfId="18952"/>
    <cellStyle name="Comma [0] TBD- 3 81" xfId="18953"/>
    <cellStyle name="Comma [0] TBD 3 82" xfId="18954"/>
    <cellStyle name="Comma [0] TBD- 3 82" xfId="18955"/>
    <cellStyle name="Comma [0] TBD 3 83" xfId="18956"/>
    <cellStyle name="Comma [0] TBD- 3 83" xfId="18957"/>
    <cellStyle name="Comma [0] TBD 3 84" xfId="18958"/>
    <cellStyle name="Comma [0] TBD- 3 84" xfId="18959"/>
    <cellStyle name="Comma [0] TBD 3 85" xfId="18960"/>
    <cellStyle name="Comma [0] TBD- 3 85" xfId="18961"/>
    <cellStyle name="Comma [0] TBD 3 86" xfId="18962"/>
    <cellStyle name="Comma [0] TBD- 3 86" xfId="18963"/>
    <cellStyle name="Comma [0] TBD 3 87" xfId="18964"/>
    <cellStyle name="Comma [0] TBD- 3 87" xfId="18965"/>
    <cellStyle name="Comma [0] TBD 3 88" xfId="18966"/>
    <cellStyle name="Comma [0] TBD- 3 88" xfId="18967"/>
    <cellStyle name="Comma [0] TBD 3 89" xfId="18968"/>
    <cellStyle name="Comma [0] TBD- 3 89" xfId="18969"/>
    <cellStyle name="Comma [0] TBD 3 9" xfId="18970"/>
    <cellStyle name="Comma [0] TBD- 3 9" xfId="18971"/>
    <cellStyle name="Comma [0] TBD 3 90" xfId="18972"/>
    <cellStyle name="Comma [0] TBD- 3 90" xfId="18973"/>
    <cellStyle name="Comma [0] TBD 3 91" xfId="18974"/>
    <cellStyle name="Comma [0] TBD- 3 91" xfId="18975"/>
    <cellStyle name="Comma [0] TBD 3 92" xfId="18976"/>
    <cellStyle name="Comma [0] TBD- 3 92" xfId="18977"/>
    <cellStyle name="Comma [0] TBD 3 93" xfId="18978"/>
    <cellStyle name="Comma [0] TBD- 3 93" xfId="18979"/>
    <cellStyle name="Comma [0] TBD 3 94" xfId="18980"/>
    <cellStyle name="Comma [0] TBD- 3 94" xfId="18981"/>
    <cellStyle name="Comma [0] TBD 3 95" xfId="18982"/>
    <cellStyle name="Comma [0] TBD- 3 95" xfId="18983"/>
    <cellStyle name="Comma [0] TBD 3 96" xfId="18984"/>
    <cellStyle name="Comma [0] TBD- 3 96" xfId="18985"/>
    <cellStyle name="Comma [0] TBD 3 97" xfId="18986"/>
    <cellStyle name="Comma [0] TBD- 3 97" xfId="18987"/>
    <cellStyle name="Comma [0] TBD 3 98" xfId="18988"/>
    <cellStyle name="Comma [0] TBD- 3 98" xfId="18989"/>
    <cellStyle name="Comma [0] TBD 3 99" xfId="18990"/>
    <cellStyle name="Comma [0] TBD- 3 99" xfId="18991"/>
    <cellStyle name="Comma [0] TBD 4" xfId="18992"/>
    <cellStyle name="Comma [0] TBD- 4" xfId="18993"/>
    <cellStyle name="Comma [0] TBD 4 10" xfId="18994"/>
    <cellStyle name="Comma [0] TBD- 4 10" xfId="18995"/>
    <cellStyle name="Comma [0] TBD 4 100" xfId="18996"/>
    <cellStyle name="Comma [0] TBD- 4 100" xfId="18997"/>
    <cellStyle name="Comma [0] TBD 4 101" xfId="18998"/>
    <cellStyle name="Comma [0] TBD- 4 101" xfId="18999"/>
    <cellStyle name="Comma [0] TBD 4 102" xfId="19000"/>
    <cellStyle name="Comma [0] TBD- 4 102" xfId="19001"/>
    <cellStyle name="Comma [0] TBD 4 103" xfId="19002"/>
    <cellStyle name="Comma [0] TBD- 4 103" xfId="19003"/>
    <cellStyle name="Comma [0] TBD 4 104" xfId="19004"/>
    <cellStyle name="Comma [0] TBD- 4 104" xfId="19005"/>
    <cellStyle name="Comma [0] TBD 4 105" xfId="19006"/>
    <cellStyle name="Comma [0] TBD- 4 105" xfId="19007"/>
    <cellStyle name="Comma [0] TBD 4 106" xfId="19008"/>
    <cellStyle name="Comma [0] TBD- 4 106" xfId="19009"/>
    <cellStyle name="Comma [0] TBD 4 107" xfId="19010"/>
    <cellStyle name="Comma [0] TBD- 4 107" xfId="19011"/>
    <cellStyle name="Comma [0] TBD 4 108" xfId="19012"/>
    <cellStyle name="Comma [0] TBD- 4 108" xfId="19013"/>
    <cellStyle name="Comma [0] TBD 4 109" xfId="19014"/>
    <cellStyle name="Comma [0] TBD- 4 109" xfId="19015"/>
    <cellStyle name="Comma [0] TBD 4 11" xfId="19016"/>
    <cellStyle name="Comma [0] TBD- 4 11" xfId="19017"/>
    <cellStyle name="Comma [0] TBD 4 110" xfId="19018"/>
    <cellStyle name="Comma [0] TBD- 4 110" xfId="19019"/>
    <cellStyle name="Comma [0] TBD 4 111" xfId="19020"/>
    <cellStyle name="Comma [0] TBD- 4 111" xfId="19021"/>
    <cellStyle name="Comma [0] TBD 4 112" xfId="19022"/>
    <cellStyle name="Comma [0] TBD- 4 112" xfId="19023"/>
    <cellStyle name="Comma [0] TBD 4 113" xfId="19024"/>
    <cellStyle name="Comma [0] TBD- 4 113" xfId="19025"/>
    <cellStyle name="Comma [0] TBD 4 114" xfId="19026"/>
    <cellStyle name="Comma [0] TBD- 4 114" xfId="19027"/>
    <cellStyle name="Comma [0] TBD 4 115" xfId="19028"/>
    <cellStyle name="Comma [0] TBD- 4 115" xfId="19029"/>
    <cellStyle name="Comma [0] TBD 4 116" xfId="19030"/>
    <cellStyle name="Comma [0] TBD- 4 116" xfId="19031"/>
    <cellStyle name="Comma [0] TBD 4 117" xfId="19032"/>
    <cellStyle name="Comma [0] TBD- 4 117" xfId="19033"/>
    <cellStyle name="Comma [0] TBD 4 118" xfId="19034"/>
    <cellStyle name="Comma [0] TBD- 4 118" xfId="19035"/>
    <cellStyle name="Comma [0] TBD 4 119" xfId="19036"/>
    <cellStyle name="Comma [0] TBD- 4 119" xfId="19037"/>
    <cellStyle name="Comma [0] TBD 4 12" xfId="19038"/>
    <cellStyle name="Comma [0] TBD- 4 12" xfId="19039"/>
    <cellStyle name="Comma [0] TBD 4 120" xfId="19040"/>
    <cellStyle name="Comma [0] TBD- 4 120" xfId="19041"/>
    <cellStyle name="Comma [0] TBD 4 121" xfId="19042"/>
    <cellStyle name="Comma [0] TBD- 4 121" xfId="19043"/>
    <cellStyle name="Comma [0] TBD 4 122" xfId="19044"/>
    <cellStyle name="Comma [0] TBD- 4 122" xfId="19045"/>
    <cellStyle name="Comma [0] TBD 4 123" xfId="19046"/>
    <cellStyle name="Comma [0] TBD- 4 123" xfId="19047"/>
    <cellStyle name="Comma [0] TBD 4 124" xfId="19048"/>
    <cellStyle name="Comma [0] TBD- 4 124" xfId="19049"/>
    <cellStyle name="Comma [0] TBD 4 125" xfId="19050"/>
    <cellStyle name="Comma [0] TBD- 4 125" xfId="19051"/>
    <cellStyle name="Comma [0] TBD 4 126" xfId="19052"/>
    <cellStyle name="Comma [0] TBD- 4 126" xfId="19053"/>
    <cellStyle name="Comma [0] TBD 4 127" xfId="19054"/>
    <cellStyle name="Comma [0] TBD- 4 127" xfId="19055"/>
    <cellStyle name="Comma [0] TBD 4 128" xfId="19056"/>
    <cellStyle name="Comma [0] TBD- 4 128" xfId="19057"/>
    <cellStyle name="Comma [0] TBD 4 129" xfId="19058"/>
    <cellStyle name="Comma [0] TBD- 4 129" xfId="19059"/>
    <cellStyle name="Comma [0] TBD 4 13" xfId="19060"/>
    <cellStyle name="Comma [0] TBD- 4 13" xfId="19061"/>
    <cellStyle name="Comma [0] TBD 4 130" xfId="19062"/>
    <cellStyle name="Comma [0] TBD- 4 130" xfId="19063"/>
    <cellStyle name="Comma [0] TBD 4 131" xfId="19064"/>
    <cellStyle name="Comma [0] TBD- 4 131" xfId="19065"/>
    <cellStyle name="Comma [0] TBD 4 132" xfId="19066"/>
    <cellStyle name="Comma [0] TBD- 4 132" xfId="19067"/>
    <cellStyle name="Comma [0] TBD 4 133" xfId="19068"/>
    <cellStyle name="Comma [0] TBD- 4 133" xfId="19069"/>
    <cellStyle name="Comma [0] TBD 4 134" xfId="19070"/>
    <cellStyle name="Comma [0] TBD- 4 134" xfId="19071"/>
    <cellStyle name="Comma [0] TBD 4 135" xfId="19072"/>
    <cellStyle name="Comma [0] TBD- 4 135" xfId="19073"/>
    <cellStyle name="Comma [0] TBD 4 136" xfId="19074"/>
    <cellStyle name="Comma [0] TBD- 4 136" xfId="19075"/>
    <cellStyle name="Comma [0] TBD 4 137" xfId="19076"/>
    <cellStyle name="Comma [0] TBD- 4 137" xfId="19077"/>
    <cellStyle name="Comma [0] TBD 4 138" xfId="19078"/>
    <cellStyle name="Comma [0] TBD- 4 138" xfId="19079"/>
    <cellStyle name="Comma [0] TBD 4 139" xfId="19080"/>
    <cellStyle name="Comma [0] TBD- 4 139" xfId="19081"/>
    <cellStyle name="Comma [0] TBD 4 14" xfId="19082"/>
    <cellStyle name="Comma [0] TBD- 4 14" xfId="19083"/>
    <cellStyle name="Comma [0] TBD 4 140" xfId="19084"/>
    <cellStyle name="Comma [0] TBD- 4 140" xfId="19085"/>
    <cellStyle name="Comma [0] TBD 4 141" xfId="19086"/>
    <cellStyle name="Comma [0] TBD- 4 141" xfId="19087"/>
    <cellStyle name="Comma [0] TBD 4 142" xfId="19088"/>
    <cellStyle name="Comma [0] TBD- 4 142" xfId="19089"/>
    <cellStyle name="Comma [0] TBD 4 143" xfId="19090"/>
    <cellStyle name="Comma [0] TBD- 4 143" xfId="19091"/>
    <cellStyle name="Comma [0] TBD 4 144" xfId="19092"/>
    <cellStyle name="Comma [0] TBD- 4 144" xfId="19093"/>
    <cellStyle name="Comma [0] TBD 4 145" xfId="19094"/>
    <cellStyle name="Comma [0] TBD- 4 145" xfId="19095"/>
    <cellStyle name="Comma [0] TBD 4 146" xfId="19096"/>
    <cellStyle name="Comma [0] TBD- 4 146" xfId="19097"/>
    <cellStyle name="Comma [0] TBD 4 147" xfId="19098"/>
    <cellStyle name="Comma [0] TBD- 4 147" xfId="19099"/>
    <cellStyle name="Comma [0] TBD 4 148" xfId="19100"/>
    <cellStyle name="Comma [0] TBD- 4 148" xfId="19101"/>
    <cellStyle name="Comma [0] TBD 4 149" xfId="19102"/>
    <cellStyle name="Comma [0] TBD- 4 149" xfId="19103"/>
    <cellStyle name="Comma [0] TBD 4 15" xfId="19104"/>
    <cellStyle name="Comma [0] TBD- 4 15" xfId="19105"/>
    <cellStyle name="Comma [0] TBD 4 150" xfId="19106"/>
    <cellStyle name="Comma [0] TBD- 4 150" xfId="19107"/>
    <cellStyle name="Comma [0] TBD 4 151" xfId="19108"/>
    <cellStyle name="Comma [0] TBD- 4 151" xfId="19109"/>
    <cellStyle name="Comma [0] TBD 4 152" xfId="19110"/>
    <cellStyle name="Comma [0] TBD- 4 152" xfId="19111"/>
    <cellStyle name="Comma [0] TBD 4 153" xfId="19112"/>
    <cellStyle name="Comma [0] TBD- 4 153" xfId="19113"/>
    <cellStyle name="Comma [0] TBD 4 154" xfId="19114"/>
    <cellStyle name="Comma [0] TBD- 4 154" xfId="19115"/>
    <cellStyle name="Comma [0] TBD 4 16" xfId="19116"/>
    <cellStyle name="Comma [0] TBD- 4 16" xfId="19117"/>
    <cellStyle name="Comma [0] TBD 4 17" xfId="19118"/>
    <cellStyle name="Comma [0] TBD- 4 17" xfId="19119"/>
    <cellStyle name="Comma [0] TBD 4 18" xfId="19120"/>
    <cellStyle name="Comma [0] TBD- 4 18" xfId="19121"/>
    <cellStyle name="Comma [0] TBD 4 19" xfId="19122"/>
    <cellStyle name="Comma [0] TBD- 4 19" xfId="19123"/>
    <cellStyle name="Comma [0] TBD 4 2" xfId="19124"/>
    <cellStyle name="Comma [0] TBD- 4 2" xfId="19125"/>
    <cellStyle name="Comma [0] TBD 4 20" xfId="19126"/>
    <cellStyle name="Comma [0] TBD- 4 20" xfId="19127"/>
    <cellStyle name="Comma [0] TBD 4 21" xfId="19128"/>
    <cellStyle name="Comma [0] TBD- 4 21" xfId="19129"/>
    <cellStyle name="Comma [0] TBD 4 22" xfId="19130"/>
    <cellStyle name="Comma [0] TBD- 4 22" xfId="19131"/>
    <cellStyle name="Comma [0] TBD 4 23" xfId="19132"/>
    <cellStyle name="Comma [0] TBD- 4 23" xfId="19133"/>
    <cellStyle name="Comma [0] TBD 4 24" xfId="19134"/>
    <cellStyle name="Comma [0] TBD- 4 24" xfId="19135"/>
    <cellStyle name="Comma [0] TBD 4 25" xfId="19136"/>
    <cellStyle name="Comma [0] TBD- 4 25" xfId="19137"/>
    <cellStyle name="Comma [0] TBD 4 26" xfId="19138"/>
    <cellStyle name="Comma [0] TBD- 4 26" xfId="19139"/>
    <cellStyle name="Comma [0] TBD 4 27" xfId="19140"/>
    <cellStyle name="Comma [0] TBD- 4 27" xfId="19141"/>
    <cellStyle name="Comma [0] TBD 4 28" xfId="19142"/>
    <cellStyle name="Comma [0] TBD- 4 28" xfId="19143"/>
    <cellStyle name="Comma [0] TBD 4 29" xfId="19144"/>
    <cellStyle name="Comma [0] TBD- 4 29" xfId="19145"/>
    <cellStyle name="Comma [0] TBD 4 3" xfId="19146"/>
    <cellStyle name="Comma [0] TBD- 4 3" xfId="19147"/>
    <cellStyle name="Comma [0] TBD 4 30" xfId="19148"/>
    <cellStyle name="Comma [0] TBD- 4 30" xfId="19149"/>
    <cellStyle name="Comma [0] TBD 4 31" xfId="19150"/>
    <cellStyle name="Comma [0] TBD- 4 31" xfId="19151"/>
    <cellStyle name="Comma [0] TBD 4 32" xfId="19152"/>
    <cellStyle name="Comma [0] TBD- 4 32" xfId="19153"/>
    <cellStyle name="Comma [0] TBD 4 33" xfId="19154"/>
    <cellStyle name="Comma [0] TBD- 4 33" xfId="19155"/>
    <cellStyle name="Comma [0] TBD 4 34" xfId="19156"/>
    <cellStyle name="Comma [0] TBD- 4 34" xfId="19157"/>
    <cellStyle name="Comma [0] TBD 4 35" xfId="19158"/>
    <cellStyle name="Comma [0] TBD- 4 35" xfId="19159"/>
    <cellStyle name="Comma [0] TBD 4 36" xfId="19160"/>
    <cellStyle name="Comma [0] TBD- 4 36" xfId="19161"/>
    <cellStyle name="Comma [0] TBD 4 37" xfId="19162"/>
    <cellStyle name="Comma [0] TBD- 4 37" xfId="19163"/>
    <cellStyle name="Comma [0] TBD 4 38" xfId="19164"/>
    <cellStyle name="Comma [0] TBD- 4 38" xfId="19165"/>
    <cellStyle name="Comma [0] TBD 4 39" xfId="19166"/>
    <cellStyle name="Comma [0] TBD- 4 39" xfId="19167"/>
    <cellStyle name="Comma [0] TBD 4 4" xfId="19168"/>
    <cellStyle name="Comma [0] TBD- 4 4" xfId="19169"/>
    <cellStyle name="Comma [0] TBD 4 40" xfId="19170"/>
    <cellStyle name="Comma [0] TBD- 4 40" xfId="19171"/>
    <cellStyle name="Comma [0] TBD 4 41" xfId="19172"/>
    <cellStyle name="Comma [0] TBD- 4 41" xfId="19173"/>
    <cellStyle name="Comma [0] TBD 4 42" xfId="19174"/>
    <cellStyle name="Comma [0] TBD- 4 42" xfId="19175"/>
    <cellStyle name="Comma [0] TBD 4 43" xfId="19176"/>
    <cellStyle name="Comma [0] TBD- 4 43" xfId="19177"/>
    <cellStyle name="Comma [0] TBD 4 44" xfId="19178"/>
    <cellStyle name="Comma [0] TBD- 4 44" xfId="19179"/>
    <cellStyle name="Comma [0] TBD 4 45" xfId="19180"/>
    <cellStyle name="Comma [0] TBD- 4 45" xfId="19181"/>
    <cellStyle name="Comma [0] TBD 4 46" xfId="19182"/>
    <cellStyle name="Comma [0] TBD- 4 46" xfId="19183"/>
    <cellStyle name="Comma [0] TBD 4 47" xfId="19184"/>
    <cellStyle name="Comma [0] TBD- 4 47" xfId="19185"/>
    <cellStyle name="Comma [0] TBD 4 48" xfId="19186"/>
    <cellStyle name="Comma [0] TBD- 4 48" xfId="19187"/>
    <cellStyle name="Comma [0] TBD 4 49" xfId="19188"/>
    <cellStyle name="Comma [0] TBD- 4 49" xfId="19189"/>
    <cellStyle name="Comma [0] TBD 4 5" xfId="19190"/>
    <cellStyle name="Comma [0] TBD- 4 5" xfId="19191"/>
    <cellStyle name="Comma [0] TBD 4 50" xfId="19192"/>
    <cellStyle name="Comma [0] TBD- 4 50" xfId="19193"/>
    <cellStyle name="Comma [0] TBD 4 51" xfId="19194"/>
    <cellStyle name="Comma [0] TBD- 4 51" xfId="19195"/>
    <cellStyle name="Comma [0] TBD 4 52" xfId="19196"/>
    <cellStyle name="Comma [0] TBD- 4 52" xfId="19197"/>
    <cellStyle name="Comma [0] TBD 4 53" xfId="19198"/>
    <cellStyle name="Comma [0] TBD- 4 53" xfId="19199"/>
    <cellStyle name="Comma [0] TBD 4 54" xfId="19200"/>
    <cellStyle name="Comma [0] TBD- 4 54" xfId="19201"/>
    <cellStyle name="Comma [0] TBD 4 55" xfId="19202"/>
    <cellStyle name="Comma [0] TBD- 4 55" xfId="19203"/>
    <cellStyle name="Comma [0] TBD 4 56" xfId="19204"/>
    <cellStyle name="Comma [0] TBD- 4 56" xfId="19205"/>
    <cellStyle name="Comma [0] TBD 4 57" xfId="19206"/>
    <cellStyle name="Comma [0] TBD- 4 57" xfId="19207"/>
    <cellStyle name="Comma [0] TBD 4 58" xfId="19208"/>
    <cellStyle name="Comma [0] TBD- 4 58" xfId="19209"/>
    <cellStyle name="Comma [0] TBD 4 59" xfId="19210"/>
    <cellStyle name="Comma [0] TBD- 4 59" xfId="19211"/>
    <cellStyle name="Comma [0] TBD 4 6" xfId="19212"/>
    <cellStyle name="Comma [0] TBD- 4 6" xfId="19213"/>
    <cellStyle name="Comma [0] TBD 4 60" xfId="19214"/>
    <cellStyle name="Comma [0] TBD- 4 60" xfId="19215"/>
    <cellStyle name="Comma [0] TBD 4 61" xfId="19216"/>
    <cellStyle name="Comma [0] TBD- 4 61" xfId="19217"/>
    <cellStyle name="Comma [0] TBD 4 62" xfId="19218"/>
    <cellStyle name="Comma [0] TBD- 4 62" xfId="19219"/>
    <cellStyle name="Comma [0] TBD 4 63" xfId="19220"/>
    <cellStyle name="Comma [0] TBD- 4 63" xfId="19221"/>
    <cellStyle name="Comma [0] TBD 4 64" xfId="19222"/>
    <cellStyle name="Comma [0] TBD- 4 64" xfId="19223"/>
    <cellStyle name="Comma [0] TBD 4 65" xfId="19224"/>
    <cellStyle name="Comma [0] TBD- 4 65" xfId="19225"/>
    <cellStyle name="Comma [0] TBD 4 66" xfId="19226"/>
    <cellStyle name="Comma [0] TBD- 4 66" xfId="19227"/>
    <cellStyle name="Comma [0] TBD 4 67" xfId="19228"/>
    <cellStyle name="Comma [0] TBD- 4 67" xfId="19229"/>
    <cellStyle name="Comma [0] TBD 4 68" xfId="19230"/>
    <cellStyle name="Comma [0] TBD- 4 68" xfId="19231"/>
    <cellStyle name="Comma [0] TBD 4 69" xfId="19232"/>
    <cellStyle name="Comma [0] TBD- 4 69" xfId="19233"/>
    <cellStyle name="Comma [0] TBD 4 7" xfId="19234"/>
    <cellStyle name="Comma [0] TBD- 4 7" xfId="19235"/>
    <cellStyle name="Comma [0] TBD 4 70" xfId="19236"/>
    <cellStyle name="Comma [0] TBD- 4 70" xfId="19237"/>
    <cellStyle name="Comma [0] TBD 4 71" xfId="19238"/>
    <cellStyle name="Comma [0] TBD- 4 71" xfId="19239"/>
    <cellStyle name="Comma [0] TBD 4 72" xfId="19240"/>
    <cellStyle name="Comma [0] TBD- 4 72" xfId="19241"/>
    <cellStyle name="Comma [0] TBD 4 73" xfId="19242"/>
    <cellStyle name="Comma [0] TBD- 4 73" xfId="19243"/>
    <cellStyle name="Comma [0] TBD 4 74" xfId="19244"/>
    <cellStyle name="Comma [0] TBD- 4 74" xfId="19245"/>
    <cellStyle name="Comma [0] TBD 4 75" xfId="19246"/>
    <cellStyle name="Comma [0] TBD- 4 75" xfId="19247"/>
    <cellStyle name="Comma [0] TBD 4 76" xfId="19248"/>
    <cellStyle name="Comma [0] TBD- 4 76" xfId="19249"/>
    <cellStyle name="Comma [0] TBD 4 77" xfId="19250"/>
    <cellStyle name="Comma [0] TBD- 4 77" xfId="19251"/>
    <cellStyle name="Comma [0] TBD 4 78" xfId="19252"/>
    <cellStyle name="Comma [0] TBD- 4 78" xfId="19253"/>
    <cellStyle name="Comma [0] TBD 4 79" xfId="19254"/>
    <cellStyle name="Comma [0] TBD- 4 79" xfId="19255"/>
    <cellStyle name="Comma [0] TBD 4 8" xfId="19256"/>
    <cellStyle name="Comma [0] TBD- 4 8" xfId="19257"/>
    <cellStyle name="Comma [0] TBD 4 80" xfId="19258"/>
    <cellStyle name="Comma [0] TBD- 4 80" xfId="19259"/>
    <cellStyle name="Comma [0] TBD 4 81" xfId="19260"/>
    <cellStyle name="Comma [0] TBD- 4 81" xfId="19261"/>
    <cellStyle name="Comma [0] TBD 4 82" xfId="19262"/>
    <cellStyle name="Comma [0] TBD- 4 82" xfId="19263"/>
    <cellStyle name="Comma [0] TBD 4 83" xfId="19264"/>
    <cellStyle name="Comma [0] TBD- 4 83" xfId="19265"/>
    <cellStyle name="Comma [0] TBD 4 84" xfId="19266"/>
    <cellStyle name="Comma [0] TBD- 4 84" xfId="19267"/>
    <cellStyle name="Comma [0] TBD 4 85" xfId="19268"/>
    <cellStyle name="Comma [0] TBD- 4 85" xfId="19269"/>
    <cellStyle name="Comma [0] TBD 4 86" xfId="19270"/>
    <cellStyle name="Comma [0] TBD- 4 86" xfId="19271"/>
    <cellStyle name="Comma [0] TBD 4 87" xfId="19272"/>
    <cellStyle name="Comma [0] TBD- 4 87" xfId="19273"/>
    <cellStyle name="Comma [0] TBD 4 88" xfId="19274"/>
    <cellStyle name="Comma [0] TBD- 4 88" xfId="19275"/>
    <cellStyle name="Comma [0] TBD 4 89" xfId="19276"/>
    <cellStyle name="Comma [0] TBD- 4 89" xfId="19277"/>
    <cellStyle name="Comma [0] TBD 4 9" xfId="19278"/>
    <cellStyle name="Comma [0] TBD- 4 9" xfId="19279"/>
    <cellStyle name="Comma [0] TBD 4 90" xfId="19280"/>
    <cellStyle name="Comma [0] TBD- 4 90" xfId="19281"/>
    <cellStyle name="Comma [0] TBD 4 91" xfId="19282"/>
    <cellStyle name="Comma [0] TBD- 4 91" xfId="19283"/>
    <cellStyle name="Comma [0] TBD 4 92" xfId="19284"/>
    <cellStyle name="Comma [0] TBD- 4 92" xfId="19285"/>
    <cellStyle name="Comma [0] TBD 4 93" xfId="19286"/>
    <cellStyle name="Comma [0] TBD- 4 93" xfId="19287"/>
    <cellStyle name="Comma [0] TBD 4 94" xfId="19288"/>
    <cellStyle name="Comma [0] TBD- 4 94" xfId="19289"/>
    <cellStyle name="Comma [0] TBD 4 95" xfId="19290"/>
    <cellStyle name="Comma [0] TBD- 4 95" xfId="19291"/>
    <cellStyle name="Comma [0] TBD 4 96" xfId="19292"/>
    <cellStyle name="Comma [0] TBD- 4 96" xfId="19293"/>
    <cellStyle name="Comma [0] TBD 4 97" xfId="19294"/>
    <cellStyle name="Comma [0] TBD- 4 97" xfId="19295"/>
    <cellStyle name="Comma [0] TBD 4 98" xfId="19296"/>
    <cellStyle name="Comma [0] TBD- 4 98" xfId="19297"/>
    <cellStyle name="Comma [0] TBD 4 99" xfId="19298"/>
    <cellStyle name="Comma [0] TBD- 4 99" xfId="19299"/>
    <cellStyle name="Comma [0] TBD 5" xfId="19300"/>
    <cellStyle name="Comma [0] TBD- 5" xfId="19301"/>
    <cellStyle name="Comma [0] TBD 5 10" xfId="19302"/>
    <cellStyle name="Comma [0] TBD- 5 10" xfId="19303"/>
    <cellStyle name="Comma [0] TBD 5 100" xfId="19304"/>
    <cellStyle name="Comma [0] TBD- 5 100" xfId="19305"/>
    <cellStyle name="Comma [0] TBD 5 101" xfId="19306"/>
    <cellStyle name="Comma [0] TBD- 5 101" xfId="19307"/>
    <cellStyle name="Comma [0] TBD 5 102" xfId="19308"/>
    <cellStyle name="Comma [0] TBD- 5 102" xfId="19309"/>
    <cellStyle name="Comma [0] TBD 5 103" xfId="19310"/>
    <cellStyle name="Comma [0] TBD- 5 103" xfId="19311"/>
    <cellStyle name="Comma [0] TBD 5 104" xfId="19312"/>
    <cellStyle name="Comma [0] TBD- 5 104" xfId="19313"/>
    <cellStyle name="Comma [0] TBD 5 105" xfId="19314"/>
    <cellStyle name="Comma [0] TBD- 5 105" xfId="19315"/>
    <cellStyle name="Comma [0] TBD 5 106" xfId="19316"/>
    <cellStyle name="Comma [0] TBD- 5 106" xfId="19317"/>
    <cellStyle name="Comma [0] TBD 5 107" xfId="19318"/>
    <cellStyle name="Comma [0] TBD- 5 107" xfId="19319"/>
    <cellStyle name="Comma [0] TBD 5 108" xfId="19320"/>
    <cellStyle name="Comma [0] TBD- 5 108" xfId="19321"/>
    <cellStyle name="Comma [0] TBD 5 109" xfId="19322"/>
    <cellStyle name="Comma [0] TBD- 5 109" xfId="19323"/>
    <cellStyle name="Comma [0] TBD 5 11" xfId="19324"/>
    <cellStyle name="Comma [0] TBD- 5 11" xfId="19325"/>
    <cellStyle name="Comma [0] TBD 5 110" xfId="19326"/>
    <cellStyle name="Comma [0] TBD- 5 110" xfId="19327"/>
    <cellStyle name="Comma [0] TBD 5 111" xfId="19328"/>
    <cellStyle name="Comma [0] TBD- 5 111" xfId="19329"/>
    <cellStyle name="Comma [0] TBD 5 112" xfId="19330"/>
    <cellStyle name="Comma [0] TBD- 5 112" xfId="19331"/>
    <cellStyle name="Comma [0] TBD 5 113" xfId="19332"/>
    <cellStyle name="Comma [0] TBD- 5 113" xfId="19333"/>
    <cellStyle name="Comma [0] TBD 5 114" xfId="19334"/>
    <cellStyle name="Comma [0] TBD- 5 114" xfId="19335"/>
    <cellStyle name="Comma [0] TBD 5 115" xfId="19336"/>
    <cellStyle name="Comma [0] TBD- 5 115" xfId="19337"/>
    <cellStyle name="Comma [0] TBD 5 116" xfId="19338"/>
    <cellStyle name="Comma [0] TBD- 5 116" xfId="19339"/>
    <cellStyle name="Comma [0] TBD 5 117" xfId="19340"/>
    <cellStyle name="Comma [0] TBD- 5 117" xfId="19341"/>
    <cellStyle name="Comma [0] TBD 5 118" xfId="19342"/>
    <cellStyle name="Comma [0] TBD- 5 118" xfId="19343"/>
    <cellStyle name="Comma [0] TBD 5 119" xfId="19344"/>
    <cellStyle name="Comma [0] TBD- 5 119" xfId="19345"/>
    <cellStyle name="Comma [0] TBD 5 12" xfId="19346"/>
    <cellStyle name="Comma [0] TBD- 5 12" xfId="19347"/>
    <cellStyle name="Comma [0] TBD 5 120" xfId="19348"/>
    <cellStyle name="Comma [0] TBD- 5 120" xfId="19349"/>
    <cellStyle name="Comma [0] TBD 5 121" xfId="19350"/>
    <cellStyle name="Comma [0] TBD- 5 121" xfId="19351"/>
    <cellStyle name="Comma [0] TBD 5 122" xfId="19352"/>
    <cellStyle name="Comma [0] TBD- 5 122" xfId="19353"/>
    <cellStyle name="Comma [0] TBD 5 123" xfId="19354"/>
    <cellStyle name="Comma [0] TBD- 5 123" xfId="19355"/>
    <cellStyle name="Comma [0] TBD 5 124" xfId="19356"/>
    <cellStyle name="Comma [0] TBD- 5 124" xfId="19357"/>
    <cellStyle name="Comma [0] TBD 5 125" xfId="19358"/>
    <cellStyle name="Comma [0] TBD- 5 125" xfId="19359"/>
    <cellStyle name="Comma [0] TBD 5 126" xfId="19360"/>
    <cellStyle name="Comma [0] TBD- 5 126" xfId="19361"/>
    <cellStyle name="Comma [0] TBD 5 127" xfId="19362"/>
    <cellStyle name="Comma [0] TBD- 5 127" xfId="19363"/>
    <cellStyle name="Comma [0] TBD 5 128" xfId="19364"/>
    <cellStyle name="Comma [0] TBD- 5 128" xfId="19365"/>
    <cellStyle name="Comma [0] TBD 5 129" xfId="19366"/>
    <cellStyle name="Comma [0] TBD- 5 129" xfId="19367"/>
    <cellStyle name="Comma [0] TBD 5 13" xfId="19368"/>
    <cellStyle name="Comma [0] TBD- 5 13" xfId="19369"/>
    <cellStyle name="Comma [0] TBD 5 130" xfId="19370"/>
    <cellStyle name="Comma [0] TBD- 5 130" xfId="19371"/>
    <cellStyle name="Comma [0] TBD 5 131" xfId="19372"/>
    <cellStyle name="Comma [0] TBD- 5 131" xfId="19373"/>
    <cellStyle name="Comma [0] TBD 5 132" xfId="19374"/>
    <cellStyle name="Comma [0] TBD- 5 132" xfId="19375"/>
    <cellStyle name="Comma [0] TBD 5 133" xfId="19376"/>
    <cellStyle name="Comma [0] TBD- 5 133" xfId="19377"/>
    <cellStyle name="Comma [0] TBD 5 134" xfId="19378"/>
    <cellStyle name="Comma [0] TBD- 5 134" xfId="19379"/>
    <cellStyle name="Comma [0] TBD 5 135" xfId="19380"/>
    <cellStyle name="Comma [0] TBD- 5 135" xfId="19381"/>
    <cellStyle name="Comma [0] TBD 5 136" xfId="19382"/>
    <cellStyle name="Comma [0] TBD- 5 136" xfId="19383"/>
    <cellStyle name="Comma [0] TBD 5 137" xfId="19384"/>
    <cellStyle name="Comma [0] TBD- 5 137" xfId="19385"/>
    <cellStyle name="Comma [0] TBD 5 138" xfId="19386"/>
    <cellStyle name="Comma [0] TBD- 5 138" xfId="19387"/>
    <cellStyle name="Comma [0] TBD 5 139" xfId="19388"/>
    <cellStyle name="Comma [0] TBD- 5 139" xfId="19389"/>
    <cellStyle name="Comma [0] TBD 5 14" xfId="19390"/>
    <cellStyle name="Comma [0] TBD- 5 14" xfId="19391"/>
    <cellStyle name="Comma [0] TBD 5 140" xfId="19392"/>
    <cellStyle name="Comma [0] TBD- 5 140" xfId="19393"/>
    <cellStyle name="Comma [0] TBD 5 141" xfId="19394"/>
    <cellStyle name="Comma [0] TBD- 5 141" xfId="19395"/>
    <cellStyle name="Comma [0] TBD 5 142" xfId="19396"/>
    <cellStyle name="Comma [0] TBD- 5 142" xfId="19397"/>
    <cellStyle name="Comma [0] TBD 5 143" xfId="19398"/>
    <cellStyle name="Comma [0] TBD- 5 143" xfId="19399"/>
    <cellStyle name="Comma [0] TBD 5 144" xfId="19400"/>
    <cellStyle name="Comma [0] TBD- 5 144" xfId="19401"/>
    <cellStyle name="Comma [0] TBD 5 145" xfId="19402"/>
    <cellStyle name="Comma [0] TBD- 5 145" xfId="19403"/>
    <cellStyle name="Comma [0] TBD 5 146" xfId="19404"/>
    <cellStyle name="Comma [0] TBD- 5 146" xfId="19405"/>
    <cellStyle name="Comma [0] TBD 5 147" xfId="19406"/>
    <cellStyle name="Comma [0] TBD- 5 147" xfId="19407"/>
    <cellStyle name="Comma [0] TBD 5 148" xfId="19408"/>
    <cellStyle name="Comma [0] TBD- 5 148" xfId="19409"/>
    <cellStyle name="Comma [0] TBD 5 149" xfId="19410"/>
    <cellStyle name="Comma [0] TBD- 5 149" xfId="19411"/>
    <cellStyle name="Comma [0] TBD 5 15" xfId="19412"/>
    <cellStyle name="Comma [0] TBD- 5 15" xfId="19413"/>
    <cellStyle name="Comma [0] TBD 5 150" xfId="19414"/>
    <cellStyle name="Comma [0] TBD- 5 150" xfId="19415"/>
    <cellStyle name="Comma [0] TBD 5 151" xfId="19416"/>
    <cellStyle name="Comma [0] TBD- 5 151" xfId="19417"/>
    <cellStyle name="Comma [0] TBD 5 152" xfId="19418"/>
    <cellStyle name="Comma [0] TBD- 5 152" xfId="19419"/>
    <cellStyle name="Comma [0] TBD 5 153" xfId="19420"/>
    <cellStyle name="Comma [0] TBD- 5 153" xfId="19421"/>
    <cellStyle name="Comma [0] TBD 5 154" xfId="19422"/>
    <cellStyle name="Comma [0] TBD- 5 154" xfId="19423"/>
    <cellStyle name="Comma [0] TBD 5 16" xfId="19424"/>
    <cellStyle name="Comma [0] TBD- 5 16" xfId="19425"/>
    <cellStyle name="Comma [0] TBD 5 17" xfId="19426"/>
    <cellStyle name="Comma [0] TBD- 5 17" xfId="19427"/>
    <cellStyle name="Comma [0] TBD 5 18" xfId="19428"/>
    <cellStyle name="Comma [0] TBD- 5 18" xfId="19429"/>
    <cellStyle name="Comma [0] TBD 5 19" xfId="19430"/>
    <cellStyle name="Comma [0] TBD- 5 19" xfId="19431"/>
    <cellStyle name="Comma [0] TBD 5 2" xfId="19432"/>
    <cellStyle name="Comma [0] TBD- 5 2" xfId="19433"/>
    <cellStyle name="Comma [0] TBD 5 20" xfId="19434"/>
    <cellStyle name="Comma [0] TBD- 5 20" xfId="19435"/>
    <cellStyle name="Comma [0] TBD 5 21" xfId="19436"/>
    <cellStyle name="Comma [0] TBD- 5 21" xfId="19437"/>
    <cellStyle name="Comma [0] TBD 5 22" xfId="19438"/>
    <cellStyle name="Comma [0] TBD- 5 22" xfId="19439"/>
    <cellStyle name="Comma [0] TBD 5 23" xfId="19440"/>
    <cellStyle name="Comma [0] TBD- 5 23" xfId="19441"/>
    <cellStyle name="Comma [0] TBD 5 24" xfId="19442"/>
    <cellStyle name="Comma [0] TBD- 5 24" xfId="19443"/>
    <cellStyle name="Comma [0] TBD 5 25" xfId="19444"/>
    <cellStyle name="Comma [0] TBD- 5 25" xfId="19445"/>
    <cellStyle name="Comma [0] TBD 5 26" xfId="19446"/>
    <cellStyle name="Comma [0] TBD- 5 26" xfId="19447"/>
    <cellStyle name="Comma [0] TBD 5 27" xfId="19448"/>
    <cellStyle name="Comma [0] TBD- 5 27" xfId="19449"/>
    <cellStyle name="Comma [0] TBD 5 28" xfId="19450"/>
    <cellStyle name="Comma [0] TBD- 5 28" xfId="19451"/>
    <cellStyle name="Comma [0] TBD 5 29" xfId="19452"/>
    <cellStyle name="Comma [0] TBD- 5 29" xfId="19453"/>
    <cellStyle name="Comma [0] TBD 5 3" xfId="19454"/>
    <cellStyle name="Comma [0] TBD- 5 3" xfId="19455"/>
    <cellStyle name="Comma [0] TBD 5 30" xfId="19456"/>
    <cellStyle name="Comma [0] TBD- 5 30" xfId="19457"/>
    <cellStyle name="Comma [0] TBD 5 31" xfId="19458"/>
    <cellStyle name="Comma [0] TBD- 5 31" xfId="19459"/>
    <cellStyle name="Comma [0] TBD 5 32" xfId="19460"/>
    <cellStyle name="Comma [0] TBD- 5 32" xfId="19461"/>
    <cellStyle name="Comma [0] TBD 5 33" xfId="19462"/>
    <cellStyle name="Comma [0] TBD- 5 33" xfId="19463"/>
    <cellStyle name="Comma [0] TBD 5 34" xfId="19464"/>
    <cellStyle name="Comma [0] TBD- 5 34" xfId="19465"/>
    <cellStyle name="Comma [0] TBD 5 35" xfId="19466"/>
    <cellStyle name="Comma [0] TBD- 5 35" xfId="19467"/>
    <cellStyle name="Comma [0] TBD 5 36" xfId="19468"/>
    <cellStyle name="Comma [0] TBD- 5 36" xfId="19469"/>
    <cellStyle name="Comma [0] TBD 5 37" xfId="19470"/>
    <cellStyle name="Comma [0] TBD- 5 37" xfId="19471"/>
    <cellStyle name="Comma [0] TBD 5 38" xfId="19472"/>
    <cellStyle name="Comma [0] TBD- 5 38" xfId="19473"/>
    <cellStyle name="Comma [0] TBD 5 39" xfId="19474"/>
    <cellStyle name="Comma [0] TBD- 5 39" xfId="19475"/>
    <cellStyle name="Comma [0] TBD 5 4" xfId="19476"/>
    <cellStyle name="Comma [0] TBD- 5 4" xfId="19477"/>
    <cellStyle name="Comma [0] TBD 5 40" xfId="19478"/>
    <cellStyle name="Comma [0] TBD- 5 40" xfId="19479"/>
    <cellStyle name="Comma [0] TBD 5 41" xfId="19480"/>
    <cellStyle name="Comma [0] TBD- 5 41" xfId="19481"/>
    <cellStyle name="Comma [0] TBD 5 42" xfId="19482"/>
    <cellStyle name="Comma [0] TBD- 5 42" xfId="19483"/>
    <cellStyle name="Comma [0] TBD 5 43" xfId="19484"/>
    <cellStyle name="Comma [0] TBD- 5 43" xfId="19485"/>
    <cellStyle name="Comma [0] TBD 5 44" xfId="19486"/>
    <cellStyle name="Comma [0] TBD- 5 44" xfId="19487"/>
    <cellStyle name="Comma [0] TBD 5 45" xfId="19488"/>
    <cellStyle name="Comma [0] TBD- 5 45" xfId="19489"/>
    <cellStyle name="Comma [0] TBD 5 46" xfId="19490"/>
    <cellStyle name="Comma [0] TBD- 5 46" xfId="19491"/>
    <cellStyle name="Comma [0] TBD 5 47" xfId="19492"/>
    <cellStyle name="Comma [0] TBD- 5 47" xfId="19493"/>
    <cellStyle name="Comma [0] TBD 5 48" xfId="19494"/>
    <cellStyle name="Comma [0] TBD- 5 48" xfId="19495"/>
    <cellStyle name="Comma [0] TBD 5 49" xfId="19496"/>
    <cellStyle name="Comma [0] TBD- 5 49" xfId="19497"/>
    <cellStyle name="Comma [0] TBD 5 5" xfId="19498"/>
    <cellStyle name="Comma [0] TBD- 5 5" xfId="19499"/>
    <cellStyle name="Comma [0] TBD 5 50" xfId="19500"/>
    <cellStyle name="Comma [0] TBD- 5 50" xfId="19501"/>
    <cellStyle name="Comma [0] TBD 5 51" xfId="19502"/>
    <cellStyle name="Comma [0] TBD- 5 51" xfId="19503"/>
    <cellStyle name="Comma [0] TBD 5 52" xfId="19504"/>
    <cellStyle name="Comma [0] TBD- 5 52" xfId="19505"/>
    <cellStyle name="Comma [0] TBD 5 53" xfId="19506"/>
    <cellStyle name="Comma [0] TBD- 5 53" xfId="19507"/>
    <cellStyle name="Comma [0] TBD 5 54" xfId="19508"/>
    <cellStyle name="Comma [0] TBD- 5 54" xfId="19509"/>
    <cellStyle name="Comma [0] TBD 5 55" xfId="19510"/>
    <cellStyle name="Comma [0] TBD- 5 55" xfId="19511"/>
    <cellStyle name="Comma [0] TBD 5 56" xfId="19512"/>
    <cellStyle name="Comma [0] TBD- 5 56" xfId="19513"/>
    <cellStyle name="Comma [0] TBD 5 57" xfId="19514"/>
    <cellStyle name="Comma [0] TBD- 5 57" xfId="19515"/>
    <cellStyle name="Comma [0] TBD 5 58" xfId="19516"/>
    <cellStyle name="Comma [0] TBD- 5 58" xfId="19517"/>
    <cellStyle name="Comma [0] TBD 5 59" xfId="19518"/>
    <cellStyle name="Comma [0] TBD- 5 59" xfId="19519"/>
    <cellStyle name="Comma [0] TBD 5 6" xfId="19520"/>
    <cellStyle name="Comma [0] TBD- 5 6" xfId="19521"/>
    <cellStyle name="Comma [0] TBD 5 60" xfId="19522"/>
    <cellStyle name="Comma [0] TBD- 5 60" xfId="19523"/>
    <cellStyle name="Comma [0] TBD 5 61" xfId="19524"/>
    <cellStyle name="Comma [0] TBD- 5 61" xfId="19525"/>
    <cellStyle name="Comma [0] TBD 5 62" xfId="19526"/>
    <cellStyle name="Comma [0] TBD- 5 62" xfId="19527"/>
    <cellStyle name="Comma [0] TBD 5 63" xfId="19528"/>
    <cellStyle name="Comma [0] TBD- 5 63" xfId="19529"/>
    <cellStyle name="Comma [0] TBD 5 64" xfId="19530"/>
    <cellStyle name="Comma [0] TBD- 5 64" xfId="19531"/>
    <cellStyle name="Comma [0] TBD 5 65" xfId="19532"/>
    <cellStyle name="Comma [0] TBD- 5 65" xfId="19533"/>
    <cellStyle name="Comma [0] TBD 5 66" xfId="19534"/>
    <cellStyle name="Comma [0] TBD- 5 66" xfId="19535"/>
    <cellStyle name="Comma [0] TBD 5 67" xfId="19536"/>
    <cellStyle name="Comma [0] TBD- 5 67" xfId="19537"/>
    <cellStyle name="Comma [0] TBD 5 68" xfId="19538"/>
    <cellStyle name="Comma [0] TBD- 5 68" xfId="19539"/>
    <cellStyle name="Comma [0] TBD 5 69" xfId="19540"/>
    <cellStyle name="Comma [0] TBD- 5 69" xfId="19541"/>
    <cellStyle name="Comma [0] TBD 5 7" xfId="19542"/>
    <cellStyle name="Comma [0] TBD- 5 7" xfId="19543"/>
    <cellStyle name="Comma [0] TBD 5 70" xfId="19544"/>
    <cellStyle name="Comma [0] TBD- 5 70" xfId="19545"/>
    <cellStyle name="Comma [0] TBD 5 71" xfId="19546"/>
    <cellStyle name="Comma [0] TBD- 5 71" xfId="19547"/>
    <cellStyle name="Comma [0] TBD 5 72" xfId="19548"/>
    <cellStyle name="Comma [0] TBD- 5 72" xfId="19549"/>
    <cellStyle name="Comma [0] TBD 5 73" xfId="19550"/>
    <cellStyle name="Comma [0] TBD- 5 73" xfId="19551"/>
    <cellStyle name="Comma [0] TBD 5 74" xfId="19552"/>
    <cellStyle name="Comma [0] TBD- 5 74" xfId="19553"/>
    <cellStyle name="Comma [0] TBD 5 75" xfId="19554"/>
    <cellStyle name="Comma [0] TBD- 5 75" xfId="19555"/>
    <cellStyle name="Comma [0] TBD 5 76" xfId="19556"/>
    <cellStyle name="Comma [0] TBD- 5 76" xfId="19557"/>
    <cellStyle name="Comma [0] TBD 5 77" xfId="19558"/>
    <cellStyle name="Comma [0] TBD- 5 77" xfId="19559"/>
    <cellStyle name="Comma [0] TBD 5 78" xfId="19560"/>
    <cellStyle name="Comma [0] TBD- 5 78" xfId="19561"/>
    <cellStyle name="Comma [0] TBD 5 79" xfId="19562"/>
    <cellStyle name="Comma [0] TBD- 5 79" xfId="19563"/>
    <cellStyle name="Comma [0] TBD 5 8" xfId="19564"/>
    <cellStyle name="Comma [0] TBD- 5 8" xfId="19565"/>
    <cellStyle name="Comma [0] TBD 5 80" xfId="19566"/>
    <cellStyle name="Comma [0] TBD- 5 80" xfId="19567"/>
    <cellStyle name="Comma [0] TBD 5 81" xfId="19568"/>
    <cellStyle name="Comma [0] TBD- 5 81" xfId="19569"/>
    <cellStyle name="Comma [0] TBD 5 82" xfId="19570"/>
    <cellStyle name="Comma [0] TBD- 5 82" xfId="19571"/>
    <cellStyle name="Comma [0] TBD 5 83" xfId="19572"/>
    <cellStyle name="Comma [0] TBD- 5 83" xfId="19573"/>
    <cellStyle name="Comma [0] TBD 5 84" xfId="19574"/>
    <cellStyle name="Comma [0] TBD- 5 84" xfId="19575"/>
    <cellStyle name="Comma [0] TBD 5 85" xfId="19576"/>
    <cellStyle name="Comma [0] TBD- 5 85" xfId="19577"/>
    <cellStyle name="Comma [0] TBD 5 86" xfId="19578"/>
    <cellStyle name="Comma [0] TBD- 5 86" xfId="19579"/>
    <cellStyle name="Comma [0] TBD 5 87" xfId="19580"/>
    <cellStyle name="Comma [0] TBD- 5 87" xfId="19581"/>
    <cellStyle name="Comma [0] TBD 5 88" xfId="19582"/>
    <cellStyle name="Comma [0] TBD- 5 88" xfId="19583"/>
    <cellStyle name="Comma [0] TBD 5 89" xfId="19584"/>
    <cellStyle name="Comma [0] TBD- 5 89" xfId="19585"/>
    <cellStyle name="Comma [0] TBD 5 9" xfId="19586"/>
    <cellStyle name="Comma [0] TBD- 5 9" xfId="19587"/>
    <cellStyle name="Comma [0] TBD 5 90" xfId="19588"/>
    <cellStyle name="Comma [0] TBD- 5 90" xfId="19589"/>
    <cellStyle name="Comma [0] TBD 5 91" xfId="19590"/>
    <cellStyle name="Comma [0] TBD- 5 91" xfId="19591"/>
    <cellStyle name="Comma [0] TBD 5 92" xfId="19592"/>
    <cellStyle name="Comma [0] TBD- 5 92" xfId="19593"/>
    <cellStyle name="Comma [0] TBD 5 93" xfId="19594"/>
    <cellStyle name="Comma [0] TBD- 5 93" xfId="19595"/>
    <cellStyle name="Comma [0] TBD 5 94" xfId="19596"/>
    <cellStyle name="Comma [0] TBD- 5 94" xfId="19597"/>
    <cellStyle name="Comma [0] TBD 5 95" xfId="19598"/>
    <cellStyle name="Comma [0] TBD- 5 95" xfId="19599"/>
    <cellStyle name="Comma [0] TBD 5 96" xfId="19600"/>
    <cellStyle name="Comma [0] TBD- 5 96" xfId="19601"/>
    <cellStyle name="Comma [0] TBD 5 97" xfId="19602"/>
    <cellStyle name="Comma [0] TBD- 5 97" xfId="19603"/>
    <cellStyle name="Comma [0] TBD 5 98" xfId="19604"/>
    <cellStyle name="Comma [0] TBD- 5 98" xfId="19605"/>
    <cellStyle name="Comma [0] TBD 5 99" xfId="19606"/>
    <cellStyle name="Comma [0] TBD- 5 99" xfId="19607"/>
    <cellStyle name="Comma [0] TBD 6" xfId="19608"/>
    <cellStyle name="Comma [0] TBD- 6" xfId="19609"/>
    <cellStyle name="Comma [0] TBD 6 10" xfId="19610"/>
    <cellStyle name="Comma [0] TBD- 6 10" xfId="19611"/>
    <cellStyle name="Comma [0] TBD 6 100" xfId="19612"/>
    <cellStyle name="Comma [0] TBD- 6 100" xfId="19613"/>
    <cellStyle name="Comma [0] TBD 6 101" xfId="19614"/>
    <cellStyle name="Comma [0] TBD- 6 101" xfId="19615"/>
    <cellStyle name="Comma [0] TBD 6 102" xfId="19616"/>
    <cellStyle name="Comma [0] TBD- 6 102" xfId="19617"/>
    <cellStyle name="Comma [0] TBD 6 103" xfId="19618"/>
    <cellStyle name="Comma [0] TBD- 6 103" xfId="19619"/>
    <cellStyle name="Comma [0] TBD 6 104" xfId="19620"/>
    <cellStyle name="Comma [0] TBD- 6 104" xfId="19621"/>
    <cellStyle name="Comma [0] TBD 6 105" xfId="19622"/>
    <cellStyle name="Comma [0] TBD- 6 105" xfId="19623"/>
    <cellStyle name="Comma [0] TBD 6 106" xfId="19624"/>
    <cellStyle name="Comma [0] TBD- 6 106" xfId="19625"/>
    <cellStyle name="Comma [0] TBD 6 107" xfId="19626"/>
    <cellStyle name="Comma [0] TBD- 6 107" xfId="19627"/>
    <cellStyle name="Comma [0] TBD 6 108" xfId="19628"/>
    <cellStyle name="Comma [0] TBD- 6 108" xfId="19629"/>
    <cellStyle name="Comma [0] TBD 6 109" xfId="19630"/>
    <cellStyle name="Comma [0] TBD- 6 109" xfId="19631"/>
    <cellStyle name="Comma [0] TBD 6 11" xfId="19632"/>
    <cellStyle name="Comma [0] TBD- 6 11" xfId="19633"/>
    <cellStyle name="Comma [0] TBD 6 110" xfId="19634"/>
    <cellStyle name="Comma [0] TBD- 6 110" xfId="19635"/>
    <cellStyle name="Comma [0] TBD 6 111" xfId="19636"/>
    <cellStyle name="Comma [0] TBD- 6 111" xfId="19637"/>
    <cellStyle name="Comma [0] TBD 6 112" xfId="19638"/>
    <cellStyle name="Comma [0] TBD- 6 112" xfId="19639"/>
    <cellStyle name="Comma [0] TBD 6 113" xfId="19640"/>
    <cellStyle name="Comma [0] TBD- 6 113" xfId="19641"/>
    <cellStyle name="Comma [0] TBD 6 114" xfId="19642"/>
    <cellStyle name="Comma [0] TBD- 6 114" xfId="19643"/>
    <cellStyle name="Comma [0] TBD 6 115" xfId="19644"/>
    <cellStyle name="Comma [0] TBD- 6 115" xfId="19645"/>
    <cellStyle name="Comma [0] TBD 6 116" xfId="19646"/>
    <cellStyle name="Comma [0] TBD- 6 116" xfId="19647"/>
    <cellStyle name="Comma [0] TBD 6 117" xfId="19648"/>
    <cellStyle name="Comma [0] TBD- 6 117" xfId="19649"/>
    <cellStyle name="Comma [0] TBD 6 118" xfId="19650"/>
    <cellStyle name="Comma [0] TBD- 6 118" xfId="19651"/>
    <cellStyle name="Comma [0] TBD 6 119" xfId="19652"/>
    <cellStyle name="Comma [0] TBD- 6 119" xfId="19653"/>
    <cellStyle name="Comma [0] TBD 6 12" xfId="19654"/>
    <cellStyle name="Comma [0] TBD- 6 12" xfId="19655"/>
    <cellStyle name="Comma [0] TBD 6 120" xfId="19656"/>
    <cellStyle name="Comma [0] TBD- 6 120" xfId="19657"/>
    <cellStyle name="Comma [0] TBD 6 121" xfId="19658"/>
    <cellStyle name="Comma [0] TBD- 6 121" xfId="19659"/>
    <cellStyle name="Comma [0] TBD 6 122" xfId="19660"/>
    <cellStyle name="Comma [0] TBD- 6 122" xfId="19661"/>
    <cellStyle name="Comma [0] TBD 6 123" xfId="19662"/>
    <cellStyle name="Comma [0] TBD- 6 123" xfId="19663"/>
    <cellStyle name="Comma [0] TBD 6 124" xfId="19664"/>
    <cellStyle name="Comma [0] TBD- 6 124" xfId="19665"/>
    <cellStyle name="Comma [0] TBD 6 125" xfId="19666"/>
    <cellStyle name="Comma [0] TBD- 6 125" xfId="19667"/>
    <cellStyle name="Comma [0] TBD 6 126" xfId="19668"/>
    <cellStyle name="Comma [0] TBD- 6 126" xfId="19669"/>
    <cellStyle name="Comma [0] TBD 6 127" xfId="19670"/>
    <cellStyle name="Comma [0] TBD- 6 127" xfId="19671"/>
    <cellStyle name="Comma [0] TBD 6 128" xfId="19672"/>
    <cellStyle name="Comma [0] TBD- 6 128" xfId="19673"/>
    <cellStyle name="Comma [0] TBD 6 129" xfId="19674"/>
    <cellStyle name="Comma [0] TBD- 6 129" xfId="19675"/>
    <cellStyle name="Comma [0] TBD 6 13" xfId="19676"/>
    <cellStyle name="Comma [0] TBD- 6 13" xfId="19677"/>
    <cellStyle name="Comma [0] TBD 6 130" xfId="19678"/>
    <cellStyle name="Comma [0] TBD- 6 130" xfId="19679"/>
    <cellStyle name="Comma [0] TBD 6 131" xfId="19680"/>
    <cellStyle name="Comma [0] TBD- 6 131" xfId="19681"/>
    <cellStyle name="Comma [0] TBD 6 132" xfId="19682"/>
    <cellStyle name="Comma [0] TBD- 6 132" xfId="19683"/>
    <cellStyle name="Comma [0] TBD 6 133" xfId="19684"/>
    <cellStyle name="Comma [0] TBD- 6 133" xfId="19685"/>
    <cellStyle name="Comma [0] TBD 6 134" xfId="19686"/>
    <cellStyle name="Comma [0] TBD- 6 134" xfId="19687"/>
    <cellStyle name="Comma [0] TBD 6 135" xfId="19688"/>
    <cellStyle name="Comma [0] TBD- 6 135" xfId="19689"/>
    <cellStyle name="Comma [0] TBD 6 136" xfId="19690"/>
    <cellStyle name="Comma [0] TBD- 6 136" xfId="19691"/>
    <cellStyle name="Comma [0] TBD 6 137" xfId="19692"/>
    <cellStyle name="Comma [0] TBD- 6 137" xfId="19693"/>
    <cellStyle name="Comma [0] TBD 6 138" xfId="19694"/>
    <cellStyle name="Comma [0] TBD- 6 138" xfId="19695"/>
    <cellStyle name="Comma [0] TBD 6 139" xfId="19696"/>
    <cellStyle name="Comma [0] TBD- 6 139" xfId="19697"/>
    <cellStyle name="Comma [0] TBD 6 14" xfId="19698"/>
    <cellStyle name="Comma [0] TBD- 6 14" xfId="19699"/>
    <cellStyle name="Comma [0] TBD 6 140" xfId="19700"/>
    <cellStyle name="Comma [0] TBD- 6 140" xfId="19701"/>
    <cellStyle name="Comma [0] TBD 6 141" xfId="19702"/>
    <cellStyle name="Comma [0] TBD- 6 141" xfId="19703"/>
    <cellStyle name="Comma [0] TBD 6 142" xfId="19704"/>
    <cellStyle name="Comma [0] TBD- 6 142" xfId="19705"/>
    <cellStyle name="Comma [0] TBD 6 143" xfId="19706"/>
    <cellStyle name="Comma [0] TBD- 6 143" xfId="19707"/>
    <cellStyle name="Comma [0] TBD 6 144" xfId="19708"/>
    <cellStyle name="Comma [0] TBD- 6 144" xfId="19709"/>
    <cellStyle name="Comma [0] TBD 6 145" xfId="19710"/>
    <cellStyle name="Comma [0] TBD- 6 145" xfId="19711"/>
    <cellStyle name="Comma [0] TBD 6 146" xfId="19712"/>
    <cellStyle name="Comma [0] TBD- 6 146" xfId="19713"/>
    <cellStyle name="Comma [0] TBD 6 147" xfId="19714"/>
    <cellStyle name="Comma [0] TBD- 6 147" xfId="19715"/>
    <cellStyle name="Comma [0] TBD 6 148" xfId="19716"/>
    <cellStyle name="Comma [0] TBD- 6 148" xfId="19717"/>
    <cellStyle name="Comma [0] TBD 6 149" xfId="19718"/>
    <cellStyle name="Comma [0] TBD- 6 149" xfId="19719"/>
    <cellStyle name="Comma [0] TBD 6 15" xfId="19720"/>
    <cellStyle name="Comma [0] TBD- 6 15" xfId="19721"/>
    <cellStyle name="Comma [0] TBD 6 150" xfId="19722"/>
    <cellStyle name="Comma [0] TBD- 6 150" xfId="19723"/>
    <cellStyle name="Comma [0] TBD 6 151" xfId="19724"/>
    <cellStyle name="Comma [0] TBD- 6 151" xfId="19725"/>
    <cellStyle name="Comma [0] TBD 6 152" xfId="19726"/>
    <cellStyle name="Comma [0] TBD- 6 152" xfId="19727"/>
    <cellStyle name="Comma [0] TBD 6 153" xfId="19728"/>
    <cellStyle name="Comma [0] TBD- 6 153" xfId="19729"/>
    <cellStyle name="Comma [0] TBD 6 154" xfId="19730"/>
    <cellStyle name="Comma [0] TBD- 6 154" xfId="19731"/>
    <cellStyle name="Comma [0] TBD 6 16" xfId="19732"/>
    <cellStyle name="Comma [0] TBD- 6 16" xfId="19733"/>
    <cellStyle name="Comma [0] TBD 6 17" xfId="19734"/>
    <cellStyle name="Comma [0] TBD- 6 17" xfId="19735"/>
    <cellStyle name="Comma [0] TBD 6 18" xfId="19736"/>
    <cellStyle name="Comma [0] TBD- 6 18" xfId="19737"/>
    <cellStyle name="Comma [0] TBD 6 19" xfId="19738"/>
    <cellStyle name="Comma [0] TBD- 6 19" xfId="19739"/>
    <cellStyle name="Comma [0] TBD 6 2" xfId="19740"/>
    <cellStyle name="Comma [0] TBD- 6 2" xfId="19741"/>
    <cellStyle name="Comma [0] TBD 6 20" xfId="19742"/>
    <cellStyle name="Comma [0] TBD- 6 20" xfId="19743"/>
    <cellStyle name="Comma [0] TBD 6 21" xfId="19744"/>
    <cellStyle name="Comma [0] TBD- 6 21" xfId="19745"/>
    <cellStyle name="Comma [0] TBD 6 22" xfId="19746"/>
    <cellStyle name="Comma [0] TBD- 6 22" xfId="19747"/>
    <cellStyle name="Comma [0] TBD 6 23" xfId="19748"/>
    <cellStyle name="Comma [0] TBD- 6 23" xfId="19749"/>
    <cellStyle name="Comma [0] TBD 6 24" xfId="19750"/>
    <cellStyle name="Comma [0] TBD- 6 24" xfId="19751"/>
    <cellStyle name="Comma [0] TBD 6 25" xfId="19752"/>
    <cellStyle name="Comma [0] TBD- 6 25" xfId="19753"/>
    <cellStyle name="Comma [0] TBD 6 26" xfId="19754"/>
    <cellStyle name="Comma [0] TBD- 6 26" xfId="19755"/>
    <cellStyle name="Comma [0] TBD 6 27" xfId="19756"/>
    <cellStyle name="Comma [0] TBD- 6 27" xfId="19757"/>
    <cellStyle name="Comma [0] TBD 6 28" xfId="19758"/>
    <cellStyle name="Comma [0] TBD- 6 28" xfId="19759"/>
    <cellStyle name="Comma [0] TBD 6 29" xfId="19760"/>
    <cellStyle name="Comma [0] TBD- 6 29" xfId="19761"/>
    <cellStyle name="Comma [0] TBD 6 3" xfId="19762"/>
    <cellStyle name="Comma [0] TBD- 6 3" xfId="19763"/>
    <cellStyle name="Comma [0] TBD 6 30" xfId="19764"/>
    <cellStyle name="Comma [0] TBD- 6 30" xfId="19765"/>
    <cellStyle name="Comma [0] TBD 6 31" xfId="19766"/>
    <cellStyle name="Comma [0] TBD- 6 31" xfId="19767"/>
    <cellStyle name="Comma [0] TBD 6 32" xfId="19768"/>
    <cellStyle name="Comma [0] TBD- 6 32" xfId="19769"/>
    <cellStyle name="Comma [0] TBD 6 33" xfId="19770"/>
    <cellStyle name="Comma [0] TBD- 6 33" xfId="19771"/>
    <cellStyle name="Comma [0] TBD 6 34" xfId="19772"/>
    <cellStyle name="Comma [0] TBD- 6 34" xfId="19773"/>
    <cellStyle name="Comma [0] TBD 6 35" xfId="19774"/>
    <cellStyle name="Comma [0] TBD- 6 35" xfId="19775"/>
    <cellStyle name="Comma [0] TBD 6 36" xfId="19776"/>
    <cellStyle name="Comma [0] TBD- 6 36" xfId="19777"/>
    <cellStyle name="Comma [0] TBD 6 37" xfId="19778"/>
    <cellStyle name="Comma [0] TBD- 6 37" xfId="19779"/>
    <cellStyle name="Comma [0] TBD 6 38" xfId="19780"/>
    <cellStyle name="Comma [0] TBD- 6 38" xfId="19781"/>
    <cellStyle name="Comma [0] TBD 6 39" xfId="19782"/>
    <cellStyle name="Comma [0] TBD- 6 39" xfId="19783"/>
    <cellStyle name="Comma [0] TBD 6 4" xfId="19784"/>
    <cellStyle name="Comma [0] TBD- 6 4" xfId="19785"/>
    <cellStyle name="Comma [0] TBD 6 40" xfId="19786"/>
    <cellStyle name="Comma [0] TBD- 6 40" xfId="19787"/>
    <cellStyle name="Comma [0] TBD 6 41" xfId="19788"/>
    <cellStyle name="Comma [0] TBD- 6 41" xfId="19789"/>
    <cellStyle name="Comma [0] TBD 6 42" xfId="19790"/>
    <cellStyle name="Comma [0] TBD- 6 42" xfId="19791"/>
    <cellStyle name="Comma [0] TBD 6 43" xfId="19792"/>
    <cellStyle name="Comma [0] TBD- 6 43" xfId="19793"/>
    <cellStyle name="Comma [0] TBD 6 44" xfId="19794"/>
    <cellStyle name="Comma [0] TBD- 6 44" xfId="19795"/>
    <cellStyle name="Comma [0] TBD 6 45" xfId="19796"/>
    <cellStyle name="Comma [0] TBD- 6 45" xfId="19797"/>
    <cellStyle name="Comma [0] TBD 6 46" xfId="19798"/>
    <cellStyle name="Comma [0] TBD- 6 46" xfId="19799"/>
    <cellStyle name="Comma [0] TBD 6 47" xfId="19800"/>
    <cellStyle name="Comma [0] TBD- 6 47" xfId="19801"/>
    <cellStyle name="Comma [0] TBD 6 48" xfId="19802"/>
    <cellStyle name="Comma [0] TBD- 6 48" xfId="19803"/>
    <cellStyle name="Comma [0] TBD 6 49" xfId="19804"/>
    <cellStyle name="Comma [0] TBD- 6 49" xfId="19805"/>
    <cellStyle name="Comma [0] TBD 6 5" xfId="19806"/>
    <cellStyle name="Comma [0] TBD- 6 5" xfId="19807"/>
    <cellStyle name="Comma [0] TBD 6 50" xfId="19808"/>
    <cellStyle name="Comma [0] TBD- 6 50" xfId="19809"/>
    <cellStyle name="Comma [0] TBD 6 51" xfId="19810"/>
    <cellStyle name="Comma [0] TBD- 6 51" xfId="19811"/>
    <cellStyle name="Comma [0] TBD 6 52" xfId="19812"/>
    <cellStyle name="Comma [0] TBD- 6 52" xfId="19813"/>
    <cellStyle name="Comma [0] TBD 6 53" xfId="19814"/>
    <cellStyle name="Comma [0] TBD- 6 53" xfId="19815"/>
    <cellStyle name="Comma [0] TBD 6 54" xfId="19816"/>
    <cellStyle name="Comma [0] TBD- 6 54" xfId="19817"/>
    <cellStyle name="Comma [0] TBD 6 55" xfId="19818"/>
    <cellStyle name="Comma [0] TBD- 6 55" xfId="19819"/>
    <cellStyle name="Comma [0] TBD 6 56" xfId="19820"/>
    <cellStyle name="Comma [0] TBD- 6 56" xfId="19821"/>
    <cellStyle name="Comma [0] TBD 6 57" xfId="19822"/>
    <cellStyle name="Comma [0] TBD- 6 57" xfId="19823"/>
    <cellStyle name="Comma [0] TBD 6 58" xfId="19824"/>
    <cellStyle name="Comma [0] TBD- 6 58" xfId="19825"/>
    <cellStyle name="Comma [0] TBD 6 59" xfId="19826"/>
    <cellStyle name="Comma [0] TBD- 6 59" xfId="19827"/>
    <cellStyle name="Comma [0] TBD 6 6" xfId="19828"/>
    <cellStyle name="Comma [0] TBD- 6 6" xfId="19829"/>
    <cellStyle name="Comma [0] TBD 6 60" xfId="19830"/>
    <cellStyle name="Comma [0] TBD- 6 60" xfId="19831"/>
    <cellStyle name="Comma [0] TBD 6 61" xfId="19832"/>
    <cellStyle name="Comma [0] TBD- 6 61" xfId="19833"/>
    <cellStyle name="Comma [0] TBD 6 62" xfId="19834"/>
    <cellStyle name="Comma [0] TBD- 6 62" xfId="19835"/>
    <cellStyle name="Comma [0] TBD 6 63" xfId="19836"/>
    <cellStyle name="Comma [0] TBD- 6 63" xfId="19837"/>
    <cellStyle name="Comma [0] TBD 6 64" xfId="19838"/>
    <cellStyle name="Comma [0] TBD- 6 64" xfId="19839"/>
    <cellStyle name="Comma [0] TBD 6 65" xfId="19840"/>
    <cellStyle name="Comma [0] TBD- 6 65" xfId="19841"/>
    <cellStyle name="Comma [0] TBD 6 66" xfId="19842"/>
    <cellStyle name="Comma [0] TBD- 6 66" xfId="19843"/>
    <cellStyle name="Comma [0] TBD 6 67" xfId="19844"/>
    <cellStyle name="Comma [0] TBD- 6 67" xfId="19845"/>
    <cellStyle name="Comma [0] TBD 6 68" xfId="19846"/>
    <cellStyle name="Comma [0] TBD- 6 68" xfId="19847"/>
    <cellStyle name="Comma [0] TBD 6 69" xfId="19848"/>
    <cellStyle name="Comma [0] TBD- 6 69" xfId="19849"/>
    <cellStyle name="Comma [0] TBD 6 7" xfId="19850"/>
    <cellStyle name="Comma [0] TBD- 6 7" xfId="19851"/>
    <cellStyle name="Comma [0] TBD 6 70" xfId="19852"/>
    <cellStyle name="Comma [0] TBD- 6 70" xfId="19853"/>
    <cellStyle name="Comma [0] TBD 6 71" xfId="19854"/>
    <cellStyle name="Comma [0] TBD- 6 71" xfId="19855"/>
    <cellStyle name="Comma [0] TBD 6 72" xfId="19856"/>
    <cellStyle name="Comma [0] TBD- 6 72" xfId="19857"/>
    <cellStyle name="Comma [0] TBD 6 73" xfId="19858"/>
    <cellStyle name="Comma [0] TBD- 6 73" xfId="19859"/>
    <cellStyle name="Comma [0] TBD 6 74" xfId="19860"/>
    <cellStyle name="Comma [0] TBD- 6 74" xfId="19861"/>
    <cellStyle name="Comma [0] TBD 6 75" xfId="19862"/>
    <cellStyle name="Comma [0] TBD- 6 75" xfId="19863"/>
    <cellStyle name="Comma [0] TBD 6 76" xfId="19864"/>
    <cellStyle name="Comma [0] TBD- 6 76" xfId="19865"/>
    <cellStyle name="Comma [0] TBD 6 77" xfId="19866"/>
    <cellStyle name="Comma [0] TBD- 6 77" xfId="19867"/>
    <cellStyle name="Comma [0] TBD 6 78" xfId="19868"/>
    <cellStyle name="Comma [0] TBD- 6 78" xfId="19869"/>
    <cellStyle name="Comma [0] TBD 6 79" xfId="19870"/>
    <cellStyle name="Comma [0] TBD- 6 79" xfId="19871"/>
    <cellStyle name="Comma [0] TBD 6 8" xfId="19872"/>
    <cellStyle name="Comma [0] TBD- 6 8" xfId="19873"/>
    <cellStyle name="Comma [0] TBD 6 80" xfId="19874"/>
    <cellStyle name="Comma [0] TBD- 6 80" xfId="19875"/>
    <cellStyle name="Comma [0] TBD 6 81" xfId="19876"/>
    <cellStyle name="Comma [0] TBD- 6 81" xfId="19877"/>
    <cellStyle name="Comma [0] TBD 6 82" xfId="19878"/>
    <cellStyle name="Comma [0] TBD- 6 82" xfId="19879"/>
    <cellStyle name="Comma [0] TBD 6 83" xfId="19880"/>
    <cellStyle name="Comma [0] TBD- 6 83" xfId="19881"/>
    <cellStyle name="Comma [0] TBD 6 84" xfId="19882"/>
    <cellStyle name="Comma [0] TBD- 6 84" xfId="19883"/>
    <cellStyle name="Comma [0] TBD 6 85" xfId="19884"/>
    <cellStyle name="Comma [0] TBD- 6 85" xfId="19885"/>
    <cellStyle name="Comma [0] TBD 6 86" xfId="19886"/>
    <cellStyle name="Comma [0] TBD- 6 86" xfId="19887"/>
    <cellStyle name="Comma [0] TBD 6 87" xfId="19888"/>
    <cellStyle name="Comma [0] TBD- 6 87" xfId="19889"/>
    <cellStyle name="Comma [0] TBD 6 88" xfId="19890"/>
    <cellStyle name="Comma [0] TBD- 6 88" xfId="19891"/>
    <cellStyle name="Comma [0] TBD 6 89" xfId="19892"/>
    <cellStyle name="Comma [0] TBD- 6 89" xfId="19893"/>
    <cellStyle name="Comma [0] TBD 6 9" xfId="19894"/>
    <cellStyle name="Comma [0] TBD- 6 9" xfId="19895"/>
    <cellStyle name="Comma [0] TBD 6 90" xfId="19896"/>
    <cellStyle name="Comma [0] TBD- 6 90" xfId="19897"/>
    <cellStyle name="Comma [0] TBD 6 91" xfId="19898"/>
    <cellStyle name="Comma [0] TBD- 6 91" xfId="19899"/>
    <cellStyle name="Comma [0] TBD 6 92" xfId="19900"/>
    <cellStyle name="Comma [0] TBD- 6 92" xfId="19901"/>
    <cellStyle name="Comma [0] TBD 6 93" xfId="19902"/>
    <cellStyle name="Comma [0] TBD- 6 93" xfId="19903"/>
    <cellStyle name="Comma [0] TBD 6 94" xfId="19904"/>
    <cellStyle name="Comma [0] TBD- 6 94" xfId="19905"/>
    <cellStyle name="Comma [0] TBD 6 95" xfId="19906"/>
    <cellStyle name="Comma [0] TBD- 6 95" xfId="19907"/>
    <cellStyle name="Comma [0] TBD 6 96" xfId="19908"/>
    <cellStyle name="Comma [0] TBD- 6 96" xfId="19909"/>
    <cellStyle name="Comma [0] TBD 6 97" xfId="19910"/>
    <cellStyle name="Comma [0] TBD- 6 97" xfId="19911"/>
    <cellStyle name="Comma [0] TBD 6 98" xfId="19912"/>
    <cellStyle name="Comma [0] TBD- 6 98" xfId="19913"/>
    <cellStyle name="Comma [0] TBD 6 99" xfId="19914"/>
    <cellStyle name="Comma [0] TBD- 6 99" xfId="19915"/>
    <cellStyle name="Comma [0] TBD 7" xfId="19916"/>
    <cellStyle name="Comma [0] TBD- 7" xfId="19917"/>
    <cellStyle name="Comma [0] TBD 7 10" xfId="19918"/>
    <cellStyle name="Comma [0] TBD- 7 10" xfId="19919"/>
    <cellStyle name="Comma [0] TBD 7 100" xfId="19920"/>
    <cellStyle name="Comma [0] TBD- 7 100" xfId="19921"/>
    <cellStyle name="Comma [0] TBD 7 101" xfId="19922"/>
    <cellStyle name="Comma [0] TBD- 7 101" xfId="19923"/>
    <cellStyle name="Comma [0] TBD 7 102" xfId="19924"/>
    <cellStyle name="Comma [0] TBD- 7 102" xfId="19925"/>
    <cellStyle name="Comma [0] TBD 7 103" xfId="19926"/>
    <cellStyle name="Comma [0] TBD- 7 103" xfId="19927"/>
    <cellStyle name="Comma [0] TBD 7 104" xfId="19928"/>
    <cellStyle name="Comma [0] TBD- 7 104" xfId="19929"/>
    <cellStyle name="Comma [0] TBD 7 105" xfId="19930"/>
    <cellStyle name="Comma [0] TBD- 7 105" xfId="19931"/>
    <cellStyle name="Comma [0] TBD 7 106" xfId="19932"/>
    <cellStyle name="Comma [0] TBD- 7 106" xfId="19933"/>
    <cellStyle name="Comma [0] TBD 7 107" xfId="19934"/>
    <cellStyle name="Comma [0] TBD- 7 107" xfId="19935"/>
    <cellStyle name="Comma [0] TBD 7 108" xfId="19936"/>
    <cellStyle name="Comma [0] TBD- 7 108" xfId="19937"/>
    <cellStyle name="Comma [0] TBD 7 109" xfId="19938"/>
    <cellStyle name="Comma [0] TBD- 7 109" xfId="19939"/>
    <cellStyle name="Comma [0] TBD 7 11" xfId="19940"/>
    <cellStyle name="Comma [0] TBD- 7 11" xfId="19941"/>
    <cellStyle name="Comma [0] TBD 7 110" xfId="19942"/>
    <cellStyle name="Comma [0] TBD- 7 110" xfId="19943"/>
    <cellStyle name="Comma [0] TBD 7 111" xfId="19944"/>
    <cellStyle name="Comma [0] TBD- 7 111" xfId="19945"/>
    <cellStyle name="Comma [0] TBD 7 112" xfId="19946"/>
    <cellStyle name="Comma [0] TBD- 7 112" xfId="19947"/>
    <cellStyle name="Comma [0] TBD 7 113" xfId="19948"/>
    <cellStyle name="Comma [0] TBD- 7 113" xfId="19949"/>
    <cellStyle name="Comma [0] TBD 7 114" xfId="19950"/>
    <cellStyle name="Comma [0] TBD- 7 114" xfId="19951"/>
    <cellStyle name="Comma [0] TBD 7 115" xfId="19952"/>
    <cellStyle name="Comma [0] TBD- 7 115" xfId="19953"/>
    <cellStyle name="Comma [0] TBD 7 116" xfId="19954"/>
    <cellStyle name="Comma [0] TBD- 7 116" xfId="19955"/>
    <cellStyle name="Comma [0] TBD 7 117" xfId="19956"/>
    <cellStyle name="Comma [0] TBD- 7 117" xfId="19957"/>
    <cellStyle name="Comma [0] TBD 7 118" xfId="19958"/>
    <cellStyle name="Comma [0] TBD- 7 118" xfId="19959"/>
    <cellStyle name="Comma [0] TBD 7 119" xfId="19960"/>
    <cellStyle name="Comma [0] TBD- 7 119" xfId="19961"/>
    <cellStyle name="Comma [0] TBD 7 12" xfId="19962"/>
    <cellStyle name="Comma [0] TBD- 7 12" xfId="19963"/>
    <cellStyle name="Comma [0] TBD 7 120" xfId="19964"/>
    <cellStyle name="Comma [0] TBD- 7 120" xfId="19965"/>
    <cellStyle name="Comma [0] TBD 7 121" xfId="19966"/>
    <cellStyle name="Comma [0] TBD- 7 121" xfId="19967"/>
    <cellStyle name="Comma [0] TBD 7 122" xfId="19968"/>
    <cellStyle name="Comma [0] TBD- 7 122" xfId="19969"/>
    <cellStyle name="Comma [0] TBD 7 123" xfId="19970"/>
    <cellStyle name="Comma [0] TBD- 7 123" xfId="19971"/>
    <cellStyle name="Comma [0] TBD 7 124" xfId="19972"/>
    <cellStyle name="Comma [0] TBD- 7 124" xfId="19973"/>
    <cellStyle name="Comma [0] TBD 7 125" xfId="19974"/>
    <cellStyle name="Comma [0] TBD- 7 125" xfId="19975"/>
    <cellStyle name="Comma [0] TBD 7 126" xfId="19976"/>
    <cellStyle name="Comma [0] TBD- 7 126" xfId="19977"/>
    <cellStyle name="Comma [0] TBD 7 127" xfId="19978"/>
    <cellStyle name="Comma [0] TBD- 7 127" xfId="19979"/>
    <cellStyle name="Comma [0] TBD 7 128" xfId="19980"/>
    <cellStyle name="Comma [0] TBD- 7 128" xfId="19981"/>
    <cellStyle name="Comma [0] TBD 7 129" xfId="19982"/>
    <cellStyle name="Comma [0] TBD- 7 129" xfId="19983"/>
    <cellStyle name="Comma [0] TBD 7 13" xfId="19984"/>
    <cellStyle name="Comma [0] TBD- 7 13" xfId="19985"/>
    <cellStyle name="Comma [0] TBD 7 130" xfId="19986"/>
    <cellStyle name="Comma [0] TBD- 7 130" xfId="19987"/>
    <cellStyle name="Comma [0] TBD 7 131" xfId="19988"/>
    <cellStyle name="Comma [0] TBD- 7 131" xfId="19989"/>
    <cellStyle name="Comma [0] TBD 7 132" xfId="19990"/>
    <cellStyle name="Comma [0] TBD- 7 132" xfId="19991"/>
    <cellStyle name="Comma [0] TBD 7 133" xfId="19992"/>
    <cellStyle name="Comma [0] TBD- 7 133" xfId="19993"/>
    <cellStyle name="Comma [0] TBD 7 134" xfId="19994"/>
    <cellStyle name="Comma [0] TBD- 7 134" xfId="19995"/>
    <cellStyle name="Comma [0] TBD 7 135" xfId="19996"/>
    <cellStyle name="Comma [0] TBD- 7 135" xfId="19997"/>
    <cellStyle name="Comma [0] TBD 7 136" xfId="19998"/>
    <cellStyle name="Comma [0] TBD- 7 136" xfId="19999"/>
    <cellStyle name="Comma [0] TBD 7 137" xfId="20000"/>
    <cellStyle name="Comma [0] TBD- 7 137" xfId="20001"/>
    <cellStyle name="Comma [0] TBD 7 138" xfId="20002"/>
    <cellStyle name="Comma [0] TBD- 7 138" xfId="20003"/>
    <cellStyle name="Comma [0] TBD 7 139" xfId="20004"/>
    <cellStyle name="Comma [0] TBD- 7 139" xfId="20005"/>
    <cellStyle name="Comma [0] TBD 7 14" xfId="20006"/>
    <cellStyle name="Comma [0] TBD- 7 14" xfId="20007"/>
    <cellStyle name="Comma [0] TBD 7 140" xfId="20008"/>
    <cellStyle name="Comma [0] TBD- 7 140" xfId="20009"/>
    <cellStyle name="Comma [0] TBD 7 141" xfId="20010"/>
    <cellStyle name="Comma [0] TBD- 7 141" xfId="20011"/>
    <cellStyle name="Comma [0] TBD 7 142" xfId="20012"/>
    <cellStyle name="Comma [0] TBD- 7 142" xfId="20013"/>
    <cellStyle name="Comma [0] TBD 7 143" xfId="20014"/>
    <cellStyle name="Comma [0] TBD- 7 143" xfId="20015"/>
    <cellStyle name="Comma [0] TBD 7 144" xfId="20016"/>
    <cellStyle name="Comma [0] TBD- 7 144" xfId="20017"/>
    <cellStyle name="Comma [0] TBD 7 145" xfId="20018"/>
    <cellStyle name="Comma [0] TBD- 7 145" xfId="20019"/>
    <cellStyle name="Comma [0] TBD 7 146" xfId="20020"/>
    <cellStyle name="Comma [0] TBD- 7 146" xfId="20021"/>
    <cellStyle name="Comma [0] TBD 7 147" xfId="20022"/>
    <cellStyle name="Comma [0] TBD- 7 147" xfId="20023"/>
    <cellStyle name="Comma [0] TBD 7 148" xfId="20024"/>
    <cellStyle name="Comma [0] TBD- 7 148" xfId="20025"/>
    <cellStyle name="Comma [0] TBD 7 149" xfId="20026"/>
    <cellStyle name="Comma [0] TBD- 7 149" xfId="20027"/>
    <cellStyle name="Comma [0] TBD 7 15" xfId="20028"/>
    <cellStyle name="Comma [0] TBD- 7 15" xfId="20029"/>
    <cellStyle name="Comma [0] TBD 7 150" xfId="20030"/>
    <cellStyle name="Comma [0] TBD- 7 150" xfId="20031"/>
    <cellStyle name="Comma [0] TBD 7 151" xfId="20032"/>
    <cellStyle name="Comma [0] TBD- 7 151" xfId="20033"/>
    <cellStyle name="Comma [0] TBD 7 152" xfId="20034"/>
    <cellStyle name="Comma [0] TBD- 7 152" xfId="20035"/>
    <cellStyle name="Comma [0] TBD 7 153" xfId="20036"/>
    <cellStyle name="Comma [0] TBD- 7 153" xfId="20037"/>
    <cellStyle name="Comma [0] TBD 7 154" xfId="20038"/>
    <cellStyle name="Comma [0] TBD- 7 154" xfId="20039"/>
    <cellStyle name="Comma [0] TBD 7 16" xfId="20040"/>
    <cellStyle name="Comma [0] TBD- 7 16" xfId="20041"/>
    <cellStyle name="Comma [0] TBD 7 17" xfId="20042"/>
    <cellStyle name="Comma [0] TBD- 7 17" xfId="20043"/>
    <cellStyle name="Comma [0] TBD 7 18" xfId="20044"/>
    <cellStyle name="Comma [0] TBD- 7 18" xfId="20045"/>
    <cellStyle name="Comma [0] TBD 7 19" xfId="20046"/>
    <cellStyle name="Comma [0] TBD- 7 19" xfId="20047"/>
    <cellStyle name="Comma [0] TBD 7 2" xfId="20048"/>
    <cellStyle name="Comma [0] TBD- 7 2" xfId="20049"/>
    <cellStyle name="Comma [0] TBD 7 20" xfId="20050"/>
    <cellStyle name="Comma [0] TBD- 7 20" xfId="20051"/>
    <cellStyle name="Comma [0] TBD 7 21" xfId="20052"/>
    <cellStyle name="Comma [0] TBD- 7 21" xfId="20053"/>
    <cellStyle name="Comma [0] TBD 7 22" xfId="20054"/>
    <cellStyle name="Comma [0] TBD- 7 22" xfId="20055"/>
    <cellStyle name="Comma [0] TBD 7 23" xfId="20056"/>
    <cellStyle name="Comma [0] TBD- 7 23" xfId="20057"/>
    <cellStyle name="Comma [0] TBD 7 24" xfId="20058"/>
    <cellStyle name="Comma [0] TBD- 7 24" xfId="20059"/>
    <cellStyle name="Comma [0] TBD 7 25" xfId="20060"/>
    <cellStyle name="Comma [0] TBD- 7 25" xfId="20061"/>
    <cellStyle name="Comma [0] TBD 7 26" xfId="20062"/>
    <cellStyle name="Comma [0] TBD- 7 26" xfId="20063"/>
    <cellStyle name="Comma [0] TBD 7 27" xfId="20064"/>
    <cellStyle name="Comma [0] TBD- 7 27" xfId="20065"/>
    <cellStyle name="Comma [0] TBD 7 28" xfId="20066"/>
    <cellStyle name="Comma [0] TBD- 7 28" xfId="20067"/>
    <cellStyle name="Comma [0] TBD 7 29" xfId="20068"/>
    <cellStyle name="Comma [0] TBD- 7 29" xfId="20069"/>
    <cellStyle name="Comma [0] TBD 7 3" xfId="20070"/>
    <cellStyle name="Comma [0] TBD- 7 3" xfId="20071"/>
    <cellStyle name="Comma [0] TBD 7 30" xfId="20072"/>
    <cellStyle name="Comma [0] TBD- 7 30" xfId="20073"/>
    <cellStyle name="Comma [0] TBD 7 31" xfId="20074"/>
    <cellStyle name="Comma [0] TBD- 7 31" xfId="20075"/>
    <cellStyle name="Comma [0] TBD 7 32" xfId="20076"/>
    <cellStyle name="Comma [0] TBD- 7 32" xfId="20077"/>
    <cellStyle name="Comma [0] TBD 7 33" xfId="20078"/>
    <cellStyle name="Comma [0] TBD- 7 33" xfId="20079"/>
    <cellStyle name="Comma [0] TBD 7 34" xfId="20080"/>
    <cellStyle name="Comma [0] TBD- 7 34" xfId="20081"/>
    <cellStyle name="Comma [0] TBD 7 35" xfId="20082"/>
    <cellStyle name="Comma [0] TBD- 7 35" xfId="20083"/>
    <cellStyle name="Comma [0] TBD 7 36" xfId="20084"/>
    <cellStyle name="Comma [0] TBD- 7 36" xfId="20085"/>
    <cellStyle name="Comma [0] TBD 7 37" xfId="20086"/>
    <cellStyle name="Comma [0] TBD- 7 37" xfId="20087"/>
    <cellStyle name="Comma [0] TBD 7 38" xfId="20088"/>
    <cellStyle name="Comma [0] TBD- 7 38" xfId="20089"/>
    <cellStyle name="Comma [0] TBD 7 39" xfId="20090"/>
    <cellStyle name="Comma [0] TBD- 7 39" xfId="20091"/>
    <cellStyle name="Comma [0] TBD 7 4" xfId="20092"/>
    <cellStyle name="Comma [0] TBD- 7 4" xfId="20093"/>
    <cellStyle name="Comma [0] TBD 7 40" xfId="20094"/>
    <cellStyle name="Comma [0] TBD- 7 40" xfId="20095"/>
    <cellStyle name="Comma [0] TBD 7 41" xfId="20096"/>
    <cellStyle name="Comma [0] TBD- 7 41" xfId="20097"/>
    <cellStyle name="Comma [0] TBD 7 42" xfId="20098"/>
    <cellStyle name="Comma [0] TBD- 7 42" xfId="20099"/>
    <cellStyle name="Comma [0] TBD 7 43" xfId="20100"/>
    <cellStyle name="Comma [0] TBD- 7 43" xfId="20101"/>
    <cellStyle name="Comma [0] TBD 7 44" xfId="20102"/>
    <cellStyle name="Comma [0] TBD- 7 44" xfId="20103"/>
    <cellStyle name="Comma [0] TBD 7 45" xfId="20104"/>
    <cellStyle name="Comma [0] TBD- 7 45" xfId="20105"/>
    <cellStyle name="Comma [0] TBD 7 46" xfId="20106"/>
    <cellStyle name="Comma [0] TBD- 7 46" xfId="20107"/>
    <cellStyle name="Comma [0] TBD 7 47" xfId="20108"/>
    <cellStyle name="Comma [0] TBD- 7 47" xfId="20109"/>
    <cellStyle name="Comma [0] TBD 7 48" xfId="20110"/>
    <cellStyle name="Comma [0] TBD- 7 48" xfId="20111"/>
    <cellStyle name="Comma [0] TBD 7 49" xfId="20112"/>
    <cellStyle name="Comma [0] TBD- 7 49" xfId="20113"/>
    <cellStyle name="Comma [0] TBD 7 5" xfId="20114"/>
    <cellStyle name="Comma [0] TBD- 7 5" xfId="20115"/>
    <cellStyle name="Comma [0] TBD 7 50" xfId="20116"/>
    <cellStyle name="Comma [0] TBD- 7 50" xfId="20117"/>
    <cellStyle name="Comma [0] TBD 7 51" xfId="20118"/>
    <cellStyle name="Comma [0] TBD- 7 51" xfId="20119"/>
    <cellStyle name="Comma [0] TBD 7 52" xfId="20120"/>
    <cellStyle name="Comma [0] TBD- 7 52" xfId="20121"/>
    <cellStyle name="Comma [0] TBD 7 53" xfId="20122"/>
    <cellStyle name="Comma [0] TBD- 7 53" xfId="20123"/>
    <cellStyle name="Comma [0] TBD 7 54" xfId="20124"/>
    <cellStyle name="Comma [0] TBD- 7 54" xfId="20125"/>
    <cellStyle name="Comma [0] TBD 7 55" xfId="20126"/>
    <cellStyle name="Comma [0] TBD- 7 55" xfId="20127"/>
    <cellStyle name="Comma [0] TBD 7 56" xfId="20128"/>
    <cellStyle name="Comma [0] TBD- 7 56" xfId="20129"/>
    <cellStyle name="Comma [0] TBD 7 57" xfId="20130"/>
    <cellStyle name="Comma [0] TBD- 7 57" xfId="20131"/>
    <cellStyle name="Comma [0] TBD 7 58" xfId="20132"/>
    <cellStyle name="Comma [0] TBD- 7 58" xfId="20133"/>
    <cellStyle name="Comma [0] TBD 7 59" xfId="20134"/>
    <cellStyle name="Comma [0] TBD- 7 59" xfId="20135"/>
    <cellStyle name="Comma [0] TBD 7 6" xfId="20136"/>
    <cellStyle name="Comma [0] TBD- 7 6" xfId="20137"/>
    <cellStyle name="Comma [0] TBD 7 60" xfId="20138"/>
    <cellStyle name="Comma [0] TBD- 7 60" xfId="20139"/>
    <cellStyle name="Comma [0] TBD 7 61" xfId="20140"/>
    <cellStyle name="Comma [0] TBD- 7 61" xfId="20141"/>
    <cellStyle name="Comma [0] TBD 7 62" xfId="20142"/>
    <cellStyle name="Comma [0] TBD- 7 62" xfId="20143"/>
    <cellStyle name="Comma [0] TBD 7 63" xfId="20144"/>
    <cellStyle name="Comma [0] TBD- 7 63" xfId="20145"/>
    <cellStyle name="Comma [0] TBD 7 64" xfId="20146"/>
    <cellStyle name="Comma [0] TBD- 7 64" xfId="20147"/>
    <cellStyle name="Comma [0] TBD 7 65" xfId="20148"/>
    <cellStyle name="Comma [0] TBD- 7 65" xfId="20149"/>
    <cellStyle name="Comma [0] TBD 7 66" xfId="20150"/>
    <cellStyle name="Comma [0] TBD- 7 66" xfId="20151"/>
    <cellStyle name="Comma [0] TBD 7 67" xfId="20152"/>
    <cellStyle name="Comma [0] TBD- 7 67" xfId="20153"/>
    <cellStyle name="Comma [0] TBD 7 68" xfId="20154"/>
    <cellStyle name="Comma [0] TBD- 7 68" xfId="20155"/>
    <cellStyle name="Comma [0] TBD 7 69" xfId="20156"/>
    <cellStyle name="Comma [0] TBD- 7 69" xfId="20157"/>
    <cellStyle name="Comma [0] TBD 7 7" xfId="20158"/>
    <cellStyle name="Comma [0] TBD- 7 7" xfId="20159"/>
    <cellStyle name="Comma [0] TBD 7 70" xfId="20160"/>
    <cellStyle name="Comma [0] TBD- 7 70" xfId="20161"/>
    <cellStyle name="Comma [0] TBD 7 71" xfId="20162"/>
    <cellStyle name="Comma [0] TBD- 7 71" xfId="20163"/>
    <cellStyle name="Comma [0] TBD 7 72" xfId="20164"/>
    <cellStyle name="Comma [0] TBD- 7 72" xfId="20165"/>
    <cellStyle name="Comma [0] TBD 7 73" xfId="20166"/>
    <cellStyle name="Comma [0] TBD- 7 73" xfId="20167"/>
    <cellStyle name="Comma [0] TBD 7 74" xfId="20168"/>
    <cellStyle name="Comma [0] TBD- 7 74" xfId="20169"/>
    <cellStyle name="Comma [0] TBD 7 75" xfId="20170"/>
    <cellStyle name="Comma [0] TBD- 7 75" xfId="20171"/>
    <cellStyle name="Comma [0] TBD 7 76" xfId="20172"/>
    <cellStyle name="Comma [0] TBD- 7 76" xfId="20173"/>
    <cellStyle name="Comma [0] TBD 7 77" xfId="20174"/>
    <cellStyle name="Comma [0] TBD- 7 77" xfId="20175"/>
    <cellStyle name="Comma [0] TBD 7 78" xfId="20176"/>
    <cellStyle name="Comma [0] TBD- 7 78" xfId="20177"/>
    <cellStyle name="Comma [0] TBD 7 79" xfId="20178"/>
    <cellStyle name="Comma [0] TBD- 7 79" xfId="20179"/>
    <cellStyle name="Comma [0] TBD 7 8" xfId="20180"/>
    <cellStyle name="Comma [0] TBD- 7 8" xfId="20181"/>
    <cellStyle name="Comma [0] TBD 7 80" xfId="20182"/>
    <cellStyle name="Comma [0] TBD- 7 80" xfId="20183"/>
    <cellStyle name="Comma [0] TBD 7 81" xfId="20184"/>
    <cellStyle name="Comma [0] TBD- 7 81" xfId="20185"/>
    <cellStyle name="Comma [0] TBD 7 82" xfId="20186"/>
    <cellStyle name="Comma [0] TBD- 7 82" xfId="20187"/>
    <cellStyle name="Comma [0] TBD 7 83" xfId="20188"/>
    <cellStyle name="Comma [0] TBD- 7 83" xfId="20189"/>
    <cellStyle name="Comma [0] TBD 7 84" xfId="20190"/>
    <cellStyle name="Comma [0] TBD- 7 84" xfId="20191"/>
    <cellStyle name="Comma [0] TBD 7 85" xfId="20192"/>
    <cellStyle name="Comma [0] TBD- 7 85" xfId="20193"/>
    <cellStyle name="Comma [0] TBD 7 86" xfId="20194"/>
    <cellStyle name="Comma [0] TBD- 7 86" xfId="20195"/>
    <cellStyle name="Comma [0] TBD 7 87" xfId="20196"/>
    <cellStyle name="Comma [0] TBD- 7 87" xfId="20197"/>
    <cellStyle name="Comma [0] TBD 7 88" xfId="20198"/>
    <cellStyle name="Comma [0] TBD- 7 88" xfId="20199"/>
    <cellStyle name="Comma [0] TBD 7 89" xfId="20200"/>
    <cellStyle name="Comma [0] TBD- 7 89" xfId="20201"/>
    <cellStyle name="Comma [0] TBD 7 9" xfId="20202"/>
    <cellStyle name="Comma [0] TBD- 7 9" xfId="20203"/>
    <cellStyle name="Comma [0] TBD 7 90" xfId="20204"/>
    <cellStyle name="Comma [0] TBD- 7 90" xfId="20205"/>
    <cellStyle name="Comma [0] TBD 7 91" xfId="20206"/>
    <cellStyle name="Comma [0] TBD- 7 91" xfId="20207"/>
    <cellStyle name="Comma [0] TBD 7 92" xfId="20208"/>
    <cellStyle name="Comma [0] TBD- 7 92" xfId="20209"/>
    <cellStyle name="Comma [0] TBD 7 93" xfId="20210"/>
    <cellStyle name="Comma [0] TBD- 7 93" xfId="20211"/>
    <cellStyle name="Comma [0] TBD 7 94" xfId="20212"/>
    <cellStyle name="Comma [0] TBD- 7 94" xfId="20213"/>
    <cellStyle name="Comma [0] TBD 7 95" xfId="20214"/>
    <cellStyle name="Comma [0] TBD- 7 95" xfId="20215"/>
    <cellStyle name="Comma [0] TBD 7 96" xfId="20216"/>
    <cellStyle name="Comma [0] TBD- 7 96" xfId="20217"/>
    <cellStyle name="Comma [0] TBD 7 97" xfId="20218"/>
    <cellStyle name="Comma [0] TBD- 7 97" xfId="20219"/>
    <cellStyle name="Comma [0] TBD 7 98" xfId="20220"/>
    <cellStyle name="Comma [0] TBD- 7 98" xfId="20221"/>
    <cellStyle name="Comma [0] TBD 7 99" xfId="20222"/>
    <cellStyle name="Comma [0] TBD- 7 99" xfId="20223"/>
    <cellStyle name="Comma [0] TBD 8" xfId="20224"/>
    <cellStyle name="Comma [0] TBD- 8" xfId="20225"/>
    <cellStyle name="Comma [0] TBD 8 10" xfId="20226"/>
    <cellStyle name="Comma [0] TBD- 8 10" xfId="20227"/>
    <cellStyle name="Comma [0] TBD 8 100" xfId="20228"/>
    <cellStyle name="Comma [0] TBD- 8 100" xfId="20229"/>
    <cellStyle name="Comma [0] TBD 8 101" xfId="20230"/>
    <cellStyle name="Comma [0] TBD- 8 101" xfId="20231"/>
    <cellStyle name="Comma [0] TBD 8 102" xfId="20232"/>
    <cellStyle name="Comma [0] TBD- 8 102" xfId="20233"/>
    <cellStyle name="Comma [0] TBD 8 103" xfId="20234"/>
    <cellStyle name="Comma [0] TBD- 8 103" xfId="20235"/>
    <cellStyle name="Comma [0] TBD 8 104" xfId="20236"/>
    <cellStyle name="Comma [0] TBD- 8 104" xfId="20237"/>
    <cellStyle name="Comma [0] TBD 8 105" xfId="20238"/>
    <cellStyle name="Comma [0] TBD- 8 105" xfId="20239"/>
    <cellStyle name="Comma [0] TBD 8 106" xfId="20240"/>
    <cellStyle name="Comma [0] TBD- 8 106" xfId="20241"/>
    <cellStyle name="Comma [0] TBD 8 107" xfId="20242"/>
    <cellStyle name="Comma [0] TBD- 8 107" xfId="20243"/>
    <cellStyle name="Comma [0] TBD 8 108" xfId="20244"/>
    <cellStyle name="Comma [0] TBD- 8 108" xfId="20245"/>
    <cellStyle name="Comma [0] TBD 8 109" xfId="20246"/>
    <cellStyle name="Comma [0] TBD- 8 109" xfId="20247"/>
    <cellStyle name="Comma [0] TBD 8 11" xfId="20248"/>
    <cellStyle name="Comma [0] TBD- 8 11" xfId="20249"/>
    <cellStyle name="Comma [0] TBD 8 110" xfId="20250"/>
    <cellStyle name="Comma [0] TBD- 8 110" xfId="20251"/>
    <cellStyle name="Comma [0] TBD 8 111" xfId="20252"/>
    <cellStyle name="Comma [0] TBD- 8 111" xfId="20253"/>
    <cellStyle name="Comma [0] TBD 8 112" xfId="20254"/>
    <cellStyle name="Comma [0] TBD- 8 112" xfId="20255"/>
    <cellStyle name="Comma [0] TBD 8 113" xfId="20256"/>
    <cellStyle name="Comma [0] TBD- 8 113" xfId="20257"/>
    <cellStyle name="Comma [0] TBD 8 114" xfId="20258"/>
    <cellStyle name="Comma [0] TBD- 8 114" xfId="20259"/>
    <cellStyle name="Comma [0] TBD 8 115" xfId="20260"/>
    <cellStyle name="Comma [0] TBD- 8 115" xfId="20261"/>
    <cellStyle name="Comma [0] TBD 8 116" xfId="20262"/>
    <cellStyle name="Comma [0] TBD- 8 116" xfId="20263"/>
    <cellStyle name="Comma [0] TBD 8 117" xfId="20264"/>
    <cellStyle name="Comma [0] TBD- 8 117" xfId="20265"/>
    <cellStyle name="Comma [0] TBD 8 118" xfId="20266"/>
    <cellStyle name="Comma [0] TBD- 8 118" xfId="20267"/>
    <cellStyle name="Comma [0] TBD 8 119" xfId="20268"/>
    <cellStyle name="Comma [0] TBD- 8 119" xfId="20269"/>
    <cellStyle name="Comma [0] TBD 8 12" xfId="20270"/>
    <cellStyle name="Comma [0] TBD- 8 12" xfId="20271"/>
    <cellStyle name="Comma [0] TBD 8 120" xfId="20272"/>
    <cellStyle name="Comma [0] TBD- 8 120" xfId="20273"/>
    <cellStyle name="Comma [0] TBD 8 121" xfId="20274"/>
    <cellStyle name="Comma [0] TBD- 8 121" xfId="20275"/>
    <cellStyle name="Comma [0] TBD 8 122" xfId="20276"/>
    <cellStyle name="Comma [0] TBD- 8 122" xfId="20277"/>
    <cellStyle name="Comma [0] TBD 8 123" xfId="20278"/>
    <cellStyle name="Comma [0] TBD- 8 123" xfId="20279"/>
    <cellStyle name="Comma [0] TBD 8 124" xfId="20280"/>
    <cellStyle name="Comma [0] TBD- 8 124" xfId="20281"/>
    <cellStyle name="Comma [0] TBD 8 125" xfId="20282"/>
    <cellStyle name="Comma [0] TBD- 8 125" xfId="20283"/>
    <cellStyle name="Comma [0] TBD 8 126" xfId="20284"/>
    <cellStyle name="Comma [0] TBD- 8 126" xfId="20285"/>
    <cellStyle name="Comma [0] TBD 8 127" xfId="20286"/>
    <cellStyle name="Comma [0] TBD- 8 127" xfId="20287"/>
    <cellStyle name="Comma [0] TBD 8 128" xfId="20288"/>
    <cellStyle name="Comma [0] TBD- 8 128" xfId="20289"/>
    <cellStyle name="Comma [0] TBD 8 129" xfId="20290"/>
    <cellStyle name="Comma [0] TBD- 8 129" xfId="20291"/>
    <cellStyle name="Comma [0] TBD 8 13" xfId="20292"/>
    <cellStyle name="Comma [0] TBD- 8 13" xfId="20293"/>
    <cellStyle name="Comma [0] TBD 8 130" xfId="20294"/>
    <cellStyle name="Comma [0] TBD- 8 130" xfId="20295"/>
    <cellStyle name="Comma [0] TBD 8 131" xfId="20296"/>
    <cellStyle name="Comma [0] TBD- 8 131" xfId="20297"/>
    <cellStyle name="Comma [0] TBD 8 132" xfId="20298"/>
    <cellStyle name="Comma [0] TBD- 8 132" xfId="20299"/>
    <cellStyle name="Comma [0] TBD 8 133" xfId="20300"/>
    <cellStyle name="Comma [0] TBD- 8 133" xfId="20301"/>
    <cellStyle name="Comma [0] TBD 8 134" xfId="20302"/>
    <cellStyle name="Comma [0] TBD- 8 134" xfId="20303"/>
    <cellStyle name="Comma [0] TBD 8 135" xfId="20304"/>
    <cellStyle name="Comma [0] TBD- 8 135" xfId="20305"/>
    <cellStyle name="Comma [0] TBD 8 136" xfId="20306"/>
    <cellStyle name="Comma [0] TBD- 8 136" xfId="20307"/>
    <cellStyle name="Comma [0] TBD 8 137" xfId="20308"/>
    <cellStyle name="Comma [0] TBD- 8 137" xfId="20309"/>
    <cellStyle name="Comma [0] TBD 8 138" xfId="20310"/>
    <cellStyle name="Comma [0] TBD- 8 138" xfId="20311"/>
    <cellStyle name="Comma [0] TBD 8 139" xfId="20312"/>
    <cellStyle name="Comma [0] TBD- 8 139" xfId="20313"/>
    <cellStyle name="Comma [0] TBD 8 14" xfId="20314"/>
    <cellStyle name="Comma [0] TBD- 8 14" xfId="20315"/>
    <cellStyle name="Comma [0] TBD 8 140" xfId="20316"/>
    <cellStyle name="Comma [0] TBD- 8 140" xfId="20317"/>
    <cellStyle name="Comma [0] TBD 8 141" xfId="20318"/>
    <cellStyle name="Comma [0] TBD- 8 141" xfId="20319"/>
    <cellStyle name="Comma [0] TBD 8 142" xfId="20320"/>
    <cellStyle name="Comma [0] TBD- 8 142" xfId="20321"/>
    <cellStyle name="Comma [0] TBD 8 143" xfId="20322"/>
    <cellStyle name="Comma [0] TBD- 8 143" xfId="20323"/>
    <cellStyle name="Comma [0] TBD 8 144" xfId="20324"/>
    <cellStyle name="Comma [0] TBD- 8 144" xfId="20325"/>
    <cellStyle name="Comma [0] TBD 8 145" xfId="20326"/>
    <cellStyle name="Comma [0] TBD- 8 145" xfId="20327"/>
    <cellStyle name="Comma [0] TBD 8 146" xfId="20328"/>
    <cellStyle name="Comma [0] TBD- 8 146" xfId="20329"/>
    <cellStyle name="Comma [0] TBD 8 147" xfId="20330"/>
    <cellStyle name="Comma [0] TBD- 8 147" xfId="20331"/>
    <cellStyle name="Comma [0] TBD 8 148" xfId="20332"/>
    <cellStyle name="Comma [0] TBD- 8 148" xfId="20333"/>
    <cellStyle name="Comma [0] TBD 8 149" xfId="20334"/>
    <cellStyle name="Comma [0] TBD- 8 149" xfId="20335"/>
    <cellStyle name="Comma [0] TBD 8 15" xfId="20336"/>
    <cellStyle name="Comma [0] TBD- 8 15" xfId="20337"/>
    <cellStyle name="Comma [0] TBD 8 150" xfId="20338"/>
    <cellStyle name="Comma [0] TBD- 8 150" xfId="20339"/>
    <cellStyle name="Comma [0] TBD 8 151" xfId="20340"/>
    <cellStyle name="Comma [0] TBD- 8 151" xfId="20341"/>
    <cellStyle name="Comma [0] TBD 8 152" xfId="20342"/>
    <cellStyle name="Comma [0] TBD- 8 152" xfId="20343"/>
    <cellStyle name="Comma [0] TBD 8 153" xfId="20344"/>
    <cellStyle name="Comma [0] TBD- 8 153" xfId="20345"/>
    <cellStyle name="Comma [0] TBD 8 154" xfId="20346"/>
    <cellStyle name="Comma [0] TBD- 8 154" xfId="20347"/>
    <cellStyle name="Comma [0] TBD 8 16" xfId="20348"/>
    <cellStyle name="Comma [0] TBD- 8 16" xfId="20349"/>
    <cellStyle name="Comma [0] TBD 8 17" xfId="20350"/>
    <cellStyle name="Comma [0] TBD- 8 17" xfId="20351"/>
    <cellStyle name="Comma [0] TBD 8 18" xfId="20352"/>
    <cellStyle name="Comma [0] TBD- 8 18" xfId="20353"/>
    <cellStyle name="Comma [0] TBD 8 19" xfId="20354"/>
    <cellStyle name="Comma [0] TBD- 8 19" xfId="20355"/>
    <cellStyle name="Comma [0] TBD 8 2" xfId="20356"/>
    <cellStyle name="Comma [0] TBD- 8 2" xfId="20357"/>
    <cellStyle name="Comma [0] TBD 8 20" xfId="20358"/>
    <cellStyle name="Comma [0] TBD- 8 20" xfId="20359"/>
    <cellStyle name="Comma [0] TBD 8 21" xfId="20360"/>
    <cellStyle name="Comma [0] TBD- 8 21" xfId="20361"/>
    <cellStyle name="Comma [0] TBD 8 22" xfId="20362"/>
    <cellStyle name="Comma [0] TBD- 8 22" xfId="20363"/>
    <cellStyle name="Comma [0] TBD 8 23" xfId="20364"/>
    <cellStyle name="Comma [0] TBD- 8 23" xfId="20365"/>
    <cellStyle name="Comma [0] TBD 8 24" xfId="20366"/>
    <cellStyle name="Comma [0] TBD- 8 24" xfId="20367"/>
    <cellStyle name="Comma [0] TBD 8 25" xfId="20368"/>
    <cellStyle name="Comma [0] TBD- 8 25" xfId="20369"/>
    <cellStyle name="Comma [0] TBD 8 26" xfId="20370"/>
    <cellStyle name="Comma [0] TBD- 8 26" xfId="20371"/>
    <cellStyle name="Comma [0] TBD 8 27" xfId="20372"/>
    <cellStyle name="Comma [0] TBD- 8 27" xfId="20373"/>
    <cellStyle name="Comma [0] TBD 8 28" xfId="20374"/>
    <cellStyle name="Comma [0] TBD- 8 28" xfId="20375"/>
    <cellStyle name="Comma [0] TBD 8 29" xfId="20376"/>
    <cellStyle name="Comma [0] TBD- 8 29" xfId="20377"/>
    <cellStyle name="Comma [0] TBD 8 3" xfId="20378"/>
    <cellStyle name="Comma [0] TBD- 8 3" xfId="20379"/>
    <cellStyle name="Comma [0] TBD 8 30" xfId="20380"/>
    <cellStyle name="Comma [0] TBD- 8 30" xfId="20381"/>
    <cellStyle name="Comma [0] TBD 8 31" xfId="20382"/>
    <cellStyle name="Comma [0] TBD- 8 31" xfId="20383"/>
    <cellStyle name="Comma [0] TBD 8 32" xfId="20384"/>
    <cellStyle name="Comma [0] TBD- 8 32" xfId="20385"/>
    <cellStyle name="Comma [0] TBD 8 33" xfId="20386"/>
    <cellStyle name="Comma [0] TBD- 8 33" xfId="20387"/>
    <cellStyle name="Comma [0] TBD 8 34" xfId="20388"/>
    <cellStyle name="Comma [0] TBD- 8 34" xfId="20389"/>
    <cellStyle name="Comma [0] TBD 8 35" xfId="20390"/>
    <cellStyle name="Comma [0] TBD- 8 35" xfId="20391"/>
    <cellStyle name="Comma [0] TBD 8 36" xfId="20392"/>
    <cellStyle name="Comma [0] TBD- 8 36" xfId="20393"/>
    <cellStyle name="Comma [0] TBD 8 37" xfId="20394"/>
    <cellStyle name="Comma [0] TBD- 8 37" xfId="20395"/>
    <cellStyle name="Comma [0] TBD 8 38" xfId="20396"/>
    <cellStyle name="Comma [0] TBD- 8 38" xfId="20397"/>
    <cellStyle name="Comma [0] TBD 8 39" xfId="20398"/>
    <cellStyle name="Comma [0] TBD- 8 39" xfId="20399"/>
    <cellStyle name="Comma [0] TBD 8 4" xfId="20400"/>
    <cellStyle name="Comma [0] TBD- 8 4" xfId="20401"/>
    <cellStyle name="Comma [0] TBD 8 40" xfId="20402"/>
    <cellStyle name="Comma [0] TBD- 8 40" xfId="20403"/>
    <cellStyle name="Comma [0] TBD 8 41" xfId="20404"/>
    <cellStyle name="Comma [0] TBD- 8 41" xfId="20405"/>
    <cellStyle name="Comma [0] TBD 8 42" xfId="20406"/>
    <cellStyle name="Comma [0] TBD- 8 42" xfId="20407"/>
    <cellStyle name="Comma [0] TBD 8 43" xfId="20408"/>
    <cellStyle name="Comma [0] TBD- 8 43" xfId="20409"/>
    <cellStyle name="Comma [0] TBD 8 44" xfId="20410"/>
    <cellStyle name="Comma [0] TBD- 8 44" xfId="20411"/>
    <cellStyle name="Comma [0] TBD 8 45" xfId="20412"/>
    <cellStyle name="Comma [0] TBD- 8 45" xfId="20413"/>
    <cellStyle name="Comma [0] TBD 8 46" xfId="20414"/>
    <cellStyle name="Comma [0] TBD- 8 46" xfId="20415"/>
    <cellStyle name="Comma [0] TBD 8 47" xfId="20416"/>
    <cellStyle name="Comma [0] TBD- 8 47" xfId="20417"/>
    <cellStyle name="Comma [0] TBD 8 48" xfId="20418"/>
    <cellStyle name="Comma [0] TBD- 8 48" xfId="20419"/>
    <cellStyle name="Comma [0] TBD 8 49" xfId="20420"/>
    <cellStyle name="Comma [0] TBD- 8 49" xfId="20421"/>
    <cellStyle name="Comma [0] TBD 8 5" xfId="20422"/>
    <cellStyle name="Comma [0] TBD- 8 5" xfId="20423"/>
    <cellStyle name="Comma [0] TBD 8 50" xfId="20424"/>
    <cellStyle name="Comma [0] TBD- 8 50" xfId="20425"/>
    <cellStyle name="Comma [0] TBD 8 51" xfId="20426"/>
    <cellStyle name="Comma [0] TBD- 8 51" xfId="20427"/>
    <cellStyle name="Comma [0] TBD 8 52" xfId="20428"/>
    <cellStyle name="Comma [0] TBD- 8 52" xfId="20429"/>
    <cellStyle name="Comma [0] TBD 8 53" xfId="20430"/>
    <cellStyle name="Comma [0] TBD- 8 53" xfId="20431"/>
    <cellStyle name="Comma [0] TBD 8 54" xfId="20432"/>
    <cellStyle name="Comma [0] TBD- 8 54" xfId="20433"/>
    <cellStyle name="Comma [0] TBD 8 55" xfId="20434"/>
    <cellStyle name="Comma [0] TBD- 8 55" xfId="20435"/>
    <cellStyle name="Comma [0] TBD 8 56" xfId="20436"/>
    <cellStyle name="Comma [0] TBD- 8 56" xfId="20437"/>
    <cellStyle name="Comma [0] TBD 8 57" xfId="20438"/>
    <cellStyle name="Comma [0] TBD- 8 57" xfId="20439"/>
    <cellStyle name="Comma [0] TBD 8 58" xfId="20440"/>
    <cellStyle name="Comma [0] TBD- 8 58" xfId="20441"/>
    <cellStyle name="Comma [0] TBD 8 59" xfId="20442"/>
    <cellStyle name="Comma [0] TBD- 8 59" xfId="20443"/>
    <cellStyle name="Comma [0] TBD 8 6" xfId="20444"/>
    <cellStyle name="Comma [0] TBD- 8 6" xfId="20445"/>
    <cellStyle name="Comma [0] TBD 8 60" xfId="20446"/>
    <cellStyle name="Comma [0] TBD- 8 60" xfId="20447"/>
    <cellStyle name="Comma [0] TBD 8 61" xfId="20448"/>
    <cellStyle name="Comma [0] TBD- 8 61" xfId="20449"/>
    <cellStyle name="Comma [0] TBD 8 62" xfId="20450"/>
    <cellStyle name="Comma [0] TBD- 8 62" xfId="20451"/>
    <cellStyle name="Comma [0] TBD 8 63" xfId="20452"/>
    <cellStyle name="Comma [0] TBD- 8 63" xfId="20453"/>
    <cellStyle name="Comma [0] TBD 8 64" xfId="20454"/>
    <cellStyle name="Comma [0] TBD- 8 64" xfId="20455"/>
    <cellStyle name="Comma [0] TBD 8 65" xfId="20456"/>
    <cellStyle name="Comma [0] TBD- 8 65" xfId="20457"/>
    <cellStyle name="Comma [0] TBD 8 66" xfId="20458"/>
    <cellStyle name="Comma [0] TBD- 8 66" xfId="20459"/>
    <cellStyle name="Comma [0] TBD 8 67" xfId="20460"/>
    <cellStyle name="Comma [0] TBD- 8 67" xfId="20461"/>
    <cellStyle name="Comma [0] TBD 8 68" xfId="20462"/>
    <cellStyle name="Comma [0] TBD- 8 68" xfId="20463"/>
    <cellStyle name="Comma [0] TBD 8 69" xfId="20464"/>
    <cellStyle name="Comma [0] TBD- 8 69" xfId="20465"/>
    <cellStyle name="Comma [0] TBD 8 7" xfId="20466"/>
    <cellStyle name="Comma [0] TBD- 8 7" xfId="20467"/>
    <cellStyle name="Comma [0] TBD 8 70" xfId="20468"/>
    <cellStyle name="Comma [0] TBD- 8 70" xfId="20469"/>
    <cellStyle name="Comma [0] TBD 8 71" xfId="20470"/>
    <cellStyle name="Comma [0] TBD- 8 71" xfId="20471"/>
    <cellStyle name="Comma [0] TBD 8 72" xfId="20472"/>
    <cellStyle name="Comma [0] TBD- 8 72" xfId="20473"/>
    <cellStyle name="Comma [0] TBD 8 73" xfId="20474"/>
    <cellStyle name="Comma [0] TBD- 8 73" xfId="20475"/>
    <cellStyle name="Comma [0] TBD 8 74" xfId="20476"/>
    <cellStyle name="Comma [0] TBD- 8 74" xfId="20477"/>
    <cellStyle name="Comma [0] TBD 8 75" xfId="20478"/>
    <cellStyle name="Comma [0] TBD- 8 75" xfId="20479"/>
    <cellStyle name="Comma [0] TBD 8 76" xfId="20480"/>
    <cellStyle name="Comma [0] TBD- 8 76" xfId="20481"/>
    <cellStyle name="Comma [0] TBD 8 77" xfId="20482"/>
    <cellStyle name="Comma [0] TBD- 8 77" xfId="20483"/>
    <cellStyle name="Comma [0] TBD 8 78" xfId="20484"/>
    <cellStyle name="Comma [0] TBD- 8 78" xfId="20485"/>
    <cellStyle name="Comma [0] TBD 8 79" xfId="20486"/>
    <cellStyle name="Comma [0] TBD- 8 79" xfId="20487"/>
    <cellStyle name="Comma [0] TBD 8 8" xfId="20488"/>
    <cellStyle name="Comma [0] TBD- 8 8" xfId="20489"/>
    <cellStyle name="Comma [0] TBD 8 80" xfId="20490"/>
    <cellStyle name="Comma [0] TBD- 8 80" xfId="20491"/>
    <cellStyle name="Comma [0] TBD 8 81" xfId="20492"/>
    <cellStyle name="Comma [0] TBD- 8 81" xfId="20493"/>
    <cellStyle name="Comma [0] TBD 8 82" xfId="20494"/>
    <cellStyle name="Comma [0] TBD- 8 82" xfId="20495"/>
    <cellStyle name="Comma [0] TBD 8 83" xfId="20496"/>
    <cellStyle name="Comma [0] TBD- 8 83" xfId="20497"/>
    <cellStyle name="Comma [0] TBD 8 84" xfId="20498"/>
    <cellStyle name="Comma [0] TBD- 8 84" xfId="20499"/>
    <cellStyle name="Comma [0] TBD 8 85" xfId="20500"/>
    <cellStyle name="Comma [0] TBD- 8 85" xfId="20501"/>
    <cellStyle name="Comma [0] TBD 8 86" xfId="20502"/>
    <cellStyle name="Comma [0] TBD- 8 86" xfId="20503"/>
    <cellStyle name="Comma [0] TBD 8 87" xfId="20504"/>
    <cellStyle name="Comma [0] TBD- 8 87" xfId="20505"/>
    <cellStyle name="Comma [0] TBD 8 88" xfId="20506"/>
    <cellStyle name="Comma [0] TBD- 8 88" xfId="20507"/>
    <cellStyle name="Comma [0] TBD 8 89" xfId="20508"/>
    <cellStyle name="Comma [0] TBD- 8 89" xfId="20509"/>
    <cellStyle name="Comma [0] TBD 8 9" xfId="20510"/>
    <cellStyle name="Comma [0] TBD- 8 9" xfId="20511"/>
    <cellStyle name="Comma [0] TBD 8 90" xfId="20512"/>
    <cellStyle name="Comma [0] TBD- 8 90" xfId="20513"/>
    <cellStyle name="Comma [0] TBD 8 91" xfId="20514"/>
    <cellStyle name="Comma [0] TBD- 8 91" xfId="20515"/>
    <cellStyle name="Comma [0] TBD 8 92" xfId="20516"/>
    <cellStyle name="Comma [0] TBD- 8 92" xfId="20517"/>
    <cellStyle name="Comma [0] TBD 8 93" xfId="20518"/>
    <cellStyle name="Comma [0] TBD- 8 93" xfId="20519"/>
    <cellStyle name="Comma [0] TBD 8 94" xfId="20520"/>
    <cellStyle name="Comma [0] TBD- 8 94" xfId="20521"/>
    <cellStyle name="Comma [0] TBD 8 95" xfId="20522"/>
    <cellStyle name="Comma [0] TBD- 8 95" xfId="20523"/>
    <cellStyle name="Comma [0] TBD 8 96" xfId="20524"/>
    <cellStyle name="Comma [0] TBD- 8 96" xfId="20525"/>
    <cellStyle name="Comma [0] TBD 8 97" xfId="20526"/>
    <cellStyle name="Comma [0] TBD- 8 97" xfId="20527"/>
    <cellStyle name="Comma [0] TBD 8 98" xfId="20528"/>
    <cellStyle name="Comma [0] TBD- 8 98" xfId="20529"/>
    <cellStyle name="Comma [0] TBD 8 99" xfId="20530"/>
    <cellStyle name="Comma [0] TBD- 8 99" xfId="20531"/>
    <cellStyle name="Comma [0] TBD 9" xfId="20532"/>
    <cellStyle name="Comma [0] TBD- 9" xfId="20533"/>
    <cellStyle name="Comma [0] TBD 9 10" xfId="20534"/>
    <cellStyle name="Comma [0] TBD- 9 10" xfId="20535"/>
    <cellStyle name="Comma [0] TBD 9 100" xfId="20536"/>
    <cellStyle name="Comma [0] TBD- 9 100" xfId="20537"/>
    <cellStyle name="Comma [0] TBD 9 101" xfId="20538"/>
    <cellStyle name="Comma [0] TBD- 9 101" xfId="20539"/>
    <cellStyle name="Comma [0] TBD 9 102" xfId="20540"/>
    <cellStyle name="Comma [0] TBD- 9 102" xfId="20541"/>
    <cellStyle name="Comma [0] TBD 9 103" xfId="20542"/>
    <cellStyle name="Comma [0] TBD- 9 103" xfId="20543"/>
    <cellStyle name="Comma [0] TBD 9 104" xfId="20544"/>
    <cellStyle name="Comma [0] TBD- 9 104" xfId="20545"/>
    <cellStyle name="Comma [0] TBD 9 105" xfId="20546"/>
    <cellStyle name="Comma [0] TBD- 9 105" xfId="20547"/>
    <cellStyle name="Comma [0] TBD 9 106" xfId="20548"/>
    <cellStyle name="Comma [0] TBD- 9 106" xfId="20549"/>
    <cellStyle name="Comma [0] TBD 9 107" xfId="20550"/>
    <cellStyle name="Comma [0] TBD- 9 107" xfId="20551"/>
    <cellStyle name="Comma [0] TBD 9 108" xfId="20552"/>
    <cellStyle name="Comma [0] TBD- 9 108" xfId="20553"/>
    <cellStyle name="Comma [0] TBD 9 109" xfId="20554"/>
    <cellStyle name="Comma [0] TBD- 9 109" xfId="20555"/>
    <cellStyle name="Comma [0] TBD 9 11" xfId="20556"/>
    <cellStyle name="Comma [0] TBD- 9 11" xfId="20557"/>
    <cellStyle name="Comma [0] TBD 9 110" xfId="20558"/>
    <cellStyle name="Comma [0] TBD- 9 110" xfId="20559"/>
    <cellStyle name="Comma [0] TBD 9 111" xfId="20560"/>
    <cellStyle name="Comma [0] TBD- 9 111" xfId="20561"/>
    <cellStyle name="Comma [0] TBD 9 112" xfId="20562"/>
    <cellStyle name="Comma [0] TBD- 9 112" xfId="20563"/>
    <cellStyle name="Comma [0] TBD 9 113" xfId="20564"/>
    <cellStyle name="Comma [0] TBD- 9 113" xfId="20565"/>
    <cellStyle name="Comma [0] TBD 9 114" xfId="20566"/>
    <cellStyle name="Comma [0] TBD- 9 114" xfId="20567"/>
    <cellStyle name="Comma [0] TBD 9 115" xfId="20568"/>
    <cellStyle name="Comma [0] TBD- 9 115" xfId="20569"/>
    <cellStyle name="Comma [0] TBD 9 116" xfId="20570"/>
    <cellStyle name="Comma [0] TBD- 9 116" xfId="20571"/>
    <cellStyle name="Comma [0] TBD 9 117" xfId="20572"/>
    <cellStyle name="Comma [0] TBD- 9 117" xfId="20573"/>
    <cellStyle name="Comma [0] TBD 9 118" xfId="20574"/>
    <cellStyle name="Comma [0] TBD- 9 118" xfId="20575"/>
    <cellStyle name="Comma [0] TBD 9 119" xfId="20576"/>
    <cellStyle name="Comma [0] TBD- 9 119" xfId="20577"/>
    <cellStyle name="Comma [0] TBD 9 12" xfId="20578"/>
    <cellStyle name="Comma [0] TBD- 9 12" xfId="20579"/>
    <cellStyle name="Comma [0] TBD 9 120" xfId="20580"/>
    <cellStyle name="Comma [0] TBD- 9 120" xfId="20581"/>
    <cellStyle name="Comma [0] TBD 9 121" xfId="20582"/>
    <cellStyle name="Comma [0] TBD- 9 121" xfId="20583"/>
    <cellStyle name="Comma [0] TBD 9 122" xfId="20584"/>
    <cellStyle name="Comma [0] TBD- 9 122" xfId="20585"/>
    <cellStyle name="Comma [0] TBD 9 123" xfId="20586"/>
    <cellStyle name="Comma [0] TBD- 9 123" xfId="20587"/>
    <cellStyle name="Comma [0] TBD 9 124" xfId="20588"/>
    <cellStyle name="Comma [0] TBD- 9 124" xfId="20589"/>
    <cellStyle name="Comma [0] TBD 9 125" xfId="20590"/>
    <cellStyle name="Comma [0] TBD- 9 125" xfId="20591"/>
    <cellStyle name="Comma [0] TBD 9 126" xfId="20592"/>
    <cellStyle name="Comma [0] TBD- 9 126" xfId="20593"/>
    <cellStyle name="Comma [0] TBD 9 127" xfId="20594"/>
    <cellStyle name="Comma [0] TBD- 9 127" xfId="20595"/>
    <cellStyle name="Comma [0] TBD 9 128" xfId="20596"/>
    <cellStyle name="Comma [0] TBD- 9 128" xfId="20597"/>
    <cellStyle name="Comma [0] TBD 9 129" xfId="20598"/>
    <cellStyle name="Comma [0] TBD- 9 129" xfId="20599"/>
    <cellStyle name="Comma [0] TBD 9 13" xfId="20600"/>
    <cellStyle name="Comma [0] TBD- 9 13" xfId="20601"/>
    <cellStyle name="Comma [0] TBD 9 130" xfId="20602"/>
    <cellStyle name="Comma [0] TBD- 9 130" xfId="20603"/>
    <cellStyle name="Comma [0] TBD 9 131" xfId="20604"/>
    <cellStyle name="Comma [0] TBD- 9 131" xfId="20605"/>
    <cellStyle name="Comma [0] TBD 9 132" xfId="20606"/>
    <cellStyle name="Comma [0] TBD- 9 132" xfId="20607"/>
    <cellStyle name="Comma [0] TBD 9 133" xfId="20608"/>
    <cellStyle name="Comma [0] TBD- 9 133" xfId="20609"/>
    <cellStyle name="Comma [0] TBD 9 134" xfId="20610"/>
    <cellStyle name="Comma [0] TBD- 9 134" xfId="20611"/>
    <cellStyle name="Comma [0] TBD 9 135" xfId="20612"/>
    <cellStyle name="Comma [0] TBD- 9 135" xfId="20613"/>
    <cellStyle name="Comma [0] TBD 9 136" xfId="20614"/>
    <cellStyle name="Comma [0] TBD- 9 136" xfId="20615"/>
    <cellStyle name="Comma [0] TBD 9 137" xfId="20616"/>
    <cellStyle name="Comma [0] TBD- 9 137" xfId="20617"/>
    <cellStyle name="Comma [0] TBD 9 138" xfId="20618"/>
    <cellStyle name="Comma [0] TBD- 9 138" xfId="20619"/>
    <cellStyle name="Comma [0] TBD 9 139" xfId="20620"/>
    <cellStyle name="Comma [0] TBD- 9 139" xfId="20621"/>
    <cellStyle name="Comma [0] TBD 9 14" xfId="20622"/>
    <cellStyle name="Comma [0] TBD- 9 14" xfId="20623"/>
    <cellStyle name="Comma [0] TBD 9 140" xfId="20624"/>
    <cellStyle name="Comma [0] TBD- 9 140" xfId="20625"/>
    <cellStyle name="Comma [0] TBD 9 141" xfId="20626"/>
    <cellStyle name="Comma [0] TBD- 9 141" xfId="20627"/>
    <cellStyle name="Comma [0] TBD 9 142" xfId="20628"/>
    <cellStyle name="Comma [0] TBD- 9 142" xfId="20629"/>
    <cellStyle name="Comma [0] TBD 9 143" xfId="20630"/>
    <cellStyle name="Comma [0] TBD- 9 143" xfId="20631"/>
    <cellStyle name="Comma [0] TBD 9 144" xfId="20632"/>
    <cellStyle name="Comma [0] TBD- 9 144" xfId="20633"/>
    <cellStyle name="Comma [0] TBD 9 145" xfId="20634"/>
    <cellStyle name="Comma [0] TBD- 9 145" xfId="20635"/>
    <cellStyle name="Comma [0] TBD 9 146" xfId="20636"/>
    <cellStyle name="Comma [0] TBD- 9 146" xfId="20637"/>
    <cellStyle name="Comma [0] TBD 9 147" xfId="20638"/>
    <cellStyle name="Comma [0] TBD- 9 147" xfId="20639"/>
    <cellStyle name="Comma [0] TBD 9 148" xfId="20640"/>
    <cellStyle name="Comma [0] TBD- 9 148" xfId="20641"/>
    <cellStyle name="Comma [0] TBD 9 149" xfId="20642"/>
    <cellStyle name="Comma [0] TBD- 9 149" xfId="20643"/>
    <cellStyle name="Comma [0] TBD 9 15" xfId="20644"/>
    <cellStyle name="Comma [0] TBD- 9 15" xfId="20645"/>
    <cellStyle name="Comma [0] TBD 9 150" xfId="20646"/>
    <cellStyle name="Comma [0] TBD- 9 150" xfId="20647"/>
    <cellStyle name="Comma [0] TBD 9 151" xfId="20648"/>
    <cellStyle name="Comma [0] TBD- 9 151" xfId="20649"/>
    <cellStyle name="Comma [0] TBD 9 152" xfId="20650"/>
    <cellStyle name="Comma [0] TBD- 9 152" xfId="20651"/>
    <cellStyle name="Comma [0] TBD 9 153" xfId="20652"/>
    <cellStyle name="Comma [0] TBD- 9 153" xfId="20653"/>
    <cellStyle name="Comma [0] TBD 9 16" xfId="20654"/>
    <cellStyle name="Comma [0] TBD- 9 16" xfId="20655"/>
    <cellStyle name="Comma [0] TBD 9 17" xfId="20656"/>
    <cellStyle name="Comma [0] TBD- 9 17" xfId="20657"/>
    <cellStyle name="Comma [0] TBD 9 18" xfId="20658"/>
    <cellStyle name="Comma [0] TBD- 9 18" xfId="20659"/>
    <cellStyle name="Comma [0] TBD 9 19" xfId="20660"/>
    <cellStyle name="Comma [0] TBD- 9 19" xfId="20661"/>
    <cellStyle name="Comma [0] TBD 9 2" xfId="20662"/>
    <cellStyle name="Comma [0] TBD- 9 2" xfId="20663"/>
    <cellStyle name="Comma [0] TBD 9 20" xfId="20664"/>
    <cellStyle name="Comma [0] TBD- 9 20" xfId="20665"/>
    <cellStyle name="Comma [0] TBD 9 21" xfId="20666"/>
    <cellStyle name="Comma [0] TBD- 9 21" xfId="20667"/>
    <cellStyle name="Comma [0] TBD 9 22" xfId="20668"/>
    <cellStyle name="Comma [0] TBD- 9 22" xfId="20669"/>
    <cellStyle name="Comma [0] TBD 9 23" xfId="20670"/>
    <cellStyle name="Comma [0] TBD- 9 23" xfId="20671"/>
    <cellStyle name="Comma [0] TBD 9 24" xfId="20672"/>
    <cellStyle name="Comma [0] TBD- 9 24" xfId="20673"/>
    <cellStyle name="Comma [0] TBD 9 25" xfId="20674"/>
    <cellStyle name="Comma [0] TBD- 9 25" xfId="20675"/>
    <cellStyle name="Comma [0] TBD 9 26" xfId="20676"/>
    <cellStyle name="Comma [0] TBD- 9 26" xfId="20677"/>
    <cellStyle name="Comma [0] TBD 9 27" xfId="20678"/>
    <cellStyle name="Comma [0] TBD- 9 27" xfId="20679"/>
    <cellStyle name="Comma [0] TBD 9 28" xfId="20680"/>
    <cellStyle name="Comma [0] TBD- 9 28" xfId="20681"/>
    <cellStyle name="Comma [0] TBD 9 29" xfId="20682"/>
    <cellStyle name="Comma [0] TBD- 9 29" xfId="20683"/>
    <cellStyle name="Comma [0] TBD 9 3" xfId="20684"/>
    <cellStyle name="Comma [0] TBD- 9 3" xfId="20685"/>
    <cellStyle name="Comma [0] TBD 9 30" xfId="20686"/>
    <cellStyle name="Comma [0] TBD- 9 30" xfId="20687"/>
    <cellStyle name="Comma [0] TBD 9 31" xfId="20688"/>
    <cellStyle name="Comma [0] TBD- 9 31" xfId="20689"/>
    <cellStyle name="Comma [0] TBD 9 32" xfId="20690"/>
    <cellStyle name="Comma [0] TBD- 9 32" xfId="20691"/>
    <cellStyle name="Comma [0] TBD 9 33" xfId="20692"/>
    <cellStyle name="Comma [0] TBD- 9 33" xfId="20693"/>
    <cellStyle name="Comma [0] TBD 9 34" xfId="20694"/>
    <cellStyle name="Comma [0] TBD- 9 34" xfId="20695"/>
    <cellStyle name="Comma [0] TBD 9 35" xfId="20696"/>
    <cellStyle name="Comma [0] TBD- 9 35" xfId="20697"/>
    <cellStyle name="Comma [0] TBD 9 36" xfId="20698"/>
    <cellStyle name="Comma [0] TBD- 9 36" xfId="20699"/>
    <cellStyle name="Comma [0] TBD 9 37" xfId="20700"/>
    <cellStyle name="Comma [0] TBD- 9 37" xfId="20701"/>
    <cellStyle name="Comma [0] TBD 9 38" xfId="20702"/>
    <cellStyle name="Comma [0] TBD- 9 38" xfId="20703"/>
    <cellStyle name="Comma [0] TBD 9 39" xfId="20704"/>
    <cellStyle name="Comma [0] TBD- 9 39" xfId="20705"/>
    <cellStyle name="Comma [0] TBD 9 4" xfId="20706"/>
    <cellStyle name="Comma [0] TBD- 9 4" xfId="20707"/>
    <cellStyle name="Comma [0] TBD 9 40" xfId="20708"/>
    <cellStyle name="Comma [0] TBD- 9 40" xfId="20709"/>
    <cellStyle name="Comma [0] TBD 9 41" xfId="20710"/>
    <cellStyle name="Comma [0] TBD- 9 41" xfId="20711"/>
    <cellStyle name="Comma [0] TBD 9 42" xfId="20712"/>
    <cellStyle name="Comma [0] TBD- 9 42" xfId="20713"/>
    <cellStyle name="Comma [0] TBD 9 43" xfId="20714"/>
    <cellStyle name="Comma [0] TBD- 9 43" xfId="20715"/>
    <cellStyle name="Comma [0] TBD 9 44" xfId="20716"/>
    <cellStyle name="Comma [0] TBD- 9 44" xfId="20717"/>
    <cellStyle name="Comma [0] TBD 9 45" xfId="20718"/>
    <cellStyle name="Comma [0] TBD- 9 45" xfId="20719"/>
    <cellStyle name="Comma [0] TBD 9 46" xfId="20720"/>
    <cellStyle name="Comma [0] TBD- 9 46" xfId="20721"/>
    <cellStyle name="Comma [0] TBD 9 47" xfId="20722"/>
    <cellStyle name="Comma [0] TBD- 9 47" xfId="20723"/>
    <cellStyle name="Comma [0] TBD 9 48" xfId="20724"/>
    <cellStyle name="Comma [0] TBD- 9 48" xfId="20725"/>
    <cellStyle name="Comma [0] TBD 9 49" xfId="20726"/>
    <cellStyle name="Comma [0] TBD- 9 49" xfId="20727"/>
    <cellStyle name="Comma [0] TBD 9 5" xfId="20728"/>
    <cellStyle name="Comma [0] TBD- 9 5" xfId="20729"/>
    <cellStyle name="Comma [0] TBD 9 50" xfId="20730"/>
    <cellStyle name="Comma [0] TBD- 9 50" xfId="20731"/>
    <cellStyle name="Comma [0] TBD 9 51" xfId="20732"/>
    <cellStyle name="Comma [0] TBD- 9 51" xfId="20733"/>
    <cellStyle name="Comma [0] TBD 9 52" xfId="20734"/>
    <cellStyle name="Comma [0] TBD- 9 52" xfId="20735"/>
    <cellStyle name="Comma [0] TBD 9 53" xfId="20736"/>
    <cellStyle name="Comma [0] TBD- 9 53" xfId="20737"/>
    <cellStyle name="Comma [0] TBD 9 54" xfId="20738"/>
    <cellStyle name="Comma [0] TBD- 9 54" xfId="20739"/>
    <cellStyle name="Comma [0] TBD 9 55" xfId="20740"/>
    <cellStyle name="Comma [0] TBD- 9 55" xfId="20741"/>
    <cellStyle name="Comma [0] TBD 9 56" xfId="20742"/>
    <cellStyle name="Comma [0] TBD- 9 56" xfId="20743"/>
    <cellStyle name="Comma [0] TBD 9 57" xfId="20744"/>
    <cellStyle name="Comma [0] TBD- 9 57" xfId="20745"/>
    <cellStyle name="Comma [0] TBD 9 58" xfId="20746"/>
    <cellStyle name="Comma [0] TBD- 9 58" xfId="20747"/>
    <cellStyle name="Comma [0] TBD 9 59" xfId="20748"/>
    <cellStyle name="Comma [0] TBD- 9 59" xfId="20749"/>
    <cellStyle name="Comma [0] TBD 9 6" xfId="20750"/>
    <cellStyle name="Comma [0] TBD- 9 6" xfId="20751"/>
    <cellStyle name="Comma [0] TBD 9 60" xfId="20752"/>
    <cellStyle name="Comma [0] TBD- 9 60" xfId="20753"/>
    <cellStyle name="Comma [0] TBD 9 61" xfId="20754"/>
    <cellStyle name="Comma [0] TBD- 9 61" xfId="20755"/>
    <cellStyle name="Comma [0] TBD 9 62" xfId="20756"/>
    <cellStyle name="Comma [0] TBD- 9 62" xfId="20757"/>
    <cellStyle name="Comma [0] TBD 9 63" xfId="20758"/>
    <cellStyle name="Comma [0] TBD- 9 63" xfId="20759"/>
    <cellStyle name="Comma [0] TBD 9 64" xfId="20760"/>
    <cellStyle name="Comma [0] TBD- 9 64" xfId="20761"/>
    <cellStyle name="Comma [0] TBD 9 65" xfId="20762"/>
    <cellStyle name="Comma [0] TBD- 9 65" xfId="20763"/>
    <cellStyle name="Comma [0] TBD 9 66" xfId="20764"/>
    <cellStyle name="Comma [0] TBD- 9 66" xfId="20765"/>
    <cellStyle name="Comma [0] TBD 9 67" xfId="20766"/>
    <cellStyle name="Comma [0] TBD- 9 67" xfId="20767"/>
    <cellStyle name="Comma [0] TBD 9 68" xfId="20768"/>
    <cellStyle name="Comma [0] TBD- 9 68" xfId="20769"/>
    <cellStyle name="Comma [0] TBD 9 69" xfId="20770"/>
    <cellStyle name="Comma [0] TBD- 9 69" xfId="20771"/>
    <cellStyle name="Comma [0] TBD 9 7" xfId="20772"/>
    <cellStyle name="Comma [0] TBD- 9 7" xfId="20773"/>
    <cellStyle name="Comma [0] TBD 9 70" xfId="20774"/>
    <cellStyle name="Comma [0] TBD- 9 70" xfId="20775"/>
    <cellStyle name="Comma [0] TBD 9 71" xfId="20776"/>
    <cellStyle name="Comma [0] TBD- 9 71" xfId="20777"/>
    <cellStyle name="Comma [0] TBD 9 72" xfId="20778"/>
    <cellStyle name="Comma [0] TBD- 9 72" xfId="20779"/>
    <cellStyle name="Comma [0] TBD 9 73" xfId="20780"/>
    <cellStyle name="Comma [0] TBD- 9 73" xfId="20781"/>
    <cellStyle name="Comma [0] TBD 9 74" xfId="20782"/>
    <cellStyle name="Comma [0] TBD- 9 74" xfId="20783"/>
    <cellStyle name="Comma [0] TBD 9 75" xfId="20784"/>
    <cellStyle name="Comma [0] TBD- 9 75" xfId="20785"/>
    <cellStyle name="Comma [0] TBD 9 76" xfId="20786"/>
    <cellStyle name="Comma [0] TBD- 9 76" xfId="20787"/>
    <cellStyle name="Comma [0] TBD 9 77" xfId="20788"/>
    <cellStyle name="Comma [0] TBD- 9 77" xfId="20789"/>
    <cellStyle name="Comma [0] TBD 9 78" xfId="20790"/>
    <cellStyle name="Comma [0] TBD- 9 78" xfId="20791"/>
    <cellStyle name="Comma [0] TBD 9 79" xfId="20792"/>
    <cellStyle name="Comma [0] TBD- 9 79" xfId="20793"/>
    <cellStyle name="Comma [0] TBD 9 8" xfId="20794"/>
    <cellStyle name="Comma [0] TBD- 9 8" xfId="20795"/>
    <cellStyle name="Comma [0] TBD 9 80" xfId="20796"/>
    <cellStyle name="Comma [0] TBD- 9 80" xfId="20797"/>
    <cellStyle name="Comma [0] TBD 9 81" xfId="20798"/>
    <cellStyle name="Comma [0] TBD- 9 81" xfId="20799"/>
    <cellStyle name="Comma [0] TBD 9 82" xfId="20800"/>
    <cellStyle name="Comma [0] TBD- 9 82" xfId="20801"/>
    <cellStyle name="Comma [0] TBD 9 83" xfId="20802"/>
    <cellStyle name="Comma [0] TBD- 9 83" xfId="20803"/>
    <cellStyle name="Comma [0] TBD 9 84" xfId="20804"/>
    <cellStyle name="Comma [0] TBD- 9 84" xfId="20805"/>
    <cellStyle name="Comma [0] TBD 9 85" xfId="20806"/>
    <cellStyle name="Comma [0] TBD- 9 85" xfId="20807"/>
    <cellStyle name="Comma [0] TBD 9 86" xfId="20808"/>
    <cellStyle name="Comma [0] TBD- 9 86" xfId="20809"/>
    <cellStyle name="Comma [0] TBD 9 87" xfId="20810"/>
    <cellStyle name="Comma [0] TBD- 9 87" xfId="20811"/>
    <cellStyle name="Comma [0] TBD 9 88" xfId="20812"/>
    <cellStyle name="Comma [0] TBD- 9 88" xfId="20813"/>
    <cellStyle name="Comma [0] TBD 9 89" xfId="20814"/>
    <cellStyle name="Comma [0] TBD- 9 89" xfId="20815"/>
    <cellStyle name="Comma [0] TBD 9 9" xfId="20816"/>
    <cellStyle name="Comma [0] TBD- 9 9" xfId="20817"/>
    <cellStyle name="Comma [0] TBD 9 90" xfId="20818"/>
    <cellStyle name="Comma [0] TBD- 9 90" xfId="20819"/>
    <cellStyle name="Comma [0] TBD 9 91" xfId="20820"/>
    <cellStyle name="Comma [0] TBD- 9 91" xfId="20821"/>
    <cellStyle name="Comma [0] TBD 9 92" xfId="20822"/>
    <cellStyle name="Comma [0] TBD- 9 92" xfId="20823"/>
    <cellStyle name="Comma [0] TBD 9 93" xfId="20824"/>
    <cellStyle name="Comma [0] TBD- 9 93" xfId="20825"/>
    <cellStyle name="Comma [0] TBD 9 94" xfId="20826"/>
    <cellStyle name="Comma [0] TBD- 9 94" xfId="20827"/>
    <cellStyle name="Comma [0] TBD 9 95" xfId="20828"/>
    <cellStyle name="Comma [0] TBD- 9 95" xfId="20829"/>
    <cellStyle name="Comma [0] TBD 9 96" xfId="20830"/>
    <cellStyle name="Comma [0] TBD- 9 96" xfId="20831"/>
    <cellStyle name="Comma [0] TBD 9 97" xfId="20832"/>
    <cellStyle name="Comma [0] TBD- 9 97" xfId="20833"/>
    <cellStyle name="Comma [0] TBD 9 98" xfId="20834"/>
    <cellStyle name="Comma [0] TBD- 9 98" xfId="20835"/>
    <cellStyle name="Comma [0] TBD 9 99" xfId="20836"/>
    <cellStyle name="Comma [0] TBD- 9 99" xfId="20837"/>
    <cellStyle name="Comma [0] TBD_0508BPwhl_020604_Variable Marketing" xfId="20838"/>
    <cellStyle name="Comma [0] TBD-_0508BPwhl_020604_Variable Marketing" xfId="20839"/>
    <cellStyle name="Comma [0] TBD_06MY Package Price Strategy proposal v3" xfId="20840"/>
    <cellStyle name="Comma [0] TBD-_06MY Package Price Strategy proposal v3" xfId="20841"/>
    <cellStyle name="Comma [0] TBD_06MY Package Price Strategy proposal v3 2" xfId="20842"/>
    <cellStyle name="Comma [0] TBD-_06MY Package Price Strategy proposal v3 2" xfId="20843"/>
    <cellStyle name="Comma [0] TBD_06MY Package Price Strategy proposal v3 3" xfId="20844"/>
    <cellStyle name="Comma [0] TBD-_06MY Package Price Strategy proposal v3 3" xfId="20845"/>
    <cellStyle name="Comma [0] TBD_06MY Package Price Strategy proposal v3 4" xfId="20846"/>
    <cellStyle name="Comma [0] TBD-_06MY Package Price Strategy proposal v3 4" xfId="20847"/>
    <cellStyle name="Comma [0] TBD_06MY Package Price Strategy proposal v3 5" xfId="20848"/>
    <cellStyle name="Comma [0] TBD-_06MY Package Price Strategy proposal v3 5" xfId="20849"/>
    <cellStyle name="Comma [0] TBD_06MY Package Price Strategy proposal v3 6" xfId="20850"/>
    <cellStyle name="Comma [0] TBD-_06MY Package Price Strategy proposal v3 6" xfId="20851"/>
    <cellStyle name="Comma [0] TBD_06MY Package Price Strategy proposal v3 7" xfId="20852"/>
    <cellStyle name="Comma [0] TBD-_06MY Package Price Strategy proposal v3 7" xfId="20853"/>
    <cellStyle name="Comma [0] TBD_06MY Package Price Strategy proposal v3 8" xfId="20854"/>
    <cellStyle name="Comma [0] TBD-_06MY Package Price Strategy proposal v3 8" xfId="20855"/>
    <cellStyle name="Comma [0] TBD_07 to 08MY Escape (3)" xfId="20856"/>
    <cellStyle name="Comma [0] TBD-_07 to 08MY Escape (3)" xfId="20857"/>
    <cellStyle name="Comma [0] TBD_07_08 D333 020706" xfId="20858"/>
    <cellStyle name="Comma [0] TBD-_07_08 D333 020706" xfId="20859"/>
    <cellStyle name="Comma [0] TBD_07pricebinning_budget_1" xfId="20860"/>
    <cellStyle name="Comma [0] TBD-_07pricebinning_budget_1" xfId="20861"/>
    <cellStyle name="Comma [0] TBD_08MY Escape 2005 Bus. Plan MktEqn 8_4" xfId="20862"/>
    <cellStyle name="Comma [0] TBD-_08MY Escape 2005 Bus. Plan MktEqn 8_4" xfId="20863"/>
    <cellStyle name="Comma [0] TBD_08MY Escape 2005 Bus. Plan MktEqn 8_4 2" xfId="20864"/>
    <cellStyle name="Comma [0] TBD-_08MY Escape 2005 Bus. Plan MktEqn 8_4 2" xfId="20865"/>
    <cellStyle name="Comma [0] TBD_08MY Escape 2005 Bus. Plan MktEqn 8_4 3" xfId="20866"/>
    <cellStyle name="Comma [0] TBD-_08MY Escape 2005 Bus. Plan MktEqn 8_4 3" xfId="20867"/>
    <cellStyle name="Comma [0] TBD_08MY Escape 2005 Bus. Plan MktEqn 8_4 4" xfId="20868"/>
    <cellStyle name="Comma [0] TBD-_08MY Escape 2005 Bus. Plan MktEqn 8_4 4" xfId="20869"/>
    <cellStyle name="Comma [0] TBD_08MY Escape 2005 Bus. Plan MktEqn 8_4 5" xfId="20870"/>
    <cellStyle name="Comma [0] TBD-_08MY Escape 2005 Bus. Plan MktEqn 8_4 5" xfId="20871"/>
    <cellStyle name="Comma [0] TBD_08MY Escape 2005 Bus. Plan MktEqn 8_4 6" xfId="20872"/>
    <cellStyle name="Comma [0] TBD-_08MY Escape 2005 Bus. Plan MktEqn 8_4 6" xfId="20873"/>
    <cellStyle name="Comma [0] TBD_08MY Escape 2005 Bus. Plan MktEqn 8_4 7" xfId="20874"/>
    <cellStyle name="Comma [0] TBD-_08MY Escape 2005 Bus. Plan MktEqn 8_4 7" xfId="20875"/>
    <cellStyle name="Comma [0] TBD_08MY Escape 2005 Bus. Plan MktEqn 8_4 8" xfId="20876"/>
    <cellStyle name="Comma [0] TBD-_08MY Escape 2005 Bus. Plan MktEqn 8_4 8" xfId="20877"/>
    <cellStyle name="Comma [0] TBD_08MY Escape MktEqn Final 09 PSC" xfId="20878"/>
    <cellStyle name="Comma [0] TBD-_08MY Escape MktEqn Final 09 PSC" xfId="20879"/>
    <cellStyle name="Comma [0] TBD_08MY Escape MktEqn Final 09 PSC 2" xfId="20880"/>
    <cellStyle name="Comma [0] TBD-_08MY Escape MktEqn Final 09 PSC 2" xfId="20881"/>
    <cellStyle name="Comma [0] TBD_08MY Escape MktEqn Final 09 PSC 3" xfId="20882"/>
    <cellStyle name="Comma [0] TBD-_08MY Escape MktEqn Final 09 PSC 3" xfId="20883"/>
    <cellStyle name="Comma [0] TBD_08MY Escape MktEqn Final 09 PSC 4" xfId="20884"/>
    <cellStyle name="Comma [0] TBD-_08MY Escape MktEqn Final 09 PSC 4" xfId="20885"/>
    <cellStyle name="Comma [0] TBD_08MY Escape MktEqn Final 09 PSC 5" xfId="20886"/>
    <cellStyle name="Comma [0] TBD-_08MY Escape MktEqn Final 09 PSC 5" xfId="20887"/>
    <cellStyle name="Comma [0] TBD_08MY Escape MktEqn Final 09 PSC 6" xfId="20888"/>
    <cellStyle name="Comma [0] TBD-_08MY Escape MktEqn Final 09 PSC 6" xfId="20889"/>
    <cellStyle name="Comma [0] TBD_08MY Escape MktEqn Final 09 PSC 7" xfId="20890"/>
    <cellStyle name="Comma [0] TBD-_08MY Escape MktEqn Final 09 PSC 7" xfId="20891"/>
    <cellStyle name="Comma [0] TBD_08MY Escape MktEqn Final 09 PSC 8" xfId="20892"/>
    <cellStyle name="Comma [0] TBD-_08MY Escape MktEqn Final 09 PSC 8" xfId="20893"/>
    <cellStyle name="Comma [0] TBD_09 Escape PSC backup 3_2" xfId="20894"/>
    <cellStyle name="Comma [0] TBD-_09 Escape PSC backup 3_2" xfId="20895"/>
    <cellStyle name="Comma [0] TBD_1+11 FCST_SUM  (Post Task Removal)" xfId="20896"/>
    <cellStyle name="Comma [0] TBD-_1+11 FCST_SUM  (Post Task Removal)" xfId="20897"/>
    <cellStyle name="Comma [0] TBD_1+11 FCST_SUM  (Post Task Removal) 2" xfId="20898"/>
    <cellStyle name="Comma [0] TBD-_1+11 FCST_SUM  (Post Task Removal) 2" xfId="20899"/>
    <cellStyle name="Comma [0] TBD_1+11 FCST_SUM  (Post Task Removal) 3" xfId="20900"/>
    <cellStyle name="Comma [0] TBD-_1+11 FCST_SUM  (Post Task Removal) 3" xfId="20901"/>
    <cellStyle name="Comma [0] TBD_1+11 FCST_SUM  (Post Task Removal) 4" xfId="20902"/>
    <cellStyle name="Comma [0] TBD-_1+11 FCST_SUM  (Post Task Removal) 4" xfId="20903"/>
    <cellStyle name="Comma [0] TBD_1+11 FCST_SUM  (Post Task Removal) 5" xfId="20904"/>
    <cellStyle name="Comma [0] TBD-_1+11 FCST_SUM  (Post Task Removal) 5" xfId="20905"/>
    <cellStyle name="Comma [0] TBD_1+11 FCST_SUM  (Post Task Removal) 6" xfId="20906"/>
    <cellStyle name="Comma [0] TBD-_1+11 FCST_SUM  (Post Task Removal) 6" xfId="20907"/>
    <cellStyle name="Comma [0] TBD_1+11 FCST_SUM  (Post Task Removal) 7" xfId="20908"/>
    <cellStyle name="Comma [0] TBD-_1+11 FCST_SUM  (Post Task Removal) 7" xfId="20909"/>
    <cellStyle name="Comma [0] TBD_1+11 FCST_SUM  (Post Task Removal) 8" xfId="20910"/>
    <cellStyle name="Comma [0] TBD-_1+11 FCST_SUM  (Post Task Removal) 8" xfId="20911"/>
    <cellStyle name="Comma [0] TBD_1+11PBR.3.17" xfId="20912"/>
    <cellStyle name="Comma [0] TBD-_1+11PBR.3.17" xfId="20913"/>
    <cellStyle name="Comma [0] TBD_10MY P415 ME Slides" xfId="20914"/>
    <cellStyle name="Comma [0] TBD-_10MY P415 ME Slides" xfId="20915"/>
    <cellStyle name="Comma [0] TBD_'11MY PA Status _mini BP submission_7_9_08" xfId="20916"/>
    <cellStyle name="Comma [0] TBD-_'11MY PA Status _mini BP submission_7_9_08" xfId="20917"/>
    <cellStyle name="Comma [0] TBD_2+10 FCST_SUM" xfId="20918"/>
    <cellStyle name="Comma [0] TBD-_2+10 FCST_SUM" xfId="20919"/>
    <cellStyle name="Comma [0] TBD_2+10 FCST_SUM 2" xfId="20920"/>
    <cellStyle name="Comma [0] TBD-_2+10 FCST_SUM 2" xfId="20921"/>
    <cellStyle name="Comma [0] TBD_2+10 FCST_SUM 3" xfId="20922"/>
    <cellStyle name="Comma [0] TBD-_2+10 FCST_SUM 3" xfId="20923"/>
    <cellStyle name="Comma [0] TBD_2+10 FCST_SUM 4" xfId="20924"/>
    <cellStyle name="Comma [0] TBD-_2+10 FCST_SUM 4" xfId="20925"/>
    <cellStyle name="Comma [0] TBD_2+10 FCST_SUM 5" xfId="20926"/>
    <cellStyle name="Comma [0] TBD-_2+10 FCST_SUM 5" xfId="20927"/>
    <cellStyle name="Comma [0] TBD_2+10 FCST_SUM 6" xfId="20928"/>
    <cellStyle name="Comma [0] TBD-_2+10 FCST_SUM 6" xfId="20929"/>
    <cellStyle name="Comma [0] TBD_2+10 FCST_SUM 7" xfId="20930"/>
    <cellStyle name="Comma [0] TBD-_2+10 FCST_SUM 7" xfId="20931"/>
    <cellStyle name="Comma [0] TBD_2+10 FCST_SUM 8" xfId="20932"/>
    <cellStyle name="Comma [0] TBD-_2+10 FCST_SUM 8" xfId="20933"/>
    <cellStyle name="Comma [0] TBD_2002BusPlanAttachments" xfId="20934"/>
    <cellStyle name="Comma [0] TBD-_2002BusPlanAttachments" xfId="20935"/>
    <cellStyle name="Comma [0] TBD_2002BusPlanAttachments - Revised" xfId="20936"/>
    <cellStyle name="Comma [0] TBD-_2002BusPlanAttachments - Revised" xfId="20937"/>
    <cellStyle name="Comma [0] TBD_2003 r&amp;o" xfId="20938"/>
    <cellStyle name="Comma [0] TBD-_2003 r&amp;o" xfId="20939"/>
    <cellStyle name="Comma [0] TBD_2003 r&amp;o 2" xfId="20940"/>
    <cellStyle name="Comma [0] TBD-_2003 r&amp;o 2" xfId="20941"/>
    <cellStyle name="Comma [0] TBD_2003 r&amp;o 2 2" xfId="20942"/>
    <cellStyle name="Comma [0] TBD-_2003 r&amp;o 2 2" xfId="20943"/>
    <cellStyle name="Comma [0] TBD_2003 r&amp;o 3" xfId="20944"/>
    <cellStyle name="Comma [0] TBD-_2003 r&amp;o 3" xfId="20945"/>
    <cellStyle name="Comma [0] TBD_2003 r&amp;o 3 2" xfId="20946"/>
    <cellStyle name="Comma [0] TBD-_2003 r&amp;o 3 2" xfId="20947"/>
    <cellStyle name="Comma [0] TBD_2003 r&amp;o 4" xfId="20948"/>
    <cellStyle name="Comma [0] TBD-_2003 r&amp;o 4" xfId="20949"/>
    <cellStyle name="Comma [0] TBD_2003 r&amp;o 5" xfId="20950"/>
    <cellStyle name="Comma [0] TBD-_2003 r&amp;o 5" xfId="20951"/>
    <cellStyle name="Comma [0] TBD_2003 r&amp;o 6" xfId="20952"/>
    <cellStyle name="Comma [0] TBD-_2003 r&amp;o 6" xfId="20953"/>
    <cellStyle name="Comma [0] TBD_2003 r&amp;o 7" xfId="20954"/>
    <cellStyle name="Comma [0] TBD-_2003 r&amp;o 7" xfId="20955"/>
    <cellStyle name="Comma [0] TBD_2003 r&amp;o 8" xfId="20956"/>
    <cellStyle name="Comma [0] TBD-_2003 r&amp;o 8" xfId="20957"/>
    <cellStyle name="Comma [0] TBD_2003 r&amp;o 9" xfId="20958"/>
    <cellStyle name="Comma [0] TBD-_2003 r&amp;o 9" xfId="20959"/>
    <cellStyle name="Comma [0] TBD_2005 Global ARM_TVM Summary 012 ForecastFinal022205" xfId="20960"/>
    <cellStyle name="Comma [0] TBD-_2005 Global ARM_TVM Summary 012 ForecastFinal022205" xfId="20961"/>
    <cellStyle name="Comma [0] TBD_2005 Global ARM_TVM Summary 012 ForecastFinal022205 2" xfId="20962"/>
    <cellStyle name="Comma [0] TBD-_2005 Global ARM_TVM Summary 012 ForecastFinal022205 2" xfId="20963"/>
    <cellStyle name="Comma [0] TBD_2005 Global ARM_TVM Summary 012 ForecastFinal022205 2 2" xfId="20964"/>
    <cellStyle name="Comma [0] TBD-_2005 Global ARM_TVM Summary 012 ForecastFinal022205 2 2" xfId="20965"/>
    <cellStyle name="Comma [0] TBD_2005 Global ARM_TVM Summary 012 ForecastFinal022205 3" xfId="20966"/>
    <cellStyle name="Comma [0] TBD-_2005 Global ARM_TVM Summary 012 ForecastFinal022205 3" xfId="20967"/>
    <cellStyle name="Comma [0] TBD_2005 Global ARM_TVM Summary 012 ForecastFinal022205 3 2" xfId="20968"/>
    <cellStyle name="Comma [0] TBD-_2005 Global ARM_TVM Summary 012 ForecastFinal022205 3 2" xfId="20969"/>
    <cellStyle name="Comma [0] TBD_2005 Global ARM_TVM Summary 012 ForecastFinal022205 4" xfId="20970"/>
    <cellStyle name="Comma [0] TBD-_2005 Global ARM_TVM Summary 012 ForecastFinal022205 4" xfId="20971"/>
    <cellStyle name="Comma [0] TBD_2005 Global ARM_TVM Summary 012 ForecastFinal022205 5" xfId="20972"/>
    <cellStyle name="Comma [0] TBD-_2005 Global ARM_TVM Summary 012 ForecastFinal022205 5" xfId="20973"/>
    <cellStyle name="Comma [0] TBD_2005 Global ARM_TVM Summary 012 ForecastFinal022205 6" xfId="20974"/>
    <cellStyle name="Comma [0] TBD-_2005 Global ARM_TVM Summary 012 ForecastFinal022205 6" xfId="20975"/>
    <cellStyle name="Comma [0] TBD_2005 Global ARM_TVM Summary 012 ForecastFinal022205 7" xfId="20976"/>
    <cellStyle name="Comma [0] TBD-_2005 Global ARM_TVM Summary 012 ForecastFinal022205 7" xfId="20977"/>
    <cellStyle name="Comma [0] TBD_2005 Global ARM_TVM Summary 012 ForecastFinal022205 8" xfId="20978"/>
    <cellStyle name="Comma [0] TBD-_2005 Global ARM_TVM Summary 012 ForecastFinal022205 8" xfId="20979"/>
    <cellStyle name="Comma [0] TBD_2005 Global ARM_TVM Summary 012 ForecastFinal022205 9" xfId="20980"/>
    <cellStyle name="Comma [0] TBD-_2005 Global ARM_TVM Summary 012 ForecastFinal022205 9" xfId="20981"/>
    <cellStyle name="Comma [0] TBD_2005 Roadmap_39status FINAL v2_" xfId="20982"/>
    <cellStyle name="Comma [0] TBD-_2005 Roadmap_39status FINAL v2_" xfId="20983"/>
    <cellStyle name="Comma [0] TBD_2005 Roadmap_39status FINAL v2_ 2" xfId="20984"/>
    <cellStyle name="Comma [0] TBD-_2005 Roadmap_39status FINAL v2_ 2" xfId="20985"/>
    <cellStyle name="Comma [0] TBD_2005 Roadmap_39status FINAL v2_ 2 2" xfId="20986"/>
    <cellStyle name="Comma [0] TBD-_2005 Roadmap_39status FINAL v2_ 2 2" xfId="20987"/>
    <cellStyle name="Comma [0] TBD_2005 Roadmap_39status FINAL v2_ 3" xfId="20988"/>
    <cellStyle name="Comma [0] TBD-_2005 Roadmap_39status FINAL v2_ 3" xfId="20989"/>
    <cellStyle name="Comma [0] TBD_2005 Roadmap_39status FINAL v2_ 3 2" xfId="20990"/>
    <cellStyle name="Comma [0] TBD-_2005 Roadmap_39status FINAL v2_ 3 2" xfId="20991"/>
    <cellStyle name="Comma [0] TBD_2005 Roadmap_39status FINAL v2_ 4" xfId="20992"/>
    <cellStyle name="Comma [0] TBD-_2005 Roadmap_39status FINAL v2_ 4" xfId="20993"/>
    <cellStyle name="Comma [0] TBD_2005 Roadmap_39status FINAL v2_ 5" xfId="20994"/>
    <cellStyle name="Comma [0] TBD-_2005 Roadmap_39status FINAL v2_ 5" xfId="20995"/>
    <cellStyle name="Comma [0] TBD_2005 Roadmap_39status FINAL v2_ 6" xfId="20996"/>
    <cellStyle name="Comma [0] TBD-_2005 Roadmap_39status FINAL v2_ 6" xfId="20997"/>
    <cellStyle name="Comma [0] TBD_2005 Roadmap_39status FINAL v2_ 7" xfId="20998"/>
    <cellStyle name="Comma [0] TBD-_2005 Roadmap_39status FINAL v2_ 7" xfId="20999"/>
    <cellStyle name="Comma [0] TBD_2005 Roadmap_39status FINAL v2_ 8" xfId="21000"/>
    <cellStyle name="Comma [0] TBD-_2005 Roadmap_39status FINAL v2_ 8" xfId="21001"/>
    <cellStyle name="Comma [0] TBD_2005 Roadmap_39status FINAL v2_ 9" xfId="21002"/>
    <cellStyle name="Comma [0] TBD-_2005 Roadmap_39status FINAL v2_ 9" xfId="21003"/>
    <cellStyle name="Comma [0] TBD_2005 Roadmap_39status FINAL_" xfId="21004"/>
    <cellStyle name="Comma [0] TBD-_2005 Roadmap_39status FINAL_" xfId="21005"/>
    <cellStyle name="Comma [0] TBD_2005 Roadmap_39status FINAL_ 2" xfId="21006"/>
    <cellStyle name="Comma [0] TBD-_2005 Roadmap_39status FINAL_ 2" xfId="21007"/>
    <cellStyle name="Comma [0] TBD_2005 Roadmap_39status FINAL_ 2 2" xfId="21008"/>
    <cellStyle name="Comma [0] TBD-_2005 Roadmap_39status FINAL_ 2 2" xfId="21009"/>
    <cellStyle name="Comma [0] TBD_2005 Roadmap_39status FINAL_ 3" xfId="21010"/>
    <cellStyle name="Comma [0] TBD-_2005 Roadmap_39status FINAL_ 3" xfId="21011"/>
    <cellStyle name="Comma [0] TBD_2005 Roadmap_39status FINAL_ 3 2" xfId="21012"/>
    <cellStyle name="Comma [0] TBD-_2005 Roadmap_39status FINAL_ 3 2" xfId="21013"/>
    <cellStyle name="Comma [0] TBD_2005 Roadmap_39status FINAL_ 4" xfId="21014"/>
    <cellStyle name="Comma [0] TBD-_2005 Roadmap_39status FINAL_ 4" xfId="21015"/>
    <cellStyle name="Comma [0] TBD_2005 Roadmap_39status FINAL_ 5" xfId="21016"/>
    <cellStyle name="Comma [0] TBD-_2005 Roadmap_39status FINAL_ 5" xfId="21017"/>
    <cellStyle name="Comma [0] TBD_2005 Roadmap_39status FINAL_ 6" xfId="21018"/>
    <cellStyle name="Comma [0] TBD-_2005 Roadmap_39status FINAL_ 6" xfId="21019"/>
    <cellStyle name="Comma [0] TBD_2005 Roadmap_39status FINAL_ 7" xfId="21020"/>
    <cellStyle name="Comma [0] TBD-_2005 Roadmap_39status FINAL_ 7" xfId="21021"/>
    <cellStyle name="Comma [0] TBD_2005 Roadmap_39status FINAL_ 8" xfId="21022"/>
    <cellStyle name="Comma [0] TBD-_2005 Roadmap_39status FINAL_ 8" xfId="21023"/>
    <cellStyle name="Comma [0] TBD_2005 Roadmap_39status FINAL_ 9" xfId="21024"/>
    <cellStyle name="Comma [0] TBD-_2005 Roadmap_39status FINAL_ 9" xfId="21025"/>
    <cellStyle name="Comma [0] TBD_2005 Roadmap_39status_" xfId="21026"/>
    <cellStyle name="Comma [0] TBD-_2005 Roadmap_39status_" xfId="21027"/>
    <cellStyle name="Comma [0] TBD_2005 Roadmap_39status_ 2" xfId="21028"/>
    <cellStyle name="Comma [0] TBD-_2005 Roadmap_39status_ 2" xfId="21029"/>
    <cellStyle name="Comma [0] TBD_2005 Roadmap_48status preliminaryL_" xfId="21030"/>
    <cellStyle name="Comma [0] TBD-_2005 Roadmap_48status preliminaryL_" xfId="21031"/>
    <cellStyle name="Comma [0] TBD_2005 Roadmap_48status preliminaryL_ 2" xfId="21032"/>
    <cellStyle name="Comma [0] TBD-_2005 Roadmap_48status preliminaryL_ 2" xfId="21033"/>
    <cellStyle name="Comma [0] TBD_2005 Roadmap_48status preliminaryL_ 2 2" xfId="21034"/>
    <cellStyle name="Comma [0] TBD-_2005 Roadmap_48status preliminaryL_ 2 2" xfId="21035"/>
    <cellStyle name="Comma [0] TBD_2005 Roadmap_48status preliminaryL_ 3" xfId="21036"/>
    <cellStyle name="Comma [0] TBD-_2005 Roadmap_48status preliminaryL_ 3" xfId="21037"/>
    <cellStyle name="Comma [0] TBD_2005 Roadmap_48status preliminaryL_ 3 2" xfId="21038"/>
    <cellStyle name="Comma [0] TBD-_2005 Roadmap_48status preliminaryL_ 3 2" xfId="21039"/>
    <cellStyle name="Comma [0] TBD_2005 Roadmap_48status preliminaryL_ 4" xfId="21040"/>
    <cellStyle name="Comma [0] TBD-_2005 Roadmap_48status preliminaryL_ 4" xfId="21041"/>
    <cellStyle name="Comma [0] TBD_2005 Roadmap_48status preliminaryL_ 5" xfId="21042"/>
    <cellStyle name="Comma [0] TBD-_2005 Roadmap_48status preliminaryL_ 5" xfId="21043"/>
    <cellStyle name="Comma [0] TBD_2005 Roadmap_48status preliminaryL_ 6" xfId="21044"/>
    <cellStyle name="Comma [0] TBD-_2005 Roadmap_48status preliminaryL_ 6" xfId="21045"/>
    <cellStyle name="Comma [0] TBD_2005 Roadmap_48status preliminaryL_ 7" xfId="21046"/>
    <cellStyle name="Comma [0] TBD-_2005 Roadmap_48status preliminaryL_ 7" xfId="21047"/>
    <cellStyle name="Comma [0] TBD_2005 Roadmap_48status preliminaryL_ 8" xfId="21048"/>
    <cellStyle name="Comma [0] TBD-_2005 Roadmap_48status preliminaryL_ 8" xfId="21049"/>
    <cellStyle name="Comma [0] TBD_2005 Roadmap_48status preliminaryL_ 9" xfId="21050"/>
    <cellStyle name="Comma [0] TBD-_2005 Roadmap_48status preliminaryL_ 9" xfId="21051"/>
    <cellStyle name="Comma [0] TBD_2005.5 Escape Package Strategy 1.52" xfId="21052"/>
    <cellStyle name="Comma [0] TBD-_2005.5 Escape Package Strategy 1.52" xfId="21053"/>
    <cellStyle name="Comma [0] TBD_2005.5 Escape Package Strategy 1.52 2" xfId="21054"/>
    <cellStyle name="Comma [0] TBD-_2005.5 Escape Package Strategy 1.52 2" xfId="21055"/>
    <cellStyle name="Comma [0] TBD_2006_Metrics_ver_h_adjusted on march_20" xfId="21056"/>
    <cellStyle name="Comma [0] TBD-_2006_Metrics_ver_h_adjusted on march_20" xfId="21057"/>
    <cellStyle name="Comma [0] TBD_2006_Metrics_ver_h_adjusted on march_20 2" xfId="21058"/>
    <cellStyle name="Comma [0] TBD-_2006_Metrics_ver_h_adjusted on march_20 2" xfId="21059"/>
    <cellStyle name="Comma [0] TBD_2006_Metrics_ver_h_adjusted on march_20 2 2" xfId="21060"/>
    <cellStyle name="Comma [0] TBD-_2006_Metrics_ver_h_adjusted on march_20 2 2" xfId="21061"/>
    <cellStyle name="Comma [0] TBD_2006_Metrics_ver_h_adjusted on march_20 3" xfId="21062"/>
    <cellStyle name="Comma [0] TBD-_2006_Metrics_ver_h_adjusted on march_20 3" xfId="21063"/>
    <cellStyle name="Comma [0] TBD_2006_Metrics_ver_h_adjusted on march_20 3 2" xfId="21064"/>
    <cellStyle name="Comma [0] TBD-_2006_Metrics_ver_h_adjusted on march_20 3 2" xfId="21065"/>
    <cellStyle name="Comma [0] TBD_2006_Metrics_ver_h_adjusted on march_20 4" xfId="21066"/>
    <cellStyle name="Comma [0] TBD-_2006_Metrics_ver_h_adjusted on march_20 4" xfId="21067"/>
    <cellStyle name="Comma [0] TBD_2006_Metrics_ver_h_adjusted on march_20 5" xfId="21068"/>
    <cellStyle name="Comma [0] TBD-_2006_Metrics_ver_h_adjusted on march_20 5" xfId="21069"/>
    <cellStyle name="Comma [0] TBD_2006_Metrics_ver_h_adjusted on march_20 6" xfId="21070"/>
    <cellStyle name="Comma [0] TBD-_2006_Metrics_ver_h_adjusted on march_20 6" xfId="21071"/>
    <cellStyle name="Comma [0] TBD_2006_Metrics_ver_h_adjusted on march_20 7" xfId="21072"/>
    <cellStyle name="Comma [0] TBD-_2006_Metrics_ver_h_adjusted on march_20 7" xfId="21073"/>
    <cellStyle name="Comma [0] TBD_2006_Metrics_ver_h_adjusted on march_20 8" xfId="21074"/>
    <cellStyle name="Comma [0] TBD-_2006_Metrics_ver_h_adjusted on march_20 8" xfId="21075"/>
    <cellStyle name="Comma [0] TBD_2006_Metrics_ver_h_adjusted on march_20 9" xfId="21076"/>
    <cellStyle name="Comma [0] TBD-_2006_Metrics_ver_h_adjusted on march_20 9" xfId="21077"/>
    <cellStyle name="Comma [0] TBD_2006MY Escape Package and Price Strategy Template2" xfId="21078"/>
    <cellStyle name="Comma [0] TBD-_2006MY Escape Package and Price Strategy Template2" xfId="21079"/>
    <cellStyle name="Comma [0] TBD_2006MY Escape Package and Price Strategy Template2 2" xfId="21080"/>
    <cellStyle name="Comma [0] TBD-_2006MY Escape Package and Price Strategy Template2 2" xfId="21081"/>
    <cellStyle name="Comma [0] TBD_2006MY Escape Pkg-Price Strategy 4 pager v3.7 - FINAL - Main" xfId="21082"/>
    <cellStyle name="Comma [0] TBD-_2006MY Escape Pkg-Price Strategy 4 pager v3.7 - FINAL - Main" xfId="21083"/>
    <cellStyle name="Comma [0] TBD_2006MY Escape Pkg-Price Strategy 4 pager v3.7 - FINAL - Main 2" xfId="21084"/>
    <cellStyle name="Comma [0] TBD-_2006MY Escape Pkg-Price Strategy 4 pager v3.7 - FINAL - Main 2" xfId="21085"/>
    <cellStyle name="Comma [0] TBD_2007 Concern tracker 05-02-2005 " xfId="21086"/>
    <cellStyle name="Comma [0] TBD-_2007 Concern tracker 05-02-2005 " xfId="21087"/>
    <cellStyle name="Comma [0] TBD_2007 Concern tracker 05-02-2005  10" xfId="21088"/>
    <cellStyle name="Comma [0] TBD-_2007 Concern tracker 05-02-2005  10" xfId="21089"/>
    <cellStyle name="Comma [0] TBD_2007 Concern tracker 05-02-2005  10 10" xfId="21090"/>
    <cellStyle name="Comma [0] TBD-_2007 Concern tracker 05-02-2005  10 10" xfId="21091"/>
    <cellStyle name="Comma [0] TBD_2007 Concern tracker 05-02-2005  10 100" xfId="21092"/>
    <cellStyle name="Comma [0] TBD-_2007 Concern tracker 05-02-2005  10 100" xfId="21093"/>
    <cellStyle name="Comma [0] TBD_2007 Concern tracker 05-02-2005  10 101" xfId="21094"/>
    <cellStyle name="Comma [0] TBD-_2007 Concern tracker 05-02-2005  10 101" xfId="21095"/>
    <cellStyle name="Comma [0] TBD_2007 Concern tracker 05-02-2005  10 102" xfId="21096"/>
    <cellStyle name="Comma [0] TBD-_2007 Concern tracker 05-02-2005  10 102" xfId="21097"/>
    <cellStyle name="Comma [0] TBD_2007 Concern tracker 05-02-2005  10 103" xfId="21098"/>
    <cellStyle name="Comma [0] TBD-_2007 Concern tracker 05-02-2005  10 103" xfId="21099"/>
    <cellStyle name="Comma [0] TBD_2007 Concern tracker 05-02-2005  10 104" xfId="21100"/>
    <cellStyle name="Comma [0] TBD-_2007 Concern tracker 05-02-2005  10 104" xfId="21101"/>
    <cellStyle name="Comma [0] TBD_2007 Concern tracker 05-02-2005  10 105" xfId="21102"/>
    <cellStyle name="Comma [0] TBD-_2007 Concern tracker 05-02-2005  10 105" xfId="21103"/>
    <cellStyle name="Comma [0] TBD_2007 Concern tracker 05-02-2005  10 106" xfId="21104"/>
    <cellStyle name="Comma [0] TBD-_2007 Concern tracker 05-02-2005  10 106" xfId="21105"/>
    <cellStyle name="Comma [0] TBD_2007 Concern tracker 05-02-2005  10 107" xfId="21106"/>
    <cellStyle name="Comma [0] TBD-_2007 Concern tracker 05-02-2005  10 107" xfId="21107"/>
    <cellStyle name="Comma [0] TBD_2007 Concern tracker 05-02-2005  10 108" xfId="21108"/>
    <cellStyle name="Comma [0] TBD-_2007 Concern tracker 05-02-2005  10 108" xfId="21109"/>
    <cellStyle name="Comma [0] TBD_2007 Concern tracker 05-02-2005  10 109" xfId="21110"/>
    <cellStyle name="Comma [0] TBD-_2007 Concern tracker 05-02-2005  10 109" xfId="21111"/>
    <cellStyle name="Comma [0] TBD_2007 Concern tracker 05-02-2005  10 11" xfId="21112"/>
    <cellStyle name="Comma [0] TBD-_2007 Concern tracker 05-02-2005  10 11" xfId="21113"/>
    <cellStyle name="Comma [0] TBD_2007 Concern tracker 05-02-2005  10 110" xfId="21114"/>
    <cellStyle name="Comma [0] TBD-_2007 Concern tracker 05-02-2005  10 110" xfId="21115"/>
    <cellStyle name="Comma [0] TBD_2007 Concern tracker 05-02-2005  10 111" xfId="21116"/>
    <cellStyle name="Comma [0] TBD-_2007 Concern tracker 05-02-2005  10 111" xfId="21117"/>
    <cellStyle name="Comma [0] TBD_2007 Concern tracker 05-02-2005  10 112" xfId="21118"/>
    <cellStyle name="Comma [0] TBD-_2007 Concern tracker 05-02-2005  10 112" xfId="21119"/>
    <cellStyle name="Comma [0] TBD_2007 Concern tracker 05-02-2005  10 113" xfId="21120"/>
    <cellStyle name="Comma [0] TBD-_2007 Concern tracker 05-02-2005  10 113" xfId="21121"/>
    <cellStyle name="Comma [0] TBD_2007 Concern tracker 05-02-2005  10 114" xfId="21122"/>
    <cellStyle name="Comma [0] TBD-_2007 Concern tracker 05-02-2005  10 114" xfId="21123"/>
    <cellStyle name="Comma [0] TBD_2007 Concern tracker 05-02-2005  10 115" xfId="21124"/>
    <cellStyle name="Comma [0] TBD-_2007 Concern tracker 05-02-2005  10 115" xfId="21125"/>
    <cellStyle name="Comma [0] TBD_2007 Concern tracker 05-02-2005  10 116" xfId="21126"/>
    <cellStyle name="Comma [0] TBD-_2007 Concern tracker 05-02-2005  10 116" xfId="21127"/>
    <cellStyle name="Comma [0] TBD_2007 Concern tracker 05-02-2005  10 117" xfId="21128"/>
    <cellStyle name="Comma [0] TBD-_2007 Concern tracker 05-02-2005  10 117" xfId="21129"/>
    <cellStyle name="Comma [0] TBD_2007 Concern tracker 05-02-2005  10 118" xfId="21130"/>
    <cellStyle name="Comma [0] TBD-_2007 Concern tracker 05-02-2005  10 118" xfId="21131"/>
    <cellStyle name="Comma [0] TBD_2007 Concern tracker 05-02-2005  10 119" xfId="21132"/>
    <cellStyle name="Comma [0] TBD-_2007 Concern tracker 05-02-2005  10 119" xfId="21133"/>
    <cellStyle name="Comma [0] TBD_2007 Concern tracker 05-02-2005  10 12" xfId="21134"/>
    <cellStyle name="Comma [0] TBD-_2007 Concern tracker 05-02-2005  10 12" xfId="21135"/>
    <cellStyle name="Comma [0] TBD_2007 Concern tracker 05-02-2005  10 120" xfId="21136"/>
    <cellStyle name="Comma [0] TBD-_2007 Concern tracker 05-02-2005  10 120" xfId="21137"/>
    <cellStyle name="Comma [0] TBD_2007 Concern tracker 05-02-2005  10 121" xfId="21138"/>
    <cellStyle name="Comma [0] TBD-_2007 Concern tracker 05-02-2005  10 121" xfId="21139"/>
    <cellStyle name="Comma [0] TBD_2007 Concern tracker 05-02-2005  10 122" xfId="21140"/>
    <cellStyle name="Comma [0] TBD-_2007 Concern tracker 05-02-2005  10 122" xfId="21141"/>
    <cellStyle name="Comma [0] TBD_2007 Concern tracker 05-02-2005  10 123" xfId="21142"/>
    <cellStyle name="Comma [0] TBD-_2007 Concern tracker 05-02-2005  10 123" xfId="21143"/>
    <cellStyle name="Comma [0] TBD_2007 Concern tracker 05-02-2005  10 124" xfId="21144"/>
    <cellStyle name="Comma [0] TBD-_2007 Concern tracker 05-02-2005  10 124" xfId="21145"/>
    <cellStyle name="Comma [0] TBD_2007 Concern tracker 05-02-2005  10 125" xfId="21146"/>
    <cellStyle name="Comma [0] TBD-_2007 Concern tracker 05-02-2005  10 125" xfId="21147"/>
    <cellStyle name="Comma [0] TBD_2007 Concern tracker 05-02-2005  10 126" xfId="21148"/>
    <cellStyle name="Comma [0] TBD-_2007 Concern tracker 05-02-2005  10 126" xfId="21149"/>
    <cellStyle name="Comma [0] TBD_2007 Concern tracker 05-02-2005  10 127" xfId="21150"/>
    <cellStyle name="Comma [0] TBD-_2007 Concern tracker 05-02-2005  10 127" xfId="21151"/>
    <cellStyle name="Comma [0] TBD_2007 Concern tracker 05-02-2005  10 128" xfId="21152"/>
    <cellStyle name="Comma [0] TBD-_2007 Concern tracker 05-02-2005  10 128" xfId="21153"/>
    <cellStyle name="Comma [0] TBD_2007 Concern tracker 05-02-2005  10 129" xfId="21154"/>
    <cellStyle name="Comma [0] TBD-_2007 Concern tracker 05-02-2005  10 129" xfId="21155"/>
    <cellStyle name="Comma [0] TBD_2007 Concern tracker 05-02-2005  10 13" xfId="21156"/>
    <cellStyle name="Comma [0] TBD-_2007 Concern tracker 05-02-2005  10 13" xfId="21157"/>
    <cellStyle name="Comma [0] TBD_2007 Concern tracker 05-02-2005  10 130" xfId="21158"/>
    <cellStyle name="Comma [0] TBD-_2007 Concern tracker 05-02-2005  10 130" xfId="21159"/>
    <cellStyle name="Comma [0] TBD_2007 Concern tracker 05-02-2005  10 131" xfId="21160"/>
    <cellStyle name="Comma [0] TBD-_2007 Concern tracker 05-02-2005  10 131" xfId="21161"/>
    <cellStyle name="Comma [0] TBD_2007 Concern tracker 05-02-2005  10 132" xfId="21162"/>
    <cellStyle name="Comma [0] TBD-_2007 Concern tracker 05-02-2005  10 132" xfId="21163"/>
    <cellStyle name="Comma [0] TBD_2007 Concern tracker 05-02-2005  10 133" xfId="21164"/>
    <cellStyle name="Comma [0] TBD-_2007 Concern tracker 05-02-2005  10 133" xfId="21165"/>
    <cellStyle name="Comma [0] TBD_2007 Concern tracker 05-02-2005  10 134" xfId="21166"/>
    <cellStyle name="Comma [0] TBD-_2007 Concern tracker 05-02-2005  10 134" xfId="21167"/>
    <cellStyle name="Comma [0] TBD_2007 Concern tracker 05-02-2005  10 135" xfId="21168"/>
    <cellStyle name="Comma [0] TBD-_2007 Concern tracker 05-02-2005  10 135" xfId="21169"/>
    <cellStyle name="Comma [0] TBD_2007 Concern tracker 05-02-2005  10 136" xfId="21170"/>
    <cellStyle name="Comma [0] TBD-_2007 Concern tracker 05-02-2005  10 136" xfId="21171"/>
    <cellStyle name="Comma [0] TBD_2007 Concern tracker 05-02-2005  10 137" xfId="21172"/>
    <cellStyle name="Comma [0] TBD-_2007 Concern tracker 05-02-2005  10 137" xfId="21173"/>
    <cellStyle name="Comma [0] TBD_2007 Concern tracker 05-02-2005  10 138" xfId="21174"/>
    <cellStyle name="Comma [0] TBD-_2007 Concern tracker 05-02-2005  10 138" xfId="21175"/>
    <cellStyle name="Comma [0] TBD_2007 Concern tracker 05-02-2005  10 139" xfId="21176"/>
    <cellStyle name="Comma [0] TBD-_2007 Concern tracker 05-02-2005  10 139" xfId="21177"/>
    <cellStyle name="Comma [0] TBD_2007 Concern tracker 05-02-2005  10 14" xfId="21178"/>
    <cellStyle name="Comma [0] TBD-_2007 Concern tracker 05-02-2005  10 14" xfId="21179"/>
    <cellStyle name="Comma [0] TBD_2007 Concern tracker 05-02-2005  10 140" xfId="21180"/>
    <cellStyle name="Comma [0] TBD-_2007 Concern tracker 05-02-2005  10 140" xfId="21181"/>
    <cellStyle name="Comma [0] TBD_2007 Concern tracker 05-02-2005  10 141" xfId="21182"/>
    <cellStyle name="Comma [0] TBD-_2007 Concern tracker 05-02-2005  10 141" xfId="21183"/>
    <cellStyle name="Comma [0] TBD_2007 Concern tracker 05-02-2005  10 142" xfId="21184"/>
    <cellStyle name="Comma [0] TBD-_2007 Concern tracker 05-02-2005  10 142" xfId="21185"/>
    <cellStyle name="Comma [0] TBD_2007 Concern tracker 05-02-2005  10 143" xfId="21186"/>
    <cellStyle name="Comma [0] TBD-_2007 Concern tracker 05-02-2005  10 143" xfId="21187"/>
    <cellStyle name="Comma [0] TBD_2007 Concern tracker 05-02-2005  10 144" xfId="21188"/>
    <cellStyle name="Comma [0] TBD-_2007 Concern tracker 05-02-2005  10 144" xfId="21189"/>
    <cellStyle name="Comma [0] TBD_2007 Concern tracker 05-02-2005  10 145" xfId="21190"/>
    <cellStyle name="Comma [0] TBD-_2007 Concern tracker 05-02-2005  10 145" xfId="21191"/>
    <cellStyle name="Comma [0] TBD_2007 Concern tracker 05-02-2005  10 146" xfId="21192"/>
    <cellStyle name="Comma [0] TBD-_2007 Concern tracker 05-02-2005  10 146" xfId="21193"/>
    <cellStyle name="Comma [0] TBD_2007 Concern tracker 05-02-2005  10 147" xfId="21194"/>
    <cellStyle name="Comma [0] TBD-_2007 Concern tracker 05-02-2005  10 147" xfId="21195"/>
    <cellStyle name="Comma [0] TBD_2007 Concern tracker 05-02-2005  10 148" xfId="21196"/>
    <cellStyle name="Comma [0] TBD-_2007 Concern tracker 05-02-2005  10 148" xfId="21197"/>
    <cellStyle name="Comma [0] TBD_2007 Concern tracker 05-02-2005  10 149" xfId="21198"/>
    <cellStyle name="Comma [0] TBD-_2007 Concern tracker 05-02-2005  10 149" xfId="21199"/>
    <cellStyle name="Comma [0] TBD_2007 Concern tracker 05-02-2005  10 15" xfId="21200"/>
    <cellStyle name="Comma [0] TBD-_2007 Concern tracker 05-02-2005  10 15" xfId="21201"/>
    <cellStyle name="Comma [0] TBD_2007 Concern tracker 05-02-2005  10 150" xfId="21202"/>
    <cellStyle name="Comma [0] TBD-_2007 Concern tracker 05-02-2005  10 150" xfId="21203"/>
    <cellStyle name="Comma [0] TBD_2007 Concern tracker 05-02-2005  10 151" xfId="21204"/>
    <cellStyle name="Comma [0] TBD-_2007 Concern tracker 05-02-2005  10 151" xfId="21205"/>
    <cellStyle name="Comma [0] TBD_2007 Concern tracker 05-02-2005  10 152" xfId="21206"/>
    <cellStyle name="Comma [0] TBD-_2007 Concern tracker 05-02-2005  10 152" xfId="21207"/>
    <cellStyle name="Comma [0] TBD_2007 Concern tracker 05-02-2005  10 153" xfId="21208"/>
    <cellStyle name="Comma [0] TBD-_2007 Concern tracker 05-02-2005  10 153" xfId="21209"/>
    <cellStyle name="Comma [0] TBD_2007 Concern tracker 05-02-2005  10 154" xfId="21210"/>
    <cellStyle name="Comma [0] TBD-_2007 Concern tracker 05-02-2005  10 154" xfId="21211"/>
    <cellStyle name="Comma [0] TBD_2007 Concern tracker 05-02-2005  10 16" xfId="21212"/>
    <cellStyle name="Comma [0] TBD-_2007 Concern tracker 05-02-2005  10 16" xfId="21213"/>
    <cellStyle name="Comma [0] TBD_2007 Concern tracker 05-02-2005  10 17" xfId="21214"/>
    <cellStyle name="Comma [0] TBD-_2007 Concern tracker 05-02-2005  10 17" xfId="21215"/>
    <cellStyle name="Comma [0] TBD_2007 Concern tracker 05-02-2005  10 18" xfId="21216"/>
    <cellStyle name="Comma [0] TBD-_2007 Concern tracker 05-02-2005  10 18" xfId="21217"/>
    <cellStyle name="Comma [0] TBD_2007 Concern tracker 05-02-2005  10 19" xfId="21218"/>
    <cellStyle name="Comma [0] TBD-_2007 Concern tracker 05-02-2005  10 19" xfId="21219"/>
    <cellStyle name="Comma [0] TBD_2007 Concern tracker 05-02-2005  10 2" xfId="21220"/>
    <cellStyle name="Comma [0] TBD-_2007 Concern tracker 05-02-2005  10 2" xfId="21221"/>
    <cellStyle name="Comma [0] TBD_2007 Concern tracker 05-02-2005  10 20" xfId="21222"/>
    <cellStyle name="Comma [0] TBD-_2007 Concern tracker 05-02-2005  10 20" xfId="21223"/>
    <cellStyle name="Comma [0] TBD_2007 Concern tracker 05-02-2005  10 21" xfId="21224"/>
    <cellStyle name="Comma [0] TBD-_2007 Concern tracker 05-02-2005  10 21" xfId="21225"/>
    <cellStyle name="Comma [0] TBD_2007 Concern tracker 05-02-2005  10 22" xfId="21226"/>
    <cellStyle name="Comma [0] TBD-_2007 Concern tracker 05-02-2005  10 22" xfId="21227"/>
    <cellStyle name="Comma [0] TBD_2007 Concern tracker 05-02-2005  10 23" xfId="21228"/>
    <cellStyle name="Comma [0] TBD-_2007 Concern tracker 05-02-2005  10 23" xfId="21229"/>
    <cellStyle name="Comma [0] TBD_2007 Concern tracker 05-02-2005  10 24" xfId="21230"/>
    <cellStyle name="Comma [0] TBD-_2007 Concern tracker 05-02-2005  10 24" xfId="21231"/>
    <cellStyle name="Comma [0] TBD_2007 Concern tracker 05-02-2005  10 25" xfId="21232"/>
    <cellStyle name="Comma [0] TBD-_2007 Concern tracker 05-02-2005  10 25" xfId="21233"/>
    <cellStyle name="Comma [0] TBD_2007 Concern tracker 05-02-2005  10 26" xfId="21234"/>
    <cellStyle name="Comma [0] TBD-_2007 Concern tracker 05-02-2005  10 26" xfId="21235"/>
    <cellStyle name="Comma [0] TBD_2007 Concern tracker 05-02-2005  10 27" xfId="21236"/>
    <cellStyle name="Comma [0] TBD-_2007 Concern tracker 05-02-2005  10 27" xfId="21237"/>
    <cellStyle name="Comma [0] TBD_2007 Concern tracker 05-02-2005  10 28" xfId="21238"/>
    <cellStyle name="Comma [0] TBD-_2007 Concern tracker 05-02-2005  10 28" xfId="21239"/>
    <cellStyle name="Comma [0] TBD_2007 Concern tracker 05-02-2005  10 29" xfId="21240"/>
    <cellStyle name="Comma [0] TBD-_2007 Concern tracker 05-02-2005  10 29" xfId="21241"/>
    <cellStyle name="Comma [0] TBD_2007 Concern tracker 05-02-2005  10 3" xfId="21242"/>
    <cellStyle name="Comma [0] TBD-_2007 Concern tracker 05-02-2005  10 3" xfId="21243"/>
    <cellStyle name="Comma [0] TBD_2007 Concern tracker 05-02-2005  10 30" xfId="21244"/>
    <cellStyle name="Comma [0] TBD-_2007 Concern tracker 05-02-2005  10 30" xfId="21245"/>
    <cellStyle name="Comma [0] TBD_2007 Concern tracker 05-02-2005  10 31" xfId="21246"/>
    <cellStyle name="Comma [0] TBD-_2007 Concern tracker 05-02-2005  10 31" xfId="21247"/>
    <cellStyle name="Comma [0] TBD_2007 Concern tracker 05-02-2005  10 32" xfId="21248"/>
    <cellStyle name="Comma [0] TBD-_2007 Concern tracker 05-02-2005  10 32" xfId="21249"/>
    <cellStyle name="Comma [0] TBD_2007 Concern tracker 05-02-2005  10 33" xfId="21250"/>
    <cellStyle name="Comma [0] TBD-_2007 Concern tracker 05-02-2005  10 33" xfId="21251"/>
    <cellStyle name="Comma [0] TBD_2007 Concern tracker 05-02-2005  10 34" xfId="21252"/>
    <cellStyle name="Comma [0] TBD-_2007 Concern tracker 05-02-2005  10 34" xfId="21253"/>
    <cellStyle name="Comma [0] TBD_2007 Concern tracker 05-02-2005  10 35" xfId="21254"/>
    <cellStyle name="Comma [0] TBD-_2007 Concern tracker 05-02-2005  10 35" xfId="21255"/>
    <cellStyle name="Comma [0] TBD_2007 Concern tracker 05-02-2005  10 36" xfId="21256"/>
    <cellStyle name="Comma [0] TBD-_2007 Concern tracker 05-02-2005  10 36" xfId="21257"/>
    <cellStyle name="Comma [0] TBD_2007 Concern tracker 05-02-2005  10 37" xfId="21258"/>
    <cellStyle name="Comma [0] TBD-_2007 Concern tracker 05-02-2005  10 37" xfId="21259"/>
    <cellStyle name="Comma [0] TBD_2007 Concern tracker 05-02-2005  10 38" xfId="21260"/>
    <cellStyle name="Comma [0] TBD-_2007 Concern tracker 05-02-2005  10 38" xfId="21261"/>
    <cellStyle name="Comma [0] TBD_2007 Concern tracker 05-02-2005  10 39" xfId="21262"/>
    <cellStyle name="Comma [0] TBD-_2007 Concern tracker 05-02-2005  10 39" xfId="21263"/>
    <cellStyle name="Comma [0] TBD_2007 Concern tracker 05-02-2005  10 4" xfId="21264"/>
    <cellStyle name="Comma [0] TBD-_2007 Concern tracker 05-02-2005  10 4" xfId="21265"/>
    <cellStyle name="Comma [0] TBD_2007 Concern tracker 05-02-2005  10 40" xfId="21266"/>
    <cellStyle name="Comma [0] TBD-_2007 Concern tracker 05-02-2005  10 40" xfId="21267"/>
    <cellStyle name="Comma [0] TBD_2007 Concern tracker 05-02-2005  10 41" xfId="21268"/>
    <cellStyle name="Comma [0] TBD-_2007 Concern tracker 05-02-2005  10 41" xfId="21269"/>
    <cellStyle name="Comma [0] TBD_2007 Concern tracker 05-02-2005  10 42" xfId="21270"/>
    <cellStyle name="Comma [0] TBD-_2007 Concern tracker 05-02-2005  10 42" xfId="21271"/>
    <cellStyle name="Comma [0] TBD_2007 Concern tracker 05-02-2005  10 43" xfId="21272"/>
    <cellStyle name="Comma [0] TBD-_2007 Concern tracker 05-02-2005  10 43" xfId="21273"/>
    <cellStyle name="Comma [0] TBD_2007 Concern tracker 05-02-2005  10 44" xfId="21274"/>
    <cellStyle name="Comma [0] TBD-_2007 Concern tracker 05-02-2005  10 44" xfId="21275"/>
    <cellStyle name="Comma [0] TBD_2007 Concern tracker 05-02-2005  10 45" xfId="21276"/>
    <cellStyle name="Comma [0] TBD-_2007 Concern tracker 05-02-2005  10 45" xfId="21277"/>
    <cellStyle name="Comma [0] TBD_2007 Concern tracker 05-02-2005  10 46" xfId="21278"/>
    <cellStyle name="Comma [0] TBD-_2007 Concern tracker 05-02-2005  10 46" xfId="21279"/>
    <cellStyle name="Comma [0] TBD_2007 Concern tracker 05-02-2005  10 47" xfId="21280"/>
    <cellStyle name="Comma [0] TBD-_2007 Concern tracker 05-02-2005  10 47" xfId="21281"/>
    <cellStyle name="Comma [0] TBD_2007 Concern tracker 05-02-2005  10 48" xfId="21282"/>
    <cellStyle name="Comma [0] TBD-_2007 Concern tracker 05-02-2005  10 48" xfId="21283"/>
    <cellStyle name="Comma [0] TBD_2007 Concern tracker 05-02-2005  10 49" xfId="21284"/>
    <cellStyle name="Comma [0] TBD-_2007 Concern tracker 05-02-2005  10 49" xfId="21285"/>
    <cellStyle name="Comma [0] TBD_2007 Concern tracker 05-02-2005  10 5" xfId="21286"/>
    <cellStyle name="Comma [0] TBD-_2007 Concern tracker 05-02-2005  10 5" xfId="21287"/>
    <cellStyle name="Comma [0] TBD_2007 Concern tracker 05-02-2005  10 50" xfId="21288"/>
    <cellStyle name="Comma [0] TBD-_2007 Concern tracker 05-02-2005  10 50" xfId="21289"/>
    <cellStyle name="Comma [0] TBD_2007 Concern tracker 05-02-2005  10 51" xfId="21290"/>
    <cellStyle name="Comma [0] TBD-_2007 Concern tracker 05-02-2005  10 51" xfId="21291"/>
    <cellStyle name="Comma [0] TBD_2007 Concern tracker 05-02-2005  10 52" xfId="21292"/>
    <cellStyle name="Comma [0] TBD-_2007 Concern tracker 05-02-2005  10 52" xfId="21293"/>
    <cellStyle name="Comma [0] TBD_2007 Concern tracker 05-02-2005  10 53" xfId="21294"/>
    <cellStyle name="Comma [0] TBD-_2007 Concern tracker 05-02-2005  10 53" xfId="21295"/>
    <cellStyle name="Comma [0] TBD_2007 Concern tracker 05-02-2005  10 54" xfId="21296"/>
    <cellStyle name="Comma [0] TBD-_2007 Concern tracker 05-02-2005  10 54" xfId="21297"/>
    <cellStyle name="Comma [0] TBD_2007 Concern tracker 05-02-2005  10 55" xfId="21298"/>
    <cellStyle name="Comma [0] TBD-_2007 Concern tracker 05-02-2005  10 55" xfId="21299"/>
    <cellStyle name="Comma [0] TBD_2007 Concern tracker 05-02-2005  10 56" xfId="21300"/>
    <cellStyle name="Comma [0] TBD-_2007 Concern tracker 05-02-2005  10 56" xfId="21301"/>
    <cellStyle name="Comma [0] TBD_2007 Concern tracker 05-02-2005  10 57" xfId="21302"/>
    <cellStyle name="Comma [0] TBD-_2007 Concern tracker 05-02-2005  10 57" xfId="21303"/>
    <cellStyle name="Comma [0] TBD_2007 Concern tracker 05-02-2005  10 58" xfId="21304"/>
    <cellStyle name="Comma [0] TBD-_2007 Concern tracker 05-02-2005  10 58" xfId="21305"/>
    <cellStyle name="Comma [0] TBD_2007 Concern tracker 05-02-2005  10 59" xfId="21306"/>
    <cellStyle name="Comma [0] TBD-_2007 Concern tracker 05-02-2005  10 59" xfId="21307"/>
    <cellStyle name="Comma [0] TBD_2007 Concern tracker 05-02-2005  10 6" xfId="21308"/>
    <cellStyle name="Comma [0] TBD-_2007 Concern tracker 05-02-2005  10 6" xfId="21309"/>
    <cellStyle name="Comma [0] TBD_2007 Concern tracker 05-02-2005  10 60" xfId="21310"/>
    <cellStyle name="Comma [0] TBD-_2007 Concern tracker 05-02-2005  10 60" xfId="21311"/>
    <cellStyle name="Comma [0] TBD_2007 Concern tracker 05-02-2005  10 61" xfId="21312"/>
    <cellStyle name="Comma [0] TBD-_2007 Concern tracker 05-02-2005  10 61" xfId="21313"/>
    <cellStyle name="Comma [0] TBD_2007 Concern tracker 05-02-2005  10 62" xfId="21314"/>
    <cellStyle name="Comma [0] TBD-_2007 Concern tracker 05-02-2005  10 62" xfId="21315"/>
    <cellStyle name="Comma [0] TBD_2007 Concern tracker 05-02-2005  10 63" xfId="21316"/>
    <cellStyle name="Comma [0] TBD-_2007 Concern tracker 05-02-2005  10 63" xfId="21317"/>
    <cellStyle name="Comma [0] TBD_2007 Concern tracker 05-02-2005  10 64" xfId="21318"/>
    <cellStyle name="Comma [0] TBD-_2007 Concern tracker 05-02-2005  10 64" xfId="21319"/>
    <cellStyle name="Comma [0] TBD_2007 Concern tracker 05-02-2005  10 65" xfId="21320"/>
    <cellStyle name="Comma [0] TBD-_2007 Concern tracker 05-02-2005  10 65" xfId="21321"/>
    <cellStyle name="Comma [0] TBD_2007 Concern tracker 05-02-2005  10 66" xfId="21322"/>
    <cellStyle name="Comma [0] TBD-_2007 Concern tracker 05-02-2005  10 66" xfId="21323"/>
    <cellStyle name="Comma [0] TBD_2007 Concern tracker 05-02-2005  10 67" xfId="21324"/>
    <cellStyle name="Comma [0] TBD-_2007 Concern tracker 05-02-2005  10 67" xfId="21325"/>
    <cellStyle name="Comma [0] TBD_2007 Concern tracker 05-02-2005  10 68" xfId="21326"/>
    <cellStyle name="Comma [0] TBD-_2007 Concern tracker 05-02-2005  10 68" xfId="21327"/>
    <cellStyle name="Comma [0] TBD_2007 Concern tracker 05-02-2005  10 69" xfId="21328"/>
    <cellStyle name="Comma [0] TBD-_2007 Concern tracker 05-02-2005  10 69" xfId="21329"/>
    <cellStyle name="Comma [0] TBD_2007 Concern tracker 05-02-2005  10 7" xfId="21330"/>
    <cellStyle name="Comma [0] TBD-_2007 Concern tracker 05-02-2005  10 7" xfId="21331"/>
    <cellStyle name="Comma [0] TBD_2007 Concern tracker 05-02-2005  10 70" xfId="21332"/>
    <cellStyle name="Comma [0] TBD-_2007 Concern tracker 05-02-2005  10 70" xfId="21333"/>
    <cellStyle name="Comma [0] TBD_2007 Concern tracker 05-02-2005  10 71" xfId="21334"/>
    <cellStyle name="Comma [0] TBD-_2007 Concern tracker 05-02-2005  10 71" xfId="21335"/>
    <cellStyle name="Comma [0] TBD_2007 Concern tracker 05-02-2005  10 72" xfId="21336"/>
    <cellStyle name="Comma [0] TBD-_2007 Concern tracker 05-02-2005  10 72" xfId="21337"/>
    <cellStyle name="Comma [0] TBD_2007 Concern tracker 05-02-2005  10 73" xfId="21338"/>
    <cellStyle name="Comma [0] TBD-_2007 Concern tracker 05-02-2005  10 73" xfId="21339"/>
    <cellStyle name="Comma [0] TBD_2007 Concern tracker 05-02-2005  10 74" xfId="21340"/>
    <cellStyle name="Comma [0] TBD-_2007 Concern tracker 05-02-2005  10 74" xfId="21341"/>
    <cellStyle name="Comma [0] TBD_2007 Concern tracker 05-02-2005  10 75" xfId="21342"/>
    <cellStyle name="Comma [0] TBD-_2007 Concern tracker 05-02-2005  10 75" xfId="21343"/>
    <cellStyle name="Comma [0] TBD_2007 Concern tracker 05-02-2005  10 76" xfId="21344"/>
    <cellStyle name="Comma [0] TBD-_2007 Concern tracker 05-02-2005  10 76" xfId="21345"/>
    <cellStyle name="Comma [0] TBD_2007 Concern tracker 05-02-2005  10 77" xfId="21346"/>
    <cellStyle name="Comma [0] TBD-_2007 Concern tracker 05-02-2005  10 77" xfId="21347"/>
    <cellStyle name="Comma [0] TBD_2007 Concern tracker 05-02-2005  10 78" xfId="21348"/>
    <cellStyle name="Comma [0] TBD-_2007 Concern tracker 05-02-2005  10 78" xfId="21349"/>
    <cellStyle name="Comma [0] TBD_2007 Concern tracker 05-02-2005  10 79" xfId="21350"/>
    <cellStyle name="Comma [0] TBD-_2007 Concern tracker 05-02-2005  10 79" xfId="21351"/>
    <cellStyle name="Comma [0] TBD_2007 Concern tracker 05-02-2005  10 8" xfId="21352"/>
    <cellStyle name="Comma [0] TBD-_2007 Concern tracker 05-02-2005  10 8" xfId="21353"/>
    <cellStyle name="Comma [0] TBD_2007 Concern tracker 05-02-2005  10 80" xfId="21354"/>
    <cellStyle name="Comma [0] TBD-_2007 Concern tracker 05-02-2005  10 80" xfId="21355"/>
    <cellStyle name="Comma [0] TBD_2007 Concern tracker 05-02-2005  10 81" xfId="21356"/>
    <cellStyle name="Comma [0] TBD-_2007 Concern tracker 05-02-2005  10 81" xfId="21357"/>
    <cellStyle name="Comma [0] TBD_2007 Concern tracker 05-02-2005  10 82" xfId="21358"/>
    <cellStyle name="Comma [0] TBD-_2007 Concern tracker 05-02-2005  10 82" xfId="21359"/>
    <cellStyle name="Comma [0] TBD_2007 Concern tracker 05-02-2005  10 83" xfId="21360"/>
    <cellStyle name="Comma [0] TBD-_2007 Concern tracker 05-02-2005  10 83" xfId="21361"/>
    <cellStyle name="Comma [0] TBD_2007 Concern tracker 05-02-2005  10 84" xfId="21362"/>
    <cellStyle name="Comma [0] TBD-_2007 Concern tracker 05-02-2005  10 84" xfId="21363"/>
    <cellStyle name="Comma [0] TBD_2007 Concern tracker 05-02-2005  10 85" xfId="21364"/>
    <cellStyle name="Comma [0] TBD-_2007 Concern tracker 05-02-2005  10 85" xfId="21365"/>
    <cellStyle name="Comma [0] TBD_2007 Concern tracker 05-02-2005  10 86" xfId="21366"/>
    <cellStyle name="Comma [0] TBD-_2007 Concern tracker 05-02-2005  10 86" xfId="21367"/>
    <cellStyle name="Comma [0] TBD_2007 Concern tracker 05-02-2005  10 87" xfId="21368"/>
    <cellStyle name="Comma [0] TBD-_2007 Concern tracker 05-02-2005  10 87" xfId="21369"/>
    <cellStyle name="Comma [0] TBD_2007 Concern tracker 05-02-2005  10 88" xfId="21370"/>
    <cellStyle name="Comma [0] TBD-_2007 Concern tracker 05-02-2005  10 88" xfId="21371"/>
    <cellStyle name="Comma [0] TBD_2007 Concern tracker 05-02-2005  10 89" xfId="21372"/>
    <cellStyle name="Comma [0] TBD-_2007 Concern tracker 05-02-2005  10 89" xfId="21373"/>
    <cellStyle name="Comma [0] TBD_2007 Concern tracker 05-02-2005  10 9" xfId="21374"/>
    <cellStyle name="Comma [0] TBD-_2007 Concern tracker 05-02-2005  10 9" xfId="21375"/>
    <cellStyle name="Comma [0] TBD_2007 Concern tracker 05-02-2005  10 90" xfId="21376"/>
    <cellStyle name="Comma [0] TBD-_2007 Concern tracker 05-02-2005  10 90" xfId="21377"/>
    <cellStyle name="Comma [0] TBD_2007 Concern tracker 05-02-2005  10 91" xfId="21378"/>
    <cellStyle name="Comma [0] TBD-_2007 Concern tracker 05-02-2005  10 91" xfId="21379"/>
    <cellStyle name="Comma [0] TBD_2007 Concern tracker 05-02-2005  10 92" xfId="21380"/>
    <cellStyle name="Comma [0] TBD-_2007 Concern tracker 05-02-2005  10 92" xfId="21381"/>
    <cellStyle name="Comma [0] TBD_2007 Concern tracker 05-02-2005  10 93" xfId="21382"/>
    <cellStyle name="Comma [0] TBD-_2007 Concern tracker 05-02-2005  10 93" xfId="21383"/>
    <cellStyle name="Comma [0] TBD_2007 Concern tracker 05-02-2005  10 94" xfId="21384"/>
    <cellStyle name="Comma [0] TBD-_2007 Concern tracker 05-02-2005  10 94" xfId="21385"/>
    <cellStyle name="Comma [0] TBD_2007 Concern tracker 05-02-2005  10 95" xfId="21386"/>
    <cellStyle name="Comma [0] TBD-_2007 Concern tracker 05-02-2005  10 95" xfId="21387"/>
    <cellStyle name="Comma [0] TBD_2007 Concern tracker 05-02-2005  10 96" xfId="21388"/>
    <cellStyle name="Comma [0] TBD-_2007 Concern tracker 05-02-2005  10 96" xfId="21389"/>
    <cellStyle name="Comma [0] TBD_2007 Concern tracker 05-02-2005  10 97" xfId="21390"/>
    <cellStyle name="Comma [0] TBD-_2007 Concern tracker 05-02-2005  10 97" xfId="21391"/>
    <cellStyle name="Comma [0] TBD_2007 Concern tracker 05-02-2005  10 98" xfId="21392"/>
    <cellStyle name="Comma [0] TBD-_2007 Concern tracker 05-02-2005  10 98" xfId="21393"/>
    <cellStyle name="Comma [0] TBD_2007 Concern tracker 05-02-2005  10 99" xfId="21394"/>
    <cellStyle name="Comma [0] TBD-_2007 Concern tracker 05-02-2005  10 99" xfId="21395"/>
    <cellStyle name="Comma [0] TBD_2007 Concern tracker 05-02-2005  11" xfId="21396"/>
    <cellStyle name="Comma [0] TBD-_2007 Concern tracker 05-02-2005  11" xfId="21397"/>
    <cellStyle name="Comma [0] TBD_2007 Concern tracker 05-02-2005  11 10" xfId="21398"/>
    <cellStyle name="Comma [0] TBD-_2007 Concern tracker 05-02-2005  11 10" xfId="21399"/>
    <cellStyle name="Comma [0] TBD_2007 Concern tracker 05-02-2005  11 100" xfId="21400"/>
    <cellStyle name="Comma [0] TBD-_2007 Concern tracker 05-02-2005  11 100" xfId="21401"/>
    <cellStyle name="Comma [0] TBD_2007 Concern tracker 05-02-2005  11 101" xfId="21402"/>
    <cellStyle name="Comma [0] TBD-_2007 Concern tracker 05-02-2005  11 101" xfId="21403"/>
    <cellStyle name="Comma [0] TBD_2007 Concern tracker 05-02-2005  11 102" xfId="21404"/>
    <cellStyle name="Comma [0] TBD-_2007 Concern tracker 05-02-2005  11 102" xfId="21405"/>
    <cellStyle name="Comma [0] TBD_2007 Concern tracker 05-02-2005  11 103" xfId="21406"/>
    <cellStyle name="Comma [0] TBD-_2007 Concern tracker 05-02-2005  11 103" xfId="21407"/>
    <cellStyle name="Comma [0] TBD_2007 Concern tracker 05-02-2005  11 104" xfId="21408"/>
    <cellStyle name="Comma [0] TBD-_2007 Concern tracker 05-02-2005  11 104" xfId="21409"/>
    <cellStyle name="Comma [0] TBD_2007 Concern tracker 05-02-2005  11 105" xfId="21410"/>
    <cellStyle name="Comma [0] TBD-_2007 Concern tracker 05-02-2005  11 105" xfId="21411"/>
    <cellStyle name="Comma [0] TBD_2007 Concern tracker 05-02-2005  11 106" xfId="21412"/>
    <cellStyle name="Comma [0] TBD-_2007 Concern tracker 05-02-2005  11 106" xfId="21413"/>
    <cellStyle name="Comma [0] TBD_2007 Concern tracker 05-02-2005  11 107" xfId="21414"/>
    <cellStyle name="Comma [0] TBD-_2007 Concern tracker 05-02-2005  11 107" xfId="21415"/>
    <cellStyle name="Comma [0] TBD_2007 Concern tracker 05-02-2005  11 108" xfId="21416"/>
    <cellStyle name="Comma [0] TBD-_2007 Concern tracker 05-02-2005  11 108" xfId="21417"/>
    <cellStyle name="Comma [0] TBD_2007 Concern tracker 05-02-2005  11 109" xfId="21418"/>
    <cellStyle name="Comma [0] TBD-_2007 Concern tracker 05-02-2005  11 109" xfId="21419"/>
    <cellStyle name="Comma [0] TBD_2007 Concern tracker 05-02-2005  11 11" xfId="21420"/>
    <cellStyle name="Comma [0] TBD-_2007 Concern tracker 05-02-2005  11 11" xfId="21421"/>
    <cellStyle name="Comma [0] TBD_2007 Concern tracker 05-02-2005  11 110" xfId="21422"/>
    <cellStyle name="Comma [0] TBD-_2007 Concern tracker 05-02-2005  11 110" xfId="21423"/>
    <cellStyle name="Comma [0] TBD_2007 Concern tracker 05-02-2005  11 111" xfId="21424"/>
    <cellStyle name="Comma [0] TBD-_2007 Concern tracker 05-02-2005  11 111" xfId="21425"/>
    <cellStyle name="Comma [0] TBD_2007 Concern tracker 05-02-2005  11 112" xfId="21426"/>
    <cellStyle name="Comma [0] TBD-_2007 Concern tracker 05-02-2005  11 112" xfId="21427"/>
    <cellStyle name="Comma [0] TBD_2007 Concern tracker 05-02-2005  11 113" xfId="21428"/>
    <cellStyle name="Comma [0] TBD-_2007 Concern tracker 05-02-2005  11 113" xfId="21429"/>
    <cellStyle name="Comma [0] TBD_2007 Concern tracker 05-02-2005  11 114" xfId="21430"/>
    <cellStyle name="Comma [0] TBD-_2007 Concern tracker 05-02-2005  11 114" xfId="21431"/>
    <cellStyle name="Comma [0] TBD_2007 Concern tracker 05-02-2005  11 115" xfId="21432"/>
    <cellStyle name="Comma [0] TBD-_2007 Concern tracker 05-02-2005  11 115" xfId="21433"/>
    <cellStyle name="Comma [0] TBD_2007 Concern tracker 05-02-2005  11 116" xfId="21434"/>
    <cellStyle name="Comma [0] TBD-_2007 Concern tracker 05-02-2005  11 116" xfId="21435"/>
    <cellStyle name="Comma [0] TBD_2007 Concern tracker 05-02-2005  11 117" xfId="21436"/>
    <cellStyle name="Comma [0] TBD-_2007 Concern tracker 05-02-2005  11 117" xfId="21437"/>
    <cellStyle name="Comma [0] TBD_2007 Concern tracker 05-02-2005  11 118" xfId="21438"/>
    <cellStyle name="Comma [0] TBD-_2007 Concern tracker 05-02-2005  11 118" xfId="21439"/>
    <cellStyle name="Comma [0] TBD_2007 Concern tracker 05-02-2005  11 119" xfId="21440"/>
    <cellStyle name="Comma [0] TBD-_2007 Concern tracker 05-02-2005  11 119" xfId="21441"/>
    <cellStyle name="Comma [0] TBD_2007 Concern tracker 05-02-2005  11 12" xfId="21442"/>
    <cellStyle name="Comma [0] TBD-_2007 Concern tracker 05-02-2005  11 12" xfId="21443"/>
    <cellStyle name="Comma [0] TBD_2007 Concern tracker 05-02-2005  11 120" xfId="21444"/>
    <cellStyle name="Comma [0] TBD-_2007 Concern tracker 05-02-2005  11 120" xfId="21445"/>
    <cellStyle name="Comma [0] TBD_2007 Concern tracker 05-02-2005  11 121" xfId="21446"/>
    <cellStyle name="Comma [0] TBD-_2007 Concern tracker 05-02-2005  11 121" xfId="21447"/>
    <cellStyle name="Comma [0] TBD_2007 Concern tracker 05-02-2005  11 122" xfId="21448"/>
    <cellStyle name="Comma [0] TBD-_2007 Concern tracker 05-02-2005  11 122" xfId="21449"/>
    <cellStyle name="Comma [0] TBD_2007 Concern tracker 05-02-2005  11 123" xfId="21450"/>
    <cellStyle name="Comma [0] TBD-_2007 Concern tracker 05-02-2005  11 123" xfId="21451"/>
    <cellStyle name="Comma [0] TBD_2007 Concern tracker 05-02-2005  11 124" xfId="21452"/>
    <cellStyle name="Comma [0] TBD-_2007 Concern tracker 05-02-2005  11 124" xfId="21453"/>
    <cellStyle name="Comma [0] TBD_2007 Concern tracker 05-02-2005  11 125" xfId="21454"/>
    <cellStyle name="Comma [0] TBD-_2007 Concern tracker 05-02-2005  11 125" xfId="21455"/>
    <cellStyle name="Comma [0] TBD_2007 Concern tracker 05-02-2005  11 126" xfId="21456"/>
    <cellStyle name="Comma [0] TBD-_2007 Concern tracker 05-02-2005  11 126" xfId="21457"/>
    <cellStyle name="Comma [0] TBD_2007 Concern tracker 05-02-2005  11 127" xfId="21458"/>
    <cellStyle name="Comma [0] TBD-_2007 Concern tracker 05-02-2005  11 127" xfId="21459"/>
    <cellStyle name="Comma [0] TBD_2007 Concern tracker 05-02-2005  11 128" xfId="21460"/>
    <cellStyle name="Comma [0] TBD-_2007 Concern tracker 05-02-2005  11 128" xfId="21461"/>
    <cellStyle name="Comma [0] TBD_2007 Concern tracker 05-02-2005  11 129" xfId="21462"/>
    <cellStyle name="Comma [0] TBD-_2007 Concern tracker 05-02-2005  11 129" xfId="21463"/>
    <cellStyle name="Comma [0] TBD_2007 Concern tracker 05-02-2005  11 13" xfId="21464"/>
    <cellStyle name="Comma [0] TBD-_2007 Concern tracker 05-02-2005  11 13" xfId="21465"/>
    <cellStyle name="Comma [0] TBD_2007 Concern tracker 05-02-2005  11 130" xfId="21466"/>
    <cellStyle name="Comma [0] TBD-_2007 Concern tracker 05-02-2005  11 130" xfId="21467"/>
    <cellStyle name="Comma [0] TBD_2007 Concern tracker 05-02-2005  11 131" xfId="21468"/>
    <cellStyle name="Comma [0] TBD-_2007 Concern tracker 05-02-2005  11 131" xfId="21469"/>
    <cellStyle name="Comma [0] TBD_2007 Concern tracker 05-02-2005  11 132" xfId="21470"/>
    <cellStyle name="Comma [0] TBD-_2007 Concern tracker 05-02-2005  11 132" xfId="21471"/>
    <cellStyle name="Comma [0] TBD_2007 Concern tracker 05-02-2005  11 133" xfId="21472"/>
    <cellStyle name="Comma [0] TBD-_2007 Concern tracker 05-02-2005  11 133" xfId="21473"/>
    <cellStyle name="Comma [0] TBD_2007 Concern tracker 05-02-2005  11 134" xfId="21474"/>
    <cellStyle name="Comma [0] TBD-_2007 Concern tracker 05-02-2005  11 134" xfId="21475"/>
    <cellStyle name="Comma [0] TBD_2007 Concern tracker 05-02-2005  11 135" xfId="21476"/>
    <cellStyle name="Comma [0] TBD-_2007 Concern tracker 05-02-2005  11 135" xfId="21477"/>
    <cellStyle name="Comma [0] TBD_2007 Concern tracker 05-02-2005  11 136" xfId="21478"/>
    <cellStyle name="Comma [0] TBD-_2007 Concern tracker 05-02-2005  11 136" xfId="21479"/>
    <cellStyle name="Comma [0] TBD_2007 Concern tracker 05-02-2005  11 137" xfId="21480"/>
    <cellStyle name="Comma [0] TBD-_2007 Concern tracker 05-02-2005  11 137" xfId="21481"/>
    <cellStyle name="Comma [0] TBD_2007 Concern tracker 05-02-2005  11 138" xfId="21482"/>
    <cellStyle name="Comma [0] TBD-_2007 Concern tracker 05-02-2005  11 138" xfId="21483"/>
    <cellStyle name="Comma [0] TBD_2007 Concern tracker 05-02-2005  11 139" xfId="21484"/>
    <cellStyle name="Comma [0] TBD-_2007 Concern tracker 05-02-2005  11 139" xfId="21485"/>
    <cellStyle name="Comma [0] TBD_2007 Concern tracker 05-02-2005  11 14" xfId="21486"/>
    <cellStyle name="Comma [0] TBD-_2007 Concern tracker 05-02-2005  11 14" xfId="21487"/>
    <cellStyle name="Comma [0] TBD_2007 Concern tracker 05-02-2005  11 140" xfId="21488"/>
    <cellStyle name="Comma [0] TBD-_2007 Concern tracker 05-02-2005  11 140" xfId="21489"/>
    <cellStyle name="Comma [0] TBD_2007 Concern tracker 05-02-2005  11 141" xfId="21490"/>
    <cellStyle name="Comma [0] TBD-_2007 Concern tracker 05-02-2005  11 141" xfId="21491"/>
    <cellStyle name="Comma [0] TBD_2007 Concern tracker 05-02-2005  11 142" xfId="21492"/>
    <cellStyle name="Comma [0] TBD-_2007 Concern tracker 05-02-2005  11 142" xfId="21493"/>
    <cellStyle name="Comma [0] TBD_2007 Concern tracker 05-02-2005  11 143" xfId="21494"/>
    <cellStyle name="Comma [0] TBD-_2007 Concern tracker 05-02-2005  11 143" xfId="21495"/>
    <cellStyle name="Comma [0] TBD_2007 Concern tracker 05-02-2005  11 144" xfId="21496"/>
    <cellStyle name="Comma [0] TBD-_2007 Concern tracker 05-02-2005  11 144" xfId="21497"/>
    <cellStyle name="Comma [0] TBD_2007 Concern tracker 05-02-2005  11 145" xfId="21498"/>
    <cellStyle name="Comma [0] TBD-_2007 Concern tracker 05-02-2005  11 145" xfId="21499"/>
    <cellStyle name="Comma [0] TBD_2007 Concern tracker 05-02-2005  11 146" xfId="21500"/>
    <cellStyle name="Comma [0] TBD-_2007 Concern tracker 05-02-2005  11 146" xfId="21501"/>
    <cellStyle name="Comma [0] TBD_2007 Concern tracker 05-02-2005  11 147" xfId="21502"/>
    <cellStyle name="Comma [0] TBD-_2007 Concern tracker 05-02-2005  11 147" xfId="21503"/>
    <cellStyle name="Comma [0] TBD_2007 Concern tracker 05-02-2005  11 148" xfId="21504"/>
    <cellStyle name="Comma [0] TBD-_2007 Concern tracker 05-02-2005  11 148" xfId="21505"/>
    <cellStyle name="Comma [0] TBD_2007 Concern tracker 05-02-2005  11 149" xfId="21506"/>
    <cellStyle name="Comma [0] TBD-_2007 Concern tracker 05-02-2005  11 149" xfId="21507"/>
    <cellStyle name="Comma [0] TBD_2007 Concern tracker 05-02-2005  11 15" xfId="21508"/>
    <cellStyle name="Comma [0] TBD-_2007 Concern tracker 05-02-2005  11 15" xfId="21509"/>
    <cellStyle name="Comma [0] TBD_2007 Concern tracker 05-02-2005  11 150" xfId="21510"/>
    <cellStyle name="Comma [0] TBD-_2007 Concern tracker 05-02-2005  11 150" xfId="21511"/>
    <cellStyle name="Comma [0] TBD_2007 Concern tracker 05-02-2005  11 151" xfId="21512"/>
    <cellStyle name="Comma [0] TBD-_2007 Concern tracker 05-02-2005  11 151" xfId="21513"/>
    <cellStyle name="Comma [0] TBD_2007 Concern tracker 05-02-2005  11 152" xfId="21514"/>
    <cellStyle name="Comma [0] TBD-_2007 Concern tracker 05-02-2005  11 152" xfId="21515"/>
    <cellStyle name="Comma [0] TBD_2007 Concern tracker 05-02-2005  11 153" xfId="21516"/>
    <cellStyle name="Comma [0] TBD-_2007 Concern tracker 05-02-2005  11 153" xfId="21517"/>
    <cellStyle name="Comma [0] TBD_2007 Concern tracker 05-02-2005  11 16" xfId="21518"/>
    <cellStyle name="Comma [0] TBD-_2007 Concern tracker 05-02-2005  11 16" xfId="21519"/>
    <cellStyle name="Comma [0] TBD_2007 Concern tracker 05-02-2005  11 17" xfId="21520"/>
    <cellStyle name="Comma [0] TBD-_2007 Concern tracker 05-02-2005  11 17" xfId="21521"/>
    <cellStyle name="Comma [0] TBD_2007 Concern tracker 05-02-2005  11 18" xfId="21522"/>
    <cellStyle name="Comma [0] TBD-_2007 Concern tracker 05-02-2005  11 18" xfId="21523"/>
    <cellStyle name="Comma [0] TBD_2007 Concern tracker 05-02-2005  11 19" xfId="21524"/>
    <cellStyle name="Comma [0] TBD-_2007 Concern tracker 05-02-2005  11 19" xfId="21525"/>
    <cellStyle name="Comma [0] TBD_2007 Concern tracker 05-02-2005  11 2" xfId="21526"/>
    <cellStyle name="Comma [0] TBD-_2007 Concern tracker 05-02-2005  11 2" xfId="21527"/>
    <cellStyle name="Comma [0] TBD_2007 Concern tracker 05-02-2005  11 20" xfId="21528"/>
    <cellStyle name="Comma [0] TBD-_2007 Concern tracker 05-02-2005  11 20" xfId="21529"/>
    <cellStyle name="Comma [0] TBD_2007 Concern tracker 05-02-2005  11 21" xfId="21530"/>
    <cellStyle name="Comma [0] TBD-_2007 Concern tracker 05-02-2005  11 21" xfId="21531"/>
    <cellStyle name="Comma [0] TBD_2007 Concern tracker 05-02-2005  11 22" xfId="21532"/>
    <cellStyle name="Comma [0] TBD-_2007 Concern tracker 05-02-2005  11 22" xfId="21533"/>
    <cellStyle name="Comma [0] TBD_2007 Concern tracker 05-02-2005  11 23" xfId="21534"/>
    <cellStyle name="Comma [0] TBD-_2007 Concern tracker 05-02-2005  11 23" xfId="21535"/>
    <cellStyle name="Comma [0] TBD_2007 Concern tracker 05-02-2005  11 24" xfId="21536"/>
    <cellStyle name="Comma [0] TBD-_2007 Concern tracker 05-02-2005  11 24" xfId="21537"/>
    <cellStyle name="Comma [0] TBD_2007 Concern tracker 05-02-2005  11 25" xfId="21538"/>
    <cellStyle name="Comma [0] TBD-_2007 Concern tracker 05-02-2005  11 25" xfId="21539"/>
    <cellStyle name="Comma [0] TBD_2007 Concern tracker 05-02-2005  11 26" xfId="21540"/>
    <cellStyle name="Comma [0] TBD-_2007 Concern tracker 05-02-2005  11 26" xfId="21541"/>
    <cellStyle name="Comma [0] TBD_2007 Concern tracker 05-02-2005  11 27" xfId="21542"/>
    <cellStyle name="Comma [0] TBD-_2007 Concern tracker 05-02-2005  11 27" xfId="21543"/>
    <cellStyle name="Comma [0] TBD_2007 Concern tracker 05-02-2005  11 28" xfId="21544"/>
    <cellStyle name="Comma [0] TBD-_2007 Concern tracker 05-02-2005  11 28" xfId="21545"/>
    <cellStyle name="Comma [0] TBD_2007 Concern tracker 05-02-2005  11 29" xfId="21546"/>
    <cellStyle name="Comma [0] TBD-_2007 Concern tracker 05-02-2005  11 29" xfId="21547"/>
    <cellStyle name="Comma [0] TBD_2007 Concern tracker 05-02-2005  11 3" xfId="21548"/>
    <cellStyle name="Comma [0] TBD-_2007 Concern tracker 05-02-2005  11 3" xfId="21549"/>
    <cellStyle name="Comma [0] TBD_2007 Concern tracker 05-02-2005  11 30" xfId="21550"/>
    <cellStyle name="Comma [0] TBD-_2007 Concern tracker 05-02-2005  11 30" xfId="21551"/>
    <cellStyle name="Comma [0] TBD_2007 Concern tracker 05-02-2005  11 31" xfId="21552"/>
    <cellStyle name="Comma [0] TBD-_2007 Concern tracker 05-02-2005  11 31" xfId="21553"/>
    <cellStyle name="Comma [0] TBD_2007 Concern tracker 05-02-2005  11 32" xfId="21554"/>
    <cellStyle name="Comma [0] TBD-_2007 Concern tracker 05-02-2005  11 32" xfId="21555"/>
    <cellStyle name="Comma [0] TBD_2007 Concern tracker 05-02-2005  11 33" xfId="21556"/>
    <cellStyle name="Comma [0] TBD-_2007 Concern tracker 05-02-2005  11 33" xfId="21557"/>
    <cellStyle name="Comma [0] TBD_2007 Concern tracker 05-02-2005  11 34" xfId="21558"/>
    <cellStyle name="Comma [0] TBD-_2007 Concern tracker 05-02-2005  11 34" xfId="21559"/>
    <cellStyle name="Comma [0] TBD_2007 Concern tracker 05-02-2005  11 35" xfId="21560"/>
    <cellStyle name="Comma [0] TBD-_2007 Concern tracker 05-02-2005  11 35" xfId="21561"/>
    <cellStyle name="Comma [0] TBD_2007 Concern tracker 05-02-2005  11 36" xfId="21562"/>
    <cellStyle name="Comma [0] TBD-_2007 Concern tracker 05-02-2005  11 36" xfId="21563"/>
    <cellStyle name="Comma [0] TBD_2007 Concern tracker 05-02-2005  11 37" xfId="21564"/>
    <cellStyle name="Comma [0] TBD-_2007 Concern tracker 05-02-2005  11 37" xfId="21565"/>
    <cellStyle name="Comma [0] TBD_2007 Concern tracker 05-02-2005  11 38" xfId="21566"/>
    <cellStyle name="Comma [0] TBD-_2007 Concern tracker 05-02-2005  11 38" xfId="21567"/>
    <cellStyle name="Comma [0] TBD_2007 Concern tracker 05-02-2005  11 39" xfId="21568"/>
    <cellStyle name="Comma [0] TBD-_2007 Concern tracker 05-02-2005  11 39" xfId="21569"/>
    <cellStyle name="Comma [0] TBD_2007 Concern tracker 05-02-2005  11 4" xfId="21570"/>
    <cellStyle name="Comma [0] TBD-_2007 Concern tracker 05-02-2005  11 4" xfId="21571"/>
    <cellStyle name="Comma [0] TBD_2007 Concern tracker 05-02-2005  11 40" xfId="21572"/>
    <cellStyle name="Comma [0] TBD-_2007 Concern tracker 05-02-2005  11 40" xfId="21573"/>
    <cellStyle name="Comma [0] TBD_2007 Concern tracker 05-02-2005  11 41" xfId="21574"/>
    <cellStyle name="Comma [0] TBD-_2007 Concern tracker 05-02-2005  11 41" xfId="21575"/>
    <cellStyle name="Comma [0] TBD_2007 Concern tracker 05-02-2005  11 42" xfId="21576"/>
    <cellStyle name="Comma [0] TBD-_2007 Concern tracker 05-02-2005  11 42" xfId="21577"/>
    <cellStyle name="Comma [0] TBD_2007 Concern tracker 05-02-2005  11 43" xfId="21578"/>
    <cellStyle name="Comma [0] TBD-_2007 Concern tracker 05-02-2005  11 43" xfId="21579"/>
    <cellStyle name="Comma [0] TBD_2007 Concern tracker 05-02-2005  11 44" xfId="21580"/>
    <cellStyle name="Comma [0] TBD-_2007 Concern tracker 05-02-2005  11 44" xfId="21581"/>
    <cellStyle name="Comma [0] TBD_2007 Concern tracker 05-02-2005  11 45" xfId="21582"/>
    <cellStyle name="Comma [0] TBD-_2007 Concern tracker 05-02-2005  11 45" xfId="21583"/>
    <cellStyle name="Comma [0] TBD_2007 Concern tracker 05-02-2005  11 46" xfId="21584"/>
    <cellStyle name="Comma [0] TBD-_2007 Concern tracker 05-02-2005  11 46" xfId="21585"/>
    <cellStyle name="Comma [0] TBD_2007 Concern tracker 05-02-2005  11 47" xfId="21586"/>
    <cellStyle name="Comma [0] TBD-_2007 Concern tracker 05-02-2005  11 47" xfId="21587"/>
    <cellStyle name="Comma [0] TBD_2007 Concern tracker 05-02-2005  11 48" xfId="21588"/>
    <cellStyle name="Comma [0] TBD-_2007 Concern tracker 05-02-2005  11 48" xfId="21589"/>
    <cellStyle name="Comma [0] TBD_2007 Concern tracker 05-02-2005  11 49" xfId="21590"/>
    <cellStyle name="Comma [0] TBD-_2007 Concern tracker 05-02-2005  11 49" xfId="21591"/>
    <cellStyle name="Comma [0] TBD_2007 Concern tracker 05-02-2005  11 5" xfId="21592"/>
    <cellStyle name="Comma [0] TBD-_2007 Concern tracker 05-02-2005  11 5" xfId="21593"/>
    <cellStyle name="Comma [0] TBD_2007 Concern tracker 05-02-2005  11 50" xfId="21594"/>
    <cellStyle name="Comma [0] TBD-_2007 Concern tracker 05-02-2005  11 50" xfId="21595"/>
    <cellStyle name="Comma [0] TBD_2007 Concern tracker 05-02-2005  11 51" xfId="21596"/>
    <cellStyle name="Comma [0] TBD-_2007 Concern tracker 05-02-2005  11 51" xfId="21597"/>
    <cellStyle name="Comma [0] TBD_2007 Concern tracker 05-02-2005  11 52" xfId="21598"/>
    <cellStyle name="Comma [0] TBD-_2007 Concern tracker 05-02-2005  11 52" xfId="21599"/>
    <cellStyle name="Comma [0] TBD_2007 Concern tracker 05-02-2005  11 53" xfId="21600"/>
    <cellStyle name="Comma [0] TBD-_2007 Concern tracker 05-02-2005  11 53" xfId="21601"/>
    <cellStyle name="Comma [0] TBD_2007 Concern tracker 05-02-2005  11 54" xfId="21602"/>
    <cellStyle name="Comma [0] TBD-_2007 Concern tracker 05-02-2005  11 54" xfId="21603"/>
    <cellStyle name="Comma [0] TBD_2007 Concern tracker 05-02-2005  11 55" xfId="21604"/>
    <cellStyle name="Comma [0] TBD-_2007 Concern tracker 05-02-2005  11 55" xfId="21605"/>
    <cellStyle name="Comma [0] TBD_2007 Concern tracker 05-02-2005  11 56" xfId="21606"/>
    <cellStyle name="Comma [0] TBD-_2007 Concern tracker 05-02-2005  11 56" xfId="21607"/>
    <cellStyle name="Comma [0] TBD_2007 Concern tracker 05-02-2005  11 57" xfId="21608"/>
    <cellStyle name="Comma [0] TBD-_2007 Concern tracker 05-02-2005  11 57" xfId="21609"/>
    <cellStyle name="Comma [0] TBD_2007 Concern tracker 05-02-2005  11 58" xfId="21610"/>
    <cellStyle name="Comma [0] TBD-_2007 Concern tracker 05-02-2005  11 58" xfId="21611"/>
    <cellStyle name="Comma [0] TBD_2007 Concern tracker 05-02-2005  11 59" xfId="21612"/>
    <cellStyle name="Comma [0] TBD-_2007 Concern tracker 05-02-2005  11 59" xfId="21613"/>
    <cellStyle name="Comma [0] TBD_2007 Concern tracker 05-02-2005  11 6" xfId="21614"/>
    <cellStyle name="Comma [0] TBD-_2007 Concern tracker 05-02-2005  11 6" xfId="21615"/>
    <cellStyle name="Comma [0] TBD_2007 Concern tracker 05-02-2005  11 60" xfId="21616"/>
    <cellStyle name="Comma [0] TBD-_2007 Concern tracker 05-02-2005  11 60" xfId="21617"/>
    <cellStyle name="Comma [0] TBD_2007 Concern tracker 05-02-2005  11 61" xfId="21618"/>
    <cellStyle name="Comma [0] TBD-_2007 Concern tracker 05-02-2005  11 61" xfId="21619"/>
    <cellStyle name="Comma [0] TBD_2007 Concern tracker 05-02-2005  11 62" xfId="21620"/>
    <cellStyle name="Comma [0] TBD-_2007 Concern tracker 05-02-2005  11 62" xfId="21621"/>
    <cellStyle name="Comma [0] TBD_2007 Concern tracker 05-02-2005  11 63" xfId="21622"/>
    <cellStyle name="Comma [0] TBD-_2007 Concern tracker 05-02-2005  11 63" xfId="21623"/>
    <cellStyle name="Comma [0] TBD_2007 Concern tracker 05-02-2005  11 64" xfId="21624"/>
    <cellStyle name="Comma [0] TBD-_2007 Concern tracker 05-02-2005  11 64" xfId="21625"/>
    <cellStyle name="Comma [0] TBD_2007 Concern tracker 05-02-2005  11 65" xfId="21626"/>
    <cellStyle name="Comma [0] TBD-_2007 Concern tracker 05-02-2005  11 65" xfId="21627"/>
    <cellStyle name="Comma [0] TBD_2007 Concern tracker 05-02-2005  11 66" xfId="21628"/>
    <cellStyle name="Comma [0] TBD-_2007 Concern tracker 05-02-2005  11 66" xfId="21629"/>
    <cellStyle name="Comma [0] TBD_2007 Concern tracker 05-02-2005  11 67" xfId="21630"/>
    <cellStyle name="Comma [0] TBD-_2007 Concern tracker 05-02-2005  11 67" xfId="21631"/>
    <cellStyle name="Comma [0] TBD_2007 Concern tracker 05-02-2005  11 68" xfId="21632"/>
    <cellStyle name="Comma [0] TBD-_2007 Concern tracker 05-02-2005  11 68" xfId="21633"/>
    <cellStyle name="Comma [0] TBD_2007 Concern tracker 05-02-2005  11 69" xfId="21634"/>
    <cellStyle name="Comma [0] TBD-_2007 Concern tracker 05-02-2005  11 69" xfId="21635"/>
    <cellStyle name="Comma [0] TBD_2007 Concern tracker 05-02-2005  11 7" xfId="21636"/>
    <cellStyle name="Comma [0] TBD-_2007 Concern tracker 05-02-2005  11 7" xfId="21637"/>
    <cellStyle name="Comma [0] TBD_2007 Concern tracker 05-02-2005  11 70" xfId="21638"/>
    <cellStyle name="Comma [0] TBD-_2007 Concern tracker 05-02-2005  11 70" xfId="21639"/>
    <cellStyle name="Comma [0] TBD_2007 Concern tracker 05-02-2005  11 71" xfId="21640"/>
    <cellStyle name="Comma [0] TBD-_2007 Concern tracker 05-02-2005  11 71" xfId="21641"/>
    <cellStyle name="Comma [0] TBD_2007 Concern tracker 05-02-2005  11 72" xfId="21642"/>
    <cellStyle name="Comma [0] TBD-_2007 Concern tracker 05-02-2005  11 72" xfId="21643"/>
    <cellStyle name="Comma [0] TBD_2007 Concern tracker 05-02-2005  11 73" xfId="21644"/>
    <cellStyle name="Comma [0] TBD-_2007 Concern tracker 05-02-2005  11 73" xfId="21645"/>
    <cellStyle name="Comma [0] TBD_2007 Concern tracker 05-02-2005  11 74" xfId="21646"/>
    <cellStyle name="Comma [0] TBD-_2007 Concern tracker 05-02-2005  11 74" xfId="21647"/>
    <cellStyle name="Comma [0] TBD_2007 Concern tracker 05-02-2005  11 75" xfId="21648"/>
    <cellStyle name="Comma [0] TBD-_2007 Concern tracker 05-02-2005  11 75" xfId="21649"/>
    <cellStyle name="Comma [0] TBD_2007 Concern tracker 05-02-2005  11 76" xfId="21650"/>
    <cellStyle name="Comma [0] TBD-_2007 Concern tracker 05-02-2005  11 76" xfId="21651"/>
    <cellStyle name="Comma [0] TBD_2007 Concern tracker 05-02-2005  11 77" xfId="21652"/>
    <cellStyle name="Comma [0] TBD-_2007 Concern tracker 05-02-2005  11 77" xfId="21653"/>
    <cellStyle name="Comma [0] TBD_2007 Concern tracker 05-02-2005  11 78" xfId="21654"/>
    <cellStyle name="Comma [0] TBD-_2007 Concern tracker 05-02-2005  11 78" xfId="21655"/>
    <cellStyle name="Comma [0] TBD_2007 Concern tracker 05-02-2005  11 79" xfId="21656"/>
    <cellStyle name="Comma [0] TBD-_2007 Concern tracker 05-02-2005  11 79" xfId="21657"/>
    <cellStyle name="Comma [0] TBD_2007 Concern tracker 05-02-2005  11 8" xfId="21658"/>
    <cellStyle name="Comma [0] TBD-_2007 Concern tracker 05-02-2005  11 8" xfId="21659"/>
    <cellStyle name="Comma [0] TBD_2007 Concern tracker 05-02-2005  11 80" xfId="21660"/>
    <cellStyle name="Comma [0] TBD-_2007 Concern tracker 05-02-2005  11 80" xfId="21661"/>
    <cellStyle name="Comma [0] TBD_2007 Concern tracker 05-02-2005  11 81" xfId="21662"/>
    <cellStyle name="Comma [0] TBD-_2007 Concern tracker 05-02-2005  11 81" xfId="21663"/>
    <cellStyle name="Comma [0] TBD_2007 Concern tracker 05-02-2005  11 82" xfId="21664"/>
    <cellStyle name="Comma [0] TBD-_2007 Concern tracker 05-02-2005  11 82" xfId="21665"/>
    <cellStyle name="Comma [0] TBD_2007 Concern tracker 05-02-2005  11 83" xfId="21666"/>
    <cellStyle name="Comma [0] TBD-_2007 Concern tracker 05-02-2005  11 83" xfId="21667"/>
    <cellStyle name="Comma [0] TBD_2007 Concern tracker 05-02-2005  11 84" xfId="21668"/>
    <cellStyle name="Comma [0] TBD-_2007 Concern tracker 05-02-2005  11 84" xfId="21669"/>
    <cellStyle name="Comma [0] TBD_2007 Concern tracker 05-02-2005  11 85" xfId="21670"/>
    <cellStyle name="Comma [0] TBD-_2007 Concern tracker 05-02-2005  11 85" xfId="21671"/>
    <cellStyle name="Comma [0] TBD_2007 Concern tracker 05-02-2005  11 86" xfId="21672"/>
    <cellStyle name="Comma [0] TBD-_2007 Concern tracker 05-02-2005  11 86" xfId="21673"/>
    <cellStyle name="Comma [0] TBD_2007 Concern tracker 05-02-2005  11 87" xfId="21674"/>
    <cellStyle name="Comma [0] TBD-_2007 Concern tracker 05-02-2005  11 87" xfId="21675"/>
    <cellStyle name="Comma [0] TBD_2007 Concern tracker 05-02-2005  11 88" xfId="21676"/>
    <cellStyle name="Comma [0] TBD-_2007 Concern tracker 05-02-2005  11 88" xfId="21677"/>
    <cellStyle name="Comma [0] TBD_2007 Concern tracker 05-02-2005  11 89" xfId="21678"/>
    <cellStyle name="Comma [0] TBD-_2007 Concern tracker 05-02-2005  11 89" xfId="21679"/>
    <cellStyle name="Comma [0] TBD_2007 Concern tracker 05-02-2005  11 9" xfId="21680"/>
    <cellStyle name="Comma [0] TBD-_2007 Concern tracker 05-02-2005  11 9" xfId="21681"/>
    <cellStyle name="Comma [0] TBD_2007 Concern tracker 05-02-2005  11 90" xfId="21682"/>
    <cellStyle name="Comma [0] TBD-_2007 Concern tracker 05-02-2005  11 90" xfId="21683"/>
    <cellStyle name="Comma [0] TBD_2007 Concern tracker 05-02-2005  11 91" xfId="21684"/>
    <cellStyle name="Comma [0] TBD-_2007 Concern tracker 05-02-2005  11 91" xfId="21685"/>
    <cellStyle name="Comma [0] TBD_2007 Concern tracker 05-02-2005  11 92" xfId="21686"/>
    <cellStyle name="Comma [0] TBD-_2007 Concern tracker 05-02-2005  11 92" xfId="21687"/>
    <cellStyle name="Comma [0] TBD_2007 Concern tracker 05-02-2005  11 93" xfId="21688"/>
    <cellStyle name="Comma [0] TBD-_2007 Concern tracker 05-02-2005  11 93" xfId="21689"/>
    <cellStyle name="Comma [0] TBD_2007 Concern tracker 05-02-2005  11 94" xfId="21690"/>
    <cellStyle name="Comma [0] TBD-_2007 Concern tracker 05-02-2005  11 94" xfId="21691"/>
    <cellStyle name="Comma [0] TBD_2007 Concern tracker 05-02-2005  11 95" xfId="21692"/>
    <cellStyle name="Comma [0] TBD-_2007 Concern tracker 05-02-2005  11 95" xfId="21693"/>
    <cellStyle name="Comma [0] TBD_2007 Concern tracker 05-02-2005  11 96" xfId="21694"/>
    <cellStyle name="Comma [0] TBD-_2007 Concern tracker 05-02-2005  11 96" xfId="21695"/>
    <cellStyle name="Comma [0] TBD_2007 Concern tracker 05-02-2005  11 97" xfId="21696"/>
    <cellStyle name="Comma [0] TBD-_2007 Concern tracker 05-02-2005  11 97" xfId="21697"/>
    <cellStyle name="Comma [0] TBD_2007 Concern tracker 05-02-2005  11 98" xfId="21698"/>
    <cellStyle name="Comma [0] TBD-_2007 Concern tracker 05-02-2005  11 98" xfId="21699"/>
    <cellStyle name="Comma [0] TBD_2007 Concern tracker 05-02-2005  11 99" xfId="21700"/>
    <cellStyle name="Comma [0] TBD-_2007 Concern tracker 05-02-2005  11 99" xfId="21701"/>
    <cellStyle name="Comma [0] TBD_2007 Concern tracker 05-02-2005  12" xfId="21702"/>
    <cellStyle name="Comma [0] TBD-_2007 Concern tracker 05-02-2005  12" xfId="21703"/>
    <cellStyle name="Comma [0] TBD_2007 Concern tracker 05-02-2005  12 10" xfId="21704"/>
    <cellStyle name="Comma [0] TBD-_2007 Concern tracker 05-02-2005  12 10" xfId="21705"/>
    <cellStyle name="Comma [0] TBD_2007 Concern tracker 05-02-2005  12 100" xfId="21706"/>
    <cellStyle name="Comma [0] TBD-_2007 Concern tracker 05-02-2005  12 100" xfId="21707"/>
    <cellStyle name="Comma [0] TBD_2007 Concern tracker 05-02-2005  12 101" xfId="21708"/>
    <cellStyle name="Comma [0] TBD-_2007 Concern tracker 05-02-2005  12 101" xfId="21709"/>
    <cellStyle name="Comma [0] TBD_2007 Concern tracker 05-02-2005  12 102" xfId="21710"/>
    <cellStyle name="Comma [0] TBD-_2007 Concern tracker 05-02-2005  12 102" xfId="21711"/>
    <cellStyle name="Comma [0] TBD_2007 Concern tracker 05-02-2005  12 103" xfId="21712"/>
    <cellStyle name="Comma [0] TBD-_2007 Concern tracker 05-02-2005  12 103" xfId="21713"/>
    <cellStyle name="Comma [0] TBD_2007 Concern tracker 05-02-2005  12 104" xfId="21714"/>
    <cellStyle name="Comma [0] TBD-_2007 Concern tracker 05-02-2005  12 104" xfId="21715"/>
    <cellStyle name="Comma [0] TBD_2007 Concern tracker 05-02-2005  12 105" xfId="21716"/>
    <cellStyle name="Comma [0] TBD-_2007 Concern tracker 05-02-2005  12 105" xfId="21717"/>
    <cellStyle name="Comma [0] TBD_2007 Concern tracker 05-02-2005  12 106" xfId="21718"/>
    <cellStyle name="Comma [0] TBD-_2007 Concern tracker 05-02-2005  12 106" xfId="21719"/>
    <cellStyle name="Comma [0] TBD_2007 Concern tracker 05-02-2005  12 107" xfId="21720"/>
    <cellStyle name="Comma [0] TBD-_2007 Concern tracker 05-02-2005  12 107" xfId="21721"/>
    <cellStyle name="Comma [0] TBD_2007 Concern tracker 05-02-2005  12 108" xfId="21722"/>
    <cellStyle name="Comma [0] TBD-_2007 Concern tracker 05-02-2005  12 108" xfId="21723"/>
    <cellStyle name="Comma [0] TBD_2007 Concern tracker 05-02-2005  12 109" xfId="21724"/>
    <cellStyle name="Comma [0] TBD-_2007 Concern tracker 05-02-2005  12 109" xfId="21725"/>
    <cellStyle name="Comma [0] TBD_2007 Concern tracker 05-02-2005  12 11" xfId="21726"/>
    <cellStyle name="Comma [0] TBD-_2007 Concern tracker 05-02-2005  12 11" xfId="21727"/>
    <cellStyle name="Comma [0] TBD_2007 Concern tracker 05-02-2005  12 110" xfId="21728"/>
    <cellStyle name="Comma [0] TBD-_2007 Concern tracker 05-02-2005  12 110" xfId="21729"/>
    <cellStyle name="Comma [0] TBD_2007 Concern tracker 05-02-2005  12 111" xfId="21730"/>
    <cellStyle name="Comma [0] TBD-_2007 Concern tracker 05-02-2005  12 111" xfId="21731"/>
    <cellStyle name="Comma [0] TBD_2007 Concern tracker 05-02-2005  12 112" xfId="21732"/>
    <cellStyle name="Comma [0] TBD-_2007 Concern tracker 05-02-2005  12 112" xfId="21733"/>
    <cellStyle name="Comma [0] TBD_2007 Concern tracker 05-02-2005  12 113" xfId="21734"/>
    <cellStyle name="Comma [0] TBD-_2007 Concern tracker 05-02-2005  12 113" xfId="21735"/>
    <cellStyle name="Comma [0] TBD_2007 Concern tracker 05-02-2005  12 114" xfId="21736"/>
    <cellStyle name="Comma [0] TBD-_2007 Concern tracker 05-02-2005  12 114" xfId="21737"/>
    <cellStyle name="Comma [0] TBD_2007 Concern tracker 05-02-2005  12 115" xfId="21738"/>
    <cellStyle name="Comma [0] TBD-_2007 Concern tracker 05-02-2005  12 115" xfId="21739"/>
    <cellStyle name="Comma [0] TBD_2007 Concern tracker 05-02-2005  12 116" xfId="21740"/>
    <cellStyle name="Comma [0] TBD-_2007 Concern tracker 05-02-2005  12 116" xfId="21741"/>
    <cellStyle name="Comma [0] TBD_2007 Concern tracker 05-02-2005  12 117" xfId="21742"/>
    <cellStyle name="Comma [0] TBD-_2007 Concern tracker 05-02-2005  12 117" xfId="21743"/>
    <cellStyle name="Comma [0] TBD_2007 Concern tracker 05-02-2005  12 118" xfId="21744"/>
    <cellStyle name="Comma [0] TBD-_2007 Concern tracker 05-02-2005  12 118" xfId="21745"/>
    <cellStyle name="Comma [0] TBD_2007 Concern tracker 05-02-2005  12 119" xfId="21746"/>
    <cellStyle name="Comma [0] TBD-_2007 Concern tracker 05-02-2005  12 119" xfId="21747"/>
    <cellStyle name="Comma [0] TBD_2007 Concern tracker 05-02-2005  12 12" xfId="21748"/>
    <cellStyle name="Comma [0] TBD-_2007 Concern tracker 05-02-2005  12 12" xfId="21749"/>
    <cellStyle name="Comma [0] TBD_2007 Concern tracker 05-02-2005  12 120" xfId="21750"/>
    <cellStyle name="Comma [0] TBD-_2007 Concern tracker 05-02-2005  12 120" xfId="21751"/>
    <cellStyle name="Comma [0] TBD_2007 Concern tracker 05-02-2005  12 121" xfId="21752"/>
    <cellStyle name="Comma [0] TBD-_2007 Concern tracker 05-02-2005  12 121" xfId="21753"/>
    <cellStyle name="Comma [0] TBD_2007 Concern tracker 05-02-2005  12 122" xfId="21754"/>
    <cellStyle name="Comma [0] TBD-_2007 Concern tracker 05-02-2005  12 122" xfId="21755"/>
    <cellStyle name="Comma [0] TBD_2007 Concern tracker 05-02-2005  12 123" xfId="21756"/>
    <cellStyle name="Comma [0] TBD-_2007 Concern tracker 05-02-2005  12 123" xfId="21757"/>
    <cellStyle name="Comma [0] TBD_2007 Concern tracker 05-02-2005  12 124" xfId="21758"/>
    <cellStyle name="Comma [0] TBD-_2007 Concern tracker 05-02-2005  12 124" xfId="21759"/>
    <cellStyle name="Comma [0] TBD_2007 Concern tracker 05-02-2005  12 125" xfId="21760"/>
    <cellStyle name="Comma [0] TBD-_2007 Concern tracker 05-02-2005  12 125" xfId="21761"/>
    <cellStyle name="Comma [0] TBD_2007 Concern tracker 05-02-2005  12 126" xfId="21762"/>
    <cellStyle name="Comma [0] TBD-_2007 Concern tracker 05-02-2005  12 126" xfId="21763"/>
    <cellStyle name="Comma [0] TBD_2007 Concern tracker 05-02-2005  12 127" xfId="21764"/>
    <cellStyle name="Comma [0] TBD-_2007 Concern tracker 05-02-2005  12 127" xfId="21765"/>
    <cellStyle name="Comma [0] TBD_2007 Concern tracker 05-02-2005  12 128" xfId="21766"/>
    <cellStyle name="Comma [0] TBD-_2007 Concern tracker 05-02-2005  12 128" xfId="21767"/>
    <cellStyle name="Comma [0] TBD_2007 Concern tracker 05-02-2005  12 129" xfId="21768"/>
    <cellStyle name="Comma [0] TBD-_2007 Concern tracker 05-02-2005  12 129" xfId="21769"/>
    <cellStyle name="Comma [0] TBD_2007 Concern tracker 05-02-2005  12 13" xfId="21770"/>
    <cellStyle name="Comma [0] TBD-_2007 Concern tracker 05-02-2005  12 13" xfId="21771"/>
    <cellStyle name="Comma [0] TBD_2007 Concern tracker 05-02-2005  12 130" xfId="21772"/>
    <cellStyle name="Comma [0] TBD-_2007 Concern tracker 05-02-2005  12 130" xfId="21773"/>
    <cellStyle name="Comma [0] TBD_2007 Concern tracker 05-02-2005  12 131" xfId="21774"/>
    <cellStyle name="Comma [0] TBD-_2007 Concern tracker 05-02-2005  12 131" xfId="21775"/>
    <cellStyle name="Comma [0] TBD_2007 Concern tracker 05-02-2005  12 132" xfId="21776"/>
    <cellStyle name="Comma [0] TBD-_2007 Concern tracker 05-02-2005  12 132" xfId="21777"/>
    <cellStyle name="Comma [0] TBD_2007 Concern tracker 05-02-2005  12 133" xfId="21778"/>
    <cellStyle name="Comma [0] TBD-_2007 Concern tracker 05-02-2005  12 133" xfId="21779"/>
    <cellStyle name="Comma [0] TBD_2007 Concern tracker 05-02-2005  12 134" xfId="21780"/>
    <cellStyle name="Comma [0] TBD-_2007 Concern tracker 05-02-2005  12 134" xfId="21781"/>
    <cellStyle name="Comma [0] TBD_2007 Concern tracker 05-02-2005  12 135" xfId="21782"/>
    <cellStyle name="Comma [0] TBD-_2007 Concern tracker 05-02-2005  12 135" xfId="21783"/>
    <cellStyle name="Comma [0] TBD_2007 Concern tracker 05-02-2005  12 136" xfId="21784"/>
    <cellStyle name="Comma [0] TBD-_2007 Concern tracker 05-02-2005  12 136" xfId="21785"/>
    <cellStyle name="Comma [0] TBD_2007 Concern tracker 05-02-2005  12 137" xfId="21786"/>
    <cellStyle name="Comma [0] TBD-_2007 Concern tracker 05-02-2005  12 137" xfId="21787"/>
    <cellStyle name="Comma [0] TBD_2007 Concern tracker 05-02-2005  12 138" xfId="21788"/>
    <cellStyle name="Comma [0] TBD-_2007 Concern tracker 05-02-2005  12 138" xfId="21789"/>
    <cellStyle name="Comma [0] TBD_2007 Concern tracker 05-02-2005  12 139" xfId="21790"/>
    <cellStyle name="Comma [0] TBD-_2007 Concern tracker 05-02-2005  12 139" xfId="21791"/>
    <cellStyle name="Comma [0] TBD_2007 Concern tracker 05-02-2005  12 14" xfId="21792"/>
    <cellStyle name="Comma [0] TBD-_2007 Concern tracker 05-02-2005  12 14" xfId="21793"/>
    <cellStyle name="Comma [0] TBD_2007 Concern tracker 05-02-2005  12 140" xfId="21794"/>
    <cellStyle name="Comma [0] TBD-_2007 Concern tracker 05-02-2005  12 140" xfId="21795"/>
    <cellStyle name="Comma [0] TBD_2007 Concern tracker 05-02-2005  12 141" xfId="21796"/>
    <cellStyle name="Comma [0] TBD-_2007 Concern tracker 05-02-2005  12 141" xfId="21797"/>
    <cellStyle name="Comma [0] TBD_2007 Concern tracker 05-02-2005  12 142" xfId="21798"/>
    <cellStyle name="Comma [0] TBD-_2007 Concern tracker 05-02-2005  12 142" xfId="21799"/>
    <cellStyle name="Comma [0] TBD_2007 Concern tracker 05-02-2005  12 143" xfId="21800"/>
    <cellStyle name="Comma [0] TBD-_2007 Concern tracker 05-02-2005  12 143" xfId="21801"/>
    <cellStyle name="Comma [0] TBD_2007 Concern tracker 05-02-2005  12 144" xfId="21802"/>
    <cellStyle name="Comma [0] TBD-_2007 Concern tracker 05-02-2005  12 144" xfId="21803"/>
    <cellStyle name="Comma [0] TBD_2007 Concern tracker 05-02-2005  12 145" xfId="21804"/>
    <cellStyle name="Comma [0] TBD-_2007 Concern tracker 05-02-2005  12 145" xfId="21805"/>
    <cellStyle name="Comma [0] TBD_2007 Concern tracker 05-02-2005  12 146" xfId="21806"/>
    <cellStyle name="Comma [0] TBD-_2007 Concern tracker 05-02-2005  12 146" xfId="21807"/>
    <cellStyle name="Comma [0] TBD_2007 Concern tracker 05-02-2005  12 147" xfId="21808"/>
    <cellStyle name="Comma [0] TBD-_2007 Concern tracker 05-02-2005  12 147" xfId="21809"/>
    <cellStyle name="Comma [0] TBD_2007 Concern tracker 05-02-2005  12 148" xfId="21810"/>
    <cellStyle name="Comma [0] TBD-_2007 Concern tracker 05-02-2005  12 148" xfId="21811"/>
    <cellStyle name="Comma [0] TBD_2007 Concern tracker 05-02-2005  12 149" xfId="21812"/>
    <cellStyle name="Comma [0] TBD-_2007 Concern tracker 05-02-2005  12 149" xfId="21813"/>
    <cellStyle name="Comma [0] TBD_2007 Concern tracker 05-02-2005  12 15" xfId="21814"/>
    <cellStyle name="Comma [0] TBD-_2007 Concern tracker 05-02-2005  12 15" xfId="21815"/>
    <cellStyle name="Comma [0] TBD_2007 Concern tracker 05-02-2005  12 150" xfId="21816"/>
    <cellStyle name="Comma [0] TBD-_2007 Concern tracker 05-02-2005  12 150" xfId="21817"/>
    <cellStyle name="Comma [0] TBD_2007 Concern tracker 05-02-2005  12 151" xfId="21818"/>
    <cellStyle name="Comma [0] TBD-_2007 Concern tracker 05-02-2005  12 151" xfId="21819"/>
    <cellStyle name="Comma [0] TBD_2007 Concern tracker 05-02-2005  12 152" xfId="21820"/>
    <cellStyle name="Comma [0] TBD-_2007 Concern tracker 05-02-2005  12 152" xfId="21821"/>
    <cellStyle name="Comma [0] TBD_2007 Concern tracker 05-02-2005  12 153" xfId="21822"/>
    <cellStyle name="Comma [0] TBD-_2007 Concern tracker 05-02-2005  12 153" xfId="21823"/>
    <cellStyle name="Comma [0] TBD_2007 Concern tracker 05-02-2005  12 16" xfId="21824"/>
    <cellStyle name="Comma [0] TBD-_2007 Concern tracker 05-02-2005  12 16" xfId="21825"/>
    <cellStyle name="Comma [0] TBD_2007 Concern tracker 05-02-2005  12 17" xfId="21826"/>
    <cellStyle name="Comma [0] TBD-_2007 Concern tracker 05-02-2005  12 17" xfId="21827"/>
    <cellStyle name="Comma [0] TBD_2007 Concern tracker 05-02-2005  12 18" xfId="21828"/>
    <cellStyle name="Comma [0] TBD-_2007 Concern tracker 05-02-2005  12 18" xfId="21829"/>
    <cellStyle name="Comma [0] TBD_2007 Concern tracker 05-02-2005  12 19" xfId="21830"/>
    <cellStyle name="Comma [0] TBD-_2007 Concern tracker 05-02-2005  12 19" xfId="21831"/>
    <cellStyle name="Comma [0] TBD_2007 Concern tracker 05-02-2005  12 2" xfId="21832"/>
    <cellStyle name="Comma [0] TBD-_2007 Concern tracker 05-02-2005  12 2" xfId="21833"/>
    <cellStyle name="Comma [0] TBD_2007 Concern tracker 05-02-2005  12 20" xfId="21834"/>
    <cellStyle name="Comma [0] TBD-_2007 Concern tracker 05-02-2005  12 20" xfId="21835"/>
    <cellStyle name="Comma [0] TBD_2007 Concern tracker 05-02-2005  12 21" xfId="21836"/>
    <cellStyle name="Comma [0] TBD-_2007 Concern tracker 05-02-2005  12 21" xfId="21837"/>
    <cellStyle name="Comma [0] TBD_2007 Concern tracker 05-02-2005  12 22" xfId="21838"/>
    <cellStyle name="Comma [0] TBD-_2007 Concern tracker 05-02-2005  12 22" xfId="21839"/>
    <cellStyle name="Comma [0] TBD_2007 Concern tracker 05-02-2005  12 23" xfId="21840"/>
    <cellStyle name="Comma [0] TBD-_2007 Concern tracker 05-02-2005  12 23" xfId="21841"/>
    <cellStyle name="Comma [0] TBD_2007 Concern tracker 05-02-2005  12 24" xfId="21842"/>
    <cellStyle name="Comma [0] TBD-_2007 Concern tracker 05-02-2005  12 24" xfId="21843"/>
    <cellStyle name="Comma [0] TBD_2007 Concern tracker 05-02-2005  12 25" xfId="21844"/>
    <cellStyle name="Comma [0] TBD-_2007 Concern tracker 05-02-2005  12 25" xfId="21845"/>
    <cellStyle name="Comma [0] TBD_2007 Concern tracker 05-02-2005  12 26" xfId="21846"/>
    <cellStyle name="Comma [0] TBD-_2007 Concern tracker 05-02-2005  12 26" xfId="21847"/>
    <cellStyle name="Comma [0] TBD_2007 Concern tracker 05-02-2005  12 27" xfId="21848"/>
    <cellStyle name="Comma [0] TBD-_2007 Concern tracker 05-02-2005  12 27" xfId="21849"/>
    <cellStyle name="Comma [0] TBD_2007 Concern tracker 05-02-2005  12 28" xfId="21850"/>
    <cellStyle name="Comma [0] TBD-_2007 Concern tracker 05-02-2005  12 28" xfId="21851"/>
    <cellStyle name="Comma [0] TBD_2007 Concern tracker 05-02-2005  12 29" xfId="21852"/>
    <cellStyle name="Comma [0] TBD-_2007 Concern tracker 05-02-2005  12 29" xfId="21853"/>
    <cellStyle name="Comma [0] TBD_2007 Concern tracker 05-02-2005  12 3" xfId="21854"/>
    <cellStyle name="Comma [0] TBD-_2007 Concern tracker 05-02-2005  12 3" xfId="21855"/>
    <cellStyle name="Comma [0] TBD_2007 Concern tracker 05-02-2005  12 30" xfId="21856"/>
    <cellStyle name="Comma [0] TBD-_2007 Concern tracker 05-02-2005  12 30" xfId="21857"/>
    <cellStyle name="Comma [0] TBD_2007 Concern tracker 05-02-2005  12 31" xfId="21858"/>
    <cellStyle name="Comma [0] TBD-_2007 Concern tracker 05-02-2005  12 31" xfId="21859"/>
    <cellStyle name="Comma [0] TBD_2007 Concern tracker 05-02-2005  12 32" xfId="21860"/>
    <cellStyle name="Comma [0] TBD-_2007 Concern tracker 05-02-2005  12 32" xfId="21861"/>
    <cellStyle name="Comma [0] TBD_2007 Concern tracker 05-02-2005  12 33" xfId="21862"/>
    <cellStyle name="Comma [0] TBD-_2007 Concern tracker 05-02-2005  12 33" xfId="21863"/>
    <cellStyle name="Comma [0] TBD_2007 Concern tracker 05-02-2005  12 34" xfId="21864"/>
    <cellStyle name="Comma [0] TBD-_2007 Concern tracker 05-02-2005  12 34" xfId="21865"/>
    <cellStyle name="Comma [0] TBD_2007 Concern tracker 05-02-2005  12 35" xfId="21866"/>
    <cellStyle name="Comma [0] TBD-_2007 Concern tracker 05-02-2005  12 35" xfId="21867"/>
    <cellStyle name="Comma [0] TBD_2007 Concern tracker 05-02-2005  12 36" xfId="21868"/>
    <cellStyle name="Comma [0] TBD-_2007 Concern tracker 05-02-2005  12 36" xfId="21869"/>
    <cellStyle name="Comma [0] TBD_2007 Concern tracker 05-02-2005  12 37" xfId="21870"/>
    <cellStyle name="Comma [0] TBD-_2007 Concern tracker 05-02-2005  12 37" xfId="21871"/>
    <cellStyle name="Comma [0] TBD_2007 Concern tracker 05-02-2005  12 38" xfId="21872"/>
    <cellStyle name="Comma [0] TBD-_2007 Concern tracker 05-02-2005  12 38" xfId="21873"/>
    <cellStyle name="Comma [0] TBD_2007 Concern tracker 05-02-2005  12 39" xfId="21874"/>
    <cellStyle name="Comma [0] TBD-_2007 Concern tracker 05-02-2005  12 39" xfId="21875"/>
    <cellStyle name="Comma [0] TBD_2007 Concern tracker 05-02-2005  12 4" xfId="21876"/>
    <cellStyle name="Comma [0] TBD-_2007 Concern tracker 05-02-2005  12 4" xfId="21877"/>
    <cellStyle name="Comma [0] TBD_2007 Concern tracker 05-02-2005  12 40" xfId="21878"/>
    <cellStyle name="Comma [0] TBD-_2007 Concern tracker 05-02-2005  12 40" xfId="21879"/>
    <cellStyle name="Comma [0] TBD_2007 Concern tracker 05-02-2005  12 41" xfId="21880"/>
    <cellStyle name="Comma [0] TBD-_2007 Concern tracker 05-02-2005  12 41" xfId="21881"/>
    <cellStyle name="Comma [0] TBD_2007 Concern tracker 05-02-2005  12 42" xfId="21882"/>
    <cellStyle name="Comma [0] TBD-_2007 Concern tracker 05-02-2005  12 42" xfId="21883"/>
    <cellStyle name="Comma [0] TBD_2007 Concern tracker 05-02-2005  12 43" xfId="21884"/>
    <cellStyle name="Comma [0] TBD-_2007 Concern tracker 05-02-2005  12 43" xfId="21885"/>
    <cellStyle name="Comma [0] TBD_2007 Concern tracker 05-02-2005  12 44" xfId="21886"/>
    <cellStyle name="Comma [0] TBD-_2007 Concern tracker 05-02-2005  12 44" xfId="21887"/>
    <cellStyle name="Comma [0] TBD_2007 Concern tracker 05-02-2005  12 45" xfId="21888"/>
    <cellStyle name="Comma [0] TBD-_2007 Concern tracker 05-02-2005  12 45" xfId="21889"/>
    <cellStyle name="Comma [0] TBD_2007 Concern tracker 05-02-2005  12 46" xfId="21890"/>
    <cellStyle name="Comma [0] TBD-_2007 Concern tracker 05-02-2005  12 46" xfId="21891"/>
    <cellStyle name="Comma [0] TBD_2007 Concern tracker 05-02-2005  12 47" xfId="21892"/>
    <cellStyle name="Comma [0] TBD-_2007 Concern tracker 05-02-2005  12 47" xfId="21893"/>
    <cellStyle name="Comma [0] TBD_2007 Concern tracker 05-02-2005  12 48" xfId="21894"/>
    <cellStyle name="Comma [0] TBD-_2007 Concern tracker 05-02-2005  12 48" xfId="21895"/>
    <cellStyle name="Comma [0] TBD_2007 Concern tracker 05-02-2005  12 49" xfId="21896"/>
    <cellStyle name="Comma [0] TBD-_2007 Concern tracker 05-02-2005  12 49" xfId="21897"/>
    <cellStyle name="Comma [0] TBD_2007 Concern tracker 05-02-2005  12 5" xfId="21898"/>
    <cellStyle name="Comma [0] TBD-_2007 Concern tracker 05-02-2005  12 5" xfId="21899"/>
    <cellStyle name="Comma [0] TBD_2007 Concern tracker 05-02-2005  12 50" xfId="21900"/>
    <cellStyle name="Comma [0] TBD-_2007 Concern tracker 05-02-2005  12 50" xfId="21901"/>
    <cellStyle name="Comma [0] TBD_2007 Concern tracker 05-02-2005  12 51" xfId="21902"/>
    <cellStyle name="Comma [0] TBD-_2007 Concern tracker 05-02-2005  12 51" xfId="21903"/>
    <cellStyle name="Comma [0] TBD_2007 Concern tracker 05-02-2005  12 52" xfId="21904"/>
    <cellStyle name="Comma [0] TBD-_2007 Concern tracker 05-02-2005  12 52" xfId="21905"/>
    <cellStyle name="Comma [0] TBD_2007 Concern tracker 05-02-2005  12 53" xfId="21906"/>
    <cellStyle name="Comma [0] TBD-_2007 Concern tracker 05-02-2005  12 53" xfId="21907"/>
    <cellStyle name="Comma [0] TBD_2007 Concern tracker 05-02-2005  12 54" xfId="21908"/>
    <cellStyle name="Comma [0] TBD-_2007 Concern tracker 05-02-2005  12 54" xfId="21909"/>
    <cellStyle name="Comma [0] TBD_2007 Concern tracker 05-02-2005  12 55" xfId="21910"/>
    <cellStyle name="Comma [0] TBD-_2007 Concern tracker 05-02-2005  12 55" xfId="21911"/>
    <cellStyle name="Comma [0] TBD_2007 Concern tracker 05-02-2005  12 56" xfId="21912"/>
    <cellStyle name="Comma [0] TBD-_2007 Concern tracker 05-02-2005  12 56" xfId="21913"/>
    <cellStyle name="Comma [0] TBD_2007 Concern tracker 05-02-2005  12 57" xfId="21914"/>
    <cellStyle name="Comma [0] TBD-_2007 Concern tracker 05-02-2005  12 57" xfId="21915"/>
    <cellStyle name="Comma [0] TBD_2007 Concern tracker 05-02-2005  12 58" xfId="21916"/>
    <cellStyle name="Comma [0] TBD-_2007 Concern tracker 05-02-2005  12 58" xfId="21917"/>
    <cellStyle name="Comma [0] TBD_2007 Concern tracker 05-02-2005  12 59" xfId="21918"/>
    <cellStyle name="Comma [0] TBD-_2007 Concern tracker 05-02-2005  12 59" xfId="21919"/>
    <cellStyle name="Comma [0] TBD_2007 Concern tracker 05-02-2005  12 6" xfId="21920"/>
    <cellStyle name="Comma [0] TBD-_2007 Concern tracker 05-02-2005  12 6" xfId="21921"/>
    <cellStyle name="Comma [0] TBD_2007 Concern tracker 05-02-2005  12 60" xfId="21922"/>
    <cellStyle name="Comma [0] TBD-_2007 Concern tracker 05-02-2005  12 60" xfId="21923"/>
    <cellStyle name="Comma [0] TBD_2007 Concern tracker 05-02-2005  12 61" xfId="21924"/>
    <cellStyle name="Comma [0] TBD-_2007 Concern tracker 05-02-2005  12 61" xfId="21925"/>
    <cellStyle name="Comma [0] TBD_2007 Concern tracker 05-02-2005  12 62" xfId="21926"/>
    <cellStyle name="Comma [0] TBD-_2007 Concern tracker 05-02-2005  12 62" xfId="21927"/>
    <cellStyle name="Comma [0] TBD_2007 Concern tracker 05-02-2005  12 63" xfId="21928"/>
    <cellStyle name="Comma [0] TBD-_2007 Concern tracker 05-02-2005  12 63" xfId="21929"/>
    <cellStyle name="Comma [0] TBD_2007 Concern tracker 05-02-2005  12 64" xfId="21930"/>
    <cellStyle name="Comma [0] TBD-_2007 Concern tracker 05-02-2005  12 64" xfId="21931"/>
    <cellStyle name="Comma [0] TBD_2007 Concern tracker 05-02-2005  12 65" xfId="21932"/>
    <cellStyle name="Comma [0] TBD-_2007 Concern tracker 05-02-2005  12 65" xfId="21933"/>
    <cellStyle name="Comma [0] TBD_2007 Concern tracker 05-02-2005  12 66" xfId="21934"/>
    <cellStyle name="Comma [0] TBD-_2007 Concern tracker 05-02-2005  12 66" xfId="21935"/>
    <cellStyle name="Comma [0] TBD_2007 Concern tracker 05-02-2005  12 67" xfId="21936"/>
    <cellStyle name="Comma [0] TBD-_2007 Concern tracker 05-02-2005  12 67" xfId="21937"/>
    <cellStyle name="Comma [0] TBD_2007 Concern tracker 05-02-2005  12 68" xfId="21938"/>
    <cellStyle name="Comma [0] TBD-_2007 Concern tracker 05-02-2005  12 68" xfId="21939"/>
    <cellStyle name="Comma [0] TBD_2007 Concern tracker 05-02-2005  12 69" xfId="21940"/>
    <cellStyle name="Comma [0] TBD-_2007 Concern tracker 05-02-2005  12 69" xfId="21941"/>
    <cellStyle name="Comma [0] TBD_2007 Concern tracker 05-02-2005  12 7" xfId="21942"/>
    <cellStyle name="Comma [0] TBD-_2007 Concern tracker 05-02-2005  12 7" xfId="21943"/>
    <cellStyle name="Comma [0] TBD_2007 Concern tracker 05-02-2005  12 70" xfId="21944"/>
    <cellStyle name="Comma [0] TBD-_2007 Concern tracker 05-02-2005  12 70" xfId="21945"/>
    <cellStyle name="Comma [0] TBD_2007 Concern tracker 05-02-2005  12 71" xfId="21946"/>
    <cellStyle name="Comma [0] TBD-_2007 Concern tracker 05-02-2005  12 71" xfId="21947"/>
    <cellStyle name="Comma [0] TBD_2007 Concern tracker 05-02-2005  12 72" xfId="21948"/>
    <cellStyle name="Comma [0] TBD-_2007 Concern tracker 05-02-2005  12 72" xfId="21949"/>
    <cellStyle name="Comma [0] TBD_2007 Concern tracker 05-02-2005  12 73" xfId="21950"/>
    <cellStyle name="Comma [0] TBD-_2007 Concern tracker 05-02-2005  12 73" xfId="21951"/>
    <cellStyle name="Comma [0] TBD_2007 Concern tracker 05-02-2005  12 74" xfId="21952"/>
    <cellStyle name="Comma [0] TBD-_2007 Concern tracker 05-02-2005  12 74" xfId="21953"/>
    <cellStyle name="Comma [0] TBD_2007 Concern tracker 05-02-2005  12 75" xfId="21954"/>
    <cellStyle name="Comma [0] TBD-_2007 Concern tracker 05-02-2005  12 75" xfId="21955"/>
    <cellStyle name="Comma [0] TBD_2007 Concern tracker 05-02-2005  12 76" xfId="21956"/>
    <cellStyle name="Comma [0] TBD-_2007 Concern tracker 05-02-2005  12 76" xfId="21957"/>
    <cellStyle name="Comma [0] TBD_2007 Concern tracker 05-02-2005  12 77" xfId="21958"/>
    <cellStyle name="Comma [0] TBD-_2007 Concern tracker 05-02-2005  12 77" xfId="21959"/>
    <cellStyle name="Comma [0] TBD_2007 Concern tracker 05-02-2005  12 78" xfId="21960"/>
    <cellStyle name="Comma [0] TBD-_2007 Concern tracker 05-02-2005  12 78" xfId="21961"/>
    <cellStyle name="Comma [0] TBD_2007 Concern tracker 05-02-2005  12 79" xfId="21962"/>
    <cellStyle name="Comma [0] TBD-_2007 Concern tracker 05-02-2005  12 79" xfId="21963"/>
    <cellStyle name="Comma [0] TBD_2007 Concern tracker 05-02-2005  12 8" xfId="21964"/>
    <cellStyle name="Comma [0] TBD-_2007 Concern tracker 05-02-2005  12 8" xfId="21965"/>
    <cellStyle name="Comma [0] TBD_2007 Concern tracker 05-02-2005  12 80" xfId="21966"/>
    <cellStyle name="Comma [0] TBD-_2007 Concern tracker 05-02-2005  12 80" xfId="21967"/>
    <cellStyle name="Comma [0] TBD_2007 Concern tracker 05-02-2005  12 81" xfId="21968"/>
    <cellStyle name="Comma [0] TBD-_2007 Concern tracker 05-02-2005  12 81" xfId="21969"/>
    <cellStyle name="Comma [0] TBD_2007 Concern tracker 05-02-2005  12 82" xfId="21970"/>
    <cellStyle name="Comma [0] TBD-_2007 Concern tracker 05-02-2005  12 82" xfId="21971"/>
    <cellStyle name="Comma [0] TBD_2007 Concern tracker 05-02-2005  12 83" xfId="21972"/>
    <cellStyle name="Comma [0] TBD-_2007 Concern tracker 05-02-2005  12 83" xfId="21973"/>
    <cellStyle name="Comma [0] TBD_2007 Concern tracker 05-02-2005  12 84" xfId="21974"/>
    <cellStyle name="Comma [0] TBD-_2007 Concern tracker 05-02-2005  12 84" xfId="21975"/>
    <cellStyle name="Comma [0] TBD_2007 Concern tracker 05-02-2005  12 85" xfId="21976"/>
    <cellStyle name="Comma [0] TBD-_2007 Concern tracker 05-02-2005  12 85" xfId="21977"/>
    <cellStyle name="Comma [0] TBD_2007 Concern tracker 05-02-2005  12 86" xfId="21978"/>
    <cellStyle name="Comma [0] TBD-_2007 Concern tracker 05-02-2005  12 86" xfId="21979"/>
    <cellStyle name="Comma [0] TBD_2007 Concern tracker 05-02-2005  12 87" xfId="21980"/>
    <cellStyle name="Comma [0] TBD-_2007 Concern tracker 05-02-2005  12 87" xfId="21981"/>
    <cellStyle name="Comma [0] TBD_2007 Concern tracker 05-02-2005  12 88" xfId="21982"/>
    <cellStyle name="Comma [0] TBD-_2007 Concern tracker 05-02-2005  12 88" xfId="21983"/>
    <cellStyle name="Comma [0] TBD_2007 Concern tracker 05-02-2005  12 89" xfId="21984"/>
    <cellStyle name="Comma [0] TBD-_2007 Concern tracker 05-02-2005  12 89" xfId="21985"/>
    <cellStyle name="Comma [0] TBD_2007 Concern tracker 05-02-2005  12 9" xfId="21986"/>
    <cellStyle name="Comma [0] TBD-_2007 Concern tracker 05-02-2005  12 9" xfId="21987"/>
    <cellStyle name="Comma [0] TBD_2007 Concern tracker 05-02-2005  12 90" xfId="21988"/>
    <cellStyle name="Comma [0] TBD-_2007 Concern tracker 05-02-2005  12 90" xfId="21989"/>
    <cellStyle name="Comma [0] TBD_2007 Concern tracker 05-02-2005  12 91" xfId="21990"/>
    <cellStyle name="Comma [0] TBD-_2007 Concern tracker 05-02-2005  12 91" xfId="21991"/>
    <cellStyle name="Comma [0] TBD_2007 Concern tracker 05-02-2005  12 92" xfId="21992"/>
    <cellStyle name="Comma [0] TBD-_2007 Concern tracker 05-02-2005  12 92" xfId="21993"/>
    <cellStyle name="Comma [0] TBD_2007 Concern tracker 05-02-2005  12 93" xfId="21994"/>
    <cellStyle name="Comma [0] TBD-_2007 Concern tracker 05-02-2005  12 93" xfId="21995"/>
    <cellStyle name="Comma [0] TBD_2007 Concern tracker 05-02-2005  12 94" xfId="21996"/>
    <cellStyle name="Comma [0] TBD-_2007 Concern tracker 05-02-2005  12 94" xfId="21997"/>
    <cellStyle name="Comma [0] TBD_2007 Concern tracker 05-02-2005  12 95" xfId="21998"/>
    <cellStyle name="Comma [0] TBD-_2007 Concern tracker 05-02-2005  12 95" xfId="21999"/>
    <cellStyle name="Comma [0] TBD_2007 Concern tracker 05-02-2005  12 96" xfId="22000"/>
    <cellStyle name="Comma [0] TBD-_2007 Concern tracker 05-02-2005  12 96" xfId="22001"/>
    <cellStyle name="Comma [0] TBD_2007 Concern tracker 05-02-2005  12 97" xfId="22002"/>
    <cellStyle name="Comma [0] TBD-_2007 Concern tracker 05-02-2005  12 97" xfId="22003"/>
    <cellStyle name="Comma [0] TBD_2007 Concern tracker 05-02-2005  12 98" xfId="22004"/>
    <cellStyle name="Comma [0] TBD-_2007 Concern tracker 05-02-2005  12 98" xfId="22005"/>
    <cellStyle name="Comma [0] TBD_2007 Concern tracker 05-02-2005  12 99" xfId="22006"/>
    <cellStyle name="Comma [0] TBD-_2007 Concern tracker 05-02-2005  12 99" xfId="22007"/>
    <cellStyle name="Comma [0] TBD_2007 Concern tracker 05-02-2005  13" xfId="22008"/>
    <cellStyle name="Comma [0] TBD-_2007 Concern tracker 05-02-2005  13" xfId="22009"/>
    <cellStyle name="Comma [0] TBD_2007 Concern tracker 05-02-2005  13 10" xfId="22010"/>
    <cellStyle name="Comma [0] TBD-_2007 Concern tracker 05-02-2005  13 10" xfId="22011"/>
    <cellStyle name="Comma [0] TBD_2007 Concern tracker 05-02-2005  13 100" xfId="22012"/>
    <cellStyle name="Comma [0] TBD-_2007 Concern tracker 05-02-2005  13 100" xfId="22013"/>
    <cellStyle name="Comma [0] TBD_2007 Concern tracker 05-02-2005  13 101" xfId="22014"/>
    <cellStyle name="Comma [0] TBD-_2007 Concern tracker 05-02-2005  13 101" xfId="22015"/>
    <cellStyle name="Comma [0] TBD_2007 Concern tracker 05-02-2005  13 102" xfId="22016"/>
    <cellStyle name="Comma [0] TBD-_2007 Concern tracker 05-02-2005  13 102" xfId="22017"/>
    <cellStyle name="Comma [0] TBD_2007 Concern tracker 05-02-2005  13 103" xfId="22018"/>
    <cellStyle name="Comma [0] TBD-_2007 Concern tracker 05-02-2005  13 103" xfId="22019"/>
    <cellStyle name="Comma [0] TBD_2007 Concern tracker 05-02-2005  13 104" xfId="22020"/>
    <cellStyle name="Comma [0] TBD-_2007 Concern tracker 05-02-2005  13 104" xfId="22021"/>
    <cellStyle name="Comma [0] TBD_2007 Concern tracker 05-02-2005  13 105" xfId="22022"/>
    <cellStyle name="Comma [0] TBD-_2007 Concern tracker 05-02-2005  13 105" xfId="22023"/>
    <cellStyle name="Comma [0] TBD_2007 Concern tracker 05-02-2005  13 106" xfId="22024"/>
    <cellStyle name="Comma [0] TBD-_2007 Concern tracker 05-02-2005  13 106" xfId="22025"/>
    <cellStyle name="Comma [0] TBD_2007 Concern tracker 05-02-2005  13 107" xfId="22026"/>
    <cellStyle name="Comma [0] TBD-_2007 Concern tracker 05-02-2005  13 107" xfId="22027"/>
    <cellStyle name="Comma [0] TBD_2007 Concern tracker 05-02-2005  13 108" xfId="22028"/>
    <cellStyle name="Comma [0] TBD-_2007 Concern tracker 05-02-2005  13 108" xfId="22029"/>
    <cellStyle name="Comma [0] TBD_2007 Concern tracker 05-02-2005  13 109" xfId="22030"/>
    <cellStyle name="Comma [0] TBD-_2007 Concern tracker 05-02-2005  13 109" xfId="22031"/>
    <cellStyle name="Comma [0] TBD_2007 Concern tracker 05-02-2005  13 11" xfId="22032"/>
    <cellStyle name="Comma [0] TBD-_2007 Concern tracker 05-02-2005  13 11" xfId="22033"/>
    <cellStyle name="Comma [0] TBD_2007 Concern tracker 05-02-2005  13 110" xfId="22034"/>
    <cellStyle name="Comma [0] TBD-_2007 Concern tracker 05-02-2005  13 110" xfId="22035"/>
    <cellStyle name="Comma [0] TBD_2007 Concern tracker 05-02-2005  13 111" xfId="22036"/>
    <cellStyle name="Comma [0] TBD-_2007 Concern tracker 05-02-2005  13 111" xfId="22037"/>
    <cellStyle name="Comma [0] TBD_2007 Concern tracker 05-02-2005  13 112" xfId="22038"/>
    <cellStyle name="Comma [0] TBD-_2007 Concern tracker 05-02-2005  13 112" xfId="22039"/>
    <cellStyle name="Comma [0] TBD_2007 Concern tracker 05-02-2005  13 113" xfId="22040"/>
    <cellStyle name="Comma [0] TBD-_2007 Concern tracker 05-02-2005  13 113" xfId="22041"/>
    <cellStyle name="Comma [0] TBD_2007 Concern tracker 05-02-2005  13 114" xfId="22042"/>
    <cellStyle name="Comma [0] TBD-_2007 Concern tracker 05-02-2005  13 114" xfId="22043"/>
    <cellStyle name="Comma [0] TBD_2007 Concern tracker 05-02-2005  13 115" xfId="22044"/>
    <cellStyle name="Comma [0] TBD-_2007 Concern tracker 05-02-2005  13 115" xfId="22045"/>
    <cellStyle name="Comma [0] TBD_2007 Concern tracker 05-02-2005  13 116" xfId="22046"/>
    <cellStyle name="Comma [0] TBD-_2007 Concern tracker 05-02-2005  13 116" xfId="22047"/>
    <cellStyle name="Comma [0] TBD_2007 Concern tracker 05-02-2005  13 117" xfId="22048"/>
    <cellStyle name="Comma [0] TBD-_2007 Concern tracker 05-02-2005  13 117" xfId="22049"/>
    <cellStyle name="Comma [0] TBD_2007 Concern tracker 05-02-2005  13 118" xfId="22050"/>
    <cellStyle name="Comma [0] TBD-_2007 Concern tracker 05-02-2005  13 118" xfId="22051"/>
    <cellStyle name="Comma [0] TBD_2007 Concern tracker 05-02-2005  13 119" xfId="22052"/>
    <cellStyle name="Comma [0] TBD-_2007 Concern tracker 05-02-2005  13 119" xfId="22053"/>
    <cellStyle name="Comma [0] TBD_2007 Concern tracker 05-02-2005  13 12" xfId="22054"/>
    <cellStyle name="Comma [0] TBD-_2007 Concern tracker 05-02-2005  13 12" xfId="22055"/>
    <cellStyle name="Comma [0] TBD_2007 Concern tracker 05-02-2005  13 120" xfId="22056"/>
    <cellStyle name="Comma [0] TBD-_2007 Concern tracker 05-02-2005  13 120" xfId="22057"/>
    <cellStyle name="Comma [0] TBD_2007 Concern tracker 05-02-2005  13 121" xfId="22058"/>
    <cellStyle name="Comma [0] TBD-_2007 Concern tracker 05-02-2005  13 121" xfId="22059"/>
    <cellStyle name="Comma [0] TBD_2007 Concern tracker 05-02-2005  13 122" xfId="22060"/>
    <cellStyle name="Comma [0] TBD-_2007 Concern tracker 05-02-2005  13 122" xfId="22061"/>
    <cellStyle name="Comma [0] TBD_2007 Concern tracker 05-02-2005  13 123" xfId="22062"/>
    <cellStyle name="Comma [0] TBD-_2007 Concern tracker 05-02-2005  13 123" xfId="22063"/>
    <cellStyle name="Comma [0] TBD_2007 Concern tracker 05-02-2005  13 124" xfId="22064"/>
    <cellStyle name="Comma [0] TBD-_2007 Concern tracker 05-02-2005  13 124" xfId="22065"/>
    <cellStyle name="Comma [0] TBD_2007 Concern tracker 05-02-2005  13 125" xfId="22066"/>
    <cellStyle name="Comma [0] TBD-_2007 Concern tracker 05-02-2005  13 125" xfId="22067"/>
    <cellStyle name="Comma [0] TBD_2007 Concern tracker 05-02-2005  13 126" xfId="22068"/>
    <cellStyle name="Comma [0] TBD-_2007 Concern tracker 05-02-2005  13 126" xfId="22069"/>
    <cellStyle name="Comma [0] TBD_2007 Concern tracker 05-02-2005  13 127" xfId="22070"/>
    <cellStyle name="Comma [0] TBD-_2007 Concern tracker 05-02-2005  13 127" xfId="22071"/>
    <cellStyle name="Comma [0] TBD_2007 Concern tracker 05-02-2005  13 128" xfId="22072"/>
    <cellStyle name="Comma [0] TBD-_2007 Concern tracker 05-02-2005  13 128" xfId="22073"/>
    <cellStyle name="Comma [0] TBD_2007 Concern tracker 05-02-2005  13 129" xfId="22074"/>
    <cellStyle name="Comma [0] TBD-_2007 Concern tracker 05-02-2005  13 129" xfId="22075"/>
    <cellStyle name="Comma [0] TBD_2007 Concern tracker 05-02-2005  13 13" xfId="22076"/>
    <cellStyle name="Comma [0] TBD-_2007 Concern tracker 05-02-2005  13 13" xfId="22077"/>
    <cellStyle name="Comma [0] TBD_2007 Concern tracker 05-02-2005  13 130" xfId="22078"/>
    <cellStyle name="Comma [0] TBD-_2007 Concern tracker 05-02-2005  13 130" xfId="22079"/>
    <cellStyle name="Comma [0] TBD_2007 Concern tracker 05-02-2005  13 131" xfId="22080"/>
    <cellStyle name="Comma [0] TBD-_2007 Concern tracker 05-02-2005  13 131" xfId="22081"/>
    <cellStyle name="Comma [0] TBD_2007 Concern tracker 05-02-2005  13 132" xfId="22082"/>
    <cellStyle name="Comma [0] TBD-_2007 Concern tracker 05-02-2005  13 132" xfId="22083"/>
    <cellStyle name="Comma [0] TBD_2007 Concern tracker 05-02-2005  13 133" xfId="22084"/>
    <cellStyle name="Comma [0] TBD-_2007 Concern tracker 05-02-2005  13 133" xfId="22085"/>
    <cellStyle name="Comma [0] TBD_2007 Concern tracker 05-02-2005  13 134" xfId="22086"/>
    <cellStyle name="Comma [0] TBD-_2007 Concern tracker 05-02-2005  13 134" xfId="22087"/>
    <cellStyle name="Comma [0] TBD_2007 Concern tracker 05-02-2005  13 135" xfId="22088"/>
    <cellStyle name="Comma [0] TBD-_2007 Concern tracker 05-02-2005  13 135" xfId="22089"/>
    <cellStyle name="Comma [0] TBD_2007 Concern tracker 05-02-2005  13 136" xfId="22090"/>
    <cellStyle name="Comma [0] TBD-_2007 Concern tracker 05-02-2005  13 136" xfId="22091"/>
    <cellStyle name="Comma [0] TBD_2007 Concern tracker 05-02-2005  13 137" xfId="22092"/>
    <cellStyle name="Comma [0] TBD-_2007 Concern tracker 05-02-2005  13 137" xfId="22093"/>
    <cellStyle name="Comma [0] TBD_2007 Concern tracker 05-02-2005  13 138" xfId="22094"/>
    <cellStyle name="Comma [0] TBD-_2007 Concern tracker 05-02-2005  13 138" xfId="22095"/>
    <cellStyle name="Comma [0] TBD_2007 Concern tracker 05-02-2005  13 139" xfId="22096"/>
    <cellStyle name="Comma [0] TBD-_2007 Concern tracker 05-02-2005  13 139" xfId="22097"/>
    <cellStyle name="Comma [0] TBD_2007 Concern tracker 05-02-2005  13 14" xfId="22098"/>
    <cellStyle name="Comma [0] TBD-_2007 Concern tracker 05-02-2005  13 14" xfId="22099"/>
    <cellStyle name="Comma [0] TBD_2007 Concern tracker 05-02-2005  13 140" xfId="22100"/>
    <cellStyle name="Comma [0] TBD-_2007 Concern tracker 05-02-2005  13 140" xfId="22101"/>
    <cellStyle name="Comma [0] TBD_2007 Concern tracker 05-02-2005  13 141" xfId="22102"/>
    <cellStyle name="Comma [0] TBD-_2007 Concern tracker 05-02-2005  13 141" xfId="22103"/>
    <cellStyle name="Comma [0] TBD_2007 Concern tracker 05-02-2005  13 142" xfId="22104"/>
    <cellStyle name="Comma [0] TBD-_2007 Concern tracker 05-02-2005  13 142" xfId="22105"/>
    <cellStyle name="Comma [0] TBD_2007 Concern tracker 05-02-2005  13 143" xfId="22106"/>
    <cellStyle name="Comma [0] TBD-_2007 Concern tracker 05-02-2005  13 143" xfId="22107"/>
    <cellStyle name="Comma [0] TBD_2007 Concern tracker 05-02-2005  13 144" xfId="22108"/>
    <cellStyle name="Comma [0] TBD-_2007 Concern tracker 05-02-2005  13 144" xfId="22109"/>
    <cellStyle name="Comma [0] TBD_2007 Concern tracker 05-02-2005  13 145" xfId="22110"/>
    <cellStyle name="Comma [0] TBD-_2007 Concern tracker 05-02-2005  13 145" xfId="22111"/>
    <cellStyle name="Comma [0] TBD_2007 Concern tracker 05-02-2005  13 146" xfId="22112"/>
    <cellStyle name="Comma [0] TBD-_2007 Concern tracker 05-02-2005  13 146" xfId="22113"/>
    <cellStyle name="Comma [0] TBD_2007 Concern tracker 05-02-2005  13 147" xfId="22114"/>
    <cellStyle name="Comma [0] TBD-_2007 Concern tracker 05-02-2005  13 147" xfId="22115"/>
    <cellStyle name="Comma [0] TBD_2007 Concern tracker 05-02-2005  13 148" xfId="22116"/>
    <cellStyle name="Comma [0] TBD-_2007 Concern tracker 05-02-2005  13 148" xfId="22117"/>
    <cellStyle name="Comma [0] TBD_2007 Concern tracker 05-02-2005  13 149" xfId="22118"/>
    <cellStyle name="Comma [0] TBD-_2007 Concern tracker 05-02-2005  13 149" xfId="22119"/>
    <cellStyle name="Comma [0] TBD_2007 Concern tracker 05-02-2005  13 15" xfId="22120"/>
    <cellStyle name="Comma [0] TBD-_2007 Concern tracker 05-02-2005  13 15" xfId="22121"/>
    <cellStyle name="Comma [0] TBD_2007 Concern tracker 05-02-2005  13 150" xfId="22122"/>
    <cellStyle name="Comma [0] TBD-_2007 Concern tracker 05-02-2005  13 150" xfId="22123"/>
    <cellStyle name="Comma [0] TBD_2007 Concern tracker 05-02-2005  13 151" xfId="22124"/>
    <cellStyle name="Comma [0] TBD-_2007 Concern tracker 05-02-2005  13 151" xfId="22125"/>
    <cellStyle name="Comma [0] TBD_2007 Concern tracker 05-02-2005  13 152" xfId="22126"/>
    <cellStyle name="Comma [0] TBD-_2007 Concern tracker 05-02-2005  13 152" xfId="22127"/>
    <cellStyle name="Comma [0] TBD_2007 Concern tracker 05-02-2005  13 153" xfId="22128"/>
    <cellStyle name="Comma [0] TBD-_2007 Concern tracker 05-02-2005  13 153" xfId="22129"/>
    <cellStyle name="Comma [0] TBD_2007 Concern tracker 05-02-2005  13 16" xfId="22130"/>
    <cellStyle name="Comma [0] TBD-_2007 Concern tracker 05-02-2005  13 16" xfId="22131"/>
    <cellStyle name="Comma [0] TBD_2007 Concern tracker 05-02-2005  13 17" xfId="22132"/>
    <cellStyle name="Comma [0] TBD-_2007 Concern tracker 05-02-2005  13 17" xfId="22133"/>
    <cellStyle name="Comma [0] TBD_2007 Concern tracker 05-02-2005  13 18" xfId="22134"/>
    <cellStyle name="Comma [0] TBD-_2007 Concern tracker 05-02-2005  13 18" xfId="22135"/>
    <cellStyle name="Comma [0] TBD_2007 Concern tracker 05-02-2005  13 19" xfId="22136"/>
    <cellStyle name="Comma [0] TBD-_2007 Concern tracker 05-02-2005  13 19" xfId="22137"/>
    <cellStyle name="Comma [0] TBD_2007 Concern tracker 05-02-2005  13 2" xfId="22138"/>
    <cellStyle name="Comma [0] TBD-_2007 Concern tracker 05-02-2005  13 2" xfId="22139"/>
    <cellStyle name="Comma [0] TBD_2007 Concern tracker 05-02-2005  13 20" xfId="22140"/>
    <cellStyle name="Comma [0] TBD-_2007 Concern tracker 05-02-2005  13 20" xfId="22141"/>
    <cellStyle name="Comma [0] TBD_2007 Concern tracker 05-02-2005  13 21" xfId="22142"/>
    <cellStyle name="Comma [0] TBD-_2007 Concern tracker 05-02-2005  13 21" xfId="22143"/>
    <cellStyle name="Comma [0] TBD_2007 Concern tracker 05-02-2005  13 22" xfId="22144"/>
    <cellStyle name="Comma [0] TBD-_2007 Concern tracker 05-02-2005  13 22" xfId="22145"/>
    <cellStyle name="Comma [0] TBD_2007 Concern tracker 05-02-2005  13 23" xfId="22146"/>
    <cellStyle name="Comma [0] TBD-_2007 Concern tracker 05-02-2005  13 23" xfId="22147"/>
    <cellStyle name="Comma [0] TBD_2007 Concern tracker 05-02-2005  13 24" xfId="22148"/>
    <cellStyle name="Comma [0] TBD-_2007 Concern tracker 05-02-2005  13 24" xfId="22149"/>
    <cellStyle name="Comma [0] TBD_2007 Concern tracker 05-02-2005  13 25" xfId="22150"/>
    <cellStyle name="Comma [0] TBD-_2007 Concern tracker 05-02-2005  13 25" xfId="22151"/>
    <cellStyle name="Comma [0] TBD_2007 Concern tracker 05-02-2005  13 26" xfId="22152"/>
    <cellStyle name="Comma [0] TBD-_2007 Concern tracker 05-02-2005  13 26" xfId="22153"/>
    <cellStyle name="Comma [0] TBD_2007 Concern tracker 05-02-2005  13 27" xfId="22154"/>
    <cellStyle name="Comma [0] TBD-_2007 Concern tracker 05-02-2005  13 27" xfId="22155"/>
    <cellStyle name="Comma [0] TBD_2007 Concern tracker 05-02-2005  13 28" xfId="22156"/>
    <cellStyle name="Comma [0] TBD-_2007 Concern tracker 05-02-2005  13 28" xfId="22157"/>
    <cellStyle name="Comma [0] TBD_2007 Concern tracker 05-02-2005  13 29" xfId="22158"/>
    <cellStyle name="Comma [0] TBD-_2007 Concern tracker 05-02-2005  13 29" xfId="22159"/>
    <cellStyle name="Comma [0] TBD_2007 Concern tracker 05-02-2005  13 3" xfId="22160"/>
    <cellStyle name="Comma [0] TBD-_2007 Concern tracker 05-02-2005  13 3" xfId="22161"/>
    <cellStyle name="Comma [0] TBD_2007 Concern tracker 05-02-2005  13 30" xfId="22162"/>
    <cellStyle name="Comma [0] TBD-_2007 Concern tracker 05-02-2005  13 30" xfId="22163"/>
    <cellStyle name="Comma [0] TBD_2007 Concern tracker 05-02-2005  13 31" xfId="22164"/>
    <cellStyle name="Comma [0] TBD-_2007 Concern tracker 05-02-2005  13 31" xfId="22165"/>
    <cellStyle name="Comma [0] TBD_2007 Concern tracker 05-02-2005  13 32" xfId="22166"/>
    <cellStyle name="Comma [0] TBD-_2007 Concern tracker 05-02-2005  13 32" xfId="22167"/>
    <cellStyle name="Comma [0] TBD_2007 Concern tracker 05-02-2005  13 33" xfId="22168"/>
    <cellStyle name="Comma [0] TBD-_2007 Concern tracker 05-02-2005  13 33" xfId="22169"/>
    <cellStyle name="Comma [0] TBD_2007 Concern tracker 05-02-2005  13 34" xfId="22170"/>
    <cellStyle name="Comma [0] TBD-_2007 Concern tracker 05-02-2005  13 34" xfId="22171"/>
    <cellStyle name="Comma [0] TBD_2007 Concern tracker 05-02-2005  13 35" xfId="22172"/>
    <cellStyle name="Comma [0] TBD-_2007 Concern tracker 05-02-2005  13 35" xfId="22173"/>
    <cellStyle name="Comma [0] TBD_2007 Concern tracker 05-02-2005  13 36" xfId="22174"/>
    <cellStyle name="Comma [0] TBD-_2007 Concern tracker 05-02-2005  13 36" xfId="22175"/>
    <cellStyle name="Comma [0] TBD_2007 Concern tracker 05-02-2005  13 37" xfId="22176"/>
    <cellStyle name="Comma [0] TBD-_2007 Concern tracker 05-02-2005  13 37" xfId="22177"/>
    <cellStyle name="Comma [0] TBD_2007 Concern tracker 05-02-2005  13 38" xfId="22178"/>
    <cellStyle name="Comma [0] TBD-_2007 Concern tracker 05-02-2005  13 38" xfId="22179"/>
    <cellStyle name="Comma [0] TBD_2007 Concern tracker 05-02-2005  13 39" xfId="22180"/>
    <cellStyle name="Comma [0] TBD-_2007 Concern tracker 05-02-2005  13 39" xfId="22181"/>
    <cellStyle name="Comma [0] TBD_2007 Concern tracker 05-02-2005  13 4" xfId="22182"/>
    <cellStyle name="Comma [0] TBD-_2007 Concern tracker 05-02-2005  13 4" xfId="22183"/>
    <cellStyle name="Comma [0] TBD_2007 Concern tracker 05-02-2005  13 40" xfId="22184"/>
    <cellStyle name="Comma [0] TBD-_2007 Concern tracker 05-02-2005  13 40" xfId="22185"/>
    <cellStyle name="Comma [0] TBD_2007 Concern tracker 05-02-2005  13 41" xfId="22186"/>
    <cellStyle name="Comma [0] TBD-_2007 Concern tracker 05-02-2005  13 41" xfId="22187"/>
    <cellStyle name="Comma [0] TBD_2007 Concern tracker 05-02-2005  13 42" xfId="22188"/>
    <cellStyle name="Comma [0] TBD-_2007 Concern tracker 05-02-2005  13 42" xfId="22189"/>
    <cellStyle name="Comma [0] TBD_2007 Concern tracker 05-02-2005  13 43" xfId="22190"/>
    <cellStyle name="Comma [0] TBD-_2007 Concern tracker 05-02-2005  13 43" xfId="22191"/>
    <cellStyle name="Comma [0] TBD_2007 Concern tracker 05-02-2005  13 44" xfId="22192"/>
    <cellStyle name="Comma [0] TBD-_2007 Concern tracker 05-02-2005  13 44" xfId="22193"/>
    <cellStyle name="Comma [0] TBD_2007 Concern tracker 05-02-2005  13 45" xfId="22194"/>
    <cellStyle name="Comma [0] TBD-_2007 Concern tracker 05-02-2005  13 45" xfId="22195"/>
    <cellStyle name="Comma [0] TBD_2007 Concern tracker 05-02-2005  13 46" xfId="22196"/>
    <cellStyle name="Comma [0] TBD-_2007 Concern tracker 05-02-2005  13 46" xfId="22197"/>
    <cellStyle name="Comma [0] TBD_2007 Concern tracker 05-02-2005  13 47" xfId="22198"/>
    <cellStyle name="Comma [0] TBD-_2007 Concern tracker 05-02-2005  13 47" xfId="22199"/>
    <cellStyle name="Comma [0] TBD_2007 Concern tracker 05-02-2005  13 48" xfId="22200"/>
    <cellStyle name="Comma [0] TBD-_2007 Concern tracker 05-02-2005  13 48" xfId="22201"/>
    <cellStyle name="Comma [0] TBD_2007 Concern tracker 05-02-2005  13 49" xfId="22202"/>
    <cellStyle name="Comma [0] TBD-_2007 Concern tracker 05-02-2005  13 49" xfId="22203"/>
    <cellStyle name="Comma [0] TBD_2007 Concern tracker 05-02-2005  13 5" xfId="22204"/>
    <cellStyle name="Comma [0] TBD-_2007 Concern tracker 05-02-2005  13 5" xfId="22205"/>
    <cellStyle name="Comma [0] TBD_2007 Concern tracker 05-02-2005  13 50" xfId="22206"/>
    <cellStyle name="Comma [0] TBD-_2007 Concern tracker 05-02-2005  13 50" xfId="22207"/>
    <cellStyle name="Comma [0] TBD_2007 Concern tracker 05-02-2005  13 51" xfId="22208"/>
    <cellStyle name="Comma [0] TBD-_2007 Concern tracker 05-02-2005  13 51" xfId="22209"/>
    <cellStyle name="Comma [0] TBD_2007 Concern tracker 05-02-2005  13 52" xfId="22210"/>
    <cellStyle name="Comma [0] TBD-_2007 Concern tracker 05-02-2005  13 52" xfId="22211"/>
    <cellStyle name="Comma [0] TBD_2007 Concern tracker 05-02-2005  13 53" xfId="22212"/>
    <cellStyle name="Comma [0] TBD-_2007 Concern tracker 05-02-2005  13 53" xfId="22213"/>
    <cellStyle name="Comma [0] TBD_2007 Concern tracker 05-02-2005  13 54" xfId="22214"/>
    <cellStyle name="Comma [0] TBD-_2007 Concern tracker 05-02-2005  13 54" xfId="22215"/>
    <cellStyle name="Comma [0] TBD_2007 Concern tracker 05-02-2005  13 55" xfId="22216"/>
    <cellStyle name="Comma [0] TBD-_2007 Concern tracker 05-02-2005  13 55" xfId="22217"/>
    <cellStyle name="Comma [0] TBD_2007 Concern tracker 05-02-2005  13 56" xfId="22218"/>
    <cellStyle name="Comma [0] TBD-_2007 Concern tracker 05-02-2005  13 56" xfId="22219"/>
    <cellStyle name="Comma [0] TBD_2007 Concern tracker 05-02-2005  13 57" xfId="22220"/>
    <cellStyle name="Comma [0] TBD-_2007 Concern tracker 05-02-2005  13 57" xfId="22221"/>
    <cellStyle name="Comma [0] TBD_2007 Concern tracker 05-02-2005  13 58" xfId="22222"/>
    <cellStyle name="Comma [0] TBD-_2007 Concern tracker 05-02-2005  13 58" xfId="22223"/>
    <cellStyle name="Comma [0] TBD_2007 Concern tracker 05-02-2005  13 59" xfId="22224"/>
    <cellStyle name="Comma [0] TBD-_2007 Concern tracker 05-02-2005  13 59" xfId="22225"/>
    <cellStyle name="Comma [0] TBD_2007 Concern tracker 05-02-2005  13 6" xfId="22226"/>
    <cellStyle name="Comma [0] TBD-_2007 Concern tracker 05-02-2005  13 6" xfId="22227"/>
    <cellStyle name="Comma [0] TBD_2007 Concern tracker 05-02-2005  13 60" xfId="22228"/>
    <cellStyle name="Comma [0] TBD-_2007 Concern tracker 05-02-2005  13 60" xfId="22229"/>
    <cellStyle name="Comma [0] TBD_2007 Concern tracker 05-02-2005  13 61" xfId="22230"/>
    <cellStyle name="Comma [0] TBD-_2007 Concern tracker 05-02-2005  13 61" xfId="22231"/>
    <cellStyle name="Comma [0] TBD_2007 Concern tracker 05-02-2005  13 62" xfId="22232"/>
    <cellStyle name="Comma [0] TBD-_2007 Concern tracker 05-02-2005  13 62" xfId="22233"/>
    <cellStyle name="Comma [0] TBD_2007 Concern tracker 05-02-2005  13 63" xfId="22234"/>
    <cellStyle name="Comma [0] TBD-_2007 Concern tracker 05-02-2005  13 63" xfId="22235"/>
    <cellStyle name="Comma [0] TBD_2007 Concern tracker 05-02-2005  13 64" xfId="22236"/>
    <cellStyle name="Comma [0] TBD-_2007 Concern tracker 05-02-2005  13 64" xfId="22237"/>
    <cellStyle name="Comma [0] TBD_2007 Concern tracker 05-02-2005  13 65" xfId="22238"/>
    <cellStyle name="Comma [0] TBD-_2007 Concern tracker 05-02-2005  13 65" xfId="22239"/>
    <cellStyle name="Comma [0] TBD_2007 Concern tracker 05-02-2005  13 66" xfId="22240"/>
    <cellStyle name="Comma [0] TBD-_2007 Concern tracker 05-02-2005  13 66" xfId="22241"/>
    <cellStyle name="Comma [0] TBD_2007 Concern tracker 05-02-2005  13 67" xfId="22242"/>
    <cellStyle name="Comma [0] TBD-_2007 Concern tracker 05-02-2005  13 67" xfId="22243"/>
    <cellStyle name="Comma [0] TBD_2007 Concern tracker 05-02-2005  13 68" xfId="22244"/>
    <cellStyle name="Comma [0] TBD-_2007 Concern tracker 05-02-2005  13 68" xfId="22245"/>
    <cellStyle name="Comma [0] TBD_2007 Concern tracker 05-02-2005  13 69" xfId="22246"/>
    <cellStyle name="Comma [0] TBD-_2007 Concern tracker 05-02-2005  13 69" xfId="22247"/>
    <cellStyle name="Comma [0] TBD_2007 Concern tracker 05-02-2005  13 7" xfId="22248"/>
    <cellStyle name="Comma [0] TBD-_2007 Concern tracker 05-02-2005  13 7" xfId="22249"/>
    <cellStyle name="Comma [0] TBD_2007 Concern tracker 05-02-2005  13 70" xfId="22250"/>
    <cellStyle name="Comma [0] TBD-_2007 Concern tracker 05-02-2005  13 70" xfId="22251"/>
    <cellStyle name="Comma [0] TBD_2007 Concern tracker 05-02-2005  13 71" xfId="22252"/>
    <cellStyle name="Comma [0] TBD-_2007 Concern tracker 05-02-2005  13 71" xfId="22253"/>
    <cellStyle name="Comma [0] TBD_2007 Concern tracker 05-02-2005  13 72" xfId="22254"/>
    <cellStyle name="Comma [0] TBD-_2007 Concern tracker 05-02-2005  13 72" xfId="22255"/>
    <cellStyle name="Comma [0] TBD_2007 Concern tracker 05-02-2005  13 73" xfId="22256"/>
    <cellStyle name="Comma [0] TBD-_2007 Concern tracker 05-02-2005  13 73" xfId="22257"/>
    <cellStyle name="Comma [0] TBD_2007 Concern tracker 05-02-2005  13 74" xfId="22258"/>
    <cellStyle name="Comma [0] TBD-_2007 Concern tracker 05-02-2005  13 74" xfId="22259"/>
    <cellStyle name="Comma [0] TBD_2007 Concern tracker 05-02-2005  13 75" xfId="22260"/>
    <cellStyle name="Comma [0] TBD-_2007 Concern tracker 05-02-2005  13 75" xfId="22261"/>
    <cellStyle name="Comma [0] TBD_2007 Concern tracker 05-02-2005  13 76" xfId="22262"/>
    <cellStyle name="Comma [0] TBD-_2007 Concern tracker 05-02-2005  13 76" xfId="22263"/>
    <cellStyle name="Comma [0] TBD_2007 Concern tracker 05-02-2005  13 77" xfId="22264"/>
    <cellStyle name="Comma [0] TBD-_2007 Concern tracker 05-02-2005  13 77" xfId="22265"/>
    <cellStyle name="Comma [0] TBD_2007 Concern tracker 05-02-2005  13 78" xfId="22266"/>
    <cellStyle name="Comma [0] TBD-_2007 Concern tracker 05-02-2005  13 78" xfId="22267"/>
    <cellStyle name="Comma [0] TBD_2007 Concern tracker 05-02-2005  13 79" xfId="22268"/>
    <cellStyle name="Comma [0] TBD-_2007 Concern tracker 05-02-2005  13 79" xfId="22269"/>
    <cellStyle name="Comma [0] TBD_2007 Concern tracker 05-02-2005  13 8" xfId="22270"/>
    <cellStyle name="Comma [0] TBD-_2007 Concern tracker 05-02-2005  13 8" xfId="22271"/>
    <cellStyle name="Comma [0] TBD_2007 Concern tracker 05-02-2005  13 80" xfId="22272"/>
    <cellStyle name="Comma [0] TBD-_2007 Concern tracker 05-02-2005  13 80" xfId="22273"/>
    <cellStyle name="Comma [0] TBD_2007 Concern tracker 05-02-2005  13 81" xfId="22274"/>
    <cellStyle name="Comma [0] TBD-_2007 Concern tracker 05-02-2005  13 81" xfId="22275"/>
    <cellStyle name="Comma [0] TBD_2007 Concern tracker 05-02-2005  13 82" xfId="22276"/>
    <cellStyle name="Comma [0] TBD-_2007 Concern tracker 05-02-2005  13 82" xfId="22277"/>
    <cellStyle name="Comma [0] TBD_2007 Concern tracker 05-02-2005  13 83" xfId="22278"/>
    <cellStyle name="Comma [0] TBD-_2007 Concern tracker 05-02-2005  13 83" xfId="22279"/>
    <cellStyle name="Comma [0] TBD_2007 Concern tracker 05-02-2005  13 84" xfId="22280"/>
    <cellStyle name="Comma [0] TBD-_2007 Concern tracker 05-02-2005  13 84" xfId="22281"/>
    <cellStyle name="Comma [0] TBD_2007 Concern tracker 05-02-2005  13 85" xfId="22282"/>
    <cellStyle name="Comma [0] TBD-_2007 Concern tracker 05-02-2005  13 85" xfId="22283"/>
    <cellStyle name="Comma [0] TBD_2007 Concern tracker 05-02-2005  13 86" xfId="22284"/>
    <cellStyle name="Comma [0] TBD-_2007 Concern tracker 05-02-2005  13 86" xfId="22285"/>
    <cellStyle name="Comma [0] TBD_2007 Concern tracker 05-02-2005  13 87" xfId="22286"/>
    <cellStyle name="Comma [0] TBD-_2007 Concern tracker 05-02-2005  13 87" xfId="22287"/>
    <cellStyle name="Comma [0] TBD_2007 Concern tracker 05-02-2005  13 88" xfId="22288"/>
    <cellStyle name="Comma [0] TBD-_2007 Concern tracker 05-02-2005  13 88" xfId="22289"/>
    <cellStyle name="Comma [0] TBD_2007 Concern tracker 05-02-2005  13 89" xfId="22290"/>
    <cellStyle name="Comma [0] TBD-_2007 Concern tracker 05-02-2005  13 89" xfId="22291"/>
    <cellStyle name="Comma [0] TBD_2007 Concern tracker 05-02-2005  13 9" xfId="22292"/>
    <cellStyle name="Comma [0] TBD-_2007 Concern tracker 05-02-2005  13 9" xfId="22293"/>
    <cellStyle name="Comma [0] TBD_2007 Concern tracker 05-02-2005  13 90" xfId="22294"/>
    <cellStyle name="Comma [0] TBD-_2007 Concern tracker 05-02-2005  13 90" xfId="22295"/>
    <cellStyle name="Comma [0] TBD_2007 Concern tracker 05-02-2005  13 91" xfId="22296"/>
    <cellStyle name="Comma [0] TBD-_2007 Concern tracker 05-02-2005  13 91" xfId="22297"/>
    <cellStyle name="Comma [0] TBD_2007 Concern tracker 05-02-2005  13 92" xfId="22298"/>
    <cellStyle name="Comma [0] TBD-_2007 Concern tracker 05-02-2005  13 92" xfId="22299"/>
    <cellStyle name="Comma [0] TBD_2007 Concern tracker 05-02-2005  13 93" xfId="22300"/>
    <cellStyle name="Comma [0] TBD-_2007 Concern tracker 05-02-2005  13 93" xfId="22301"/>
    <cellStyle name="Comma [0] TBD_2007 Concern tracker 05-02-2005  13 94" xfId="22302"/>
    <cellStyle name="Comma [0] TBD-_2007 Concern tracker 05-02-2005  13 94" xfId="22303"/>
    <cellStyle name="Comma [0] TBD_2007 Concern tracker 05-02-2005  13 95" xfId="22304"/>
    <cellStyle name="Comma [0] TBD-_2007 Concern tracker 05-02-2005  13 95" xfId="22305"/>
    <cellStyle name="Comma [0] TBD_2007 Concern tracker 05-02-2005  13 96" xfId="22306"/>
    <cellStyle name="Comma [0] TBD-_2007 Concern tracker 05-02-2005  13 96" xfId="22307"/>
    <cellStyle name="Comma [0] TBD_2007 Concern tracker 05-02-2005  13 97" xfId="22308"/>
    <cellStyle name="Comma [0] TBD-_2007 Concern tracker 05-02-2005  13 97" xfId="22309"/>
    <cellStyle name="Comma [0] TBD_2007 Concern tracker 05-02-2005  13 98" xfId="22310"/>
    <cellStyle name="Comma [0] TBD-_2007 Concern tracker 05-02-2005  13 98" xfId="22311"/>
    <cellStyle name="Comma [0] TBD_2007 Concern tracker 05-02-2005  13 99" xfId="22312"/>
    <cellStyle name="Comma [0] TBD-_2007 Concern tracker 05-02-2005  13 99" xfId="22313"/>
    <cellStyle name="Comma [0] TBD_2007 Concern tracker 05-02-2005  14" xfId="22314"/>
    <cellStyle name="Comma [0] TBD-_2007 Concern tracker 05-02-2005  14" xfId="22315"/>
    <cellStyle name="Comma [0] TBD_2007 Concern tracker 05-02-2005  14 10" xfId="22316"/>
    <cellStyle name="Comma [0] TBD-_2007 Concern tracker 05-02-2005  14 10" xfId="22317"/>
    <cellStyle name="Comma [0] TBD_2007 Concern tracker 05-02-2005  14 100" xfId="22318"/>
    <cellStyle name="Comma [0] TBD-_2007 Concern tracker 05-02-2005  14 100" xfId="22319"/>
    <cellStyle name="Comma [0] TBD_2007 Concern tracker 05-02-2005  14 101" xfId="22320"/>
    <cellStyle name="Comma [0] TBD-_2007 Concern tracker 05-02-2005  14 101" xfId="22321"/>
    <cellStyle name="Comma [0] TBD_2007 Concern tracker 05-02-2005  14 102" xfId="22322"/>
    <cellStyle name="Comma [0] TBD-_2007 Concern tracker 05-02-2005  14 102" xfId="22323"/>
    <cellStyle name="Comma [0] TBD_2007 Concern tracker 05-02-2005  14 103" xfId="22324"/>
    <cellStyle name="Comma [0] TBD-_2007 Concern tracker 05-02-2005  14 103" xfId="22325"/>
    <cellStyle name="Comma [0] TBD_2007 Concern tracker 05-02-2005  14 104" xfId="22326"/>
    <cellStyle name="Comma [0] TBD-_2007 Concern tracker 05-02-2005  14 104" xfId="22327"/>
    <cellStyle name="Comma [0] TBD_2007 Concern tracker 05-02-2005  14 105" xfId="22328"/>
    <cellStyle name="Comma [0] TBD-_2007 Concern tracker 05-02-2005  14 105" xfId="22329"/>
    <cellStyle name="Comma [0] TBD_2007 Concern tracker 05-02-2005  14 106" xfId="22330"/>
    <cellStyle name="Comma [0] TBD-_2007 Concern tracker 05-02-2005  14 106" xfId="22331"/>
    <cellStyle name="Comma [0] TBD_2007 Concern tracker 05-02-2005  14 107" xfId="22332"/>
    <cellStyle name="Comma [0] TBD-_2007 Concern tracker 05-02-2005  14 107" xfId="22333"/>
    <cellStyle name="Comma [0] TBD_2007 Concern tracker 05-02-2005  14 108" xfId="22334"/>
    <cellStyle name="Comma [0] TBD-_2007 Concern tracker 05-02-2005  14 108" xfId="22335"/>
    <cellStyle name="Comma [0] TBD_2007 Concern tracker 05-02-2005  14 109" xfId="22336"/>
    <cellStyle name="Comma [0] TBD-_2007 Concern tracker 05-02-2005  14 109" xfId="22337"/>
    <cellStyle name="Comma [0] TBD_2007 Concern tracker 05-02-2005  14 11" xfId="22338"/>
    <cellStyle name="Comma [0] TBD-_2007 Concern tracker 05-02-2005  14 11" xfId="22339"/>
    <cellStyle name="Comma [0] TBD_2007 Concern tracker 05-02-2005  14 110" xfId="22340"/>
    <cellStyle name="Comma [0] TBD-_2007 Concern tracker 05-02-2005  14 110" xfId="22341"/>
    <cellStyle name="Comma [0] TBD_2007 Concern tracker 05-02-2005  14 111" xfId="22342"/>
    <cellStyle name="Comma [0] TBD-_2007 Concern tracker 05-02-2005  14 111" xfId="22343"/>
    <cellStyle name="Comma [0] TBD_2007 Concern tracker 05-02-2005  14 112" xfId="22344"/>
    <cellStyle name="Comma [0] TBD-_2007 Concern tracker 05-02-2005  14 112" xfId="22345"/>
    <cellStyle name="Comma [0] TBD_2007 Concern tracker 05-02-2005  14 113" xfId="22346"/>
    <cellStyle name="Comma [0] TBD-_2007 Concern tracker 05-02-2005  14 113" xfId="22347"/>
    <cellStyle name="Comma [0] TBD_2007 Concern tracker 05-02-2005  14 114" xfId="22348"/>
    <cellStyle name="Comma [0] TBD-_2007 Concern tracker 05-02-2005  14 114" xfId="22349"/>
    <cellStyle name="Comma [0] TBD_2007 Concern tracker 05-02-2005  14 115" xfId="22350"/>
    <cellStyle name="Comma [0] TBD-_2007 Concern tracker 05-02-2005  14 115" xfId="22351"/>
    <cellStyle name="Comma [0] TBD_2007 Concern tracker 05-02-2005  14 116" xfId="22352"/>
    <cellStyle name="Comma [0] TBD-_2007 Concern tracker 05-02-2005  14 116" xfId="22353"/>
    <cellStyle name="Comma [0] TBD_2007 Concern tracker 05-02-2005  14 117" xfId="22354"/>
    <cellStyle name="Comma [0] TBD-_2007 Concern tracker 05-02-2005  14 117" xfId="22355"/>
    <cellStyle name="Comma [0] TBD_2007 Concern tracker 05-02-2005  14 118" xfId="22356"/>
    <cellStyle name="Comma [0] TBD-_2007 Concern tracker 05-02-2005  14 118" xfId="22357"/>
    <cellStyle name="Comma [0] TBD_2007 Concern tracker 05-02-2005  14 119" xfId="22358"/>
    <cellStyle name="Comma [0] TBD-_2007 Concern tracker 05-02-2005  14 119" xfId="22359"/>
    <cellStyle name="Comma [0] TBD_2007 Concern tracker 05-02-2005  14 12" xfId="22360"/>
    <cellStyle name="Comma [0] TBD-_2007 Concern tracker 05-02-2005  14 12" xfId="22361"/>
    <cellStyle name="Comma [0] TBD_2007 Concern tracker 05-02-2005  14 120" xfId="22362"/>
    <cellStyle name="Comma [0] TBD-_2007 Concern tracker 05-02-2005  14 120" xfId="22363"/>
    <cellStyle name="Comma [0] TBD_2007 Concern tracker 05-02-2005  14 121" xfId="22364"/>
    <cellStyle name="Comma [0] TBD-_2007 Concern tracker 05-02-2005  14 121" xfId="22365"/>
    <cellStyle name="Comma [0] TBD_2007 Concern tracker 05-02-2005  14 122" xfId="22366"/>
    <cellStyle name="Comma [0] TBD-_2007 Concern tracker 05-02-2005  14 122" xfId="22367"/>
    <cellStyle name="Comma [0] TBD_2007 Concern tracker 05-02-2005  14 123" xfId="22368"/>
    <cellStyle name="Comma [0] TBD-_2007 Concern tracker 05-02-2005  14 123" xfId="22369"/>
    <cellStyle name="Comma [0] TBD_2007 Concern tracker 05-02-2005  14 124" xfId="22370"/>
    <cellStyle name="Comma [0] TBD-_2007 Concern tracker 05-02-2005  14 124" xfId="22371"/>
    <cellStyle name="Comma [0] TBD_2007 Concern tracker 05-02-2005  14 125" xfId="22372"/>
    <cellStyle name="Comma [0] TBD-_2007 Concern tracker 05-02-2005  14 125" xfId="22373"/>
    <cellStyle name="Comma [0] TBD_2007 Concern tracker 05-02-2005  14 126" xfId="22374"/>
    <cellStyle name="Comma [0] TBD-_2007 Concern tracker 05-02-2005  14 126" xfId="22375"/>
    <cellStyle name="Comma [0] TBD_2007 Concern tracker 05-02-2005  14 127" xfId="22376"/>
    <cellStyle name="Comma [0] TBD-_2007 Concern tracker 05-02-2005  14 127" xfId="22377"/>
    <cellStyle name="Comma [0] TBD_2007 Concern tracker 05-02-2005  14 128" xfId="22378"/>
    <cellStyle name="Comma [0] TBD-_2007 Concern tracker 05-02-2005  14 128" xfId="22379"/>
    <cellStyle name="Comma [0] TBD_2007 Concern tracker 05-02-2005  14 129" xfId="22380"/>
    <cellStyle name="Comma [0] TBD-_2007 Concern tracker 05-02-2005  14 129" xfId="22381"/>
    <cellStyle name="Comma [0] TBD_2007 Concern tracker 05-02-2005  14 13" xfId="22382"/>
    <cellStyle name="Comma [0] TBD-_2007 Concern tracker 05-02-2005  14 13" xfId="22383"/>
    <cellStyle name="Comma [0] TBD_2007 Concern tracker 05-02-2005  14 130" xfId="22384"/>
    <cellStyle name="Comma [0] TBD-_2007 Concern tracker 05-02-2005  14 130" xfId="22385"/>
    <cellStyle name="Comma [0] TBD_2007 Concern tracker 05-02-2005  14 131" xfId="22386"/>
    <cellStyle name="Comma [0] TBD-_2007 Concern tracker 05-02-2005  14 131" xfId="22387"/>
    <cellStyle name="Comma [0] TBD_2007 Concern tracker 05-02-2005  14 132" xfId="22388"/>
    <cellStyle name="Comma [0] TBD-_2007 Concern tracker 05-02-2005  14 132" xfId="22389"/>
    <cellStyle name="Comma [0] TBD_2007 Concern tracker 05-02-2005  14 133" xfId="22390"/>
    <cellStyle name="Comma [0] TBD-_2007 Concern tracker 05-02-2005  14 133" xfId="22391"/>
    <cellStyle name="Comma [0] TBD_2007 Concern tracker 05-02-2005  14 134" xfId="22392"/>
    <cellStyle name="Comma [0] TBD-_2007 Concern tracker 05-02-2005  14 134" xfId="22393"/>
    <cellStyle name="Comma [0] TBD_2007 Concern tracker 05-02-2005  14 135" xfId="22394"/>
    <cellStyle name="Comma [0] TBD-_2007 Concern tracker 05-02-2005  14 135" xfId="22395"/>
    <cellStyle name="Comma [0] TBD_2007 Concern tracker 05-02-2005  14 136" xfId="22396"/>
    <cellStyle name="Comma [0] TBD-_2007 Concern tracker 05-02-2005  14 136" xfId="22397"/>
    <cellStyle name="Comma [0] TBD_2007 Concern tracker 05-02-2005  14 137" xfId="22398"/>
    <cellStyle name="Comma [0] TBD-_2007 Concern tracker 05-02-2005  14 137" xfId="22399"/>
    <cellStyle name="Comma [0] TBD_2007 Concern tracker 05-02-2005  14 138" xfId="22400"/>
    <cellStyle name="Comma [0] TBD-_2007 Concern tracker 05-02-2005  14 138" xfId="22401"/>
    <cellStyle name="Comma [0] TBD_2007 Concern tracker 05-02-2005  14 139" xfId="22402"/>
    <cellStyle name="Comma [0] TBD-_2007 Concern tracker 05-02-2005  14 139" xfId="22403"/>
    <cellStyle name="Comma [0] TBD_2007 Concern tracker 05-02-2005  14 14" xfId="22404"/>
    <cellStyle name="Comma [0] TBD-_2007 Concern tracker 05-02-2005  14 14" xfId="22405"/>
    <cellStyle name="Comma [0] TBD_2007 Concern tracker 05-02-2005  14 140" xfId="22406"/>
    <cellStyle name="Comma [0] TBD-_2007 Concern tracker 05-02-2005  14 140" xfId="22407"/>
    <cellStyle name="Comma [0] TBD_2007 Concern tracker 05-02-2005  14 141" xfId="22408"/>
    <cellStyle name="Comma [0] TBD-_2007 Concern tracker 05-02-2005  14 141" xfId="22409"/>
    <cellStyle name="Comma [0] TBD_2007 Concern tracker 05-02-2005  14 142" xfId="22410"/>
    <cellStyle name="Comma [0] TBD-_2007 Concern tracker 05-02-2005  14 142" xfId="22411"/>
    <cellStyle name="Comma [0] TBD_2007 Concern tracker 05-02-2005  14 143" xfId="22412"/>
    <cellStyle name="Comma [0] TBD-_2007 Concern tracker 05-02-2005  14 143" xfId="22413"/>
    <cellStyle name="Comma [0] TBD_2007 Concern tracker 05-02-2005  14 144" xfId="22414"/>
    <cellStyle name="Comma [0] TBD-_2007 Concern tracker 05-02-2005  14 144" xfId="22415"/>
    <cellStyle name="Comma [0] TBD_2007 Concern tracker 05-02-2005  14 145" xfId="22416"/>
    <cellStyle name="Comma [0] TBD-_2007 Concern tracker 05-02-2005  14 145" xfId="22417"/>
    <cellStyle name="Comma [0] TBD_2007 Concern tracker 05-02-2005  14 146" xfId="22418"/>
    <cellStyle name="Comma [0] TBD-_2007 Concern tracker 05-02-2005  14 146" xfId="22419"/>
    <cellStyle name="Comma [0] TBD_2007 Concern tracker 05-02-2005  14 147" xfId="22420"/>
    <cellStyle name="Comma [0] TBD-_2007 Concern tracker 05-02-2005  14 147" xfId="22421"/>
    <cellStyle name="Comma [0] TBD_2007 Concern tracker 05-02-2005  14 148" xfId="22422"/>
    <cellStyle name="Comma [0] TBD-_2007 Concern tracker 05-02-2005  14 148" xfId="22423"/>
    <cellStyle name="Comma [0] TBD_2007 Concern tracker 05-02-2005  14 149" xfId="22424"/>
    <cellStyle name="Comma [0] TBD-_2007 Concern tracker 05-02-2005  14 149" xfId="22425"/>
    <cellStyle name="Comma [0] TBD_2007 Concern tracker 05-02-2005  14 15" xfId="22426"/>
    <cellStyle name="Comma [0] TBD-_2007 Concern tracker 05-02-2005  14 15" xfId="22427"/>
    <cellStyle name="Comma [0] TBD_2007 Concern tracker 05-02-2005  14 150" xfId="22428"/>
    <cellStyle name="Comma [0] TBD-_2007 Concern tracker 05-02-2005  14 150" xfId="22429"/>
    <cellStyle name="Comma [0] TBD_2007 Concern tracker 05-02-2005  14 151" xfId="22430"/>
    <cellStyle name="Comma [0] TBD-_2007 Concern tracker 05-02-2005  14 151" xfId="22431"/>
    <cellStyle name="Comma [0] TBD_2007 Concern tracker 05-02-2005  14 152" xfId="22432"/>
    <cellStyle name="Comma [0] TBD-_2007 Concern tracker 05-02-2005  14 152" xfId="22433"/>
    <cellStyle name="Comma [0] TBD_2007 Concern tracker 05-02-2005  14 153" xfId="22434"/>
    <cellStyle name="Comma [0] TBD-_2007 Concern tracker 05-02-2005  14 153" xfId="22435"/>
    <cellStyle name="Comma [0] TBD_2007 Concern tracker 05-02-2005  14 16" xfId="22436"/>
    <cellStyle name="Comma [0] TBD-_2007 Concern tracker 05-02-2005  14 16" xfId="22437"/>
    <cellStyle name="Comma [0] TBD_2007 Concern tracker 05-02-2005  14 17" xfId="22438"/>
    <cellStyle name="Comma [0] TBD-_2007 Concern tracker 05-02-2005  14 17" xfId="22439"/>
    <cellStyle name="Comma [0] TBD_2007 Concern tracker 05-02-2005  14 18" xfId="22440"/>
    <cellStyle name="Comma [0] TBD-_2007 Concern tracker 05-02-2005  14 18" xfId="22441"/>
    <cellStyle name="Comma [0] TBD_2007 Concern tracker 05-02-2005  14 19" xfId="22442"/>
    <cellStyle name="Comma [0] TBD-_2007 Concern tracker 05-02-2005  14 19" xfId="22443"/>
    <cellStyle name="Comma [0] TBD_2007 Concern tracker 05-02-2005  14 2" xfId="22444"/>
    <cellStyle name="Comma [0] TBD-_2007 Concern tracker 05-02-2005  14 2" xfId="22445"/>
    <cellStyle name="Comma [0] TBD_2007 Concern tracker 05-02-2005  14 20" xfId="22446"/>
    <cellStyle name="Comma [0] TBD-_2007 Concern tracker 05-02-2005  14 20" xfId="22447"/>
    <cellStyle name="Comma [0] TBD_2007 Concern tracker 05-02-2005  14 21" xfId="22448"/>
    <cellStyle name="Comma [0] TBD-_2007 Concern tracker 05-02-2005  14 21" xfId="22449"/>
    <cellStyle name="Comma [0] TBD_2007 Concern tracker 05-02-2005  14 22" xfId="22450"/>
    <cellStyle name="Comma [0] TBD-_2007 Concern tracker 05-02-2005  14 22" xfId="22451"/>
    <cellStyle name="Comma [0] TBD_2007 Concern tracker 05-02-2005  14 23" xfId="22452"/>
    <cellStyle name="Comma [0] TBD-_2007 Concern tracker 05-02-2005  14 23" xfId="22453"/>
    <cellStyle name="Comma [0] TBD_2007 Concern tracker 05-02-2005  14 24" xfId="22454"/>
    <cellStyle name="Comma [0] TBD-_2007 Concern tracker 05-02-2005  14 24" xfId="22455"/>
    <cellStyle name="Comma [0] TBD_2007 Concern tracker 05-02-2005  14 25" xfId="22456"/>
    <cellStyle name="Comma [0] TBD-_2007 Concern tracker 05-02-2005  14 25" xfId="22457"/>
    <cellStyle name="Comma [0] TBD_2007 Concern tracker 05-02-2005  14 26" xfId="22458"/>
    <cellStyle name="Comma [0] TBD-_2007 Concern tracker 05-02-2005  14 26" xfId="22459"/>
    <cellStyle name="Comma [0] TBD_2007 Concern tracker 05-02-2005  14 27" xfId="22460"/>
    <cellStyle name="Comma [0] TBD-_2007 Concern tracker 05-02-2005  14 27" xfId="22461"/>
    <cellStyle name="Comma [0] TBD_2007 Concern tracker 05-02-2005  14 28" xfId="22462"/>
    <cellStyle name="Comma [0] TBD-_2007 Concern tracker 05-02-2005  14 28" xfId="22463"/>
    <cellStyle name="Comma [0] TBD_2007 Concern tracker 05-02-2005  14 29" xfId="22464"/>
    <cellStyle name="Comma [0] TBD-_2007 Concern tracker 05-02-2005  14 29" xfId="22465"/>
    <cellStyle name="Comma [0] TBD_2007 Concern tracker 05-02-2005  14 3" xfId="22466"/>
    <cellStyle name="Comma [0] TBD-_2007 Concern tracker 05-02-2005  14 3" xfId="22467"/>
    <cellStyle name="Comma [0] TBD_2007 Concern tracker 05-02-2005  14 30" xfId="22468"/>
    <cellStyle name="Comma [0] TBD-_2007 Concern tracker 05-02-2005  14 30" xfId="22469"/>
    <cellStyle name="Comma [0] TBD_2007 Concern tracker 05-02-2005  14 31" xfId="22470"/>
    <cellStyle name="Comma [0] TBD-_2007 Concern tracker 05-02-2005  14 31" xfId="22471"/>
    <cellStyle name="Comma [0] TBD_2007 Concern tracker 05-02-2005  14 32" xfId="22472"/>
    <cellStyle name="Comma [0] TBD-_2007 Concern tracker 05-02-2005  14 32" xfId="22473"/>
    <cellStyle name="Comma [0] TBD_2007 Concern tracker 05-02-2005  14 33" xfId="22474"/>
    <cellStyle name="Comma [0] TBD-_2007 Concern tracker 05-02-2005  14 33" xfId="22475"/>
    <cellStyle name="Comma [0] TBD_2007 Concern tracker 05-02-2005  14 34" xfId="22476"/>
    <cellStyle name="Comma [0] TBD-_2007 Concern tracker 05-02-2005  14 34" xfId="22477"/>
    <cellStyle name="Comma [0] TBD_2007 Concern tracker 05-02-2005  14 35" xfId="22478"/>
    <cellStyle name="Comma [0] TBD-_2007 Concern tracker 05-02-2005  14 35" xfId="22479"/>
    <cellStyle name="Comma [0] TBD_2007 Concern tracker 05-02-2005  14 36" xfId="22480"/>
    <cellStyle name="Comma [0] TBD-_2007 Concern tracker 05-02-2005  14 36" xfId="22481"/>
    <cellStyle name="Comma [0] TBD_2007 Concern tracker 05-02-2005  14 37" xfId="22482"/>
    <cellStyle name="Comma [0] TBD-_2007 Concern tracker 05-02-2005  14 37" xfId="22483"/>
    <cellStyle name="Comma [0] TBD_2007 Concern tracker 05-02-2005  14 38" xfId="22484"/>
    <cellStyle name="Comma [0] TBD-_2007 Concern tracker 05-02-2005  14 38" xfId="22485"/>
    <cellStyle name="Comma [0] TBD_2007 Concern tracker 05-02-2005  14 39" xfId="22486"/>
    <cellStyle name="Comma [0] TBD-_2007 Concern tracker 05-02-2005  14 39" xfId="22487"/>
    <cellStyle name="Comma [0] TBD_2007 Concern tracker 05-02-2005  14 4" xfId="22488"/>
    <cellStyle name="Comma [0] TBD-_2007 Concern tracker 05-02-2005  14 4" xfId="22489"/>
    <cellStyle name="Comma [0] TBD_2007 Concern tracker 05-02-2005  14 40" xfId="22490"/>
    <cellStyle name="Comma [0] TBD-_2007 Concern tracker 05-02-2005  14 40" xfId="22491"/>
    <cellStyle name="Comma [0] TBD_2007 Concern tracker 05-02-2005  14 41" xfId="22492"/>
    <cellStyle name="Comma [0] TBD-_2007 Concern tracker 05-02-2005  14 41" xfId="22493"/>
    <cellStyle name="Comma [0] TBD_2007 Concern tracker 05-02-2005  14 42" xfId="22494"/>
    <cellStyle name="Comma [0] TBD-_2007 Concern tracker 05-02-2005  14 42" xfId="22495"/>
    <cellStyle name="Comma [0] TBD_2007 Concern tracker 05-02-2005  14 43" xfId="22496"/>
    <cellStyle name="Comma [0] TBD-_2007 Concern tracker 05-02-2005  14 43" xfId="22497"/>
    <cellStyle name="Comma [0] TBD_2007 Concern tracker 05-02-2005  14 44" xfId="22498"/>
    <cellStyle name="Comma [0] TBD-_2007 Concern tracker 05-02-2005  14 44" xfId="22499"/>
    <cellStyle name="Comma [0] TBD_2007 Concern tracker 05-02-2005  14 45" xfId="22500"/>
    <cellStyle name="Comma [0] TBD-_2007 Concern tracker 05-02-2005  14 45" xfId="22501"/>
    <cellStyle name="Comma [0] TBD_2007 Concern tracker 05-02-2005  14 46" xfId="22502"/>
    <cellStyle name="Comma [0] TBD-_2007 Concern tracker 05-02-2005  14 46" xfId="22503"/>
    <cellStyle name="Comma [0] TBD_2007 Concern tracker 05-02-2005  14 47" xfId="22504"/>
    <cellStyle name="Comma [0] TBD-_2007 Concern tracker 05-02-2005  14 47" xfId="22505"/>
    <cellStyle name="Comma [0] TBD_2007 Concern tracker 05-02-2005  14 48" xfId="22506"/>
    <cellStyle name="Comma [0] TBD-_2007 Concern tracker 05-02-2005  14 48" xfId="22507"/>
    <cellStyle name="Comma [0] TBD_2007 Concern tracker 05-02-2005  14 49" xfId="22508"/>
    <cellStyle name="Comma [0] TBD-_2007 Concern tracker 05-02-2005  14 49" xfId="22509"/>
    <cellStyle name="Comma [0] TBD_2007 Concern tracker 05-02-2005  14 5" xfId="22510"/>
    <cellStyle name="Comma [0] TBD-_2007 Concern tracker 05-02-2005  14 5" xfId="22511"/>
    <cellStyle name="Comma [0] TBD_2007 Concern tracker 05-02-2005  14 50" xfId="22512"/>
    <cellStyle name="Comma [0] TBD-_2007 Concern tracker 05-02-2005  14 50" xfId="22513"/>
    <cellStyle name="Comma [0] TBD_2007 Concern tracker 05-02-2005  14 51" xfId="22514"/>
    <cellStyle name="Comma [0] TBD-_2007 Concern tracker 05-02-2005  14 51" xfId="22515"/>
    <cellStyle name="Comma [0] TBD_2007 Concern tracker 05-02-2005  14 52" xfId="22516"/>
    <cellStyle name="Comma [0] TBD-_2007 Concern tracker 05-02-2005  14 52" xfId="22517"/>
    <cellStyle name="Comma [0] TBD_2007 Concern tracker 05-02-2005  14 53" xfId="22518"/>
    <cellStyle name="Comma [0] TBD-_2007 Concern tracker 05-02-2005  14 53" xfId="22519"/>
    <cellStyle name="Comma [0] TBD_2007 Concern tracker 05-02-2005  14 54" xfId="22520"/>
    <cellStyle name="Comma [0] TBD-_2007 Concern tracker 05-02-2005  14 54" xfId="22521"/>
    <cellStyle name="Comma [0] TBD_2007 Concern tracker 05-02-2005  14 55" xfId="22522"/>
    <cellStyle name="Comma [0] TBD-_2007 Concern tracker 05-02-2005  14 55" xfId="22523"/>
    <cellStyle name="Comma [0] TBD_2007 Concern tracker 05-02-2005  14 56" xfId="22524"/>
    <cellStyle name="Comma [0] TBD-_2007 Concern tracker 05-02-2005  14 56" xfId="22525"/>
    <cellStyle name="Comma [0] TBD_2007 Concern tracker 05-02-2005  14 57" xfId="22526"/>
    <cellStyle name="Comma [0] TBD-_2007 Concern tracker 05-02-2005  14 57" xfId="22527"/>
    <cellStyle name="Comma [0] TBD_2007 Concern tracker 05-02-2005  14 58" xfId="22528"/>
    <cellStyle name="Comma [0] TBD-_2007 Concern tracker 05-02-2005  14 58" xfId="22529"/>
    <cellStyle name="Comma [0] TBD_2007 Concern tracker 05-02-2005  14 59" xfId="22530"/>
    <cellStyle name="Comma [0] TBD-_2007 Concern tracker 05-02-2005  14 59" xfId="22531"/>
    <cellStyle name="Comma [0] TBD_2007 Concern tracker 05-02-2005  14 6" xfId="22532"/>
    <cellStyle name="Comma [0] TBD-_2007 Concern tracker 05-02-2005  14 6" xfId="22533"/>
    <cellStyle name="Comma [0] TBD_2007 Concern tracker 05-02-2005  14 60" xfId="22534"/>
    <cellStyle name="Comma [0] TBD-_2007 Concern tracker 05-02-2005  14 60" xfId="22535"/>
    <cellStyle name="Comma [0] TBD_2007 Concern tracker 05-02-2005  14 61" xfId="22536"/>
    <cellStyle name="Comma [0] TBD-_2007 Concern tracker 05-02-2005  14 61" xfId="22537"/>
    <cellStyle name="Comma [0] TBD_2007 Concern tracker 05-02-2005  14 62" xfId="22538"/>
    <cellStyle name="Comma [0] TBD-_2007 Concern tracker 05-02-2005  14 62" xfId="22539"/>
    <cellStyle name="Comma [0] TBD_2007 Concern tracker 05-02-2005  14 63" xfId="22540"/>
    <cellStyle name="Comma [0] TBD-_2007 Concern tracker 05-02-2005  14 63" xfId="22541"/>
    <cellStyle name="Comma [0] TBD_2007 Concern tracker 05-02-2005  14 64" xfId="22542"/>
    <cellStyle name="Comma [0] TBD-_2007 Concern tracker 05-02-2005  14 64" xfId="22543"/>
    <cellStyle name="Comma [0] TBD_2007 Concern tracker 05-02-2005  14 65" xfId="22544"/>
    <cellStyle name="Comma [0] TBD-_2007 Concern tracker 05-02-2005  14 65" xfId="22545"/>
    <cellStyle name="Comma [0] TBD_2007 Concern tracker 05-02-2005  14 66" xfId="22546"/>
    <cellStyle name="Comma [0] TBD-_2007 Concern tracker 05-02-2005  14 66" xfId="22547"/>
    <cellStyle name="Comma [0] TBD_2007 Concern tracker 05-02-2005  14 67" xfId="22548"/>
    <cellStyle name="Comma [0] TBD-_2007 Concern tracker 05-02-2005  14 67" xfId="22549"/>
    <cellStyle name="Comma [0] TBD_2007 Concern tracker 05-02-2005  14 68" xfId="22550"/>
    <cellStyle name="Comma [0] TBD-_2007 Concern tracker 05-02-2005  14 68" xfId="22551"/>
    <cellStyle name="Comma [0] TBD_2007 Concern tracker 05-02-2005  14 69" xfId="22552"/>
    <cellStyle name="Comma [0] TBD-_2007 Concern tracker 05-02-2005  14 69" xfId="22553"/>
    <cellStyle name="Comma [0] TBD_2007 Concern tracker 05-02-2005  14 7" xfId="22554"/>
    <cellStyle name="Comma [0] TBD-_2007 Concern tracker 05-02-2005  14 7" xfId="22555"/>
    <cellStyle name="Comma [0] TBD_2007 Concern tracker 05-02-2005  14 70" xfId="22556"/>
    <cellStyle name="Comma [0] TBD-_2007 Concern tracker 05-02-2005  14 70" xfId="22557"/>
    <cellStyle name="Comma [0] TBD_2007 Concern tracker 05-02-2005  14 71" xfId="22558"/>
    <cellStyle name="Comma [0] TBD-_2007 Concern tracker 05-02-2005  14 71" xfId="22559"/>
    <cellStyle name="Comma [0] TBD_2007 Concern tracker 05-02-2005  14 72" xfId="22560"/>
    <cellStyle name="Comma [0] TBD-_2007 Concern tracker 05-02-2005  14 72" xfId="22561"/>
    <cellStyle name="Comma [0] TBD_2007 Concern tracker 05-02-2005  14 73" xfId="22562"/>
    <cellStyle name="Comma [0] TBD-_2007 Concern tracker 05-02-2005  14 73" xfId="22563"/>
    <cellStyle name="Comma [0] TBD_2007 Concern tracker 05-02-2005  14 74" xfId="22564"/>
    <cellStyle name="Comma [0] TBD-_2007 Concern tracker 05-02-2005  14 74" xfId="22565"/>
    <cellStyle name="Comma [0] TBD_2007 Concern tracker 05-02-2005  14 75" xfId="22566"/>
    <cellStyle name="Comma [0] TBD-_2007 Concern tracker 05-02-2005  14 75" xfId="22567"/>
    <cellStyle name="Comma [0] TBD_2007 Concern tracker 05-02-2005  14 76" xfId="22568"/>
    <cellStyle name="Comma [0] TBD-_2007 Concern tracker 05-02-2005  14 76" xfId="22569"/>
    <cellStyle name="Comma [0] TBD_2007 Concern tracker 05-02-2005  14 77" xfId="22570"/>
    <cellStyle name="Comma [0] TBD-_2007 Concern tracker 05-02-2005  14 77" xfId="22571"/>
    <cellStyle name="Comma [0] TBD_2007 Concern tracker 05-02-2005  14 78" xfId="22572"/>
    <cellStyle name="Comma [0] TBD-_2007 Concern tracker 05-02-2005  14 78" xfId="22573"/>
    <cellStyle name="Comma [0] TBD_2007 Concern tracker 05-02-2005  14 79" xfId="22574"/>
    <cellStyle name="Comma [0] TBD-_2007 Concern tracker 05-02-2005  14 79" xfId="22575"/>
    <cellStyle name="Comma [0] TBD_2007 Concern tracker 05-02-2005  14 8" xfId="22576"/>
    <cellStyle name="Comma [0] TBD-_2007 Concern tracker 05-02-2005  14 8" xfId="22577"/>
    <cellStyle name="Comma [0] TBD_2007 Concern tracker 05-02-2005  14 80" xfId="22578"/>
    <cellStyle name="Comma [0] TBD-_2007 Concern tracker 05-02-2005  14 80" xfId="22579"/>
    <cellStyle name="Comma [0] TBD_2007 Concern tracker 05-02-2005  14 81" xfId="22580"/>
    <cellStyle name="Comma [0] TBD-_2007 Concern tracker 05-02-2005  14 81" xfId="22581"/>
    <cellStyle name="Comma [0] TBD_2007 Concern tracker 05-02-2005  14 82" xfId="22582"/>
    <cellStyle name="Comma [0] TBD-_2007 Concern tracker 05-02-2005  14 82" xfId="22583"/>
    <cellStyle name="Comma [0] TBD_2007 Concern tracker 05-02-2005  14 83" xfId="22584"/>
    <cellStyle name="Comma [0] TBD-_2007 Concern tracker 05-02-2005  14 83" xfId="22585"/>
    <cellStyle name="Comma [0] TBD_2007 Concern tracker 05-02-2005  14 84" xfId="22586"/>
    <cellStyle name="Comma [0] TBD-_2007 Concern tracker 05-02-2005  14 84" xfId="22587"/>
    <cellStyle name="Comma [0] TBD_2007 Concern tracker 05-02-2005  14 85" xfId="22588"/>
    <cellStyle name="Comma [0] TBD-_2007 Concern tracker 05-02-2005  14 85" xfId="22589"/>
    <cellStyle name="Comma [0] TBD_2007 Concern tracker 05-02-2005  14 86" xfId="22590"/>
    <cellStyle name="Comma [0] TBD-_2007 Concern tracker 05-02-2005  14 86" xfId="22591"/>
    <cellStyle name="Comma [0] TBD_2007 Concern tracker 05-02-2005  14 87" xfId="22592"/>
    <cellStyle name="Comma [0] TBD-_2007 Concern tracker 05-02-2005  14 87" xfId="22593"/>
    <cellStyle name="Comma [0] TBD_2007 Concern tracker 05-02-2005  14 88" xfId="22594"/>
    <cellStyle name="Comma [0] TBD-_2007 Concern tracker 05-02-2005  14 88" xfId="22595"/>
    <cellStyle name="Comma [0] TBD_2007 Concern tracker 05-02-2005  14 89" xfId="22596"/>
    <cellStyle name="Comma [0] TBD-_2007 Concern tracker 05-02-2005  14 89" xfId="22597"/>
    <cellStyle name="Comma [0] TBD_2007 Concern tracker 05-02-2005  14 9" xfId="22598"/>
    <cellStyle name="Comma [0] TBD-_2007 Concern tracker 05-02-2005  14 9" xfId="22599"/>
    <cellStyle name="Comma [0] TBD_2007 Concern tracker 05-02-2005  14 90" xfId="22600"/>
    <cellStyle name="Comma [0] TBD-_2007 Concern tracker 05-02-2005  14 90" xfId="22601"/>
    <cellStyle name="Comma [0] TBD_2007 Concern tracker 05-02-2005  14 91" xfId="22602"/>
    <cellStyle name="Comma [0] TBD-_2007 Concern tracker 05-02-2005  14 91" xfId="22603"/>
    <cellStyle name="Comma [0] TBD_2007 Concern tracker 05-02-2005  14 92" xfId="22604"/>
    <cellStyle name="Comma [0] TBD-_2007 Concern tracker 05-02-2005  14 92" xfId="22605"/>
    <cellStyle name="Comma [0] TBD_2007 Concern tracker 05-02-2005  14 93" xfId="22606"/>
    <cellStyle name="Comma [0] TBD-_2007 Concern tracker 05-02-2005  14 93" xfId="22607"/>
    <cellStyle name="Comma [0] TBD_2007 Concern tracker 05-02-2005  14 94" xfId="22608"/>
    <cellStyle name="Comma [0] TBD-_2007 Concern tracker 05-02-2005  14 94" xfId="22609"/>
    <cellStyle name="Comma [0] TBD_2007 Concern tracker 05-02-2005  14 95" xfId="22610"/>
    <cellStyle name="Comma [0] TBD-_2007 Concern tracker 05-02-2005  14 95" xfId="22611"/>
    <cellStyle name="Comma [0] TBD_2007 Concern tracker 05-02-2005  14 96" xfId="22612"/>
    <cellStyle name="Comma [0] TBD-_2007 Concern tracker 05-02-2005  14 96" xfId="22613"/>
    <cellStyle name="Comma [0] TBD_2007 Concern tracker 05-02-2005  14 97" xfId="22614"/>
    <cellStyle name="Comma [0] TBD-_2007 Concern tracker 05-02-2005  14 97" xfId="22615"/>
    <cellStyle name="Comma [0] TBD_2007 Concern tracker 05-02-2005  14 98" xfId="22616"/>
    <cellStyle name="Comma [0] TBD-_2007 Concern tracker 05-02-2005  14 98" xfId="22617"/>
    <cellStyle name="Comma [0] TBD_2007 Concern tracker 05-02-2005  14 99" xfId="22618"/>
    <cellStyle name="Comma [0] TBD-_2007 Concern tracker 05-02-2005  14 99" xfId="22619"/>
    <cellStyle name="Comma [0] TBD_2007 Concern tracker 05-02-2005  2" xfId="22620"/>
    <cellStyle name="Comma [0] TBD-_2007 Concern tracker 05-02-2005  2" xfId="22621"/>
    <cellStyle name="Comma [0] TBD_2007 Concern tracker 05-02-2005  2 10" xfId="22622"/>
    <cellStyle name="Comma [0] TBD-_2007 Concern tracker 05-02-2005  2 10" xfId="22623"/>
    <cellStyle name="Comma [0] TBD_2007 Concern tracker 05-02-2005  2 100" xfId="22624"/>
    <cellStyle name="Comma [0] TBD-_2007 Concern tracker 05-02-2005  2 100" xfId="22625"/>
    <cellStyle name="Comma [0] TBD_2007 Concern tracker 05-02-2005  2 101" xfId="22626"/>
    <cellStyle name="Comma [0] TBD-_2007 Concern tracker 05-02-2005  2 101" xfId="22627"/>
    <cellStyle name="Comma [0] TBD_2007 Concern tracker 05-02-2005  2 102" xfId="22628"/>
    <cellStyle name="Comma [0] TBD-_2007 Concern tracker 05-02-2005  2 102" xfId="22629"/>
    <cellStyle name="Comma [0] TBD_2007 Concern tracker 05-02-2005  2 103" xfId="22630"/>
    <cellStyle name="Comma [0] TBD-_2007 Concern tracker 05-02-2005  2 103" xfId="22631"/>
    <cellStyle name="Comma [0] TBD_2007 Concern tracker 05-02-2005  2 104" xfId="22632"/>
    <cellStyle name="Comma [0] TBD-_2007 Concern tracker 05-02-2005  2 104" xfId="22633"/>
    <cellStyle name="Comma [0] TBD_2007 Concern tracker 05-02-2005  2 105" xfId="22634"/>
    <cellStyle name="Comma [0] TBD-_2007 Concern tracker 05-02-2005  2 105" xfId="22635"/>
    <cellStyle name="Comma [0] TBD_2007 Concern tracker 05-02-2005  2 106" xfId="22636"/>
    <cellStyle name="Comma [0] TBD-_2007 Concern tracker 05-02-2005  2 106" xfId="22637"/>
    <cellStyle name="Comma [0] TBD_2007 Concern tracker 05-02-2005  2 107" xfId="22638"/>
    <cellStyle name="Comma [0] TBD-_2007 Concern tracker 05-02-2005  2 107" xfId="22639"/>
    <cellStyle name="Comma [0] TBD_2007 Concern tracker 05-02-2005  2 108" xfId="22640"/>
    <cellStyle name="Comma [0] TBD-_2007 Concern tracker 05-02-2005  2 108" xfId="22641"/>
    <cellStyle name="Comma [0] TBD_2007 Concern tracker 05-02-2005  2 109" xfId="22642"/>
    <cellStyle name="Comma [0] TBD-_2007 Concern tracker 05-02-2005  2 109" xfId="22643"/>
    <cellStyle name="Comma [0] TBD_2007 Concern tracker 05-02-2005  2 11" xfId="22644"/>
    <cellStyle name="Comma [0] TBD-_2007 Concern tracker 05-02-2005  2 11" xfId="22645"/>
    <cellStyle name="Comma [0] TBD_2007 Concern tracker 05-02-2005  2 110" xfId="22646"/>
    <cellStyle name="Comma [0] TBD-_2007 Concern tracker 05-02-2005  2 110" xfId="22647"/>
    <cellStyle name="Comma [0] TBD_2007 Concern tracker 05-02-2005  2 111" xfId="22648"/>
    <cellStyle name="Comma [0] TBD-_2007 Concern tracker 05-02-2005  2 111" xfId="22649"/>
    <cellStyle name="Comma [0] TBD_2007 Concern tracker 05-02-2005  2 112" xfId="22650"/>
    <cellStyle name="Comma [0] TBD-_2007 Concern tracker 05-02-2005  2 112" xfId="22651"/>
    <cellStyle name="Comma [0] TBD_2007 Concern tracker 05-02-2005  2 113" xfId="22652"/>
    <cellStyle name="Comma [0] TBD-_2007 Concern tracker 05-02-2005  2 113" xfId="22653"/>
    <cellStyle name="Comma [0] TBD_2007 Concern tracker 05-02-2005  2 114" xfId="22654"/>
    <cellStyle name="Comma [0] TBD-_2007 Concern tracker 05-02-2005  2 114" xfId="22655"/>
    <cellStyle name="Comma [0] TBD_2007 Concern tracker 05-02-2005  2 115" xfId="22656"/>
    <cellStyle name="Comma [0] TBD-_2007 Concern tracker 05-02-2005  2 115" xfId="22657"/>
    <cellStyle name="Comma [0] TBD_2007 Concern tracker 05-02-2005  2 116" xfId="22658"/>
    <cellStyle name="Comma [0] TBD-_2007 Concern tracker 05-02-2005  2 116" xfId="22659"/>
    <cellStyle name="Comma [0] TBD_2007 Concern tracker 05-02-2005  2 117" xfId="22660"/>
    <cellStyle name="Comma [0] TBD-_2007 Concern tracker 05-02-2005  2 117" xfId="22661"/>
    <cellStyle name="Comma [0] TBD_2007 Concern tracker 05-02-2005  2 118" xfId="22662"/>
    <cellStyle name="Comma [0] TBD-_2007 Concern tracker 05-02-2005  2 118" xfId="22663"/>
    <cellStyle name="Comma [0] TBD_2007 Concern tracker 05-02-2005  2 119" xfId="22664"/>
    <cellStyle name="Comma [0] TBD-_2007 Concern tracker 05-02-2005  2 119" xfId="22665"/>
    <cellStyle name="Comma [0] TBD_2007 Concern tracker 05-02-2005  2 12" xfId="22666"/>
    <cellStyle name="Comma [0] TBD-_2007 Concern tracker 05-02-2005  2 12" xfId="22667"/>
    <cellStyle name="Comma [0] TBD_2007 Concern tracker 05-02-2005  2 120" xfId="22668"/>
    <cellStyle name="Comma [0] TBD-_2007 Concern tracker 05-02-2005  2 120" xfId="22669"/>
    <cellStyle name="Comma [0] TBD_2007 Concern tracker 05-02-2005  2 121" xfId="22670"/>
    <cellStyle name="Comma [0] TBD-_2007 Concern tracker 05-02-2005  2 121" xfId="22671"/>
    <cellStyle name="Comma [0] TBD_2007 Concern tracker 05-02-2005  2 122" xfId="22672"/>
    <cellStyle name="Comma [0] TBD-_2007 Concern tracker 05-02-2005  2 122" xfId="22673"/>
    <cellStyle name="Comma [0] TBD_2007 Concern tracker 05-02-2005  2 123" xfId="22674"/>
    <cellStyle name="Comma [0] TBD-_2007 Concern tracker 05-02-2005  2 123" xfId="22675"/>
    <cellStyle name="Comma [0] TBD_2007 Concern tracker 05-02-2005  2 124" xfId="22676"/>
    <cellStyle name="Comma [0] TBD-_2007 Concern tracker 05-02-2005  2 124" xfId="22677"/>
    <cellStyle name="Comma [0] TBD_2007 Concern tracker 05-02-2005  2 125" xfId="22678"/>
    <cellStyle name="Comma [0] TBD-_2007 Concern tracker 05-02-2005  2 125" xfId="22679"/>
    <cellStyle name="Comma [0] TBD_2007 Concern tracker 05-02-2005  2 126" xfId="22680"/>
    <cellStyle name="Comma [0] TBD-_2007 Concern tracker 05-02-2005  2 126" xfId="22681"/>
    <cellStyle name="Comma [0] TBD_2007 Concern tracker 05-02-2005  2 127" xfId="22682"/>
    <cellStyle name="Comma [0] TBD-_2007 Concern tracker 05-02-2005  2 127" xfId="22683"/>
    <cellStyle name="Comma [0] TBD_2007 Concern tracker 05-02-2005  2 128" xfId="22684"/>
    <cellStyle name="Comma [0] TBD-_2007 Concern tracker 05-02-2005  2 128" xfId="22685"/>
    <cellStyle name="Comma [0] TBD_2007 Concern tracker 05-02-2005  2 129" xfId="22686"/>
    <cellStyle name="Comma [0] TBD-_2007 Concern tracker 05-02-2005  2 129" xfId="22687"/>
    <cellStyle name="Comma [0] TBD_2007 Concern tracker 05-02-2005  2 13" xfId="22688"/>
    <cellStyle name="Comma [0] TBD-_2007 Concern tracker 05-02-2005  2 13" xfId="22689"/>
    <cellStyle name="Comma [0] TBD_2007 Concern tracker 05-02-2005  2 130" xfId="22690"/>
    <cellStyle name="Comma [0] TBD-_2007 Concern tracker 05-02-2005  2 130" xfId="22691"/>
    <cellStyle name="Comma [0] TBD_2007 Concern tracker 05-02-2005  2 131" xfId="22692"/>
    <cellStyle name="Comma [0] TBD-_2007 Concern tracker 05-02-2005  2 131" xfId="22693"/>
    <cellStyle name="Comma [0] TBD_2007 Concern tracker 05-02-2005  2 132" xfId="22694"/>
    <cellStyle name="Comma [0] TBD-_2007 Concern tracker 05-02-2005  2 132" xfId="22695"/>
    <cellStyle name="Comma [0] TBD_2007 Concern tracker 05-02-2005  2 133" xfId="22696"/>
    <cellStyle name="Comma [0] TBD-_2007 Concern tracker 05-02-2005  2 133" xfId="22697"/>
    <cellStyle name="Comma [0] TBD_2007 Concern tracker 05-02-2005  2 134" xfId="22698"/>
    <cellStyle name="Comma [0] TBD-_2007 Concern tracker 05-02-2005  2 134" xfId="22699"/>
    <cellStyle name="Comma [0] TBD_2007 Concern tracker 05-02-2005  2 135" xfId="22700"/>
    <cellStyle name="Comma [0] TBD-_2007 Concern tracker 05-02-2005  2 135" xfId="22701"/>
    <cellStyle name="Comma [0] TBD_2007 Concern tracker 05-02-2005  2 136" xfId="22702"/>
    <cellStyle name="Comma [0] TBD-_2007 Concern tracker 05-02-2005  2 136" xfId="22703"/>
    <cellStyle name="Comma [0] TBD_2007 Concern tracker 05-02-2005  2 137" xfId="22704"/>
    <cellStyle name="Comma [0] TBD-_2007 Concern tracker 05-02-2005  2 137" xfId="22705"/>
    <cellStyle name="Comma [0] TBD_2007 Concern tracker 05-02-2005  2 138" xfId="22706"/>
    <cellStyle name="Comma [0] TBD-_2007 Concern tracker 05-02-2005  2 138" xfId="22707"/>
    <cellStyle name="Comma [0] TBD_2007 Concern tracker 05-02-2005  2 139" xfId="22708"/>
    <cellStyle name="Comma [0] TBD-_2007 Concern tracker 05-02-2005  2 139" xfId="22709"/>
    <cellStyle name="Comma [0] TBD_2007 Concern tracker 05-02-2005  2 14" xfId="22710"/>
    <cellStyle name="Comma [0] TBD-_2007 Concern tracker 05-02-2005  2 14" xfId="22711"/>
    <cellStyle name="Comma [0] TBD_2007 Concern tracker 05-02-2005  2 140" xfId="22712"/>
    <cellStyle name="Comma [0] TBD-_2007 Concern tracker 05-02-2005  2 140" xfId="22713"/>
    <cellStyle name="Comma [0] TBD_2007 Concern tracker 05-02-2005  2 141" xfId="22714"/>
    <cellStyle name="Comma [0] TBD-_2007 Concern tracker 05-02-2005  2 141" xfId="22715"/>
    <cellStyle name="Comma [0] TBD_2007 Concern tracker 05-02-2005  2 142" xfId="22716"/>
    <cellStyle name="Comma [0] TBD-_2007 Concern tracker 05-02-2005  2 142" xfId="22717"/>
    <cellStyle name="Comma [0] TBD_2007 Concern tracker 05-02-2005  2 143" xfId="22718"/>
    <cellStyle name="Comma [0] TBD-_2007 Concern tracker 05-02-2005  2 143" xfId="22719"/>
    <cellStyle name="Comma [0] TBD_2007 Concern tracker 05-02-2005  2 144" xfId="22720"/>
    <cellStyle name="Comma [0] TBD-_2007 Concern tracker 05-02-2005  2 144" xfId="22721"/>
    <cellStyle name="Comma [0] TBD_2007 Concern tracker 05-02-2005  2 145" xfId="22722"/>
    <cellStyle name="Comma [0] TBD-_2007 Concern tracker 05-02-2005  2 145" xfId="22723"/>
    <cellStyle name="Comma [0] TBD_2007 Concern tracker 05-02-2005  2 146" xfId="22724"/>
    <cellStyle name="Comma [0] TBD-_2007 Concern tracker 05-02-2005  2 146" xfId="22725"/>
    <cellStyle name="Comma [0] TBD_2007 Concern tracker 05-02-2005  2 147" xfId="22726"/>
    <cellStyle name="Comma [0] TBD-_2007 Concern tracker 05-02-2005  2 147" xfId="22727"/>
    <cellStyle name="Comma [0] TBD_2007 Concern tracker 05-02-2005  2 148" xfId="22728"/>
    <cellStyle name="Comma [0] TBD-_2007 Concern tracker 05-02-2005  2 148" xfId="22729"/>
    <cellStyle name="Comma [0] TBD_2007 Concern tracker 05-02-2005  2 149" xfId="22730"/>
    <cellStyle name="Comma [0] TBD-_2007 Concern tracker 05-02-2005  2 149" xfId="22731"/>
    <cellStyle name="Comma [0] TBD_2007 Concern tracker 05-02-2005  2 15" xfId="22732"/>
    <cellStyle name="Comma [0] TBD-_2007 Concern tracker 05-02-2005  2 15" xfId="22733"/>
    <cellStyle name="Comma [0] TBD_2007 Concern tracker 05-02-2005  2 150" xfId="22734"/>
    <cellStyle name="Comma [0] TBD-_2007 Concern tracker 05-02-2005  2 150" xfId="22735"/>
    <cellStyle name="Comma [0] TBD_2007 Concern tracker 05-02-2005  2 151" xfId="22736"/>
    <cellStyle name="Comma [0] TBD-_2007 Concern tracker 05-02-2005  2 151" xfId="22737"/>
    <cellStyle name="Comma [0] TBD_2007 Concern tracker 05-02-2005  2 152" xfId="22738"/>
    <cellStyle name="Comma [0] TBD-_2007 Concern tracker 05-02-2005  2 152" xfId="22739"/>
    <cellStyle name="Comma [0] TBD_2007 Concern tracker 05-02-2005  2 153" xfId="22740"/>
    <cellStyle name="Comma [0] TBD-_2007 Concern tracker 05-02-2005  2 153" xfId="22741"/>
    <cellStyle name="Comma [0] TBD_2007 Concern tracker 05-02-2005  2 16" xfId="22742"/>
    <cellStyle name="Comma [0] TBD-_2007 Concern tracker 05-02-2005  2 16" xfId="22743"/>
    <cellStyle name="Comma [0] TBD_2007 Concern tracker 05-02-2005  2 17" xfId="22744"/>
    <cellStyle name="Comma [0] TBD-_2007 Concern tracker 05-02-2005  2 17" xfId="22745"/>
    <cellStyle name="Comma [0] TBD_2007 Concern tracker 05-02-2005  2 18" xfId="22746"/>
    <cellStyle name="Comma [0] TBD-_2007 Concern tracker 05-02-2005  2 18" xfId="22747"/>
    <cellStyle name="Comma [0] TBD_2007 Concern tracker 05-02-2005  2 19" xfId="22748"/>
    <cellStyle name="Comma [0] TBD-_2007 Concern tracker 05-02-2005  2 19" xfId="22749"/>
    <cellStyle name="Comma [0] TBD_2007 Concern tracker 05-02-2005  2 2" xfId="22750"/>
    <cellStyle name="Comma [0] TBD-_2007 Concern tracker 05-02-2005  2 2" xfId="22751"/>
    <cellStyle name="Comma [0] TBD_2007 Concern tracker 05-02-2005  2 2 2" xfId="22752"/>
    <cellStyle name="Comma [0] TBD-_2007 Concern tracker 05-02-2005  2 2 2" xfId="22753"/>
    <cellStyle name="Comma [0] TBD_2007 Concern tracker 05-02-2005  2 20" xfId="22754"/>
    <cellStyle name="Comma [0] TBD-_2007 Concern tracker 05-02-2005  2 20" xfId="22755"/>
    <cellStyle name="Comma [0] TBD_2007 Concern tracker 05-02-2005  2 21" xfId="22756"/>
    <cellStyle name="Comma [0] TBD-_2007 Concern tracker 05-02-2005  2 21" xfId="22757"/>
    <cellStyle name="Comma [0] TBD_2007 Concern tracker 05-02-2005  2 22" xfId="22758"/>
    <cellStyle name="Comma [0] TBD-_2007 Concern tracker 05-02-2005  2 22" xfId="22759"/>
    <cellStyle name="Comma [0] TBD_2007 Concern tracker 05-02-2005  2 23" xfId="22760"/>
    <cellStyle name="Comma [0] TBD-_2007 Concern tracker 05-02-2005  2 23" xfId="22761"/>
    <cellStyle name="Comma [0] TBD_2007 Concern tracker 05-02-2005  2 24" xfId="22762"/>
    <cellStyle name="Comma [0] TBD-_2007 Concern tracker 05-02-2005  2 24" xfId="22763"/>
    <cellStyle name="Comma [0] TBD_2007 Concern tracker 05-02-2005  2 25" xfId="22764"/>
    <cellStyle name="Comma [0] TBD-_2007 Concern tracker 05-02-2005  2 25" xfId="22765"/>
    <cellStyle name="Comma [0] TBD_2007 Concern tracker 05-02-2005  2 26" xfId="22766"/>
    <cellStyle name="Comma [0] TBD-_2007 Concern tracker 05-02-2005  2 26" xfId="22767"/>
    <cellStyle name="Comma [0] TBD_2007 Concern tracker 05-02-2005  2 27" xfId="22768"/>
    <cellStyle name="Comma [0] TBD-_2007 Concern tracker 05-02-2005  2 27" xfId="22769"/>
    <cellStyle name="Comma [0] TBD_2007 Concern tracker 05-02-2005  2 28" xfId="22770"/>
    <cellStyle name="Comma [0] TBD-_2007 Concern tracker 05-02-2005  2 28" xfId="22771"/>
    <cellStyle name="Comma [0] TBD_2007 Concern tracker 05-02-2005  2 29" xfId="22772"/>
    <cellStyle name="Comma [0] TBD-_2007 Concern tracker 05-02-2005  2 29" xfId="22773"/>
    <cellStyle name="Comma [0] TBD_2007 Concern tracker 05-02-2005  2 3" xfId="22774"/>
    <cellStyle name="Comma [0] TBD-_2007 Concern tracker 05-02-2005  2 3" xfId="22775"/>
    <cellStyle name="Comma [0] TBD_2007 Concern tracker 05-02-2005  2 30" xfId="22776"/>
    <cellStyle name="Comma [0] TBD-_2007 Concern tracker 05-02-2005  2 30" xfId="22777"/>
    <cellStyle name="Comma [0] TBD_2007 Concern tracker 05-02-2005  2 31" xfId="22778"/>
    <cellStyle name="Comma [0] TBD-_2007 Concern tracker 05-02-2005  2 31" xfId="22779"/>
    <cellStyle name="Comma [0] TBD_2007 Concern tracker 05-02-2005  2 32" xfId="22780"/>
    <cellStyle name="Comma [0] TBD-_2007 Concern tracker 05-02-2005  2 32" xfId="22781"/>
    <cellStyle name="Comma [0] TBD_2007 Concern tracker 05-02-2005  2 33" xfId="22782"/>
    <cellStyle name="Comma [0] TBD-_2007 Concern tracker 05-02-2005  2 33" xfId="22783"/>
    <cellStyle name="Comma [0] TBD_2007 Concern tracker 05-02-2005  2 34" xfId="22784"/>
    <cellStyle name="Comma [0] TBD-_2007 Concern tracker 05-02-2005  2 34" xfId="22785"/>
    <cellStyle name="Comma [0] TBD_2007 Concern tracker 05-02-2005  2 35" xfId="22786"/>
    <cellStyle name="Comma [0] TBD-_2007 Concern tracker 05-02-2005  2 35" xfId="22787"/>
    <cellStyle name="Comma [0] TBD_2007 Concern tracker 05-02-2005  2 36" xfId="22788"/>
    <cellStyle name="Comma [0] TBD-_2007 Concern tracker 05-02-2005  2 36" xfId="22789"/>
    <cellStyle name="Comma [0] TBD_2007 Concern tracker 05-02-2005  2 37" xfId="22790"/>
    <cellStyle name="Comma [0] TBD-_2007 Concern tracker 05-02-2005  2 37" xfId="22791"/>
    <cellStyle name="Comma [0] TBD_2007 Concern tracker 05-02-2005  2 38" xfId="22792"/>
    <cellStyle name="Comma [0] TBD-_2007 Concern tracker 05-02-2005  2 38" xfId="22793"/>
    <cellStyle name="Comma [0] TBD_2007 Concern tracker 05-02-2005  2 39" xfId="22794"/>
    <cellStyle name="Comma [0] TBD-_2007 Concern tracker 05-02-2005  2 39" xfId="22795"/>
    <cellStyle name="Comma [0] TBD_2007 Concern tracker 05-02-2005  2 4" xfId="22796"/>
    <cellStyle name="Comma [0] TBD-_2007 Concern tracker 05-02-2005  2 4" xfId="22797"/>
    <cellStyle name="Comma [0] TBD_2007 Concern tracker 05-02-2005  2 40" xfId="22798"/>
    <cellStyle name="Comma [0] TBD-_2007 Concern tracker 05-02-2005  2 40" xfId="22799"/>
    <cellStyle name="Comma [0] TBD_2007 Concern tracker 05-02-2005  2 41" xfId="22800"/>
    <cellStyle name="Comma [0] TBD-_2007 Concern tracker 05-02-2005  2 41" xfId="22801"/>
    <cellStyle name="Comma [0] TBD_2007 Concern tracker 05-02-2005  2 42" xfId="22802"/>
    <cellStyle name="Comma [0] TBD-_2007 Concern tracker 05-02-2005  2 42" xfId="22803"/>
    <cellStyle name="Comma [0] TBD_2007 Concern tracker 05-02-2005  2 43" xfId="22804"/>
    <cellStyle name="Comma [0] TBD-_2007 Concern tracker 05-02-2005  2 43" xfId="22805"/>
    <cellStyle name="Comma [0] TBD_2007 Concern tracker 05-02-2005  2 44" xfId="22806"/>
    <cellStyle name="Comma [0] TBD-_2007 Concern tracker 05-02-2005  2 44" xfId="22807"/>
    <cellStyle name="Comma [0] TBD_2007 Concern tracker 05-02-2005  2 45" xfId="22808"/>
    <cellStyle name="Comma [0] TBD-_2007 Concern tracker 05-02-2005  2 45" xfId="22809"/>
    <cellStyle name="Comma [0] TBD_2007 Concern tracker 05-02-2005  2 46" xfId="22810"/>
    <cellStyle name="Comma [0] TBD-_2007 Concern tracker 05-02-2005  2 46" xfId="22811"/>
    <cellStyle name="Comma [0] TBD_2007 Concern tracker 05-02-2005  2 47" xfId="22812"/>
    <cellStyle name="Comma [0] TBD-_2007 Concern tracker 05-02-2005  2 47" xfId="22813"/>
    <cellStyle name="Comma [0] TBD_2007 Concern tracker 05-02-2005  2 48" xfId="22814"/>
    <cellStyle name="Comma [0] TBD-_2007 Concern tracker 05-02-2005  2 48" xfId="22815"/>
    <cellStyle name="Comma [0] TBD_2007 Concern tracker 05-02-2005  2 49" xfId="22816"/>
    <cellStyle name="Comma [0] TBD-_2007 Concern tracker 05-02-2005  2 49" xfId="22817"/>
    <cellStyle name="Comma [0] TBD_2007 Concern tracker 05-02-2005  2 5" xfId="22818"/>
    <cellStyle name="Comma [0] TBD-_2007 Concern tracker 05-02-2005  2 5" xfId="22819"/>
    <cellStyle name="Comma [0] TBD_2007 Concern tracker 05-02-2005  2 50" xfId="22820"/>
    <cellStyle name="Comma [0] TBD-_2007 Concern tracker 05-02-2005  2 50" xfId="22821"/>
    <cellStyle name="Comma [0] TBD_2007 Concern tracker 05-02-2005  2 51" xfId="22822"/>
    <cellStyle name="Comma [0] TBD-_2007 Concern tracker 05-02-2005  2 51" xfId="22823"/>
    <cellStyle name="Comma [0] TBD_2007 Concern tracker 05-02-2005  2 52" xfId="22824"/>
    <cellStyle name="Comma [0] TBD-_2007 Concern tracker 05-02-2005  2 52" xfId="22825"/>
    <cellStyle name="Comma [0] TBD_2007 Concern tracker 05-02-2005  2 53" xfId="22826"/>
    <cellStyle name="Comma [0] TBD-_2007 Concern tracker 05-02-2005  2 53" xfId="22827"/>
    <cellStyle name="Comma [0] TBD_2007 Concern tracker 05-02-2005  2 54" xfId="22828"/>
    <cellStyle name="Comma [0] TBD-_2007 Concern tracker 05-02-2005  2 54" xfId="22829"/>
    <cellStyle name="Comma [0] TBD_2007 Concern tracker 05-02-2005  2 55" xfId="22830"/>
    <cellStyle name="Comma [0] TBD-_2007 Concern tracker 05-02-2005  2 55" xfId="22831"/>
    <cellStyle name="Comma [0] TBD_2007 Concern tracker 05-02-2005  2 56" xfId="22832"/>
    <cellStyle name="Comma [0] TBD-_2007 Concern tracker 05-02-2005  2 56" xfId="22833"/>
    <cellStyle name="Comma [0] TBD_2007 Concern tracker 05-02-2005  2 57" xfId="22834"/>
    <cellStyle name="Comma [0] TBD-_2007 Concern tracker 05-02-2005  2 57" xfId="22835"/>
    <cellStyle name="Comma [0] TBD_2007 Concern tracker 05-02-2005  2 58" xfId="22836"/>
    <cellStyle name="Comma [0] TBD-_2007 Concern tracker 05-02-2005  2 58" xfId="22837"/>
    <cellStyle name="Comma [0] TBD_2007 Concern tracker 05-02-2005  2 59" xfId="22838"/>
    <cellStyle name="Comma [0] TBD-_2007 Concern tracker 05-02-2005  2 59" xfId="22839"/>
    <cellStyle name="Comma [0] TBD_2007 Concern tracker 05-02-2005  2 6" xfId="22840"/>
    <cellStyle name="Comma [0] TBD-_2007 Concern tracker 05-02-2005  2 6" xfId="22841"/>
    <cellStyle name="Comma [0] TBD_2007 Concern tracker 05-02-2005  2 60" xfId="22842"/>
    <cellStyle name="Comma [0] TBD-_2007 Concern tracker 05-02-2005  2 60" xfId="22843"/>
    <cellStyle name="Comma [0] TBD_2007 Concern tracker 05-02-2005  2 61" xfId="22844"/>
    <cellStyle name="Comma [0] TBD-_2007 Concern tracker 05-02-2005  2 61" xfId="22845"/>
    <cellStyle name="Comma [0] TBD_2007 Concern tracker 05-02-2005  2 62" xfId="22846"/>
    <cellStyle name="Comma [0] TBD-_2007 Concern tracker 05-02-2005  2 62" xfId="22847"/>
    <cellStyle name="Comma [0] TBD_2007 Concern tracker 05-02-2005  2 63" xfId="22848"/>
    <cellStyle name="Comma [0] TBD-_2007 Concern tracker 05-02-2005  2 63" xfId="22849"/>
    <cellStyle name="Comma [0] TBD_2007 Concern tracker 05-02-2005  2 64" xfId="22850"/>
    <cellStyle name="Comma [0] TBD-_2007 Concern tracker 05-02-2005  2 64" xfId="22851"/>
    <cellStyle name="Comma [0] TBD_2007 Concern tracker 05-02-2005  2 65" xfId="22852"/>
    <cellStyle name="Comma [0] TBD-_2007 Concern tracker 05-02-2005  2 65" xfId="22853"/>
    <cellStyle name="Comma [0] TBD_2007 Concern tracker 05-02-2005  2 66" xfId="22854"/>
    <cellStyle name="Comma [0] TBD-_2007 Concern tracker 05-02-2005  2 66" xfId="22855"/>
    <cellStyle name="Comma [0] TBD_2007 Concern tracker 05-02-2005  2 67" xfId="22856"/>
    <cellStyle name="Comma [0] TBD-_2007 Concern tracker 05-02-2005  2 67" xfId="22857"/>
    <cellStyle name="Comma [0] TBD_2007 Concern tracker 05-02-2005  2 68" xfId="22858"/>
    <cellStyle name="Comma [0] TBD-_2007 Concern tracker 05-02-2005  2 68" xfId="22859"/>
    <cellStyle name="Comma [0] TBD_2007 Concern tracker 05-02-2005  2 69" xfId="22860"/>
    <cellStyle name="Comma [0] TBD-_2007 Concern tracker 05-02-2005  2 69" xfId="22861"/>
    <cellStyle name="Comma [0] TBD_2007 Concern tracker 05-02-2005  2 7" xfId="22862"/>
    <cellStyle name="Comma [0] TBD-_2007 Concern tracker 05-02-2005  2 7" xfId="22863"/>
    <cellStyle name="Comma [0] TBD_2007 Concern tracker 05-02-2005  2 70" xfId="22864"/>
    <cellStyle name="Comma [0] TBD-_2007 Concern tracker 05-02-2005  2 70" xfId="22865"/>
    <cellStyle name="Comma [0] TBD_2007 Concern tracker 05-02-2005  2 71" xfId="22866"/>
    <cellStyle name="Comma [0] TBD-_2007 Concern tracker 05-02-2005  2 71" xfId="22867"/>
    <cellStyle name="Comma [0] TBD_2007 Concern tracker 05-02-2005  2 72" xfId="22868"/>
    <cellStyle name="Comma [0] TBD-_2007 Concern tracker 05-02-2005  2 72" xfId="22869"/>
    <cellStyle name="Comma [0] TBD_2007 Concern tracker 05-02-2005  2 73" xfId="22870"/>
    <cellStyle name="Comma [0] TBD-_2007 Concern tracker 05-02-2005  2 73" xfId="22871"/>
    <cellStyle name="Comma [0] TBD_2007 Concern tracker 05-02-2005  2 74" xfId="22872"/>
    <cellStyle name="Comma [0] TBD-_2007 Concern tracker 05-02-2005  2 74" xfId="22873"/>
    <cellStyle name="Comma [0] TBD_2007 Concern tracker 05-02-2005  2 75" xfId="22874"/>
    <cellStyle name="Comma [0] TBD-_2007 Concern tracker 05-02-2005  2 75" xfId="22875"/>
    <cellStyle name="Comma [0] TBD_2007 Concern tracker 05-02-2005  2 76" xfId="22876"/>
    <cellStyle name="Comma [0] TBD-_2007 Concern tracker 05-02-2005  2 76" xfId="22877"/>
    <cellStyle name="Comma [0] TBD_2007 Concern tracker 05-02-2005  2 77" xfId="22878"/>
    <cellStyle name="Comma [0] TBD-_2007 Concern tracker 05-02-2005  2 77" xfId="22879"/>
    <cellStyle name="Comma [0] TBD_2007 Concern tracker 05-02-2005  2 78" xfId="22880"/>
    <cellStyle name="Comma [0] TBD-_2007 Concern tracker 05-02-2005  2 78" xfId="22881"/>
    <cellStyle name="Comma [0] TBD_2007 Concern tracker 05-02-2005  2 79" xfId="22882"/>
    <cellStyle name="Comma [0] TBD-_2007 Concern tracker 05-02-2005  2 79" xfId="22883"/>
    <cellStyle name="Comma [0] TBD_2007 Concern tracker 05-02-2005  2 8" xfId="22884"/>
    <cellStyle name="Comma [0] TBD-_2007 Concern tracker 05-02-2005  2 8" xfId="22885"/>
    <cellStyle name="Comma [0] TBD_2007 Concern tracker 05-02-2005  2 80" xfId="22886"/>
    <cellStyle name="Comma [0] TBD-_2007 Concern tracker 05-02-2005  2 80" xfId="22887"/>
    <cellStyle name="Comma [0] TBD_2007 Concern tracker 05-02-2005  2 81" xfId="22888"/>
    <cellStyle name="Comma [0] TBD-_2007 Concern tracker 05-02-2005  2 81" xfId="22889"/>
    <cellStyle name="Comma [0] TBD_2007 Concern tracker 05-02-2005  2 82" xfId="22890"/>
    <cellStyle name="Comma [0] TBD-_2007 Concern tracker 05-02-2005  2 82" xfId="22891"/>
    <cellStyle name="Comma [0] TBD_2007 Concern tracker 05-02-2005  2 83" xfId="22892"/>
    <cellStyle name="Comma [0] TBD-_2007 Concern tracker 05-02-2005  2 83" xfId="22893"/>
    <cellStyle name="Comma [0] TBD_2007 Concern tracker 05-02-2005  2 84" xfId="22894"/>
    <cellStyle name="Comma [0] TBD-_2007 Concern tracker 05-02-2005  2 84" xfId="22895"/>
    <cellStyle name="Comma [0] TBD_2007 Concern tracker 05-02-2005  2 85" xfId="22896"/>
    <cellStyle name="Comma [0] TBD-_2007 Concern tracker 05-02-2005  2 85" xfId="22897"/>
    <cellStyle name="Comma [0] TBD_2007 Concern tracker 05-02-2005  2 86" xfId="22898"/>
    <cellStyle name="Comma [0] TBD-_2007 Concern tracker 05-02-2005  2 86" xfId="22899"/>
    <cellStyle name="Comma [0] TBD_2007 Concern tracker 05-02-2005  2 87" xfId="22900"/>
    <cellStyle name="Comma [0] TBD-_2007 Concern tracker 05-02-2005  2 87" xfId="22901"/>
    <cellStyle name="Comma [0] TBD_2007 Concern tracker 05-02-2005  2 88" xfId="22902"/>
    <cellStyle name="Comma [0] TBD-_2007 Concern tracker 05-02-2005  2 88" xfId="22903"/>
    <cellStyle name="Comma [0] TBD_2007 Concern tracker 05-02-2005  2 89" xfId="22904"/>
    <cellStyle name="Comma [0] TBD-_2007 Concern tracker 05-02-2005  2 89" xfId="22905"/>
    <cellStyle name="Comma [0] TBD_2007 Concern tracker 05-02-2005  2 9" xfId="22906"/>
    <cellStyle name="Comma [0] TBD-_2007 Concern tracker 05-02-2005  2 9" xfId="22907"/>
    <cellStyle name="Comma [0] TBD_2007 Concern tracker 05-02-2005  2 90" xfId="22908"/>
    <cellStyle name="Comma [0] TBD-_2007 Concern tracker 05-02-2005  2 90" xfId="22909"/>
    <cellStyle name="Comma [0] TBD_2007 Concern tracker 05-02-2005  2 91" xfId="22910"/>
    <cellStyle name="Comma [0] TBD-_2007 Concern tracker 05-02-2005  2 91" xfId="22911"/>
    <cellStyle name="Comma [0] TBD_2007 Concern tracker 05-02-2005  2 92" xfId="22912"/>
    <cellStyle name="Comma [0] TBD-_2007 Concern tracker 05-02-2005  2 92" xfId="22913"/>
    <cellStyle name="Comma [0] TBD_2007 Concern tracker 05-02-2005  2 93" xfId="22914"/>
    <cellStyle name="Comma [0] TBD-_2007 Concern tracker 05-02-2005  2 93" xfId="22915"/>
    <cellStyle name="Comma [0] TBD_2007 Concern tracker 05-02-2005  2 94" xfId="22916"/>
    <cellStyle name="Comma [0] TBD-_2007 Concern tracker 05-02-2005  2 94" xfId="22917"/>
    <cellStyle name="Comma [0] TBD_2007 Concern tracker 05-02-2005  2 95" xfId="22918"/>
    <cellStyle name="Comma [0] TBD-_2007 Concern tracker 05-02-2005  2 95" xfId="22919"/>
    <cellStyle name="Comma [0] TBD_2007 Concern tracker 05-02-2005  2 96" xfId="22920"/>
    <cellStyle name="Comma [0] TBD-_2007 Concern tracker 05-02-2005  2 96" xfId="22921"/>
    <cellStyle name="Comma [0] TBD_2007 Concern tracker 05-02-2005  2 97" xfId="22922"/>
    <cellStyle name="Comma [0] TBD-_2007 Concern tracker 05-02-2005  2 97" xfId="22923"/>
    <cellStyle name="Comma [0] TBD_2007 Concern tracker 05-02-2005  2 98" xfId="22924"/>
    <cellStyle name="Comma [0] TBD-_2007 Concern tracker 05-02-2005  2 98" xfId="22925"/>
    <cellStyle name="Comma [0] TBD_2007 Concern tracker 05-02-2005  2 99" xfId="22926"/>
    <cellStyle name="Comma [0] TBD-_2007 Concern tracker 05-02-2005  2 99" xfId="22927"/>
    <cellStyle name="Comma [0] TBD_2007 Concern tracker 05-02-2005  3" xfId="22928"/>
    <cellStyle name="Comma [0] TBD-_2007 Concern tracker 05-02-2005  3" xfId="22929"/>
    <cellStyle name="Comma [0] TBD_2007 Concern tracker 05-02-2005  3 10" xfId="22930"/>
    <cellStyle name="Comma [0] TBD-_2007 Concern tracker 05-02-2005  3 10" xfId="22931"/>
    <cellStyle name="Comma [0] TBD_2007 Concern tracker 05-02-2005  3 100" xfId="22932"/>
    <cellStyle name="Comma [0] TBD-_2007 Concern tracker 05-02-2005  3 100" xfId="22933"/>
    <cellStyle name="Comma [0] TBD_2007 Concern tracker 05-02-2005  3 101" xfId="22934"/>
    <cellStyle name="Comma [0] TBD-_2007 Concern tracker 05-02-2005  3 101" xfId="22935"/>
    <cellStyle name="Comma [0] TBD_2007 Concern tracker 05-02-2005  3 102" xfId="22936"/>
    <cellStyle name="Comma [0] TBD-_2007 Concern tracker 05-02-2005  3 102" xfId="22937"/>
    <cellStyle name="Comma [0] TBD_2007 Concern tracker 05-02-2005  3 103" xfId="22938"/>
    <cellStyle name="Comma [0] TBD-_2007 Concern tracker 05-02-2005  3 103" xfId="22939"/>
    <cellStyle name="Comma [0] TBD_2007 Concern tracker 05-02-2005  3 104" xfId="22940"/>
    <cellStyle name="Comma [0] TBD-_2007 Concern tracker 05-02-2005  3 104" xfId="22941"/>
    <cellStyle name="Comma [0] TBD_2007 Concern tracker 05-02-2005  3 105" xfId="22942"/>
    <cellStyle name="Comma [0] TBD-_2007 Concern tracker 05-02-2005  3 105" xfId="22943"/>
    <cellStyle name="Comma [0] TBD_2007 Concern tracker 05-02-2005  3 106" xfId="22944"/>
    <cellStyle name="Comma [0] TBD-_2007 Concern tracker 05-02-2005  3 106" xfId="22945"/>
    <cellStyle name="Comma [0] TBD_2007 Concern tracker 05-02-2005  3 107" xfId="22946"/>
    <cellStyle name="Comma [0] TBD-_2007 Concern tracker 05-02-2005  3 107" xfId="22947"/>
    <cellStyle name="Comma [0] TBD_2007 Concern tracker 05-02-2005  3 108" xfId="22948"/>
    <cellStyle name="Comma [0] TBD-_2007 Concern tracker 05-02-2005  3 108" xfId="22949"/>
    <cellStyle name="Comma [0] TBD_2007 Concern tracker 05-02-2005  3 109" xfId="22950"/>
    <cellStyle name="Comma [0] TBD-_2007 Concern tracker 05-02-2005  3 109" xfId="22951"/>
    <cellStyle name="Comma [0] TBD_2007 Concern tracker 05-02-2005  3 11" xfId="22952"/>
    <cellStyle name="Comma [0] TBD-_2007 Concern tracker 05-02-2005  3 11" xfId="22953"/>
    <cellStyle name="Comma [0] TBD_2007 Concern tracker 05-02-2005  3 110" xfId="22954"/>
    <cellStyle name="Comma [0] TBD-_2007 Concern tracker 05-02-2005  3 110" xfId="22955"/>
    <cellStyle name="Comma [0] TBD_2007 Concern tracker 05-02-2005  3 111" xfId="22956"/>
    <cellStyle name="Comma [0] TBD-_2007 Concern tracker 05-02-2005  3 111" xfId="22957"/>
    <cellStyle name="Comma [0] TBD_2007 Concern tracker 05-02-2005  3 112" xfId="22958"/>
    <cellStyle name="Comma [0] TBD-_2007 Concern tracker 05-02-2005  3 112" xfId="22959"/>
    <cellStyle name="Comma [0] TBD_2007 Concern tracker 05-02-2005  3 113" xfId="22960"/>
    <cellStyle name="Comma [0] TBD-_2007 Concern tracker 05-02-2005  3 113" xfId="22961"/>
    <cellStyle name="Comma [0] TBD_2007 Concern tracker 05-02-2005  3 114" xfId="22962"/>
    <cellStyle name="Comma [0] TBD-_2007 Concern tracker 05-02-2005  3 114" xfId="22963"/>
    <cellStyle name="Comma [0] TBD_2007 Concern tracker 05-02-2005  3 115" xfId="22964"/>
    <cellStyle name="Comma [0] TBD-_2007 Concern tracker 05-02-2005  3 115" xfId="22965"/>
    <cellStyle name="Comma [0] TBD_2007 Concern tracker 05-02-2005  3 116" xfId="22966"/>
    <cellStyle name="Comma [0] TBD-_2007 Concern tracker 05-02-2005  3 116" xfId="22967"/>
    <cellStyle name="Comma [0] TBD_2007 Concern tracker 05-02-2005  3 117" xfId="22968"/>
    <cellStyle name="Comma [0] TBD-_2007 Concern tracker 05-02-2005  3 117" xfId="22969"/>
    <cellStyle name="Comma [0] TBD_2007 Concern tracker 05-02-2005  3 118" xfId="22970"/>
    <cellStyle name="Comma [0] TBD-_2007 Concern tracker 05-02-2005  3 118" xfId="22971"/>
    <cellStyle name="Comma [0] TBD_2007 Concern tracker 05-02-2005  3 119" xfId="22972"/>
    <cellStyle name="Comma [0] TBD-_2007 Concern tracker 05-02-2005  3 119" xfId="22973"/>
    <cellStyle name="Comma [0] TBD_2007 Concern tracker 05-02-2005  3 12" xfId="22974"/>
    <cellStyle name="Comma [0] TBD-_2007 Concern tracker 05-02-2005  3 12" xfId="22975"/>
    <cellStyle name="Comma [0] TBD_2007 Concern tracker 05-02-2005  3 120" xfId="22976"/>
    <cellStyle name="Comma [0] TBD-_2007 Concern tracker 05-02-2005  3 120" xfId="22977"/>
    <cellStyle name="Comma [0] TBD_2007 Concern tracker 05-02-2005  3 121" xfId="22978"/>
    <cellStyle name="Comma [0] TBD-_2007 Concern tracker 05-02-2005  3 121" xfId="22979"/>
    <cellStyle name="Comma [0] TBD_2007 Concern tracker 05-02-2005  3 122" xfId="22980"/>
    <cellStyle name="Comma [0] TBD-_2007 Concern tracker 05-02-2005  3 122" xfId="22981"/>
    <cellStyle name="Comma [0] TBD_2007 Concern tracker 05-02-2005  3 123" xfId="22982"/>
    <cellStyle name="Comma [0] TBD-_2007 Concern tracker 05-02-2005  3 123" xfId="22983"/>
    <cellStyle name="Comma [0] TBD_2007 Concern tracker 05-02-2005  3 124" xfId="22984"/>
    <cellStyle name="Comma [0] TBD-_2007 Concern tracker 05-02-2005  3 124" xfId="22985"/>
    <cellStyle name="Comma [0] TBD_2007 Concern tracker 05-02-2005  3 125" xfId="22986"/>
    <cellStyle name="Comma [0] TBD-_2007 Concern tracker 05-02-2005  3 125" xfId="22987"/>
    <cellStyle name="Comma [0] TBD_2007 Concern tracker 05-02-2005  3 126" xfId="22988"/>
    <cellStyle name="Comma [0] TBD-_2007 Concern tracker 05-02-2005  3 126" xfId="22989"/>
    <cellStyle name="Comma [0] TBD_2007 Concern tracker 05-02-2005  3 127" xfId="22990"/>
    <cellStyle name="Comma [0] TBD-_2007 Concern tracker 05-02-2005  3 127" xfId="22991"/>
    <cellStyle name="Comma [0] TBD_2007 Concern tracker 05-02-2005  3 128" xfId="22992"/>
    <cellStyle name="Comma [0] TBD-_2007 Concern tracker 05-02-2005  3 128" xfId="22993"/>
    <cellStyle name="Comma [0] TBD_2007 Concern tracker 05-02-2005  3 129" xfId="22994"/>
    <cellStyle name="Comma [0] TBD-_2007 Concern tracker 05-02-2005  3 129" xfId="22995"/>
    <cellStyle name="Comma [0] TBD_2007 Concern tracker 05-02-2005  3 13" xfId="22996"/>
    <cellStyle name="Comma [0] TBD-_2007 Concern tracker 05-02-2005  3 13" xfId="22997"/>
    <cellStyle name="Comma [0] TBD_2007 Concern tracker 05-02-2005  3 130" xfId="22998"/>
    <cellStyle name="Comma [0] TBD-_2007 Concern tracker 05-02-2005  3 130" xfId="22999"/>
    <cellStyle name="Comma [0] TBD_2007 Concern tracker 05-02-2005  3 131" xfId="23000"/>
    <cellStyle name="Comma [0] TBD-_2007 Concern tracker 05-02-2005  3 131" xfId="23001"/>
    <cellStyle name="Comma [0] TBD_2007 Concern tracker 05-02-2005  3 132" xfId="23002"/>
    <cellStyle name="Comma [0] TBD-_2007 Concern tracker 05-02-2005  3 132" xfId="23003"/>
    <cellStyle name="Comma [0] TBD_2007 Concern tracker 05-02-2005  3 133" xfId="23004"/>
    <cellStyle name="Comma [0] TBD-_2007 Concern tracker 05-02-2005  3 133" xfId="23005"/>
    <cellStyle name="Comma [0] TBD_2007 Concern tracker 05-02-2005  3 134" xfId="23006"/>
    <cellStyle name="Comma [0] TBD-_2007 Concern tracker 05-02-2005  3 134" xfId="23007"/>
    <cellStyle name="Comma [0] TBD_2007 Concern tracker 05-02-2005  3 135" xfId="23008"/>
    <cellStyle name="Comma [0] TBD-_2007 Concern tracker 05-02-2005  3 135" xfId="23009"/>
    <cellStyle name="Comma [0] TBD_2007 Concern tracker 05-02-2005  3 136" xfId="23010"/>
    <cellStyle name="Comma [0] TBD-_2007 Concern tracker 05-02-2005  3 136" xfId="23011"/>
    <cellStyle name="Comma [0] TBD_2007 Concern tracker 05-02-2005  3 137" xfId="23012"/>
    <cellStyle name="Comma [0] TBD-_2007 Concern tracker 05-02-2005  3 137" xfId="23013"/>
    <cellStyle name="Comma [0] TBD_2007 Concern tracker 05-02-2005  3 138" xfId="23014"/>
    <cellStyle name="Comma [0] TBD-_2007 Concern tracker 05-02-2005  3 138" xfId="23015"/>
    <cellStyle name="Comma [0] TBD_2007 Concern tracker 05-02-2005  3 139" xfId="23016"/>
    <cellStyle name="Comma [0] TBD-_2007 Concern tracker 05-02-2005  3 139" xfId="23017"/>
    <cellStyle name="Comma [0] TBD_2007 Concern tracker 05-02-2005  3 14" xfId="23018"/>
    <cellStyle name="Comma [0] TBD-_2007 Concern tracker 05-02-2005  3 14" xfId="23019"/>
    <cellStyle name="Comma [0] TBD_2007 Concern tracker 05-02-2005  3 140" xfId="23020"/>
    <cellStyle name="Comma [0] TBD-_2007 Concern tracker 05-02-2005  3 140" xfId="23021"/>
    <cellStyle name="Comma [0] TBD_2007 Concern tracker 05-02-2005  3 141" xfId="23022"/>
    <cellStyle name="Comma [0] TBD-_2007 Concern tracker 05-02-2005  3 141" xfId="23023"/>
    <cellStyle name="Comma [0] TBD_2007 Concern tracker 05-02-2005  3 142" xfId="23024"/>
    <cellStyle name="Comma [0] TBD-_2007 Concern tracker 05-02-2005  3 142" xfId="23025"/>
    <cellStyle name="Comma [0] TBD_2007 Concern tracker 05-02-2005  3 143" xfId="23026"/>
    <cellStyle name="Comma [0] TBD-_2007 Concern tracker 05-02-2005  3 143" xfId="23027"/>
    <cellStyle name="Comma [0] TBD_2007 Concern tracker 05-02-2005  3 144" xfId="23028"/>
    <cellStyle name="Comma [0] TBD-_2007 Concern tracker 05-02-2005  3 144" xfId="23029"/>
    <cellStyle name="Comma [0] TBD_2007 Concern tracker 05-02-2005  3 145" xfId="23030"/>
    <cellStyle name="Comma [0] TBD-_2007 Concern tracker 05-02-2005  3 145" xfId="23031"/>
    <cellStyle name="Comma [0] TBD_2007 Concern tracker 05-02-2005  3 146" xfId="23032"/>
    <cellStyle name="Comma [0] TBD-_2007 Concern tracker 05-02-2005  3 146" xfId="23033"/>
    <cellStyle name="Comma [0] TBD_2007 Concern tracker 05-02-2005  3 147" xfId="23034"/>
    <cellStyle name="Comma [0] TBD-_2007 Concern tracker 05-02-2005  3 147" xfId="23035"/>
    <cellStyle name="Comma [0] TBD_2007 Concern tracker 05-02-2005  3 148" xfId="23036"/>
    <cellStyle name="Comma [0] TBD-_2007 Concern tracker 05-02-2005  3 148" xfId="23037"/>
    <cellStyle name="Comma [0] TBD_2007 Concern tracker 05-02-2005  3 149" xfId="23038"/>
    <cellStyle name="Comma [0] TBD-_2007 Concern tracker 05-02-2005  3 149" xfId="23039"/>
    <cellStyle name="Comma [0] TBD_2007 Concern tracker 05-02-2005  3 15" xfId="23040"/>
    <cellStyle name="Comma [0] TBD-_2007 Concern tracker 05-02-2005  3 15" xfId="23041"/>
    <cellStyle name="Comma [0] TBD_2007 Concern tracker 05-02-2005  3 150" xfId="23042"/>
    <cellStyle name="Comma [0] TBD-_2007 Concern tracker 05-02-2005  3 150" xfId="23043"/>
    <cellStyle name="Comma [0] TBD_2007 Concern tracker 05-02-2005  3 151" xfId="23044"/>
    <cellStyle name="Comma [0] TBD-_2007 Concern tracker 05-02-2005  3 151" xfId="23045"/>
    <cellStyle name="Comma [0] TBD_2007 Concern tracker 05-02-2005  3 152" xfId="23046"/>
    <cellStyle name="Comma [0] TBD-_2007 Concern tracker 05-02-2005  3 152" xfId="23047"/>
    <cellStyle name="Comma [0] TBD_2007 Concern tracker 05-02-2005  3 153" xfId="23048"/>
    <cellStyle name="Comma [0] TBD-_2007 Concern tracker 05-02-2005  3 153" xfId="23049"/>
    <cellStyle name="Comma [0] TBD_2007 Concern tracker 05-02-2005  3 16" xfId="23050"/>
    <cellStyle name="Comma [0] TBD-_2007 Concern tracker 05-02-2005  3 16" xfId="23051"/>
    <cellStyle name="Comma [0] TBD_2007 Concern tracker 05-02-2005  3 17" xfId="23052"/>
    <cellStyle name="Comma [0] TBD-_2007 Concern tracker 05-02-2005  3 17" xfId="23053"/>
    <cellStyle name="Comma [0] TBD_2007 Concern tracker 05-02-2005  3 18" xfId="23054"/>
    <cellStyle name="Comma [0] TBD-_2007 Concern tracker 05-02-2005  3 18" xfId="23055"/>
    <cellStyle name="Comma [0] TBD_2007 Concern tracker 05-02-2005  3 19" xfId="23056"/>
    <cellStyle name="Comma [0] TBD-_2007 Concern tracker 05-02-2005  3 19" xfId="23057"/>
    <cellStyle name="Comma [0] TBD_2007 Concern tracker 05-02-2005  3 2" xfId="23058"/>
    <cellStyle name="Comma [0] TBD-_2007 Concern tracker 05-02-2005  3 2" xfId="23059"/>
    <cellStyle name="Comma [0] TBD_2007 Concern tracker 05-02-2005  3 2 2" xfId="23060"/>
    <cellStyle name="Comma [0] TBD-_2007 Concern tracker 05-02-2005  3 2 2" xfId="23061"/>
    <cellStyle name="Comma [0] TBD_2007 Concern tracker 05-02-2005  3 20" xfId="23062"/>
    <cellStyle name="Comma [0] TBD-_2007 Concern tracker 05-02-2005  3 20" xfId="23063"/>
    <cellStyle name="Comma [0] TBD_2007 Concern tracker 05-02-2005  3 21" xfId="23064"/>
    <cellStyle name="Comma [0] TBD-_2007 Concern tracker 05-02-2005  3 21" xfId="23065"/>
    <cellStyle name="Comma [0] TBD_2007 Concern tracker 05-02-2005  3 22" xfId="23066"/>
    <cellStyle name="Comma [0] TBD-_2007 Concern tracker 05-02-2005  3 22" xfId="23067"/>
    <cellStyle name="Comma [0] TBD_2007 Concern tracker 05-02-2005  3 23" xfId="23068"/>
    <cellStyle name="Comma [0] TBD-_2007 Concern tracker 05-02-2005  3 23" xfId="23069"/>
    <cellStyle name="Comma [0] TBD_2007 Concern tracker 05-02-2005  3 24" xfId="23070"/>
    <cellStyle name="Comma [0] TBD-_2007 Concern tracker 05-02-2005  3 24" xfId="23071"/>
    <cellStyle name="Comma [0] TBD_2007 Concern tracker 05-02-2005  3 25" xfId="23072"/>
    <cellStyle name="Comma [0] TBD-_2007 Concern tracker 05-02-2005  3 25" xfId="23073"/>
    <cellStyle name="Comma [0] TBD_2007 Concern tracker 05-02-2005  3 26" xfId="23074"/>
    <cellStyle name="Comma [0] TBD-_2007 Concern tracker 05-02-2005  3 26" xfId="23075"/>
    <cellStyle name="Comma [0] TBD_2007 Concern tracker 05-02-2005  3 27" xfId="23076"/>
    <cellStyle name="Comma [0] TBD-_2007 Concern tracker 05-02-2005  3 27" xfId="23077"/>
    <cellStyle name="Comma [0] TBD_2007 Concern tracker 05-02-2005  3 28" xfId="23078"/>
    <cellStyle name="Comma [0] TBD-_2007 Concern tracker 05-02-2005  3 28" xfId="23079"/>
    <cellStyle name="Comma [0] TBD_2007 Concern tracker 05-02-2005  3 29" xfId="23080"/>
    <cellStyle name="Comma [0] TBD-_2007 Concern tracker 05-02-2005  3 29" xfId="23081"/>
    <cellStyle name="Comma [0] TBD_2007 Concern tracker 05-02-2005  3 3" xfId="23082"/>
    <cellStyle name="Comma [0] TBD-_2007 Concern tracker 05-02-2005  3 3" xfId="23083"/>
    <cellStyle name="Comma [0] TBD_2007 Concern tracker 05-02-2005  3 30" xfId="23084"/>
    <cellStyle name="Comma [0] TBD-_2007 Concern tracker 05-02-2005  3 30" xfId="23085"/>
    <cellStyle name="Comma [0] TBD_2007 Concern tracker 05-02-2005  3 31" xfId="23086"/>
    <cellStyle name="Comma [0] TBD-_2007 Concern tracker 05-02-2005  3 31" xfId="23087"/>
    <cellStyle name="Comma [0] TBD_2007 Concern tracker 05-02-2005  3 32" xfId="23088"/>
    <cellStyle name="Comma [0] TBD-_2007 Concern tracker 05-02-2005  3 32" xfId="23089"/>
    <cellStyle name="Comma [0] TBD_2007 Concern tracker 05-02-2005  3 33" xfId="23090"/>
    <cellStyle name="Comma [0] TBD-_2007 Concern tracker 05-02-2005  3 33" xfId="23091"/>
    <cellStyle name="Comma [0] TBD_2007 Concern tracker 05-02-2005  3 34" xfId="23092"/>
    <cellStyle name="Comma [0] TBD-_2007 Concern tracker 05-02-2005  3 34" xfId="23093"/>
    <cellStyle name="Comma [0] TBD_2007 Concern tracker 05-02-2005  3 35" xfId="23094"/>
    <cellStyle name="Comma [0] TBD-_2007 Concern tracker 05-02-2005  3 35" xfId="23095"/>
    <cellStyle name="Comma [0] TBD_2007 Concern tracker 05-02-2005  3 36" xfId="23096"/>
    <cellStyle name="Comma [0] TBD-_2007 Concern tracker 05-02-2005  3 36" xfId="23097"/>
    <cellStyle name="Comma [0] TBD_2007 Concern tracker 05-02-2005  3 37" xfId="23098"/>
    <cellStyle name="Comma [0] TBD-_2007 Concern tracker 05-02-2005  3 37" xfId="23099"/>
    <cellStyle name="Comma [0] TBD_2007 Concern tracker 05-02-2005  3 38" xfId="23100"/>
    <cellStyle name="Comma [0] TBD-_2007 Concern tracker 05-02-2005  3 38" xfId="23101"/>
    <cellStyle name="Comma [0] TBD_2007 Concern tracker 05-02-2005  3 39" xfId="23102"/>
    <cellStyle name="Comma [0] TBD-_2007 Concern tracker 05-02-2005  3 39" xfId="23103"/>
    <cellStyle name="Comma [0] TBD_2007 Concern tracker 05-02-2005  3 4" xfId="23104"/>
    <cellStyle name="Comma [0] TBD-_2007 Concern tracker 05-02-2005  3 4" xfId="23105"/>
    <cellStyle name="Comma [0] TBD_2007 Concern tracker 05-02-2005  3 40" xfId="23106"/>
    <cellStyle name="Comma [0] TBD-_2007 Concern tracker 05-02-2005  3 40" xfId="23107"/>
    <cellStyle name="Comma [0] TBD_2007 Concern tracker 05-02-2005  3 41" xfId="23108"/>
    <cellStyle name="Comma [0] TBD-_2007 Concern tracker 05-02-2005  3 41" xfId="23109"/>
    <cellStyle name="Comma [0] TBD_2007 Concern tracker 05-02-2005  3 42" xfId="23110"/>
    <cellStyle name="Comma [0] TBD-_2007 Concern tracker 05-02-2005  3 42" xfId="23111"/>
    <cellStyle name="Comma [0] TBD_2007 Concern tracker 05-02-2005  3 43" xfId="23112"/>
    <cellStyle name="Comma [0] TBD-_2007 Concern tracker 05-02-2005  3 43" xfId="23113"/>
    <cellStyle name="Comma [0] TBD_2007 Concern tracker 05-02-2005  3 44" xfId="23114"/>
    <cellStyle name="Comma [0] TBD-_2007 Concern tracker 05-02-2005  3 44" xfId="23115"/>
    <cellStyle name="Comma [0] TBD_2007 Concern tracker 05-02-2005  3 45" xfId="23116"/>
    <cellStyle name="Comma [0] TBD-_2007 Concern tracker 05-02-2005  3 45" xfId="23117"/>
    <cellStyle name="Comma [0] TBD_2007 Concern tracker 05-02-2005  3 46" xfId="23118"/>
    <cellStyle name="Comma [0] TBD-_2007 Concern tracker 05-02-2005  3 46" xfId="23119"/>
    <cellStyle name="Comma [0] TBD_2007 Concern tracker 05-02-2005  3 47" xfId="23120"/>
    <cellStyle name="Comma [0] TBD-_2007 Concern tracker 05-02-2005  3 47" xfId="23121"/>
    <cellStyle name="Comma [0] TBD_2007 Concern tracker 05-02-2005  3 48" xfId="23122"/>
    <cellStyle name="Comma [0] TBD-_2007 Concern tracker 05-02-2005  3 48" xfId="23123"/>
    <cellStyle name="Comma [0] TBD_2007 Concern tracker 05-02-2005  3 49" xfId="23124"/>
    <cellStyle name="Comma [0] TBD-_2007 Concern tracker 05-02-2005  3 49" xfId="23125"/>
    <cellStyle name="Comma [0] TBD_2007 Concern tracker 05-02-2005  3 5" xfId="23126"/>
    <cellStyle name="Comma [0] TBD-_2007 Concern tracker 05-02-2005  3 5" xfId="23127"/>
    <cellStyle name="Comma [0] TBD_2007 Concern tracker 05-02-2005  3 50" xfId="23128"/>
    <cellStyle name="Comma [0] TBD-_2007 Concern tracker 05-02-2005  3 50" xfId="23129"/>
    <cellStyle name="Comma [0] TBD_2007 Concern tracker 05-02-2005  3 51" xfId="23130"/>
    <cellStyle name="Comma [0] TBD-_2007 Concern tracker 05-02-2005  3 51" xfId="23131"/>
    <cellStyle name="Comma [0] TBD_2007 Concern tracker 05-02-2005  3 52" xfId="23132"/>
    <cellStyle name="Comma [0] TBD-_2007 Concern tracker 05-02-2005  3 52" xfId="23133"/>
    <cellStyle name="Comma [0] TBD_2007 Concern tracker 05-02-2005  3 53" xfId="23134"/>
    <cellStyle name="Comma [0] TBD-_2007 Concern tracker 05-02-2005  3 53" xfId="23135"/>
    <cellStyle name="Comma [0] TBD_2007 Concern tracker 05-02-2005  3 54" xfId="23136"/>
    <cellStyle name="Comma [0] TBD-_2007 Concern tracker 05-02-2005  3 54" xfId="23137"/>
    <cellStyle name="Comma [0] TBD_2007 Concern tracker 05-02-2005  3 55" xfId="23138"/>
    <cellStyle name="Comma [0] TBD-_2007 Concern tracker 05-02-2005  3 55" xfId="23139"/>
    <cellStyle name="Comma [0] TBD_2007 Concern tracker 05-02-2005  3 56" xfId="23140"/>
    <cellStyle name="Comma [0] TBD-_2007 Concern tracker 05-02-2005  3 56" xfId="23141"/>
    <cellStyle name="Comma [0] TBD_2007 Concern tracker 05-02-2005  3 57" xfId="23142"/>
    <cellStyle name="Comma [0] TBD-_2007 Concern tracker 05-02-2005  3 57" xfId="23143"/>
    <cellStyle name="Comma [0] TBD_2007 Concern tracker 05-02-2005  3 58" xfId="23144"/>
    <cellStyle name="Comma [0] TBD-_2007 Concern tracker 05-02-2005  3 58" xfId="23145"/>
    <cellStyle name="Comma [0] TBD_2007 Concern tracker 05-02-2005  3 59" xfId="23146"/>
    <cellStyle name="Comma [0] TBD-_2007 Concern tracker 05-02-2005  3 59" xfId="23147"/>
    <cellStyle name="Comma [0] TBD_2007 Concern tracker 05-02-2005  3 6" xfId="23148"/>
    <cellStyle name="Comma [0] TBD-_2007 Concern tracker 05-02-2005  3 6" xfId="23149"/>
    <cellStyle name="Comma [0] TBD_2007 Concern tracker 05-02-2005  3 60" xfId="23150"/>
    <cellStyle name="Comma [0] TBD-_2007 Concern tracker 05-02-2005  3 60" xfId="23151"/>
    <cellStyle name="Comma [0] TBD_2007 Concern tracker 05-02-2005  3 61" xfId="23152"/>
    <cellStyle name="Comma [0] TBD-_2007 Concern tracker 05-02-2005  3 61" xfId="23153"/>
    <cellStyle name="Comma [0] TBD_2007 Concern tracker 05-02-2005  3 62" xfId="23154"/>
    <cellStyle name="Comma [0] TBD-_2007 Concern tracker 05-02-2005  3 62" xfId="23155"/>
    <cellStyle name="Comma [0] TBD_2007 Concern tracker 05-02-2005  3 63" xfId="23156"/>
    <cellStyle name="Comma [0] TBD-_2007 Concern tracker 05-02-2005  3 63" xfId="23157"/>
    <cellStyle name="Comma [0] TBD_2007 Concern tracker 05-02-2005  3 64" xfId="23158"/>
    <cellStyle name="Comma [0] TBD-_2007 Concern tracker 05-02-2005  3 64" xfId="23159"/>
    <cellStyle name="Comma [0] TBD_2007 Concern tracker 05-02-2005  3 65" xfId="23160"/>
    <cellStyle name="Comma [0] TBD-_2007 Concern tracker 05-02-2005  3 65" xfId="23161"/>
    <cellStyle name="Comma [0] TBD_2007 Concern tracker 05-02-2005  3 66" xfId="23162"/>
    <cellStyle name="Comma [0] TBD-_2007 Concern tracker 05-02-2005  3 66" xfId="23163"/>
    <cellStyle name="Comma [0] TBD_2007 Concern tracker 05-02-2005  3 67" xfId="23164"/>
    <cellStyle name="Comma [0] TBD-_2007 Concern tracker 05-02-2005  3 67" xfId="23165"/>
    <cellStyle name="Comma [0] TBD_2007 Concern tracker 05-02-2005  3 68" xfId="23166"/>
    <cellStyle name="Comma [0] TBD-_2007 Concern tracker 05-02-2005  3 68" xfId="23167"/>
    <cellStyle name="Comma [0] TBD_2007 Concern tracker 05-02-2005  3 69" xfId="23168"/>
    <cellStyle name="Comma [0] TBD-_2007 Concern tracker 05-02-2005  3 69" xfId="23169"/>
    <cellStyle name="Comma [0] TBD_2007 Concern tracker 05-02-2005  3 7" xfId="23170"/>
    <cellStyle name="Comma [0] TBD-_2007 Concern tracker 05-02-2005  3 7" xfId="23171"/>
    <cellStyle name="Comma [0] TBD_2007 Concern tracker 05-02-2005  3 70" xfId="23172"/>
    <cellStyle name="Comma [0] TBD-_2007 Concern tracker 05-02-2005  3 70" xfId="23173"/>
    <cellStyle name="Comma [0] TBD_2007 Concern tracker 05-02-2005  3 71" xfId="23174"/>
    <cellStyle name="Comma [0] TBD-_2007 Concern tracker 05-02-2005  3 71" xfId="23175"/>
    <cellStyle name="Comma [0] TBD_2007 Concern tracker 05-02-2005  3 72" xfId="23176"/>
    <cellStyle name="Comma [0] TBD-_2007 Concern tracker 05-02-2005  3 72" xfId="23177"/>
    <cellStyle name="Comma [0] TBD_2007 Concern tracker 05-02-2005  3 73" xfId="23178"/>
    <cellStyle name="Comma [0] TBD-_2007 Concern tracker 05-02-2005  3 73" xfId="23179"/>
    <cellStyle name="Comma [0] TBD_2007 Concern tracker 05-02-2005  3 74" xfId="23180"/>
    <cellStyle name="Comma [0] TBD-_2007 Concern tracker 05-02-2005  3 74" xfId="23181"/>
    <cellStyle name="Comma [0] TBD_2007 Concern tracker 05-02-2005  3 75" xfId="23182"/>
    <cellStyle name="Comma [0] TBD-_2007 Concern tracker 05-02-2005  3 75" xfId="23183"/>
    <cellStyle name="Comma [0] TBD_2007 Concern tracker 05-02-2005  3 76" xfId="23184"/>
    <cellStyle name="Comma [0] TBD-_2007 Concern tracker 05-02-2005  3 76" xfId="23185"/>
    <cellStyle name="Comma [0] TBD_2007 Concern tracker 05-02-2005  3 77" xfId="23186"/>
    <cellStyle name="Comma [0] TBD-_2007 Concern tracker 05-02-2005  3 77" xfId="23187"/>
    <cellStyle name="Comma [0] TBD_2007 Concern tracker 05-02-2005  3 78" xfId="23188"/>
    <cellStyle name="Comma [0] TBD-_2007 Concern tracker 05-02-2005  3 78" xfId="23189"/>
    <cellStyle name="Comma [0] TBD_2007 Concern tracker 05-02-2005  3 79" xfId="23190"/>
    <cellStyle name="Comma [0] TBD-_2007 Concern tracker 05-02-2005  3 79" xfId="23191"/>
    <cellStyle name="Comma [0] TBD_2007 Concern tracker 05-02-2005  3 8" xfId="23192"/>
    <cellStyle name="Comma [0] TBD-_2007 Concern tracker 05-02-2005  3 8" xfId="23193"/>
    <cellStyle name="Comma [0] TBD_2007 Concern tracker 05-02-2005  3 80" xfId="23194"/>
    <cellStyle name="Comma [0] TBD-_2007 Concern tracker 05-02-2005  3 80" xfId="23195"/>
    <cellStyle name="Comma [0] TBD_2007 Concern tracker 05-02-2005  3 81" xfId="23196"/>
    <cellStyle name="Comma [0] TBD-_2007 Concern tracker 05-02-2005  3 81" xfId="23197"/>
    <cellStyle name="Comma [0] TBD_2007 Concern tracker 05-02-2005  3 82" xfId="23198"/>
    <cellStyle name="Comma [0] TBD-_2007 Concern tracker 05-02-2005  3 82" xfId="23199"/>
    <cellStyle name="Comma [0] TBD_2007 Concern tracker 05-02-2005  3 83" xfId="23200"/>
    <cellStyle name="Comma [0] TBD-_2007 Concern tracker 05-02-2005  3 83" xfId="23201"/>
    <cellStyle name="Comma [0] TBD_2007 Concern tracker 05-02-2005  3 84" xfId="23202"/>
    <cellStyle name="Comma [0] TBD-_2007 Concern tracker 05-02-2005  3 84" xfId="23203"/>
    <cellStyle name="Comma [0] TBD_2007 Concern tracker 05-02-2005  3 85" xfId="23204"/>
    <cellStyle name="Comma [0] TBD-_2007 Concern tracker 05-02-2005  3 85" xfId="23205"/>
    <cellStyle name="Comma [0] TBD_2007 Concern tracker 05-02-2005  3 86" xfId="23206"/>
    <cellStyle name="Comma [0] TBD-_2007 Concern tracker 05-02-2005  3 86" xfId="23207"/>
    <cellStyle name="Comma [0] TBD_2007 Concern tracker 05-02-2005  3 87" xfId="23208"/>
    <cellStyle name="Comma [0] TBD-_2007 Concern tracker 05-02-2005  3 87" xfId="23209"/>
    <cellStyle name="Comma [0] TBD_2007 Concern tracker 05-02-2005  3 88" xfId="23210"/>
    <cellStyle name="Comma [0] TBD-_2007 Concern tracker 05-02-2005  3 88" xfId="23211"/>
    <cellStyle name="Comma [0] TBD_2007 Concern tracker 05-02-2005  3 89" xfId="23212"/>
    <cellStyle name="Comma [0] TBD-_2007 Concern tracker 05-02-2005  3 89" xfId="23213"/>
    <cellStyle name="Comma [0] TBD_2007 Concern tracker 05-02-2005  3 9" xfId="23214"/>
    <cellStyle name="Comma [0] TBD-_2007 Concern tracker 05-02-2005  3 9" xfId="23215"/>
    <cellStyle name="Comma [0] TBD_2007 Concern tracker 05-02-2005  3 90" xfId="23216"/>
    <cellStyle name="Comma [0] TBD-_2007 Concern tracker 05-02-2005  3 90" xfId="23217"/>
    <cellStyle name="Comma [0] TBD_2007 Concern tracker 05-02-2005  3 91" xfId="23218"/>
    <cellStyle name="Comma [0] TBD-_2007 Concern tracker 05-02-2005  3 91" xfId="23219"/>
    <cellStyle name="Comma [0] TBD_2007 Concern tracker 05-02-2005  3 92" xfId="23220"/>
    <cellStyle name="Comma [0] TBD-_2007 Concern tracker 05-02-2005  3 92" xfId="23221"/>
    <cellStyle name="Comma [0] TBD_2007 Concern tracker 05-02-2005  3 93" xfId="23222"/>
    <cellStyle name="Comma [0] TBD-_2007 Concern tracker 05-02-2005  3 93" xfId="23223"/>
    <cellStyle name="Comma [0] TBD_2007 Concern tracker 05-02-2005  3 94" xfId="23224"/>
    <cellStyle name="Comma [0] TBD-_2007 Concern tracker 05-02-2005  3 94" xfId="23225"/>
    <cellStyle name="Comma [0] TBD_2007 Concern tracker 05-02-2005  3 95" xfId="23226"/>
    <cellStyle name="Comma [0] TBD-_2007 Concern tracker 05-02-2005  3 95" xfId="23227"/>
    <cellStyle name="Comma [0] TBD_2007 Concern tracker 05-02-2005  3 96" xfId="23228"/>
    <cellStyle name="Comma [0] TBD-_2007 Concern tracker 05-02-2005  3 96" xfId="23229"/>
    <cellStyle name="Comma [0] TBD_2007 Concern tracker 05-02-2005  3 97" xfId="23230"/>
    <cellStyle name="Comma [0] TBD-_2007 Concern tracker 05-02-2005  3 97" xfId="23231"/>
    <cellStyle name="Comma [0] TBD_2007 Concern tracker 05-02-2005  3 98" xfId="23232"/>
    <cellStyle name="Comma [0] TBD-_2007 Concern tracker 05-02-2005  3 98" xfId="23233"/>
    <cellStyle name="Comma [0] TBD_2007 Concern tracker 05-02-2005  3 99" xfId="23234"/>
    <cellStyle name="Comma [0] TBD-_2007 Concern tracker 05-02-2005  3 99" xfId="23235"/>
    <cellStyle name="Comma [0] TBD_2007 Concern tracker 05-02-2005  4" xfId="23236"/>
    <cellStyle name="Comma [0] TBD-_2007 Concern tracker 05-02-2005  4" xfId="23237"/>
    <cellStyle name="Comma [0] TBD_2007 Concern tracker 05-02-2005  4 10" xfId="23238"/>
    <cellStyle name="Comma [0] TBD-_2007 Concern tracker 05-02-2005  4 10" xfId="23239"/>
    <cellStyle name="Comma [0] TBD_2007 Concern tracker 05-02-2005  4 100" xfId="23240"/>
    <cellStyle name="Comma [0] TBD-_2007 Concern tracker 05-02-2005  4 100" xfId="23241"/>
    <cellStyle name="Comma [0] TBD_2007 Concern tracker 05-02-2005  4 101" xfId="23242"/>
    <cellStyle name="Comma [0] TBD-_2007 Concern tracker 05-02-2005  4 101" xfId="23243"/>
    <cellStyle name="Comma [0] TBD_2007 Concern tracker 05-02-2005  4 102" xfId="23244"/>
    <cellStyle name="Comma [0] TBD-_2007 Concern tracker 05-02-2005  4 102" xfId="23245"/>
    <cellStyle name="Comma [0] TBD_2007 Concern tracker 05-02-2005  4 103" xfId="23246"/>
    <cellStyle name="Comma [0] TBD-_2007 Concern tracker 05-02-2005  4 103" xfId="23247"/>
    <cellStyle name="Comma [0] TBD_2007 Concern tracker 05-02-2005  4 104" xfId="23248"/>
    <cellStyle name="Comma [0] TBD-_2007 Concern tracker 05-02-2005  4 104" xfId="23249"/>
    <cellStyle name="Comma [0] TBD_2007 Concern tracker 05-02-2005  4 105" xfId="23250"/>
    <cellStyle name="Comma [0] TBD-_2007 Concern tracker 05-02-2005  4 105" xfId="23251"/>
    <cellStyle name="Comma [0] TBD_2007 Concern tracker 05-02-2005  4 106" xfId="23252"/>
    <cellStyle name="Comma [0] TBD-_2007 Concern tracker 05-02-2005  4 106" xfId="23253"/>
    <cellStyle name="Comma [0] TBD_2007 Concern tracker 05-02-2005  4 107" xfId="23254"/>
    <cellStyle name="Comma [0] TBD-_2007 Concern tracker 05-02-2005  4 107" xfId="23255"/>
    <cellStyle name="Comma [0] TBD_2007 Concern tracker 05-02-2005  4 108" xfId="23256"/>
    <cellStyle name="Comma [0] TBD-_2007 Concern tracker 05-02-2005  4 108" xfId="23257"/>
    <cellStyle name="Comma [0] TBD_2007 Concern tracker 05-02-2005  4 109" xfId="23258"/>
    <cellStyle name="Comma [0] TBD-_2007 Concern tracker 05-02-2005  4 109" xfId="23259"/>
    <cellStyle name="Comma [0] TBD_2007 Concern tracker 05-02-2005  4 11" xfId="23260"/>
    <cellStyle name="Comma [0] TBD-_2007 Concern tracker 05-02-2005  4 11" xfId="23261"/>
    <cellStyle name="Comma [0] TBD_2007 Concern tracker 05-02-2005  4 110" xfId="23262"/>
    <cellStyle name="Comma [0] TBD-_2007 Concern tracker 05-02-2005  4 110" xfId="23263"/>
    <cellStyle name="Comma [0] TBD_2007 Concern tracker 05-02-2005  4 111" xfId="23264"/>
    <cellStyle name="Comma [0] TBD-_2007 Concern tracker 05-02-2005  4 111" xfId="23265"/>
    <cellStyle name="Comma [0] TBD_2007 Concern tracker 05-02-2005  4 112" xfId="23266"/>
    <cellStyle name="Comma [0] TBD-_2007 Concern tracker 05-02-2005  4 112" xfId="23267"/>
    <cellStyle name="Comma [0] TBD_2007 Concern tracker 05-02-2005  4 113" xfId="23268"/>
    <cellStyle name="Comma [0] TBD-_2007 Concern tracker 05-02-2005  4 113" xfId="23269"/>
    <cellStyle name="Comma [0] TBD_2007 Concern tracker 05-02-2005  4 114" xfId="23270"/>
    <cellStyle name="Comma [0] TBD-_2007 Concern tracker 05-02-2005  4 114" xfId="23271"/>
    <cellStyle name="Comma [0] TBD_2007 Concern tracker 05-02-2005  4 115" xfId="23272"/>
    <cellStyle name="Comma [0] TBD-_2007 Concern tracker 05-02-2005  4 115" xfId="23273"/>
    <cellStyle name="Comma [0] TBD_2007 Concern tracker 05-02-2005  4 116" xfId="23274"/>
    <cellStyle name="Comma [0] TBD-_2007 Concern tracker 05-02-2005  4 116" xfId="23275"/>
    <cellStyle name="Comma [0] TBD_2007 Concern tracker 05-02-2005  4 117" xfId="23276"/>
    <cellStyle name="Comma [0] TBD-_2007 Concern tracker 05-02-2005  4 117" xfId="23277"/>
    <cellStyle name="Comma [0] TBD_2007 Concern tracker 05-02-2005  4 118" xfId="23278"/>
    <cellStyle name="Comma [0] TBD-_2007 Concern tracker 05-02-2005  4 118" xfId="23279"/>
    <cellStyle name="Comma [0] TBD_2007 Concern tracker 05-02-2005  4 119" xfId="23280"/>
    <cellStyle name="Comma [0] TBD-_2007 Concern tracker 05-02-2005  4 119" xfId="23281"/>
    <cellStyle name="Comma [0] TBD_2007 Concern tracker 05-02-2005  4 12" xfId="23282"/>
    <cellStyle name="Comma [0] TBD-_2007 Concern tracker 05-02-2005  4 12" xfId="23283"/>
    <cellStyle name="Comma [0] TBD_2007 Concern tracker 05-02-2005  4 120" xfId="23284"/>
    <cellStyle name="Comma [0] TBD-_2007 Concern tracker 05-02-2005  4 120" xfId="23285"/>
    <cellStyle name="Comma [0] TBD_2007 Concern tracker 05-02-2005  4 121" xfId="23286"/>
    <cellStyle name="Comma [0] TBD-_2007 Concern tracker 05-02-2005  4 121" xfId="23287"/>
    <cellStyle name="Comma [0] TBD_2007 Concern tracker 05-02-2005  4 122" xfId="23288"/>
    <cellStyle name="Comma [0] TBD-_2007 Concern tracker 05-02-2005  4 122" xfId="23289"/>
    <cellStyle name="Comma [0] TBD_2007 Concern tracker 05-02-2005  4 123" xfId="23290"/>
    <cellStyle name="Comma [0] TBD-_2007 Concern tracker 05-02-2005  4 123" xfId="23291"/>
    <cellStyle name="Comma [0] TBD_2007 Concern tracker 05-02-2005  4 124" xfId="23292"/>
    <cellStyle name="Comma [0] TBD-_2007 Concern tracker 05-02-2005  4 124" xfId="23293"/>
    <cellStyle name="Comma [0] TBD_2007 Concern tracker 05-02-2005  4 125" xfId="23294"/>
    <cellStyle name="Comma [0] TBD-_2007 Concern tracker 05-02-2005  4 125" xfId="23295"/>
    <cellStyle name="Comma [0] TBD_2007 Concern tracker 05-02-2005  4 126" xfId="23296"/>
    <cellStyle name="Comma [0] TBD-_2007 Concern tracker 05-02-2005  4 126" xfId="23297"/>
    <cellStyle name="Comma [0] TBD_2007 Concern tracker 05-02-2005  4 127" xfId="23298"/>
    <cellStyle name="Comma [0] TBD-_2007 Concern tracker 05-02-2005  4 127" xfId="23299"/>
    <cellStyle name="Comma [0] TBD_2007 Concern tracker 05-02-2005  4 128" xfId="23300"/>
    <cellStyle name="Comma [0] TBD-_2007 Concern tracker 05-02-2005  4 128" xfId="23301"/>
    <cellStyle name="Comma [0] TBD_2007 Concern tracker 05-02-2005  4 129" xfId="23302"/>
    <cellStyle name="Comma [0] TBD-_2007 Concern tracker 05-02-2005  4 129" xfId="23303"/>
    <cellStyle name="Comma [0] TBD_2007 Concern tracker 05-02-2005  4 13" xfId="23304"/>
    <cellStyle name="Comma [0] TBD-_2007 Concern tracker 05-02-2005  4 13" xfId="23305"/>
    <cellStyle name="Comma [0] TBD_2007 Concern tracker 05-02-2005  4 130" xfId="23306"/>
    <cellStyle name="Comma [0] TBD-_2007 Concern tracker 05-02-2005  4 130" xfId="23307"/>
    <cellStyle name="Comma [0] TBD_2007 Concern tracker 05-02-2005  4 131" xfId="23308"/>
    <cellStyle name="Comma [0] TBD-_2007 Concern tracker 05-02-2005  4 131" xfId="23309"/>
    <cellStyle name="Comma [0] TBD_2007 Concern tracker 05-02-2005  4 132" xfId="23310"/>
    <cellStyle name="Comma [0] TBD-_2007 Concern tracker 05-02-2005  4 132" xfId="23311"/>
    <cellStyle name="Comma [0] TBD_2007 Concern tracker 05-02-2005  4 133" xfId="23312"/>
    <cellStyle name="Comma [0] TBD-_2007 Concern tracker 05-02-2005  4 133" xfId="23313"/>
    <cellStyle name="Comma [0] TBD_2007 Concern tracker 05-02-2005  4 134" xfId="23314"/>
    <cellStyle name="Comma [0] TBD-_2007 Concern tracker 05-02-2005  4 134" xfId="23315"/>
    <cellStyle name="Comma [0] TBD_2007 Concern tracker 05-02-2005  4 135" xfId="23316"/>
    <cellStyle name="Comma [0] TBD-_2007 Concern tracker 05-02-2005  4 135" xfId="23317"/>
    <cellStyle name="Comma [0] TBD_2007 Concern tracker 05-02-2005  4 136" xfId="23318"/>
    <cellStyle name="Comma [0] TBD-_2007 Concern tracker 05-02-2005  4 136" xfId="23319"/>
    <cellStyle name="Comma [0] TBD_2007 Concern tracker 05-02-2005  4 137" xfId="23320"/>
    <cellStyle name="Comma [0] TBD-_2007 Concern tracker 05-02-2005  4 137" xfId="23321"/>
    <cellStyle name="Comma [0] TBD_2007 Concern tracker 05-02-2005  4 138" xfId="23322"/>
    <cellStyle name="Comma [0] TBD-_2007 Concern tracker 05-02-2005  4 138" xfId="23323"/>
    <cellStyle name="Comma [0] TBD_2007 Concern tracker 05-02-2005  4 139" xfId="23324"/>
    <cellStyle name="Comma [0] TBD-_2007 Concern tracker 05-02-2005  4 139" xfId="23325"/>
    <cellStyle name="Comma [0] TBD_2007 Concern tracker 05-02-2005  4 14" xfId="23326"/>
    <cellStyle name="Comma [0] TBD-_2007 Concern tracker 05-02-2005  4 14" xfId="23327"/>
    <cellStyle name="Comma [0] TBD_2007 Concern tracker 05-02-2005  4 140" xfId="23328"/>
    <cellStyle name="Comma [0] TBD-_2007 Concern tracker 05-02-2005  4 140" xfId="23329"/>
    <cellStyle name="Comma [0] TBD_2007 Concern tracker 05-02-2005  4 141" xfId="23330"/>
    <cellStyle name="Comma [0] TBD-_2007 Concern tracker 05-02-2005  4 141" xfId="23331"/>
    <cellStyle name="Comma [0] TBD_2007 Concern tracker 05-02-2005  4 142" xfId="23332"/>
    <cellStyle name="Comma [0] TBD-_2007 Concern tracker 05-02-2005  4 142" xfId="23333"/>
    <cellStyle name="Comma [0] TBD_2007 Concern tracker 05-02-2005  4 143" xfId="23334"/>
    <cellStyle name="Comma [0] TBD-_2007 Concern tracker 05-02-2005  4 143" xfId="23335"/>
    <cellStyle name="Comma [0] TBD_2007 Concern tracker 05-02-2005  4 144" xfId="23336"/>
    <cellStyle name="Comma [0] TBD-_2007 Concern tracker 05-02-2005  4 144" xfId="23337"/>
    <cellStyle name="Comma [0] TBD_2007 Concern tracker 05-02-2005  4 145" xfId="23338"/>
    <cellStyle name="Comma [0] TBD-_2007 Concern tracker 05-02-2005  4 145" xfId="23339"/>
    <cellStyle name="Comma [0] TBD_2007 Concern tracker 05-02-2005  4 146" xfId="23340"/>
    <cellStyle name="Comma [0] TBD-_2007 Concern tracker 05-02-2005  4 146" xfId="23341"/>
    <cellStyle name="Comma [0] TBD_2007 Concern tracker 05-02-2005  4 147" xfId="23342"/>
    <cellStyle name="Comma [0] TBD-_2007 Concern tracker 05-02-2005  4 147" xfId="23343"/>
    <cellStyle name="Comma [0] TBD_2007 Concern tracker 05-02-2005  4 148" xfId="23344"/>
    <cellStyle name="Comma [0] TBD-_2007 Concern tracker 05-02-2005  4 148" xfId="23345"/>
    <cellStyle name="Comma [0] TBD_2007 Concern tracker 05-02-2005  4 149" xfId="23346"/>
    <cellStyle name="Comma [0] TBD-_2007 Concern tracker 05-02-2005  4 149" xfId="23347"/>
    <cellStyle name="Comma [0] TBD_2007 Concern tracker 05-02-2005  4 15" xfId="23348"/>
    <cellStyle name="Comma [0] TBD-_2007 Concern tracker 05-02-2005  4 15" xfId="23349"/>
    <cellStyle name="Comma [0] TBD_2007 Concern tracker 05-02-2005  4 150" xfId="23350"/>
    <cellStyle name="Comma [0] TBD-_2007 Concern tracker 05-02-2005  4 150" xfId="23351"/>
    <cellStyle name="Comma [0] TBD_2007 Concern tracker 05-02-2005  4 151" xfId="23352"/>
    <cellStyle name="Comma [0] TBD-_2007 Concern tracker 05-02-2005  4 151" xfId="23353"/>
    <cellStyle name="Comma [0] TBD_2007 Concern tracker 05-02-2005  4 152" xfId="23354"/>
    <cellStyle name="Comma [0] TBD-_2007 Concern tracker 05-02-2005  4 152" xfId="23355"/>
    <cellStyle name="Comma [0] TBD_2007 Concern tracker 05-02-2005  4 153" xfId="23356"/>
    <cellStyle name="Comma [0] TBD-_2007 Concern tracker 05-02-2005  4 153" xfId="23357"/>
    <cellStyle name="Comma [0] TBD_2007 Concern tracker 05-02-2005  4 154" xfId="23358"/>
    <cellStyle name="Comma [0] TBD-_2007 Concern tracker 05-02-2005  4 154" xfId="23359"/>
    <cellStyle name="Comma [0] TBD_2007 Concern tracker 05-02-2005  4 16" xfId="23360"/>
    <cellStyle name="Comma [0] TBD-_2007 Concern tracker 05-02-2005  4 16" xfId="23361"/>
    <cellStyle name="Comma [0] TBD_2007 Concern tracker 05-02-2005  4 17" xfId="23362"/>
    <cellStyle name="Comma [0] TBD-_2007 Concern tracker 05-02-2005  4 17" xfId="23363"/>
    <cellStyle name="Comma [0] TBD_2007 Concern tracker 05-02-2005  4 18" xfId="23364"/>
    <cellStyle name="Comma [0] TBD-_2007 Concern tracker 05-02-2005  4 18" xfId="23365"/>
    <cellStyle name="Comma [0] TBD_2007 Concern tracker 05-02-2005  4 19" xfId="23366"/>
    <cellStyle name="Comma [0] TBD-_2007 Concern tracker 05-02-2005  4 19" xfId="23367"/>
    <cellStyle name="Comma [0] TBD_2007 Concern tracker 05-02-2005  4 2" xfId="23368"/>
    <cellStyle name="Comma [0] TBD-_2007 Concern tracker 05-02-2005  4 2" xfId="23369"/>
    <cellStyle name="Comma [0] TBD_2007 Concern tracker 05-02-2005  4 2 2" xfId="23370"/>
    <cellStyle name="Comma [0] TBD-_2007 Concern tracker 05-02-2005  4 2 2" xfId="23371"/>
    <cellStyle name="Comma [0] TBD_2007 Concern tracker 05-02-2005  4 20" xfId="23372"/>
    <cellStyle name="Comma [0] TBD-_2007 Concern tracker 05-02-2005  4 20" xfId="23373"/>
    <cellStyle name="Comma [0] TBD_2007 Concern tracker 05-02-2005  4 21" xfId="23374"/>
    <cellStyle name="Comma [0] TBD-_2007 Concern tracker 05-02-2005  4 21" xfId="23375"/>
    <cellStyle name="Comma [0] TBD_2007 Concern tracker 05-02-2005  4 22" xfId="23376"/>
    <cellStyle name="Comma [0] TBD-_2007 Concern tracker 05-02-2005  4 22" xfId="23377"/>
    <cellStyle name="Comma [0] TBD_2007 Concern tracker 05-02-2005  4 23" xfId="23378"/>
    <cellStyle name="Comma [0] TBD-_2007 Concern tracker 05-02-2005  4 23" xfId="23379"/>
    <cellStyle name="Comma [0] TBD_2007 Concern tracker 05-02-2005  4 24" xfId="23380"/>
    <cellStyle name="Comma [0] TBD-_2007 Concern tracker 05-02-2005  4 24" xfId="23381"/>
    <cellStyle name="Comma [0] TBD_2007 Concern tracker 05-02-2005  4 25" xfId="23382"/>
    <cellStyle name="Comma [0] TBD-_2007 Concern tracker 05-02-2005  4 25" xfId="23383"/>
    <cellStyle name="Comma [0] TBD_2007 Concern tracker 05-02-2005  4 26" xfId="23384"/>
    <cellStyle name="Comma [0] TBD-_2007 Concern tracker 05-02-2005  4 26" xfId="23385"/>
    <cellStyle name="Comma [0] TBD_2007 Concern tracker 05-02-2005  4 27" xfId="23386"/>
    <cellStyle name="Comma [0] TBD-_2007 Concern tracker 05-02-2005  4 27" xfId="23387"/>
    <cellStyle name="Comma [0] TBD_2007 Concern tracker 05-02-2005  4 28" xfId="23388"/>
    <cellStyle name="Comma [0] TBD-_2007 Concern tracker 05-02-2005  4 28" xfId="23389"/>
    <cellStyle name="Comma [0] TBD_2007 Concern tracker 05-02-2005  4 29" xfId="23390"/>
    <cellStyle name="Comma [0] TBD-_2007 Concern tracker 05-02-2005  4 29" xfId="23391"/>
    <cellStyle name="Comma [0] TBD_2007 Concern tracker 05-02-2005  4 3" xfId="23392"/>
    <cellStyle name="Comma [0] TBD-_2007 Concern tracker 05-02-2005  4 3" xfId="23393"/>
    <cellStyle name="Comma [0] TBD_2007 Concern tracker 05-02-2005  4 30" xfId="23394"/>
    <cellStyle name="Comma [0] TBD-_2007 Concern tracker 05-02-2005  4 30" xfId="23395"/>
    <cellStyle name="Comma [0] TBD_2007 Concern tracker 05-02-2005  4 31" xfId="23396"/>
    <cellStyle name="Comma [0] TBD-_2007 Concern tracker 05-02-2005  4 31" xfId="23397"/>
    <cellStyle name="Comma [0] TBD_2007 Concern tracker 05-02-2005  4 32" xfId="23398"/>
    <cellStyle name="Comma [0] TBD-_2007 Concern tracker 05-02-2005  4 32" xfId="23399"/>
    <cellStyle name="Comma [0] TBD_2007 Concern tracker 05-02-2005  4 33" xfId="23400"/>
    <cellStyle name="Comma [0] TBD-_2007 Concern tracker 05-02-2005  4 33" xfId="23401"/>
    <cellStyle name="Comma [0] TBD_2007 Concern tracker 05-02-2005  4 34" xfId="23402"/>
    <cellStyle name="Comma [0] TBD-_2007 Concern tracker 05-02-2005  4 34" xfId="23403"/>
    <cellStyle name="Comma [0] TBD_2007 Concern tracker 05-02-2005  4 35" xfId="23404"/>
    <cellStyle name="Comma [0] TBD-_2007 Concern tracker 05-02-2005  4 35" xfId="23405"/>
    <cellStyle name="Comma [0] TBD_2007 Concern tracker 05-02-2005  4 36" xfId="23406"/>
    <cellStyle name="Comma [0] TBD-_2007 Concern tracker 05-02-2005  4 36" xfId="23407"/>
    <cellStyle name="Comma [0] TBD_2007 Concern tracker 05-02-2005  4 37" xfId="23408"/>
    <cellStyle name="Comma [0] TBD-_2007 Concern tracker 05-02-2005  4 37" xfId="23409"/>
    <cellStyle name="Comma [0] TBD_2007 Concern tracker 05-02-2005  4 38" xfId="23410"/>
    <cellStyle name="Comma [0] TBD-_2007 Concern tracker 05-02-2005  4 38" xfId="23411"/>
    <cellStyle name="Comma [0] TBD_2007 Concern tracker 05-02-2005  4 39" xfId="23412"/>
    <cellStyle name="Comma [0] TBD-_2007 Concern tracker 05-02-2005  4 39" xfId="23413"/>
    <cellStyle name="Comma [0] TBD_2007 Concern tracker 05-02-2005  4 4" xfId="23414"/>
    <cellStyle name="Comma [0] TBD-_2007 Concern tracker 05-02-2005  4 4" xfId="23415"/>
    <cellStyle name="Comma [0] TBD_2007 Concern tracker 05-02-2005  4 40" xfId="23416"/>
    <cellStyle name="Comma [0] TBD-_2007 Concern tracker 05-02-2005  4 40" xfId="23417"/>
    <cellStyle name="Comma [0] TBD_2007 Concern tracker 05-02-2005  4 41" xfId="23418"/>
    <cellStyle name="Comma [0] TBD-_2007 Concern tracker 05-02-2005  4 41" xfId="23419"/>
    <cellStyle name="Comma [0] TBD_2007 Concern tracker 05-02-2005  4 42" xfId="23420"/>
    <cellStyle name="Comma [0] TBD-_2007 Concern tracker 05-02-2005  4 42" xfId="23421"/>
    <cellStyle name="Comma [0] TBD_2007 Concern tracker 05-02-2005  4 43" xfId="23422"/>
    <cellStyle name="Comma [0] TBD-_2007 Concern tracker 05-02-2005  4 43" xfId="23423"/>
    <cellStyle name="Comma [0] TBD_2007 Concern tracker 05-02-2005  4 44" xfId="23424"/>
    <cellStyle name="Comma [0] TBD-_2007 Concern tracker 05-02-2005  4 44" xfId="23425"/>
    <cellStyle name="Comma [0] TBD_2007 Concern tracker 05-02-2005  4 45" xfId="23426"/>
    <cellStyle name="Comma [0] TBD-_2007 Concern tracker 05-02-2005  4 45" xfId="23427"/>
    <cellStyle name="Comma [0] TBD_2007 Concern tracker 05-02-2005  4 46" xfId="23428"/>
    <cellStyle name="Comma [0] TBD-_2007 Concern tracker 05-02-2005  4 46" xfId="23429"/>
    <cellStyle name="Comma [0] TBD_2007 Concern tracker 05-02-2005  4 47" xfId="23430"/>
    <cellStyle name="Comma [0] TBD-_2007 Concern tracker 05-02-2005  4 47" xfId="23431"/>
    <cellStyle name="Comma [0] TBD_2007 Concern tracker 05-02-2005  4 48" xfId="23432"/>
    <cellStyle name="Comma [0] TBD-_2007 Concern tracker 05-02-2005  4 48" xfId="23433"/>
    <cellStyle name="Comma [0] TBD_2007 Concern tracker 05-02-2005  4 49" xfId="23434"/>
    <cellStyle name="Comma [0] TBD-_2007 Concern tracker 05-02-2005  4 49" xfId="23435"/>
    <cellStyle name="Comma [0] TBD_2007 Concern tracker 05-02-2005  4 5" xfId="23436"/>
    <cellStyle name="Comma [0] TBD-_2007 Concern tracker 05-02-2005  4 5" xfId="23437"/>
    <cellStyle name="Comma [0] TBD_2007 Concern tracker 05-02-2005  4 50" xfId="23438"/>
    <cellStyle name="Comma [0] TBD-_2007 Concern tracker 05-02-2005  4 50" xfId="23439"/>
    <cellStyle name="Comma [0] TBD_2007 Concern tracker 05-02-2005  4 51" xfId="23440"/>
    <cellStyle name="Comma [0] TBD-_2007 Concern tracker 05-02-2005  4 51" xfId="23441"/>
    <cellStyle name="Comma [0] TBD_2007 Concern tracker 05-02-2005  4 52" xfId="23442"/>
    <cellStyle name="Comma [0] TBD-_2007 Concern tracker 05-02-2005  4 52" xfId="23443"/>
    <cellStyle name="Comma [0] TBD_2007 Concern tracker 05-02-2005  4 53" xfId="23444"/>
    <cellStyle name="Comma [0] TBD-_2007 Concern tracker 05-02-2005  4 53" xfId="23445"/>
    <cellStyle name="Comma [0] TBD_2007 Concern tracker 05-02-2005  4 54" xfId="23446"/>
    <cellStyle name="Comma [0] TBD-_2007 Concern tracker 05-02-2005  4 54" xfId="23447"/>
    <cellStyle name="Comma [0] TBD_2007 Concern tracker 05-02-2005  4 55" xfId="23448"/>
    <cellStyle name="Comma [0] TBD-_2007 Concern tracker 05-02-2005  4 55" xfId="23449"/>
    <cellStyle name="Comma [0] TBD_2007 Concern tracker 05-02-2005  4 56" xfId="23450"/>
    <cellStyle name="Comma [0] TBD-_2007 Concern tracker 05-02-2005  4 56" xfId="23451"/>
    <cellStyle name="Comma [0] TBD_2007 Concern tracker 05-02-2005  4 57" xfId="23452"/>
    <cellStyle name="Comma [0] TBD-_2007 Concern tracker 05-02-2005  4 57" xfId="23453"/>
    <cellStyle name="Comma [0] TBD_2007 Concern tracker 05-02-2005  4 58" xfId="23454"/>
    <cellStyle name="Comma [0] TBD-_2007 Concern tracker 05-02-2005  4 58" xfId="23455"/>
    <cellStyle name="Comma [0] TBD_2007 Concern tracker 05-02-2005  4 59" xfId="23456"/>
    <cellStyle name="Comma [0] TBD-_2007 Concern tracker 05-02-2005  4 59" xfId="23457"/>
    <cellStyle name="Comma [0] TBD_2007 Concern tracker 05-02-2005  4 6" xfId="23458"/>
    <cellStyle name="Comma [0] TBD-_2007 Concern tracker 05-02-2005  4 6" xfId="23459"/>
    <cellStyle name="Comma [0] TBD_2007 Concern tracker 05-02-2005  4 60" xfId="23460"/>
    <cellStyle name="Comma [0] TBD-_2007 Concern tracker 05-02-2005  4 60" xfId="23461"/>
    <cellStyle name="Comma [0] TBD_2007 Concern tracker 05-02-2005  4 61" xfId="23462"/>
    <cellStyle name="Comma [0] TBD-_2007 Concern tracker 05-02-2005  4 61" xfId="23463"/>
    <cellStyle name="Comma [0] TBD_2007 Concern tracker 05-02-2005  4 62" xfId="23464"/>
    <cellStyle name="Comma [0] TBD-_2007 Concern tracker 05-02-2005  4 62" xfId="23465"/>
    <cellStyle name="Comma [0] TBD_2007 Concern tracker 05-02-2005  4 63" xfId="23466"/>
    <cellStyle name="Comma [0] TBD-_2007 Concern tracker 05-02-2005  4 63" xfId="23467"/>
    <cellStyle name="Comma [0] TBD_2007 Concern tracker 05-02-2005  4 64" xfId="23468"/>
    <cellStyle name="Comma [0] TBD-_2007 Concern tracker 05-02-2005  4 64" xfId="23469"/>
    <cellStyle name="Comma [0] TBD_2007 Concern tracker 05-02-2005  4 65" xfId="23470"/>
    <cellStyle name="Comma [0] TBD-_2007 Concern tracker 05-02-2005  4 65" xfId="23471"/>
    <cellStyle name="Comma [0] TBD_2007 Concern tracker 05-02-2005  4 66" xfId="23472"/>
    <cellStyle name="Comma [0] TBD-_2007 Concern tracker 05-02-2005  4 66" xfId="23473"/>
    <cellStyle name="Comma [0] TBD_2007 Concern tracker 05-02-2005  4 67" xfId="23474"/>
    <cellStyle name="Comma [0] TBD-_2007 Concern tracker 05-02-2005  4 67" xfId="23475"/>
    <cellStyle name="Comma [0] TBD_2007 Concern tracker 05-02-2005  4 68" xfId="23476"/>
    <cellStyle name="Comma [0] TBD-_2007 Concern tracker 05-02-2005  4 68" xfId="23477"/>
    <cellStyle name="Comma [0] TBD_2007 Concern tracker 05-02-2005  4 69" xfId="23478"/>
    <cellStyle name="Comma [0] TBD-_2007 Concern tracker 05-02-2005  4 69" xfId="23479"/>
    <cellStyle name="Comma [0] TBD_2007 Concern tracker 05-02-2005  4 7" xfId="23480"/>
    <cellStyle name="Comma [0] TBD-_2007 Concern tracker 05-02-2005  4 7" xfId="23481"/>
    <cellStyle name="Comma [0] TBD_2007 Concern tracker 05-02-2005  4 70" xfId="23482"/>
    <cellStyle name="Comma [0] TBD-_2007 Concern tracker 05-02-2005  4 70" xfId="23483"/>
    <cellStyle name="Comma [0] TBD_2007 Concern tracker 05-02-2005  4 71" xfId="23484"/>
    <cellStyle name="Comma [0] TBD-_2007 Concern tracker 05-02-2005  4 71" xfId="23485"/>
    <cellStyle name="Comma [0] TBD_2007 Concern tracker 05-02-2005  4 72" xfId="23486"/>
    <cellStyle name="Comma [0] TBD-_2007 Concern tracker 05-02-2005  4 72" xfId="23487"/>
    <cellStyle name="Comma [0] TBD_2007 Concern tracker 05-02-2005  4 73" xfId="23488"/>
    <cellStyle name="Comma [0] TBD-_2007 Concern tracker 05-02-2005  4 73" xfId="23489"/>
    <cellStyle name="Comma [0] TBD_2007 Concern tracker 05-02-2005  4 74" xfId="23490"/>
    <cellStyle name="Comma [0] TBD-_2007 Concern tracker 05-02-2005  4 74" xfId="23491"/>
    <cellStyle name="Comma [0] TBD_2007 Concern tracker 05-02-2005  4 75" xfId="23492"/>
    <cellStyle name="Comma [0] TBD-_2007 Concern tracker 05-02-2005  4 75" xfId="23493"/>
    <cellStyle name="Comma [0] TBD_2007 Concern tracker 05-02-2005  4 76" xfId="23494"/>
    <cellStyle name="Comma [0] TBD-_2007 Concern tracker 05-02-2005  4 76" xfId="23495"/>
    <cellStyle name="Comma [0] TBD_2007 Concern tracker 05-02-2005  4 77" xfId="23496"/>
    <cellStyle name="Comma [0] TBD-_2007 Concern tracker 05-02-2005  4 77" xfId="23497"/>
    <cellStyle name="Comma [0] TBD_2007 Concern tracker 05-02-2005  4 78" xfId="23498"/>
    <cellStyle name="Comma [0] TBD-_2007 Concern tracker 05-02-2005  4 78" xfId="23499"/>
    <cellStyle name="Comma [0] TBD_2007 Concern tracker 05-02-2005  4 79" xfId="23500"/>
    <cellStyle name="Comma [0] TBD-_2007 Concern tracker 05-02-2005  4 79" xfId="23501"/>
    <cellStyle name="Comma [0] TBD_2007 Concern tracker 05-02-2005  4 8" xfId="23502"/>
    <cellStyle name="Comma [0] TBD-_2007 Concern tracker 05-02-2005  4 8" xfId="23503"/>
    <cellStyle name="Comma [0] TBD_2007 Concern tracker 05-02-2005  4 80" xfId="23504"/>
    <cellStyle name="Comma [0] TBD-_2007 Concern tracker 05-02-2005  4 80" xfId="23505"/>
    <cellStyle name="Comma [0] TBD_2007 Concern tracker 05-02-2005  4 81" xfId="23506"/>
    <cellStyle name="Comma [0] TBD-_2007 Concern tracker 05-02-2005  4 81" xfId="23507"/>
    <cellStyle name="Comma [0] TBD_2007 Concern tracker 05-02-2005  4 82" xfId="23508"/>
    <cellStyle name="Comma [0] TBD-_2007 Concern tracker 05-02-2005  4 82" xfId="23509"/>
    <cellStyle name="Comma [0] TBD_2007 Concern tracker 05-02-2005  4 83" xfId="23510"/>
    <cellStyle name="Comma [0] TBD-_2007 Concern tracker 05-02-2005  4 83" xfId="23511"/>
    <cellStyle name="Comma [0] TBD_2007 Concern tracker 05-02-2005  4 84" xfId="23512"/>
    <cellStyle name="Comma [0] TBD-_2007 Concern tracker 05-02-2005  4 84" xfId="23513"/>
    <cellStyle name="Comma [0] TBD_2007 Concern tracker 05-02-2005  4 85" xfId="23514"/>
    <cellStyle name="Comma [0] TBD-_2007 Concern tracker 05-02-2005  4 85" xfId="23515"/>
    <cellStyle name="Comma [0] TBD_2007 Concern tracker 05-02-2005  4 86" xfId="23516"/>
    <cellStyle name="Comma [0] TBD-_2007 Concern tracker 05-02-2005  4 86" xfId="23517"/>
    <cellStyle name="Comma [0] TBD_2007 Concern tracker 05-02-2005  4 87" xfId="23518"/>
    <cellStyle name="Comma [0] TBD-_2007 Concern tracker 05-02-2005  4 87" xfId="23519"/>
    <cellStyle name="Comma [0] TBD_2007 Concern tracker 05-02-2005  4 88" xfId="23520"/>
    <cellStyle name="Comma [0] TBD-_2007 Concern tracker 05-02-2005  4 88" xfId="23521"/>
    <cellStyle name="Comma [0] TBD_2007 Concern tracker 05-02-2005  4 89" xfId="23522"/>
    <cellStyle name="Comma [0] TBD-_2007 Concern tracker 05-02-2005  4 89" xfId="23523"/>
    <cellStyle name="Comma [0] TBD_2007 Concern tracker 05-02-2005  4 9" xfId="23524"/>
    <cellStyle name="Comma [0] TBD-_2007 Concern tracker 05-02-2005  4 9" xfId="23525"/>
    <cellStyle name="Comma [0] TBD_2007 Concern tracker 05-02-2005  4 90" xfId="23526"/>
    <cellStyle name="Comma [0] TBD-_2007 Concern tracker 05-02-2005  4 90" xfId="23527"/>
    <cellStyle name="Comma [0] TBD_2007 Concern tracker 05-02-2005  4 91" xfId="23528"/>
    <cellStyle name="Comma [0] TBD-_2007 Concern tracker 05-02-2005  4 91" xfId="23529"/>
    <cellStyle name="Comma [0] TBD_2007 Concern tracker 05-02-2005  4 92" xfId="23530"/>
    <cellStyle name="Comma [0] TBD-_2007 Concern tracker 05-02-2005  4 92" xfId="23531"/>
    <cellStyle name="Comma [0] TBD_2007 Concern tracker 05-02-2005  4 93" xfId="23532"/>
    <cellStyle name="Comma [0] TBD-_2007 Concern tracker 05-02-2005  4 93" xfId="23533"/>
    <cellStyle name="Comma [0] TBD_2007 Concern tracker 05-02-2005  4 94" xfId="23534"/>
    <cellStyle name="Comma [0] TBD-_2007 Concern tracker 05-02-2005  4 94" xfId="23535"/>
    <cellStyle name="Comma [0] TBD_2007 Concern tracker 05-02-2005  4 95" xfId="23536"/>
    <cellStyle name="Comma [0] TBD-_2007 Concern tracker 05-02-2005  4 95" xfId="23537"/>
    <cellStyle name="Comma [0] TBD_2007 Concern tracker 05-02-2005  4 96" xfId="23538"/>
    <cellStyle name="Comma [0] TBD-_2007 Concern tracker 05-02-2005  4 96" xfId="23539"/>
    <cellStyle name="Comma [0] TBD_2007 Concern tracker 05-02-2005  4 97" xfId="23540"/>
    <cellStyle name="Comma [0] TBD-_2007 Concern tracker 05-02-2005  4 97" xfId="23541"/>
    <cellStyle name="Comma [0] TBD_2007 Concern tracker 05-02-2005  4 98" xfId="23542"/>
    <cellStyle name="Comma [0] TBD-_2007 Concern tracker 05-02-2005  4 98" xfId="23543"/>
    <cellStyle name="Comma [0] TBD_2007 Concern tracker 05-02-2005  4 99" xfId="23544"/>
    <cellStyle name="Comma [0] TBD-_2007 Concern tracker 05-02-2005  4 99" xfId="23545"/>
    <cellStyle name="Comma [0] TBD_2007 Concern tracker 05-02-2005  5" xfId="23546"/>
    <cellStyle name="Comma [0] TBD-_2007 Concern tracker 05-02-2005  5" xfId="23547"/>
    <cellStyle name="Comma [0] TBD_2007 Concern tracker 05-02-2005  5 10" xfId="23548"/>
    <cellStyle name="Comma [0] TBD-_2007 Concern tracker 05-02-2005  5 10" xfId="23549"/>
    <cellStyle name="Comma [0] TBD_2007 Concern tracker 05-02-2005  5 100" xfId="23550"/>
    <cellStyle name="Comma [0] TBD-_2007 Concern tracker 05-02-2005  5 100" xfId="23551"/>
    <cellStyle name="Comma [0] TBD_2007 Concern tracker 05-02-2005  5 101" xfId="23552"/>
    <cellStyle name="Comma [0] TBD-_2007 Concern tracker 05-02-2005  5 101" xfId="23553"/>
    <cellStyle name="Comma [0] TBD_2007 Concern tracker 05-02-2005  5 102" xfId="23554"/>
    <cellStyle name="Comma [0] TBD-_2007 Concern tracker 05-02-2005  5 102" xfId="23555"/>
    <cellStyle name="Comma [0] TBD_2007 Concern tracker 05-02-2005  5 103" xfId="23556"/>
    <cellStyle name="Comma [0] TBD-_2007 Concern tracker 05-02-2005  5 103" xfId="23557"/>
    <cellStyle name="Comma [0] TBD_2007 Concern tracker 05-02-2005  5 104" xfId="23558"/>
    <cellStyle name="Comma [0] TBD-_2007 Concern tracker 05-02-2005  5 104" xfId="23559"/>
    <cellStyle name="Comma [0] TBD_2007 Concern tracker 05-02-2005  5 105" xfId="23560"/>
    <cellStyle name="Comma [0] TBD-_2007 Concern tracker 05-02-2005  5 105" xfId="23561"/>
    <cellStyle name="Comma [0] TBD_2007 Concern tracker 05-02-2005  5 106" xfId="23562"/>
    <cellStyle name="Comma [0] TBD-_2007 Concern tracker 05-02-2005  5 106" xfId="23563"/>
    <cellStyle name="Comma [0] TBD_2007 Concern tracker 05-02-2005  5 107" xfId="23564"/>
    <cellStyle name="Comma [0] TBD-_2007 Concern tracker 05-02-2005  5 107" xfId="23565"/>
    <cellStyle name="Comma [0] TBD_2007 Concern tracker 05-02-2005  5 108" xfId="23566"/>
    <cellStyle name="Comma [0] TBD-_2007 Concern tracker 05-02-2005  5 108" xfId="23567"/>
    <cellStyle name="Comma [0] TBD_2007 Concern tracker 05-02-2005  5 109" xfId="23568"/>
    <cellStyle name="Comma [0] TBD-_2007 Concern tracker 05-02-2005  5 109" xfId="23569"/>
    <cellStyle name="Comma [0] TBD_2007 Concern tracker 05-02-2005  5 11" xfId="23570"/>
    <cellStyle name="Comma [0] TBD-_2007 Concern tracker 05-02-2005  5 11" xfId="23571"/>
    <cellStyle name="Comma [0] TBD_2007 Concern tracker 05-02-2005  5 110" xfId="23572"/>
    <cellStyle name="Comma [0] TBD-_2007 Concern tracker 05-02-2005  5 110" xfId="23573"/>
    <cellStyle name="Comma [0] TBD_2007 Concern tracker 05-02-2005  5 111" xfId="23574"/>
    <cellStyle name="Comma [0] TBD-_2007 Concern tracker 05-02-2005  5 111" xfId="23575"/>
    <cellStyle name="Comma [0] TBD_2007 Concern tracker 05-02-2005  5 112" xfId="23576"/>
    <cellStyle name="Comma [0] TBD-_2007 Concern tracker 05-02-2005  5 112" xfId="23577"/>
    <cellStyle name="Comma [0] TBD_2007 Concern tracker 05-02-2005  5 113" xfId="23578"/>
    <cellStyle name="Comma [0] TBD-_2007 Concern tracker 05-02-2005  5 113" xfId="23579"/>
    <cellStyle name="Comma [0] TBD_2007 Concern tracker 05-02-2005  5 114" xfId="23580"/>
    <cellStyle name="Comma [0] TBD-_2007 Concern tracker 05-02-2005  5 114" xfId="23581"/>
    <cellStyle name="Comma [0] TBD_2007 Concern tracker 05-02-2005  5 115" xfId="23582"/>
    <cellStyle name="Comma [0] TBD-_2007 Concern tracker 05-02-2005  5 115" xfId="23583"/>
    <cellStyle name="Comma [0] TBD_2007 Concern tracker 05-02-2005  5 116" xfId="23584"/>
    <cellStyle name="Comma [0] TBD-_2007 Concern tracker 05-02-2005  5 116" xfId="23585"/>
    <cellStyle name="Comma [0] TBD_2007 Concern tracker 05-02-2005  5 117" xfId="23586"/>
    <cellStyle name="Comma [0] TBD-_2007 Concern tracker 05-02-2005  5 117" xfId="23587"/>
    <cellStyle name="Comma [0] TBD_2007 Concern tracker 05-02-2005  5 118" xfId="23588"/>
    <cellStyle name="Comma [0] TBD-_2007 Concern tracker 05-02-2005  5 118" xfId="23589"/>
    <cellStyle name="Comma [0] TBD_2007 Concern tracker 05-02-2005  5 119" xfId="23590"/>
    <cellStyle name="Comma [0] TBD-_2007 Concern tracker 05-02-2005  5 119" xfId="23591"/>
    <cellStyle name="Comma [0] TBD_2007 Concern tracker 05-02-2005  5 12" xfId="23592"/>
    <cellStyle name="Comma [0] TBD-_2007 Concern tracker 05-02-2005  5 12" xfId="23593"/>
    <cellStyle name="Comma [0] TBD_2007 Concern tracker 05-02-2005  5 120" xfId="23594"/>
    <cellStyle name="Comma [0] TBD-_2007 Concern tracker 05-02-2005  5 120" xfId="23595"/>
    <cellStyle name="Comma [0] TBD_2007 Concern tracker 05-02-2005  5 121" xfId="23596"/>
    <cellStyle name="Comma [0] TBD-_2007 Concern tracker 05-02-2005  5 121" xfId="23597"/>
    <cellStyle name="Comma [0] TBD_2007 Concern tracker 05-02-2005  5 122" xfId="23598"/>
    <cellStyle name="Comma [0] TBD-_2007 Concern tracker 05-02-2005  5 122" xfId="23599"/>
    <cellStyle name="Comma [0] TBD_2007 Concern tracker 05-02-2005  5 123" xfId="23600"/>
    <cellStyle name="Comma [0] TBD-_2007 Concern tracker 05-02-2005  5 123" xfId="23601"/>
    <cellStyle name="Comma [0] TBD_2007 Concern tracker 05-02-2005  5 124" xfId="23602"/>
    <cellStyle name="Comma [0] TBD-_2007 Concern tracker 05-02-2005  5 124" xfId="23603"/>
    <cellStyle name="Comma [0] TBD_2007 Concern tracker 05-02-2005  5 125" xfId="23604"/>
    <cellStyle name="Comma [0] TBD-_2007 Concern tracker 05-02-2005  5 125" xfId="23605"/>
    <cellStyle name="Comma [0] TBD_2007 Concern tracker 05-02-2005  5 126" xfId="23606"/>
    <cellStyle name="Comma [0] TBD-_2007 Concern tracker 05-02-2005  5 126" xfId="23607"/>
    <cellStyle name="Comma [0] TBD_2007 Concern tracker 05-02-2005  5 127" xfId="23608"/>
    <cellStyle name="Comma [0] TBD-_2007 Concern tracker 05-02-2005  5 127" xfId="23609"/>
    <cellStyle name="Comma [0] TBD_2007 Concern tracker 05-02-2005  5 128" xfId="23610"/>
    <cellStyle name="Comma [0] TBD-_2007 Concern tracker 05-02-2005  5 128" xfId="23611"/>
    <cellStyle name="Comma [0] TBD_2007 Concern tracker 05-02-2005  5 129" xfId="23612"/>
    <cellStyle name="Comma [0] TBD-_2007 Concern tracker 05-02-2005  5 129" xfId="23613"/>
    <cellStyle name="Comma [0] TBD_2007 Concern tracker 05-02-2005  5 13" xfId="23614"/>
    <cellStyle name="Comma [0] TBD-_2007 Concern tracker 05-02-2005  5 13" xfId="23615"/>
    <cellStyle name="Comma [0] TBD_2007 Concern tracker 05-02-2005  5 130" xfId="23616"/>
    <cellStyle name="Comma [0] TBD-_2007 Concern tracker 05-02-2005  5 130" xfId="23617"/>
    <cellStyle name="Comma [0] TBD_2007 Concern tracker 05-02-2005  5 131" xfId="23618"/>
    <cellStyle name="Comma [0] TBD-_2007 Concern tracker 05-02-2005  5 131" xfId="23619"/>
    <cellStyle name="Comma [0] TBD_2007 Concern tracker 05-02-2005  5 132" xfId="23620"/>
    <cellStyle name="Comma [0] TBD-_2007 Concern tracker 05-02-2005  5 132" xfId="23621"/>
    <cellStyle name="Comma [0] TBD_2007 Concern tracker 05-02-2005  5 133" xfId="23622"/>
    <cellStyle name="Comma [0] TBD-_2007 Concern tracker 05-02-2005  5 133" xfId="23623"/>
    <cellStyle name="Comma [0] TBD_2007 Concern tracker 05-02-2005  5 134" xfId="23624"/>
    <cellStyle name="Comma [0] TBD-_2007 Concern tracker 05-02-2005  5 134" xfId="23625"/>
    <cellStyle name="Comma [0] TBD_2007 Concern tracker 05-02-2005  5 135" xfId="23626"/>
    <cellStyle name="Comma [0] TBD-_2007 Concern tracker 05-02-2005  5 135" xfId="23627"/>
    <cellStyle name="Comma [0] TBD_2007 Concern tracker 05-02-2005  5 136" xfId="23628"/>
    <cellStyle name="Comma [0] TBD-_2007 Concern tracker 05-02-2005  5 136" xfId="23629"/>
    <cellStyle name="Comma [0] TBD_2007 Concern tracker 05-02-2005  5 137" xfId="23630"/>
    <cellStyle name="Comma [0] TBD-_2007 Concern tracker 05-02-2005  5 137" xfId="23631"/>
    <cellStyle name="Comma [0] TBD_2007 Concern tracker 05-02-2005  5 138" xfId="23632"/>
    <cellStyle name="Comma [0] TBD-_2007 Concern tracker 05-02-2005  5 138" xfId="23633"/>
    <cellStyle name="Comma [0] TBD_2007 Concern tracker 05-02-2005  5 139" xfId="23634"/>
    <cellStyle name="Comma [0] TBD-_2007 Concern tracker 05-02-2005  5 139" xfId="23635"/>
    <cellStyle name="Comma [0] TBD_2007 Concern tracker 05-02-2005  5 14" xfId="23636"/>
    <cellStyle name="Comma [0] TBD-_2007 Concern tracker 05-02-2005  5 14" xfId="23637"/>
    <cellStyle name="Comma [0] TBD_2007 Concern tracker 05-02-2005  5 140" xfId="23638"/>
    <cellStyle name="Comma [0] TBD-_2007 Concern tracker 05-02-2005  5 140" xfId="23639"/>
    <cellStyle name="Comma [0] TBD_2007 Concern tracker 05-02-2005  5 141" xfId="23640"/>
    <cellStyle name="Comma [0] TBD-_2007 Concern tracker 05-02-2005  5 141" xfId="23641"/>
    <cellStyle name="Comma [0] TBD_2007 Concern tracker 05-02-2005  5 142" xfId="23642"/>
    <cellStyle name="Comma [0] TBD-_2007 Concern tracker 05-02-2005  5 142" xfId="23643"/>
    <cellStyle name="Comma [0] TBD_2007 Concern tracker 05-02-2005  5 143" xfId="23644"/>
    <cellStyle name="Comma [0] TBD-_2007 Concern tracker 05-02-2005  5 143" xfId="23645"/>
    <cellStyle name="Comma [0] TBD_2007 Concern tracker 05-02-2005  5 144" xfId="23646"/>
    <cellStyle name="Comma [0] TBD-_2007 Concern tracker 05-02-2005  5 144" xfId="23647"/>
    <cellStyle name="Comma [0] TBD_2007 Concern tracker 05-02-2005  5 145" xfId="23648"/>
    <cellStyle name="Comma [0] TBD-_2007 Concern tracker 05-02-2005  5 145" xfId="23649"/>
    <cellStyle name="Comma [0] TBD_2007 Concern tracker 05-02-2005  5 146" xfId="23650"/>
    <cellStyle name="Comma [0] TBD-_2007 Concern tracker 05-02-2005  5 146" xfId="23651"/>
    <cellStyle name="Comma [0] TBD_2007 Concern tracker 05-02-2005  5 147" xfId="23652"/>
    <cellStyle name="Comma [0] TBD-_2007 Concern tracker 05-02-2005  5 147" xfId="23653"/>
    <cellStyle name="Comma [0] TBD_2007 Concern tracker 05-02-2005  5 148" xfId="23654"/>
    <cellStyle name="Comma [0] TBD-_2007 Concern tracker 05-02-2005  5 148" xfId="23655"/>
    <cellStyle name="Comma [0] TBD_2007 Concern tracker 05-02-2005  5 149" xfId="23656"/>
    <cellStyle name="Comma [0] TBD-_2007 Concern tracker 05-02-2005  5 149" xfId="23657"/>
    <cellStyle name="Comma [0] TBD_2007 Concern tracker 05-02-2005  5 15" xfId="23658"/>
    <cellStyle name="Comma [0] TBD-_2007 Concern tracker 05-02-2005  5 15" xfId="23659"/>
    <cellStyle name="Comma [0] TBD_2007 Concern tracker 05-02-2005  5 150" xfId="23660"/>
    <cellStyle name="Comma [0] TBD-_2007 Concern tracker 05-02-2005  5 150" xfId="23661"/>
    <cellStyle name="Comma [0] TBD_2007 Concern tracker 05-02-2005  5 151" xfId="23662"/>
    <cellStyle name="Comma [0] TBD-_2007 Concern tracker 05-02-2005  5 151" xfId="23663"/>
    <cellStyle name="Comma [0] TBD_2007 Concern tracker 05-02-2005  5 152" xfId="23664"/>
    <cellStyle name="Comma [0] TBD-_2007 Concern tracker 05-02-2005  5 152" xfId="23665"/>
    <cellStyle name="Comma [0] TBD_2007 Concern tracker 05-02-2005  5 153" xfId="23666"/>
    <cellStyle name="Comma [0] TBD-_2007 Concern tracker 05-02-2005  5 153" xfId="23667"/>
    <cellStyle name="Comma [0] TBD_2007 Concern tracker 05-02-2005  5 154" xfId="23668"/>
    <cellStyle name="Comma [0] TBD-_2007 Concern tracker 05-02-2005  5 154" xfId="23669"/>
    <cellStyle name="Comma [0] TBD_2007 Concern tracker 05-02-2005  5 16" xfId="23670"/>
    <cellStyle name="Comma [0] TBD-_2007 Concern tracker 05-02-2005  5 16" xfId="23671"/>
    <cellStyle name="Comma [0] TBD_2007 Concern tracker 05-02-2005  5 17" xfId="23672"/>
    <cellStyle name="Comma [0] TBD-_2007 Concern tracker 05-02-2005  5 17" xfId="23673"/>
    <cellStyle name="Comma [0] TBD_2007 Concern tracker 05-02-2005  5 18" xfId="23674"/>
    <cellStyle name="Comma [0] TBD-_2007 Concern tracker 05-02-2005  5 18" xfId="23675"/>
    <cellStyle name="Comma [0] TBD_2007 Concern tracker 05-02-2005  5 19" xfId="23676"/>
    <cellStyle name="Comma [0] TBD-_2007 Concern tracker 05-02-2005  5 19" xfId="23677"/>
    <cellStyle name="Comma [0] TBD_2007 Concern tracker 05-02-2005  5 2" xfId="23678"/>
    <cellStyle name="Comma [0] TBD-_2007 Concern tracker 05-02-2005  5 2" xfId="23679"/>
    <cellStyle name="Comma [0] TBD_2007 Concern tracker 05-02-2005  5 20" xfId="23680"/>
    <cellStyle name="Comma [0] TBD-_2007 Concern tracker 05-02-2005  5 20" xfId="23681"/>
    <cellStyle name="Comma [0] TBD_2007 Concern tracker 05-02-2005  5 21" xfId="23682"/>
    <cellStyle name="Comma [0] TBD-_2007 Concern tracker 05-02-2005  5 21" xfId="23683"/>
    <cellStyle name="Comma [0] TBD_2007 Concern tracker 05-02-2005  5 22" xfId="23684"/>
    <cellStyle name="Comma [0] TBD-_2007 Concern tracker 05-02-2005  5 22" xfId="23685"/>
    <cellStyle name="Comma [0] TBD_2007 Concern tracker 05-02-2005  5 23" xfId="23686"/>
    <cellStyle name="Comma [0] TBD-_2007 Concern tracker 05-02-2005  5 23" xfId="23687"/>
    <cellStyle name="Comma [0] TBD_2007 Concern tracker 05-02-2005  5 24" xfId="23688"/>
    <cellStyle name="Comma [0] TBD-_2007 Concern tracker 05-02-2005  5 24" xfId="23689"/>
    <cellStyle name="Comma [0] TBD_2007 Concern tracker 05-02-2005  5 25" xfId="23690"/>
    <cellStyle name="Comma [0] TBD-_2007 Concern tracker 05-02-2005  5 25" xfId="23691"/>
    <cellStyle name="Comma [0] TBD_2007 Concern tracker 05-02-2005  5 26" xfId="23692"/>
    <cellStyle name="Comma [0] TBD-_2007 Concern tracker 05-02-2005  5 26" xfId="23693"/>
    <cellStyle name="Comma [0] TBD_2007 Concern tracker 05-02-2005  5 27" xfId="23694"/>
    <cellStyle name="Comma [0] TBD-_2007 Concern tracker 05-02-2005  5 27" xfId="23695"/>
    <cellStyle name="Comma [0] TBD_2007 Concern tracker 05-02-2005  5 28" xfId="23696"/>
    <cellStyle name="Comma [0] TBD-_2007 Concern tracker 05-02-2005  5 28" xfId="23697"/>
    <cellStyle name="Comma [0] TBD_2007 Concern tracker 05-02-2005  5 29" xfId="23698"/>
    <cellStyle name="Comma [0] TBD-_2007 Concern tracker 05-02-2005  5 29" xfId="23699"/>
    <cellStyle name="Comma [0] TBD_2007 Concern tracker 05-02-2005  5 3" xfId="23700"/>
    <cellStyle name="Comma [0] TBD-_2007 Concern tracker 05-02-2005  5 3" xfId="23701"/>
    <cellStyle name="Comma [0] TBD_2007 Concern tracker 05-02-2005  5 30" xfId="23702"/>
    <cellStyle name="Comma [0] TBD-_2007 Concern tracker 05-02-2005  5 30" xfId="23703"/>
    <cellStyle name="Comma [0] TBD_2007 Concern tracker 05-02-2005  5 31" xfId="23704"/>
    <cellStyle name="Comma [0] TBD-_2007 Concern tracker 05-02-2005  5 31" xfId="23705"/>
    <cellStyle name="Comma [0] TBD_2007 Concern tracker 05-02-2005  5 32" xfId="23706"/>
    <cellStyle name="Comma [0] TBD-_2007 Concern tracker 05-02-2005  5 32" xfId="23707"/>
    <cellStyle name="Comma [0] TBD_2007 Concern tracker 05-02-2005  5 33" xfId="23708"/>
    <cellStyle name="Comma [0] TBD-_2007 Concern tracker 05-02-2005  5 33" xfId="23709"/>
    <cellStyle name="Comma [0] TBD_2007 Concern tracker 05-02-2005  5 34" xfId="23710"/>
    <cellStyle name="Comma [0] TBD-_2007 Concern tracker 05-02-2005  5 34" xfId="23711"/>
    <cellStyle name="Comma [0] TBD_2007 Concern tracker 05-02-2005  5 35" xfId="23712"/>
    <cellStyle name="Comma [0] TBD-_2007 Concern tracker 05-02-2005  5 35" xfId="23713"/>
    <cellStyle name="Comma [0] TBD_2007 Concern tracker 05-02-2005  5 36" xfId="23714"/>
    <cellStyle name="Comma [0] TBD-_2007 Concern tracker 05-02-2005  5 36" xfId="23715"/>
    <cellStyle name="Comma [0] TBD_2007 Concern tracker 05-02-2005  5 37" xfId="23716"/>
    <cellStyle name="Comma [0] TBD-_2007 Concern tracker 05-02-2005  5 37" xfId="23717"/>
    <cellStyle name="Comma [0] TBD_2007 Concern tracker 05-02-2005  5 38" xfId="23718"/>
    <cellStyle name="Comma [0] TBD-_2007 Concern tracker 05-02-2005  5 38" xfId="23719"/>
    <cellStyle name="Comma [0] TBD_2007 Concern tracker 05-02-2005  5 39" xfId="23720"/>
    <cellStyle name="Comma [0] TBD-_2007 Concern tracker 05-02-2005  5 39" xfId="23721"/>
    <cellStyle name="Comma [0] TBD_2007 Concern tracker 05-02-2005  5 4" xfId="23722"/>
    <cellStyle name="Comma [0] TBD-_2007 Concern tracker 05-02-2005  5 4" xfId="23723"/>
    <cellStyle name="Comma [0] TBD_2007 Concern tracker 05-02-2005  5 40" xfId="23724"/>
    <cellStyle name="Comma [0] TBD-_2007 Concern tracker 05-02-2005  5 40" xfId="23725"/>
    <cellStyle name="Comma [0] TBD_2007 Concern tracker 05-02-2005  5 41" xfId="23726"/>
    <cellStyle name="Comma [0] TBD-_2007 Concern tracker 05-02-2005  5 41" xfId="23727"/>
    <cellStyle name="Comma [0] TBD_2007 Concern tracker 05-02-2005  5 42" xfId="23728"/>
    <cellStyle name="Comma [0] TBD-_2007 Concern tracker 05-02-2005  5 42" xfId="23729"/>
    <cellStyle name="Comma [0] TBD_2007 Concern tracker 05-02-2005  5 43" xfId="23730"/>
    <cellStyle name="Comma [0] TBD-_2007 Concern tracker 05-02-2005  5 43" xfId="23731"/>
    <cellStyle name="Comma [0] TBD_2007 Concern tracker 05-02-2005  5 44" xfId="23732"/>
    <cellStyle name="Comma [0] TBD-_2007 Concern tracker 05-02-2005  5 44" xfId="23733"/>
    <cellStyle name="Comma [0] TBD_2007 Concern tracker 05-02-2005  5 45" xfId="23734"/>
    <cellStyle name="Comma [0] TBD-_2007 Concern tracker 05-02-2005  5 45" xfId="23735"/>
    <cellStyle name="Comma [0] TBD_2007 Concern tracker 05-02-2005  5 46" xfId="23736"/>
    <cellStyle name="Comma [0] TBD-_2007 Concern tracker 05-02-2005  5 46" xfId="23737"/>
    <cellStyle name="Comma [0] TBD_2007 Concern tracker 05-02-2005  5 47" xfId="23738"/>
    <cellStyle name="Comma [0] TBD-_2007 Concern tracker 05-02-2005  5 47" xfId="23739"/>
    <cellStyle name="Comma [0] TBD_2007 Concern tracker 05-02-2005  5 48" xfId="23740"/>
    <cellStyle name="Comma [0] TBD-_2007 Concern tracker 05-02-2005  5 48" xfId="23741"/>
    <cellStyle name="Comma [0] TBD_2007 Concern tracker 05-02-2005  5 49" xfId="23742"/>
    <cellStyle name="Comma [0] TBD-_2007 Concern tracker 05-02-2005  5 49" xfId="23743"/>
    <cellStyle name="Comma [0] TBD_2007 Concern tracker 05-02-2005  5 5" xfId="23744"/>
    <cellStyle name="Comma [0] TBD-_2007 Concern tracker 05-02-2005  5 5" xfId="23745"/>
    <cellStyle name="Comma [0] TBD_2007 Concern tracker 05-02-2005  5 50" xfId="23746"/>
    <cellStyle name="Comma [0] TBD-_2007 Concern tracker 05-02-2005  5 50" xfId="23747"/>
    <cellStyle name="Comma [0] TBD_2007 Concern tracker 05-02-2005  5 51" xfId="23748"/>
    <cellStyle name="Comma [0] TBD-_2007 Concern tracker 05-02-2005  5 51" xfId="23749"/>
    <cellStyle name="Comma [0] TBD_2007 Concern tracker 05-02-2005  5 52" xfId="23750"/>
    <cellStyle name="Comma [0] TBD-_2007 Concern tracker 05-02-2005  5 52" xfId="23751"/>
    <cellStyle name="Comma [0] TBD_2007 Concern tracker 05-02-2005  5 53" xfId="23752"/>
    <cellStyle name="Comma [0] TBD-_2007 Concern tracker 05-02-2005  5 53" xfId="23753"/>
    <cellStyle name="Comma [0] TBD_2007 Concern tracker 05-02-2005  5 54" xfId="23754"/>
    <cellStyle name="Comma [0] TBD-_2007 Concern tracker 05-02-2005  5 54" xfId="23755"/>
    <cellStyle name="Comma [0] TBD_2007 Concern tracker 05-02-2005  5 55" xfId="23756"/>
    <cellStyle name="Comma [0] TBD-_2007 Concern tracker 05-02-2005  5 55" xfId="23757"/>
    <cellStyle name="Comma [0] TBD_2007 Concern tracker 05-02-2005  5 56" xfId="23758"/>
    <cellStyle name="Comma [0] TBD-_2007 Concern tracker 05-02-2005  5 56" xfId="23759"/>
    <cellStyle name="Comma [0] TBD_2007 Concern tracker 05-02-2005  5 57" xfId="23760"/>
    <cellStyle name="Comma [0] TBD-_2007 Concern tracker 05-02-2005  5 57" xfId="23761"/>
    <cellStyle name="Comma [0] TBD_2007 Concern tracker 05-02-2005  5 58" xfId="23762"/>
    <cellStyle name="Comma [0] TBD-_2007 Concern tracker 05-02-2005  5 58" xfId="23763"/>
    <cellStyle name="Comma [0] TBD_2007 Concern tracker 05-02-2005  5 59" xfId="23764"/>
    <cellStyle name="Comma [0] TBD-_2007 Concern tracker 05-02-2005  5 59" xfId="23765"/>
    <cellStyle name="Comma [0] TBD_2007 Concern tracker 05-02-2005  5 6" xfId="23766"/>
    <cellStyle name="Comma [0] TBD-_2007 Concern tracker 05-02-2005  5 6" xfId="23767"/>
    <cellStyle name="Comma [0] TBD_2007 Concern tracker 05-02-2005  5 60" xfId="23768"/>
    <cellStyle name="Comma [0] TBD-_2007 Concern tracker 05-02-2005  5 60" xfId="23769"/>
    <cellStyle name="Comma [0] TBD_2007 Concern tracker 05-02-2005  5 61" xfId="23770"/>
    <cellStyle name="Comma [0] TBD-_2007 Concern tracker 05-02-2005  5 61" xfId="23771"/>
    <cellStyle name="Comma [0] TBD_2007 Concern tracker 05-02-2005  5 62" xfId="23772"/>
    <cellStyle name="Comma [0] TBD-_2007 Concern tracker 05-02-2005  5 62" xfId="23773"/>
    <cellStyle name="Comma [0] TBD_2007 Concern tracker 05-02-2005  5 63" xfId="23774"/>
    <cellStyle name="Comma [0] TBD-_2007 Concern tracker 05-02-2005  5 63" xfId="23775"/>
    <cellStyle name="Comma [0] TBD_2007 Concern tracker 05-02-2005  5 64" xfId="23776"/>
    <cellStyle name="Comma [0] TBD-_2007 Concern tracker 05-02-2005  5 64" xfId="23777"/>
    <cellStyle name="Comma [0] TBD_2007 Concern tracker 05-02-2005  5 65" xfId="23778"/>
    <cellStyle name="Comma [0] TBD-_2007 Concern tracker 05-02-2005  5 65" xfId="23779"/>
    <cellStyle name="Comma [0] TBD_2007 Concern tracker 05-02-2005  5 66" xfId="23780"/>
    <cellStyle name="Comma [0] TBD-_2007 Concern tracker 05-02-2005  5 66" xfId="23781"/>
    <cellStyle name="Comma [0] TBD_2007 Concern tracker 05-02-2005  5 67" xfId="23782"/>
    <cellStyle name="Comma [0] TBD-_2007 Concern tracker 05-02-2005  5 67" xfId="23783"/>
    <cellStyle name="Comma [0] TBD_2007 Concern tracker 05-02-2005  5 68" xfId="23784"/>
    <cellStyle name="Comma [0] TBD-_2007 Concern tracker 05-02-2005  5 68" xfId="23785"/>
    <cellStyle name="Comma [0] TBD_2007 Concern tracker 05-02-2005  5 69" xfId="23786"/>
    <cellStyle name="Comma [0] TBD-_2007 Concern tracker 05-02-2005  5 69" xfId="23787"/>
    <cellStyle name="Comma [0] TBD_2007 Concern tracker 05-02-2005  5 7" xfId="23788"/>
    <cellStyle name="Comma [0] TBD-_2007 Concern tracker 05-02-2005  5 7" xfId="23789"/>
    <cellStyle name="Comma [0] TBD_2007 Concern tracker 05-02-2005  5 70" xfId="23790"/>
    <cellStyle name="Comma [0] TBD-_2007 Concern tracker 05-02-2005  5 70" xfId="23791"/>
    <cellStyle name="Comma [0] TBD_2007 Concern tracker 05-02-2005  5 71" xfId="23792"/>
    <cellStyle name="Comma [0] TBD-_2007 Concern tracker 05-02-2005  5 71" xfId="23793"/>
    <cellStyle name="Comma [0] TBD_2007 Concern tracker 05-02-2005  5 72" xfId="23794"/>
    <cellStyle name="Comma [0] TBD-_2007 Concern tracker 05-02-2005  5 72" xfId="23795"/>
    <cellStyle name="Comma [0] TBD_2007 Concern tracker 05-02-2005  5 73" xfId="23796"/>
    <cellStyle name="Comma [0] TBD-_2007 Concern tracker 05-02-2005  5 73" xfId="23797"/>
    <cellStyle name="Comma [0] TBD_2007 Concern tracker 05-02-2005  5 74" xfId="23798"/>
    <cellStyle name="Comma [0] TBD-_2007 Concern tracker 05-02-2005  5 74" xfId="23799"/>
    <cellStyle name="Comma [0] TBD_2007 Concern tracker 05-02-2005  5 75" xfId="23800"/>
    <cellStyle name="Comma [0] TBD-_2007 Concern tracker 05-02-2005  5 75" xfId="23801"/>
    <cellStyle name="Comma [0] TBD_2007 Concern tracker 05-02-2005  5 76" xfId="23802"/>
    <cellStyle name="Comma [0] TBD-_2007 Concern tracker 05-02-2005  5 76" xfId="23803"/>
    <cellStyle name="Comma [0] TBD_2007 Concern tracker 05-02-2005  5 77" xfId="23804"/>
    <cellStyle name="Comma [0] TBD-_2007 Concern tracker 05-02-2005  5 77" xfId="23805"/>
    <cellStyle name="Comma [0] TBD_2007 Concern tracker 05-02-2005  5 78" xfId="23806"/>
    <cellStyle name="Comma [0] TBD-_2007 Concern tracker 05-02-2005  5 78" xfId="23807"/>
    <cellStyle name="Comma [0] TBD_2007 Concern tracker 05-02-2005  5 79" xfId="23808"/>
    <cellStyle name="Comma [0] TBD-_2007 Concern tracker 05-02-2005  5 79" xfId="23809"/>
    <cellStyle name="Comma [0] TBD_2007 Concern tracker 05-02-2005  5 8" xfId="23810"/>
    <cellStyle name="Comma [0] TBD-_2007 Concern tracker 05-02-2005  5 8" xfId="23811"/>
    <cellStyle name="Comma [0] TBD_2007 Concern tracker 05-02-2005  5 80" xfId="23812"/>
    <cellStyle name="Comma [0] TBD-_2007 Concern tracker 05-02-2005  5 80" xfId="23813"/>
    <cellStyle name="Comma [0] TBD_2007 Concern tracker 05-02-2005  5 81" xfId="23814"/>
    <cellStyle name="Comma [0] TBD-_2007 Concern tracker 05-02-2005  5 81" xfId="23815"/>
    <cellStyle name="Comma [0] TBD_2007 Concern tracker 05-02-2005  5 82" xfId="23816"/>
    <cellStyle name="Comma [0] TBD-_2007 Concern tracker 05-02-2005  5 82" xfId="23817"/>
    <cellStyle name="Comma [0] TBD_2007 Concern tracker 05-02-2005  5 83" xfId="23818"/>
    <cellStyle name="Comma [0] TBD-_2007 Concern tracker 05-02-2005  5 83" xfId="23819"/>
    <cellStyle name="Comma [0] TBD_2007 Concern tracker 05-02-2005  5 84" xfId="23820"/>
    <cellStyle name="Comma [0] TBD-_2007 Concern tracker 05-02-2005  5 84" xfId="23821"/>
    <cellStyle name="Comma [0] TBD_2007 Concern tracker 05-02-2005  5 85" xfId="23822"/>
    <cellStyle name="Comma [0] TBD-_2007 Concern tracker 05-02-2005  5 85" xfId="23823"/>
    <cellStyle name="Comma [0] TBD_2007 Concern tracker 05-02-2005  5 86" xfId="23824"/>
    <cellStyle name="Comma [0] TBD-_2007 Concern tracker 05-02-2005  5 86" xfId="23825"/>
    <cellStyle name="Comma [0] TBD_2007 Concern tracker 05-02-2005  5 87" xfId="23826"/>
    <cellStyle name="Comma [0] TBD-_2007 Concern tracker 05-02-2005  5 87" xfId="23827"/>
    <cellStyle name="Comma [0] TBD_2007 Concern tracker 05-02-2005  5 88" xfId="23828"/>
    <cellStyle name="Comma [0] TBD-_2007 Concern tracker 05-02-2005  5 88" xfId="23829"/>
    <cellStyle name="Comma [0] TBD_2007 Concern tracker 05-02-2005  5 89" xfId="23830"/>
    <cellStyle name="Comma [0] TBD-_2007 Concern tracker 05-02-2005  5 89" xfId="23831"/>
    <cellStyle name="Comma [0] TBD_2007 Concern tracker 05-02-2005  5 9" xfId="23832"/>
    <cellStyle name="Comma [0] TBD-_2007 Concern tracker 05-02-2005  5 9" xfId="23833"/>
    <cellStyle name="Comma [0] TBD_2007 Concern tracker 05-02-2005  5 90" xfId="23834"/>
    <cellStyle name="Comma [0] TBD-_2007 Concern tracker 05-02-2005  5 90" xfId="23835"/>
    <cellStyle name="Comma [0] TBD_2007 Concern tracker 05-02-2005  5 91" xfId="23836"/>
    <cellStyle name="Comma [0] TBD-_2007 Concern tracker 05-02-2005  5 91" xfId="23837"/>
    <cellStyle name="Comma [0] TBD_2007 Concern tracker 05-02-2005  5 92" xfId="23838"/>
    <cellStyle name="Comma [0] TBD-_2007 Concern tracker 05-02-2005  5 92" xfId="23839"/>
    <cellStyle name="Comma [0] TBD_2007 Concern tracker 05-02-2005  5 93" xfId="23840"/>
    <cellStyle name="Comma [0] TBD-_2007 Concern tracker 05-02-2005  5 93" xfId="23841"/>
    <cellStyle name="Comma [0] TBD_2007 Concern tracker 05-02-2005  5 94" xfId="23842"/>
    <cellStyle name="Comma [0] TBD-_2007 Concern tracker 05-02-2005  5 94" xfId="23843"/>
    <cellStyle name="Comma [0] TBD_2007 Concern tracker 05-02-2005  5 95" xfId="23844"/>
    <cellStyle name="Comma [0] TBD-_2007 Concern tracker 05-02-2005  5 95" xfId="23845"/>
    <cellStyle name="Comma [0] TBD_2007 Concern tracker 05-02-2005  5 96" xfId="23846"/>
    <cellStyle name="Comma [0] TBD-_2007 Concern tracker 05-02-2005  5 96" xfId="23847"/>
    <cellStyle name="Comma [0] TBD_2007 Concern tracker 05-02-2005  5 97" xfId="23848"/>
    <cellStyle name="Comma [0] TBD-_2007 Concern tracker 05-02-2005  5 97" xfId="23849"/>
    <cellStyle name="Comma [0] TBD_2007 Concern tracker 05-02-2005  5 98" xfId="23850"/>
    <cellStyle name="Comma [0] TBD-_2007 Concern tracker 05-02-2005  5 98" xfId="23851"/>
    <cellStyle name="Comma [0] TBD_2007 Concern tracker 05-02-2005  5 99" xfId="23852"/>
    <cellStyle name="Comma [0] TBD-_2007 Concern tracker 05-02-2005  5 99" xfId="23853"/>
    <cellStyle name="Comma [0] TBD_2007 Concern tracker 05-02-2005  6" xfId="23854"/>
    <cellStyle name="Comma [0] TBD-_2007 Concern tracker 05-02-2005  6" xfId="23855"/>
    <cellStyle name="Comma [0] TBD_2007 Concern tracker 05-02-2005  6 10" xfId="23856"/>
    <cellStyle name="Comma [0] TBD-_2007 Concern tracker 05-02-2005  6 10" xfId="23857"/>
    <cellStyle name="Comma [0] TBD_2007 Concern tracker 05-02-2005  6 100" xfId="23858"/>
    <cellStyle name="Comma [0] TBD-_2007 Concern tracker 05-02-2005  6 100" xfId="23859"/>
    <cellStyle name="Comma [0] TBD_2007 Concern tracker 05-02-2005  6 101" xfId="23860"/>
    <cellStyle name="Comma [0] TBD-_2007 Concern tracker 05-02-2005  6 101" xfId="23861"/>
    <cellStyle name="Comma [0] TBD_2007 Concern tracker 05-02-2005  6 102" xfId="23862"/>
    <cellStyle name="Comma [0] TBD-_2007 Concern tracker 05-02-2005  6 102" xfId="23863"/>
    <cellStyle name="Comma [0] TBD_2007 Concern tracker 05-02-2005  6 103" xfId="23864"/>
    <cellStyle name="Comma [0] TBD-_2007 Concern tracker 05-02-2005  6 103" xfId="23865"/>
    <cellStyle name="Comma [0] TBD_2007 Concern tracker 05-02-2005  6 104" xfId="23866"/>
    <cellStyle name="Comma [0] TBD-_2007 Concern tracker 05-02-2005  6 104" xfId="23867"/>
    <cellStyle name="Comma [0] TBD_2007 Concern tracker 05-02-2005  6 105" xfId="23868"/>
    <cellStyle name="Comma [0] TBD-_2007 Concern tracker 05-02-2005  6 105" xfId="23869"/>
    <cellStyle name="Comma [0] TBD_2007 Concern tracker 05-02-2005  6 106" xfId="23870"/>
    <cellStyle name="Comma [0] TBD-_2007 Concern tracker 05-02-2005  6 106" xfId="23871"/>
    <cellStyle name="Comma [0] TBD_2007 Concern tracker 05-02-2005  6 107" xfId="23872"/>
    <cellStyle name="Comma [0] TBD-_2007 Concern tracker 05-02-2005  6 107" xfId="23873"/>
    <cellStyle name="Comma [0] TBD_2007 Concern tracker 05-02-2005  6 108" xfId="23874"/>
    <cellStyle name="Comma [0] TBD-_2007 Concern tracker 05-02-2005  6 108" xfId="23875"/>
    <cellStyle name="Comma [0] TBD_2007 Concern tracker 05-02-2005  6 109" xfId="23876"/>
    <cellStyle name="Comma [0] TBD-_2007 Concern tracker 05-02-2005  6 109" xfId="23877"/>
    <cellStyle name="Comma [0] TBD_2007 Concern tracker 05-02-2005  6 11" xfId="23878"/>
    <cellStyle name="Comma [0] TBD-_2007 Concern tracker 05-02-2005  6 11" xfId="23879"/>
    <cellStyle name="Comma [0] TBD_2007 Concern tracker 05-02-2005  6 110" xfId="23880"/>
    <cellStyle name="Comma [0] TBD-_2007 Concern tracker 05-02-2005  6 110" xfId="23881"/>
    <cellStyle name="Comma [0] TBD_2007 Concern tracker 05-02-2005  6 111" xfId="23882"/>
    <cellStyle name="Comma [0] TBD-_2007 Concern tracker 05-02-2005  6 111" xfId="23883"/>
    <cellStyle name="Comma [0] TBD_2007 Concern tracker 05-02-2005  6 112" xfId="23884"/>
    <cellStyle name="Comma [0] TBD-_2007 Concern tracker 05-02-2005  6 112" xfId="23885"/>
    <cellStyle name="Comma [0] TBD_2007 Concern tracker 05-02-2005  6 113" xfId="23886"/>
    <cellStyle name="Comma [0] TBD-_2007 Concern tracker 05-02-2005  6 113" xfId="23887"/>
    <cellStyle name="Comma [0] TBD_2007 Concern tracker 05-02-2005  6 114" xfId="23888"/>
    <cellStyle name="Comma [0] TBD-_2007 Concern tracker 05-02-2005  6 114" xfId="23889"/>
    <cellStyle name="Comma [0] TBD_2007 Concern tracker 05-02-2005  6 115" xfId="23890"/>
    <cellStyle name="Comma [0] TBD-_2007 Concern tracker 05-02-2005  6 115" xfId="23891"/>
    <cellStyle name="Comma [0] TBD_2007 Concern tracker 05-02-2005  6 116" xfId="23892"/>
    <cellStyle name="Comma [0] TBD-_2007 Concern tracker 05-02-2005  6 116" xfId="23893"/>
    <cellStyle name="Comma [0] TBD_2007 Concern tracker 05-02-2005  6 117" xfId="23894"/>
    <cellStyle name="Comma [0] TBD-_2007 Concern tracker 05-02-2005  6 117" xfId="23895"/>
    <cellStyle name="Comma [0] TBD_2007 Concern tracker 05-02-2005  6 118" xfId="23896"/>
    <cellStyle name="Comma [0] TBD-_2007 Concern tracker 05-02-2005  6 118" xfId="23897"/>
    <cellStyle name="Comma [0] TBD_2007 Concern tracker 05-02-2005  6 119" xfId="23898"/>
    <cellStyle name="Comma [0] TBD-_2007 Concern tracker 05-02-2005  6 119" xfId="23899"/>
    <cellStyle name="Comma [0] TBD_2007 Concern tracker 05-02-2005  6 12" xfId="23900"/>
    <cellStyle name="Comma [0] TBD-_2007 Concern tracker 05-02-2005  6 12" xfId="23901"/>
    <cellStyle name="Comma [0] TBD_2007 Concern tracker 05-02-2005  6 120" xfId="23902"/>
    <cellStyle name="Comma [0] TBD-_2007 Concern tracker 05-02-2005  6 120" xfId="23903"/>
    <cellStyle name="Comma [0] TBD_2007 Concern tracker 05-02-2005  6 121" xfId="23904"/>
    <cellStyle name="Comma [0] TBD-_2007 Concern tracker 05-02-2005  6 121" xfId="23905"/>
    <cellStyle name="Comma [0] TBD_2007 Concern tracker 05-02-2005  6 122" xfId="23906"/>
    <cellStyle name="Comma [0] TBD-_2007 Concern tracker 05-02-2005  6 122" xfId="23907"/>
    <cellStyle name="Comma [0] TBD_2007 Concern tracker 05-02-2005  6 123" xfId="23908"/>
    <cellStyle name="Comma [0] TBD-_2007 Concern tracker 05-02-2005  6 123" xfId="23909"/>
    <cellStyle name="Comma [0] TBD_2007 Concern tracker 05-02-2005  6 124" xfId="23910"/>
    <cellStyle name="Comma [0] TBD-_2007 Concern tracker 05-02-2005  6 124" xfId="23911"/>
    <cellStyle name="Comma [0] TBD_2007 Concern tracker 05-02-2005  6 125" xfId="23912"/>
    <cellStyle name="Comma [0] TBD-_2007 Concern tracker 05-02-2005  6 125" xfId="23913"/>
    <cellStyle name="Comma [0] TBD_2007 Concern tracker 05-02-2005  6 126" xfId="23914"/>
    <cellStyle name="Comma [0] TBD-_2007 Concern tracker 05-02-2005  6 126" xfId="23915"/>
    <cellStyle name="Comma [0] TBD_2007 Concern tracker 05-02-2005  6 127" xfId="23916"/>
    <cellStyle name="Comma [0] TBD-_2007 Concern tracker 05-02-2005  6 127" xfId="23917"/>
    <cellStyle name="Comma [0] TBD_2007 Concern tracker 05-02-2005  6 128" xfId="23918"/>
    <cellStyle name="Comma [0] TBD-_2007 Concern tracker 05-02-2005  6 128" xfId="23919"/>
    <cellStyle name="Comma [0] TBD_2007 Concern tracker 05-02-2005  6 129" xfId="23920"/>
    <cellStyle name="Comma [0] TBD-_2007 Concern tracker 05-02-2005  6 129" xfId="23921"/>
    <cellStyle name="Comma [0] TBD_2007 Concern tracker 05-02-2005  6 13" xfId="23922"/>
    <cellStyle name="Comma [0] TBD-_2007 Concern tracker 05-02-2005  6 13" xfId="23923"/>
    <cellStyle name="Comma [0] TBD_2007 Concern tracker 05-02-2005  6 130" xfId="23924"/>
    <cellStyle name="Comma [0] TBD-_2007 Concern tracker 05-02-2005  6 130" xfId="23925"/>
    <cellStyle name="Comma [0] TBD_2007 Concern tracker 05-02-2005  6 131" xfId="23926"/>
    <cellStyle name="Comma [0] TBD-_2007 Concern tracker 05-02-2005  6 131" xfId="23927"/>
    <cellStyle name="Comma [0] TBD_2007 Concern tracker 05-02-2005  6 132" xfId="23928"/>
    <cellStyle name="Comma [0] TBD-_2007 Concern tracker 05-02-2005  6 132" xfId="23929"/>
    <cellStyle name="Comma [0] TBD_2007 Concern tracker 05-02-2005  6 133" xfId="23930"/>
    <cellStyle name="Comma [0] TBD-_2007 Concern tracker 05-02-2005  6 133" xfId="23931"/>
    <cellStyle name="Comma [0] TBD_2007 Concern tracker 05-02-2005  6 134" xfId="23932"/>
    <cellStyle name="Comma [0] TBD-_2007 Concern tracker 05-02-2005  6 134" xfId="23933"/>
    <cellStyle name="Comma [0] TBD_2007 Concern tracker 05-02-2005  6 135" xfId="23934"/>
    <cellStyle name="Comma [0] TBD-_2007 Concern tracker 05-02-2005  6 135" xfId="23935"/>
    <cellStyle name="Comma [0] TBD_2007 Concern tracker 05-02-2005  6 136" xfId="23936"/>
    <cellStyle name="Comma [0] TBD-_2007 Concern tracker 05-02-2005  6 136" xfId="23937"/>
    <cellStyle name="Comma [0] TBD_2007 Concern tracker 05-02-2005  6 137" xfId="23938"/>
    <cellStyle name="Comma [0] TBD-_2007 Concern tracker 05-02-2005  6 137" xfId="23939"/>
    <cellStyle name="Comma [0] TBD_2007 Concern tracker 05-02-2005  6 138" xfId="23940"/>
    <cellStyle name="Comma [0] TBD-_2007 Concern tracker 05-02-2005  6 138" xfId="23941"/>
    <cellStyle name="Comma [0] TBD_2007 Concern tracker 05-02-2005  6 139" xfId="23942"/>
    <cellStyle name="Comma [0] TBD-_2007 Concern tracker 05-02-2005  6 139" xfId="23943"/>
    <cellStyle name="Comma [0] TBD_2007 Concern tracker 05-02-2005  6 14" xfId="23944"/>
    <cellStyle name="Comma [0] TBD-_2007 Concern tracker 05-02-2005  6 14" xfId="23945"/>
    <cellStyle name="Comma [0] TBD_2007 Concern tracker 05-02-2005  6 140" xfId="23946"/>
    <cellStyle name="Comma [0] TBD-_2007 Concern tracker 05-02-2005  6 140" xfId="23947"/>
    <cellStyle name="Comma [0] TBD_2007 Concern tracker 05-02-2005  6 141" xfId="23948"/>
    <cellStyle name="Comma [0] TBD-_2007 Concern tracker 05-02-2005  6 141" xfId="23949"/>
    <cellStyle name="Comma [0] TBD_2007 Concern tracker 05-02-2005  6 142" xfId="23950"/>
    <cellStyle name="Comma [0] TBD-_2007 Concern tracker 05-02-2005  6 142" xfId="23951"/>
    <cellStyle name="Comma [0] TBD_2007 Concern tracker 05-02-2005  6 143" xfId="23952"/>
    <cellStyle name="Comma [0] TBD-_2007 Concern tracker 05-02-2005  6 143" xfId="23953"/>
    <cellStyle name="Comma [0] TBD_2007 Concern tracker 05-02-2005  6 144" xfId="23954"/>
    <cellStyle name="Comma [0] TBD-_2007 Concern tracker 05-02-2005  6 144" xfId="23955"/>
    <cellStyle name="Comma [0] TBD_2007 Concern tracker 05-02-2005  6 145" xfId="23956"/>
    <cellStyle name="Comma [0] TBD-_2007 Concern tracker 05-02-2005  6 145" xfId="23957"/>
    <cellStyle name="Comma [0] TBD_2007 Concern tracker 05-02-2005  6 146" xfId="23958"/>
    <cellStyle name="Comma [0] TBD-_2007 Concern tracker 05-02-2005  6 146" xfId="23959"/>
    <cellStyle name="Comma [0] TBD_2007 Concern tracker 05-02-2005  6 147" xfId="23960"/>
    <cellStyle name="Comma [0] TBD-_2007 Concern tracker 05-02-2005  6 147" xfId="23961"/>
    <cellStyle name="Comma [0] TBD_2007 Concern tracker 05-02-2005  6 148" xfId="23962"/>
    <cellStyle name="Comma [0] TBD-_2007 Concern tracker 05-02-2005  6 148" xfId="23963"/>
    <cellStyle name="Comma [0] TBD_2007 Concern tracker 05-02-2005  6 149" xfId="23964"/>
    <cellStyle name="Comma [0] TBD-_2007 Concern tracker 05-02-2005  6 149" xfId="23965"/>
    <cellStyle name="Comma [0] TBD_2007 Concern tracker 05-02-2005  6 15" xfId="23966"/>
    <cellStyle name="Comma [0] TBD-_2007 Concern tracker 05-02-2005  6 15" xfId="23967"/>
    <cellStyle name="Comma [0] TBD_2007 Concern tracker 05-02-2005  6 150" xfId="23968"/>
    <cellStyle name="Comma [0] TBD-_2007 Concern tracker 05-02-2005  6 150" xfId="23969"/>
    <cellStyle name="Comma [0] TBD_2007 Concern tracker 05-02-2005  6 151" xfId="23970"/>
    <cellStyle name="Comma [0] TBD-_2007 Concern tracker 05-02-2005  6 151" xfId="23971"/>
    <cellStyle name="Comma [0] TBD_2007 Concern tracker 05-02-2005  6 152" xfId="23972"/>
    <cellStyle name="Comma [0] TBD-_2007 Concern tracker 05-02-2005  6 152" xfId="23973"/>
    <cellStyle name="Comma [0] TBD_2007 Concern tracker 05-02-2005  6 153" xfId="23974"/>
    <cellStyle name="Comma [0] TBD-_2007 Concern tracker 05-02-2005  6 153" xfId="23975"/>
    <cellStyle name="Comma [0] TBD_2007 Concern tracker 05-02-2005  6 154" xfId="23976"/>
    <cellStyle name="Comma [0] TBD-_2007 Concern tracker 05-02-2005  6 154" xfId="23977"/>
    <cellStyle name="Comma [0] TBD_2007 Concern tracker 05-02-2005  6 16" xfId="23978"/>
    <cellStyle name="Comma [0] TBD-_2007 Concern tracker 05-02-2005  6 16" xfId="23979"/>
    <cellStyle name="Comma [0] TBD_2007 Concern tracker 05-02-2005  6 17" xfId="23980"/>
    <cellStyle name="Comma [0] TBD-_2007 Concern tracker 05-02-2005  6 17" xfId="23981"/>
    <cellStyle name="Comma [0] TBD_2007 Concern tracker 05-02-2005  6 18" xfId="23982"/>
    <cellStyle name="Comma [0] TBD-_2007 Concern tracker 05-02-2005  6 18" xfId="23983"/>
    <cellStyle name="Comma [0] TBD_2007 Concern tracker 05-02-2005  6 19" xfId="23984"/>
    <cellStyle name="Comma [0] TBD-_2007 Concern tracker 05-02-2005  6 19" xfId="23985"/>
    <cellStyle name="Comma [0] TBD_2007 Concern tracker 05-02-2005  6 2" xfId="23986"/>
    <cellStyle name="Comma [0] TBD-_2007 Concern tracker 05-02-2005  6 2" xfId="23987"/>
    <cellStyle name="Comma [0] TBD_2007 Concern tracker 05-02-2005  6 20" xfId="23988"/>
    <cellStyle name="Comma [0] TBD-_2007 Concern tracker 05-02-2005  6 20" xfId="23989"/>
    <cellStyle name="Comma [0] TBD_2007 Concern tracker 05-02-2005  6 21" xfId="23990"/>
    <cellStyle name="Comma [0] TBD-_2007 Concern tracker 05-02-2005  6 21" xfId="23991"/>
    <cellStyle name="Comma [0] TBD_2007 Concern tracker 05-02-2005  6 22" xfId="23992"/>
    <cellStyle name="Comma [0] TBD-_2007 Concern tracker 05-02-2005  6 22" xfId="23993"/>
    <cellStyle name="Comma [0] TBD_2007 Concern tracker 05-02-2005  6 23" xfId="23994"/>
    <cellStyle name="Comma [0] TBD-_2007 Concern tracker 05-02-2005  6 23" xfId="23995"/>
    <cellStyle name="Comma [0] TBD_2007 Concern tracker 05-02-2005  6 24" xfId="23996"/>
    <cellStyle name="Comma [0] TBD-_2007 Concern tracker 05-02-2005  6 24" xfId="23997"/>
    <cellStyle name="Comma [0] TBD_2007 Concern tracker 05-02-2005  6 25" xfId="23998"/>
    <cellStyle name="Comma [0] TBD-_2007 Concern tracker 05-02-2005  6 25" xfId="23999"/>
    <cellStyle name="Comma [0] TBD_2007 Concern tracker 05-02-2005  6 26" xfId="24000"/>
    <cellStyle name="Comma [0] TBD-_2007 Concern tracker 05-02-2005  6 26" xfId="24001"/>
    <cellStyle name="Comma [0] TBD_2007 Concern tracker 05-02-2005  6 27" xfId="24002"/>
    <cellStyle name="Comma [0] TBD-_2007 Concern tracker 05-02-2005  6 27" xfId="24003"/>
    <cellStyle name="Comma [0] TBD_2007 Concern tracker 05-02-2005  6 28" xfId="24004"/>
    <cellStyle name="Comma [0] TBD-_2007 Concern tracker 05-02-2005  6 28" xfId="24005"/>
    <cellStyle name="Comma [0] TBD_2007 Concern tracker 05-02-2005  6 29" xfId="24006"/>
    <cellStyle name="Comma [0] TBD-_2007 Concern tracker 05-02-2005  6 29" xfId="24007"/>
    <cellStyle name="Comma [0] TBD_2007 Concern tracker 05-02-2005  6 3" xfId="24008"/>
    <cellStyle name="Comma [0] TBD-_2007 Concern tracker 05-02-2005  6 3" xfId="24009"/>
    <cellStyle name="Comma [0] TBD_2007 Concern tracker 05-02-2005  6 30" xfId="24010"/>
    <cellStyle name="Comma [0] TBD-_2007 Concern tracker 05-02-2005  6 30" xfId="24011"/>
    <cellStyle name="Comma [0] TBD_2007 Concern tracker 05-02-2005  6 31" xfId="24012"/>
    <cellStyle name="Comma [0] TBD-_2007 Concern tracker 05-02-2005  6 31" xfId="24013"/>
    <cellStyle name="Comma [0] TBD_2007 Concern tracker 05-02-2005  6 32" xfId="24014"/>
    <cellStyle name="Comma [0] TBD-_2007 Concern tracker 05-02-2005  6 32" xfId="24015"/>
    <cellStyle name="Comma [0] TBD_2007 Concern tracker 05-02-2005  6 33" xfId="24016"/>
    <cellStyle name="Comma [0] TBD-_2007 Concern tracker 05-02-2005  6 33" xfId="24017"/>
    <cellStyle name="Comma [0] TBD_2007 Concern tracker 05-02-2005  6 34" xfId="24018"/>
    <cellStyle name="Comma [0] TBD-_2007 Concern tracker 05-02-2005  6 34" xfId="24019"/>
    <cellStyle name="Comma [0] TBD_2007 Concern tracker 05-02-2005  6 35" xfId="24020"/>
    <cellStyle name="Comma [0] TBD-_2007 Concern tracker 05-02-2005  6 35" xfId="24021"/>
    <cellStyle name="Comma [0] TBD_2007 Concern tracker 05-02-2005  6 36" xfId="24022"/>
    <cellStyle name="Comma [0] TBD-_2007 Concern tracker 05-02-2005  6 36" xfId="24023"/>
    <cellStyle name="Comma [0] TBD_2007 Concern tracker 05-02-2005  6 37" xfId="24024"/>
    <cellStyle name="Comma [0] TBD-_2007 Concern tracker 05-02-2005  6 37" xfId="24025"/>
    <cellStyle name="Comma [0] TBD_2007 Concern tracker 05-02-2005  6 38" xfId="24026"/>
    <cellStyle name="Comma [0] TBD-_2007 Concern tracker 05-02-2005  6 38" xfId="24027"/>
    <cellStyle name="Comma [0] TBD_2007 Concern tracker 05-02-2005  6 39" xfId="24028"/>
    <cellStyle name="Comma [0] TBD-_2007 Concern tracker 05-02-2005  6 39" xfId="24029"/>
    <cellStyle name="Comma [0] TBD_2007 Concern tracker 05-02-2005  6 4" xfId="24030"/>
    <cellStyle name="Comma [0] TBD-_2007 Concern tracker 05-02-2005  6 4" xfId="24031"/>
    <cellStyle name="Comma [0] TBD_2007 Concern tracker 05-02-2005  6 40" xfId="24032"/>
    <cellStyle name="Comma [0] TBD-_2007 Concern tracker 05-02-2005  6 40" xfId="24033"/>
    <cellStyle name="Comma [0] TBD_2007 Concern tracker 05-02-2005  6 41" xfId="24034"/>
    <cellStyle name="Comma [0] TBD-_2007 Concern tracker 05-02-2005  6 41" xfId="24035"/>
    <cellStyle name="Comma [0] TBD_2007 Concern tracker 05-02-2005  6 42" xfId="24036"/>
    <cellStyle name="Comma [0] TBD-_2007 Concern tracker 05-02-2005  6 42" xfId="24037"/>
    <cellStyle name="Comma [0] TBD_2007 Concern tracker 05-02-2005  6 43" xfId="24038"/>
    <cellStyle name="Comma [0] TBD-_2007 Concern tracker 05-02-2005  6 43" xfId="24039"/>
    <cellStyle name="Comma [0] TBD_2007 Concern tracker 05-02-2005  6 44" xfId="24040"/>
    <cellStyle name="Comma [0] TBD-_2007 Concern tracker 05-02-2005  6 44" xfId="24041"/>
    <cellStyle name="Comma [0] TBD_2007 Concern tracker 05-02-2005  6 45" xfId="24042"/>
    <cellStyle name="Comma [0] TBD-_2007 Concern tracker 05-02-2005  6 45" xfId="24043"/>
    <cellStyle name="Comma [0] TBD_2007 Concern tracker 05-02-2005  6 46" xfId="24044"/>
    <cellStyle name="Comma [0] TBD-_2007 Concern tracker 05-02-2005  6 46" xfId="24045"/>
    <cellStyle name="Comma [0] TBD_2007 Concern tracker 05-02-2005  6 47" xfId="24046"/>
    <cellStyle name="Comma [0] TBD-_2007 Concern tracker 05-02-2005  6 47" xfId="24047"/>
    <cellStyle name="Comma [0] TBD_2007 Concern tracker 05-02-2005  6 48" xfId="24048"/>
    <cellStyle name="Comma [0] TBD-_2007 Concern tracker 05-02-2005  6 48" xfId="24049"/>
    <cellStyle name="Comma [0] TBD_2007 Concern tracker 05-02-2005  6 49" xfId="24050"/>
    <cellStyle name="Comma [0] TBD-_2007 Concern tracker 05-02-2005  6 49" xfId="24051"/>
    <cellStyle name="Comma [0] TBD_2007 Concern tracker 05-02-2005  6 5" xfId="24052"/>
    <cellStyle name="Comma [0] TBD-_2007 Concern tracker 05-02-2005  6 5" xfId="24053"/>
    <cellStyle name="Comma [0] TBD_2007 Concern tracker 05-02-2005  6 50" xfId="24054"/>
    <cellStyle name="Comma [0] TBD-_2007 Concern tracker 05-02-2005  6 50" xfId="24055"/>
    <cellStyle name="Comma [0] TBD_2007 Concern tracker 05-02-2005  6 51" xfId="24056"/>
    <cellStyle name="Comma [0] TBD-_2007 Concern tracker 05-02-2005  6 51" xfId="24057"/>
    <cellStyle name="Comma [0] TBD_2007 Concern tracker 05-02-2005  6 52" xfId="24058"/>
    <cellStyle name="Comma [0] TBD-_2007 Concern tracker 05-02-2005  6 52" xfId="24059"/>
    <cellStyle name="Comma [0] TBD_2007 Concern tracker 05-02-2005  6 53" xfId="24060"/>
    <cellStyle name="Comma [0] TBD-_2007 Concern tracker 05-02-2005  6 53" xfId="24061"/>
    <cellStyle name="Comma [0] TBD_2007 Concern tracker 05-02-2005  6 54" xfId="24062"/>
    <cellStyle name="Comma [0] TBD-_2007 Concern tracker 05-02-2005  6 54" xfId="24063"/>
    <cellStyle name="Comma [0] TBD_2007 Concern tracker 05-02-2005  6 55" xfId="24064"/>
    <cellStyle name="Comma [0] TBD-_2007 Concern tracker 05-02-2005  6 55" xfId="24065"/>
    <cellStyle name="Comma [0] TBD_2007 Concern tracker 05-02-2005  6 56" xfId="24066"/>
    <cellStyle name="Comma [0] TBD-_2007 Concern tracker 05-02-2005  6 56" xfId="24067"/>
    <cellStyle name="Comma [0] TBD_2007 Concern tracker 05-02-2005  6 57" xfId="24068"/>
    <cellStyle name="Comma [0] TBD-_2007 Concern tracker 05-02-2005  6 57" xfId="24069"/>
    <cellStyle name="Comma [0] TBD_2007 Concern tracker 05-02-2005  6 58" xfId="24070"/>
    <cellStyle name="Comma [0] TBD-_2007 Concern tracker 05-02-2005  6 58" xfId="24071"/>
    <cellStyle name="Comma [0] TBD_2007 Concern tracker 05-02-2005  6 59" xfId="24072"/>
    <cellStyle name="Comma [0] TBD-_2007 Concern tracker 05-02-2005  6 59" xfId="24073"/>
    <cellStyle name="Comma [0] TBD_2007 Concern tracker 05-02-2005  6 6" xfId="24074"/>
    <cellStyle name="Comma [0] TBD-_2007 Concern tracker 05-02-2005  6 6" xfId="24075"/>
    <cellStyle name="Comma [0] TBD_2007 Concern tracker 05-02-2005  6 60" xfId="24076"/>
    <cellStyle name="Comma [0] TBD-_2007 Concern tracker 05-02-2005  6 60" xfId="24077"/>
    <cellStyle name="Comma [0] TBD_2007 Concern tracker 05-02-2005  6 61" xfId="24078"/>
    <cellStyle name="Comma [0] TBD-_2007 Concern tracker 05-02-2005  6 61" xfId="24079"/>
    <cellStyle name="Comma [0] TBD_2007 Concern tracker 05-02-2005  6 62" xfId="24080"/>
    <cellStyle name="Comma [0] TBD-_2007 Concern tracker 05-02-2005  6 62" xfId="24081"/>
    <cellStyle name="Comma [0] TBD_2007 Concern tracker 05-02-2005  6 63" xfId="24082"/>
    <cellStyle name="Comma [0] TBD-_2007 Concern tracker 05-02-2005  6 63" xfId="24083"/>
    <cellStyle name="Comma [0] TBD_2007 Concern tracker 05-02-2005  6 64" xfId="24084"/>
    <cellStyle name="Comma [0] TBD-_2007 Concern tracker 05-02-2005  6 64" xfId="24085"/>
    <cellStyle name="Comma [0] TBD_2007 Concern tracker 05-02-2005  6 65" xfId="24086"/>
    <cellStyle name="Comma [0] TBD-_2007 Concern tracker 05-02-2005  6 65" xfId="24087"/>
    <cellStyle name="Comma [0] TBD_2007 Concern tracker 05-02-2005  6 66" xfId="24088"/>
    <cellStyle name="Comma [0] TBD-_2007 Concern tracker 05-02-2005  6 66" xfId="24089"/>
    <cellStyle name="Comma [0] TBD_2007 Concern tracker 05-02-2005  6 67" xfId="24090"/>
    <cellStyle name="Comma [0] TBD-_2007 Concern tracker 05-02-2005  6 67" xfId="24091"/>
    <cellStyle name="Comma [0] TBD_2007 Concern tracker 05-02-2005  6 68" xfId="24092"/>
    <cellStyle name="Comma [0] TBD-_2007 Concern tracker 05-02-2005  6 68" xfId="24093"/>
    <cellStyle name="Comma [0] TBD_2007 Concern tracker 05-02-2005  6 69" xfId="24094"/>
    <cellStyle name="Comma [0] TBD-_2007 Concern tracker 05-02-2005  6 69" xfId="24095"/>
    <cellStyle name="Comma [0] TBD_2007 Concern tracker 05-02-2005  6 7" xfId="24096"/>
    <cellStyle name="Comma [0] TBD-_2007 Concern tracker 05-02-2005  6 7" xfId="24097"/>
    <cellStyle name="Comma [0] TBD_2007 Concern tracker 05-02-2005  6 70" xfId="24098"/>
    <cellStyle name="Comma [0] TBD-_2007 Concern tracker 05-02-2005  6 70" xfId="24099"/>
    <cellStyle name="Comma [0] TBD_2007 Concern tracker 05-02-2005  6 71" xfId="24100"/>
    <cellStyle name="Comma [0] TBD-_2007 Concern tracker 05-02-2005  6 71" xfId="24101"/>
    <cellStyle name="Comma [0] TBD_2007 Concern tracker 05-02-2005  6 72" xfId="24102"/>
    <cellStyle name="Comma [0] TBD-_2007 Concern tracker 05-02-2005  6 72" xfId="24103"/>
    <cellStyle name="Comma [0] TBD_2007 Concern tracker 05-02-2005  6 73" xfId="24104"/>
    <cellStyle name="Comma [0] TBD-_2007 Concern tracker 05-02-2005  6 73" xfId="24105"/>
    <cellStyle name="Comma [0] TBD_2007 Concern tracker 05-02-2005  6 74" xfId="24106"/>
    <cellStyle name="Comma [0] TBD-_2007 Concern tracker 05-02-2005  6 74" xfId="24107"/>
    <cellStyle name="Comma [0] TBD_2007 Concern tracker 05-02-2005  6 75" xfId="24108"/>
    <cellStyle name="Comma [0] TBD-_2007 Concern tracker 05-02-2005  6 75" xfId="24109"/>
    <cellStyle name="Comma [0] TBD_2007 Concern tracker 05-02-2005  6 76" xfId="24110"/>
    <cellStyle name="Comma [0] TBD-_2007 Concern tracker 05-02-2005  6 76" xfId="24111"/>
    <cellStyle name="Comma [0] TBD_2007 Concern tracker 05-02-2005  6 77" xfId="24112"/>
    <cellStyle name="Comma [0] TBD-_2007 Concern tracker 05-02-2005  6 77" xfId="24113"/>
    <cellStyle name="Comma [0] TBD_2007 Concern tracker 05-02-2005  6 78" xfId="24114"/>
    <cellStyle name="Comma [0] TBD-_2007 Concern tracker 05-02-2005  6 78" xfId="24115"/>
    <cellStyle name="Comma [0] TBD_2007 Concern tracker 05-02-2005  6 79" xfId="24116"/>
    <cellStyle name="Comma [0] TBD-_2007 Concern tracker 05-02-2005  6 79" xfId="24117"/>
    <cellStyle name="Comma [0] TBD_2007 Concern tracker 05-02-2005  6 8" xfId="24118"/>
    <cellStyle name="Comma [0] TBD-_2007 Concern tracker 05-02-2005  6 8" xfId="24119"/>
    <cellStyle name="Comma [0] TBD_2007 Concern tracker 05-02-2005  6 80" xfId="24120"/>
    <cellStyle name="Comma [0] TBD-_2007 Concern tracker 05-02-2005  6 80" xfId="24121"/>
    <cellStyle name="Comma [0] TBD_2007 Concern tracker 05-02-2005  6 81" xfId="24122"/>
    <cellStyle name="Comma [0] TBD-_2007 Concern tracker 05-02-2005  6 81" xfId="24123"/>
    <cellStyle name="Comma [0] TBD_2007 Concern tracker 05-02-2005  6 82" xfId="24124"/>
    <cellStyle name="Comma [0] TBD-_2007 Concern tracker 05-02-2005  6 82" xfId="24125"/>
    <cellStyle name="Comma [0] TBD_2007 Concern tracker 05-02-2005  6 83" xfId="24126"/>
    <cellStyle name="Comma [0] TBD-_2007 Concern tracker 05-02-2005  6 83" xfId="24127"/>
    <cellStyle name="Comma [0] TBD_2007 Concern tracker 05-02-2005  6 84" xfId="24128"/>
    <cellStyle name="Comma [0] TBD-_2007 Concern tracker 05-02-2005  6 84" xfId="24129"/>
    <cellStyle name="Comma [0] TBD_2007 Concern tracker 05-02-2005  6 85" xfId="24130"/>
    <cellStyle name="Comma [0] TBD-_2007 Concern tracker 05-02-2005  6 85" xfId="24131"/>
    <cellStyle name="Comma [0] TBD_2007 Concern tracker 05-02-2005  6 86" xfId="24132"/>
    <cellStyle name="Comma [0] TBD-_2007 Concern tracker 05-02-2005  6 86" xfId="24133"/>
    <cellStyle name="Comma [0] TBD_2007 Concern tracker 05-02-2005  6 87" xfId="24134"/>
    <cellStyle name="Comma [0] TBD-_2007 Concern tracker 05-02-2005  6 87" xfId="24135"/>
    <cellStyle name="Comma [0] TBD_2007 Concern tracker 05-02-2005  6 88" xfId="24136"/>
    <cellStyle name="Comma [0] TBD-_2007 Concern tracker 05-02-2005  6 88" xfId="24137"/>
    <cellStyle name="Comma [0] TBD_2007 Concern tracker 05-02-2005  6 89" xfId="24138"/>
    <cellStyle name="Comma [0] TBD-_2007 Concern tracker 05-02-2005  6 89" xfId="24139"/>
    <cellStyle name="Comma [0] TBD_2007 Concern tracker 05-02-2005  6 9" xfId="24140"/>
    <cellStyle name="Comma [0] TBD-_2007 Concern tracker 05-02-2005  6 9" xfId="24141"/>
    <cellStyle name="Comma [0] TBD_2007 Concern tracker 05-02-2005  6 90" xfId="24142"/>
    <cellStyle name="Comma [0] TBD-_2007 Concern tracker 05-02-2005  6 90" xfId="24143"/>
    <cellStyle name="Comma [0] TBD_2007 Concern tracker 05-02-2005  6 91" xfId="24144"/>
    <cellStyle name="Comma [0] TBD-_2007 Concern tracker 05-02-2005  6 91" xfId="24145"/>
    <cellStyle name="Comma [0] TBD_2007 Concern tracker 05-02-2005  6 92" xfId="24146"/>
    <cellStyle name="Comma [0] TBD-_2007 Concern tracker 05-02-2005  6 92" xfId="24147"/>
    <cellStyle name="Comma [0] TBD_2007 Concern tracker 05-02-2005  6 93" xfId="24148"/>
    <cellStyle name="Comma [0] TBD-_2007 Concern tracker 05-02-2005  6 93" xfId="24149"/>
    <cellStyle name="Comma [0] TBD_2007 Concern tracker 05-02-2005  6 94" xfId="24150"/>
    <cellStyle name="Comma [0] TBD-_2007 Concern tracker 05-02-2005  6 94" xfId="24151"/>
    <cellStyle name="Comma [0] TBD_2007 Concern tracker 05-02-2005  6 95" xfId="24152"/>
    <cellStyle name="Comma [0] TBD-_2007 Concern tracker 05-02-2005  6 95" xfId="24153"/>
    <cellStyle name="Comma [0] TBD_2007 Concern tracker 05-02-2005  6 96" xfId="24154"/>
    <cellStyle name="Comma [0] TBD-_2007 Concern tracker 05-02-2005  6 96" xfId="24155"/>
    <cellStyle name="Comma [0] TBD_2007 Concern tracker 05-02-2005  6 97" xfId="24156"/>
    <cellStyle name="Comma [0] TBD-_2007 Concern tracker 05-02-2005  6 97" xfId="24157"/>
    <cellStyle name="Comma [0] TBD_2007 Concern tracker 05-02-2005  6 98" xfId="24158"/>
    <cellStyle name="Comma [0] TBD-_2007 Concern tracker 05-02-2005  6 98" xfId="24159"/>
    <cellStyle name="Comma [0] TBD_2007 Concern tracker 05-02-2005  6 99" xfId="24160"/>
    <cellStyle name="Comma [0] TBD-_2007 Concern tracker 05-02-2005  6 99" xfId="24161"/>
    <cellStyle name="Comma [0] TBD_2007 Concern tracker 05-02-2005  7" xfId="24162"/>
    <cellStyle name="Comma [0] TBD-_2007 Concern tracker 05-02-2005  7" xfId="24163"/>
    <cellStyle name="Comma [0] TBD_2007 Concern tracker 05-02-2005  7 10" xfId="24164"/>
    <cellStyle name="Comma [0] TBD-_2007 Concern tracker 05-02-2005  7 10" xfId="24165"/>
    <cellStyle name="Comma [0] TBD_2007 Concern tracker 05-02-2005  7 100" xfId="24166"/>
    <cellStyle name="Comma [0] TBD-_2007 Concern tracker 05-02-2005  7 100" xfId="24167"/>
    <cellStyle name="Comma [0] TBD_2007 Concern tracker 05-02-2005  7 101" xfId="24168"/>
    <cellStyle name="Comma [0] TBD-_2007 Concern tracker 05-02-2005  7 101" xfId="24169"/>
    <cellStyle name="Comma [0] TBD_2007 Concern tracker 05-02-2005  7 102" xfId="24170"/>
    <cellStyle name="Comma [0] TBD-_2007 Concern tracker 05-02-2005  7 102" xfId="24171"/>
    <cellStyle name="Comma [0] TBD_2007 Concern tracker 05-02-2005  7 103" xfId="24172"/>
    <cellStyle name="Comma [0] TBD-_2007 Concern tracker 05-02-2005  7 103" xfId="24173"/>
    <cellStyle name="Comma [0] TBD_2007 Concern tracker 05-02-2005  7 104" xfId="24174"/>
    <cellStyle name="Comma [0] TBD-_2007 Concern tracker 05-02-2005  7 104" xfId="24175"/>
    <cellStyle name="Comma [0] TBD_2007 Concern tracker 05-02-2005  7 105" xfId="24176"/>
    <cellStyle name="Comma [0] TBD-_2007 Concern tracker 05-02-2005  7 105" xfId="24177"/>
    <cellStyle name="Comma [0] TBD_2007 Concern tracker 05-02-2005  7 106" xfId="24178"/>
    <cellStyle name="Comma [0] TBD-_2007 Concern tracker 05-02-2005  7 106" xfId="24179"/>
    <cellStyle name="Comma [0] TBD_2007 Concern tracker 05-02-2005  7 107" xfId="24180"/>
    <cellStyle name="Comma [0] TBD-_2007 Concern tracker 05-02-2005  7 107" xfId="24181"/>
    <cellStyle name="Comma [0] TBD_2007 Concern tracker 05-02-2005  7 108" xfId="24182"/>
    <cellStyle name="Comma [0] TBD-_2007 Concern tracker 05-02-2005  7 108" xfId="24183"/>
    <cellStyle name="Comma [0] TBD_2007 Concern tracker 05-02-2005  7 109" xfId="24184"/>
    <cellStyle name="Comma [0] TBD-_2007 Concern tracker 05-02-2005  7 109" xfId="24185"/>
    <cellStyle name="Comma [0] TBD_2007 Concern tracker 05-02-2005  7 11" xfId="24186"/>
    <cellStyle name="Comma [0] TBD-_2007 Concern tracker 05-02-2005  7 11" xfId="24187"/>
    <cellStyle name="Comma [0] TBD_2007 Concern tracker 05-02-2005  7 110" xfId="24188"/>
    <cellStyle name="Comma [0] TBD-_2007 Concern tracker 05-02-2005  7 110" xfId="24189"/>
    <cellStyle name="Comma [0] TBD_2007 Concern tracker 05-02-2005  7 111" xfId="24190"/>
    <cellStyle name="Comma [0] TBD-_2007 Concern tracker 05-02-2005  7 111" xfId="24191"/>
    <cellStyle name="Comma [0] TBD_2007 Concern tracker 05-02-2005  7 112" xfId="24192"/>
    <cellStyle name="Comma [0] TBD-_2007 Concern tracker 05-02-2005  7 112" xfId="24193"/>
    <cellStyle name="Comma [0] TBD_2007 Concern tracker 05-02-2005  7 113" xfId="24194"/>
    <cellStyle name="Comma [0] TBD-_2007 Concern tracker 05-02-2005  7 113" xfId="24195"/>
    <cellStyle name="Comma [0] TBD_2007 Concern tracker 05-02-2005  7 114" xfId="24196"/>
    <cellStyle name="Comma [0] TBD-_2007 Concern tracker 05-02-2005  7 114" xfId="24197"/>
    <cellStyle name="Comma [0] TBD_2007 Concern tracker 05-02-2005  7 115" xfId="24198"/>
    <cellStyle name="Comma [0] TBD-_2007 Concern tracker 05-02-2005  7 115" xfId="24199"/>
    <cellStyle name="Comma [0] TBD_2007 Concern tracker 05-02-2005  7 116" xfId="24200"/>
    <cellStyle name="Comma [0] TBD-_2007 Concern tracker 05-02-2005  7 116" xfId="24201"/>
    <cellStyle name="Comma [0] TBD_2007 Concern tracker 05-02-2005  7 117" xfId="24202"/>
    <cellStyle name="Comma [0] TBD-_2007 Concern tracker 05-02-2005  7 117" xfId="24203"/>
    <cellStyle name="Comma [0] TBD_2007 Concern tracker 05-02-2005  7 118" xfId="24204"/>
    <cellStyle name="Comma [0] TBD-_2007 Concern tracker 05-02-2005  7 118" xfId="24205"/>
    <cellStyle name="Comma [0] TBD_2007 Concern tracker 05-02-2005  7 119" xfId="24206"/>
    <cellStyle name="Comma [0] TBD-_2007 Concern tracker 05-02-2005  7 119" xfId="24207"/>
    <cellStyle name="Comma [0] TBD_2007 Concern tracker 05-02-2005  7 12" xfId="24208"/>
    <cellStyle name="Comma [0] TBD-_2007 Concern tracker 05-02-2005  7 12" xfId="24209"/>
    <cellStyle name="Comma [0] TBD_2007 Concern tracker 05-02-2005  7 120" xfId="24210"/>
    <cellStyle name="Comma [0] TBD-_2007 Concern tracker 05-02-2005  7 120" xfId="24211"/>
    <cellStyle name="Comma [0] TBD_2007 Concern tracker 05-02-2005  7 121" xfId="24212"/>
    <cellStyle name="Comma [0] TBD-_2007 Concern tracker 05-02-2005  7 121" xfId="24213"/>
    <cellStyle name="Comma [0] TBD_2007 Concern tracker 05-02-2005  7 122" xfId="24214"/>
    <cellStyle name="Comma [0] TBD-_2007 Concern tracker 05-02-2005  7 122" xfId="24215"/>
    <cellStyle name="Comma [0] TBD_2007 Concern tracker 05-02-2005  7 123" xfId="24216"/>
    <cellStyle name="Comma [0] TBD-_2007 Concern tracker 05-02-2005  7 123" xfId="24217"/>
    <cellStyle name="Comma [0] TBD_2007 Concern tracker 05-02-2005  7 124" xfId="24218"/>
    <cellStyle name="Comma [0] TBD-_2007 Concern tracker 05-02-2005  7 124" xfId="24219"/>
    <cellStyle name="Comma [0] TBD_2007 Concern tracker 05-02-2005  7 125" xfId="24220"/>
    <cellStyle name="Comma [0] TBD-_2007 Concern tracker 05-02-2005  7 125" xfId="24221"/>
    <cellStyle name="Comma [0] TBD_2007 Concern tracker 05-02-2005  7 126" xfId="24222"/>
    <cellStyle name="Comma [0] TBD-_2007 Concern tracker 05-02-2005  7 126" xfId="24223"/>
    <cellStyle name="Comma [0] TBD_2007 Concern tracker 05-02-2005  7 127" xfId="24224"/>
    <cellStyle name="Comma [0] TBD-_2007 Concern tracker 05-02-2005  7 127" xfId="24225"/>
    <cellStyle name="Comma [0] TBD_2007 Concern tracker 05-02-2005  7 128" xfId="24226"/>
    <cellStyle name="Comma [0] TBD-_2007 Concern tracker 05-02-2005  7 128" xfId="24227"/>
    <cellStyle name="Comma [0] TBD_2007 Concern tracker 05-02-2005  7 129" xfId="24228"/>
    <cellStyle name="Comma [0] TBD-_2007 Concern tracker 05-02-2005  7 129" xfId="24229"/>
    <cellStyle name="Comma [0] TBD_2007 Concern tracker 05-02-2005  7 13" xfId="24230"/>
    <cellStyle name="Comma [0] TBD-_2007 Concern tracker 05-02-2005  7 13" xfId="24231"/>
    <cellStyle name="Comma [0] TBD_2007 Concern tracker 05-02-2005  7 130" xfId="24232"/>
    <cellStyle name="Comma [0] TBD-_2007 Concern tracker 05-02-2005  7 130" xfId="24233"/>
    <cellStyle name="Comma [0] TBD_2007 Concern tracker 05-02-2005  7 131" xfId="24234"/>
    <cellStyle name="Comma [0] TBD-_2007 Concern tracker 05-02-2005  7 131" xfId="24235"/>
    <cellStyle name="Comma [0] TBD_2007 Concern tracker 05-02-2005  7 132" xfId="24236"/>
    <cellStyle name="Comma [0] TBD-_2007 Concern tracker 05-02-2005  7 132" xfId="24237"/>
    <cellStyle name="Comma [0] TBD_2007 Concern tracker 05-02-2005  7 133" xfId="24238"/>
    <cellStyle name="Comma [0] TBD-_2007 Concern tracker 05-02-2005  7 133" xfId="24239"/>
    <cellStyle name="Comma [0] TBD_2007 Concern tracker 05-02-2005  7 134" xfId="24240"/>
    <cellStyle name="Comma [0] TBD-_2007 Concern tracker 05-02-2005  7 134" xfId="24241"/>
    <cellStyle name="Comma [0] TBD_2007 Concern tracker 05-02-2005  7 135" xfId="24242"/>
    <cellStyle name="Comma [0] TBD-_2007 Concern tracker 05-02-2005  7 135" xfId="24243"/>
    <cellStyle name="Comma [0] TBD_2007 Concern tracker 05-02-2005  7 136" xfId="24244"/>
    <cellStyle name="Comma [0] TBD-_2007 Concern tracker 05-02-2005  7 136" xfId="24245"/>
    <cellStyle name="Comma [0] TBD_2007 Concern tracker 05-02-2005  7 137" xfId="24246"/>
    <cellStyle name="Comma [0] TBD-_2007 Concern tracker 05-02-2005  7 137" xfId="24247"/>
    <cellStyle name="Comma [0] TBD_2007 Concern tracker 05-02-2005  7 138" xfId="24248"/>
    <cellStyle name="Comma [0] TBD-_2007 Concern tracker 05-02-2005  7 138" xfId="24249"/>
    <cellStyle name="Comma [0] TBD_2007 Concern tracker 05-02-2005  7 139" xfId="24250"/>
    <cellStyle name="Comma [0] TBD-_2007 Concern tracker 05-02-2005  7 139" xfId="24251"/>
    <cellStyle name="Comma [0] TBD_2007 Concern tracker 05-02-2005  7 14" xfId="24252"/>
    <cellStyle name="Comma [0] TBD-_2007 Concern tracker 05-02-2005  7 14" xfId="24253"/>
    <cellStyle name="Comma [0] TBD_2007 Concern tracker 05-02-2005  7 140" xfId="24254"/>
    <cellStyle name="Comma [0] TBD-_2007 Concern tracker 05-02-2005  7 140" xfId="24255"/>
    <cellStyle name="Comma [0] TBD_2007 Concern tracker 05-02-2005  7 141" xfId="24256"/>
    <cellStyle name="Comma [0] TBD-_2007 Concern tracker 05-02-2005  7 141" xfId="24257"/>
    <cellStyle name="Comma [0] TBD_2007 Concern tracker 05-02-2005  7 142" xfId="24258"/>
    <cellStyle name="Comma [0] TBD-_2007 Concern tracker 05-02-2005  7 142" xfId="24259"/>
    <cellStyle name="Comma [0] TBD_2007 Concern tracker 05-02-2005  7 143" xfId="24260"/>
    <cellStyle name="Comma [0] TBD-_2007 Concern tracker 05-02-2005  7 143" xfId="24261"/>
    <cellStyle name="Comma [0] TBD_2007 Concern tracker 05-02-2005  7 144" xfId="24262"/>
    <cellStyle name="Comma [0] TBD-_2007 Concern tracker 05-02-2005  7 144" xfId="24263"/>
    <cellStyle name="Comma [0] TBD_2007 Concern tracker 05-02-2005  7 145" xfId="24264"/>
    <cellStyle name="Comma [0] TBD-_2007 Concern tracker 05-02-2005  7 145" xfId="24265"/>
    <cellStyle name="Comma [0] TBD_2007 Concern tracker 05-02-2005  7 146" xfId="24266"/>
    <cellStyle name="Comma [0] TBD-_2007 Concern tracker 05-02-2005  7 146" xfId="24267"/>
    <cellStyle name="Comma [0] TBD_2007 Concern tracker 05-02-2005  7 147" xfId="24268"/>
    <cellStyle name="Comma [0] TBD-_2007 Concern tracker 05-02-2005  7 147" xfId="24269"/>
    <cellStyle name="Comma [0] TBD_2007 Concern tracker 05-02-2005  7 148" xfId="24270"/>
    <cellStyle name="Comma [0] TBD-_2007 Concern tracker 05-02-2005  7 148" xfId="24271"/>
    <cellStyle name="Comma [0] TBD_2007 Concern tracker 05-02-2005  7 149" xfId="24272"/>
    <cellStyle name="Comma [0] TBD-_2007 Concern tracker 05-02-2005  7 149" xfId="24273"/>
    <cellStyle name="Comma [0] TBD_2007 Concern tracker 05-02-2005  7 15" xfId="24274"/>
    <cellStyle name="Comma [0] TBD-_2007 Concern tracker 05-02-2005  7 15" xfId="24275"/>
    <cellStyle name="Comma [0] TBD_2007 Concern tracker 05-02-2005  7 150" xfId="24276"/>
    <cellStyle name="Comma [0] TBD-_2007 Concern tracker 05-02-2005  7 150" xfId="24277"/>
    <cellStyle name="Comma [0] TBD_2007 Concern tracker 05-02-2005  7 151" xfId="24278"/>
    <cellStyle name="Comma [0] TBD-_2007 Concern tracker 05-02-2005  7 151" xfId="24279"/>
    <cellStyle name="Comma [0] TBD_2007 Concern tracker 05-02-2005  7 152" xfId="24280"/>
    <cellStyle name="Comma [0] TBD-_2007 Concern tracker 05-02-2005  7 152" xfId="24281"/>
    <cellStyle name="Comma [0] TBD_2007 Concern tracker 05-02-2005  7 153" xfId="24282"/>
    <cellStyle name="Comma [0] TBD-_2007 Concern tracker 05-02-2005  7 153" xfId="24283"/>
    <cellStyle name="Comma [0] TBD_2007 Concern tracker 05-02-2005  7 154" xfId="24284"/>
    <cellStyle name="Comma [0] TBD-_2007 Concern tracker 05-02-2005  7 154" xfId="24285"/>
    <cellStyle name="Comma [0] TBD_2007 Concern tracker 05-02-2005  7 16" xfId="24286"/>
    <cellStyle name="Comma [0] TBD-_2007 Concern tracker 05-02-2005  7 16" xfId="24287"/>
    <cellStyle name="Comma [0] TBD_2007 Concern tracker 05-02-2005  7 17" xfId="24288"/>
    <cellStyle name="Comma [0] TBD-_2007 Concern tracker 05-02-2005  7 17" xfId="24289"/>
    <cellStyle name="Comma [0] TBD_2007 Concern tracker 05-02-2005  7 18" xfId="24290"/>
    <cellStyle name="Comma [0] TBD-_2007 Concern tracker 05-02-2005  7 18" xfId="24291"/>
    <cellStyle name="Comma [0] TBD_2007 Concern tracker 05-02-2005  7 19" xfId="24292"/>
    <cellStyle name="Comma [0] TBD-_2007 Concern tracker 05-02-2005  7 19" xfId="24293"/>
    <cellStyle name="Comma [0] TBD_2007 Concern tracker 05-02-2005  7 2" xfId="24294"/>
    <cellStyle name="Comma [0] TBD-_2007 Concern tracker 05-02-2005  7 2" xfId="24295"/>
    <cellStyle name="Comma [0] TBD_2007 Concern tracker 05-02-2005  7 20" xfId="24296"/>
    <cellStyle name="Comma [0] TBD-_2007 Concern tracker 05-02-2005  7 20" xfId="24297"/>
    <cellStyle name="Comma [0] TBD_2007 Concern tracker 05-02-2005  7 21" xfId="24298"/>
    <cellStyle name="Comma [0] TBD-_2007 Concern tracker 05-02-2005  7 21" xfId="24299"/>
    <cellStyle name="Comma [0] TBD_2007 Concern tracker 05-02-2005  7 22" xfId="24300"/>
    <cellStyle name="Comma [0] TBD-_2007 Concern tracker 05-02-2005  7 22" xfId="24301"/>
    <cellStyle name="Comma [0] TBD_2007 Concern tracker 05-02-2005  7 23" xfId="24302"/>
    <cellStyle name="Comma [0] TBD-_2007 Concern tracker 05-02-2005  7 23" xfId="24303"/>
    <cellStyle name="Comma [0] TBD_2007 Concern tracker 05-02-2005  7 24" xfId="24304"/>
    <cellStyle name="Comma [0] TBD-_2007 Concern tracker 05-02-2005  7 24" xfId="24305"/>
    <cellStyle name="Comma [0] TBD_2007 Concern tracker 05-02-2005  7 25" xfId="24306"/>
    <cellStyle name="Comma [0] TBD-_2007 Concern tracker 05-02-2005  7 25" xfId="24307"/>
    <cellStyle name="Comma [0] TBD_2007 Concern tracker 05-02-2005  7 26" xfId="24308"/>
    <cellStyle name="Comma [0] TBD-_2007 Concern tracker 05-02-2005  7 26" xfId="24309"/>
    <cellStyle name="Comma [0] TBD_2007 Concern tracker 05-02-2005  7 27" xfId="24310"/>
    <cellStyle name="Comma [0] TBD-_2007 Concern tracker 05-02-2005  7 27" xfId="24311"/>
    <cellStyle name="Comma [0] TBD_2007 Concern tracker 05-02-2005  7 28" xfId="24312"/>
    <cellStyle name="Comma [0] TBD-_2007 Concern tracker 05-02-2005  7 28" xfId="24313"/>
    <cellStyle name="Comma [0] TBD_2007 Concern tracker 05-02-2005  7 29" xfId="24314"/>
    <cellStyle name="Comma [0] TBD-_2007 Concern tracker 05-02-2005  7 29" xfId="24315"/>
    <cellStyle name="Comma [0] TBD_2007 Concern tracker 05-02-2005  7 3" xfId="24316"/>
    <cellStyle name="Comma [0] TBD-_2007 Concern tracker 05-02-2005  7 3" xfId="24317"/>
    <cellStyle name="Comma [0] TBD_2007 Concern tracker 05-02-2005  7 30" xfId="24318"/>
    <cellStyle name="Comma [0] TBD-_2007 Concern tracker 05-02-2005  7 30" xfId="24319"/>
    <cellStyle name="Comma [0] TBD_2007 Concern tracker 05-02-2005  7 31" xfId="24320"/>
    <cellStyle name="Comma [0] TBD-_2007 Concern tracker 05-02-2005  7 31" xfId="24321"/>
    <cellStyle name="Comma [0] TBD_2007 Concern tracker 05-02-2005  7 32" xfId="24322"/>
    <cellStyle name="Comma [0] TBD-_2007 Concern tracker 05-02-2005  7 32" xfId="24323"/>
    <cellStyle name="Comma [0] TBD_2007 Concern tracker 05-02-2005  7 33" xfId="24324"/>
    <cellStyle name="Comma [0] TBD-_2007 Concern tracker 05-02-2005  7 33" xfId="24325"/>
    <cellStyle name="Comma [0] TBD_2007 Concern tracker 05-02-2005  7 34" xfId="24326"/>
    <cellStyle name="Comma [0] TBD-_2007 Concern tracker 05-02-2005  7 34" xfId="24327"/>
    <cellStyle name="Comma [0] TBD_2007 Concern tracker 05-02-2005  7 35" xfId="24328"/>
    <cellStyle name="Comma [0] TBD-_2007 Concern tracker 05-02-2005  7 35" xfId="24329"/>
    <cellStyle name="Comma [0] TBD_2007 Concern tracker 05-02-2005  7 36" xfId="24330"/>
    <cellStyle name="Comma [0] TBD-_2007 Concern tracker 05-02-2005  7 36" xfId="24331"/>
    <cellStyle name="Comma [0] TBD_2007 Concern tracker 05-02-2005  7 37" xfId="24332"/>
    <cellStyle name="Comma [0] TBD-_2007 Concern tracker 05-02-2005  7 37" xfId="24333"/>
    <cellStyle name="Comma [0] TBD_2007 Concern tracker 05-02-2005  7 38" xfId="24334"/>
    <cellStyle name="Comma [0] TBD-_2007 Concern tracker 05-02-2005  7 38" xfId="24335"/>
    <cellStyle name="Comma [0] TBD_2007 Concern tracker 05-02-2005  7 39" xfId="24336"/>
    <cellStyle name="Comma [0] TBD-_2007 Concern tracker 05-02-2005  7 39" xfId="24337"/>
    <cellStyle name="Comma [0] TBD_2007 Concern tracker 05-02-2005  7 4" xfId="24338"/>
    <cellStyle name="Comma [0] TBD-_2007 Concern tracker 05-02-2005  7 4" xfId="24339"/>
    <cellStyle name="Comma [0] TBD_2007 Concern tracker 05-02-2005  7 40" xfId="24340"/>
    <cellStyle name="Comma [0] TBD-_2007 Concern tracker 05-02-2005  7 40" xfId="24341"/>
    <cellStyle name="Comma [0] TBD_2007 Concern tracker 05-02-2005  7 41" xfId="24342"/>
    <cellStyle name="Comma [0] TBD-_2007 Concern tracker 05-02-2005  7 41" xfId="24343"/>
    <cellStyle name="Comma [0] TBD_2007 Concern tracker 05-02-2005  7 42" xfId="24344"/>
    <cellStyle name="Comma [0] TBD-_2007 Concern tracker 05-02-2005  7 42" xfId="24345"/>
    <cellStyle name="Comma [0] TBD_2007 Concern tracker 05-02-2005  7 43" xfId="24346"/>
    <cellStyle name="Comma [0] TBD-_2007 Concern tracker 05-02-2005  7 43" xfId="24347"/>
    <cellStyle name="Comma [0] TBD_2007 Concern tracker 05-02-2005  7 44" xfId="24348"/>
    <cellStyle name="Comma [0] TBD-_2007 Concern tracker 05-02-2005  7 44" xfId="24349"/>
    <cellStyle name="Comma [0] TBD_2007 Concern tracker 05-02-2005  7 45" xfId="24350"/>
    <cellStyle name="Comma [0] TBD-_2007 Concern tracker 05-02-2005  7 45" xfId="24351"/>
    <cellStyle name="Comma [0] TBD_2007 Concern tracker 05-02-2005  7 46" xfId="24352"/>
    <cellStyle name="Comma [0] TBD-_2007 Concern tracker 05-02-2005  7 46" xfId="24353"/>
    <cellStyle name="Comma [0] TBD_2007 Concern tracker 05-02-2005  7 47" xfId="24354"/>
    <cellStyle name="Comma [0] TBD-_2007 Concern tracker 05-02-2005  7 47" xfId="24355"/>
    <cellStyle name="Comma [0] TBD_2007 Concern tracker 05-02-2005  7 48" xfId="24356"/>
    <cellStyle name="Comma [0] TBD-_2007 Concern tracker 05-02-2005  7 48" xfId="24357"/>
    <cellStyle name="Comma [0] TBD_2007 Concern tracker 05-02-2005  7 49" xfId="24358"/>
    <cellStyle name="Comma [0] TBD-_2007 Concern tracker 05-02-2005  7 49" xfId="24359"/>
    <cellStyle name="Comma [0] TBD_2007 Concern tracker 05-02-2005  7 5" xfId="24360"/>
    <cellStyle name="Comma [0] TBD-_2007 Concern tracker 05-02-2005  7 5" xfId="24361"/>
    <cellStyle name="Comma [0] TBD_2007 Concern tracker 05-02-2005  7 50" xfId="24362"/>
    <cellStyle name="Comma [0] TBD-_2007 Concern tracker 05-02-2005  7 50" xfId="24363"/>
    <cellStyle name="Comma [0] TBD_2007 Concern tracker 05-02-2005  7 51" xfId="24364"/>
    <cellStyle name="Comma [0] TBD-_2007 Concern tracker 05-02-2005  7 51" xfId="24365"/>
    <cellStyle name="Comma [0] TBD_2007 Concern tracker 05-02-2005  7 52" xfId="24366"/>
    <cellStyle name="Comma [0] TBD-_2007 Concern tracker 05-02-2005  7 52" xfId="24367"/>
    <cellStyle name="Comma [0] TBD_2007 Concern tracker 05-02-2005  7 53" xfId="24368"/>
    <cellStyle name="Comma [0] TBD-_2007 Concern tracker 05-02-2005  7 53" xfId="24369"/>
    <cellStyle name="Comma [0] TBD_2007 Concern tracker 05-02-2005  7 54" xfId="24370"/>
    <cellStyle name="Comma [0] TBD-_2007 Concern tracker 05-02-2005  7 54" xfId="24371"/>
    <cellStyle name="Comma [0] TBD_2007 Concern tracker 05-02-2005  7 55" xfId="24372"/>
    <cellStyle name="Comma [0] TBD-_2007 Concern tracker 05-02-2005  7 55" xfId="24373"/>
    <cellStyle name="Comma [0] TBD_2007 Concern tracker 05-02-2005  7 56" xfId="24374"/>
    <cellStyle name="Comma [0] TBD-_2007 Concern tracker 05-02-2005  7 56" xfId="24375"/>
    <cellStyle name="Comma [0] TBD_2007 Concern tracker 05-02-2005  7 57" xfId="24376"/>
    <cellStyle name="Comma [0] TBD-_2007 Concern tracker 05-02-2005  7 57" xfId="24377"/>
    <cellStyle name="Comma [0] TBD_2007 Concern tracker 05-02-2005  7 58" xfId="24378"/>
    <cellStyle name="Comma [0] TBD-_2007 Concern tracker 05-02-2005  7 58" xfId="24379"/>
    <cellStyle name="Comma [0] TBD_2007 Concern tracker 05-02-2005  7 59" xfId="24380"/>
    <cellStyle name="Comma [0] TBD-_2007 Concern tracker 05-02-2005  7 59" xfId="24381"/>
    <cellStyle name="Comma [0] TBD_2007 Concern tracker 05-02-2005  7 6" xfId="24382"/>
    <cellStyle name="Comma [0] TBD-_2007 Concern tracker 05-02-2005  7 6" xfId="24383"/>
    <cellStyle name="Comma [0] TBD_2007 Concern tracker 05-02-2005  7 60" xfId="24384"/>
    <cellStyle name="Comma [0] TBD-_2007 Concern tracker 05-02-2005  7 60" xfId="24385"/>
    <cellStyle name="Comma [0] TBD_2007 Concern tracker 05-02-2005  7 61" xfId="24386"/>
    <cellStyle name="Comma [0] TBD-_2007 Concern tracker 05-02-2005  7 61" xfId="24387"/>
    <cellStyle name="Comma [0] TBD_2007 Concern tracker 05-02-2005  7 62" xfId="24388"/>
    <cellStyle name="Comma [0] TBD-_2007 Concern tracker 05-02-2005  7 62" xfId="24389"/>
    <cellStyle name="Comma [0] TBD_2007 Concern tracker 05-02-2005  7 63" xfId="24390"/>
    <cellStyle name="Comma [0] TBD-_2007 Concern tracker 05-02-2005  7 63" xfId="24391"/>
    <cellStyle name="Comma [0] TBD_2007 Concern tracker 05-02-2005  7 64" xfId="24392"/>
    <cellStyle name="Comma [0] TBD-_2007 Concern tracker 05-02-2005  7 64" xfId="24393"/>
    <cellStyle name="Comma [0] TBD_2007 Concern tracker 05-02-2005  7 65" xfId="24394"/>
    <cellStyle name="Comma [0] TBD-_2007 Concern tracker 05-02-2005  7 65" xfId="24395"/>
    <cellStyle name="Comma [0] TBD_2007 Concern tracker 05-02-2005  7 66" xfId="24396"/>
    <cellStyle name="Comma [0] TBD-_2007 Concern tracker 05-02-2005  7 66" xfId="24397"/>
    <cellStyle name="Comma [0] TBD_2007 Concern tracker 05-02-2005  7 67" xfId="24398"/>
    <cellStyle name="Comma [0] TBD-_2007 Concern tracker 05-02-2005  7 67" xfId="24399"/>
    <cellStyle name="Comma [0] TBD_2007 Concern tracker 05-02-2005  7 68" xfId="24400"/>
    <cellStyle name="Comma [0] TBD-_2007 Concern tracker 05-02-2005  7 68" xfId="24401"/>
    <cellStyle name="Comma [0] TBD_2007 Concern tracker 05-02-2005  7 69" xfId="24402"/>
    <cellStyle name="Comma [0] TBD-_2007 Concern tracker 05-02-2005  7 69" xfId="24403"/>
    <cellStyle name="Comma [0] TBD_2007 Concern tracker 05-02-2005  7 7" xfId="24404"/>
    <cellStyle name="Comma [0] TBD-_2007 Concern tracker 05-02-2005  7 7" xfId="24405"/>
    <cellStyle name="Comma [0] TBD_2007 Concern tracker 05-02-2005  7 70" xfId="24406"/>
    <cellStyle name="Comma [0] TBD-_2007 Concern tracker 05-02-2005  7 70" xfId="24407"/>
    <cellStyle name="Comma [0] TBD_2007 Concern tracker 05-02-2005  7 71" xfId="24408"/>
    <cellStyle name="Comma [0] TBD-_2007 Concern tracker 05-02-2005  7 71" xfId="24409"/>
    <cellStyle name="Comma [0] TBD_2007 Concern tracker 05-02-2005  7 72" xfId="24410"/>
    <cellStyle name="Comma [0] TBD-_2007 Concern tracker 05-02-2005  7 72" xfId="24411"/>
    <cellStyle name="Comma [0] TBD_2007 Concern tracker 05-02-2005  7 73" xfId="24412"/>
    <cellStyle name="Comma [0] TBD-_2007 Concern tracker 05-02-2005  7 73" xfId="24413"/>
    <cellStyle name="Comma [0] TBD_2007 Concern tracker 05-02-2005  7 74" xfId="24414"/>
    <cellStyle name="Comma [0] TBD-_2007 Concern tracker 05-02-2005  7 74" xfId="24415"/>
    <cellStyle name="Comma [0] TBD_2007 Concern tracker 05-02-2005  7 75" xfId="24416"/>
    <cellStyle name="Comma [0] TBD-_2007 Concern tracker 05-02-2005  7 75" xfId="24417"/>
    <cellStyle name="Comma [0] TBD_2007 Concern tracker 05-02-2005  7 76" xfId="24418"/>
    <cellStyle name="Comma [0] TBD-_2007 Concern tracker 05-02-2005  7 76" xfId="24419"/>
    <cellStyle name="Comma [0] TBD_2007 Concern tracker 05-02-2005  7 77" xfId="24420"/>
    <cellStyle name="Comma [0] TBD-_2007 Concern tracker 05-02-2005  7 77" xfId="24421"/>
    <cellStyle name="Comma [0] TBD_2007 Concern tracker 05-02-2005  7 78" xfId="24422"/>
    <cellStyle name="Comma [0] TBD-_2007 Concern tracker 05-02-2005  7 78" xfId="24423"/>
    <cellStyle name="Comma [0] TBD_2007 Concern tracker 05-02-2005  7 79" xfId="24424"/>
    <cellStyle name="Comma [0] TBD-_2007 Concern tracker 05-02-2005  7 79" xfId="24425"/>
    <cellStyle name="Comma [0] TBD_2007 Concern tracker 05-02-2005  7 8" xfId="24426"/>
    <cellStyle name="Comma [0] TBD-_2007 Concern tracker 05-02-2005  7 8" xfId="24427"/>
    <cellStyle name="Comma [0] TBD_2007 Concern tracker 05-02-2005  7 80" xfId="24428"/>
    <cellStyle name="Comma [0] TBD-_2007 Concern tracker 05-02-2005  7 80" xfId="24429"/>
    <cellStyle name="Comma [0] TBD_2007 Concern tracker 05-02-2005  7 81" xfId="24430"/>
    <cellStyle name="Comma [0] TBD-_2007 Concern tracker 05-02-2005  7 81" xfId="24431"/>
    <cellStyle name="Comma [0] TBD_2007 Concern tracker 05-02-2005  7 82" xfId="24432"/>
    <cellStyle name="Comma [0] TBD-_2007 Concern tracker 05-02-2005  7 82" xfId="24433"/>
    <cellStyle name="Comma [0] TBD_2007 Concern tracker 05-02-2005  7 83" xfId="24434"/>
    <cellStyle name="Comma [0] TBD-_2007 Concern tracker 05-02-2005  7 83" xfId="24435"/>
    <cellStyle name="Comma [0] TBD_2007 Concern tracker 05-02-2005  7 84" xfId="24436"/>
    <cellStyle name="Comma [0] TBD-_2007 Concern tracker 05-02-2005  7 84" xfId="24437"/>
    <cellStyle name="Comma [0] TBD_2007 Concern tracker 05-02-2005  7 85" xfId="24438"/>
    <cellStyle name="Comma [0] TBD-_2007 Concern tracker 05-02-2005  7 85" xfId="24439"/>
    <cellStyle name="Comma [0] TBD_2007 Concern tracker 05-02-2005  7 86" xfId="24440"/>
    <cellStyle name="Comma [0] TBD-_2007 Concern tracker 05-02-2005  7 86" xfId="24441"/>
    <cellStyle name="Comma [0] TBD_2007 Concern tracker 05-02-2005  7 87" xfId="24442"/>
    <cellStyle name="Comma [0] TBD-_2007 Concern tracker 05-02-2005  7 87" xfId="24443"/>
    <cellStyle name="Comma [0] TBD_2007 Concern tracker 05-02-2005  7 88" xfId="24444"/>
    <cellStyle name="Comma [0] TBD-_2007 Concern tracker 05-02-2005  7 88" xfId="24445"/>
    <cellStyle name="Comma [0] TBD_2007 Concern tracker 05-02-2005  7 89" xfId="24446"/>
    <cellStyle name="Comma [0] TBD-_2007 Concern tracker 05-02-2005  7 89" xfId="24447"/>
    <cellStyle name="Comma [0] TBD_2007 Concern tracker 05-02-2005  7 9" xfId="24448"/>
    <cellStyle name="Comma [0] TBD-_2007 Concern tracker 05-02-2005  7 9" xfId="24449"/>
    <cellStyle name="Comma [0] TBD_2007 Concern tracker 05-02-2005  7 90" xfId="24450"/>
    <cellStyle name="Comma [0] TBD-_2007 Concern tracker 05-02-2005  7 90" xfId="24451"/>
    <cellStyle name="Comma [0] TBD_2007 Concern tracker 05-02-2005  7 91" xfId="24452"/>
    <cellStyle name="Comma [0] TBD-_2007 Concern tracker 05-02-2005  7 91" xfId="24453"/>
    <cellStyle name="Comma [0] TBD_2007 Concern tracker 05-02-2005  7 92" xfId="24454"/>
    <cellStyle name="Comma [0] TBD-_2007 Concern tracker 05-02-2005  7 92" xfId="24455"/>
    <cellStyle name="Comma [0] TBD_2007 Concern tracker 05-02-2005  7 93" xfId="24456"/>
    <cellStyle name="Comma [0] TBD-_2007 Concern tracker 05-02-2005  7 93" xfId="24457"/>
    <cellStyle name="Comma [0] TBD_2007 Concern tracker 05-02-2005  7 94" xfId="24458"/>
    <cellStyle name="Comma [0] TBD-_2007 Concern tracker 05-02-2005  7 94" xfId="24459"/>
    <cellStyle name="Comma [0] TBD_2007 Concern tracker 05-02-2005  7 95" xfId="24460"/>
    <cellStyle name="Comma [0] TBD-_2007 Concern tracker 05-02-2005  7 95" xfId="24461"/>
    <cellStyle name="Comma [0] TBD_2007 Concern tracker 05-02-2005  7 96" xfId="24462"/>
    <cellStyle name="Comma [0] TBD-_2007 Concern tracker 05-02-2005  7 96" xfId="24463"/>
    <cellStyle name="Comma [0] TBD_2007 Concern tracker 05-02-2005  7 97" xfId="24464"/>
    <cellStyle name="Comma [0] TBD-_2007 Concern tracker 05-02-2005  7 97" xfId="24465"/>
    <cellStyle name="Comma [0] TBD_2007 Concern tracker 05-02-2005  7 98" xfId="24466"/>
    <cellStyle name="Comma [0] TBD-_2007 Concern tracker 05-02-2005  7 98" xfId="24467"/>
    <cellStyle name="Comma [0] TBD_2007 Concern tracker 05-02-2005  7 99" xfId="24468"/>
    <cellStyle name="Comma [0] TBD-_2007 Concern tracker 05-02-2005  7 99" xfId="24469"/>
    <cellStyle name="Comma [0] TBD_2007 Concern tracker 05-02-2005  8" xfId="24470"/>
    <cellStyle name="Comma [0] TBD-_2007 Concern tracker 05-02-2005  8" xfId="24471"/>
    <cellStyle name="Comma [0] TBD_2007 Concern tracker 05-02-2005  8 10" xfId="24472"/>
    <cellStyle name="Comma [0] TBD-_2007 Concern tracker 05-02-2005  8 10" xfId="24473"/>
    <cellStyle name="Comma [0] TBD_2007 Concern tracker 05-02-2005  8 100" xfId="24474"/>
    <cellStyle name="Comma [0] TBD-_2007 Concern tracker 05-02-2005  8 100" xfId="24475"/>
    <cellStyle name="Comma [0] TBD_2007 Concern tracker 05-02-2005  8 101" xfId="24476"/>
    <cellStyle name="Comma [0] TBD-_2007 Concern tracker 05-02-2005  8 101" xfId="24477"/>
    <cellStyle name="Comma [0] TBD_2007 Concern tracker 05-02-2005  8 102" xfId="24478"/>
    <cellStyle name="Comma [0] TBD-_2007 Concern tracker 05-02-2005  8 102" xfId="24479"/>
    <cellStyle name="Comma [0] TBD_2007 Concern tracker 05-02-2005  8 103" xfId="24480"/>
    <cellStyle name="Comma [0] TBD-_2007 Concern tracker 05-02-2005  8 103" xfId="24481"/>
    <cellStyle name="Comma [0] TBD_2007 Concern tracker 05-02-2005  8 104" xfId="24482"/>
    <cellStyle name="Comma [0] TBD-_2007 Concern tracker 05-02-2005  8 104" xfId="24483"/>
    <cellStyle name="Comma [0] TBD_2007 Concern tracker 05-02-2005  8 105" xfId="24484"/>
    <cellStyle name="Comma [0] TBD-_2007 Concern tracker 05-02-2005  8 105" xfId="24485"/>
    <cellStyle name="Comma [0] TBD_2007 Concern tracker 05-02-2005  8 106" xfId="24486"/>
    <cellStyle name="Comma [0] TBD-_2007 Concern tracker 05-02-2005  8 106" xfId="24487"/>
    <cellStyle name="Comma [0] TBD_2007 Concern tracker 05-02-2005  8 107" xfId="24488"/>
    <cellStyle name="Comma [0] TBD-_2007 Concern tracker 05-02-2005  8 107" xfId="24489"/>
    <cellStyle name="Comma [0] TBD_2007 Concern tracker 05-02-2005  8 108" xfId="24490"/>
    <cellStyle name="Comma [0] TBD-_2007 Concern tracker 05-02-2005  8 108" xfId="24491"/>
    <cellStyle name="Comma [0] TBD_2007 Concern tracker 05-02-2005  8 109" xfId="24492"/>
    <cellStyle name="Comma [0] TBD-_2007 Concern tracker 05-02-2005  8 109" xfId="24493"/>
    <cellStyle name="Comma [0] TBD_2007 Concern tracker 05-02-2005  8 11" xfId="24494"/>
    <cellStyle name="Comma [0] TBD-_2007 Concern tracker 05-02-2005  8 11" xfId="24495"/>
    <cellStyle name="Comma [0] TBD_2007 Concern tracker 05-02-2005  8 110" xfId="24496"/>
    <cellStyle name="Comma [0] TBD-_2007 Concern tracker 05-02-2005  8 110" xfId="24497"/>
    <cellStyle name="Comma [0] TBD_2007 Concern tracker 05-02-2005  8 111" xfId="24498"/>
    <cellStyle name="Comma [0] TBD-_2007 Concern tracker 05-02-2005  8 111" xfId="24499"/>
    <cellStyle name="Comma [0] TBD_2007 Concern tracker 05-02-2005  8 112" xfId="24500"/>
    <cellStyle name="Comma [0] TBD-_2007 Concern tracker 05-02-2005  8 112" xfId="24501"/>
    <cellStyle name="Comma [0] TBD_2007 Concern tracker 05-02-2005  8 113" xfId="24502"/>
    <cellStyle name="Comma [0] TBD-_2007 Concern tracker 05-02-2005  8 113" xfId="24503"/>
    <cellStyle name="Comma [0] TBD_2007 Concern tracker 05-02-2005  8 114" xfId="24504"/>
    <cellStyle name="Comma [0] TBD-_2007 Concern tracker 05-02-2005  8 114" xfId="24505"/>
    <cellStyle name="Comma [0] TBD_2007 Concern tracker 05-02-2005  8 115" xfId="24506"/>
    <cellStyle name="Comma [0] TBD-_2007 Concern tracker 05-02-2005  8 115" xfId="24507"/>
    <cellStyle name="Comma [0] TBD_2007 Concern tracker 05-02-2005  8 116" xfId="24508"/>
    <cellStyle name="Comma [0] TBD-_2007 Concern tracker 05-02-2005  8 116" xfId="24509"/>
    <cellStyle name="Comma [0] TBD_2007 Concern tracker 05-02-2005  8 117" xfId="24510"/>
    <cellStyle name="Comma [0] TBD-_2007 Concern tracker 05-02-2005  8 117" xfId="24511"/>
    <cellStyle name="Comma [0] TBD_2007 Concern tracker 05-02-2005  8 118" xfId="24512"/>
    <cellStyle name="Comma [0] TBD-_2007 Concern tracker 05-02-2005  8 118" xfId="24513"/>
    <cellStyle name="Comma [0] TBD_2007 Concern tracker 05-02-2005  8 119" xfId="24514"/>
    <cellStyle name="Comma [0] TBD-_2007 Concern tracker 05-02-2005  8 119" xfId="24515"/>
    <cellStyle name="Comma [0] TBD_2007 Concern tracker 05-02-2005  8 12" xfId="24516"/>
    <cellStyle name="Comma [0] TBD-_2007 Concern tracker 05-02-2005  8 12" xfId="24517"/>
    <cellStyle name="Comma [0] TBD_2007 Concern tracker 05-02-2005  8 120" xfId="24518"/>
    <cellStyle name="Comma [0] TBD-_2007 Concern tracker 05-02-2005  8 120" xfId="24519"/>
    <cellStyle name="Comma [0] TBD_2007 Concern tracker 05-02-2005  8 121" xfId="24520"/>
    <cellStyle name="Comma [0] TBD-_2007 Concern tracker 05-02-2005  8 121" xfId="24521"/>
    <cellStyle name="Comma [0] TBD_2007 Concern tracker 05-02-2005  8 122" xfId="24522"/>
    <cellStyle name="Comma [0] TBD-_2007 Concern tracker 05-02-2005  8 122" xfId="24523"/>
    <cellStyle name="Comma [0] TBD_2007 Concern tracker 05-02-2005  8 123" xfId="24524"/>
    <cellStyle name="Comma [0] TBD-_2007 Concern tracker 05-02-2005  8 123" xfId="24525"/>
    <cellStyle name="Comma [0] TBD_2007 Concern tracker 05-02-2005  8 124" xfId="24526"/>
    <cellStyle name="Comma [0] TBD-_2007 Concern tracker 05-02-2005  8 124" xfId="24527"/>
    <cellStyle name="Comma [0] TBD_2007 Concern tracker 05-02-2005  8 125" xfId="24528"/>
    <cellStyle name="Comma [0] TBD-_2007 Concern tracker 05-02-2005  8 125" xfId="24529"/>
    <cellStyle name="Comma [0] TBD_2007 Concern tracker 05-02-2005  8 126" xfId="24530"/>
    <cellStyle name="Comma [0] TBD-_2007 Concern tracker 05-02-2005  8 126" xfId="24531"/>
    <cellStyle name="Comma [0] TBD_2007 Concern tracker 05-02-2005  8 127" xfId="24532"/>
    <cellStyle name="Comma [0] TBD-_2007 Concern tracker 05-02-2005  8 127" xfId="24533"/>
    <cellStyle name="Comma [0] TBD_2007 Concern tracker 05-02-2005  8 128" xfId="24534"/>
    <cellStyle name="Comma [0] TBD-_2007 Concern tracker 05-02-2005  8 128" xfId="24535"/>
    <cellStyle name="Comma [0] TBD_2007 Concern tracker 05-02-2005  8 129" xfId="24536"/>
    <cellStyle name="Comma [0] TBD-_2007 Concern tracker 05-02-2005  8 129" xfId="24537"/>
    <cellStyle name="Comma [0] TBD_2007 Concern tracker 05-02-2005  8 13" xfId="24538"/>
    <cellStyle name="Comma [0] TBD-_2007 Concern tracker 05-02-2005  8 13" xfId="24539"/>
    <cellStyle name="Comma [0] TBD_2007 Concern tracker 05-02-2005  8 130" xfId="24540"/>
    <cellStyle name="Comma [0] TBD-_2007 Concern tracker 05-02-2005  8 130" xfId="24541"/>
    <cellStyle name="Comma [0] TBD_2007 Concern tracker 05-02-2005  8 131" xfId="24542"/>
    <cellStyle name="Comma [0] TBD-_2007 Concern tracker 05-02-2005  8 131" xfId="24543"/>
    <cellStyle name="Comma [0] TBD_2007 Concern tracker 05-02-2005  8 132" xfId="24544"/>
    <cellStyle name="Comma [0] TBD-_2007 Concern tracker 05-02-2005  8 132" xfId="24545"/>
    <cellStyle name="Comma [0] TBD_2007 Concern tracker 05-02-2005  8 133" xfId="24546"/>
    <cellStyle name="Comma [0] TBD-_2007 Concern tracker 05-02-2005  8 133" xfId="24547"/>
    <cellStyle name="Comma [0] TBD_2007 Concern tracker 05-02-2005  8 134" xfId="24548"/>
    <cellStyle name="Comma [0] TBD-_2007 Concern tracker 05-02-2005  8 134" xfId="24549"/>
    <cellStyle name="Comma [0] TBD_2007 Concern tracker 05-02-2005  8 135" xfId="24550"/>
    <cellStyle name="Comma [0] TBD-_2007 Concern tracker 05-02-2005  8 135" xfId="24551"/>
    <cellStyle name="Comma [0] TBD_2007 Concern tracker 05-02-2005  8 136" xfId="24552"/>
    <cellStyle name="Comma [0] TBD-_2007 Concern tracker 05-02-2005  8 136" xfId="24553"/>
    <cellStyle name="Comma [0] TBD_2007 Concern tracker 05-02-2005  8 137" xfId="24554"/>
    <cellStyle name="Comma [0] TBD-_2007 Concern tracker 05-02-2005  8 137" xfId="24555"/>
    <cellStyle name="Comma [0] TBD_2007 Concern tracker 05-02-2005  8 138" xfId="24556"/>
    <cellStyle name="Comma [0] TBD-_2007 Concern tracker 05-02-2005  8 138" xfId="24557"/>
    <cellStyle name="Comma [0] TBD_2007 Concern tracker 05-02-2005  8 139" xfId="24558"/>
    <cellStyle name="Comma [0] TBD-_2007 Concern tracker 05-02-2005  8 139" xfId="24559"/>
    <cellStyle name="Comma [0] TBD_2007 Concern tracker 05-02-2005  8 14" xfId="24560"/>
    <cellStyle name="Comma [0] TBD-_2007 Concern tracker 05-02-2005  8 14" xfId="24561"/>
    <cellStyle name="Comma [0] TBD_2007 Concern tracker 05-02-2005  8 140" xfId="24562"/>
    <cellStyle name="Comma [0] TBD-_2007 Concern tracker 05-02-2005  8 140" xfId="24563"/>
    <cellStyle name="Comma [0] TBD_2007 Concern tracker 05-02-2005  8 141" xfId="24564"/>
    <cellStyle name="Comma [0] TBD-_2007 Concern tracker 05-02-2005  8 141" xfId="24565"/>
    <cellStyle name="Comma [0] TBD_2007 Concern tracker 05-02-2005  8 142" xfId="24566"/>
    <cellStyle name="Comma [0] TBD-_2007 Concern tracker 05-02-2005  8 142" xfId="24567"/>
    <cellStyle name="Comma [0] TBD_2007 Concern tracker 05-02-2005  8 143" xfId="24568"/>
    <cellStyle name="Comma [0] TBD-_2007 Concern tracker 05-02-2005  8 143" xfId="24569"/>
    <cellStyle name="Comma [0] TBD_2007 Concern tracker 05-02-2005  8 144" xfId="24570"/>
    <cellStyle name="Comma [0] TBD-_2007 Concern tracker 05-02-2005  8 144" xfId="24571"/>
    <cellStyle name="Comma [0] TBD_2007 Concern tracker 05-02-2005  8 145" xfId="24572"/>
    <cellStyle name="Comma [0] TBD-_2007 Concern tracker 05-02-2005  8 145" xfId="24573"/>
    <cellStyle name="Comma [0] TBD_2007 Concern tracker 05-02-2005  8 146" xfId="24574"/>
    <cellStyle name="Comma [0] TBD-_2007 Concern tracker 05-02-2005  8 146" xfId="24575"/>
    <cellStyle name="Comma [0] TBD_2007 Concern tracker 05-02-2005  8 147" xfId="24576"/>
    <cellStyle name="Comma [0] TBD-_2007 Concern tracker 05-02-2005  8 147" xfId="24577"/>
    <cellStyle name="Comma [0] TBD_2007 Concern tracker 05-02-2005  8 148" xfId="24578"/>
    <cellStyle name="Comma [0] TBD-_2007 Concern tracker 05-02-2005  8 148" xfId="24579"/>
    <cellStyle name="Comma [0] TBD_2007 Concern tracker 05-02-2005  8 149" xfId="24580"/>
    <cellStyle name="Comma [0] TBD-_2007 Concern tracker 05-02-2005  8 149" xfId="24581"/>
    <cellStyle name="Comma [0] TBD_2007 Concern tracker 05-02-2005  8 15" xfId="24582"/>
    <cellStyle name="Comma [0] TBD-_2007 Concern tracker 05-02-2005  8 15" xfId="24583"/>
    <cellStyle name="Comma [0] TBD_2007 Concern tracker 05-02-2005  8 150" xfId="24584"/>
    <cellStyle name="Comma [0] TBD-_2007 Concern tracker 05-02-2005  8 150" xfId="24585"/>
    <cellStyle name="Comma [0] TBD_2007 Concern tracker 05-02-2005  8 151" xfId="24586"/>
    <cellStyle name="Comma [0] TBD-_2007 Concern tracker 05-02-2005  8 151" xfId="24587"/>
    <cellStyle name="Comma [0] TBD_2007 Concern tracker 05-02-2005  8 152" xfId="24588"/>
    <cellStyle name="Comma [0] TBD-_2007 Concern tracker 05-02-2005  8 152" xfId="24589"/>
    <cellStyle name="Comma [0] TBD_2007 Concern tracker 05-02-2005  8 153" xfId="24590"/>
    <cellStyle name="Comma [0] TBD-_2007 Concern tracker 05-02-2005  8 153" xfId="24591"/>
    <cellStyle name="Comma [0] TBD_2007 Concern tracker 05-02-2005  8 154" xfId="24592"/>
    <cellStyle name="Comma [0] TBD-_2007 Concern tracker 05-02-2005  8 154" xfId="24593"/>
    <cellStyle name="Comma [0] TBD_2007 Concern tracker 05-02-2005  8 16" xfId="24594"/>
    <cellStyle name="Comma [0] TBD-_2007 Concern tracker 05-02-2005  8 16" xfId="24595"/>
    <cellStyle name="Comma [0] TBD_2007 Concern tracker 05-02-2005  8 17" xfId="24596"/>
    <cellStyle name="Comma [0] TBD-_2007 Concern tracker 05-02-2005  8 17" xfId="24597"/>
    <cellStyle name="Comma [0] TBD_2007 Concern tracker 05-02-2005  8 18" xfId="24598"/>
    <cellStyle name="Comma [0] TBD-_2007 Concern tracker 05-02-2005  8 18" xfId="24599"/>
    <cellStyle name="Comma [0] TBD_2007 Concern tracker 05-02-2005  8 19" xfId="24600"/>
    <cellStyle name="Comma [0] TBD-_2007 Concern tracker 05-02-2005  8 19" xfId="24601"/>
    <cellStyle name="Comma [0] TBD_2007 Concern tracker 05-02-2005  8 2" xfId="24602"/>
    <cellStyle name="Comma [0] TBD-_2007 Concern tracker 05-02-2005  8 2" xfId="24603"/>
    <cellStyle name="Comma [0] TBD_2007 Concern tracker 05-02-2005  8 20" xfId="24604"/>
    <cellStyle name="Comma [0] TBD-_2007 Concern tracker 05-02-2005  8 20" xfId="24605"/>
    <cellStyle name="Comma [0] TBD_2007 Concern tracker 05-02-2005  8 21" xfId="24606"/>
    <cellStyle name="Comma [0] TBD-_2007 Concern tracker 05-02-2005  8 21" xfId="24607"/>
    <cellStyle name="Comma [0] TBD_2007 Concern tracker 05-02-2005  8 22" xfId="24608"/>
    <cellStyle name="Comma [0] TBD-_2007 Concern tracker 05-02-2005  8 22" xfId="24609"/>
    <cellStyle name="Comma [0] TBD_2007 Concern tracker 05-02-2005  8 23" xfId="24610"/>
    <cellStyle name="Comma [0] TBD-_2007 Concern tracker 05-02-2005  8 23" xfId="24611"/>
    <cellStyle name="Comma [0] TBD_2007 Concern tracker 05-02-2005  8 24" xfId="24612"/>
    <cellStyle name="Comma [0] TBD-_2007 Concern tracker 05-02-2005  8 24" xfId="24613"/>
    <cellStyle name="Comma [0] TBD_2007 Concern tracker 05-02-2005  8 25" xfId="24614"/>
    <cellStyle name="Comma [0] TBD-_2007 Concern tracker 05-02-2005  8 25" xfId="24615"/>
    <cellStyle name="Comma [0] TBD_2007 Concern tracker 05-02-2005  8 26" xfId="24616"/>
    <cellStyle name="Comma [0] TBD-_2007 Concern tracker 05-02-2005  8 26" xfId="24617"/>
    <cellStyle name="Comma [0] TBD_2007 Concern tracker 05-02-2005  8 27" xfId="24618"/>
    <cellStyle name="Comma [0] TBD-_2007 Concern tracker 05-02-2005  8 27" xfId="24619"/>
    <cellStyle name="Comma [0] TBD_2007 Concern tracker 05-02-2005  8 28" xfId="24620"/>
    <cellStyle name="Comma [0] TBD-_2007 Concern tracker 05-02-2005  8 28" xfId="24621"/>
    <cellStyle name="Comma [0] TBD_2007 Concern tracker 05-02-2005  8 29" xfId="24622"/>
    <cellStyle name="Comma [0] TBD-_2007 Concern tracker 05-02-2005  8 29" xfId="24623"/>
    <cellStyle name="Comma [0] TBD_2007 Concern tracker 05-02-2005  8 3" xfId="24624"/>
    <cellStyle name="Comma [0] TBD-_2007 Concern tracker 05-02-2005  8 3" xfId="24625"/>
    <cellStyle name="Comma [0] TBD_2007 Concern tracker 05-02-2005  8 30" xfId="24626"/>
    <cellStyle name="Comma [0] TBD-_2007 Concern tracker 05-02-2005  8 30" xfId="24627"/>
    <cellStyle name="Comma [0] TBD_2007 Concern tracker 05-02-2005  8 31" xfId="24628"/>
    <cellStyle name="Comma [0] TBD-_2007 Concern tracker 05-02-2005  8 31" xfId="24629"/>
    <cellStyle name="Comma [0] TBD_2007 Concern tracker 05-02-2005  8 32" xfId="24630"/>
    <cellStyle name="Comma [0] TBD-_2007 Concern tracker 05-02-2005  8 32" xfId="24631"/>
    <cellStyle name="Comma [0] TBD_2007 Concern tracker 05-02-2005  8 33" xfId="24632"/>
    <cellStyle name="Comma [0] TBD-_2007 Concern tracker 05-02-2005  8 33" xfId="24633"/>
    <cellStyle name="Comma [0] TBD_2007 Concern tracker 05-02-2005  8 34" xfId="24634"/>
    <cellStyle name="Comma [0] TBD-_2007 Concern tracker 05-02-2005  8 34" xfId="24635"/>
    <cellStyle name="Comma [0] TBD_2007 Concern tracker 05-02-2005  8 35" xfId="24636"/>
    <cellStyle name="Comma [0] TBD-_2007 Concern tracker 05-02-2005  8 35" xfId="24637"/>
    <cellStyle name="Comma [0] TBD_2007 Concern tracker 05-02-2005  8 36" xfId="24638"/>
    <cellStyle name="Comma [0] TBD-_2007 Concern tracker 05-02-2005  8 36" xfId="24639"/>
    <cellStyle name="Comma [0] TBD_2007 Concern tracker 05-02-2005  8 37" xfId="24640"/>
    <cellStyle name="Comma [0] TBD-_2007 Concern tracker 05-02-2005  8 37" xfId="24641"/>
    <cellStyle name="Comma [0] TBD_2007 Concern tracker 05-02-2005  8 38" xfId="24642"/>
    <cellStyle name="Comma [0] TBD-_2007 Concern tracker 05-02-2005  8 38" xfId="24643"/>
    <cellStyle name="Comma [0] TBD_2007 Concern tracker 05-02-2005  8 39" xfId="24644"/>
    <cellStyle name="Comma [0] TBD-_2007 Concern tracker 05-02-2005  8 39" xfId="24645"/>
    <cellStyle name="Comma [0] TBD_2007 Concern tracker 05-02-2005  8 4" xfId="24646"/>
    <cellStyle name="Comma [0] TBD-_2007 Concern tracker 05-02-2005  8 4" xfId="24647"/>
    <cellStyle name="Comma [0] TBD_2007 Concern tracker 05-02-2005  8 40" xfId="24648"/>
    <cellStyle name="Comma [0] TBD-_2007 Concern tracker 05-02-2005  8 40" xfId="24649"/>
    <cellStyle name="Comma [0] TBD_2007 Concern tracker 05-02-2005  8 41" xfId="24650"/>
    <cellStyle name="Comma [0] TBD-_2007 Concern tracker 05-02-2005  8 41" xfId="24651"/>
    <cellStyle name="Comma [0] TBD_2007 Concern tracker 05-02-2005  8 42" xfId="24652"/>
    <cellStyle name="Comma [0] TBD-_2007 Concern tracker 05-02-2005  8 42" xfId="24653"/>
    <cellStyle name="Comma [0] TBD_2007 Concern tracker 05-02-2005  8 43" xfId="24654"/>
    <cellStyle name="Comma [0] TBD-_2007 Concern tracker 05-02-2005  8 43" xfId="24655"/>
    <cellStyle name="Comma [0] TBD_2007 Concern tracker 05-02-2005  8 44" xfId="24656"/>
    <cellStyle name="Comma [0] TBD-_2007 Concern tracker 05-02-2005  8 44" xfId="24657"/>
    <cellStyle name="Comma [0] TBD_2007 Concern tracker 05-02-2005  8 45" xfId="24658"/>
    <cellStyle name="Comma [0] TBD-_2007 Concern tracker 05-02-2005  8 45" xfId="24659"/>
    <cellStyle name="Comma [0] TBD_2007 Concern tracker 05-02-2005  8 46" xfId="24660"/>
    <cellStyle name="Comma [0] TBD-_2007 Concern tracker 05-02-2005  8 46" xfId="24661"/>
    <cellStyle name="Comma [0] TBD_2007 Concern tracker 05-02-2005  8 47" xfId="24662"/>
    <cellStyle name="Comma [0] TBD-_2007 Concern tracker 05-02-2005  8 47" xfId="24663"/>
    <cellStyle name="Comma [0] TBD_2007 Concern tracker 05-02-2005  8 48" xfId="24664"/>
    <cellStyle name="Comma [0] TBD-_2007 Concern tracker 05-02-2005  8 48" xfId="24665"/>
    <cellStyle name="Comma [0] TBD_2007 Concern tracker 05-02-2005  8 49" xfId="24666"/>
    <cellStyle name="Comma [0] TBD-_2007 Concern tracker 05-02-2005  8 49" xfId="24667"/>
    <cellStyle name="Comma [0] TBD_2007 Concern tracker 05-02-2005  8 5" xfId="24668"/>
    <cellStyle name="Comma [0] TBD-_2007 Concern tracker 05-02-2005  8 5" xfId="24669"/>
    <cellStyle name="Comma [0] TBD_2007 Concern tracker 05-02-2005  8 50" xfId="24670"/>
    <cellStyle name="Comma [0] TBD-_2007 Concern tracker 05-02-2005  8 50" xfId="24671"/>
    <cellStyle name="Comma [0] TBD_2007 Concern tracker 05-02-2005  8 51" xfId="24672"/>
    <cellStyle name="Comma [0] TBD-_2007 Concern tracker 05-02-2005  8 51" xfId="24673"/>
    <cellStyle name="Comma [0] TBD_2007 Concern tracker 05-02-2005  8 52" xfId="24674"/>
    <cellStyle name="Comma [0] TBD-_2007 Concern tracker 05-02-2005  8 52" xfId="24675"/>
    <cellStyle name="Comma [0] TBD_2007 Concern tracker 05-02-2005  8 53" xfId="24676"/>
    <cellStyle name="Comma [0] TBD-_2007 Concern tracker 05-02-2005  8 53" xfId="24677"/>
    <cellStyle name="Comma [0] TBD_2007 Concern tracker 05-02-2005  8 54" xfId="24678"/>
    <cellStyle name="Comma [0] TBD-_2007 Concern tracker 05-02-2005  8 54" xfId="24679"/>
    <cellStyle name="Comma [0] TBD_2007 Concern tracker 05-02-2005  8 55" xfId="24680"/>
    <cellStyle name="Comma [0] TBD-_2007 Concern tracker 05-02-2005  8 55" xfId="24681"/>
    <cellStyle name="Comma [0] TBD_2007 Concern tracker 05-02-2005  8 56" xfId="24682"/>
    <cellStyle name="Comma [0] TBD-_2007 Concern tracker 05-02-2005  8 56" xfId="24683"/>
    <cellStyle name="Comma [0] TBD_2007 Concern tracker 05-02-2005  8 57" xfId="24684"/>
    <cellStyle name="Comma [0] TBD-_2007 Concern tracker 05-02-2005  8 57" xfId="24685"/>
    <cellStyle name="Comma [0] TBD_2007 Concern tracker 05-02-2005  8 58" xfId="24686"/>
    <cellStyle name="Comma [0] TBD-_2007 Concern tracker 05-02-2005  8 58" xfId="24687"/>
    <cellStyle name="Comma [0] TBD_2007 Concern tracker 05-02-2005  8 59" xfId="24688"/>
    <cellStyle name="Comma [0] TBD-_2007 Concern tracker 05-02-2005  8 59" xfId="24689"/>
    <cellStyle name="Comma [0] TBD_2007 Concern tracker 05-02-2005  8 6" xfId="24690"/>
    <cellStyle name="Comma [0] TBD-_2007 Concern tracker 05-02-2005  8 6" xfId="24691"/>
    <cellStyle name="Comma [0] TBD_2007 Concern tracker 05-02-2005  8 60" xfId="24692"/>
    <cellStyle name="Comma [0] TBD-_2007 Concern tracker 05-02-2005  8 60" xfId="24693"/>
    <cellStyle name="Comma [0] TBD_2007 Concern tracker 05-02-2005  8 61" xfId="24694"/>
    <cellStyle name="Comma [0] TBD-_2007 Concern tracker 05-02-2005  8 61" xfId="24695"/>
    <cellStyle name="Comma [0] TBD_2007 Concern tracker 05-02-2005  8 62" xfId="24696"/>
    <cellStyle name="Comma [0] TBD-_2007 Concern tracker 05-02-2005  8 62" xfId="24697"/>
    <cellStyle name="Comma [0] TBD_2007 Concern tracker 05-02-2005  8 63" xfId="24698"/>
    <cellStyle name="Comma [0] TBD-_2007 Concern tracker 05-02-2005  8 63" xfId="24699"/>
    <cellStyle name="Comma [0] TBD_2007 Concern tracker 05-02-2005  8 64" xfId="24700"/>
    <cellStyle name="Comma [0] TBD-_2007 Concern tracker 05-02-2005  8 64" xfId="24701"/>
    <cellStyle name="Comma [0] TBD_2007 Concern tracker 05-02-2005  8 65" xfId="24702"/>
    <cellStyle name="Comma [0] TBD-_2007 Concern tracker 05-02-2005  8 65" xfId="24703"/>
    <cellStyle name="Comma [0] TBD_2007 Concern tracker 05-02-2005  8 66" xfId="24704"/>
    <cellStyle name="Comma [0] TBD-_2007 Concern tracker 05-02-2005  8 66" xfId="24705"/>
    <cellStyle name="Comma [0] TBD_2007 Concern tracker 05-02-2005  8 67" xfId="24706"/>
    <cellStyle name="Comma [0] TBD-_2007 Concern tracker 05-02-2005  8 67" xfId="24707"/>
    <cellStyle name="Comma [0] TBD_2007 Concern tracker 05-02-2005  8 68" xfId="24708"/>
    <cellStyle name="Comma [0] TBD-_2007 Concern tracker 05-02-2005  8 68" xfId="24709"/>
    <cellStyle name="Comma [0] TBD_2007 Concern tracker 05-02-2005  8 69" xfId="24710"/>
    <cellStyle name="Comma [0] TBD-_2007 Concern tracker 05-02-2005  8 69" xfId="24711"/>
    <cellStyle name="Comma [0] TBD_2007 Concern tracker 05-02-2005  8 7" xfId="24712"/>
    <cellStyle name="Comma [0] TBD-_2007 Concern tracker 05-02-2005  8 7" xfId="24713"/>
    <cellStyle name="Comma [0] TBD_2007 Concern tracker 05-02-2005  8 70" xfId="24714"/>
    <cellStyle name="Comma [0] TBD-_2007 Concern tracker 05-02-2005  8 70" xfId="24715"/>
    <cellStyle name="Comma [0] TBD_2007 Concern tracker 05-02-2005  8 71" xfId="24716"/>
    <cellStyle name="Comma [0] TBD-_2007 Concern tracker 05-02-2005  8 71" xfId="24717"/>
    <cellStyle name="Comma [0] TBD_2007 Concern tracker 05-02-2005  8 72" xfId="24718"/>
    <cellStyle name="Comma [0] TBD-_2007 Concern tracker 05-02-2005  8 72" xfId="24719"/>
    <cellStyle name="Comma [0] TBD_2007 Concern tracker 05-02-2005  8 73" xfId="24720"/>
    <cellStyle name="Comma [0] TBD-_2007 Concern tracker 05-02-2005  8 73" xfId="24721"/>
    <cellStyle name="Comma [0] TBD_2007 Concern tracker 05-02-2005  8 74" xfId="24722"/>
    <cellStyle name="Comma [0] TBD-_2007 Concern tracker 05-02-2005  8 74" xfId="24723"/>
    <cellStyle name="Comma [0] TBD_2007 Concern tracker 05-02-2005  8 75" xfId="24724"/>
    <cellStyle name="Comma [0] TBD-_2007 Concern tracker 05-02-2005  8 75" xfId="24725"/>
    <cellStyle name="Comma [0] TBD_2007 Concern tracker 05-02-2005  8 76" xfId="24726"/>
    <cellStyle name="Comma [0] TBD-_2007 Concern tracker 05-02-2005  8 76" xfId="24727"/>
    <cellStyle name="Comma [0] TBD_2007 Concern tracker 05-02-2005  8 77" xfId="24728"/>
    <cellStyle name="Comma [0] TBD-_2007 Concern tracker 05-02-2005  8 77" xfId="24729"/>
    <cellStyle name="Comma [0] TBD_2007 Concern tracker 05-02-2005  8 78" xfId="24730"/>
    <cellStyle name="Comma [0] TBD-_2007 Concern tracker 05-02-2005  8 78" xfId="24731"/>
    <cellStyle name="Comma [0] TBD_2007 Concern tracker 05-02-2005  8 79" xfId="24732"/>
    <cellStyle name="Comma [0] TBD-_2007 Concern tracker 05-02-2005  8 79" xfId="24733"/>
    <cellStyle name="Comma [0] TBD_2007 Concern tracker 05-02-2005  8 8" xfId="24734"/>
    <cellStyle name="Comma [0] TBD-_2007 Concern tracker 05-02-2005  8 8" xfId="24735"/>
    <cellStyle name="Comma [0] TBD_2007 Concern tracker 05-02-2005  8 80" xfId="24736"/>
    <cellStyle name="Comma [0] TBD-_2007 Concern tracker 05-02-2005  8 80" xfId="24737"/>
    <cellStyle name="Comma [0] TBD_2007 Concern tracker 05-02-2005  8 81" xfId="24738"/>
    <cellStyle name="Comma [0] TBD-_2007 Concern tracker 05-02-2005  8 81" xfId="24739"/>
    <cellStyle name="Comma [0] TBD_2007 Concern tracker 05-02-2005  8 82" xfId="24740"/>
    <cellStyle name="Comma [0] TBD-_2007 Concern tracker 05-02-2005  8 82" xfId="24741"/>
    <cellStyle name="Comma [0] TBD_2007 Concern tracker 05-02-2005  8 83" xfId="24742"/>
    <cellStyle name="Comma [0] TBD-_2007 Concern tracker 05-02-2005  8 83" xfId="24743"/>
    <cellStyle name="Comma [0] TBD_2007 Concern tracker 05-02-2005  8 84" xfId="24744"/>
    <cellStyle name="Comma [0] TBD-_2007 Concern tracker 05-02-2005  8 84" xfId="24745"/>
    <cellStyle name="Comma [0] TBD_2007 Concern tracker 05-02-2005  8 85" xfId="24746"/>
    <cellStyle name="Comma [0] TBD-_2007 Concern tracker 05-02-2005  8 85" xfId="24747"/>
    <cellStyle name="Comma [0] TBD_2007 Concern tracker 05-02-2005  8 86" xfId="24748"/>
    <cellStyle name="Comma [0] TBD-_2007 Concern tracker 05-02-2005  8 86" xfId="24749"/>
    <cellStyle name="Comma [0] TBD_2007 Concern tracker 05-02-2005  8 87" xfId="24750"/>
    <cellStyle name="Comma [0] TBD-_2007 Concern tracker 05-02-2005  8 87" xfId="24751"/>
    <cellStyle name="Comma [0] TBD_2007 Concern tracker 05-02-2005  8 88" xfId="24752"/>
    <cellStyle name="Comma [0] TBD-_2007 Concern tracker 05-02-2005  8 88" xfId="24753"/>
    <cellStyle name="Comma [0] TBD_2007 Concern tracker 05-02-2005  8 89" xfId="24754"/>
    <cellStyle name="Comma [0] TBD-_2007 Concern tracker 05-02-2005  8 89" xfId="24755"/>
    <cellStyle name="Comma [0] TBD_2007 Concern tracker 05-02-2005  8 9" xfId="24756"/>
    <cellStyle name="Comma [0] TBD-_2007 Concern tracker 05-02-2005  8 9" xfId="24757"/>
    <cellStyle name="Comma [0] TBD_2007 Concern tracker 05-02-2005  8 90" xfId="24758"/>
    <cellStyle name="Comma [0] TBD-_2007 Concern tracker 05-02-2005  8 90" xfId="24759"/>
    <cellStyle name="Comma [0] TBD_2007 Concern tracker 05-02-2005  8 91" xfId="24760"/>
    <cellStyle name="Comma [0] TBD-_2007 Concern tracker 05-02-2005  8 91" xfId="24761"/>
    <cellStyle name="Comma [0] TBD_2007 Concern tracker 05-02-2005  8 92" xfId="24762"/>
    <cellStyle name="Comma [0] TBD-_2007 Concern tracker 05-02-2005  8 92" xfId="24763"/>
    <cellStyle name="Comma [0] TBD_2007 Concern tracker 05-02-2005  8 93" xfId="24764"/>
    <cellStyle name="Comma [0] TBD-_2007 Concern tracker 05-02-2005  8 93" xfId="24765"/>
    <cellStyle name="Comma [0] TBD_2007 Concern tracker 05-02-2005  8 94" xfId="24766"/>
    <cellStyle name="Comma [0] TBD-_2007 Concern tracker 05-02-2005  8 94" xfId="24767"/>
    <cellStyle name="Comma [0] TBD_2007 Concern tracker 05-02-2005  8 95" xfId="24768"/>
    <cellStyle name="Comma [0] TBD-_2007 Concern tracker 05-02-2005  8 95" xfId="24769"/>
    <cellStyle name="Comma [0] TBD_2007 Concern tracker 05-02-2005  8 96" xfId="24770"/>
    <cellStyle name="Comma [0] TBD-_2007 Concern tracker 05-02-2005  8 96" xfId="24771"/>
    <cellStyle name="Comma [0] TBD_2007 Concern tracker 05-02-2005  8 97" xfId="24772"/>
    <cellStyle name="Comma [0] TBD-_2007 Concern tracker 05-02-2005  8 97" xfId="24773"/>
    <cellStyle name="Comma [0] TBD_2007 Concern tracker 05-02-2005  8 98" xfId="24774"/>
    <cellStyle name="Comma [0] TBD-_2007 Concern tracker 05-02-2005  8 98" xfId="24775"/>
    <cellStyle name="Comma [0] TBD_2007 Concern tracker 05-02-2005  8 99" xfId="24776"/>
    <cellStyle name="Comma [0] TBD-_2007 Concern tracker 05-02-2005  8 99" xfId="24777"/>
    <cellStyle name="Comma [0] TBD_2007 Concern tracker 05-02-2005  9" xfId="24778"/>
    <cellStyle name="Comma [0] TBD-_2007 Concern tracker 05-02-2005  9" xfId="24779"/>
    <cellStyle name="Comma [0] TBD_2007 Concern tracker 05-02-2005  9 10" xfId="24780"/>
    <cellStyle name="Comma [0] TBD-_2007 Concern tracker 05-02-2005  9 10" xfId="24781"/>
    <cellStyle name="Comma [0] TBD_2007 Concern tracker 05-02-2005  9 100" xfId="24782"/>
    <cellStyle name="Comma [0] TBD-_2007 Concern tracker 05-02-2005  9 100" xfId="24783"/>
    <cellStyle name="Comma [0] TBD_2007 Concern tracker 05-02-2005  9 101" xfId="24784"/>
    <cellStyle name="Comma [0] TBD-_2007 Concern tracker 05-02-2005  9 101" xfId="24785"/>
    <cellStyle name="Comma [0] TBD_2007 Concern tracker 05-02-2005  9 102" xfId="24786"/>
    <cellStyle name="Comma [0] TBD-_2007 Concern tracker 05-02-2005  9 102" xfId="24787"/>
    <cellStyle name="Comma [0] TBD_2007 Concern tracker 05-02-2005  9 103" xfId="24788"/>
    <cellStyle name="Comma [0] TBD-_2007 Concern tracker 05-02-2005  9 103" xfId="24789"/>
    <cellStyle name="Comma [0] TBD_2007 Concern tracker 05-02-2005  9 104" xfId="24790"/>
    <cellStyle name="Comma [0] TBD-_2007 Concern tracker 05-02-2005  9 104" xfId="24791"/>
    <cellStyle name="Comma [0] TBD_2007 Concern tracker 05-02-2005  9 105" xfId="24792"/>
    <cellStyle name="Comma [0] TBD-_2007 Concern tracker 05-02-2005  9 105" xfId="24793"/>
    <cellStyle name="Comma [0] TBD_2007 Concern tracker 05-02-2005  9 106" xfId="24794"/>
    <cellStyle name="Comma [0] TBD-_2007 Concern tracker 05-02-2005  9 106" xfId="24795"/>
    <cellStyle name="Comma [0] TBD_2007 Concern tracker 05-02-2005  9 107" xfId="24796"/>
    <cellStyle name="Comma [0] TBD-_2007 Concern tracker 05-02-2005  9 107" xfId="24797"/>
    <cellStyle name="Comma [0] TBD_2007 Concern tracker 05-02-2005  9 108" xfId="24798"/>
    <cellStyle name="Comma [0] TBD-_2007 Concern tracker 05-02-2005  9 108" xfId="24799"/>
    <cellStyle name="Comma [0] TBD_2007 Concern tracker 05-02-2005  9 109" xfId="24800"/>
    <cellStyle name="Comma [0] TBD-_2007 Concern tracker 05-02-2005  9 109" xfId="24801"/>
    <cellStyle name="Comma [0] TBD_2007 Concern tracker 05-02-2005  9 11" xfId="24802"/>
    <cellStyle name="Comma [0] TBD-_2007 Concern tracker 05-02-2005  9 11" xfId="24803"/>
    <cellStyle name="Comma [0] TBD_2007 Concern tracker 05-02-2005  9 110" xfId="24804"/>
    <cellStyle name="Comma [0] TBD-_2007 Concern tracker 05-02-2005  9 110" xfId="24805"/>
    <cellStyle name="Comma [0] TBD_2007 Concern tracker 05-02-2005  9 111" xfId="24806"/>
    <cellStyle name="Comma [0] TBD-_2007 Concern tracker 05-02-2005  9 111" xfId="24807"/>
    <cellStyle name="Comma [0] TBD_2007 Concern tracker 05-02-2005  9 112" xfId="24808"/>
    <cellStyle name="Comma [0] TBD-_2007 Concern tracker 05-02-2005  9 112" xfId="24809"/>
    <cellStyle name="Comma [0] TBD_2007 Concern tracker 05-02-2005  9 113" xfId="24810"/>
    <cellStyle name="Comma [0] TBD-_2007 Concern tracker 05-02-2005  9 113" xfId="24811"/>
    <cellStyle name="Comma [0] TBD_2007 Concern tracker 05-02-2005  9 114" xfId="24812"/>
    <cellStyle name="Comma [0] TBD-_2007 Concern tracker 05-02-2005  9 114" xfId="24813"/>
    <cellStyle name="Comma [0] TBD_2007 Concern tracker 05-02-2005  9 115" xfId="24814"/>
    <cellStyle name="Comma [0] TBD-_2007 Concern tracker 05-02-2005  9 115" xfId="24815"/>
    <cellStyle name="Comma [0] TBD_2007 Concern tracker 05-02-2005  9 116" xfId="24816"/>
    <cellStyle name="Comma [0] TBD-_2007 Concern tracker 05-02-2005  9 116" xfId="24817"/>
    <cellStyle name="Comma [0] TBD_2007 Concern tracker 05-02-2005  9 117" xfId="24818"/>
    <cellStyle name="Comma [0] TBD-_2007 Concern tracker 05-02-2005  9 117" xfId="24819"/>
    <cellStyle name="Comma [0] TBD_2007 Concern tracker 05-02-2005  9 118" xfId="24820"/>
    <cellStyle name="Comma [0] TBD-_2007 Concern tracker 05-02-2005  9 118" xfId="24821"/>
    <cellStyle name="Comma [0] TBD_2007 Concern tracker 05-02-2005  9 119" xfId="24822"/>
    <cellStyle name="Comma [0] TBD-_2007 Concern tracker 05-02-2005  9 119" xfId="24823"/>
    <cellStyle name="Comma [0] TBD_2007 Concern tracker 05-02-2005  9 12" xfId="24824"/>
    <cellStyle name="Comma [0] TBD-_2007 Concern tracker 05-02-2005  9 12" xfId="24825"/>
    <cellStyle name="Comma [0] TBD_2007 Concern tracker 05-02-2005  9 120" xfId="24826"/>
    <cellStyle name="Comma [0] TBD-_2007 Concern tracker 05-02-2005  9 120" xfId="24827"/>
    <cellStyle name="Comma [0] TBD_2007 Concern tracker 05-02-2005  9 121" xfId="24828"/>
    <cellStyle name="Comma [0] TBD-_2007 Concern tracker 05-02-2005  9 121" xfId="24829"/>
    <cellStyle name="Comma [0] TBD_2007 Concern tracker 05-02-2005  9 122" xfId="24830"/>
    <cellStyle name="Comma [0] TBD-_2007 Concern tracker 05-02-2005  9 122" xfId="24831"/>
    <cellStyle name="Comma [0] TBD_2007 Concern tracker 05-02-2005  9 123" xfId="24832"/>
    <cellStyle name="Comma [0] TBD-_2007 Concern tracker 05-02-2005  9 123" xfId="24833"/>
    <cellStyle name="Comma [0] TBD_2007 Concern tracker 05-02-2005  9 124" xfId="24834"/>
    <cellStyle name="Comma [0] TBD-_2007 Concern tracker 05-02-2005  9 124" xfId="24835"/>
    <cellStyle name="Comma [0] TBD_2007 Concern tracker 05-02-2005  9 125" xfId="24836"/>
    <cellStyle name="Comma [0] TBD-_2007 Concern tracker 05-02-2005  9 125" xfId="24837"/>
    <cellStyle name="Comma [0] TBD_2007 Concern tracker 05-02-2005  9 126" xfId="24838"/>
    <cellStyle name="Comma [0] TBD-_2007 Concern tracker 05-02-2005  9 126" xfId="24839"/>
    <cellStyle name="Comma [0] TBD_2007 Concern tracker 05-02-2005  9 127" xfId="24840"/>
    <cellStyle name="Comma [0] TBD-_2007 Concern tracker 05-02-2005  9 127" xfId="24841"/>
    <cellStyle name="Comma [0] TBD_2007 Concern tracker 05-02-2005  9 128" xfId="24842"/>
    <cellStyle name="Comma [0] TBD-_2007 Concern tracker 05-02-2005  9 128" xfId="24843"/>
    <cellStyle name="Comma [0] TBD_2007 Concern tracker 05-02-2005  9 129" xfId="24844"/>
    <cellStyle name="Comma [0] TBD-_2007 Concern tracker 05-02-2005  9 129" xfId="24845"/>
    <cellStyle name="Comma [0] TBD_2007 Concern tracker 05-02-2005  9 13" xfId="24846"/>
    <cellStyle name="Comma [0] TBD-_2007 Concern tracker 05-02-2005  9 13" xfId="24847"/>
    <cellStyle name="Comma [0] TBD_2007 Concern tracker 05-02-2005  9 130" xfId="24848"/>
    <cellStyle name="Comma [0] TBD-_2007 Concern tracker 05-02-2005  9 130" xfId="24849"/>
    <cellStyle name="Comma [0] TBD_2007 Concern tracker 05-02-2005  9 131" xfId="24850"/>
    <cellStyle name="Comma [0] TBD-_2007 Concern tracker 05-02-2005  9 131" xfId="24851"/>
    <cellStyle name="Comma [0] TBD_2007 Concern tracker 05-02-2005  9 132" xfId="24852"/>
    <cellStyle name="Comma [0] TBD-_2007 Concern tracker 05-02-2005  9 132" xfId="24853"/>
    <cellStyle name="Comma [0] TBD_2007 Concern tracker 05-02-2005  9 133" xfId="24854"/>
    <cellStyle name="Comma [0] TBD-_2007 Concern tracker 05-02-2005  9 133" xfId="24855"/>
    <cellStyle name="Comma [0] TBD_2007 Concern tracker 05-02-2005  9 134" xfId="24856"/>
    <cellStyle name="Comma [0] TBD-_2007 Concern tracker 05-02-2005  9 134" xfId="24857"/>
    <cellStyle name="Comma [0] TBD_2007 Concern tracker 05-02-2005  9 135" xfId="24858"/>
    <cellStyle name="Comma [0] TBD-_2007 Concern tracker 05-02-2005  9 135" xfId="24859"/>
    <cellStyle name="Comma [0] TBD_2007 Concern tracker 05-02-2005  9 136" xfId="24860"/>
    <cellStyle name="Comma [0] TBD-_2007 Concern tracker 05-02-2005  9 136" xfId="24861"/>
    <cellStyle name="Comma [0] TBD_2007 Concern tracker 05-02-2005  9 137" xfId="24862"/>
    <cellStyle name="Comma [0] TBD-_2007 Concern tracker 05-02-2005  9 137" xfId="24863"/>
    <cellStyle name="Comma [0] TBD_2007 Concern tracker 05-02-2005  9 138" xfId="24864"/>
    <cellStyle name="Comma [0] TBD-_2007 Concern tracker 05-02-2005  9 138" xfId="24865"/>
    <cellStyle name="Comma [0] TBD_2007 Concern tracker 05-02-2005  9 139" xfId="24866"/>
    <cellStyle name="Comma [0] TBD-_2007 Concern tracker 05-02-2005  9 139" xfId="24867"/>
    <cellStyle name="Comma [0] TBD_2007 Concern tracker 05-02-2005  9 14" xfId="24868"/>
    <cellStyle name="Comma [0] TBD-_2007 Concern tracker 05-02-2005  9 14" xfId="24869"/>
    <cellStyle name="Comma [0] TBD_2007 Concern tracker 05-02-2005  9 140" xfId="24870"/>
    <cellStyle name="Comma [0] TBD-_2007 Concern tracker 05-02-2005  9 140" xfId="24871"/>
    <cellStyle name="Comma [0] TBD_2007 Concern tracker 05-02-2005  9 141" xfId="24872"/>
    <cellStyle name="Comma [0] TBD-_2007 Concern tracker 05-02-2005  9 141" xfId="24873"/>
    <cellStyle name="Comma [0] TBD_2007 Concern tracker 05-02-2005  9 142" xfId="24874"/>
    <cellStyle name="Comma [0] TBD-_2007 Concern tracker 05-02-2005  9 142" xfId="24875"/>
    <cellStyle name="Comma [0] TBD_2007 Concern tracker 05-02-2005  9 143" xfId="24876"/>
    <cellStyle name="Comma [0] TBD-_2007 Concern tracker 05-02-2005  9 143" xfId="24877"/>
    <cellStyle name="Comma [0] TBD_2007 Concern tracker 05-02-2005  9 144" xfId="24878"/>
    <cellStyle name="Comma [0] TBD-_2007 Concern tracker 05-02-2005  9 144" xfId="24879"/>
    <cellStyle name="Comma [0] TBD_2007 Concern tracker 05-02-2005  9 145" xfId="24880"/>
    <cellStyle name="Comma [0] TBD-_2007 Concern tracker 05-02-2005  9 145" xfId="24881"/>
    <cellStyle name="Comma [0] TBD_2007 Concern tracker 05-02-2005  9 146" xfId="24882"/>
    <cellStyle name="Comma [0] TBD-_2007 Concern tracker 05-02-2005  9 146" xfId="24883"/>
    <cellStyle name="Comma [0] TBD_2007 Concern tracker 05-02-2005  9 147" xfId="24884"/>
    <cellStyle name="Comma [0] TBD-_2007 Concern tracker 05-02-2005  9 147" xfId="24885"/>
    <cellStyle name="Comma [0] TBD_2007 Concern tracker 05-02-2005  9 148" xfId="24886"/>
    <cellStyle name="Comma [0] TBD-_2007 Concern tracker 05-02-2005  9 148" xfId="24887"/>
    <cellStyle name="Comma [0] TBD_2007 Concern tracker 05-02-2005  9 149" xfId="24888"/>
    <cellStyle name="Comma [0] TBD-_2007 Concern tracker 05-02-2005  9 149" xfId="24889"/>
    <cellStyle name="Comma [0] TBD_2007 Concern tracker 05-02-2005  9 15" xfId="24890"/>
    <cellStyle name="Comma [0] TBD-_2007 Concern tracker 05-02-2005  9 15" xfId="24891"/>
    <cellStyle name="Comma [0] TBD_2007 Concern tracker 05-02-2005  9 150" xfId="24892"/>
    <cellStyle name="Comma [0] TBD-_2007 Concern tracker 05-02-2005  9 150" xfId="24893"/>
    <cellStyle name="Comma [0] TBD_2007 Concern tracker 05-02-2005  9 151" xfId="24894"/>
    <cellStyle name="Comma [0] TBD-_2007 Concern tracker 05-02-2005  9 151" xfId="24895"/>
    <cellStyle name="Comma [0] TBD_2007 Concern tracker 05-02-2005  9 152" xfId="24896"/>
    <cellStyle name="Comma [0] TBD-_2007 Concern tracker 05-02-2005  9 152" xfId="24897"/>
    <cellStyle name="Comma [0] TBD_2007 Concern tracker 05-02-2005  9 153" xfId="24898"/>
    <cellStyle name="Comma [0] TBD-_2007 Concern tracker 05-02-2005  9 153" xfId="24899"/>
    <cellStyle name="Comma [0] TBD_2007 Concern tracker 05-02-2005  9 154" xfId="24900"/>
    <cellStyle name="Comma [0] TBD-_2007 Concern tracker 05-02-2005  9 154" xfId="24901"/>
    <cellStyle name="Comma [0] TBD_2007 Concern tracker 05-02-2005  9 16" xfId="24902"/>
    <cellStyle name="Comma [0] TBD-_2007 Concern tracker 05-02-2005  9 16" xfId="24903"/>
    <cellStyle name="Comma [0] TBD_2007 Concern tracker 05-02-2005  9 17" xfId="24904"/>
    <cellStyle name="Comma [0] TBD-_2007 Concern tracker 05-02-2005  9 17" xfId="24905"/>
    <cellStyle name="Comma [0] TBD_2007 Concern tracker 05-02-2005  9 18" xfId="24906"/>
    <cellStyle name="Comma [0] TBD-_2007 Concern tracker 05-02-2005  9 18" xfId="24907"/>
    <cellStyle name="Comma [0] TBD_2007 Concern tracker 05-02-2005  9 19" xfId="24908"/>
    <cellStyle name="Comma [0] TBD-_2007 Concern tracker 05-02-2005  9 19" xfId="24909"/>
    <cellStyle name="Comma [0] TBD_2007 Concern tracker 05-02-2005  9 2" xfId="24910"/>
    <cellStyle name="Comma [0] TBD-_2007 Concern tracker 05-02-2005  9 2" xfId="24911"/>
    <cellStyle name="Comma [0] TBD_2007 Concern tracker 05-02-2005  9 20" xfId="24912"/>
    <cellStyle name="Comma [0] TBD-_2007 Concern tracker 05-02-2005  9 20" xfId="24913"/>
    <cellStyle name="Comma [0] TBD_2007 Concern tracker 05-02-2005  9 21" xfId="24914"/>
    <cellStyle name="Comma [0] TBD-_2007 Concern tracker 05-02-2005  9 21" xfId="24915"/>
    <cellStyle name="Comma [0] TBD_2007 Concern tracker 05-02-2005  9 22" xfId="24916"/>
    <cellStyle name="Comma [0] TBD-_2007 Concern tracker 05-02-2005  9 22" xfId="24917"/>
    <cellStyle name="Comma [0] TBD_2007 Concern tracker 05-02-2005  9 23" xfId="24918"/>
    <cellStyle name="Comma [0] TBD-_2007 Concern tracker 05-02-2005  9 23" xfId="24919"/>
    <cellStyle name="Comma [0] TBD_2007 Concern tracker 05-02-2005  9 24" xfId="24920"/>
    <cellStyle name="Comma [0] TBD-_2007 Concern tracker 05-02-2005  9 24" xfId="24921"/>
    <cellStyle name="Comma [0] TBD_2007 Concern tracker 05-02-2005  9 25" xfId="24922"/>
    <cellStyle name="Comma [0] TBD-_2007 Concern tracker 05-02-2005  9 25" xfId="24923"/>
    <cellStyle name="Comma [0] TBD_2007 Concern tracker 05-02-2005  9 26" xfId="24924"/>
    <cellStyle name="Comma [0] TBD-_2007 Concern tracker 05-02-2005  9 26" xfId="24925"/>
    <cellStyle name="Comma [0] TBD_2007 Concern tracker 05-02-2005  9 27" xfId="24926"/>
    <cellStyle name="Comma [0] TBD-_2007 Concern tracker 05-02-2005  9 27" xfId="24927"/>
    <cellStyle name="Comma [0] TBD_2007 Concern tracker 05-02-2005  9 28" xfId="24928"/>
    <cellStyle name="Comma [0] TBD-_2007 Concern tracker 05-02-2005  9 28" xfId="24929"/>
    <cellStyle name="Comma [0] TBD_2007 Concern tracker 05-02-2005  9 29" xfId="24930"/>
    <cellStyle name="Comma [0] TBD-_2007 Concern tracker 05-02-2005  9 29" xfId="24931"/>
    <cellStyle name="Comma [0] TBD_2007 Concern tracker 05-02-2005  9 3" xfId="24932"/>
    <cellStyle name="Comma [0] TBD-_2007 Concern tracker 05-02-2005  9 3" xfId="24933"/>
    <cellStyle name="Comma [0] TBD_2007 Concern tracker 05-02-2005  9 30" xfId="24934"/>
    <cellStyle name="Comma [0] TBD-_2007 Concern tracker 05-02-2005  9 30" xfId="24935"/>
    <cellStyle name="Comma [0] TBD_2007 Concern tracker 05-02-2005  9 31" xfId="24936"/>
    <cellStyle name="Comma [0] TBD-_2007 Concern tracker 05-02-2005  9 31" xfId="24937"/>
    <cellStyle name="Comma [0] TBD_2007 Concern tracker 05-02-2005  9 32" xfId="24938"/>
    <cellStyle name="Comma [0] TBD-_2007 Concern tracker 05-02-2005  9 32" xfId="24939"/>
    <cellStyle name="Comma [0] TBD_2007 Concern tracker 05-02-2005  9 33" xfId="24940"/>
    <cellStyle name="Comma [0] TBD-_2007 Concern tracker 05-02-2005  9 33" xfId="24941"/>
    <cellStyle name="Comma [0] TBD_2007 Concern tracker 05-02-2005  9 34" xfId="24942"/>
    <cellStyle name="Comma [0] TBD-_2007 Concern tracker 05-02-2005  9 34" xfId="24943"/>
    <cellStyle name="Comma [0] TBD_2007 Concern tracker 05-02-2005  9 35" xfId="24944"/>
    <cellStyle name="Comma [0] TBD-_2007 Concern tracker 05-02-2005  9 35" xfId="24945"/>
    <cellStyle name="Comma [0] TBD_2007 Concern tracker 05-02-2005  9 36" xfId="24946"/>
    <cellStyle name="Comma [0] TBD-_2007 Concern tracker 05-02-2005  9 36" xfId="24947"/>
    <cellStyle name="Comma [0] TBD_2007 Concern tracker 05-02-2005  9 37" xfId="24948"/>
    <cellStyle name="Comma [0] TBD-_2007 Concern tracker 05-02-2005  9 37" xfId="24949"/>
    <cellStyle name="Comma [0] TBD_2007 Concern tracker 05-02-2005  9 38" xfId="24950"/>
    <cellStyle name="Comma [0] TBD-_2007 Concern tracker 05-02-2005  9 38" xfId="24951"/>
    <cellStyle name="Comma [0] TBD_2007 Concern tracker 05-02-2005  9 39" xfId="24952"/>
    <cellStyle name="Comma [0] TBD-_2007 Concern tracker 05-02-2005  9 39" xfId="24953"/>
    <cellStyle name="Comma [0] TBD_2007 Concern tracker 05-02-2005  9 4" xfId="24954"/>
    <cellStyle name="Comma [0] TBD-_2007 Concern tracker 05-02-2005  9 4" xfId="24955"/>
    <cellStyle name="Comma [0] TBD_2007 Concern tracker 05-02-2005  9 40" xfId="24956"/>
    <cellStyle name="Comma [0] TBD-_2007 Concern tracker 05-02-2005  9 40" xfId="24957"/>
    <cellStyle name="Comma [0] TBD_2007 Concern tracker 05-02-2005  9 41" xfId="24958"/>
    <cellStyle name="Comma [0] TBD-_2007 Concern tracker 05-02-2005  9 41" xfId="24959"/>
    <cellStyle name="Comma [0] TBD_2007 Concern tracker 05-02-2005  9 42" xfId="24960"/>
    <cellStyle name="Comma [0] TBD-_2007 Concern tracker 05-02-2005  9 42" xfId="24961"/>
    <cellStyle name="Comma [0] TBD_2007 Concern tracker 05-02-2005  9 43" xfId="24962"/>
    <cellStyle name="Comma [0] TBD-_2007 Concern tracker 05-02-2005  9 43" xfId="24963"/>
    <cellStyle name="Comma [0] TBD_2007 Concern tracker 05-02-2005  9 44" xfId="24964"/>
    <cellStyle name="Comma [0] TBD-_2007 Concern tracker 05-02-2005  9 44" xfId="24965"/>
    <cellStyle name="Comma [0] TBD_2007 Concern tracker 05-02-2005  9 45" xfId="24966"/>
    <cellStyle name="Comma [0] TBD-_2007 Concern tracker 05-02-2005  9 45" xfId="24967"/>
    <cellStyle name="Comma [0] TBD_2007 Concern tracker 05-02-2005  9 46" xfId="24968"/>
    <cellStyle name="Comma [0] TBD-_2007 Concern tracker 05-02-2005  9 46" xfId="24969"/>
    <cellStyle name="Comma [0] TBD_2007 Concern tracker 05-02-2005  9 47" xfId="24970"/>
    <cellStyle name="Comma [0] TBD-_2007 Concern tracker 05-02-2005  9 47" xfId="24971"/>
    <cellStyle name="Comma [0] TBD_2007 Concern tracker 05-02-2005  9 48" xfId="24972"/>
    <cellStyle name="Comma [0] TBD-_2007 Concern tracker 05-02-2005  9 48" xfId="24973"/>
    <cellStyle name="Comma [0] TBD_2007 Concern tracker 05-02-2005  9 49" xfId="24974"/>
    <cellStyle name="Comma [0] TBD-_2007 Concern tracker 05-02-2005  9 49" xfId="24975"/>
    <cellStyle name="Comma [0] TBD_2007 Concern tracker 05-02-2005  9 5" xfId="24976"/>
    <cellStyle name="Comma [0] TBD-_2007 Concern tracker 05-02-2005  9 5" xfId="24977"/>
    <cellStyle name="Comma [0] TBD_2007 Concern tracker 05-02-2005  9 50" xfId="24978"/>
    <cellStyle name="Comma [0] TBD-_2007 Concern tracker 05-02-2005  9 50" xfId="24979"/>
    <cellStyle name="Comma [0] TBD_2007 Concern tracker 05-02-2005  9 51" xfId="24980"/>
    <cellStyle name="Comma [0] TBD-_2007 Concern tracker 05-02-2005  9 51" xfId="24981"/>
    <cellStyle name="Comma [0] TBD_2007 Concern tracker 05-02-2005  9 52" xfId="24982"/>
    <cellStyle name="Comma [0] TBD-_2007 Concern tracker 05-02-2005  9 52" xfId="24983"/>
    <cellStyle name="Comma [0] TBD_2007 Concern tracker 05-02-2005  9 53" xfId="24984"/>
    <cellStyle name="Comma [0] TBD-_2007 Concern tracker 05-02-2005  9 53" xfId="24985"/>
    <cellStyle name="Comma [0] TBD_2007 Concern tracker 05-02-2005  9 54" xfId="24986"/>
    <cellStyle name="Comma [0] TBD-_2007 Concern tracker 05-02-2005  9 54" xfId="24987"/>
    <cellStyle name="Comma [0] TBD_2007 Concern tracker 05-02-2005  9 55" xfId="24988"/>
    <cellStyle name="Comma [0] TBD-_2007 Concern tracker 05-02-2005  9 55" xfId="24989"/>
    <cellStyle name="Comma [0] TBD_2007 Concern tracker 05-02-2005  9 56" xfId="24990"/>
    <cellStyle name="Comma [0] TBD-_2007 Concern tracker 05-02-2005  9 56" xfId="24991"/>
    <cellStyle name="Comma [0] TBD_2007 Concern tracker 05-02-2005  9 57" xfId="24992"/>
    <cellStyle name="Comma [0] TBD-_2007 Concern tracker 05-02-2005  9 57" xfId="24993"/>
    <cellStyle name="Comma [0] TBD_2007 Concern tracker 05-02-2005  9 58" xfId="24994"/>
    <cellStyle name="Comma [0] TBD-_2007 Concern tracker 05-02-2005  9 58" xfId="24995"/>
    <cellStyle name="Comma [0] TBD_2007 Concern tracker 05-02-2005  9 59" xfId="24996"/>
    <cellStyle name="Comma [0] TBD-_2007 Concern tracker 05-02-2005  9 59" xfId="24997"/>
    <cellStyle name="Comma [0] TBD_2007 Concern tracker 05-02-2005  9 6" xfId="24998"/>
    <cellStyle name="Comma [0] TBD-_2007 Concern tracker 05-02-2005  9 6" xfId="24999"/>
    <cellStyle name="Comma [0] TBD_2007 Concern tracker 05-02-2005  9 60" xfId="25000"/>
    <cellStyle name="Comma [0] TBD-_2007 Concern tracker 05-02-2005  9 60" xfId="25001"/>
    <cellStyle name="Comma [0] TBD_2007 Concern tracker 05-02-2005  9 61" xfId="25002"/>
    <cellStyle name="Comma [0] TBD-_2007 Concern tracker 05-02-2005  9 61" xfId="25003"/>
    <cellStyle name="Comma [0] TBD_2007 Concern tracker 05-02-2005  9 62" xfId="25004"/>
    <cellStyle name="Comma [0] TBD-_2007 Concern tracker 05-02-2005  9 62" xfId="25005"/>
    <cellStyle name="Comma [0] TBD_2007 Concern tracker 05-02-2005  9 63" xfId="25006"/>
    <cellStyle name="Comma [0] TBD-_2007 Concern tracker 05-02-2005  9 63" xfId="25007"/>
    <cellStyle name="Comma [0] TBD_2007 Concern tracker 05-02-2005  9 64" xfId="25008"/>
    <cellStyle name="Comma [0] TBD-_2007 Concern tracker 05-02-2005  9 64" xfId="25009"/>
    <cellStyle name="Comma [0] TBD_2007 Concern tracker 05-02-2005  9 65" xfId="25010"/>
    <cellStyle name="Comma [0] TBD-_2007 Concern tracker 05-02-2005  9 65" xfId="25011"/>
    <cellStyle name="Comma [0] TBD_2007 Concern tracker 05-02-2005  9 66" xfId="25012"/>
    <cellStyle name="Comma [0] TBD-_2007 Concern tracker 05-02-2005  9 66" xfId="25013"/>
    <cellStyle name="Comma [0] TBD_2007 Concern tracker 05-02-2005  9 67" xfId="25014"/>
    <cellStyle name="Comma [0] TBD-_2007 Concern tracker 05-02-2005  9 67" xfId="25015"/>
    <cellStyle name="Comma [0] TBD_2007 Concern tracker 05-02-2005  9 68" xfId="25016"/>
    <cellStyle name="Comma [0] TBD-_2007 Concern tracker 05-02-2005  9 68" xfId="25017"/>
    <cellStyle name="Comma [0] TBD_2007 Concern tracker 05-02-2005  9 69" xfId="25018"/>
    <cellStyle name="Comma [0] TBD-_2007 Concern tracker 05-02-2005  9 69" xfId="25019"/>
    <cellStyle name="Comma [0] TBD_2007 Concern tracker 05-02-2005  9 7" xfId="25020"/>
    <cellStyle name="Comma [0] TBD-_2007 Concern tracker 05-02-2005  9 7" xfId="25021"/>
    <cellStyle name="Comma [0] TBD_2007 Concern tracker 05-02-2005  9 70" xfId="25022"/>
    <cellStyle name="Comma [0] TBD-_2007 Concern tracker 05-02-2005  9 70" xfId="25023"/>
    <cellStyle name="Comma [0] TBD_2007 Concern tracker 05-02-2005  9 71" xfId="25024"/>
    <cellStyle name="Comma [0] TBD-_2007 Concern tracker 05-02-2005  9 71" xfId="25025"/>
    <cellStyle name="Comma [0] TBD_2007 Concern tracker 05-02-2005  9 72" xfId="25026"/>
    <cellStyle name="Comma [0] TBD-_2007 Concern tracker 05-02-2005  9 72" xfId="25027"/>
    <cellStyle name="Comma [0] TBD_2007 Concern tracker 05-02-2005  9 73" xfId="25028"/>
    <cellStyle name="Comma [0] TBD-_2007 Concern tracker 05-02-2005  9 73" xfId="25029"/>
    <cellStyle name="Comma [0] TBD_2007 Concern tracker 05-02-2005  9 74" xfId="25030"/>
    <cellStyle name="Comma [0] TBD-_2007 Concern tracker 05-02-2005  9 74" xfId="25031"/>
    <cellStyle name="Comma [0] TBD_2007 Concern tracker 05-02-2005  9 75" xfId="25032"/>
    <cellStyle name="Comma [0] TBD-_2007 Concern tracker 05-02-2005  9 75" xfId="25033"/>
    <cellStyle name="Comma [0] TBD_2007 Concern tracker 05-02-2005  9 76" xfId="25034"/>
    <cellStyle name="Comma [0] TBD-_2007 Concern tracker 05-02-2005  9 76" xfId="25035"/>
    <cellStyle name="Comma [0] TBD_2007 Concern tracker 05-02-2005  9 77" xfId="25036"/>
    <cellStyle name="Comma [0] TBD-_2007 Concern tracker 05-02-2005  9 77" xfId="25037"/>
    <cellStyle name="Comma [0] TBD_2007 Concern tracker 05-02-2005  9 78" xfId="25038"/>
    <cellStyle name="Comma [0] TBD-_2007 Concern tracker 05-02-2005  9 78" xfId="25039"/>
    <cellStyle name="Comma [0] TBD_2007 Concern tracker 05-02-2005  9 79" xfId="25040"/>
    <cellStyle name="Comma [0] TBD-_2007 Concern tracker 05-02-2005  9 79" xfId="25041"/>
    <cellStyle name="Comma [0] TBD_2007 Concern tracker 05-02-2005  9 8" xfId="25042"/>
    <cellStyle name="Comma [0] TBD-_2007 Concern tracker 05-02-2005  9 8" xfId="25043"/>
    <cellStyle name="Comma [0] TBD_2007 Concern tracker 05-02-2005  9 80" xfId="25044"/>
    <cellStyle name="Comma [0] TBD-_2007 Concern tracker 05-02-2005  9 80" xfId="25045"/>
    <cellStyle name="Comma [0] TBD_2007 Concern tracker 05-02-2005  9 81" xfId="25046"/>
    <cellStyle name="Comma [0] TBD-_2007 Concern tracker 05-02-2005  9 81" xfId="25047"/>
    <cellStyle name="Comma [0] TBD_2007 Concern tracker 05-02-2005  9 82" xfId="25048"/>
    <cellStyle name="Comma [0] TBD-_2007 Concern tracker 05-02-2005  9 82" xfId="25049"/>
    <cellStyle name="Comma [0] TBD_2007 Concern tracker 05-02-2005  9 83" xfId="25050"/>
    <cellStyle name="Comma [0] TBD-_2007 Concern tracker 05-02-2005  9 83" xfId="25051"/>
    <cellStyle name="Comma [0] TBD_2007 Concern tracker 05-02-2005  9 84" xfId="25052"/>
    <cellStyle name="Comma [0] TBD-_2007 Concern tracker 05-02-2005  9 84" xfId="25053"/>
    <cellStyle name="Comma [0] TBD_2007 Concern tracker 05-02-2005  9 85" xfId="25054"/>
    <cellStyle name="Comma [0] TBD-_2007 Concern tracker 05-02-2005  9 85" xfId="25055"/>
    <cellStyle name="Comma [0] TBD_2007 Concern tracker 05-02-2005  9 86" xfId="25056"/>
    <cellStyle name="Comma [0] TBD-_2007 Concern tracker 05-02-2005  9 86" xfId="25057"/>
    <cellStyle name="Comma [0] TBD_2007 Concern tracker 05-02-2005  9 87" xfId="25058"/>
    <cellStyle name="Comma [0] TBD-_2007 Concern tracker 05-02-2005  9 87" xfId="25059"/>
    <cellStyle name="Comma [0] TBD_2007 Concern tracker 05-02-2005  9 88" xfId="25060"/>
    <cellStyle name="Comma [0] TBD-_2007 Concern tracker 05-02-2005  9 88" xfId="25061"/>
    <cellStyle name="Comma [0] TBD_2007 Concern tracker 05-02-2005  9 89" xfId="25062"/>
    <cellStyle name="Comma [0] TBD-_2007 Concern tracker 05-02-2005  9 89" xfId="25063"/>
    <cellStyle name="Comma [0] TBD_2007 Concern tracker 05-02-2005  9 9" xfId="25064"/>
    <cellStyle name="Comma [0] TBD-_2007 Concern tracker 05-02-2005  9 9" xfId="25065"/>
    <cellStyle name="Comma [0] TBD_2007 Concern tracker 05-02-2005  9 90" xfId="25066"/>
    <cellStyle name="Comma [0] TBD-_2007 Concern tracker 05-02-2005  9 90" xfId="25067"/>
    <cellStyle name="Comma [0] TBD_2007 Concern tracker 05-02-2005  9 91" xfId="25068"/>
    <cellStyle name="Comma [0] TBD-_2007 Concern tracker 05-02-2005  9 91" xfId="25069"/>
    <cellStyle name="Comma [0] TBD_2007 Concern tracker 05-02-2005  9 92" xfId="25070"/>
    <cellStyle name="Comma [0] TBD-_2007 Concern tracker 05-02-2005  9 92" xfId="25071"/>
    <cellStyle name="Comma [0] TBD_2007 Concern tracker 05-02-2005  9 93" xfId="25072"/>
    <cellStyle name="Comma [0] TBD-_2007 Concern tracker 05-02-2005  9 93" xfId="25073"/>
    <cellStyle name="Comma [0] TBD_2007 Concern tracker 05-02-2005  9 94" xfId="25074"/>
    <cellStyle name="Comma [0] TBD-_2007 Concern tracker 05-02-2005  9 94" xfId="25075"/>
    <cellStyle name="Comma [0] TBD_2007 Concern tracker 05-02-2005  9 95" xfId="25076"/>
    <cellStyle name="Comma [0] TBD-_2007 Concern tracker 05-02-2005  9 95" xfId="25077"/>
    <cellStyle name="Comma [0] TBD_2007 Concern tracker 05-02-2005  9 96" xfId="25078"/>
    <cellStyle name="Comma [0] TBD-_2007 Concern tracker 05-02-2005  9 96" xfId="25079"/>
    <cellStyle name="Comma [0] TBD_2007 Concern tracker 05-02-2005  9 97" xfId="25080"/>
    <cellStyle name="Comma [0] TBD-_2007 Concern tracker 05-02-2005  9 97" xfId="25081"/>
    <cellStyle name="Comma [0] TBD_2007 Concern tracker 05-02-2005  9 98" xfId="25082"/>
    <cellStyle name="Comma [0] TBD-_2007 Concern tracker 05-02-2005  9 98" xfId="25083"/>
    <cellStyle name="Comma [0] TBD_2007 Concern tracker 05-02-2005  9 99" xfId="25084"/>
    <cellStyle name="Comma [0] TBD-_2007 Concern tracker 05-02-2005  9 99" xfId="25085"/>
    <cellStyle name="Comma [0] TBD_2007MY Escape &amp; Mariner Price Strategy_2-Pager_v5 (Offsite)" xfId="25086"/>
    <cellStyle name="Comma [0] TBD-_2007MY Escape &amp; Mariner Price Strategy_2-Pager_v5 (Offsite)" xfId="25087"/>
    <cellStyle name="Comma [0] TBD_2007MY Escape &amp; Mariner Price Strategy_2-Pager_v5 (Offsite) 2" xfId="25088"/>
    <cellStyle name="Comma [0] TBD-_2007MY Escape &amp; Mariner Price Strategy_2-Pager_v5 (Offsite) 2" xfId="25089"/>
    <cellStyle name="Comma [0] TBD_2007MY Expedition 4 Pager - 13-14% Margin - 3-16-06 AG Review " xfId="25090"/>
    <cellStyle name="Comma [0] TBD-_2007MY Expedition 4 Pager - 13-14% Margin - 3-16-06 AG Review " xfId="25091"/>
    <cellStyle name="Comma [0] TBD_2007MY Expedition 4 Pager - 13-14% Margin - 3-16-06 AG Review  2" xfId="25092"/>
    <cellStyle name="Comma [0] TBD-_2007MY Expedition 4 Pager - 13-14% Margin - 3-16-06 AG Review  2" xfId="25093"/>
    <cellStyle name="Comma [0] TBD_2007MY Navigator 4 Pager - Latest - 2K Ultimate - 3-16-06 AG Review " xfId="25094"/>
    <cellStyle name="Comma [0] TBD-_2007MY Navigator 4 Pager - Latest - 2K Ultimate - 3-16-06 AG Review " xfId="25095"/>
    <cellStyle name="Comma [0] TBD_2007MY Navigator 4 Pager - Latest - 2K Ultimate - 3-16-06 AG Review  2" xfId="25096"/>
    <cellStyle name="Comma [0] TBD-_2007MY Navigator 4 Pager - Latest - 2K Ultimate - 3-16-06 AG Review  2" xfId="25097"/>
    <cellStyle name="Comma [0] TBD_2007MY Pricing Review - Navigator Showroom Spider" xfId="25098"/>
    <cellStyle name="Comma [0] TBD-_2007MY Pricing Review - Navigator Showroom Spider" xfId="25099"/>
    <cellStyle name="Comma [0] TBD_2007MY Pricing Review - Navigator Showroom Spider 2" xfId="25100"/>
    <cellStyle name="Comma [0] TBD-_2007MY Pricing Review - Navigator Showroom Spider 2" xfId="25101"/>
    <cellStyle name="Comma [0] TBD_2007MY Pricing Review - Showroom Spider - 10-11-05 Revised" xfId="25102"/>
    <cellStyle name="Comma [0] TBD-_2007MY Pricing Review - Showroom Spider - 10-11-05 Revised" xfId="25103"/>
    <cellStyle name="Comma [0] TBD_2007MY Pricing Review - Showroom Spider - 10-11-05 Revised 2" xfId="25104"/>
    <cellStyle name="Comma [0] TBD-_2007MY Pricing Review - Showroom Spider - 10-11-05 Revised 2" xfId="25105"/>
    <cellStyle name="Comma [0] TBD_2008MY Thermometer Charts - updated with Tims EACs - vs 07MY Competition - Jan 2007" xfId="25106"/>
    <cellStyle name="Comma [0] TBD-_2008MY Thermometer Charts - updated with Tims EACs - vs 07MY Competition - Jan 2007" xfId="25107"/>
    <cellStyle name="Comma [0] TBD_2008MY Thermometer Charts - updated with Tims EACs - vs 07MY Competition - Jan 2007 2" xfId="25108"/>
    <cellStyle name="Comma [0] TBD-_2008MY Thermometer Charts - updated with Tims EACs - vs 07MY Competition - Jan 2007 2" xfId="25109"/>
    <cellStyle name="Comma [0] TBD_2009MY U377 PS PSRM" xfId="25110"/>
    <cellStyle name="Comma [0] TBD-_2009MY U377 PS PSRM" xfId="25111"/>
    <cellStyle name="Comma [0] TBD_2009MY U377 PS PSRM 2" xfId="25112"/>
    <cellStyle name="Comma [0] TBD-_2009MY U377 PS PSRM 2" xfId="25113"/>
    <cellStyle name="Comma [0] TBD_3_9 CLT Review_6" xfId="25114"/>
    <cellStyle name="Comma [0] TBD-_3_9 CLT Review_6" xfId="25115"/>
    <cellStyle name="Comma [0] TBD_3_9 CLT Review_6 2" xfId="25116"/>
    <cellStyle name="Comma [0] TBD-_3_9 CLT Review_6 2" xfId="25117"/>
    <cellStyle name="Comma [0] TBD_3_9 CLT Review_6 2 2" xfId="25118"/>
    <cellStyle name="Comma [0] TBD-_3_9 CLT Review_6 2 2" xfId="25119"/>
    <cellStyle name="Comma [0] TBD_3_9 CLT Review_6 3" xfId="25120"/>
    <cellStyle name="Comma [0] TBD-_3_9 CLT Review_6 3" xfId="25121"/>
    <cellStyle name="Comma [0] TBD_3_9 CLT Review_6 3 2" xfId="25122"/>
    <cellStyle name="Comma [0] TBD-_3_9 CLT Review_6 3 2" xfId="25123"/>
    <cellStyle name="Comma [0] TBD_3_9 CLT Review_6 4" xfId="25124"/>
    <cellStyle name="Comma [0] TBD-_3_9 CLT Review_6 4" xfId="25125"/>
    <cellStyle name="Comma [0] TBD_3_9 CLT Review_6 5" xfId="25126"/>
    <cellStyle name="Comma [0] TBD-_3_9 CLT Review_6 5" xfId="25127"/>
    <cellStyle name="Comma [0] TBD_3_9 CLT Review_6 6" xfId="25128"/>
    <cellStyle name="Comma [0] TBD-_3_9 CLT Review_6 6" xfId="25129"/>
    <cellStyle name="Comma [0] TBD_3_9 CLT Review_6 7" xfId="25130"/>
    <cellStyle name="Comma [0] TBD-_3_9 CLT Review_6 7" xfId="25131"/>
    <cellStyle name="Comma [0] TBD_3_9 CLT Review_6 8" xfId="25132"/>
    <cellStyle name="Comma [0] TBD-_3_9 CLT Review_6 8" xfId="25133"/>
    <cellStyle name="Comma [0] TBD_3_9 CLT Review_6 9" xfId="25134"/>
    <cellStyle name="Comma [0] TBD-_3_9 CLT Review_6 9" xfId="25135"/>
    <cellStyle name="Comma [0] TBD_4) Company Service Vehicles (2+10)" xfId="25136"/>
    <cellStyle name="Comma [0] TBD-_4) Company Service Vehicles (2+10)" xfId="25137"/>
    <cellStyle name="Comma [0] TBD_4) Company Service Vehicles (2+10) 2" xfId="25138"/>
    <cellStyle name="Comma [0] TBD-_4) Company Service Vehicles (2+10) 2" xfId="25139"/>
    <cellStyle name="Comma [0] TBD_6+6 YOYbprI-Iv2" xfId="25140"/>
    <cellStyle name="Comma [0] TBD-_6+6 YOYbprI-Iv2" xfId="25141"/>
    <cellStyle name="Comma [0] TBD_6+6 YOYbprI-Iv2 2" xfId="25142"/>
    <cellStyle name="Comma [0] TBD-_6+6 YOYbprI-Iv2 2" xfId="25143"/>
    <cellStyle name="Comma [0] TBD_6+6 YOYbprI-Iv3" xfId="25144"/>
    <cellStyle name="Comma [0] TBD-_6+6 YOYbprI-Iv3" xfId="25145"/>
    <cellStyle name="Comma [0] TBD_6+6 YOYbprI-Iv3 2" xfId="25146"/>
    <cellStyle name="Comma [0] TBD-_6+6 YOYbprI-Iv3 2" xfId="25147"/>
    <cellStyle name="Comma [0] TBD_7+5 YOYbprI-I" xfId="25148"/>
    <cellStyle name="Comma [0] TBD-_7+5 YOYbprI-I" xfId="25149"/>
    <cellStyle name="Comma [0] TBD_7+5 YOYbprI-I 2" xfId="25150"/>
    <cellStyle name="Comma [0] TBD-_7+5 YOYbprI-I 2" xfId="25151"/>
    <cellStyle name="Comma [0] TBD_9+3 FCST_SUM v1" xfId="25152"/>
    <cellStyle name="Comma [0] TBD-_9+3 FCST_SUM v1" xfId="25153"/>
    <cellStyle name="Comma [0] TBD_9+3 FCST_SUM v1 2" xfId="25154"/>
    <cellStyle name="Comma [0] TBD-_9+3 FCST_SUM v1 2" xfId="25155"/>
    <cellStyle name="Comma [0] TBD_9+3 FCST_SUM v1 2 2" xfId="25156"/>
    <cellStyle name="Comma [0] TBD-_9+3 FCST_SUM v1 2 2" xfId="25157"/>
    <cellStyle name="Comma [0] TBD_9+3 FCST_SUM v1 3" xfId="25158"/>
    <cellStyle name="Comma [0] TBD-_9+3 FCST_SUM v1 3" xfId="25159"/>
    <cellStyle name="Comma [0] TBD_9+3 FCST_SUM v1 3 2" xfId="25160"/>
    <cellStyle name="Comma [0] TBD-_9+3 FCST_SUM v1 3 2" xfId="25161"/>
    <cellStyle name="Comma [0] TBD_9+3 FCST_SUM v1 4" xfId="25162"/>
    <cellStyle name="Comma [0] TBD-_9+3 FCST_SUM v1 4" xfId="25163"/>
    <cellStyle name="Comma [0] TBD_9+3 FCST_SUM v1 5" xfId="25164"/>
    <cellStyle name="Comma [0] TBD-_9+3 FCST_SUM v1 5" xfId="25165"/>
    <cellStyle name="Comma [0] TBD_9+3 FCST_SUM v1 6" xfId="25166"/>
    <cellStyle name="Comma [0] TBD-_9+3 FCST_SUM v1 6" xfId="25167"/>
    <cellStyle name="Comma [0] TBD_9+3 FCST_SUM v1 7" xfId="25168"/>
    <cellStyle name="Comma [0] TBD-_9+3 FCST_SUM v1 7" xfId="25169"/>
    <cellStyle name="Comma [0] TBD_9+3 FCST_SUM v1 8" xfId="25170"/>
    <cellStyle name="Comma [0] TBD-_9+3 FCST_SUM v1 8" xfId="25171"/>
    <cellStyle name="Comma [0] TBD_9+3 FCST_SUM v1 9" xfId="25172"/>
    <cellStyle name="Comma [0] TBD-_9+3 FCST_SUM v1 9" xfId="25173"/>
    <cellStyle name="Comma [0] TBD_ARM 151004 DRAFT" xfId="25174"/>
    <cellStyle name="Comma [0] TBD-_ARM 151004 DRAFT" xfId="25175"/>
    <cellStyle name="Comma [0] TBD_ARM 151004 DRAFT 2" xfId="25176"/>
    <cellStyle name="Comma [0] TBD-_ARM 151004 DRAFT 2" xfId="25177"/>
    <cellStyle name="Comma [0] TBD_ARM 151004 DRAFT 2 2" xfId="25178"/>
    <cellStyle name="Comma [0] TBD-_ARM 151004 DRAFT 2 2" xfId="25179"/>
    <cellStyle name="Comma [0] TBD_ARM 151004 DRAFT 3" xfId="25180"/>
    <cellStyle name="Comma [0] TBD-_ARM 151004 DRAFT 3" xfId="25181"/>
    <cellStyle name="Comma [0] TBD_ARM 151004 DRAFT 3 2" xfId="25182"/>
    <cellStyle name="Comma [0] TBD-_ARM 151004 DRAFT 3 2" xfId="25183"/>
    <cellStyle name="Comma [0] TBD_ARM 151004 DRAFT 4" xfId="25184"/>
    <cellStyle name="Comma [0] TBD-_ARM 151004 DRAFT 4" xfId="25185"/>
    <cellStyle name="Comma [0] TBD_ARM 151004 DRAFT 5" xfId="25186"/>
    <cellStyle name="Comma [0] TBD-_ARM 151004 DRAFT 5" xfId="25187"/>
    <cellStyle name="Comma [0] TBD_ARM 151004 DRAFT 6" xfId="25188"/>
    <cellStyle name="Comma [0] TBD-_ARM 151004 DRAFT 6" xfId="25189"/>
    <cellStyle name="Comma [0] TBD_ARM 151004 DRAFT 7" xfId="25190"/>
    <cellStyle name="Comma [0] TBD-_ARM 151004 DRAFT 7" xfId="25191"/>
    <cellStyle name="Comma [0] TBD_ARM 151004 DRAFT 8" xfId="25192"/>
    <cellStyle name="Comma [0] TBD-_ARM 151004 DRAFT 8" xfId="25193"/>
    <cellStyle name="Comma [0] TBD_ARM 151004 DRAFT 9" xfId="25194"/>
    <cellStyle name="Comma [0] TBD-_ARM 151004 DRAFT 9" xfId="25195"/>
    <cellStyle name="Comma [0] TBD_ARM input (66)" xfId="25196"/>
    <cellStyle name="Comma [0] TBD-_ARM input (66)" xfId="25197"/>
    <cellStyle name="Comma [0] TBD_ARM input (66) 2" xfId="25198"/>
    <cellStyle name="Comma [0] TBD-_ARM input (66) 2" xfId="25199"/>
    <cellStyle name="Comma [0] TBD_ARM input (66) 2 2" xfId="25200"/>
    <cellStyle name="Comma [0] TBD-_ARM input (66) 2 2" xfId="25201"/>
    <cellStyle name="Comma [0] TBD_ARM input (66) 3" xfId="25202"/>
    <cellStyle name="Comma [0] TBD-_ARM input (66) 3" xfId="25203"/>
    <cellStyle name="Comma [0] TBD_ARM input (66) 3 2" xfId="25204"/>
    <cellStyle name="Comma [0] TBD-_ARM input (66) 3 2" xfId="25205"/>
    <cellStyle name="Comma [0] TBD_ARM input (66) 4" xfId="25206"/>
    <cellStyle name="Comma [0] TBD-_ARM input (66) 4" xfId="25207"/>
    <cellStyle name="Comma [0] TBD_ARM input (66) 5" xfId="25208"/>
    <cellStyle name="Comma [0] TBD-_ARM input (66) 5" xfId="25209"/>
    <cellStyle name="Comma [0] TBD_ARM input (66) 6" xfId="25210"/>
    <cellStyle name="Comma [0] TBD-_ARM input (66) 6" xfId="25211"/>
    <cellStyle name="Comma [0] TBD_ARM input (66) 7" xfId="25212"/>
    <cellStyle name="Comma [0] TBD-_ARM input (66) 7" xfId="25213"/>
    <cellStyle name="Comma [0] TBD_ARM input (66) 8" xfId="25214"/>
    <cellStyle name="Comma [0] TBD-_ARM input (66) 8" xfId="25215"/>
    <cellStyle name="Comma [0] TBD_ARM input (66) 9" xfId="25216"/>
    <cellStyle name="Comma [0] TBD-_ARM input (66) 9" xfId="25217"/>
    <cellStyle name="Comma [0] TBD_Att III Input By Region and CBG NA 84" xfId="25218"/>
    <cellStyle name="Comma [0] TBD-_Att III Input By Region and CBG NA 84" xfId="25219"/>
    <cellStyle name="Comma [0] TBD_Att III Input By Region and CBG NA 84 2" xfId="25220"/>
    <cellStyle name="Comma [0] TBD-_Att III Input By Region and CBG NA 84 2" xfId="25221"/>
    <cellStyle name="Comma [0] TBD_Att III Input By Region and CBG NA 93" xfId="25222"/>
    <cellStyle name="Comma [0] TBD-_Att III Input By Region and CBG NA 93" xfId="25223"/>
    <cellStyle name="Comma [0] TBD_Att III Input By Region and CBG NA 93 2" xfId="25224"/>
    <cellStyle name="Comma [0] TBD-_Att III Input By Region and CBG NA 93 2" xfId="25225"/>
    <cellStyle name="Comma [0] TBD_Att III Input By Region and CBG NA PCO 3+9" xfId="25226"/>
    <cellStyle name="Comma [0] TBD-_Att III Input By Region and CBG NA PCO 3+9" xfId="25227"/>
    <cellStyle name="Comma [0] TBD_Att III Input By Region and CBG NA PCO 3+9 2" xfId="25228"/>
    <cellStyle name="Comma [0] TBD-_Att III Input By Region and CBG NA PCO 3+9 2" xfId="25229"/>
    <cellStyle name="Comma [0] TBD_Attachment III Input By Region and CBG" xfId="25230"/>
    <cellStyle name="Comma [0] TBD-_Attachment III Input By Region and CBG" xfId="25231"/>
    <cellStyle name="Comma [0] TBD_Attachment III Input By Region and CBG 2" xfId="25232"/>
    <cellStyle name="Comma [0] TBD-_Attachment III Input By Region and CBG 2" xfId="25233"/>
    <cellStyle name="Comma [0] TBD_AugustPBRtopics_submitters" xfId="25234"/>
    <cellStyle name="Comma [0] TBD-_AugustPBRtopics_submitters" xfId="25235"/>
    <cellStyle name="Comma [0] TBD_AugustPBRtopics_submitters 2" xfId="25236"/>
    <cellStyle name="Comma [0] TBD-_AugustPBRtopics_submitters 2" xfId="25237"/>
    <cellStyle name="Comma [0] TBD_Book3" xfId="25238"/>
    <cellStyle name="Comma [0] TBD-_Book3" xfId="25239"/>
    <cellStyle name="Comma [0] TBD_Book3 2" xfId="25240"/>
    <cellStyle name="Comma [0] TBD-_Book3 2" xfId="25241"/>
    <cellStyle name="Comma [0] TBD_Book3 2 2" xfId="25242"/>
    <cellStyle name="Comma [0] TBD-_Book3 2 2" xfId="25243"/>
    <cellStyle name="Comma [0] TBD_Book3 3" xfId="25244"/>
    <cellStyle name="Comma [0] TBD-_Book3 3" xfId="25245"/>
    <cellStyle name="Comma [0] TBD_Book3 3 2" xfId="25246"/>
    <cellStyle name="Comma [0] TBD-_Book3 3 2" xfId="25247"/>
    <cellStyle name="Comma [0] TBD_Book3 4" xfId="25248"/>
    <cellStyle name="Comma [0] TBD-_Book3 4" xfId="25249"/>
    <cellStyle name="Comma [0] TBD_Book3 5" xfId="25250"/>
    <cellStyle name="Comma [0] TBD-_Book3 5" xfId="25251"/>
    <cellStyle name="Comma [0] TBD_Book3 6" xfId="25252"/>
    <cellStyle name="Comma [0] TBD-_Book3 6" xfId="25253"/>
    <cellStyle name="Comma [0] TBD_Book3 7" xfId="25254"/>
    <cellStyle name="Comma [0] TBD-_Book3 7" xfId="25255"/>
    <cellStyle name="Comma [0] TBD_Book3 8" xfId="25256"/>
    <cellStyle name="Comma [0] TBD-_Book3 8" xfId="25257"/>
    <cellStyle name="Comma [0] TBD_Book3 9" xfId="25258"/>
    <cellStyle name="Comma [0] TBD-_Book3 9" xfId="25259"/>
    <cellStyle name="Comma [0] TBD_Book4" xfId="25260"/>
    <cellStyle name="Comma [0] TBD-_Book4" xfId="25261"/>
    <cellStyle name="Comma [0] TBD_Book4 2" xfId="25262"/>
    <cellStyle name="Comma [0] TBD-_Book4 2" xfId="25263"/>
    <cellStyle name="Comma [0] TBD_Book4 2 2" xfId="25264"/>
    <cellStyle name="Comma [0] TBD-_Book4 2 2" xfId="25265"/>
    <cellStyle name="Comma [0] TBD_Book4 3" xfId="25266"/>
    <cellStyle name="Comma [0] TBD-_Book4 3" xfId="25267"/>
    <cellStyle name="Comma [0] TBD_Book4 3 2" xfId="25268"/>
    <cellStyle name="Comma [0] TBD-_Book4 3 2" xfId="25269"/>
    <cellStyle name="Comma [0] TBD_Book4 4" xfId="25270"/>
    <cellStyle name="Comma [0] TBD-_Book4 4" xfId="25271"/>
    <cellStyle name="Comma [0] TBD_Book4 5" xfId="25272"/>
    <cellStyle name="Comma [0] TBD-_Book4 5" xfId="25273"/>
    <cellStyle name="Comma [0] TBD_Book4 6" xfId="25274"/>
    <cellStyle name="Comma [0] TBD-_Book4 6" xfId="25275"/>
    <cellStyle name="Comma [0] TBD_Book4 7" xfId="25276"/>
    <cellStyle name="Comma [0] TBD-_Book4 7" xfId="25277"/>
    <cellStyle name="Comma [0] TBD_Book4 8" xfId="25278"/>
    <cellStyle name="Comma [0] TBD-_Book4 8" xfId="25279"/>
    <cellStyle name="Comma [0] TBD_Book4 9" xfId="25280"/>
    <cellStyle name="Comma [0] TBD-_Book4 9" xfId="25281"/>
    <cellStyle name="Comma [0] TBD_Brand Premium Summary" xfId="25282"/>
    <cellStyle name="Comma [0] TBD-_Brand Premium Summary" xfId="25283"/>
    <cellStyle name="Comma [0] TBD_Brand Premium Summary 1112205" xfId="25284"/>
    <cellStyle name="Comma [0] TBD-_Brand Premium Summary 1112205" xfId="25285"/>
    <cellStyle name="Comma [0] TBD_Brand Premium Summary 1112205 2" xfId="25286"/>
    <cellStyle name="Comma [0] TBD-_Brand Premium Summary 1112205 2" xfId="25287"/>
    <cellStyle name="Comma [0] TBD_Brand Premium Summary 1112205 2 2" xfId="25288"/>
    <cellStyle name="Comma [0] TBD-_Brand Premium Summary 1112205 2 2" xfId="25289"/>
    <cellStyle name="Comma [0] TBD_Brand Premium Summary 1112205 3" xfId="25290"/>
    <cellStyle name="Comma [0] TBD-_Brand Premium Summary 1112205 3" xfId="25291"/>
    <cellStyle name="Comma [0] TBD_Brand Premium Summary 1112205 3 2" xfId="25292"/>
    <cellStyle name="Comma [0] TBD-_Brand Premium Summary 1112205 3 2" xfId="25293"/>
    <cellStyle name="Comma [0] TBD_Brand Premium Summary 1112205 4" xfId="25294"/>
    <cellStyle name="Comma [0] TBD-_Brand Premium Summary 1112205 4" xfId="25295"/>
    <cellStyle name="Comma [0] TBD_Brand Premium Summary 1112205 5" xfId="25296"/>
    <cellStyle name="Comma [0] TBD-_Brand Premium Summary 1112205 5" xfId="25297"/>
    <cellStyle name="Comma [0] TBD_Brand Premium Summary 1112205 6" xfId="25298"/>
    <cellStyle name="Comma [0] TBD-_Brand Premium Summary 1112205 6" xfId="25299"/>
    <cellStyle name="Comma [0] TBD_Brand Premium Summary 1112205 7" xfId="25300"/>
    <cellStyle name="Comma [0] TBD-_Brand Premium Summary 1112205 7" xfId="25301"/>
    <cellStyle name="Comma [0] TBD_Brand Premium Summary 1112205 8" xfId="25302"/>
    <cellStyle name="Comma [0] TBD-_Brand Premium Summary 1112205 8" xfId="25303"/>
    <cellStyle name="Comma [0] TBD_Brand Premium Summary 1112205 9" xfId="25304"/>
    <cellStyle name="Comma [0] TBD-_Brand Premium Summary 1112205 9" xfId="25305"/>
    <cellStyle name="Comma [0] TBD_Brand Premium Summary 2" xfId="25306"/>
    <cellStyle name="Comma [0] TBD-_Brand Premium Summary 2" xfId="25307"/>
    <cellStyle name="Comma [0] TBD_Brand Premium Summary 2 2" xfId="25308"/>
    <cellStyle name="Comma [0] TBD-_Brand Premium Summary 2 2" xfId="25309"/>
    <cellStyle name="Comma [0] TBD_Brand Premium Summary 3" xfId="25310"/>
    <cellStyle name="Comma [0] TBD-_Brand Premium Summary 3" xfId="25311"/>
    <cellStyle name="Comma [0] TBD_Brand Premium Summary 3 2" xfId="25312"/>
    <cellStyle name="Comma [0] TBD-_Brand Premium Summary 3 2" xfId="25313"/>
    <cellStyle name="Comma [0] TBD_Brand Premium Summary 4" xfId="25314"/>
    <cellStyle name="Comma [0] TBD-_Brand Premium Summary 4" xfId="25315"/>
    <cellStyle name="Comma [0] TBD_Brand Premium Summary 5" xfId="25316"/>
    <cellStyle name="Comma [0] TBD-_Brand Premium Summary 5" xfId="25317"/>
    <cellStyle name="Comma [0] TBD_Brand Premium Summary 6" xfId="25318"/>
    <cellStyle name="Comma [0] TBD-_Brand Premium Summary 6" xfId="25319"/>
    <cellStyle name="Comma [0] TBD_Brand Premium Summary 7" xfId="25320"/>
    <cellStyle name="Comma [0] TBD-_Brand Premium Summary 7" xfId="25321"/>
    <cellStyle name="Comma [0] TBD_Brand Premium Summary 8" xfId="25322"/>
    <cellStyle name="Comma [0] TBD-_Brand Premium Summary 8" xfId="25323"/>
    <cellStyle name="Comma [0] TBD_Brand Premium Summary 9" xfId="25324"/>
    <cellStyle name="Comma [0] TBD-_Brand Premium Summary 9" xfId="25325"/>
    <cellStyle name="Comma [0] TBD_Budget Product Backup (12+0+12) By Quarter v3" xfId="25326"/>
    <cellStyle name="Comma [0] TBD-_Budget Product Backup (12+0+12) By Quarter v3" xfId="25327"/>
    <cellStyle name="Comma [0] TBD_Budget Product Backup (12+0+12) By Quarter v3 2" xfId="25328"/>
    <cellStyle name="Comma [0] TBD-_Budget Product Backup (12+0+12) By Quarter v3 2" xfId="25329"/>
    <cellStyle name="Comma [0] TBD_BV226 mkt equation_Aug6" xfId="25330"/>
    <cellStyle name="Comma [0] TBD-_BV226 mkt equation_Aug6" xfId="25331"/>
    <cellStyle name="Comma [0] TBD_BV226 mkt equation_Aug6 10" xfId="25332"/>
    <cellStyle name="Comma [0] TBD-_BV226 mkt equation_Aug6 10" xfId="25333"/>
    <cellStyle name="Comma [0] TBD_BV226 mkt equation_Aug6 10 10" xfId="25334"/>
    <cellStyle name="Comma [0] TBD-_BV226 mkt equation_Aug6 10 10" xfId="25335"/>
    <cellStyle name="Comma [0] TBD_BV226 mkt equation_Aug6 10 100" xfId="25336"/>
    <cellStyle name="Comma [0] TBD-_BV226 mkt equation_Aug6 10 100" xfId="25337"/>
    <cellStyle name="Comma [0] TBD_BV226 mkt equation_Aug6 10 101" xfId="25338"/>
    <cellStyle name="Comma [0] TBD-_BV226 mkt equation_Aug6 10 101" xfId="25339"/>
    <cellStyle name="Comma [0] TBD_BV226 mkt equation_Aug6 10 102" xfId="25340"/>
    <cellStyle name="Comma [0] TBD-_BV226 mkt equation_Aug6 10 102" xfId="25341"/>
    <cellStyle name="Comma [0] TBD_BV226 mkt equation_Aug6 10 103" xfId="25342"/>
    <cellStyle name="Comma [0] TBD-_BV226 mkt equation_Aug6 10 103" xfId="25343"/>
    <cellStyle name="Comma [0] TBD_BV226 mkt equation_Aug6 10 104" xfId="25344"/>
    <cellStyle name="Comma [0] TBD-_BV226 mkt equation_Aug6 10 104" xfId="25345"/>
    <cellStyle name="Comma [0] TBD_BV226 mkt equation_Aug6 10 105" xfId="25346"/>
    <cellStyle name="Comma [0] TBD-_BV226 mkt equation_Aug6 10 105" xfId="25347"/>
    <cellStyle name="Comma [0] TBD_BV226 mkt equation_Aug6 10 106" xfId="25348"/>
    <cellStyle name="Comma [0] TBD-_BV226 mkt equation_Aug6 10 106" xfId="25349"/>
    <cellStyle name="Comma [0] TBD_BV226 mkt equation_Aug6 10 107" xfId="25350"/>
    <cellStyle name="Comma [0] TBD-_BV226 mkt equation_Aug6 10 107" xfId="25351"/>
    <cellStyle name="Comma [0] TBD_BV226 mkt equation_Aug6 10 108" xfId="25352"/>
    <cellStyle name="Comma [0] TBD-_BV226 mkt equation_Aug6 10 108" xfId="25353"/>
    <cellStyle name="Comma [0] TBD_BV226 mkt equation_Aug6 10 109" xfId="25354"/>
    <cellStyle name="Comma [0] TBD-_BV226 mkt equation_Aug6 10 109" xfId="25355"/>
    <cellStyle name="Comma [0] TBD_BV226 mkt equation_Aug6 10 11" xfId="25356"/>
    <cellStyle name="Comma [0] TBD-_BV226 mkt equation_Aug6 10 11" xfId="25357"/>
    <cellStyle name="Comma [0] TBD_BV226 mkt equation_Aug6 10 110" xfId="25358"/>
    <cellStyle name="Comma [0] TBD-_BV226 mkt equation_Aug6 10 110" xfId="25359"/>
    <cellStyle name="Comma [0] TBD_BV226 mkt equation_Aug6 10 111" xfId="25360"/>
    <cellStyle name="Comma [0] TBD-_BV226 mkt equation_Aug6 10 111" xfId="25361"/>
    <cellStyle name="Comma [0] TBD_BV226 mkt equation_Aug6 10 112" xfId="25362"/>
    <cellStyle name="Comma [0] TBD-_BV226 mkt equation_Aug6 10 112" xfId="25363"/>
    <cellStyle name="Comma [0] TBD_BV226 mkt equation_Aug6 10 113" xfId="25364"/>
    <cellStyle name="Comma [0] TBD-_BV226 mkt equation_Aug6 10 113" xfId="25365"/>
    <cellStyle name="Comma [0] TBD_BV226 mkt equation_Aug6 10 114" xfId="25366"/>
    <cellStyle name="Comma [0] TBD-_BV226 mkt equation_Aug6 10 114" xfId="25367"/>
    <cellStyle name="Comma [0] TBD_BV226 mkt equation_Aug6 10 115" xfId="25368"/>
    <cellStyle name="Comma [0] TBD-_BV226 mkt equation_Aug6 10 115" xfId="25369"/>
    <cellStyle name="Comma [0] TBD_BV226 mkt equation_Aug6 10 116" xfId="25370"/>
    <cellStyle name="Comma [0] TBD-_BV226 mkt equation_Aug6 10 116" xfId="25371"/>
    <cellStyle name="Comma [0] TBD_BV226 mkt equation_Aug6 10 117" xfId="25372"/>
    <cellStyle name="Comma [0] TBD-_BV226 mkt equation_Aug6 10 117" xfId="25373"/>
    <cellStyle name="Comma [0] TBD_BV226 mkt equation_Aug6 10 118" xfId="25374"/>
    <cellStyle name="Comma [0] TBD-_BV226 mkt equation_Aug6 10 118" xfId="25375"/>
    <cellStyle name="Comma [0] TBD_BV226 mkt equation_Aug6 10 119" xfId="25376"/>
    <cellStyle name="Comma [0] TBD-_BV226 mkt equation_Aug6 10 119" xfId="25377"/>
    <cellStyle name="Comma [0] TBD_BV226 mkt equation_Aug6 10 12" xfId="25378"/>
    <cellStyle name="Comma [0] TBD-_BV226 mkt equation_Aug6 10 12" xfId="25379"/>
    <cellStyle name="Comma [0] TBD_BV226 mkt equation_Aug6 10 120" xfId="25380"/>
    <cellStyle name="Comma [0] TBD-_BV226 mkt equation_Aug6 10 120" xfId="25381"/>
    <cellStyle name="Comma [0] TBD_BV226 mkt equation_Aug6 10 121" xfId="25382"/>
    <cellStyle name="Comma [0] TBD-_BV226 mkt equation_Aug6 10 121" xfId="25383"/>
    <cellStyle name="Comma [0] TBD_BV226 mkt equation_Aug6 10 122" xfId="25384"/>
    <cellStyle name="Comma [0] TBD-_BV226 mkt equation_Aug6 10 122" xfId="25385"/>
    <cellStyle name="Comma [0] TBD_BV226 mkt equation_Aug6 10 123" xfId="25386"/>
    <cellStyle name="Comma [0] TBD-_BV226 mkt equation_Aug6 10 123" xfId="25387"/>
    <cellStyle name="Comma [0] TBD_BV226 mkt equation_Aug6 10 124" xfId="25388"/>
    <cellStyle name="Comma [0] TBD-_BV226 mkt equation_Aug6 10 124" xfId="25389"/>
    <cellStyle name="Comma [0] TBD_BV226 mkt equation_Aug6 10 125" xfId="25390"/>
    <cellStyle name="Comma [0] TBD-_BV226 mkt equation_Aug6 10 125" xfId="25391"/>
    <cellStyle name="Comma [0] TBD_BV226 mkt equation_Aug6 10 126" xfId="25392"/>
    <cellStyle name="Comma [0] TBD-_BV226 mkt equation_Aug6 10 126" xfId="25393"/>
    <cellStyle name="Comma [0] TBD_BV226 mkt equation_Aug6 10 127" xfId="25394"/>
    <cellStyle name="Comma [0] TBD-_BV226 mkt equation_Aug6 10 127" xfId="25395"/>
    <cellStyle name="Comma [0] TBD_BV226 mkt equation_Aug6 10 128" xfId="25396"/>
    <cellStyle name="Comma [0] TBD-_BV226 mkt equation_Aug6 10 128" xfId="25397"/>
    <cellStyle name="Comma [0] TBD_BV226 mkt equation_Aug6 10 129" xfId="25398"/>
    <cellStyle name="Comma [0] TBD-_BV226 mkt equation_Aug6 10 129" xfId="25399"/>
    <cellStyle name="Comma [0] TBD_BV226 mkt equation_Aug6 10 13" xfId="25400"/>
    <cellStyle name="Comma [0] TBD-_BV226 mkt equation_Aug6 10 13" xfId="25401"/>
    <cellStyle name="Comma [0] TBD_BV226 mkt equation_Aug6 10 130" xfId="25402"/>
    <cellStyle name="Comma [0] TBD-_BV226 mkt equation_Aug6 10 130" xfId="25403"/>
    <cellStyle name="Comma [0] TBD_BV226 mkt equation_Aug6 10 131" xfId="25404"/>
    <cellStyle name="Comma [0] TBD-_BV226 mkt equation_Aug6 10 131" xfId="25405"/>
    <cellStyle name="Comma [0] TBD_BV226 mkt equation_Aug6 10 132" xfId="25406"/>
    <cellStyle name="Comma [0] TBD-_BV226 mkt equation_Aug6 10 132" xfId="25407"/>
    <cellStyle name="Comma [0] TBD_BV226 mkt equation_Aug6 10 133" xfId="25408"/>
    <cellStyle name="Comma [0] TBD-_BV226 mkt equation_Aug6 10 133" xfId="25409"/>
    <cellStyle name="Comma [0] TBD_BV226 mkt equation_Aug6 10 134" xfId="25410"/>
    <cellStyle name="Comma [0] TBD-_BV226 mkt equation_Aug6 10 134" xfId="25411"/>
    <cellStyle name="Comma [0] TBD_BV226 mkt equation_Aug6 10 135" xfId="25412"/>
    <cellStyle name="Comma [0] TBD-_BV226 mkt equation_Aug6 10 135" xfId="25413"/>
    <cellStyle name="Comma [0] TBD_BV226 mkt equation_Aug6 10 136" xfId="25414"/>
    <cellStyle name="Comma [0] TBD-_BV226 mkt equation_Aug6 10 136" xfId="25415"/>
    <cellStyle name="Comma [0] TBD_BV226 mkt equation_Aug6 10 137" xfId="25416"/>
    <cellStyle name="Comma [0] TBD-_BV226 mkt equation_Aug6 10 137" xfId="25417"/>
    <cellStyle name="Comma [0] TBD_BV226 mkt equation_Aug6 10 138" xfId="25418"/>
    <cellStyle name="Comma [0] TBD-_BV226 mkt equation_Aug6 10 138" xfId="25419"/>
    <cellStyle name="Comma [0] TBD_BV226 mkt equation_Aug6 10 139" xfId="25420"/>
    <cellStyle name="Comma [0] TBD-_BV226 mkt equation_Aug6 10 139" xfId="25421"/>
    <cellStyle name="Comma [0] TBD_BV226 mkt equation_Aug6 10 14" xfId="25422"/>
    <cellStyle name="Comma [0] TBD-_BV226 mkt equation_Aug6 10 14" xfId="25423"/>
    <cellStyle name="Comma [0] TBD_BV226 mkt equation_Aug6 10 140" xfId="25424"/>
    <cellStyle name="Comma [0] TBD-_BV226 mkt equation_Aug6 10 140" xfId="25425"/>
    <cellStyle name="Comma [0] TBD_BV226 mkt equation_Aug6 10 141" xfId="25426"/>
    <cellStyle name="Comma [0] TBD-_BV226 mkt equation_Aug6 10 141" xfId="25427"/>
    <cellStyle name="Comma [0] TBD_BV226 mkt equation_Aug6 10 142" xfId="25428"/>
    <cellStyle name="Comma [0] TBD-_BV226 mkt equation_Aug6 10 142" xfId="25429"/>
    <cellStyle name="Comma [0] TBD_BV226 mkt equation_Aug6 10 143" xfId="25430"/>
    <cellStyle name="Comma [0] TBD-_BV226 mkt equation_Aug6 10 143" xfId="25431"/>
    <cellStyle name="Comma [0] TBD_BV226 mkt equation_Aug6 10 144" xfId="25432"/>
    <cellStyle name="Comma [0] TBD-_BV226 mkt equation_Aug6 10 144" xfId="25433"/>
    <cellStyle name="Comma [0] TBD_BV226 mkt equation_Aug6 10 145" xfId="25434"/>
    <cellStyle name="Comma [0] TBD-_BV226 mkt equation_Aug6 10 145" xfId="25435"/>
    <cellStyle name="Comma [0] TBD_BV226 mkt equation_Aug6 10 146" xfId="25436"/>
    <cellStyle name="Comma [0] TBD-_BV226 mkt equation_Aug6 10 146" xfId="25437"/>
    <cellStyle name="Comma [0] TBD_BV226 mkt equation_Aug6 10 147" xfId="25438"/>
    <cellStyle name="Comma [0] TBD-_BV226 mkt equation_Aug6 10 147" xfId="25439"/>
    <cellStyle name="Comma [0] TBD_BV226 mkt equation_Aug6 10 148" xfId="25440"/>
    <cellStyle name="Comma [0] TBD-_BV226 mkt equation_Aug6 10 148" xfId="25441"/>
    <cellStyle name="Comma [0] TBD_BV226 mkt equation_Aug6 10 149" xfId="25442"/>
    <cellStyle name="Comma [0] TBD-_BV226 mkt equation_Aug6 10 149" xfId="25443"/>
    <cellStyle name="Comma [0] TBD_BV226 mkt equation_Aug6 10 15" xfId="25444"/>
    <cellStyle name="Comma [0] TBD-_BV226 mkt equation_Aug6 10 15" xfId="25445"/>
    <cellStyle name="Comma [0] TBD_BV226 mkt equation_Aug6 10 150" xfId="25446"/>
    <cellStyle name="Comma [0] TBD-_BV226 mkt equation_Aug6 10 150" xfId="25447"/>
    <cellStyle name="Comma [0] TBD_BV226 mkt equation_Aug6 10 151" xfId="25448"/>
    <cellStyle name="Comma [0] TBD-_BV226 mkt equation_Aug6 10 151" xfId="25449"/>
    <cellStyle name="Comma [0] TBD_BV226 mkt equation_Aug6 10 152" xfId="25450"/>
    <cellStyle name="Comma [0] TBD-_BV226 mkt equation_Aug6 10 152" xfId="25451"/>
    <cellStyle name="Comma [0] TBD_BV226 mkt equation_Aug6 10 153" xfId="25452"/>
    <cellStyle name="Comma [0] TBD-_BV226 mkt equation_Aug6 10 153" xfId="25453"/>
    <cellStyle name="Comma [0] TBD_BV226 mkt equation_Aug6 10 16" xfId="25454"/>
    <cellStyle name="Comma [0] TBD-_BV226 mkt equation_Aug6 10 16" xfId="25455"/>
    <cellStyle name="Comma [0] TBD_BV226 mkt equation_Aug6 10 17" xfId="25456"/>
    <cellStyle name="Comma [0] TBD-_BV226 mkt equation_Aug6 10 17" xfId="25457"/>
    <cellStyle name="Comma [0] TBD_BV226 mkt equation_Aug6 10 18" xfId="25458"/>
    <cellStyle name="Comma [0] TBD-_BV226 mkt equation_Aug6 10 18" xfId="25459"/>
    <cellStyle name="Comma [0] TBD_BV226 mkt equation_Aug6 10 19" xfId="25460"/>
    <cellStyle name="Comma [0] TBD-_BV226 mkt equation_Aug6 10 19" xfId="25461"/>
    <cellStyle name="Comma [0] TBD_BV226 mkt equation_Aug6 10 2" xfId="25462"/>
    <cellStyle name="Comma [0] TBD-_BV226 mkt equation_Aug6 10 2" xfId="25463"/>
    <cellStyle name="Comma [0] TBD_BV226 mkt equation_Aug6 10 20" xfId="25464"/>
    <cellStyle name="Comma [0] TBD-_BV226 mkt equation_Aug6 10 20" xfId="25465"/>
    <cellStyle name="Comma [0] TBD_BV226 mkt equation_Aug6 10 21" xfId="25466"/>
    <cellStyle name="Comma [0] TBD-_BV226 mkt equation_Aug6 10 21" xfId="25467"/>
    <cellStyle name="Comma [0] TBD_BV226 mkt equation_Aug6 10 22" xfId="25468"/>
    <cellStyle name="Comma [0] TBD-_BV226 mkt equation_Aug6 10 22" xfId="25469"/>
    <cellStyle name="Comma [0] TBD_BV226 mkt equation_Aug6 10 23" xfId="25470"/>
    <cellStyle name="Comma [0] TBD-_BV226 mkt equation_Aug6 10 23" xfId="25471"/>
    <cellStyle name="Comma [0] TBD_BV226 mkt equation_Aug6 10 24" xfId="25472"/>
    <cellStyle name="Comma [0] TBD-_BV226 mkt equation_Aug6 10 24" xfId="25473"/>
    <cellStyle name="Comma [0] TBD_BV226 mkt equation_Aug6 10 25" xfId="25474"/>
    <cellStyle name="Comma [0] TBD-_BV226 mkt equation_Aug6 10 25" xfId="25475"/>
    <cellStyle name="Comma [0] TBD_BV226 mkt equation_Aug6 10 26" xfId="25476"/>
    <cellStyle name="Comma [0] TBD-_BV226 mkt equation_Aug6 10 26" xfId="25477"/>
    <cellStyle name="Comma [0] TBD_BV226 mkt equation_Aug6 10 27" xfId="25478"/>
    <cellStyle name="Comma [0] TBD-_BV226 mkt equation_Aug6 10 27" xfId="25479"/>
    <cellStyle name="Comma [0] TBD_BV226 mkt equation_Aug6 10 28" xfId="25480"/>
    <cellStyle name="Comma [0] TBD-_BV226 mkt equation_Aug6 10 28" xfId="25481"/>
    <cellStyle name="Comma [0] TBD_BV226 mkt equation_Aug6 10 29" xfId="25482"/>
    <cellStyle name="Comma [0] TBD-_BV226 mkt equation_Aug6 10 29" xfId="25483"/>
    <cellStyle name="Comma [0] TBD_BV226 mkt equation_Aug6 10 3" xfId="25484"/>
    <cellStyle name="Comma [0] TBD-_BV226 mkt equation_Aug6 10 3" xfId="25485"/>
    <cellStyle name="Comma [0] TBD_BV226 mkt equation_Aug6 10 30" xfId="25486"/>
    <cellStyle name="Comma [0] TBD-_BV226 mkt equation_Aug6 10 30" xfId="25487"/>
    <cellStyle name="Comma [0] TBD_BV226 mkt equation_Aug6 10 31" xfId="25488"/>
    <cellStyle name="Comma [0] TBD-_BV226 mkt equation_Aug6 10 31" xfId="25489"/>
    <cellStyle name="Comma [0] TBD_BV226 mkt equation_Aug6 10 32" xfId="25490"/>
    <cellStyle name="Comma [0] TBD-_BV226 mkt equation_Aug6 10 32" xfId="25491"/>
    <cellStyle name="Comma [0] TBD_BV226 mkt equation_Aug6 10 33" xfId="25492"/>
    <cellStyle name="Comma [0] TBD-_BV226 mkt equation_Aug6 10 33" xfId="25493"/>
    <cellStyle name="Comma [0] TBD_BV226 mkt equation_Aug6 10 34" xfId="25494"/>
    <cellStyle name="Comma [0] TBD-_BV226 mkt equation_Aug6 10 34" xfId="25495"/>
    <cellStyle name="Comma [0] TBD_BV226 mkt equation_Aug6 10 35" xfId="25496"/>
    <cellStyle name="Comma [0] TBD-_BV226 mkt equation_Aug6 10 35" xfId="25497"/>
    <cellStyle name="Comma [0] TBD_BV226 mkt equation_Aug6 10 36" xfId="25498"/>
    <cellStyle name="Comma [0] TBD-_BV226 mkt equation_Aug6 10 36" xfId="25499"/>
    <cellStyle name="Comma [0] TBD_BV226 mkt equation_Aug6 10 37" xfId="25500"/>
    <cellStyle name="Comma [0] TBD-_BV226 mkt equation_Aug6 10 37" xfId="25501"/>
    <cellStyle name="Comma [0] TBD_BV226 mkt equation_Aug6 10 38" xfId="25502"/>
    <cellStyle name="Comma [0] TBD-_BV226 mkt equation_Aug6 10 38" xfId="25503"/>
    <cellStyle name="Comma [0] TBD_BV226 mkt equation_Aug6 10 39" xfId="25504"/>
    <cellStyle name="Comma [0] TBD-_BV226 mkt equation_Aug6 10 39" xfId="25505"/>
    <cellStyle name="Comma [0] TBD_BV226 mkt equation_Aug6 10 4" xfId="25506"/>
    <cellStyle name="Comma [0] TBD-_BV226 mkt equation_Aug6 10 4" xfId="25507"/>
    <cellStyle name="Comma [0] TBD_BV226 mkt equation_Aug6 10 40" xfId="25508"/>
    <cellStyle name="Comma [0] TBD-_BV226 mkt equation_Aug6 10 40" xfId="25509"/>
    <cellStyle name="Comma [0] TBD_BV226 mkt equation_Aug6 10 41" xfId="25510"/>
    <cellStyle name="Comma [0] TBD-_BV226 mkt equation_Aug6 10 41" xfId="25511"/>
    <cellStyle name="Comma [0] TBD_BV226 mkt equation_Aug6 10 42" xfId="25512"/>
    <cellStyle name="Comma [0] TBD-_BV226 mkt equation_Aug6 10 42" xfId="25513"/>
    <cellStyle name="Comma [0] TBD_BV226 mkt equation_Aug6 10 43" xfId="25514"/>
    <cellStyle name="Comma [0] TBD-_BV226 mkt equation_Aug6 10 43" xfId="25515"/>
    <cellStyle name="Comma [0] TBD_BV226 mkt equation_Aug6 10 44" xfId="25516"/>
    <cellStyle name="Comma [0] TBD-_BV226 mkt equation_Aug6 10 44" xfId="25517"/>
    <cellStyle name="Comma [0] TBD_BV226 mkt equation_Aug6 10 45" xfId="25518"/>
    <cellStyle name="Comma [0] TBD-_BV226 mkt equation_Aug6 10 45" xfId="25519"/>
    <cellStyle name="Comma [0] TBD_BV226 mkt equation_Aug6 10 46" xfId="25520"/>
    <cellStyle name="Comma [0] TBD-_BV226 mkt equation_Aug6 10 46" xfId="25521"/>
    <cellStyle name="Comma [0] TBD_BV226 mkt equation_Aug6 10 47" xfId="25522"/>
    <cellStyle name="Comma [0] TBD-_BV226 mkt equation_Aug6 10 47" xfId="25523"/>
    <cellStyle name="Comma [0] TBD_BV226 mkt equation_Aug6 10 48" xfId="25524"/>
    <cellStyle name="Comma [0] TBD-_BV226 mkt equation_Aug6 10 48" xfId="25525"/>
    <cellStyle name="Comma [0] TBD_BV226 mkt equation_Aug6 10 49" xfId="25526"/>
    <cellStyle name="Comma [0] TBD-_BV226 mkt equation_Aug6 10 49" xfId="25527"/>
    <cellStyle name="Comma [0] TBD_BV226 mkt equation_Aug6 10 5" xfId="25528"/>
    <cellStyle name="Comma [0] TBD-_BV226 mkt equation_Aug6 10 5" xfId="25529"/>
    <cellStyle name="Comma [0] TBD_BV226 mkt equation_Aug6 10 50" xfId="25530"/>
    <cellStyle name="Comma [0] TBD-_BV226 mkt equation_Aug6 10 50" xfId="25531"/>
    <cellStyle name="Comma [0] TBD_BV226 mkt equation_Aug6 10 51" xfId="25532"/>
    <cellStyle name="Comma [0] TBD-_BV226 mkt equation_Aug6 10 51" xfId="25533"/>
    <cellStyle name="Comma [0] TBD_BV226 mkt equation_Aug6 10 52" xfId="25534"/>
    <cellStyle name="Comma [0] TBD-_BV226 mkt equation_Aug6 10 52" xfId="25535"/>
    <cellStyle name="Comma [0] TBD_BV226 mkt equation_Aug6 10 53" xfId="25536"/>
    <cellStyle name="Comma [0] TBD-_BV226 mkt equation_Aug6 10 53" xfId="25537"/>
    <cellStyle name="Comma [0] TBD_BV226 mkt equation_Aug6 10 54" xfId="25538"/>
    <cellStyle name="Comma [0] TBD-_BV226 mkt equation_Aug6 10 54" xfId="25539"/>
    <cellStyle name="Comma [0] TBD_BV226 mkt equation_Aug6 10 55" xfId="25540"/>
    <cellStyle name="Comma [0] TBD-_BV226 mkt equation_Aug6 10 55" xfId="25541"/>
    <cellStyle name="Comma [0] TBD_BV226 mkt equation_Aug6 10 56" xfId="25542"/>
    <cellStyle name="Comma [0] TBD-_BV226 mkt equation_Aug6 10 56" xfId="25543"/>
    <cellStyle name="Comma [0] TBD_BV226 mkt equation_Aug6 10 57" xfId="25544"/>
    <cellStyle name="Comma [0] TBD-_BV226 mkt equation_Aug6 10 57" xfId="25545"/>
    <cellStyle name="Comma [0] TBD_BV226 mkt equation_Aug6 10 58" xfId="25546"/>
    <cellStyle name="Comma [0] TBD-_BV226 mkt equation_Aug6 10 58" xfId="25547"/>
    <cellStyle name="Comma [0] TBD_BV226 mkt equation_Aug6 10 59" xfId="25548"/>
    <cellStyle name="Comma [0] TBD-_BV226 mkt equation_Aug6 10 59" xfId="25549"/>
    <cellStyle name="Comma [0] TBD_BV226 mkt equation_Aug6 10 6" xfId="25550"/>
    <cellStyle name="Comma [0] TBD-_BV226 mkt equation_Aug6 10 6" xfId="25551"/>
    <cellStyle name="Comma [0] TBD_BV226 mkt equation_Aug6 10 60" xfId="25552"/>
    <cellStyle name="Comma [0] TBD-_BV226 mkt equation_Aug6 10 60" xfId="25553"/>
    <cellStyle name="Comma [0] TBD_BV226 mkt equation_Aug6 10 61" xfId="25554"/>
    <cellStyle name="Comma [0] TBD-_BV226 mkt equation_Aug6 10 61" xfId="25555"/>
    <cellStyle name="Comma [0] TBD_BV226 mkt equation_Aug6 10 62" xfId="25556"/>
    <cellStyle name="Comma [0] TBD-_BV226 mkt equation_Aug6 10 62" xfId="25557"/>
    <cellStyle name="Comma [0] TBD_BV226 mkt equation_Aug6 10 63" xfId="25558"/>
    <cellStyle name="Comma [0] TBD-_BV226 mkt equation_Aug6 10 63" xfId="25559"/>
    <cellStyle name="Comma [0] TBD_BV226 mkt equation_Aug6 10 64" xfId="25560"/>
    <cellStyle name="Comma [0] TBD-_BV226 mkt equation_Aug6 10 64" xfId="25561"/>
    <cellStyle name="Comma [0] TBD_BV226 mkt equation_Aug6 10 65" xfId="25562"/>
    <cellStyle name="Comma [0] TBD-_BV226 mkt equation_Aug6 10 65" xfId="25563"/>
    <cellStyle name="Comma [0] TBD_BV226 mkt equation_Aug6 10 66" xfId="25564"/>
    <cellStyle name="Comma [0] TBD-_BV226 mkt equation_Aug6 10 66" xfId="25565"/>
    <cellStyle name="Comma [0] TBD_BV226 mkt equation_Aug6 10 67" xfId="25566"/>
    <cellStyle name="Comma [0] TBD-_BV226 mkt equation_Aug6 10 67" xfId="25567"/>
    <cellStyle name="Comma [0] TBD_BV226 mkt equation_Aug6 10 68" xfId="25568"/>
    <cellStyle name="Comma [0] TBD-_BV226 mkt equation_Aug6 10 68" xfId="25569"/>
    <cellStyle name="Comma [0] TBD_BV226 mkt equation_Aug6 10 69" xfId="25570"/>
    <cellStyle name="Comma [0] TBD-_BV226 mkt equation_Aug6 10 69" xfId="25571"/>
    <cellStyle name="Comma [0] TBD_BV226 mkt equation_Aug6 10 7" xfId="25572"/>
    <cellStyle name="Comma [0] TBD-_BV226 mkt equation_Aug6 10 7" xfId="25573"/>
    <cellStyle name="Comma [0] TBD_BV226 mkt equation_Aug6 10 70" xfId="25574"/>
    <cellStyle name="Comma [0] TBD-_BV226 mkt equation_Aug6 10 70" xfId="25575"/>
    <cellStyle name="Comma [0] TBD_BV226 mkt equation_Aug6 10 71" xfId="25576"/>
    <cellStyle name="Comma [0] TBD-_BV226 mkt equation_Aug6 10 71" xfId="25577"/>
    <cellStyle name="Comma [0] TBD_BV226 mkt equation_Aug6 10 72" xfId="25578"/>
    <cellStyle name="Comma [0] TBD-_BV226 mkt equation_Aug6 10 72" xfId="25579"/>
    <cellStyle name="Comma [0] TBD_BV226 mkt equation_Aug6 10 73" xfId="25580"/>
    <cellStyle name="Comma [0] TBD-_BV226 mkt equation_Aug6 10 73" xfId="25581"/>
    <cellStyle name="Comma [0] TBD_BV226 mkt equation_Aug6 10 74" xfId="25582"/>
    <cellStyle name="Comma [0] TBD-_BV226 mkt equation_Aug6 10 74" xfId="25583"/>
    <cellStyle name="Comma [0] TBD_BV226 mkt equation_Aug6 10 75" xfId="25584"/>
    <cellStyle name="Comma [0] TBD-_BV226 mkt equation_Aug6 10 75" xfId="25585"/>
    <cellStyle name="Comma [0] TBD_BV226 mkt equation_Aug6 10 76" xfId="25586"/>
    <cellStyle name="Comma [0] TBD-_BV226 mkt equation_Aug6 10 76" xfId="25587"/>
    <cellStyle name="Comma [0] TBD_BV226 mkt equation_Aug6 10 77" xfId="25588"/>
    <cellStyle name="Comma [0] TBD-_BV226 mkt equation_Aug6 10 77" xfId="25589"/>
    <cellStyle name="Comma [0] TBD_BV226 mkt equation_Aug6 10 78" xfId="25590"/>
    <cellStyle name="Comma [0] TBD-_BV226 mkt equation_Aug6 10 78" xfId="25591"/>
    <cellStyle name="Comma [0] TBD_BV226 mkt equation_Aug6 10 79" xfId="25592"/>
    <cellStyle name="Comma [0] TBD-_BV226 mkt equation_Aug6 10 79" xfId="25593"/>
    <cellStyle name="Comma [0] TBD_BV226 mkt equation_Aug6 10 8" xfId="25594"/>
    <cellStyle name="Comma [0] TBD-_BV226 mkt equation_Aug6 10 8" xfId="25595"/>
    <cellStyle name="Comma [0] TBD_BV226 mkt equation_Aug6 10 80" xfId="25596"/>
    <cellStyle name="Comma [0] TBD-_BV226 mkt equation_Aug6 10 80" xfId="25597"/>
    <cellStyle name="Comma [0] TBD_BV226 mkt equation_Aug6 10 81" xfId="25598"/>
    <cellStyle name="Comma [0] TBD-_BV226 mkt equation_Aug6 10 81" xfId="25599"/>
    <cellStyle name="Comma [0] TBD_BV226 mkt equation_Aug6 10 82" xfId="25600"/>
    <cellStyle name="Comma [0] TBD-_BV226 mkt equation_Aug6 10 82" xfId="25601"/>
    <cellStyle name="Comma [0] TBD_BV226 mkt equation_Aug6 10 83" xfId="25602"/>
    <cellStyle name="Comma [0] TBD-_BV226 mkt equation_Aug6 10 83" xfId="25603"/>
    <cellStyle name="Comma [0] TBD_BV226 mkt equation_Aug6 10 84" xfId="25604"/>
    <cellStyle name="Comma [0] TBD-_BV226 mkt equation_Aug6 10 84" xfId="25605"/>
    <cellStyle name="Comma [0] TBD_BV226 mkt equation_Aug6 10 85" xfId="25606"/>
    <cellStyle name="Comma [0] TBD-_BV226 mkt equation_Aug6 10 85" xfId="25607"/>
    <cellStyle name="Comma [0] TBD_BV226 mkt equation_Aug6 10 86" xfId="25608"/>
    <cellStyle name="Comma [0] TBD-_BV226 mkt equation_Aug6 10 86" xfId="25609"/>
    <cellStyle name="Comma [0] TBD_BV226 mkt equation_Aug6 10 87" xfId="25610"/>
    <cellStyle name="Comma [0] TBD-_BV226 mkt equation_Aug6 10 87" xfId="25611"/>
    <cellStyle name="Comma [0] TBD_BV226 mkt equation_Aug6 10 88" xfId="25612"/>
    <cellStyle name="Comma [0] TBD-_BV226 mkt equation_Aug6 10 88" xfId="25613"/>
    <cellStyle name="Comma [0] TBD_BV226 mkt equation_Aug6 10 89" xfId="25614"/>
    <cellStyle name="Comma [0] TBD-_BV226 mkt equation_Aug6 10 89" xfId="25615"/>
    <cellStyle name="Comma [0] TBD_BV226 mkt equation_Aug6 10 9" xfId="25616"/>
    <cellStyle name="Comma [0] TBD-_BV226 mkt equation_Aug6 10 9" xfId="25617"/>
    <cellStyle name="Comma [0] TBD_BV226 mkt equation_Aug6 10 90" xfId="25618"/>
    <cellStyle name="Comma [0] TBD-_BV226 mkt equation_Aug6 10 90" xfId="25619"/>
    <cellStyle name="Comma [0] TBD_BV226 mkt equation_Aug6 10 91" xfId="25620"/>
    <cellStyle name="Comma [0] TBD-_BV226 mkt equation_Aug6 10 91" xfId="25621"/>
    <cellStyle name="Comma [0] TBD_BV226 mkt equation_Aug6 10 92" xfId="25622"/>
    <cellStyle name="Comma [0] TBD-_BV226 mkt equation_Aug6 10 92" xfId="25623"/>
    <cellStyle name="Comma [0] TBD_BV226 mkt equation_Aug6 10 93" xfId="25624"/>
    <cellStyle name="Comma [0] TBD-_BV226 mkt equation_Aug6 10 93" xfId="25625"/>
    <cellStyle name="Comma [0] TBD_BV226 mkt equation_Aug6 10 94" xfId="25626"/>
    <cellStyle name="Comma [0] TBD-_BV226 mkt equation_Aug6 10 94" xfId="25627"/>
    <cellStyle name="Comma [0] TBD_BV226 mkt equation_Aug6 10 95" xfId="25628"/>
    <cellStyle name="Comma [0] TBD-_BV226 mkt equation_Aug6 10 95" xfId="25629"/>
    <cellStyle name="Comma [0] TBD_BV226 mkt equation_Aug6 10 96" xfId="25630"/>
    <cellStyle name="Comma [0] TBD-_BV226 mkt equation_Aug6 10 96" xfId="25631"/>
    <cellStyle name="Comma [0] TBD_BV226 mkt equation_Aug6 10 97" xfId="25632"/>
    <cellStyle name="Comma [0] TBD-_BV226 mkt equation_Aug6 10 97" xfId="25633"/>
    <cellStyle name="Comma [0] TBD_BV226 mkt equation_Aug6 10 98" xfId="25634"/>
    <cellStyle name="Comma [0] TBD-_BV226 mkt equation_Aug6 10 98" xfId="25635"/>
    <cellStyle name="Comma [0] TBD_BV226 mkt equation_Aug6 10 99" xfId="25636"/>
    <cellStyle name="Comma [0] TBD-_BV226 mkt equation_Aug6 10 99" xfId="25637"/>
    <cellStyle name="Comma [0] TBD_BV226 mkt equation_Aug6 11" xfId="25638"/>
    <cellStyle name="Comma [0] TBD-_BV226 mkt equation_Aug6 11" xfId="25639"/>
    <cellStyle name="Comma [0] TBD_BV226 mkt equation_Aug6 11 10" xfId="25640"/>
    <cellStyle name="Comma [0] TBD-_BV226 mkt equation_Aug6 11 10" xfId="25641"/>
    <cellStyle name="Comma [0] TBD_BV226 mkt equation_Aug6 11 100" xfId="25642"/>
    <cellStyle name="Comma [0] TBD-_BV226 mkt equation_Aug6 11 100" xfId="25643"/>
    <cellStyle name="Comma [0] TBD_BV226 mkt equation_Aug6 11 101" xfId="25644"/>
    <cellStyle name="Comma [0] TBD-_BV226 mkt equation_Aug6 11 101" xfId="25645"/>
    <cellStyle name="Comma [0] TBD_BV226 mkt equation_Aug6 11 102" xfId="25646"/>
    <cellStyle name="Comma [0] TBD-_BV226 mkt equation_Aug6 11 102" xfId="25647"/>
    <cellStyle name="Comma [0] TBD_BV226 mkt equation_Aug6 11 103" xfId="25648"/>
    <cellStyle name="Comma [0] TBD-_BV226 mkt equation_Aug6 11 103" xfId="25649"/>
    <cellStyle name="Comma [0] TBD_BV226 mkt equation_Aug6 11 104" xfId="25650"/>
    <cellStyle name="Comma [0] TBD-_BV226 mkt equation_Aug6 11 104" xfId="25651"/>
    <cellStyle name="Comma [0] TBD_BV226 mkt equation_Aug6 11 105" xfId="25652"/>
    <cellStyle name="Comma [0] TBD-_BV226 mkt equation_Aug6 11 105" xfId="25653"/>
    <cellStyle name="Comma [0] TBD_BV226 mkt equation_Aug6 11 106" xfId="25654"/>
    <cellStyle name="Comma [0] TBD-_BV226 mkt equation_Aug6 11 106" xfId="25655"/>
    <cellStyle name="Comma [0] TBD_BV226 mkt equation_Aug6 11 107" xfId="25656"/>
    <cellStyle name="Comma [0] TBD-_BV226 mkt equation_Aug6 11 107" xfId="25657"/>
    <cellStyle name="Comma [0] TBD_BV226 mkt equation_Aug6 11 108" xfId="25658"/>
    <cellStyle name="Comma [0] TBD-_BV226 mkt equation_Aug6 11 108" xfId="25659"/>
    <cellStyle name="Comma [0] TBD_BV226 mkt equation_Aug6 11 109" xfId="25660"/>
    <cellStyle name="Comma [0] TBD-_BV226 mkt equation_Aug6 11 109" xfId="25661"/>
    <cellStyle name="Comma [0] TBD_BV226 mkt equation_Aug6 11 11" xfId="25662"/>
    <cellStyle name="Comma [0] TBD-_BV226 mkt equation_Aug6 11 11" xfId="25663"/>
    <cellStyle name="Comma [0] TBD_BV226 mkt equation_Aug6 11 110" xfId="25664"/>
    <cellStyle name="Comma [0] TBD-_BV226 mkt equation_Aug6 11 110" xfId="25665"/>
    <cellStyle name="Comma [0] TBD_BV226 mkt equation_Aug6 11 111" xfId="25666"/>
    <cellStyle name="Comma [0] TBD-_BV226 mkt equation_Aug6 11 111" xfId="25667"/>
    <cellStyle name="Comma [0] TBD_BV226 mkt equation_Aug6 11 112" xfId="25668"/>
    <cellStyle name="Comma [0] TBD-_BV226 mkt equation_Aug6 11 112" xfId="25669"/>
    <cellStyle name="Comma [0] TBD_BV226 mkt equation_Aug6 11 113" xfId="25670"/>
    <cellStyle name="Comma [0] TBD-_BV226 mkt equation_Aug6 11 113" xfId="25671"/>
    <cellStyle name="Comma [0] TBD_BV226 mkt equation_Aug6 11 114" xfId="25672"/>
    <cellStyle name="Comma [0] TBD-_BV226 mkt equation_Aug6 11 114" xfId="25673"/>
    <cellStyle name="Comma [0] TBD_BV226 mkt equation_Aug6 11 115" xfId="25674"/>
    <cellStyle name="Comma [0] TBD-_BV226 mkt equation_Aug6 11 115" xfId="25675"/>
    <cellStyle name="Comma [0] TBD_BV226 mkt equation_Aug6 11 116" xfId="25676"/>
    <cellStyle name="Comma [0] TBD-_BV226 mkt equation_Aug6 11 116" xfId="25677"/>
    <cellStyle name="Comma [0] TBD_BV226 mkt equation_Aug6 11 117" xfId="25678"/>
    <cellStyle name="Comma [0] TBD-_BV226 mkt equation_Aug6 11 117" xfId="25679"/>
    <cellStyle name="Comma [0] TBD_BV226 mkt equation_Aug6 11 118" xfId="25680"/>
    <cellStyle name="Comma [0] TBD-_BV226 mkt equation_Aug6 11 118" xfId="25681"/>
    <cellStyle name="Comma [0] TBD_BV226 mkt equation_Aug6 11 119" xfId="25682"/>
    <cellStyle name="Comma [0] TBD-_BV226 mkt equation_Aug6 11 119" xfId="25683"/>
    <cellStyle name="Comma [0] TBD_BV226 mkt equation_Aug6 11 12" xfId="25684"/>
    <cellStyle name="Comma [0] TBD-_BV226 mkt equation_Aug6 11 12" xfId="25685"/>
    <cellStyle name="Comma [0] TBD_BV226 mkt equation_Aug6 11 120" xfId="25686"/>
    <cellStyle name="Comma [0] TBD-_BV226 mkt equation_Aug6 11 120" xfId="25687"/>
    <cellStyle name="Comma [0] TBD_BV226 mkt equation_Aug6 11 121" xfId="25688"/>
    <cellStyle name="Comma [0] TBD-_BV226 mkt equation_Aug6 11 121" xfId="25689"/>
    <cellStyle name="Comma [0] TBD_BV226 mkt equation_Aug6 11 122" xfId="25690"/>
    <cellStyle name="Comma [0] TBD-_BV226 mkt equation_Aug6 11 122" xfId="25691"/>
    <cellStyle name="Comma [0] TBD_BV226 mkt equation_Aug6 11 123" xfId="25692"/>
    <cellStyle name="Comma [0] TBD-_BV226 mkt equation_Aug6 11 123" xfId="25693"/>
    <cellStyle name="Comma [0] TBD_BV226 mkt equation_Aug6 11 124" xfId="25694"/>
    <cellStyle name="Comma [0] TBD-_BV226 mkt equation_Aug6 11 124" xfId="25695"/>
    <cellStyle name="Comma [0] TBD_BV226 mkt equation_Aug6 11 125" xfId="25696"/>
    <cellStyle name="Comma [0] TBD-_BV226 mkt equation_Aug6 11 125" xfId="25697"/>
    <cellStyle name="Comma [0] TBD_BV226 mkt equation_Aug6 11 126" xfId="25698"/>
    <cellStyle name="Comma [0] TBD-_BV226 mkt equation_Aug6 11 126" xfId="25699"/>
    <cellStyle name="Comma [0] TBD_BV226 mkt equation_Aug6 11 127" xfId="25700"/>
    <cellStyle name="Comma [0] TBD-_BV226 mkt equation_Aug6 11 127" xfId="25701"/>
    <cellStyle name="Comma [0] TBD_BV226 mkt equation_Aug6 11 128" xfId="25702"/>
    <cellStyle name="Comma [0] TBD-_BV226 mkt equation_Aug6 11 128" xfId="25703"/>
    <cellStyle name="Comma [0] TBD_BV226 mkt equation_Aug6 11 129" xfId="25704"/>
    <cellStyle name="Comma [0] TBD-_BV226 mkt equation_Aug6 11 129" xfId="25705"/>
    <cellStyle name="Comma [0] TBD_BV226 mkt equation_Aug6 11 13" xfId="25706"/>
    <cellStyle name="Comma [0] TBD-_BV226 mkt equation_Aug6 11 13" xfId="25707"/>
    <cellStyle name="Comma [0] TBD_BV226 mkt equation_Aug6 11 130" xfId="25708"/>
    <cellStyle name="Comma [0] TBD-_BV226 mkt equation_Aug6 11 130" xfId="25709"/>
    <cellStyle name="Comma [0] TBD_BV226 mkt equation_Aug6 11 131" xfId="25710"/>
    <cellStyle name="Comma [0] TBD-_BV226 mkt equation_Aug6 11 131" xfId="25711"/>
    <cellStyle name="Comma [0] TBD_BV226 mkt equation_Aug6 11 132" xfId="25712"/>
    <cellStyle name="Comma [0] TBD-_BV226 mkt equation_Aug6 11 132" xfId="25713"/>
    <cellStyle name="Comma [0] TBD_BV226 mkt equation_Aug6 11 133" xfId="25714"/>
    <cellStyle name="Comma [0] TBD-_BV226 mkt equation_Aug6 11 133" xfId="25715"/>
    <cellStyle name="Comma [0] TBD_BV226 mkt equation_Aug6 11 134" xfId="25716"/>
    <cellStyle name="Comma [0] TBD-_BV226 mkt equation_Aug6 11 134" xfId="25717"/>
    <cellStyle name="Comma [0] TBD_BV226 mkt equation_Aug6 11 135" xfId="25718"/>
    <cellStyle name="Comma [0] TBD-_BV226 mkt equation_Aug6 11 135" xfId="25719"/>
    <cellStyle name="Comma [0] TBD_BV226 mkt equation_Aug6 11 136" xfId="25720"/>
    <cellStyle name="Comma [0] TBD-_BV226 mkt equation_Aug6 11 136" xfId="25721"/>
    <cellStyle name="Comma [0] TBD_BV226 mkt equation_Aug6 11 137" xfId="25722"/>
    <cellStyle name="Comma [0] TBD-_BV226 mkt equation_Aug6 11 137" xfId="25723"/>
    <cellStyle name="Comma [0] TBD_BV226 mkt equation_Aug6 11 138" xfId="25724"/>
    <cellStyle name="Comma [0] TBD-_BV226 mkt equation_Aug6 11 138" xfId="25725"/>
    <cellStyle name="Comma [0] TBD_BV226 mkt equation_Aug6 11 139" xfId="25726"/>
    <cellStyle name="Comma [0] TBD-_BV226 mkt equation_Aug6 11 139" xfId="25727"/>
    <cellStyle name="Comma [0] TBD_BV226 mkt equation_Aug6 11 14" xfId="25728"/>
    <cellStyle name="Comma [0] TBD-_BV226 mkt equation_Aug6 11 14" xfId="25729"/>
    <cellStyle name="Comma [0] TBD_BV226 mkt equation_Aug6 11 140" xfId="25730"/>
    <cellStyle name="Comma [0] TBD-_BV226 mkt equation_Aug6 11 140" xfId="25731"/>
    <cellStyle name="Comma [0] TBD_BV226 mkt equation_Aug6 11 141" xfId="25732"/>
    <cellStyle name="Comma [0] TBD-_BV226 mkt equation_Aug6 11 141" xfId="25733"/>
    <cellStyle name="Comma [0] TBD_BV226 mkt equation_Aug6 11 142" xfId="25734"/>
    <cellStyle name="Comma [0] TBD-_BV226 mkt equation_Aug6 11 142" xfId="25735"/>
    <cellStyle name="Comma [0] TBD_BV226 mkt equation_Aug6 11 143" xfId="25736"/>
    <cellStyle name="Comma [0] TBD-_BV226 mkt equation_Aug6 11 143" xfId="25737"/>
    <cellStyle name="Comma [0] TBD_BV226 mkt equation_Aug6 11 144" xfId="25738"/>
    <cellStyle name="Comma [0] TBD-_BV226 mkt equation_Aug6 11 144" xfId="25739"/>
    <cellStyle name="Comma [0] TBD_BV226 mkt equation_Aug6 11 145" xfId="25740"/>
    <cellStyle name="Comma [0] TBD-_BV226 mkt equation_Aug6 11 145" xfId="25741"/>
    <cellStyle name="Comma [0] TBD_BV226 mkt equation_Aug6 11 146" xfId="25742"/>
    <cellStyle name="Comma [0] TBD-_BV226 mkt equation_Aug6 11 146" xfId="25743"/>
    <cellStyle name="Comma [0] TBD_BV226 mkt equation_Aug6 11 147" xfId="25744"/>
    <cellStyle name="Comma [0] TBD-_BV226 mkt equation_Aug6 11 147" xfId="25745"/>
    <cellStyle name="Comma [0] TBD_BV226 mkt equation_Aug6 11 148" xfId="25746"/>
    <cellStyle name="Comma [0] TBD-_BV226 mkt equation_Aug6 11 148" xfId="25747"/>
    <cellStyle name="Comma [0] TBD_BV226 mkt equation_Aug6 11 149" xfId="25748"/>
    <cellStyle name="Comma [0] TBD-_BV226 mkt equation_Aug6 11 149" xfId="25749"/>
    <cellStyle name="Comma [0] TBD_BV226 mkt equation_Aug6 11 15" xfId="25750"/>
    <cellStyle name="Comma [0] TBD-_BV226 mkt equation_Aug6 11 15" xfId="25751"/>
    <cellStyle name="Comma [0] TBD_BV226 mkt equation_Aug6 11 150" xfId="25752"/>
    <cellStyle name="Comma [0] TBD-_BV226 mkt equation_Aug6 11 150" xfId="25753"/>
    <cellStyle name="Comma [0] TBD_BV226 mkt equation_Aug6 11 151" xfId="25754"/>
    <cellStyle name="Comma [0] TBD-_BV226 mkt equation_Aug6 11 151" xfId="25755"/>
    <cellStyle name="Comma [0] TBD_BV226 mkt equation_Aug6 11 152" xfId="25756"/>
    <cellStyle name="Comma [0] TBD-_BV226 mkt equation_Aug6 11 152" xfId="25757"/>
    <cellStyle name="Comma [0] TBD_BV226 mkt equation_Aug6 11 153" xfId="25758"/>
    <cellStyle name="Comma [0] TBD-_BV226 mkt equation_Aug6 11 153" xfId="25759"/>
    <cellStyle name="Comma [0] TBD_BV226 mkt equation_Aug6 11 16" xfId="25760"/>
    <cellStyle name="Comma [0] TBD-_BV226 mkt equation_Aug6 11 16" xfId="25761"/>
    <cellStyle name="Comma [0] TBD_BV226 mkt equation_Aug6 11 17" xfId="25762"/>
    <cellStyle name="Comma [0] TBD-_BV226 mkt equation_Aug6 11 17" xfId="25763"/>
    <cellStyle name="Comma [0] TBD_BV226 mkt equation_Aug6 11 18" xfId="25764"/>
    <cellStyle name="Comma [0] TBD-_BV226 mkt equation_Aug6 11 18" xfId="25765"/>
    <cellStyle name="Comma [0] TBD_BV226 mkt equation_Aug6 11 19" xfId="25766"/>
    <cellStyle name="Comma [0] TBD-_BV226 mkt equation_Aug6 11 19" xfId="25767"/>
    <cellStyle name="Comma [0] TBD_BV226 mkt equation_Aug6 11 2" xfId="25768"/>
    <cellStyle name="Comma [0] TBD-_BV226 mkt equation_Aug6 11 2" xfId="25769"/>
    <cellStyle name="Comma [0] TBD_BV226 mkt equation_Aug6 11 20" xfId="25770"/>
    <cellStyle name="Comma [0] TBD-_BV226 mkt equation_Aug6 11 20" xfId="25771"/>
    <cellStyle name="Comma [0] TBD_BV226 mkt equation_Aug6 11 21" xfId="25772"/>
    <cellStyle name="Comma [0] TBD-_BV226 mkt equation_Aug6 11 21" xfId="25773"/>
    <cellStyle name="Comma [0] TBD_BV226 mkt equation_Aug6 11 22" xfId="25774"/>
    <cellStyle name="Comma [0] TBD-_BV226 mkt equation_Aug6 11 22" xfId="25775"/>
    <cellStyle name="Comma [0] TBD_BV226 mkt equation_Aug6 11 23" xfId="25776"/>
    <cellStyle name="Comma [0] TBD-_BV226 mkt equation_Aug6 11 23" xfId="25777"/>
    <cellStyle name="Comma [0] TBD_BV226 mkt equation_Aug6 11 24" xfId="25778"/>
    <cellStyle name="Comma [0] TBD-_BV226 mkt equation_Aug6 11 24" xfId="25779"/>
    <cellStyle name="Comma [0] TBD_BV226 mkt equation_Aug6 11 25" xfId="25780"/>
    <cellStyle name="Comma [0] TBD-_BV226 mkt equation_Aug6 11 25" xfId="25781"/>
    <cellStyle name="Comma [0] TBD_BV226 mkt equation_Aug6 11 26" xfId="25782"/>
    <cellStyle name="Comma [0] TBD-_BV226 mkt equation_Aug6 11 26" xfId="25783"/>
    <cellStyle name="Comma [0] TBD_BV226 mkt equation_Aug6 11 27" xfId="25784"/>
    <cellStyle name="Comma [0] TBD-_BV226 mkt equation_Aug6 11 27" xfId="25785"/>
    <cellStyle name="Comma [0] TBD_BV226 mkt equation_Aug6 11 28" xfId="25786"/>
    <cellStyle name="Comma [0] TBD-_BV226 mkt equation_Aug6 11 28" xfId="25787"/>
    <cellStyle name="Comma [0] TBD_BV226 mkt equation_Aug6 11 29" xfId="25788"/>
    <cellStyle name="Comma [0] TBD-_BV226 mkt equation_Aug6 11 29" xfId="25789"/>
    <cellStyle name="Comma [0] TBD_BV226 mkt equation_Aug6 11 3" xfId="25790"/>
    <cellStyle name="Comma [0] TBD-_BV226 mkt equation_Aug6 11 3" xfId="25791"/>
    <cellStyle name="Comma [0] TBD_BV226 mkt equation_Aug6 11 30" xfId="25792"/>
    <cellStyle name="Comma [0] TBD-_BV226 mkt equation_Aug6 11 30" xfId="25793"/>
    <cellStyle name="Comma [0] TBD_BV226 mkt equation_Aug6 11 31" xfId="25794"/>
    <cellStyle name="Comma [0] TBD-_BV226 mkt equation_Aug6 11 31" xfId="25795"/>
    <cellStyle name="Comma [0] TBD_BV226 mkt equation_Aug6 11 32" xfId="25796"/>
    <cellStyle name="Comma [0] TBD-_BV226 mkt equation_Aug6 11 32" xfId="25797"/>
    <cellStyle name="Comma [0] TBD_BV226 mkt equation_Aug6 11 33" xfId="25798"/>
    <cellStyle name="Comma [0] TBD-_BV226 mkt equation_Aug6 11 33" xfId="25799"/>
    <cellStyle name="Comma [0] TBD_BV226 mkt equation_Aug6 11 34" xfId="25800"/>
    <cellStyle name="Comma [0] TBD-_BV226 mkt equation_Aug6 11 34" xfId="25801"/>
    <cellStyle name="Comma [0] TBD_BV226 mkt equation_Aug6 11 35" xfId="25802"/>
    <cellStyle name="Comma [0] TBD-_BV226 mkt equation_Aug6 11 35" xfId="25803"/>
    <cellStyle name="Comma [0] TBD_BV226 mkt equation_Aug6 11 36" xfId="25804"/>
    <cellStyle name="Comma [0] TBD-_BV226 mkt equation_Aug6 11 36" xfId="25805"/>
    <cellStyle name="Comma [0] TBD_BV226 mkt equation_Aug6 11 37" xfId="25806"/>
    <cellStyle name="Comma [0] TBD-_BV226 mkt equation_Aug6 11 37" xfId="25807"/>
    <cellStyle name="Comma [0] TBD_BV226 mkt equation_Aug6 11 38" xfId="25808"/>
    <cellStyle name="Comma [0] TBD-_BV226 mkt equation_Aug6 11 38" xfId="25809"/>
    <cellStyle name="Comma [0] TBD_BV226 mkt equation_Aug6 11 39" xfId="25810"/>
    <cellStyle name="Comma [0] TBD-_BV226 mkt equation_Aug6 11 39" xfId="25811"/>
    <cellStyle name="Comma [0] TBD_BV226 mkt equation_Aug6 11 4" xfId="25812"/>
    <cellStyle name="Comma [0] TBD-_BV226 mkt equation_Aug6 11 4" xfId="25813"/>
    <cellStyle name="Comma [0] TBD_BV226 mkt equation_Aug6 11 40" xfId="25814"/>
    <cellStyle name="Comma [0] TBD-_BV226 mkt equation_Aug6 11 40" xfId="25815"/>
    <cellStyle name="Comma [0] TBD_BV226 mkt equation_Aug6 11 41" xfId="25816"/>
    <cellStyle name="Comma [0] TBD-_BV226 mkt equation_Aug6 11 41" xfId="25817"/>
    <cellStyle name="Comma [0] TBD_BV226 mkt equation_Aug6 11 42" xfId="25818"/>
    <cellStyle name="Comma [0] TBD-_BV226 mkt equation_Aug6 11 42" xfId="25819"/>
    <cellStyle name="Comma [0] TBD_BV226 mkt equation_Aug6 11 43" xfId="25820"/>
    <cellStyle name="Comma [0] TBD-_BV226 mkt equation_Aug6 11 43" xfId="25821"/>
    <cellStyle name="Comma [0] TBD_BV226 mkt equation_Aug6 11 44" xfId="25822"/>
    <cellStyle name="Comma [0] TBD-_BV226 mkt equation_Aug6 11 44" xfId="25823"/>
    <cellStyle name="Comma [0] TBD_BV226 mkt equation_Aug6 11 45" xfId="25824"/>
    <cellStyle name="Comma [0] TBD-_BV226 mkt equation_Aug6 11 45" xfId="25825"/>
    <cellStyle name="Comma [0] TBD_BV226 mkt equation_Aug6 11 46" xfId="25826"/>
    <cellStyle name="Comma [0] TBD-_BV226 mkt equation_Aug6 11 46" xfId="25827"/>
    <cellStyle name="Comma [0] TBD_BV226 mkt equation_Aug6 11 47" xfId="25828"/>
    <cellStyle name="Comma [0] TBD-_BV226 mkt equation_Aug6 11 47" xfId="25829"/>
    <cellStyle name="Comma [0] TBD_BV226 mkt equation_Aug6 11 48" xfId="25830"/>
    <cellStyle name="Comma [0] TBD-_BV226 mkt equation_Aug6 11 48" xfId="25831"/>
    <cellStyle name="Comma [0] TBD_BV226 mkt equation_Aug6 11 49" xfId="25832"/>
    <cellStyle name="Comma [0] TBD-_BV226 mkt equation_Aug6 11 49" xfId="25833"/>
    <cellStyle name="Comma [0] TBD_BV226 mkt equation_Aug6 11 5" xfId="25834"/>
    <cellStyle name="Comma [0] TBD-_BV226 mkt equation_Aug6 11 5" xfId="25835"/>
    <cellStyle name="Comma [0] TBD_BV226 mkt equation_Aug6 11 50" xfId="25836"/>
    <cellStyle name="Comma [0] TBD-_BV226 mkt equation_Aug6 11 50" xfId="25837"/>
    <cellStyle name="Comma [0] TBD_BV226 mkt equation_Aug6 11 51" xfId="25838"/>
    <cellStyle name="Comma [0] TBD-_BV226 mkt equation_Aug6 11 51" xfId="25839"/>
    <cellStyle name="Comma [0] TBD_BV226 mkt equation_Aug6 11 52" xfId="25840"/>
    <cellStyle name="Comma [0] TBD-_BV226 mkt equation_Aug6 11 52" xfId="25841"/>
    <cellStyle name="Comma [0] TBD_BV226 mkt equation_Aug6 11 53" xfId="25842"/>
    <cellStyle name="Comma [0] TBD-_BV226 mkt equation_Aug6 11 53" xfId="25843"/>
    <cellStyle name="Comma [0] TBD_BV226 mkt equation_Aug6 11 54" xfId="25844"/>
    <cellStyle name="Comma [0] TBD-_BV226 mkt equation_Aug6 11 54" xfId="25845"/>
    <cellStyle name="Comma [0] TBD_BV226 mkt equation_Aug6 11 55" xfId="25846"/>
    <cellStyle name="Comma [0] TBD-_BV226 mkt equation_Aug6 11 55" xfId="25847"/>
    <cellStyle name="Comma [0] TBD_BV226 mkt equation_Aug6 11 56" xfId="25848"/>
    <cellStyle name="Comma [0] TBD-_BV226 mkt equation_Aug6 11 56" xfId="25849"/>
    <cellStyle name="Comma [0] TBD_BV226 mkt equation_Aug6 11 57" xfId="25850"/>
    <cellStyle name="Comma [0] TBD-_BV226 mkt equation_Aug6 11 57" xfId="25851"/>
    <cellStyle name="Comma [0] TBD_BV226 mkt equation_Aug6 11 58" xfId="25852"/>
    <cellStyle name="Comma [0] TBD-_BV226 mkt equation_Aug6 11 58" xfId="25853"/>
    <cellStyle name="Comma [0] TBD_BV226 mkt equation_Aug6 11 59" xfId="25854"/>
    <cellStyle name="Comma [0] TBD-_BV226 mkt equation_Aug6 11 59" xfId="25855"/>
    <cellStyle name="Comma [0] TBD_BV226 mkt equation_Aug6 11 6" xfId="25856"/>
    <cellStyle name="Comma [0] TBD-_BV226 mkt equation_Aug6 11 6" xfId="25857"/>
    <cellStyle name="Comma [0] TBD_BV226 mkt equation_Aug6 11 60" xfId="25858"/>
    <cellStyle name="Comma [0] TBD-_BV226 mkt equation_Aug6 11 60" xfId="25859"/>
    <cellStyle name="Comma [0] TBD_BV226 mkt equation_Aug6 11 61" xfId="25860"/>
    <cellStyle name="Comma [0] TBD-_BV226 mkt equation_Aug6 11 61" xfId="25861"/>
    <cellStyle name="Comma [0] TBD_BV226 mkt equation_Aug6 11 62" xfId="25862"/>
    <cellStyle name="Comma [0] TBD-_BV226 mkt equation_Aug6 11 62" xfId="25863"/>
    <cellStyle name="Comma [0] TBD_BV226 mkt equation_Aug6 11 63" xfId="25864"/>
    <cellStyle name="Comma [0] TBD-_BV226 mkt equation_Aug6 11 63" xfId="25865"/>
    <cellStyle name="Comma [0] TBD_BV226 mkt equation_Aug6 11 64" xfId="25866"/>
    <cellStyle name="Comma [0] TBD-_BV226 mkt equation_Aug6 11 64" xfId="25867"/>
    <cellStyle name="Comma [0] TBD_BV226 mkt equation_Aug6 11 65" xfId="25868"/>
    <cellStyle name="Comma [0] TBD-_BV226 mkt equation_Aug6 11 65" xfId="25869"/>
    <cellStyle name="Comma [0] TBD_BV226 mkt equation_Aug6 11 66" xfId="25870"/>
    <cellStyle name="Comma [0] TBD-_BV226 mkt equation_Aug6 11 66" xfId="25871"/>
    <cellStyle name="Comma [0] TBD_BV226 mkt equation_Aug6 11 67" xfId="25872"/>
    <cellStyle name="Comma [0] TBD-_BV226 mkt equation_Aug6 11 67" xfId="25873"/>
    <cellStyle name="Comma [0] TBD_BV226 mkt equation_Aug6 11 68" xfId="25874"/>
    <cellStyle name="Comma [0] TBD-_BV226 mkt equation_Aug6 11 68" xfId="25875"/>
    <cellStyle name="Comma [0] TBD_BV226 mkt equation_Aug6 11 69" xfId="25876"/>
    <cellStyle name="Comma [0] TBD-_BV226 mkt equation_Aug6 11 69" xfId="25877"/>
    <cellStyle name="Comma [0] TBD_BV226 mkt equation_Aug6 11 7" xfId="25878"/>
    <cellStyle name="Comma [0] TBD-_BV226 mkt equation_Aug6 11 7" xfId="25879"/>
    <cellStyle name="Comma [0] TBD_BV226 mkt equation_Aug6 11 70" xfId="25880"/>
    <cellStyle name="Comma [0] TBD-_BV226 mkt equation_Aug6 11 70" xfId="25881"/>
    <cellStyle name="Comma [0] TBD_BV226 mkt equation_Aug6 11 71" xfId="25882"/>
    <cellStyle name="Comma [0] TBD-_BV226 mkt equation_Aug6 11 71" xfId="25883"/>
    <cellStyle name="Comma [0] TBD_BV226 mkt equation_Aug6 11 72" xfId="25884"/>
    <cellStyle name="Comma [0] TBD-_BV226 mkt equation_Aug6 11 72" xfId="25885"/>
    <cellStyle name="Comma [0] TBD_BV226 mkt equation_Aug6 11 73" xfId="25886"/>
    <cellStyle name="Comma [0] TBD-_BV226 mkt equation_Aug6 11 73" xfId="25887"/>
    <cellStyle name="Comma [0] TBD_BV226 mkt equation_Aug6 11 74" xfId="25888"/>
    <cellStyle name="Comma [0] TBD-_BV226 mkt equation_Aug6 11 74" xfId="25889"/>
    <cellStyle name="Comma [0] TBD_BV226 mkt equation_Aug6 11 75" xfId="25890"/>
    <cellStyle name="Comma [0] TBD-_BV226 mkt equation_Aug6 11 75" xfId="25891"/>
    <cellStyle name="Comma [0] TBD_BV226 mkt equation_Aug6 11 76" xfId="25892"/>
    <cellStyle name="Comma [0] TBD-_BV226 mkt equation_Aug6 11 76" xfId="25893"/>
    <cellStyle name="Comma [0] TBD_BV226 mkt equation_Aug6 11 77" xfId="25894"/>
    <cellStyle name="Comma [0] TBD-_BV226 mkt equation_Aug6 11 77" xfId="25895"/>
    <cellStyle name="Comma [0] TBD_BV226 mkt equation_Aug6 11 78" xfId="25896"/>
    <cellStyle name="Comma [0] TBD-_BV226 mkt equation_Aug6 11 78" xfId="25897"/>
    <cellStyle name="Comma [0] TBD_BV226 mkt equation_Aug6 11 79" xfId="25898"/>
    <cellStyle name="Comma [0] TBD-_BV226 mkt equation_Aug6 11 79" xfId="25899"/>
    <cellStyle name="Comma [0] TBD_BV226 mkt equation_Aug6 11 8" xfId="25900"/>
    <cellStyle name="Comma [0] TBD-_BV226 mkt equation_Aug6 11 8" xfId="25901"/>
    <cellStyle name="Comma [0] TBD_BV226 mkt equation_Aug6 11 80" xfId="25902"/>
    <cellStyle name="Comma [0] TBD-_BV226 mkt equation_Aug6 11 80" xfId="25903"/>
    <cellStyle name="Comma [0] TBD_BV226 mkt equation_Aug6 11 81" xfId="25904"/>
    <cellStyle name="Comma [0] TBD-_BV226 mkt equation_Aug6 11 81" xfId="25905"/>
    <cellStyle name="Comma [0] TBD_BV226 mkt equation_Aug6 11 82" xfId="25906"/>
    <cellStyle name="Comma [0] TBD-_BV226 mkt equation_Aug6 11 82" xfId="25907"/>
    <cellStyle name="Comma [0] TBD_BV226 mkt equation_Aug6 11 83" xfId="25908"/>
    <cellStyle name="Comma [0] TBD-_BV226 mkt equation_Aug6 11 83" xfId="25909"/>
    <cellStyle name="Comma [0] TBD_BV226 mkt equation_Aug6 11 84" xfId="25910"/>
    <cellStyle name="Comma [0] TBD-_BV226 mkt equation_Aug6 11 84" xfId="25911"/>
    <cellStyle name="Comma [0] TBD_BV226 mkt equation_Aug6 11 85" xfId="25912"/>
    <cellStyle name="Comma [0] TBD-_BV226 mkt equation_Aug6 11 85" xfId="25913"/>
    <cellStyle name="Comma [0] TBD_BV226 mkt equation_Aug6 11 86" xfId="25914"/>
    <cellStyle name="Comma [0] TBD-_BV226 mkt equation_Aug6 11 86" xfId="25915"/>
    <cellStyle name="Comma [0] TBD_BV226 mkt equation_Aug6 11 87" xfId="25916"/>
    <cellStyle name="Comma [0] TBD-_BV226 mkt equation_Aug6 11 87" xfId="25917"/>
    <cellStyle name="Comma [0] TBD_BV226 mkt equation_Aug6 11 88" xfId="25918"/>
    <cellStyle name="Comma [0] TBD-_BV226 mkt equation_Aug6 11 88" xfId="25919"/>
    <cellStyle name="Comma [0] TBD_BV226 mkt equation_Aug6 11 89" xfId="25920"/>
    <cellStyle name="Comma [0] TBD-_BV226 mkt equation_Aug6 11 89" xfId="25921"/>
    <cellStyle name="Comma [0] TBD_BV226 mkt equation_Aug6 11 9" xfId="25922"/>
    <cellStyle name="Comma [0] TBD-_BV226 mkt equation_Aug6 11 9" xfId="25923"/>
    <cellStyle name="Comma [0] TBD_BV226 mkt equation_Aug6 11 90" xfId="25924"/>
    <cellStyle name="Comma [0] TBD-_BV226 mkt equation_Aug6 11 90" xfId="25925"/>
    <cellStyle name="Comma [0] TBD_BV226 mkt equation_Aug6 11 91" xfId="25926"/>
    <cellStyle name="Comma [0] TBD-_BV226 mkt equation_Aug6 11 91" xfId="25927"/>
    <cellStyle name="Comma [0] TBD_BV226 mkt equation_Aug6 11 92" xfId="25928"/>
    <cellStyle name="Comma [0] TBD-_BV226 mkt equation_Aug6 11 92" xfId="25929"/>
    <cellStyle name="Comma [0] TBD_BV226 mkt equation_Aug6 11 93" xfId="25930"/>
    <cellStyle name="Comma [0] TBD-_BV226 mkt equation_Aug6 11 93" xfId="25931"/>
    <cellStyle name="Comma [0] TBD_BV226 mkt equation_Aug6 11 94" xfId="25932"/>
    <cellStyle name="Comma [0] TBD-_BV226 mkt equation_Aug6 11 94" xfId="25933"/>
    <cellStyle name="Comma [0] TBD_BV226 mkt equation_Aug6 11 95" xfId="25934"/>
    <cellStyle name="Comma [0] TBD-_BV226 mkt equation_Aug6 11 95" xfId="25935"/>
    <cellStyle name="Comma [0] TBD_BV226 mkt equation_Aug6 11 96" xfId="25936"/>
    <cellStyle name="Comma [0] TBD-_BV226 mkt equation_Aug6 11 96" xfId="25937"/>
    <cellStyle name="Comma [0] TBD_BV226 mkt equation_Aug6 11 97" xfId="25938"/>
    <cellStyle name="Comma [0] TBD-_BV226 mkt equation_Aug6 11 97" xfId="25939"/>
    <cellStyle name="Comma [0] TBD_BV226 mkt equation_Aug6 11 98" xfId="25940"/>
    <cellStyle name="Comma [0] TBD-_BV226 mkt equation_Aug6 11 98" xfId="25941"/>
    <cellStyle name="Comma [0] TBD_BV226 mkt equation_Aug6 11 99" xfId="25942"/>
    <cellStyle name="Comma [0] TBD-_BV226 mkt equation_Aug6 11 99" xfId="25943"/>
    <cellStyle name="Comma [0] TBD_BV226 mkt equation_Aug6 12" xfId="25944"/>
    <cellStyle name="Comma [0] TBD-_BV226 mkt equation_Aug6 12" xfId="25945"/>
    <cellStyle name="Comma [0] TBD_BV226 mkt equation_Aug6 12 10" xfId="25946"/>
    <cellStyle name="Comma [0] TBD-_BV226 mkt equation_Aug6 12 10" xfId="25947"/>
    <cellStyle name="Comma [0] TBD_BV226 mkt equation_Aug6 12 100" xfId="25948"/>
    <cellStyle name="Comma [0] TBD-_BV226 mkt equation_Aug6 12 100" xfId="25949"/>
    <cellStyle name="Comma [0] TBD_BV226 mkt equation_Aug6 12 101" xfId="25950"/>
    <cellStyle name="Comma [0] TBD-_BV226 mkt equation_Aug6 12 101" xfId="25951"/>
    <cellStyle name="Comma [0] TBD_BV226 mkt equation_Aug6 12 102" xfId="25952"/>
    <cellStyle name="Comma [0] TBD-_BV226 mkt equation_Aug6 12 102" xfId="25953"/>
    <cellStyle name="Comma [0] TBD_BV226 mkt equation_Aug6 12 103" xfId="25954"/>
    <cellStyle name="Comma [0] TBD-_BV226 mkt equation_Aug6 12 103" xfId="25955"/>
    <cellStyle name="Comma [0] TBD_BV226 mkt equation_Aug6 12 104" xfId="25956"/>
    <cellStyle name="Comma [0] TBD-_BV226 mkt equation_Aug6 12 104" xfId="25957"/>
    <cellStyle name="Comma [0] TBD_BV226 mkt equation_Aug6 12 105" xfId="25958"/>
    <cellStyle name="Comma [0] TBD-_BV226 mkt equation_Aug6 12 105" xfId="25959"/>
    <cellStyle name="Comma [0] TBD_BV226 mkt equation_Aug6 12 106" xfId="25960"/>
    <cellStyle name="Comma [0] TBD-_BV226 mkt equation_Aug6 12 106" xfId="25961"/>
    <cellStyle name="Comma [0] TBD_BV226 mkt equation_Aug6 12 107" xfId="25962"/>
    <cellStyle name="Comma [0] TBD-_BV226 mkt equation_Aug6 12 107" xfId="25963"/>
    <cellStyle name="Comma [0] TBD_BV226 mkt equation_Aug6 12 108" xfId="25964"/>
    <cellStyle name="Comma [0] TBD-_BV226 mkt equation_Aug6 12 108" xfId="25965"/>
    <cellStyle name="Comma [0] TBD_BV226 mkt equation_Aug6 12 109" xfId="25966"/>
    <cellStyle name="Comma [0] TBD-_BV226 mkt equation_Aug6 12 109" xfId="25967"/>
    <cellStyle name="Comma [0] TBD_BV226 mkt equation_Aug6 12 11" xfId="25968"/>
    <cellStyle name="Comma [0] TBD-_BV226 mkt equation_Aug6 12 11" xfId="25969"/>
    <cellStyle name="Comma [0] TBD_BV226 mkt equation_Aug6 12 110" xfId="25970"/>
    <cellStyle name="Comma [0] TBD-_BV226 mkt equation_Aug6 12 110" xfId="25971"/>
    <cellStyle name="Comma [0] TBD_BV226 mkt equation_Aug6 12 111" xfId="25972"/>
    <cellStyle name="Comma [0] TBD-_BV226 mkt equation_Aug6 12 111" xfId="25973"/>
    <cellStyle name="Comma [0] TBD_BV226 mkt equation_Aug6 12 112" xfId="25974"/>
    <cellStyle name="Comma [0] TBD-_BV226 mkt equation_Aug6 12 112" xfId="25975"/>
    <cellStyle name="Comma [0] TBD_BV226 mkt equation_Aug6 12 113" xfId="25976"/>
    <cellStyle name="Comma [0] TBD-_BV226 mkt equation_Aug6 12 113" xfId="25977"/>
    <cellStyle name="Comma [0] TBD_BV226 mkt equation_Aug6 12 114" xfId="25978"/>
    <cellStyle name="Comma [0] TBD-_BV226 mkt equation_Aug6 12 114" xfId="25979"/>
    <cellStyle name="Comma [0] TBD_BV226 mkt equation_Aug6 12 115" xfId="25980"/>
    <cellStyle name="Comma [0] TBD-_BV226 mkt equation_Aug6 12 115" xfId="25981"/>
    <cellStyle name="Comma [0] TBD_BV226 mkt equation_Aug6 12 116" xfId="25982"/>
    <cellStyle name="Comma [0] TBD-_BV226 mkt equation_Aug6 12 116" xfId="25983"/>
    <cellStyle name="Comma [0] TBD_BV226 mkt equation_Aug6 12 117" xfId="25984"/>
    <cellStyle name="Comma [0] TBD-_BV226 mkt equation_Aug6 12 117" xfId="25985"/>
    <cellStyle name="Comma [0] TBD_BV226 mkt equation_Aug6 12 118" xfId="25986"/>
    <cellStyle name="Comma [0] TBD-_BV226 mkt equation_Aug6 12 118" xfId="25987"/>
    <cellStyle name="Comma [0] TBD_BV226 mkt equation_Aug6 12 119" xfId="25988"/>
    <cellStyle name="Comma [0] TBD-_BV226 mkt equation_Aug6 12 119" xfId="25989"/>
    <cellStyle name="Comma [0] TBD_BV226 mkt equation_Aug6 12 12" xfId="25990"/>
    <cellStyle name="Comma [0] TBD-_BV226 mkt equation_Aug6 12 12" xfId="25991"/>
    <cellStyle name="Comma [0] TBD_BV226 mkt equation_Aug6 12 120" xfId="25992"/>
    <cellStyle name="Comma [0] TBD-_BV226 mkt equation_Aug6 12 120" xfId="25993"/>
    <cellStyle name="Comma [0] TBD_BV226 mkt equation_Aug6 12 121" xfId="25994"/>
    <cellStyle name="Comma [0] TBD-_BV226 mkt equation_Aug6 12 121" xfId="25995"/>
    <cellStyle name="Comma [0] TBD_BV226 mkt equation_Aug6 12 122" xfId="25996"/>
    <cellStyle name="Comma [0] TBD-_BV226 mkt equation_Aug6 12 122" xfId="25997"/>
    <cellStyle name="Comma [0] TBD_BV226 mkt equation_Aug6 12 123" xfId="25998"/>
    <cellStyle name="Comma [0] TBD-_BV226 mkt equation_Aug6 12 123" xfId="25999"/>
    <cellStyle name="Comma [0] TBD_BV226 mkt equation_Aug6 12 124" xfId="26000"/>
    <cellStyle name="Comma [0] TBD-_BV226 mkt equation_Aug6 12 124" xfId="26001"/>
    <cellStyle name="Comma [0] TBD_BV226 mkt equation_Aug6 12 125" xfId="26002"/>
    <cellStyle name="Comma [0] TBD-_BV226 mkt equation_Aug6 12 125" xfId="26003"/>
    <cellStyle name="Comma [0] TBD_BV226 mkt equation_Aug6 12 126" xfId="26004"/>
    <cellStyle name="Comma [0] TBD-_BV226 mkt equation_Aug6 12 126" xfId="26005"/>
    <cellStyle name="Comma [0] TBD_BV226 mkt equation_Aug6 12 127" xfId="26006"/>
    <cellStyle name="Comma [0] TBD-_BV226 mkt equation_Aug6 12 127" xfId="26007"/>
    <cellStyle name="Comma [0] TBD_BV226 mkt equation_Aug6 12 128" xfId="26008"/>
    <cellStyle name="Comma [0] TBD-_BV226 mkt equation_Aug6 12 128" xfId="26009"/>
    <cellStyle name="Comma [0] TBD_BV226 mkt equation_Aug6 12 129" xfId="26010"/>
    <cellStyle name="Comma [0] TBD-_BV226 mkt equation_Aug6 12 129" xfId="26011"/>
    <cellStyle name="Comma [0] TBD_BV226 mkt equation_Aug6 12 13" xfId="26012"/>
    <cellStyle name="Comma [0] TBD-_BV226 mkt equation_Aug6 12 13" xfId="26013"/>
    <cellStyle name="Comma [0] TBD_BV226 mkt equation_Aug6 12 130" xfId="26014"/>
    <cellStyle name="Comma [0] TBD-_BV226 mkt equation_Aug6 12 130" xfId="26015"/>
    <cellStyle name="Comma [0] TBD_BV226 mkt equation_Aug6 12 131" xfId="26016"/>
    <cellStyle name="Comma [0] TBD-_BV226 mkt equation_Aug6 12 131" xfId="26017"/>
    <cellStyle name="Comma [0] TBD_BV226 mkt equation_Aug6 12 132" xfId="26018"/>
    <cellStyle name="Comma [0] TBD-_BV226 mkt equation_Aug6 12 132" xfId="26019"/>
    <cellStyle name="Comma [0] TBD_BV226 mkt equation_Aug6 12 133" xfId="26020"/>
    <cellStyle name="Comma [0] TBD-_BV226 mkt equation_Aug6 12 133" xfId="26021"/>
    <cellStyle name="Comma [0] TBD_BV226 mkt equation_Aug6 12 134" xfId="26022"/>
    <cellStyle name="Comma [0] TBD-_BV226 mkt equation_Aug6 12 134" xfId="26023"/>
    <cellStyle name="Comma [0] TBD_BV226 mkt equation_Aug6 12 135" xfId="26024"/>
    <cellStyle name="Comma [0] TBD-_BV226 mkt equation_Aug6 12 135" xfId="26025"/>
    <cellStyle name="Comma [0] TBD_BV226 mkt equation_Aug6 12 136" xfId="26026"/>
    <cellStyle name="Comma [0] TBD-_BV226 mkt equation_Aug6 12 136" xfId="26027"/>
    <cellStyle name="Comma [0] TBD_BV226 mkt equation_Aug6 12 137" xfId="26028"/>
    <cellStyle name="Comma [0] TBD-_BV226 mkt equation_Aug6 12 137" xfId="26029"/>
    <cellStyle name="Comma [0] TBD_BV226 mkt equation_Aug6 12 138" xfId="26030"/>
    <cellStyle name="Comma [0] TBD-_BV226 mkt equation_Aug6 12 138" xfId="26031"/>
    <cellStyle name="Comma [0] TBD_BV226 mkt equation_Aug6 12 139" xfId="26032"/>
    <cellStyle name="Comma [0] TBD-_BV226 mkt equation_Aug6 12 139" xfId="26033"/>
    <cellStyle name="Comma [0] TBD_BV226 mkt equation_Aug6 12 14" xfId="26034"/>
    <cellStyle name="Comma [0] TBD-_BV226 mkt equation_Aug6 12 14" xfId="26035"/>
    <cellStyle name="Comma [0] TBD_BV226 mkt equation_Aug6 12 140" xfId="26036"/>
    <cellStyle name="Comma [0] TBD-_BV226 mkt equation_Aug6 12 140" xfId="26037"/>
    <cellStyle name="Comma [0] TBD_BV226 mkt equation_Aug6 12 141" xfId="26038"/>
    <cellStyle name="Comma [0] TBD-_BV226 mkt equation_Aug6 12 141" xfId="26039"/>
    <cellStyle name="Comma [0] TBD_BV226 mkt equation_Aug6 12 142" xfId="26040"/>
    <cellStyle name="Comma [0] TBD-_BV226 mkt equation_Aug6 12 142" xfId="26041"/>
    <cellStyle name="Comma [0] TBD_BV226 mkt equation_Aug6 12 143" xfId="26042"/>
    <cellStyle name="Comma [0] TBD-_BV226 mkt equation_Aug6 12 143" xfId="26043"/>
    <cellStyle name="Comma [0] TBD_BV226 mkt equation_Aug6 12 144" xfId="26044"/>
    <cellStyle name="Comma [0] TBD-_BV226 mkt equation_Aug6 12 144" xfId="26045"/>
    <cellStyle name="Comma [0] TBD_BV226 mkt equation_Aug6 12 145" xfId="26046"/>
    <cellStyle name="Comma [0] TBD-_BV226 mkt equation_Aug6 12 145" xfId="26047"/>
    <cellStyle name="Comma [0] TBD_BV226 mkt equation_Aug6 12 146" xfId="26048"/>
    <cellStyle name="Comma [0] TBD-_BV226 mkt equation_Aug6 12 146" xfId="26049"/>
    <cellStyle name="Comma [0] TBD_BV226 mkt equation_Aug6 12 147" xfId="26050"/>
    <cellStyle name="Comma [0] TBD-_BV226 mkt equation_Aug6 12 147" xfId="26051"/>
    <cellStyle name="Comma [0] TBD_BV226 mkt equation_Aug6 12 148" xfId="26052"/>
    <cellStyle name="Comma [0] TBD-_BV226 mkt equation_Aug6 12 148" xfId="26053"/>
    <cellStyle name="Comma [0] TBD_BV226 mkt equation_Aug6 12 149" xfId="26054"/>
    <cellStyle name="Comma [0] TBD-_BV226 mkt equation_Aug6 12 149" xfId="26055"/>
    <cellStyle name="Comma [0] TBD_BV226 mkt equation_Aug6 12 15" xfId="26056"/>
    <cellStyle name="Comma [0] TBD-_BV226 mkt equation_Aug6 12 15" xfId="26057"/>
    <cellStyle name="Comma [0] TBD_BV226 mkt equation_Aug6 12 150" xfId="26058"/>
    <cellStyle name="Comma [0] TBD-_BV226 mkt equation_Aug6 12 150" xfId="26059"/>
    <cellStyle name="Comma [0] TBD_BV226 mkt equation_Aug6 12 151" xfId="26060"/>
    <cellStyle name="Comma [0] TBD-_BV226 mkt equation_Aug6 12 151" xfId="26061"/>
    <cellStyle name="Comma [0] TBD_BV226 mkt equation_Aug6 12 152" xfId="26062"/>
    <cellStyle name="Comma [0] TBD-_BV226 mkt equation_Aug6 12 152" xfId="26063"/>
    <cellStyle name="Comma [0] TBD_BV226 mkt equation_Aug6 12 153" xfId="26064"/>
    <cellStyle name="Comma [0] TBD-_BV226 mkt equation_Aug6 12 153" xfId="26065"/>
    <cellStyle name="Comma [0] TBD_BV226 mkt equation_Aug6 12 16" xfId="26066"/>
    <cellStyle name="Comma [0] TBD-_BV226 mkt equation_Aug6 12 16" xfId="26067"/>
    <cellStyle name="Comma [0] TBD_BV226 mkt equation_Aug6 12 17" xfId="26068"/>
    <cellStyle name="Comma [0] TBD-_BV226 mkt equation_Aug6 12 17" xfId="26069"/>
    <cellStyle name="Comma [0] TBD_BV226 mkt equation_Aug6 12 18" xfId="26070"/>
    <cellStyle name="Comma [0] TBD-_BV226 mkt equation_Aug6 12 18" xfId="26071"/>
    <cellStyle name="Comma [0] TBD_BV226 mkt equation_Aug6 12 19" xfId="26072"/>
    <cellStyle name="Comma [0] TBD-_BV226 mkt equation_Aug6 12 19" xfId="26073"/>
    <cellStyle name="Comma [0] TBD_BV226 mkt equation_Aug6 12 2" xfId="26074"/>
    <cellStyle name="Comma [0] TBD-_BV226 mkt equation_Aug6 12 2" xfId="26075"/>
    <cellStyle name="Comma [0] TBD_BV226 mkt equation_Aug6 12 20" xfId="26076"/>
    <cellStyle name="Comma [0] TBD-_BV226 mkt equation_Aug6 12 20" xfId="26077"/>
    <cellStyle name="Comma [0] TBD_BV226 mkt equation_Aug6 12 21" xfId="26078"/>
    <cellStyle name="Comma [0] TBD-_BV226 mkt equation_Aug6 12 21" xfId="26079"/>
    <cellStyle name="Comma [0] TBD_BV226 mkt equation_Aug6 12 22" xfId="26080"/>
    <cellStyle name="Comma [0] TBD-_BV226 mkt equation_Aug6 12 22" xfId="26081"/>
    <cellStyle name="Comma [0] TBD_BV226 mkt equation_Aug6 12 23" xfId="26082"/>
    <cellStyle name="Comma [0] TBD-_BV226 mkt equation_Aug6 12 23" xfId="26083"/>
    <cellStyle name="Comma [0] TBD_BV226 mkt equation_Aug6 12 24" xfId="26084"/>
    <cellStyle name="Comma [0] TBD-_BV226 mkt equation_Aug6 12 24" xfId="26085"/>
    <cellStyle name="Comma [0] TBD_BV226 mkt equation_Aug6 12 25" xfId="26086"/>
    <cellStyle name="Comma [0] TBD-_BV226 mkt equation_Aug6 12 25" xfId="26087"/>
    <cellStyle name="Comma [0] TBD_BV226 mkt equation_Aug6 12 26" xfId="26088"/>
    <cellStyle name="Comma [0] TBD-_BV226 mkt equation_Aug6 12 26" xfId="26089"/>
    <cellStyle name="Comma [0] TBD_BV226 mkt equation_Aug6 12 27" xfId="26090"/>
    <cellStyle name="Comma [0] TBD-_BV226 mkt equation_Aug6 12 27" xfId="26091"/>
    <cellStyle name="Comma [0] TBD_BV226 mkt equation_Aug6 12 28" xfId="26092"/>
    <cellStyle name="Comma [0] TBD-_BV226 mkt equation_Aug6 12 28" xfId="26093"/>
    <cellStyle name="Comma [0] TBD_BV226 mkt equation_Aug6 12 29" xfId="26094"/>
    <cellStyle name="Comma [0] TBD-_BV226 mkt equation_Aug6 12 29" xfId="26095"/>
    <cellStyle name="Comma [0] TBD_BV226 mkt equation_Aug6 12 3" xfId="26096"/>
    <cellStyle name="Comma [0] TBD-_BV226 mkt equation_Aug6 12 3" xfId="26097"/>
    <cellStyle name="Comma [0] TBD_BV226 mkt equation_Aug6 12 30" xfId="26098"/>
    <cellStyle name="Comma [0] TBD-_BV226 mkt equation_Aug6 12 30" xfId="26099"/>
    <cellStyle name="Comma [0] TBD_BV226 mkt equation_Aug6 12 31" xfId="26100"/>
    <cellStyle name="Comma [0] TBD-_BV226 mkt equation_Aug6 12 31" xfId="26101"/>
    <cellStyle name="Comma [0] TBD_BV226 mkt equation_Aug6 12 32" xfId="26102"/>
    <cellStyle name="Comma [0] TBD-_BV226 mkt equation_Aug6 12 32" xfId="26103"/>
    <cellStyle name="Comma [0] TBD_BV226 mkt equation_Aug6 12 33" xfId="26104"/>
    <cellStyle name="Comma [0] TBD-_BV226 mkt equation_Aug6 12 33" xfId="26105"/>
    <cellStyle name="Comma [0] TBD_BV226 mkt equation_Aug6 12 34" xfId="26106"/>
    <cellStyle name="Comma [0] TBD-_BV226 mkt equation_Aug6 12 34" xfId="26107"/>
    <cellStyle name="Comma [0] TBD_BV226 mkt equation_Aug6 12 35" xfId="26108"/>
    <cellStyle name="Comma [0] TBD-_BV226 mkt equation_Aug6 12 35" xfId="26109"/>
    <cellStyle name="Comma [0] TBD_BV226 mkt equation_Aug6 12 36" xfId="26110"/>
    <cellStyle name="Comma [0] TBD-_BV226 mkt equation_Aug6 12 36" xfId="26111"/>
    <cellStyle name="Comma [0] TBD_BV226 mkt equation_Aug6 12 37" xfId="26112"/>
    <cellStyle name="Comma [0] TBD-_BV226 mkt equation_Aug6 12 37" xfId="26113"/>
    <cellStyle name="Comma [0] TBD_BV226 mkt equation_Aug6 12 38" xfId="26114"/>
    <cellStyle name="Comma [0] TBD-_BV226 mkt equation_Aug6 12 38" xfId="26115"/>
    <cellStyle name="Comma [0] TBD_BV226 mkt equation_Aug6 12 39" xfId="26116"/>
    <cellStyle name="Comma [0] TBD-_BV226 mkt equation_Aug6 12 39" xfId="26117"/>
    <cellStyle name="Comma [0] TBD_BV226 mkt equation_Aug6 12 4" xfId="26118"/>
    <cellStyle name="Comma [0] TBD-_BV226 mkt equation_Aug6 12 4" xfId="26119"/>
    <cellStyle name="Comma [0] TBD_BV226 mkt equation_Aug6 12 40" xfId="26120"/>
    <cellStyle name="Comma [0] TBD-_BV226 mkt equation_Aug6 12 40" xfId="26121"/>
    <cellStyle name="Comma [0] TBD_BV226 mkt equation_Aug6 12 41" xfId="26122"/>
    <cellStyle name="Comma [0] TBD-_BV226 mkt equation_Aug6 12 41" xfId="26123"/>
    <cellStyle name="Comma [0] TBD_BV226 mkt equation_Aug6 12 42" xfId="26124"/>
    <cellStyle name="Comma [0] TBD-_BV226 mkt equation_Aug6 12 42" xfId="26125"/>
    <cellStyle name="Comma [0] TBD_BV226 mkt equation_Aug6 12 43" xfId="26126"/>
    <cellStyle name="Comma [0] TBD-_BV226 mkt equation_Aug6 12 43" xfId="26127"/>
    <cellStyle name="Comma [0] TBD_BV226 mkt equation_Aug6 12 44" xfId="26128"/>
    <cellStyle name="Comma [0] TBD-_BV226 mkt equation_Aug6 12 44" xfId="26129"/>
    <cellStyle name="Comma [0] TBD_BV226 mkt equation_Aug6 12 45" xfId="26130"/>
    <cellStyle name="Comma [0] TBD-_BV226 mkt equation_Aug6 12 45" xfId="26131"/>
    <cellStyle name="Comma [0] TBD_BV226 mkt equation_Aug6 12 46" xfId="26132"/>
    <cellStyle name="Comma [0] TBD-_BV226 mkt equation_Aug6 12 46" xfId="26133"/>
    <cellStyle name="Comma [0] TBD_BV226 mkt equation_Aug6 12 47" xfId="26134"/>
    <cellStyle name="Comma [0] TBD-_BV226 mkt equation_Aug6 12 47" xfId="26135"/>
    <cellStyle name="Comma [0] TBD_BV226 mkt equation_Aug6 12 48" xfId="26136"/>
    <cellStyle name="Comma [0] TBD-_BV226 mkt equation_Aug6 12 48" xfId="26137"/>
    <cellStyle name="Comma [0] TBD_BV226 mkt equation_Aug6 12 49" xfId="26138"/>
    <cellStyle name="Comma [0] TBD-_BV226 mkt equation_Aug6 12 49" xfId="26139"/>
    <cellStyle name="Comma [0] TBD_BV226 mkt equation_Aug6 12 5" xfId="26140"/>
    <cellStyle name="Comma [0] TBD-_BV226 mkt equation_Aug6 12 5" xfId="26141"/>
    <cellStyle name="Comma [0] TBD_BV226 mkt equation_Aug6 12 50" xfId="26142"/>
    <cellStyle name="Comma [0] TBD-_BV226 mkt equation_Aug6 12 50" xfId="26143"/>
    <cellStyle name="Comma [0] TBD_BV226 mkt equation_Aug6 12 51" xfId="26144"/>
    <cellStyle name="Comma [0] TBD-_BV226 mkt equation_Aug6 12 51" xfId="26145"/>
    <cellStyle name="Comma [0] TBD_BV226 mkt equation_Aug6 12 52" xfId="26146"/>
    <cellStyle name="Comma [0] TBD-_BV226 mkt equation_Aug6 12 52" xfId="26147"/>
    <cellStyle name="Comma [0] TBD_BV226 mkt equation_Aug6 12 53" xfId="26148"/>
    <cellStyle name="Comma [0] TBD-_BV226 mkt equation_Aug6 12 53" xfId="26149"/>
    <cellStyle name="Comma [0] TBD_BV226 mkt equation_Aug6 12 54" xfId="26150"/>
    <cellStyle name="Comma [0] TBD-_BV226 mkt equation_Aug6 12 54" xfId="26151"/>
    <cellStyle name="Comma [0] TBD_BV226 mkt equation_Aug6 12 55" xfId="26152"/>
    <cellStyle name="Comma [0] TBD-_BV226 mkt equation_Aug6 12 55" xfId="26153"/>
    <cellStyle name="Comma [0] TBD_BV226 mkt equation_Aug6 12 56" xfId="26154"/>
    <cellStyle name="Comma [0] TBD-_BV226 mkt equation_Aug6 12 56" xfId="26155"/>
    <cellStyle name="Comma [0] TBD_BV226 mkt equation_Aug6 12 57" xfId="26156"/>
    <cellStyle name="Comma [0] TBD-_BV226 mkt equation_Aug6 12 57" xfId="26157"/>
    <cellStyle name="Comma [0] TBD_BV226 mkt equation_Aug6 12 58" xfId="26158"/>
    <cellStyle name="Comma [0] TBD-_BV226 mkt equation_Aug6 12 58" xfId="26159"/>
    <cellStyle name="Comma [0] TBD_BV226 mkt equation_Aug6 12 59" xfId="26160"/>
    <cellStyle name="Comma [0] TBD-_BV226 mkt equation_Aug6 12 59" xfId="26161"/>
    <cellStyle name="Comma [0] TBD_BV226 mkt equation_Aug6 12 6" xfId="26162"/>
    <cellStyle name="Comma [0] TBD-_BV226 mkt equation_Aug6 12 6" xfId="26163"/>
    <cellStyle name="Comma [0] TBD_BV226 mkt equation_Aug6 12 60" xfId="26164"/>
    <cellStyle name="Comma [0] TBD-_BV226 mkt equation_Aug6 12 60" xfId="26165"/>
    <cellStyle name="Comma [0] TBD_BV226 mkt equation_Aug6 12 61" xfId="26166"/>
    <cellStyle name="Comma [0] TBD-_BV226 mkt equation_Aug6 12 61" xfId="26167"/>
    <cellStyle name="Comma [0] TBD_BV226 mkt equation_Aug6 12 62" xfId="26168"/>
    <cellStyle name="Comma [0] TBD-_BV226 mkt equation_Aug6 12 62" xfId="26169"/>
    <cellStyle name="Comma [0] TBD_BV226 mkt equation_Aug6 12 63" xfId="26170"/>
    <cellStyle name="Comma [0] TBD-_BV226 mkt equation_Aug6 12 63" xfId="26171"/>
    <cellStyle name="Comma [0] TBD_BV226 mkt equation_Aug6 12 64" xfId="26172"/>
    <cellStyle name="Comma [0] TBD-_BV226 mkt equation_Aug6 12 64" xfId="26173"/>
    <cellStyle name="Comma [0] TBD_BV226 mkt equation_Aug6 12 65" xfId="26174"/>
    <cellStyle name="Comma [0] TBD-_BV226 mkt equation_Aug6 12 65" xfId="26175"/>
    <cellStyle name="Comma [0] TBD_BV226 mkt equation_Aug6 12 66" xfId="26176"/>
    <cellStyle name="Comma [0] TBD-_BV226 mkt equation_Aug6 12 66" xfId="26177"/>
    <cellStyle name="Comma [0] TBD_BV226 mkt equation_Aug6 12 67" xfId="26178"/>
    <cellStyle name="Comma [0] TBD-_BV226 mkt equation_Aug6 12 67" xfId="26179"/>
    <cellStyle name="Comma [0] TBD_BV226 mkt equation_Aug6 12 68" xfId="26180"/>
    <cellStyle name="Comma [0] TBD-_BV226 mkt equation_Aug6 12 68" xfId="26181"/>
    <cellStyle name="Comma [0] TBD_BV226 mkt equation_Aug6 12 69" xfId="26182"/>
    <cellStyle name="Comma [0] TBD-_BV226 mkt equation_Aug6 12 69" xfId="26183"/>
    <cellStyle name="Comma [0] TBD_BV226 mkt equation_Aug6 12 7" xfId="26184"/>
    <cellStyle name="Comma [0] TBD-_BV226 mkt equation_Aug6 12 7" xfId="26185"/>
    <cellStyle name="Comma [0] TBD_BV226 mkt equation_Aug6 12 70" xfId="26186"/>
    <cellStyle name="Comma [0] TBD-_BV226 mkt equation_Aug6 12 70" xfId="26187"/>
    <cellStyle name="Comma [0] TBD_BV226 mkt equation_Aug6 12 71" xfId="26188"/>
    <cellStyle name="Comma [0] TBD-_BV226 mkt equation_Aug6 12 71" xfId="26189"/>
    <cellStyle name="Comma [0] TBD_BV226 mkt equation_Aug6 12 72" xfId="26190"/>
    <cellStyle name="Comma [0] TBD-_BV226 mkt equation_Aug6 12 72" xfId="26191"/>
    <cellStyle name="Comma [0] TBD_BV226 mkt equation_Aug6 12 73" xfId="26192"/>
    <cellStyle name="Comma [0] TBD-_BV226 mkt equation_Aug6 12 73" xfId="26193"/>
    <cellStyle name="Comma [0] TBD_BV226 mkt equation_Aug6 12 74" xfId="26194"/>
    <cellStyle name="Comma [0] TBD-_BV226 mkt equation_Aug6 12 74" xfId="26195"/>
    <cellStyle name="Comma [0] TBD_BV226 mkt equation_Aug6 12 75" xfId="26196"/>
    <cellStyle name="Comma [0] TBD-_BV226 mkt equation_Aug6 12 75" xfId="26197"/>
    <cellStyle name="Comma [0] TBD_BV226 mkt equation_Aug6 12 76" xfId="26198"/>
    <cellStyle name="Comma [0] TBD-_BV226 mkt equation_Aug6 12 76" xfId="26199"/>
    <cellStyle name="Comma [0] TBD_BV226 mkt equation_Aug6 12 77" xfId="26200"/>
    <cellStyle name="Comma [0] TBD-_BV226 mkt equation_Aug6 12 77" xfId="26201"/>
    <cellStyle name="Comma [0] TBD_BV226 mkt equation_Aug6 12 78" xfId="26202"/>
    <cellStyle name="Comma [0] TBD-_BV226 mkt equation_Aug6 12 78" xfId="26203"/>
    <cellStyle name="Comma [0] TBD_BV226 mkt equation_Aug6 12 79" xfId="26204"/>
    <cellStyle name="Comma [0] TBD-_BV226 mkt equation_Aug6 12 79" xfId="26205"/>
    <cellStyle name="Comma [0] TBD_BV226 mkt equation_Aug6 12 8" xfId="26206"/>
    <cellStyle name="Comma [0] TBD-_BV226 mkt equation_Aug6 12 8" xfId="26207"/>
    <cellStyle name="Comma [0] TBD_BV226 mkt equation_Aug6 12 80" xfId="26208"/>
    <cellStyle name="Comma [0] TBD-_BV226 mkt equation_Aug6 12 80" xfId="26209"/>
    <cellStyle name="Comma [0] TBD_BV226 mkt equation_Aug6 12 81" xfId="26210"/>
    <cellStyle name="Comma [0] TBD-_BV226 mkt equation_Aug6 12 81" xfId="26211"/>
    <cellStyle name="Comma [0] TBD_BV226 mkt equation_Aug6 12 82" xfId="26212"/>
    <cellStyle name="Comma [0] TBD-_BV226 mkt equation_Aug6 12 82" xfId="26213"/>
    <cellStyle name="Comma [0] TBD_BV226 mkt equation_Aug6 12 83" xfId="26214"/>
    <cellStyle name="Comma [0] TBD-_BV226 mkt equation_Aug6 12 83" xfId="26215"/>
    <cellStyle name="Comma [0] TBD_BV226 mkt equation_Aug6 12 84" xfId="26216"/>
    <cellStyle name="Comma [0] TBD-_BV226 mkt equation_Aug6 12 84" xfId="26217"/>
    <cellStyle name="Comma [0] TBD_BV226 mkt equation_Aug6 12 85" xfId="26218"/>
    <cellStyle name="Comma [0] TBD-_BV226 mkt equation_Aug6 12 85" xfId="26219"/>
    <cellStyle name="Comma [0] TBD_BV226 mkt equation_Aug6 12 86" xfId="26220"/>
    <cellStyle name="Comma [0] TBD-_BV226 mkt equation_Aug6 12 86" xfId="26221"/>
    <cellStyle name="Comma [0] TBD_BV226 mkt equation_Aug6 12 87" xfId="26222"/>
    <cellStyle name="Comma [0] TBD-_BV226 mkt equation_Aug6 12 87" xfId="26223"/>
    <cellStyle name="Comma [0] TBD_BV226 mkt equation_Aug6 12 88" xfId="26224"/>
    <cellStyle name="Comma [0] TBD-_BV226 mkt equation_Aug6 12 88" xfId="26225"/>
    <cellStyle name="Comma [0] TBD_BV226 mkt equation_Aug6 12 89" xfId="26226"/>
    <cellStyle name="Comma [0] TBD-_BV226 mkt equation_Aug6 12 89" xfId="26227"/>
    <cellStyle name="Comma [0] TBD_BV226 mkt equation_Aug6 12 9" xfId="26228"/>
    <cellStyle name="Comma [0] TBD-_BV226 mkt equation_Aug6 12 9" xfId="26229"/>
    <cellStyle name="Comma [0] TBD_BV226 mkt equation_Aug6 12 90" xfId="26230"/>
    <cellStyle name="Comma [0] TBD-_BV226 mkt equation_Aug6 12 90" xfId="26231"/>
    <cellStyle name="Comma [0] TBD_BV226 mkt equation_Aug6 12 91" xfId="26232"/>
    <cellStyle name="Comma [0] TBD-_BV226 mkt equation_Aug6 12 91" xfId="26233"/>
    <cellStyle name="Comma [0] TBD_BV226 mkt equation_Aug6 12 92" xfId="26234"/>
    <cellStyle name="Comma [0] TBD-_BV226 mkt equation_Aug6 12 92" xfId="26235"/>
    <cellStyle name="Comma [0] TBD_BV226 mkt equation_Aug6 12 93" xfId="26236"/>
    <cellStyle name="Comma [0] TBD-_BV226 mkt equation_Aug6 12 93" xfId="26237"/>
    <cellStyle name="Comma [0] TBD_BV226 mkt equation_Aug6 12 94" xfId="26238"/>
    <cellStyle name="Comma [0] TBD-_BV226 mkt equation_Aug6 12 94" xfId="26239"/>
    <cellStyle name="Comma [0] TBD_BV226 mkt equation_Aug6 12 95" xfId="26240"/>
    <cellStyle name="Comma [0] TBD-_BV226 mkt equation_Aug6 12 95" xfId="26241"/>
    <cellStyle name="Comma [0] TBD_BV226 mkt equation_Aug6 12 96" xfId="26242"/>
    <cellStyle name="Comma [0] TBD-_BV226 mkt equation_Aug6 12 96" xfId="26243"/>
    <cellStyle name="Comma [0] TBD_BV226 mkt equation_Aug6 12 97" xfId="26244"/>
    <cellStyle name="Comma [0] TBD-_BV226 mkt equation_Aug6 12 97" xfId="26245"/>
    <cellStyle name="Comma [0] TBD_BV226 mkt equation_Aug6 12 98" xfId="26246"/>
    <cellStyle name="Comma [0] TBD-_BV226 mkt equation_Aug6 12 98" xfId="26247"/>
    <cellStyle name="Comma [0] TBD_BV226 mkt equation_Aug6 12 99" xfId="26248"/>
    <cellStyle name="Comma [0] TBD-_BV226 mkt equation_Aug6 12 99" xfId="26249"/>
    <cellStyle name="Comma [0] TBD_BV226 mkt equation_Aug6 13" xfId="26250"/>
    <cellStyle name="Comma [0] TBD-_BV226 mkt equation_Aug6 13" xfId="26251"/>
    <cellStyle name="Comma [0] TBD_BV226 mkt equation_Aug6 13 10" xfId="26252"/>
    <cellStyle name="Comma [0] TBD-_BV226 mkt equation_Aug6 13 10" xfId="26253"/>
    <cellStyle name="Comma [0] TBD_BV226 mkt equation_Aug6 13 100" xfId="26254"/>
    <cellStyle name="Comma [0] TBD-_BV226 mkt equation_Aug6 13 100" xfId="26255"/>
    <cellStyle name="Comma [0] TBD_BV226 mkt equation_Aug6 13 101" xfId="26256"/>
    <cellStyle name="Comma [0] TBD-_BV226 mkt equation_Aug6 13 101" xfId="26257"/>
    <cellStyle name="Comma [0] TBD_BV226 mkt equation_Aug6 13 102" xfId="26258"/>
    <cellStyle name="Comma [0] TBD-_BV226 mkt equation_Aug6 13 102" xfId="26259"/>
    <cellStyle name="Comma [0] TBD_BV226 mkt equation_Aug6 13 103" xfId="26260"/>
    <cellStyle name="Comma [0] TBD-_BV226 mkt equation_Aug6 13 103" xfId="26261"/>
    <cellStyle name="Comma [0] TBD_BV226 mkt equation_Aug6 13 104" xfId="26262"/>
    <cellStyle name="Comma [0] TBD-_BV226 mkt equation_Aug6 13 104" xfId="26263"/>
    <cellStyle name="Comma [0] TBD_BV226 mkt equation_Aug6 13 105" xfId="26264"/>
    <cellStyle name="Comma [0] TBD-_BV226 mkt equation_Aug6 13 105" xfId="26265"/>
    <cellStyle name="Comma [0] TBD_BV226 mkt equation_Aug6 13 106" xfId="26266"/>
    <cellStyle name="Comma [0] TBD-_BV226 mkt equation_Aug6 13 106" xfId="26267"/>
    <cellStyle name="Comma [0] TBD_BV226 mkt equation_Aug6 13 107" xfId="26268"/>
    <cellStyle name="Comma [0] TBD-_BV226 mkt equation_Aug6 13 107" xfId="26269"/>
    <cellStyle name="Comma [0] TBD_BV226 mkt equation_Aug6 13 108" xfId="26270"/>
    <cellStyle name="Comma [0] TBD-_BV226 mkt equation_Aug6 13 108" xfId="26271"/>
    <cellStyle name="Comma [0] TBD_BV226 mkt equation_Aug6 13 109" xfId="26272"/>
    <cellStyle name="Comma [0] TBD-_BV226 mkt equation_Aug6 13 109" xfId="26273"/>
    <cellStyle name="Comma [0] TBD_BV226 mkt equation_Aug6 13 11" xfId="26274"/>
    <cellStyle name="Comma [0] TBD-_BV226 mkt equation_Aug6 13 11" xfId="26275"/>
    <cellStyle name="Comma [0] TBD_BV226 mkt equation_Aug6 13 110" xfId="26276"/>
    <cellStyle name="Comma [0] TBD-_BV226 mkt equation_Aug6 13 110" xfId="26277"/>
    <cellStyle name="Comma [0] TBD_BV226 mkt equation_Aug6 13 111" xfId="26278"/>
    <cellStyle name="Comma [0] TBD-_BV226 mkt equation_Aug6 13 111" xfId="26279"/>
    <cellStyle name="Comma [0] TBD_BV226 mkt equation_Aug6 13 112" xfId="26280"/>
    <cellStyle name="Comma [0] TBD-_BV226 mkt equation_Aug6 13 112" xfId="26281"/>
    <cellStyle name="Comma [0] TBD_BV226 mkt equation_Aug6 13 113" xfId="26282"/>
    <cellStyle name="Comma [0] TBD-_BV226 mkt equation_Aug6 13 113" xfId="26283"/>
    <cellStyle name="Comma [0] TBD_BV226 mkt equation_Aug6 13 114" xfId="26284"/>
    <cellStyle name="Comma [0] TBD-_BV226 mkt equation_Aug6 13 114" xfId="26285"/>
    <cellStyle name="Comma [0] TBD_BV226 mkt equation_Aug6 13 115" xfId="26286"/>
    <cellStyle name="Comma [0] TBD-_BV226 mkt equation_Aug6 13 115" xfId="26287"/>
    <cellStyle name="Comma [0] TBD_BV226 mkt equation_Aug6 13 116" xfId="26288"/>
    <cellStyle name="Comma [0] TBD-_BV226 mkt equation_Aug6 13 116" xfId="26289"/>
    <cellStyle name="Comma [0] TBD_BV226 mkt equation_Aug6 13 117" xfId="26290"/>
    <cellStyle name="Comma [0] TBD-_BV226 mkt equation_Aug6 13 117" xfId="26291"/>
    <cellStyle name="Comma [0] TBD_BV226 mkt equation_Aug6 13 118" xfId="26292"/>
    <cellStyle name="Comma [0] TBD-_BV226 mkt equation_Aug6 13 118" xfId="26293"/>
    <cellStyle name="Comma [0] TBD_BV226 mkt equation_Aug6 13 119" xfId="26294"/>
    <cellStyle name="Comma [0] TBD-_BV226 mkt equation_Aug6 13 119" xfId="26295"/>
    <cellStyle name="Comma [0] TBD_BV226 mkt equation_Aug6 13 12" xfId="26296"/>
    <cellStyle name="Comma [0] TBD-_BV226 mkt equation_Aug6 13 12" xfId="26297"/>
    <cellStyle name="Comma [0] TBD_BV226 mkt equation_Aug6 13 120" xfId="26298"/>
    <cellStyle name="Comma [0] TBD-_BV226 mkt equation_Aug6 13 120" xfId="26299"/>
    <cellStyle name="Comma [0] TBD_BV226 mkt equation_Aug6 13 121" xfId="26300"/>
    <cellStyle name="Comma [0] TBD-_BV226 mkt equation_Aug6 13 121" xfId="26301"/>
    <cellStyle name="Comma [0] TBD_BV226 mkt equation_Aug6 13 122" xfId="26302"/>
    <cellStyle name="Comma [0] TBD-_BV226 mkt equation_Aug6 13 122" xfId="26303"/>
    <cellStyle name="Comma [0] TBD_BV226 mkt equation_Aug6 13 123" xfId="26304"/>
    <cellStyle name="Comma [0] TBD-_BV226 mkt equation_Aug6 13 123" xfId="26305"/>
    <cellStyle name="Comma [0] TBD_BV226 mkt equation_Aug6 13 124" xfId="26306"/>
    <cellStyle name="Comma [0] TBD-_BV226 mkt equation_Aug6 13 124" xfId="26307"/>
    <cellStyle name="Comma [0] TBD_BV226 mkt equation_Aug6 13 125" xfId="26308"/>
    <cellStyle name="Comma [0] TBD-_BV226 mkt equation_Aug6 13 125" xfId="26309"/>
    <cellStyle name="Comma [0] TBD_BV226 mkt equation_Aug6 13 126" xfId="26310"/>
    <cellStyle name="Comma [0] TBD-_BV226 mkt equation_Aug6 13 126" xfId="26311"/>
    <cellStyle name="Comma [0] TBD_BV226 mkt equation_Aug6 13 127" xfId="26312"/>
    <cellStyle name="Comma [0] TBD-_BV226 mkt equation_Aug6 13 127" xfId="26313"/>
    <cellStyle name="Comma [0] TBD_BV226 mkt equation_Aug6 13 128" xfId="26314"/>
    <cellStyle name="Comma [0] TBD-_BV226 mkt equation_Aug6 13 128" xfId="26315"/>
    <cellStyle name="Comma [0] TBD_BV226 mkt equation_Aug6 13 129" xfId="26316"/>
    <cellStyle name="Comma [0] TBD-_BV226 mkt equation_Aug6 13 129" xfId="26317"/>
    <cellStyle name="Comma [0] TBD_BV226 mkt equation_Aug6 13 13" xfId="26318"/>
    <cellStyle name="Comma [0] TBD-_BV226 mkt equation_Aug6 13 13" xfId="26319"/>
    <cellStyle name="Comma [0] TBD_BV226 mkt equation_Aug6 13 130" xfId="26320"/>
    <cellStyle name="Comma [0] TBD-_BV226 mkt equation_Aug6 13 130" xfId="26321"/>
    <cellStyle name="Comma [0] TBD_BV226 mkt equation_Aug6 13 131" xfId="26322"/>
    <cellStyle name="Comma [0] TBD-_BV226 mkt equation_Aug6 13 131" xfId="26323"/>
    <cellStyle name="Comma [0] TBD_BV226 mkt equation_Aug6 13 132" xfId="26324"/>
    <cellStyle name="Comma [0] TBD-_BV226 mkt equation_Aug6 13 132" xfId="26325"/>
    <cellStyle name="Comma [0] TBD_BV226 mkt equation_Aug6 13 133" xfId="26326"/>
    <cellStyle name="Comma [0] TBD-_BV226 mkt equation_Aug6 13 133" xfId="26327"/>
    <cellStyle name="Comma [0] TBD_BV226 mkt equation_Aug6 13 134" xfId="26328"/>
    <cellStyle name="Comma [0] TBD-_BV226 mkt equation_Aug6 13 134" xfId="26329"/>
    <cellStyle name="Comma [0] TBD_BV226 mkt equation_Aug6 13 135" xfId="26330"/>
    <cellStyle name="Comma [0] TBD-_BV226 mkt equation_Aug6 13 135" xfId="26331"/>
    <cellStyle name="Comma [0] TBD_BV226 mkt equation_Aug6 13 136" xfId="26332"/>
    <cellStyle name="Comma [0] TBD-_BV226 mkt equation_Aug6 13 136" xfId="26333"/>
    <cellStyle name="Comma [0] TBD_BV226 mkt equation_Aug6 13 137" xfId="26334"/>
    <cellStyle name="Comma [0] TBD-_BV226 mkt equation_Aug6 13 137" xfId="26335"/>
    <cellStyle name="Comma [0] TBD_BV226 mkt equation_Aug6 13 138" xfId="26336"/>
    <cellStyle name="Comma [0] TBD-_BV226 mkt equation_Aug6 13 138" xfId="26337"/>
    <cellStyle name="Comma [0] TBD_BV226 mkt equation_Aug6 13 139" xfId="26338"/>
    <cellStyle name="Comma [0] TBD-_BV226 mkt equation_Aug6 13 139" xfId="26339"/>
    <cellStyle name="Comma [0] TBD_BV226 mkt equation_Aug6 13 14" xfId="26340"/>
    <cellStyle name="Comma [0] TBD-_BV226 mkt equation_Aug6 13 14" xfId="26341"/>
    <cellStyle name="Comma [0] TBD_BV226 mkt equation_Aug6 13 140" xfId="26342"/>
    <cellStyle name="Comma [0] TBD-_BV226 mkt equation_Aug6 13 140" xfId="26343"/>
    <cellStyle name="Comma [0] TBD_BV226 mkt equation_Aug6 13 141" xfId="26344"/>
    <cellStyle name="Comma [0] TBD-_BV226 mkt equation_Aug6 13 141" xfId="26345"/>
    <cellStyle name="Comma [0] TBD_BV226 mkt equation_Aug6 13 142" xfId="26346"/>
    <cellStyle name="Comma [0] TBD-_BV226 mkt equation_Aug6 13 142" xfId="26347"/>
    <cellStyle name="Comma [0] TBD_BV226 mkt equation_Aug6 13 143" xfId="26348"/>
    <cellStyle name="Comma [0] TBD-_BV226 mkt equation_Aug6 13 143" xfId="26349"/>
    <cellStyle name="Comma [0] TBD_BV226 mkt equation_Aug6 13 144" xfId="26350"/>
    <cellStyle name="Comma [0] TBD-_BV226 mkt equation_Aug6 13 144" xfId="26351"/>
    <cellStyle name="Comma [0] TBD_BV226 mkt equation_Aug6 13 145" xfId="26352"/>
    <cellStyle name="Comma [0] TBD-_BV226 mkt equation_Aug6 13 145" xfId="26353"/>
    <cellStyle name="Comma [0] TBD_BV226 mkt equation_Aug6 13 146" xfId="26354"/>
    <cellStyle name="Comma [0] TBD-_BV226 mkt equation_Aug6 13 146" xfId="26355"/>
    <cellStyle name="Comma [0] TBD_BV226 mkt equation_Aug6 13 147" xfId="26356"/>
    <cellStyle name="Comma [0] TBD-_BV226 mkt equation_Aug6 13 147" xfId="26357"/>
    <cellStyle name="Comma [0] TBD_BV226 mkt equation_Aug6 13 148" xfId="26358"/>
    <cellStyle name="Comma [0] TBD-_BV226 mkt equation_Aug6 13 148" xfId="26359"/>
    <cellStyle name="Comma [0] TBD_BV226 mkt equation_Aug6 13 149" xfId="26360"/>
    <cellStyle name="Comma [0] TBD-_BV226 mkt equation_Aug6 13 149" xfId="26361"/>
    <cellStyle name="Comma [0] TBD_BV226 mkt equation_Aug6 13 15" xfId="26362"/>
    <cellStyle name="Comma [0] TBD-_BV226 mkt equation_Aug6 13 15" xfId="26363"/>
    <cellStyle name="Comma [0] TBD_BV226 mkt equation_Aug6 13 150" xfId="26364"/>
    <cellStyle name="Comma [0] TBD-_BV226 mkt equation_Aug6 13 150" xfId="26365"/>
    <cellStyle name="Comma [0] TBD_BV226 mkt equation_Aug6 13 151" xfId="26366"/>
    <cellStyle name="Comma [0] TBD-_BV226 mkt equation_Aug6 13 151" xfId="26367"/>
    <cellStyle name="Comma [0] TBD_BV226 mkt equation_Aug6 13 152" xfId="26368"/>
    <cellStyle name="Comma [0] TBD-_BV226 mkt equation_Aug6 13 152" xfId="26369"/>
    <cellStyle name="Comma [0] TBD_BV226 mkt equation_Aug6 13 153" xfId="26370"/>
    <cellStyle name="Comma [0] TBD-_BV226 mkt equation_Aug6 13 153" xfId="26371"/>
    <cellStyle name="Comma [0] TBD_BV226 mkt equation_Aug6 13 16" xfId="26372"/>
    <cellStyle name="Comma [0] TBD-_BV226 mkt equation_Aug6 13 16" xfId="26373"/>
    <cellStyle name="Comma [0] TBD_BV226 mkt equation_Aug6 13 17" xfId="26374"/>
    <cellStyle name="Comma [0] TBD-_BV226 mkt equation_Aug6 13 17" xfId="26375"/>
    <cellStyle name="Comma [0] TBD_BV226 mkt equation_Aug6 13 18" xfId="26376"/>
    <cellStyle name="Comma [0] TBD-_BV226 mkt equation_Aug6 13 18" xfId="26377"/>
    <cellStyle name="Comma [0] TBD_BV226 mkt equation_Aug6 13 19" xfId="26378"/>
    <cellStyle name="Comma [0] TBD-_BV226 mkt equation_Aug6 13 19" xfId="26379"/>
    <cellStyle name="Comma [0] TBD_BV226 mkt equation_Aug6 13 2" xfId="26380"/>
    <cellStyle name="Comma [0] TBD-_BV226 mkt equation_Aug6 13 2" xfId="26381"/>
    <cellStyle name="Comma [0] TBD_BV226 mkt equation_Aug6 13 20" xfId="26382"/>
    <cellStyle name="Comma [0] TBD-_BV226 mkt equation_Aug6 13 20" xfId="26383"/>
    <cellStyle name="Comma [0] TBD_BV226 mkt equation_Aug6 13 21" xfId="26384"/>
    <cellStyle name="Comma [0] TBD-_BV226 mkt equation_Aug6 13 21" xfId="26385"/>
    <cellStyle name="Comma [0] TBD_BV226 mkt equation_Aug6 13 22" xfId="26386"/>
    <cellStyle name="Comma [0] TBD-_BV226 mkt equation_Aug6 13 22" xfId="26387"/>
    <cellStyle name="Comma [0] TBD_BV226 mkt equation_Aug6 13 23" xfId="26388"/>
    <cellStyle name="Comma [0] TBD-_BV226 mkt equation_Aug6 13 23" xfId="26389"/>
    <cellStyle name="Comma [0] TBD_BV226 mkt equation_Aug6 13 24" xfId="26390"/>
    <cellStyle name="Comma [0] TBD-_BV226 mkt equation_Aug6 13 24" xfId="26391"/>
    <cellStyle name="Comma [0] TBD_BV226 mkt equation_Aug6 13 25" xfId="26392"/>
    <cellStyle name="Comma [0] TBD-_BV226 mkt equation_Aug6 13 25" xfId="26393"/>
    <cellStyle name="Comma [0] TBD_BV226 mkt equation_Aug6 13 26" xfId="26394"/>
    <cellStyle name="Comma [0] TBD-_BV226 mkt equation_Aug6 13 26" xfId="26395"/>
    <cellStyle name="Comma [0] TBD_BV226 mkt equation_Aug6 13 27" xfId="26396"/>
    <cellStyle name="Comma [0] TBD-_BV226 mkt equation_Aug6 13 27" xfId="26397"/>
    <cellStyle name="Comma [0] TBD_BV226 mkt equation_Aug6 13 28" xfId="26398"/>
    <cellStyle name="Comma [0] TBD-_BV226 mkt equation_Aug6 13 28" xfId="26399"/>
    <cellStyle name="Comma [0] TBD_BV226 mkt equation_Aug6 13 29" xfId="26400"/>
    <cellStyle name="Comma [0] TBD-_BV226 mkt equation_Aug6 13 29" xfId="26401"/>
    <cellStyle name="Comma [0] TBD_BV226 mkt equation_Aug6 13 3" xfId="26402"/>
    <cellStyle name="Comma [0] TBD-_BV226 mkt equation_Aug6 13 3" xfId="26403"/>
    <cellStyle name="Comma [0] TBD_BV226 mkt equation_Aug6 13 30" xfId="26404"/>
    <cellStyle name="Comma [0] TBD-_BV226 mkt equation_Aug6 13 30" xfId="26405"/>
    <cellStyle name="Comma [0] TBD_BV226 mkt equation_Aug6 13 31" xfId="26406"/>
    <cellStyle name="Comma [0] TBD-_BV226 mkt equation_Aug6 13 31" xfId="26407"/>
    <cellStyle name="Comma [0] TBD_BV226 mkt equation_Aug6 13 32" xfId="26408"/>
    <cellStyle name="Comma [0] TBD-_BV226 mkt equation_Aug6 13 32" xfId="26409"/>
    <cellStyle name="Comma [0] TBD_BV226 mkt equation_Aug6 13 33" xfId="26410"/>
    <cellStyle name="Comma [0] TBD-_BV226 mkt equation_Aug6 13 33" xfId="26411"/>
    <cellStyle name="Comma [0] TBD_BV226 mkt equation_Aug6 13 34" xfId="26412"/>
    <cellStyle name="Comma [0] TBD-_BV226 mkt equation_Aug6 13 34" xfId="26413"/>
    <cellStyle name="Comma [0] TBD_BV226 mkt equation_Aug6 13 35" xfId="26414"/>
    <cellStyle name="Comma [0] TBD-_BV226 mkt equation_Aug6 13 35" xfId="26415"/>
    <cellStyle name="Comma [0] TBD_BV226 mkt equation_Aug6 13 36" xfId="26416"/>
    <cellStyle name="Comma [0] TBD-_BV226 mkt equation_Aug6 13 36" xfId="26417"/>
    <cellStyle name="Comma [0] TBD_BV226 mkt equation_Aug6 13 37" xfId="26418"/>
    <cellStyle name="Comma [0] TBD-_BV226 mkt equation_Aug6 13 37" xfId="26419"/>
    <cellStyle name="Comma [0] TBD_BV226 mkt equation_Aug6 13 38" xfId="26420"/>
    <cellStyle name="Comma [0] TBD-_BV226 mkt equation_Aug6 13 38" xfId="26421"/>
    <cellStyle name="Comma [0] TBD_BV226 mkt equation_Aug6 13 39" xfId="26422"/>
    <cellStyle name="Comma [0] TBD-_BV226 mkt equation_Aug6 13 39" xfId="26423"/>
    <cellStyle name="Comma [0] TBD_BV226 mkt equation_Aug6 13 4" xfId="26424"/>
    <cellStyle name="Comma [0] TBD-_BV226 mkt equation_Aug6 13 4" xfId="26425"/>
    <cellStyle name="Comma [0] TBD_BV226 mkt equation_Aug6 13 40" xfId="26426"/>
    <cellStyle name="Comma [0] TBD-_BV226 mkt equation_Aug6 13 40" xfId="26427"/>
    <cellStyle name="Comma [0] TBD_BV226 mkt equation_Aug6 13 41" xfId="26428"/>
    <cellStyle name="Comma [0] TBD-_BV226 mkt equation_Aug6 13 41" xfId="26429"/>
    <cellStyle name="Comma [0] TBD_BV226 mkt equation_Aug6 13 42" xfId="26430"/>
    <cellStyle name="Comma [0] TBD-_BV226 mkt equation_Aug6 13 42" xfId="26431"/>
    <cellStyle name="Comma [0] TBD_BV226 mkt equation_Aug6 13 43" xfId="26432"/>
    <cellStyle name="Comma [0] TBD-_BV226 mkt equation_Aug6 13 43" xfId="26433"/>
    <cellStyle name="Comma [0] TBD_BV226 mkt equation_Aug6 13 44" xfId="26434"/>
    <cellStyle name="Comma [0] TBD-_BV226 mkt equation_Aug6 13 44" xfId="26435"/>
    <cellStyle name="Comma [0] TBD_BV226 mkt equation_Aug6 13 45" xfId="26436"/>
    <cellStyle name="Comma [0] TBD-_BV226 mkt equation_Aug6 13 45" xfId="26437"/>
    <cellStyle name="Comma [0] TBD_BV226 mkt equation_Aug6 13 46" xfId="26438"/>
    <cellStyle name="Comma [0] TBD-_BV226 mkt equation_Aug6 13 46" xfId="26439"/>
    <cellStyle name="Comma [0] TBD_BV226 mkt equation_Aug6 13 47" xfId="26440"/>
    <cellStyle name="Comma [0] TBD-_BV226 mkt equation_Aug6 13 47" xfId="26441"/>
    <cellStyle name="Comma [0] TBD_BV226 mkt equation_Aug6 13 48" xfId="26442"/>
    <cellStyle name="Comma [0] TBD-_BV226 mkt equation_Aug6 13 48" xfId="26443"/>
    <cellStyle name="Comma [0] TBD_BV226 mkt equation_Aug6 13 49" xfId="26444"/>
    <cellStyle name="Comma [0] TBD-_BV226 mkt equation_Aug6 13 49" xfId="26445"/>
    <cellStyle name="Comma [0] TBD_BV226 mkt equation_Aug6 13 5" xfId="26446"/>
    <cellStyle name="Comma [0] TBD-_BV226 mkt equation_Aug6 13 5" xfId="26447"/>
    <cellStyle name="Comma [0] TBD_BV226 mkt equation_Aug6 13 50" xfId="26448"/>
    <cellStyle name="Comma [0] TBD-_BV226 mkt equation_Aug6 13 50" xfId="26449"/>
    <cellStyle name="Comma [0] TBD_BV226 mkt equation_Aug6 13 51" xfId="26450"/>
    <cellStyle name="Comma [0] TBD-_BV226 mkt equation_Aug6 13 51" xfId="26451"/>
    <cellStyle name="Comma [0] TBD_BV226 mkt equation_Aug6 13 52" xfId="26452"/>
    <cellStyle name="Comma [0] TBD-_BV226 mkt equation_Aug6 13 52" xfId="26453"/>
    <cellStyle name="Comma [0] TBD_BV226 mkt equation_Aug6 13 53" xfId="26454"/>
    <cellStyle name="Comma [0] TBD-_BV226 mkt equation_Aug6 13 53" xfId="26455"/>
    <cellStyle name="Comma [0] TBD_BV226 mkt equation_Aug6 13 54" xfId="26456"/>
    <cellStyle name="Comma [0] TBD-_BV226 mkt equation_Aug6 13 54" xfId="26457"/>
    <cellStyle name="Comma [0] TBD_BV226 mkt equation_Aug6 13 55" xfId="26458"/>
    <cellStyle name="Comma [0] TBD-_BV226 mkt equation_Aug6 13 55" xfId="26459"/>
    <cellStyle name="Comma [0] TBD_BV226 mkt equation_Aug6 13 56" xfId="26460"/>
    <cellStyle name="Comma [0] TBD-_BV226 mkt equation_Aug6 13 56" xfId="26461"/>
    <cellStyle name="Comma [0] TBD_BV226 mkt equation_Aug6 13 57" xfId="26462"/>
    <cellStyle name="Comma [0] TBD-_BV226 mkt equation_Aug6 13 57" xfId="26463"/>
    <cellStyle name="Comma [0] TBD_BV226 mkt equation_Aug6 13 58" xfId="26464"/>
    <cellStyle name="Comma [0] TBD-_BV226 mkt equation_Aug6 13 58" xfId="26465"/>
    <cellStyle name="Comma [0] TBD_BV226 mkt equation_Aug6 13 59" xfId="26466"/>
    <cellStyle name="Comma [0] TBD-_BV226 mkt equation_Aug6 13 59" xfId="26467"/>
    <cellStyle name="Comma [0] TBD_BV226 mkt equation_Aug6 13 6" xfId="26468"/>
    <cellStyle name="Comma [0] TBD-_BV226 mkt equation_Aug6 13 6" xfId="26469"/>
    <cellStyle name="Comma [0] TBD_BV226 mkt equation_Aug6 13 60" xfId="26470"/>
    <cellStyle name="Comma [0] TBD-_BV226 mkt equation_Aug6 13 60" xfId="26471"/>
    <cellStyle name="Comma [0] TBD_BV226 mkt equation_Aug6 13 61" xfId="26472"/>
    <cellStyle name="Comma [0] TBD-_BV226 mkt equation_Aug6 13 61" xfId="26473"/>
    <cellStyle name="Comma [0] TBD_BV226 mkt equation_Aug6 13 62" xfId="26474"/>
    <cellStyle name="Comma [0] TBD-_BV226 mkt equation_Aug6 13 62" xfId="26475"/>
    <cellStyle name="Comma [0] TBD_BV226 mkt equation_Aug6 13 63" xfId="26476"/>
    <cellStyle name="Comma [0] TBD-_BV226 mkt equation_Aug6 13 63" xfId="26477"/>
    <cellStyle name="Comma [0] TBD_BV226 mkt equation_Aug6 13 64" xfId="26478"/>
    <cellStyle name="Comma [0] TBD-_BV226 mkt equation_Aug6 13 64" xfId="26479"/>
    <cellStyle name="Comma [0] TBD_BV226 mkt equation_Aug6 13 65" xfId="26480"/>
    <cellStyle name="Comma [0] TBD-_BV226 mkt equation_Aug6 13 65" xfId="26481"/>
    <cellStyle name="Comma [0] TBD_BV226 mkt equation_Aug6 13 66" xfId="26482"/>
    <cellStyle name="Comma [0] TBD-_BV226 mkt equation_Aug6 13 66" xfId="26483"/>
    <cellStyle name="Comma [0] TBD_BV226 mkt equation_Aug6 13 67" xfId="26484"/>
    <cellStyle name="Comma [0] TBD-_BV226 mkt equation_Aug6 13 67" xfId="26485"/>
    <cellStyle name="Comma [0] TBD_BV226 mkt equation_Aug6 13 68" xfId="26486"/>
    <cellStyle name="Comma [0] TBD-_BV226 mkt equation_Aug6 13 68" xfId="26487"/>
    <cellStyle name="Comma [0] TBD_BV226 mkt equation_Aug6 13 69" xfId="26488"/>
    <cellStyle name="Comma [0] TBD-_BV226 mkt equation_Aug6 13 69" xfId="26489"/>
    <cellStyle name="Comma [0] TBD_BV226 mkt equation_Aug6 13 7" xfId="26490"/>
    <cellStyle name="Comma [0] TBD-_BV226 mkt equation_Aug6 13 7" xfId="26491"/>
    <cellStyle name="Comma [0] TBD_BV226 mkt equation_Aug6 13 70" xfId="26492"/>
    <cellStyle name="Comma [0] TBD-_BV226 mkt equation_Aug6 13 70" xfId="26493"/>
    <cellStyle name="Comma [0] TBD_BV226 mkt equation_Aug6 13 71" xfId="26494"/>
    <cellStyle name="Comma [0] TBD-_BV226 mkt equation_Aug6 13 71" xfId="26495"/>
    <cellStyle name="Comma [0] TBD_BV226 mkt equation_Aug6 13 72" xfId="26496"/>
    <cellStyle name="Comma [0] TBD-_BV226 mkt equation_Aug6 13 72" xfId="26497"/>
    <cellStyle name="Comma [0] TBD_BV226 mkt equation_Aug6 13 73" xfId="26498"/>
    <cellStyle name="Comma [0] TBD-_BV226 mkt equation_Aug6 13 73" xfId="26499"/>
    <cellStyle name="Comma [0] TBD_BV226 mkt equation_Aug6 13 74" xfId="26500"/>
    <cellStyle name="Comma [0] TBD-_BV226 mkt equation_Aug6 13 74" xfId="26501"/>
    <cellStyle name="Comma [0] TBD_BV226 mkt equation_Aug6 13 75" xfId="26502"/>
    <cellStyle name="Comma [0] TBD-_BV226 mkt equation_Aug6 13 75" xfId="26503"/>
    <cellStyle name="Comma [0] TBD_BV226 mkt equation_Aug6 13 76" xfId="26504"/>
    <cellStyle name="Comma [0] TBD-_BV226 mkt equation_Aug6 13 76" xfId="26505"/>
    <cellStyle name="Comma [0] TBD_BV226 mkt equation_Aug6 13 77" xfId="26506"/>
    <cellStyle name="Comma [0] TBD-_BV226 mkt equation_Aug6 13 77" xfId="26507"/>
    <cellStyle name="Comma [0] TBD_BV226 mkt equation_Aug6 13 78" xfId="26508"/>
    <cellStyle name="Comma [0] TBD-_BV226 mkt equation_Aug6 13 78" xfId="26509"/>
    <cellStyle name="Comma [0] TBD_BV226 mkt equation_Aug6 13 79" xfId="26510"/>
    <cellStyle name="Comma [0] TBD-_BV226 mkt equation_Aug6 13 79" xfId="26511"/>
    <cellStyle name="Comma [0] TBD_BV226 mkt equation_Aug6 13 8" xfId="26512"/>
    <cellStyle name="Comma [0] TBD-_BV226 mkt equation_Aug6 13 8" xfId="26513"/>
    <cellStyle name="Comma [0] TBD_BV226 mkt equation_Aug6 13 80" xfId="26514"/>
    <cellStyle name="Comma [0] TBD-_BV226 mkt equation_Aug6 13 80" xfId="26515"/>
    <cellStyle name="Comma [0] TBD_BV226 mkt equation_Aug6 13 81" xfId="26516"/>
    <cellStyle name="Comma [0] TBD-_BV226 mkt equation_Aug6 13 81" xfId="26517"/>
    <cellStyle name="Comma [0] TBD_BV226 mkt equation_Aug6 13 82" xfId="26518"/>
    <cellStyle name="Comma [0] TBD-_BV226 mkt equation_Aug6 13 82" xfId="26519"/>
    <cellStyle name="Comma [0] TBD_BV226 mkt equation_Aug6 13 83" xfId="26520"/>
    <cellStyle name="Comma [0] TBD-_BV226 mkt equation_Aug6 13 83" xfId="26521"/>
    <cellStyle name="Comma [0] TBD_BV226 mkt equation_Aug6 13 84" xfId="26522"/>
    <cellStyle name="Comma [0] TBD-_BV226 mkt equation_Aug6 13 84" xfId="26523"/>
    <cellStyle name="Comma [0] TBD_BV226 mkt equation_Aug6 13 85" xfId="26524"/>
    <cellStyle name="Comma [0] TBD-_BV226 mkt equation_Aug6 13 85" xfId="26525"/>
    <cellStyle name="Comma [0] TBD_BV226 mkt equation_Aug6 13 86" xfId="26526"/>
    <cellStyle name="Comma [0] TBD-_BV226 mkt equation_Aug6 13 86" xfId="26527"/>
    <cellStyle name="Comma [0] TBD_BV226 mkt equation_Aug6 13 87" xfId="26528"/>
    <cellStyle name="Comma [0] TBD-_BV226 mkt equation_Aug6 13 87" xfId="26529"/>
    <cellStyle name="Comma [0] TBD_BV226 mkt equation_Aug6 13 88" xfId="26530"/>
    <cellStyle name="Comma [0] TBD-_BV226 mkt equation_Aug6 13 88" xfId="26531"/>
    <cellStyle name="Comma [0] TBD_BV226 mkt equation_Aug6 13 89" xfId="26532"/>
    <cellStyle name="Comma [0] TBD-_BV226 mkt equation_Aug6 13 89" xfId="26533"/>
    <cellStyle name="Comma [0] TBD_BV226 mkt equation_Aug6 13 9" xfId="26534"/>
    <cellStyle name="Comma [0] TBD-_BV226 mkt equation_Aug6 13 9" xfId="26535"/>
    <cellStyle name="Comma [0] TBD_BV226 mkt equation_Aug6 13 90" xfId="26536"/>
    <cellStyle name="Comma [0] TBD-_BV226 mkt equation_Aug6 13 90" xfId="26537"/>
    <cellStyle name="Comma [0] TBD_BV226 mkt equation_Aug6 13 91" xfId="26538"/>
    <cellStyle name="Comma [0] TBD-_BV226 mkt equation_Aug6 13 91" xfId="26539"/>
    <cellStyle name="Comma [0] TBD_BV226 mkt equation_Aug6 13 92" xfId="26540"/>
    <cellStyle name="Comma [0] TBD-_BV226 mkt equation_Aug6 13 92" xfId="26541"/>
    <cellStyle name="Comma [0] TBD_BV226 mkt equation_Aug6 13 93" xfId="26542"/>
    <cellStyle name="Comma [0] TBD-_BV226 mkt equation_Aug6 13 93" xfId="26543"/>
    <cellStyle name="Comma [0] TBD_BV226 mkt equation_Aug6 13 94" xfId="26544"/>
    <cellStyle name="Comma [0] TBD-_BV226 mkt equation_Aug6 13 94" xfId="26545"/>
    <cellStyle name="Comma [0] TBD_BV226 mkt equation_Aug6 13 95" xfId="26546"/>
    <cellStyle name="Comma [0] TBD-_BV226 mkt equation_Aug6 13 95" xfId="26547"/>
    <cellStyle name="Comma [0] TBD_BV226 mkt equation_Aug6 13 96" xfId="26548"/>
    <cellStyle name="Comma [0] TBD-_BV226 mkt equation_Aug6 13 96" xfId="26549"/>
    <cellStyle name="Comma [0] TBD_BV226 mkt equation_Aug6 13 97" xfId="26550"/>
    <cellStyle name="Comma [0] TBD-_BV226 mkt equation_Aug6 13 97" xfId="26551"/>
    <cellStyle name="Comma [0] TBD_BV226 mkt equation_Aug6 13 98" xfId="26552"/>
    <cellStyle name="Comma [0] TBD-_BV226 mkt equation_Aug6 13 98" xfId="26553"/>
    <cellStyle name="Comma [0] TBD_BV226 mkt equation_Aug6 13 99" xfId="26554"/>
    <cellStyle name="Comma [0] TBD-_BV226 mkt equation_Aug6 13 99" xfId="26555"/>
    <cellStyle name="Comma [0] TBD_BV226 mkt equation_Aug6 14" xfId="26556"/>
    <cellStyle name="Comma [0] TBD-_BV226 mkt equation_Aug6 14" xfId="26557"/>
    <cellStyle name="Comma [0] TBD_BV226 mkt equation_Aug6 14 10" xfId="26558"/>
    <cellStyle name="Comma [0] TBD-_BV226 mkt equation_Aug6 14 10" xfId="26559"/>
    <cellStyle name="Comma [0] TBD_BV226 mkt equation_Aug6 14 100" xfId="26560"/>
    <cellStyle name="Comma [0] TBD-_BV226 mkt equation_Aug6 14 100" xfId="26561"/>
    <cellStyle name="Comma [0] TBD_BV226 mkt equation_Aug6 14 101" xfId="26562"/>
    <cellStyle name="Comma [0] TBD-_BV226 mkt equation_Aug6 14 101" xfId="26563"/>
    <cellStyle name="Comma [0] TBD_BV226 mkt equation_Aug6 14 102" xfId="26564"/>
    <cellStyle name="Comma [0] TBD-_BV226 mkt equation_Aug6 14 102" xfId="26565"/>
    <cellStyle name="Comma [0] TBD_BV226 mkt equation_Aug6 14 103" xfId="26566"/>
    <cellStyle name="Comma [0] TBD-_BV226 mkt equation_Aug6 14 103" xfId="26567"/>
    <cellStyle name="Comma [0] TBD_BV226 mkt equation_Aug6 14 104" xfId="26568"/>
    <cellStyle name="Comma [0] TBD-_BV226 mkt equation_Aug6 14 104" xfId="26569"/>
    <cellStyle name="Comma [0] TBD_BV226 mkt equation_Aug6 14 105" xfId="26570"/>
    <cellStyle name="Comma [0] TBD-_BV226 mkt equation_Aug6 14 105" xfId="26571"/>
    <cellStyle name="Comma [0] TBD_BV226 mkt equation_Aug6 14 106" xfId="26572"/>
    <cellStyle name="Comma [0] TBD-_BV226 mkt equation_Aug6 14 106" xfId="26573"/>
    <cellStyle name="Comma [0] TBD_BV226 mkt equation_Aug6 14 107" xfId="26574"/>
    <cellStyle name="Comma [0] TBD-_BV226 mkt equation_Aug6 14 107" xfId="26575"/>
    <cellStyle name="Comma [0] TBD_BV226 mkt equation_Aug6 14 108" xfId="26576"/>
    <cellStyle name="Comma [0] TBD-_BV226 mkt equation_Aug6 14 108" xfId="26577"/>
    <cellStyle name="Comma [0] TBD_BV226 mkt equation_Aug6 14 109" xfId="26578"/>
    <cellStyle name="Comma [0] TBD-_BV226 mkt equation_Aug6 14 109" xfId="26579"/>
    <cellStyle name="Comma [0] TBD_BV226 mkt equation_Aug6 14 11" xfId="26580"/>
    <cellStyle name="Comma [0] TBD-_BV226 mkt equation_Aug6 14 11" xfId="26581"/>
    <cellStyle name="Comma [0] TBD_BV226 mkt equation_Aug6 14 110" xfId="26582"/>
    <cellStyle name="Comma [0] TBD-_BV226 mkt equation_Aug6 14 110" xfId="26583"/>
    <cellStyle name="Comma [0] TBD_BV226 mkt equation_Aug6 14 111" xfId="26584"/>
    <cellStyle name="Comma [0] TBD-_BV226 mkt equation_Aug6 14 111" xfId="26585"/>
    <cellStyle name="Comma [0] TBD_BV226 mkt equation_Aug6 14 112" xfId="26586"/>
    <cellStyle name="Comma [0] TBD-_BV226 mkt equation_Aug6 14 112" xfId="26587"/>
    <cellStyle name="Comma [0] TBD_BV226 mkt equation_Aug6 14 113" xfId="26588"/>
    <cellStyle name="Comma [0] TBD-_BV226 mkt equation_Aug6 14 113" xfId="26589"/>
    <cellStyle name="Comma [0] TBD_BV226 mkt equation_Aug6 14 114" xfId="26590"/>
    <cellStyle name="Comma [0] TBD-_BV226 mkt equation_Aug6 14 114" xfId="26591"/>
    <cellStyle name="Comma [0] TBD_BV226 mkt equation_Aug6 14 115" xfId="26592"/>
    <cellStyle name="Comma [0] TBD-_BV226 mkt equation_Aug6 14 115" xfId="26593"/>
    <cellStyle name="Comma [0] TBD_BV226 mkt equation_Aug6 14 116" xfId="26594"/>
    <cellStyle name="Comma [0] TBD-_BV226 mkt equation_Aug6 14 116" xfId="26595"/>
    <cellStyle name="Comma [0] TBD_BV226 mkt equation_Aug6 14 117" xfId="26596"/>
    <cellStyle name="Comma [0] TBD-_BV226 mkt equation_Aug6 14 117" xfId="26597"/>
    <cellStyle name="Comma [0] TBD_BV226 mkt equation_Aug6 14 118" xfId="26598"/>
    <cellStyle name="Comma [0] TBD-_BV226 mkt equation_Aug6 14 118" xfId="26599"/>
    <cellStyle name="Comma [0] TBD_BV226 mkt equation_Aug6 14 119" xfId="26600"/>
    <cellStyle name="Comma [0] TBD-_BV226 mkt equation_Aug6 14 119" xfId="26601"/>
    <cellStyle name="Comma [0] TBD_BV226 mkt equation_Aug6 14 12" xfId="26602"/>
    <cellStyle name="Comma [0] TBD-_BV226 mkt equation_Aug6 14 12" xfId="26603"/>
    <cellStyle name="Comma [0] TBD_BV226 mkt equation_Aug6 14 120" xfId="26604"/>
    <cellStyle name="Comma [0] TBD-_BV226 mkt equation_Aug6 14 120" xfId="26605"/>
    <cellStyle name="Comma [0] TBD_BV226 mkt equation_Aug6 14 121" xfId="26606"/>
    <cellStyle name="Comma [0] TBD-_BV226 mkt equation_Aug6 14 121" xfId="26607"/>
    <cellStyle name="Comma [0] TBD_BV226 mkt equation_Aug6 14 122" xfId="26608"/>
    <cellStyle name="Comma [0] TBD-_BV226 mkt equation_Aug6 14 122" xfId="26609"/>
    <cellStyle name="Comma [0] TBD_BV226 mkt equation_Aug6 14 123" xfId="26610"/>
    <cellStyle name="Comma [0] TBD-_BV226 mkt equation_Aug6 14 123" xfId="26611"/>
    <cellStyle name="Comma [0] TBD_BV226 mkt equation_Aug6 14 124" xfId="26612"/>
    <cellStyle name="Comma [0] TBD-_BV226 mkt equation_Aug6 14 124" xfId="26613"/>
    <cellStyle name="Comma [0] TBD_BV226 mkt equation_Aug6 14 125" xfId="26614"/>
    <cellStyle name="Comma [0] TBD-_BV226 mkt equation_Aug6 14 125" xfId="26615"/>
    <cellStyle name="Comma [0] TBD_BV226 mkt equation_Aug6 14 126" xfId="26616"/>
    <cellStyle name="Comma [0] TBD-_BV226 mkt equation_Aug6 14 126" xfId="26617"/>
    <cellStyle name="Comma [0] TBD_BV226 mkt equation_Aug6 14 127" xfId="26618"/>
    <cellStyle name="Comma [0] TBD-_BV226 mkt equation_Aug6 14 127" xfId="26619"/>
    <cellStyle name="Comma [0] TBD_BV226 mkt equation_Aug6 14 128" xfId="26620"/>
    <cellStyle name="Comma [0] TBD-_BV226 mkt equation_Aug6 14 128" xfId="26621"/>
    <cellStyle name="Comma [0] TBD_BV226 mkt equation_Aug6 14 129" xfId="26622"/>
    <cellStyle name="Comma [0] TBD-_BV226 mkt equation_Aug6 14 129" xfId="26623"/>
    <cellStyle name="Comma [0] TBD_BV226 mkt equation_Aug6 14 13" xfId="26624"/>
    <cellStyle name="Comma [0] TBD-_BV226 mkt equation_Aug6 14 13" xfId="26625"/>
    <cellStyle name="Comma [0] TBD_BV226 mkt equation_Aug6 14 130" xfId="26626"/>
    <cellStyle name="Comma [0] TBD-_BV226 mkt equation_Aug6 14 130" xfId="26627"/>
    <cellStyle name="Comma [0] TBD_BV226 mkt equation_Aug6 14 131" xfId="26628"/>
    <cellStyle name="Comma [0] TBD-_BV226 mkt equation_Aug6 14 131" xfId="26629"/>
    <cellStyle name="Comma [0] TBD_BV226 mkt equation_Aug6 14 132" xfId="26630"/>
    <cellStyle name="Comma [0] TBD-_BV226 mkt equation_Aug6 14 132" xfId="26631"/>
    <cellStyle name="Comma [0] TBD_BV226 mkt equation_Aug6 14 133" xfId="26632"/>
    <cellStyle name="Comma [0] TBD-_BV226 mkt equation_Aug6 14 133" xfId="26633"/>
    <cellStyle name="Comma [0] TBD_BV226 mkt equation_Aug6 14 134" xfId="26634"/>
    <cellStyle name="Comma [0] TBD-_BV226 mkt equation_Aug6 14 134" xfId="26635"/>
    <cellStyle name="Comma [0] TBD_BV226 mkt equation_Aug6 14 135" xfId="26636"/>
    <cellStyle name="Comma [0] TBD-_BV226 mkt equation_Aug6 14 135" xfId="26637"/>
    <cellStyle name="Comma [0] TBD_BV226 mkt equation_Aug6 14 136" xfId="26638"/>
    <cellStyle name="Comma [0] TBD-_BV226 mkt equation_Aug6 14 136" xfId="26639"/>
    <cellStyle name="Comma [0] TBD_BV226 mkt equation_Aug6 14 137" xfId="26640"/>
    <cellStyle name="Comma [0] TBD-_BV226 mkt equation_Aug6 14 137" xfId="26641"/>
    <cellStyle name="Comma [0] TBD_BV226 mkt equation_Aug6 14 138" xfId="26642"/>
    <cellStyle name="Comma [0] TBD-_BV226 mkt equation_Aug6 14 138" xfId="26643"/>
    <cellStyle name="Comma [0] TBD_BV226 mkt equation_Aug6 14 139" xfId="26644"/>
    <cellStyle name="Comma [0] TBD-_BV226 mkt equation_Aug6 14 139" xfId="26645"/>
    <cellStyle name="Comma [0] TBD_BV226 mkt equation_Aug6 14 14" xfId="26646"/>
    <cellStyle name="Comma [0] TBD-_BV226 mkt equation_Aug6 14 14" xfId="26647"/>
    <cellStyle name="Comma [0] TBD_BV226 mkt equation_Aug6 14 140" xfId="26648"/>
    <cellStyle name="Comma [0] TBD-_BV226 mkt equation_Aug6 14 140" xfId="26649"/>
    <cellStyle name="Comma [0] TBD_BV226 mkt equation_Aug6 14 141" xfId="26650"/>
    <cellStyle name="Comma [0] TBD-_BV226 mkt equation_Aug6 14 141" xfId="26651"/>
    <cellStyle name="Comma [0] TBD_BV226 mkt equation_Aug6 14 142" xfId="26652"/>
    <cellStyle name="Comma [0] TBD-_BV226 mkt equation_Aug6 14 142" xfId="26653"/>
    <cellStyle name="Comma [0] TBD_BV226 mkt equation_Aug6 14 143" xfId="26654"/>
    <cellStyle name="Comma [0] TBD-_BV226 mkt equation_Aug6 14 143" xfId="26655"/>
    <cellStyle name="Comma [0] TBD_BV226 mkt equation_Aug6 14 144" xfId="26656"/>
    <cellStyle name="Comma [0] TBD-_BV226 mkt equation_Aug6 14 144" xfId="26657"/>
    <cellStyle name="Comma [0] TBD_BV226 mkt equation_Aug6 14 145" xfId="26658"/>
    <cellStyle name="Comma [0] TBD-_BV226 mkt equation_Aug6 14 145" xfId="26659"/>
    <cellStyle name="Comma [0] TBD_BV226 mkt equation_Aug6 14 146" xfId="26660"/>
    <cellStyle name="Comma [0] TBD-_BV226 mkt equation_Aug6 14 146" xfId="26661"/>
    <cellStyle name="Comma [0] TBD_BV226 mkt equation_Aug6 14 147" xfId="26662"/>
    <cellStyle name="Comma [0] TBD-_BV226 mkt equation_Aug6 14 147" xfId="26663"/>
    <cellStyle name="Comma [0] TBD_BV226 mkt equation_Aug6 14 148" xfId="26664"/>
    <cellStyle name="Comma [0] TBD-_BV226 mkt equation_Aug6 14 148" xfId="26665"/>
    <cellStyle name="Comma [0] TBD_BV226 mkt equation_Aug6 14 149" xfId="26666"/>
    <cellStyle name="Comma [0] TBD-_BV226 mkt equation_Aug6 14 149" xfId="26667"/>
    <cellStyle name="Comma [0] TBD_BV226 mkt equation_Aug6 14 15" xfId="26668"/>
    <cellStyle name="Comma [0] TBD-_BV226 mkt equation_Aug6 14 15" xfId="26669"/>
    <cellStyle name="Comma [0] TBD_BV226 mkt equation_Aug6 14 150" xfId="26670"/>
    <cellStyle name="Comma [0] TBD-_BV226 mkt equation_Aug6 14 150" xfId="26671"/>
    <cellStyle name="Comma [0] TBD_BV226 mkt equation_Aug6 14 151" xfId="26672"/>
    <cellStyle name="Comma [0] TBD-_BV226 mkt equation_Aug6 14 151" xfId="26673"/>
    <cellStyle name="Comma [0] TBD_BV226 mkt equation_Aug6 14 152" xfId="26674"/>
    <cellStyle name="Comma [0] TBD-_BV226 mkt equation_Aug6 14 152" xfId="26675"/>
    <cellStyle name="Comma [0] TBD_BV226 mkt equation_Aug6 14 153" xfId="26676"/>
    <cellStyle name="Comma [0] TBD-_BV226 mkt equation_Aug6 14 153" xfId="26677"/>
    <cellStyle name="Comma [0] TBD_BV226 mkt equation_Aug6 14 16" xfId="26678"/>
    <cellStyle name="Comma [0] TBD-_BV226 mkt equation_Aug6 14 16" xfId="26679"/>
    <cellStyle name="Comma [0] TBD_BV226 mkt equation_Aug6 14 17" xfId="26680"/>
    <cellStyle name="Comma [0] TBD-_BV226 mkt equation_Aug6 14 17" xfId="26681"/>
    <cellStyle name="Comma [0] TBD_BV226 mkt equation_Aug6 14 18" xfId="26682"/>
    <cellStyle name="Comma [0] TBD-_BV226 mkt equation_Aug6 14 18" xfId="26683"/>
    <cellStyle name="Comma [0] TBD_BV226 mkt equation_Aug6 14 19" xfId="26684"/>
    <cellStyle name="Comma [0] TBD-_BV226 mkt equation_Aug6 14 19" xfId="26685"/>
    <cellStyle name="Comma [0] TBD_BV226 mkt equation_Aug6 14 2" xfId="26686"/>
    <cellStyle name="Comma [0] TBD-_BV226 mkt equation_Aug6 14 2" xfId="26687"/>
    <cellStyle name="Comma [0] TBD_BV226 mkt equation_Aug6 14 20" xfId="26688"/>
    <cellStyle name="Comma [0] TBD-_BV226 mkt equation_Aug6 14 20" xfId="26689"/>
    <cellStyle name="Comma [0] TBD_BV226 mkt equation_Aug6 14 21" xfId="26690"/>
    <cellStyle name="Comma [0] TBD-_BV226 mkt equation_Aug6 14 21" xfId="26691"/>
    <cellStyle name="Comma [0] TBD_BV226 mkt equation_Aug6 14 22" xfId="26692"/>
    <cellStyle name="Comma [0] TBD-_BV226 mkt equation_Aug6 14 22" xfId="26693"/>
    <cellStyle name="Comma [0] TBD_BV226 mkt equation_Aug6 14 23" xfId="26694"/>
    <cellStyle name="Comma [0] TBD-_BV226 mkt equation_Aug6 14 23" xfId="26695"/>
    <cellStyle name="Comma [0] TBD_BV226 mkt equation_Aug6 14 24" xfId="26696"/>
    <cellStyle name="Comma [0] TBD-_BV226 mkt equation_Aug6 14 24" xfId="26697"/>
    <cellStyle name="Comma [0] TBD_BV226 mkt equation_Aug6 14 25" xfId="26698"/>
    <cellStyle name="Comma [0] TBD-_BV226 mkt equation_Aug6 14 25" xfId="26699"/>
    <cellStyle name="Comma [0] TBD_BV226 mkt equation_Aug6 14 26" xfId="26700"/>
    <cellStyle name="Comma [0] TBD-_BV226 mkt equation_Aug6 14 26" xfId="26701"/>
    <cellStyle name="Comma [0] TBD_BV226 mkt equation_Aug6 14 27" xfId="26702"/>
    <cellStyle name="Comma [0] TBD-_BV226 mkt equation_Aug6 14 27" xfId="26703"/>
    <cellStyle name="Comma [0] TBD_BV226 mkt equation_Aug6 14 28" xfId="26704"/>
    <cellStyle name="Comma [0] TBD-_BV226 mkt equation_Aug6 14 28" xfId="26705"/>
    <cellStyle name="Comma [0] TBD_BV226 mkt equation_Aug6 14 29" xfId="26706"/>
    <cellStyle name="Comma [0] TBD-_BV226 mkt equation_Aug6 14 29" xfId="26707"/>
    <cellStyle name="Comma [0] TBD_BV226 mkt equation_Aug6 14 3" xfId="26708"/>
    <cellStyle name="Comma [0] TBD-_BV226 mkt equation_Aug6 14 3" xfId="26709"/>
    <cellStyle name="Comma [0] TBD_BV226 mkt equation_Aug6 14 30" xfId="26710"/>
    <cellStyle name="Comma [0] TBD-_BV226 mkt equation_Aug6 14 30" xfId="26711"/>
    <cellStyle name="Comma [0] TBD_BV226 mkt equation_Aug6 14 31" xfId="26712"/>
    <cellStyle name="Comma [0] TBD-_BV226 mkt equation_Aug6 14 31" xfId="26713"/>
    <cellStyle name="Comma [0] TBD_BV226 mkt equation_Aug6 14 32" xfId="26714"/>
    <cellStyle name="Comma [0] TBD-_BV226 mkt equation_Aug6 14 32" xfId="26715"/>
    <cellStyle name="Comma [0] TBD_BV226 mkt equation_Aug6 14 33" xfId="26716"/>
    <cellStyle name="Comma [0] TBD-_BV226 mkt equation_Aug6 14 33" xfId="26717"/>
    <cellStyle name="Comma [0] TBD_BV226 mkt equation_Aug6 14 34" xfId="26718"/>
    <cellStyle name="Comma [0] TBD-_BV226 mkt equation_Aug6 14 34" xfId="26719"/>
    <cellStyle name="Comma [0] TBD_BV226 mkt equation_Aug6 14 35" xfId="26720"/>
    <cellStyle name="Comma [0] TBD-_BV226 mkt equation_Aug6 14 35" xfId="26721"/>
    <cellStyle name="Comma [0] TBD_BV226 mkt equation_Aug6 14 36" xfId="26722"/>
    <cellStyle name="Comma [0] TBD-_BV226 mkt equation_Aug6 14 36" xfId="26723"/>
    <cellStyle name="Comma [0] TBD_BV226 mkt equation_Aug6 14 37" xfId="26724"/>
    <cellStyle name="Comma [0] TBD-_BV226 mkt equation_Aug6 14 37" xfId="26725"/>
    <cellStyle name="Comma [0] TBD_BV226 mkt equation_Aug6 14 38" xfId="26726"/>
    <cellStyle name="Comma [0] TBD-_BV226 mkt equation_Aug6 14 38" xfId="26727"/>
    <cellStyle name="Comma [0] TBD_BV226 mkt equation_Aug6 14 39" xfId="26728"/>
    <cellStyle name="Comma [0] TBD-_BV226 mkt equation_Aug6 14 39" xfId="26729"/>
    <cellStyle name="Comma [0] TBD_BV226 mkt equation_Aug6 14 4" xfId="26730"/>
    <cellStyle name="Comma [0] TBD-_BV226 mkt equation_Aug6 14 4" xfId="26731"/>
    <cellStyle name="Comma [0] TBD_BV226 mkt equation_Aug6 14 40" xfId="26732"/>
    <cellStyle name="Comma [0] TBD-_BV226 mkt equation_Aug6 14 40" xfId="26733"/>
    <cellStyle name="Comma [0] TBD_BV226 mkt equation_Aug6 14 41" xfId="26734"/>
    <cellStyle name="Comma [0] TBD-_BV226 mkt equation_Aug6 14 41" xfId="26735"/>
    <cellStyle name="Comma [0] TBD_BV226 mkt equation_Aug6 14 42" xfId="26736"/>
    <cellStyle name="Comma [0] TBD-_BV226 mkt equation_Aug6 14 42" xfId="26737"/>
    <cellStyle name="Comma [0] TBD_BV226 mkt equation_Aug6 14 43" xfId="26738"/>
    <cellStyle name="Comma [0] TBD-_BV226 mkt equation_Aug6 14 43" xfId="26739"/>
    <cellStyle name="Comma [0] TBD_BV226 mkt equation_Aug6 14 44" xfId="26740"/>
    <cellStyle name="Comma [0] TBD-_BV226 mkt equation_Aug6 14 44" xfId="26741"/>
    <cellStyle name="Comma [0] TBD_BV226 mkt equation_Aug6 14 45" xfId="26742"/>
    <cellStyle name="Comma [0] TBD-_BV226 mkt equation_Aug6 14 45" xfId="26743"/>
    <cellStyle name="Comma [0] TBD_BV226 mkt equation_Aug6 14 46" xfId="26744"/>
    <cellStyle name="Comma [0] TBD-_BV226 mkt equation_Aug6 14 46" xfId="26745"/>
    <cellStyle name="Comma [0] TBD_BV226 mkt equation_Aug6 14 47" xfId="26746"/>
    <cellStyle name="Comma [0] TBD-_BV226 mkt equation_Aug6 14 47" xfId="26747"/>
    <cellStyle name="Comma [0] TBD_BV226 mkt equation_Aug6 14 48" xfId="26748"/>
    <cellStyle name="Comma [0] TBD-_BV226 mkt equation_Aug6 14 48" xfId="26749"/>
    <cellStyle name="Comma [0] TBD_BV226 mkt equation_Aug6 14 49" xfId="26750"/>
    <cellStyle name="Comma [0] TBD-_BV226 mkt equation_Aug6 14 49" xfId="26751"/>
    <cellStyle name="Comma [0] TBD_BV226 mkt equation_Aug6 14 5" xfId="26752"/>
    <cellStyle name="Comma [0] TBD-_BV226 mkt equation_Aug6 14 5" xfId="26753"/>
    <cellStyle name="Comma [0] TBD_BV226 mkt equation_Aug6 14 50" xfId="26754"/>
    <cellStyle name="Comma [0] TBD-_BV226 mkt equation_Aug6 14 50" xfId="26755"/>
    <cellStyle name="Comma [0] TBD_BV226 mkt equation_Aug6 14 51" xfId="26756"/>
    <cellStyle name="Comma [0] TBD-_BV226 mkt equation_Aug6 14 51" xfId="26757"/>
    <cellStyle name="Comma [0] TBD_BV226 mkt equation_Aug6 14 52" xfId="26758"/>
    <cellStyle name="Comma [0] TBD-_BV226 mkt equation_Aug6 14 52" xfId="26759"/>
    <cellStyle name="Comma [0] TBD_BV226 mkt equation_Aug6 14 53" xfId="26760"/>
    <cellStyle name="Comma [0] TBD-_BV226 mkt equation_Aug6 14 53" xfId="26761"/>
    <cellStyle name="Comma [0] TBD_BV226 mkt equation_Aug6 14 54" xfId="26762"/>
    <cellStyle name="Comma [0] TBD-_BV226 mkt equation_Aug6 14 54" xfId="26763"/>
    <cellStyle name="Comma [0] TBD_BV226 mkt equation_Aug6 14 55" xfId="26764"/>
    <cellStyle name="Comma [0] TBD-_BV226 mkt equation_Aug6 14 55" xfId="26765"/>
    <cellStyle name="Comma [0] TBD_BV226 mkt equation_Aug6 14 56" xfId="26766"/>
    <cellStyle name="Comma [0] TBD-_BV226 mkt equation_Aug6 14 56" xfId="26767"/>
    <cellStyle name="Comma [0] TBD_BV226 mkt equation_Aug6 14 57" xfId="26768"/>
    <cellStyle name="Comma [0] TBD-_BV226 mkt equation_Aug6 14 57" xfId="26769"/>
    <cellStyle name="Comma [0] TBD_BV226 mkt equation_Aug6 14 58" xfId="26770"/>
    <cellStyle name="Comma [0] TBD-_BV226 mkt equation_Aug6 14 58" xfId="26771"/>
    <cellStyle name="Comma [0] TBD_BV226 mkt equation_Aug6 14 59" xfId="26772"/>
    <cellStyle name="Comma [0] TBD-_BV226 mkt equation_Aug6 14 59" xfId="26773"/>
    <cellStyle name="Comma [0] TBD_BV226 mkt equation_Aug6 14 6" xfId="26774"/>
    <cellStyle name="Comma [0] TBD-_BV226 mkt equation_Aug6 14 6" xfId="26775"/>
    <cellStyle name="Comma [0] TBD_BV226 mkt equation_Aug6 14 60" xfId="26776"/>
    <cellStyle name="Comma [0] TBD-_BV226 mkt equation_Aug6 14 60" xfId="26777"/>
    <cellStyle name="Comma [0] TBD_BV226 mkt equation_Aug6 14 61" xfId="26778"/>
    <cellStyle name="Comma [0] TBD-_BV226 mkt equation_Aug6 14 61" xfId="26779"/>
    <cellStyle name="Comma [0] TBD_BV226 mkt equation_Aug6 14 62" xfId="26780"/>
    <cellStyle name="Comma [0] TBD-_BV226 mkt equation_Aug6 14 62" xfId="26781"/>
    <cellStyle name="Comma [0] TBD_BV226 mkt equation_Aug6 14 63" xfId="26782"/>
    <cellStyle name="Comma [0] TBD-_BV226 mkt equation_Aug6 14 63" xfId="26783"/>
    <cellStyle name="Comma [0] TBD_BV226 mkt equation_Aug6 14 64" xfId="26784"/>
    <cellStyle name="Comma [0] TBD-_BV226 mkt equation_Aug6 14 64" xfId="26785"/>
    <cellStyle name="Comma [0] TBD_BV226 mkt equation_Aug6 14 65" xfId="26786"/>
    <cellStyle name="Comma [0] TBD-_BV226 mkt equation_Aug6 14 65" xfId="26787"/>
    <cellStyle name="Comma [0] TBD_BV226 mkt equation_Aug6 14 66" xfId="26788"/>
    <cellStyle name="Comma [0] TBD-_BV226 mkt equation_Aug6 14 66" xfId="26789"/>
    <cellStyle name="Comma [0] TBD_BV226 mkt equation_Aug6 14 67" xfId="26790"/>
    <cellStyle name="Comma [0] TBD-_BV226 mkt equation_Aug6 14 67" xfId="26791"/>
    <cellStyle name="Comma [0] TBD_BV226 mkt equation_Aug6 14 68" xfId="26792"/>
    <cellStyle name="Comma [0] TBD-_BV226 mkt equation_Aug6 14 68" xfId="26793"/>
    <cellStyle name="Comma [0] TBD_BV226 mkt equation_Aug6 14 69" xfId="26794"/>
    <cellStyle name="Comma [0] TBD-_BV226 mkt equation_Aug6 14 69" xfId="26795"/>
    <cellStyle name="Comma [0] TBD_BV226 mkt equation_Aug6 14 7" xfId="26796"/>
    <cellStyle name="Comma [0] TBD-_BV226 mkt equation_Aug6 14 7" xfId="26797"/>
    <cellStyle name="Comma [0] TBD_BV226 mkt equation_Aug6 14 70" xfId="26798"/>
    <cellStyle name="Comma [0] TBD-_BV226 mkt equation_Aug6 14 70" xfId="26799"/>
    <cellStyle name="Comma [0] TBD_BV226 mkt equation_Aug6 14 71" xfId="26800"/>
    <cellStyle name="Comma [0] TBD-_BV226 mkt equation_Aug6 14 71" xfId="26801"/>
    <cellStyle name="Comma [0] TBD_BV226 mkt equation_Aug6 14 72" xfId="26802"/>
    <cellStyle name="Comma [0] TBD-_BV226 mkt equation_Aug6 14 72" xfId="26803"/>
    <cellStyle name="Comma [0] TBD_BV226 mkt equation_Aug6 14 73" xfId="26804"/>
    <cellStyle name="Comma [0] TBD-_BV226 mkt equation_Aug6 14 73" xfId="26805"/>
    <cellStyle name="Comma [0] TBD_BV226 mkt equation_Aug6 14 74" xfId="26806"/>
    <cellStyle name="Comma [0] TBD-_BV226 mkt equation_Aug6 14 74" xfId="26807"/>
    <cellStyle name="Comma [0] TBD_BV226 mkt equation_Aug6 14 75" xfId="26808"/>
    <cellStyle name="Comma [0] TBD-_BV226 mkt equation_Aug6 14 75" xfId="26809"/>
    <cellStyle name="Comma [0] TBD_BV226 mkt equation_Aug6 14 76" xfId="26810"/>
    <cellStyle name="Comma [0] TBD-_BV226 mkt equation_Aug6 14 76" xfId="26811"/>
    <cellStyle name="Comma [0] TBD_BV226 mkt equation_Aug6 14 77" xfId="26812"/>
    <cellStyle name="Comma [0] TBD-_BV226 mkt equation_Aug6 14 77" xfId="26813"/>
    <cellStyle name="Comma [0] TBD_BV226 mkt equation_Aug6 14 78" xfId="26814"/>
    <cellStyle name="Comma [0] TBD-_BV226 mkt equation_Aug6 14 78" xfId="26815"/>
    <cellStyle name="Comma [0] TBD_BV226 mkt equation_Aug6 14 79" xfId="26816"/>
    <cellStyle name="Comma [0] TBD-_BV226 mkt equation_Aug6 14 79" xfId="26817"/>
    <cellStyle name="Comma [0] TBD_BV226 mkt equation_Aug6 14 8" xfId="26818"/>
    <cellStyle name="Comma [0] TBD-_BV226 mkt equation_Aug6 14 8" xfId="26819"/>
    <cellStyle name="Comma [0] TBD_BV226 mkt equation_Aug6 14 80" xfId="26820"/>
    <cellStyle name="Comma [0] TBD-_BV226 mkt equation_Aug6 14 80" xfId="26821"/>
    <cellStyle name="Comma [0] TBD_BV226 mkt equation_Aug6 14 81" xfId="26822"/>
    <cellStyle name="Comma [0] TBD-_BV226 mkt equation_Aug6 14 81" xfId="26823"/>
    <cellStyle name="Comma [0] TBD_BV226 mkt equation_Aug6 14 82" xfId="26824"/>
    <cellStyle name="Comma [0] TBD-_BV226 mkt equation_Aug6 14 82" xfId="26825"/>
    <cellStyle name="Comma [0] TBD_BV226 mkt equation_Aug6 14 83" xfId="26826"/>
    <cellStyle name="Comma [0] TBD-_BV226 mkt equation_Aug6 14 83" xfId="26827"/>
    <cellStyle name="Comma [0] TBD_BV226 mkt equation_Aug6 14 84" xfId="26828"/>
    <cellStyle name="Comma [0] TBD-_BV226 mkt equation_Aug6 14 84" xfId="26829"/>
    <cellStyle name="Comma [0] TBD_BV226 mkt equation_Aug6 14 85" xfId="26830"/>
    <cellStyle name="Comma [0] TBD-_BV226 mkt equation_Aug6 14 85" xfId="26831"/>
    <cellStyle name="Comma [0] TBD_BV226 mkt equation_Aug6 14 86" xfId="26832"/>
    <cellStyle name="Comma [0] TBD-_BV226 mkt equation_Aug6 14 86" xfId="26833"/>
    <cellStyle name="Comma [0] TBD_BV226 mkt equation_Aug6 14 87" xfId="26834"/>
    <cellStyle name="Comma [0] TBD-_BV226 mkt equation_Aug6 14 87" xfId="26835"/>
    <cellStyle name="Comma [0] TBD_BV226 mkt equation_Aug6 14 88" xfId="26836"/>
    <cellStyle name="Comma [0] TBD-_BV226 mkt equation_Aug6 14 88" xfId="26837"/>
    <cellStyle name="Comma [0] TBD_BV226 mkt equation_Aug6 14 89" xfId="26838"/>
    <cellStyle name="Comma [0] TBD-_BV226 mkt equation_Aug6 14 89" xfId="26839"/>
    <cellStyle name="Comma [0] TBD_BV226 mkt equation_Aug6 14 9" xfId="26840"/>
    <cellStyle name="Comma [0] TBD-_BV226 mkt equation_Aug6 14 9" xfId="26841"/>
    <cellStyle name="Comma [0] TBD_BV226 mkt equation_Aug6 14 90" xfId="26842"/>
    <cellStyle name="Comma [0] TBD-_BV226 mkt equation_Aug6 14 90" xfId="26843"/>
    <cellStyle name="Comma [0] TBD_BV226 mkt equation_Aug6 14 91" xfId="26844"/>
    <cellStyle name="Comma [0] TBD-_BV226 mkt equation_Aug6 14 91" xfId="26845"/>
    <cellStyle name="Comma [0] TBD_BV226 mkt equation_Aug6 14 92" xfId="26846"/>
    <cellStyle name="Comma [0] TBD-_BV226 mkt equation_Aug6 14 92" xfId="26847"/>
    <cellStyle name="Comma [0] TBD_BV226 mkt equation_Aug6 14 93" xfId="26848"/>
    <cellStyle name="Comma [0] TBD-_BV226 mkt equation_Aug6 14 93" xfId="26849"/>
    <cellStyle name="Comma [0] TBD_BV226 mkt equation_Aug6 14 94" xfId="26850"/>
    <cellStyle name="Comma [0] TBD-_BV226 mkt equation_Aug6 14 94" xfId="26851"/>
    <cellStyle name="Comma [0] TBD_BV226 mkt equation_Aug6 14 95" xfId="26852"/>
    <cellStyle name="Comma [0] TBD-_BV226 mkt equation_Aug6 14 95" xfId="26853"/>
    <cellStyle name="Comma [0] TBD_BV226 mkt equation_Aug6 14 96" xfId="26854"/>
    <cellStyle name="Comma [0] TBD-_BV226 mkt equation_Aug6 14 96" xfId="26855"/>
    <cellStyle name="Comma [0] TBD_BV226 mkt equation_Aug6 14 97" xfId="26856"/>
    <cellStyle name="Comma [0] TBD-_BV226 mkt equation_Aug6 14 97" xfId="26857"/>
    <cellStyle name="Comma [0] TBD_BV226 mkt equation_Aug6 14 98" xfId="26858"/>
    <cellStyle name="Comma [0] TBD-_BV226 mkt equation_Aug6 14 98" xfId="26859"/>
    <cellStyle name="Comma [0] TBD_BV226 mkt equation_Aug6 14 99" xfId="26860"/>
    <cellStyle name="Comma [0] TBD-_BV226 mkt equation_Aug6 14 99" xfId="26861"/>
    <cellStyle name="Comma [0] TBD_BV226 mkt equation_Aug6 2" xfId="26862"/>
    <cellStyle name="Comma [0] TBD-_BV226 mkt equation_Aug6 2" xfId="26863"/>
    <cellStyle name="Comma [0] TBD_BV226 mkt equation_Aug6 2 10" xfId="26864"/>
    <cellStyle name="Comma [0] TBD-_BV226 mkt equation_Aug6 2 10" xfId="26865"/>
    <cellStyle name="Comma [0] TBD_BV226 mkt equation_Aug6 2 100" xfId="26866"/>
    <cellStyle name="Comma [0] TBD-_BV226 mkt equation_Aug6 2 100" xfId="26867"/>
    <cellStyle name="Comma [0] TBD_BV226 mkt equation_Aug6 2 101" xfId="26868"/>
    <cellStyle name="Comma [0] TBD-_BV226 mkt equation_Aug6 2 101" xfId="26869"/>
    <cellStyle name="Comma [0] TBD_BV226 mkt equation_Aug6 2 102" xfId="26870"/>
    <cellStyle name="Comma [0] TBD-_BV226 mkt equation_Aug6 2 102" xfId="26871"/>
    <cellStyle name="Comma [0] TBD_BV226 mkt equation_Aug6 2 103" xfId="26872"/>
    <cellStyle name="Comma [0] TBD-_BV226 mkt equation_Aug6 2 103" xfId="26873"/>
    <cellStyle name="Comma [0] TBD_BV226 mkt equation_Aug6 2 104" xfId="26874"/>
    <cellStyle name="Comma [0] TBD-_BV226 mkt equation_Aug6 2 104" xfId="26875"/>
    <cellStyle name="Comma [0] TBD_BV226 mkt equation_Aug6 2 105" xfId="26876"/>
    <cellStyle name="Comma [0] TBD-_BV226 mkt equation_Aug6 2 105" xfId="26877"/>
    <cellStyle name="Comma [0] TBD_BV226 mkt equation_Aug6 2 106" xfId="26878"/>
    <cellStyle name="Comma [0] TBD-_BV226 mkt equation_Aug6 2 106" xfId="26879"/>
    <cellStyle name="Comma [0] TBD_BV226 mkt equation_Aug6 2 107" xfId="26880"/>
    <cellStyle name="Comma [0] TBD-_BV226 mkt equation_Aug6 2 107" xfId="26881"/>
    <cellStyle name="Comma [0] TBD_BV226 mkt equation_Aug6 2 108" xfId="26882"/>
    <cellStyle name="Comma [0] TBD-_BV226 mkt equation_Aug6 2 108" xfId="26883"/>
    <cellStyle name="Comma [0] TBD_BV226 mkt equation_Aug6 2 109" xfId="26884"/>
    <cellStyle name="Comma [0] TBD-_BV226 mkt equation_Aug6 2 109" xfId="26885"/>
    <cellStyle name="Comma [0] TBD_BV226 mkt equation_Aug6 2 11" xfId="26886"/>
    <cellStyle name="Comma [0] TBD-_BV226 mkt equation_Aug6 2 11" xfId="26887"/>
    <cellStyle name="Comma [0] TBD_BV226 mkt equation_Aug6 2 110" xfId="26888"/>
    <cellStyle name="Comma [0] TBD-_BV226 mkt equation_Aug6 2 110" xfId="26889"/>
    <cellStyle name="Comma [0] TBD_BV226 mkt equation_Aug6 2 111" xfId="26890"/>
    <cellStyle name="Comma [0] TBD-_BV226 mkt equation_Aug6 2 111" xfId="26891"/>
    <cellStyle name="Comma [0] TBD_BV226 mkt equation_Aug6 2 112" xfId="26892"/>
    <cellStyle name="Comma [0] TBD-_BV226 mkt equation_Aug6 2 112" xfId="26893"/>
    <cellStyle name="Comma [0] TBD_BV226 mkt equation_Aug6 2 113" xfId="26894"/>
    <cellStyle name="Comma [0] TBD-_BV226 mkt equation_Aug6 2 113" xfId="26895"/>
    <cellStyle name="Comma [0] TBD_BV226 mkt equation_Aug6 2 114" xfId="26896"/>
    <cellStyle name="Comma [0] TBD-_BV226 mkt equation_Aug6 2 114" xfId="26897"/>
    <cellStyle name="Comma [0] TBD_BV226 mkt equation_Aug6 2 115" xfId="26898"/>
    <cellStyle name="Comma [0] TBD-_BV226 mkt equation_Aug6 2 115" xfId="26899"/>
    <cellStyle name="Comma [0] TBD_BV226 mkt equation_Aug6 2 116" xfId="26900"/>
    <cellStyle name="Comma [0] TBD-_BV226 mkt equation_Aug6 2 116" xfId="26901"/>
    <cellStyle name="Comma [0] TBD_BV226 mkt equation_Aug6 2 117" xfId="26902"/>
    <cellStyle name="Comma [0] TBD-_BV226 mkt equation_Aug6 2 117" xfId="26903"/>
    <cellStyle name="Comma [0] TBD_BV226 mkt equation_Aug6 2 118" xfId="26904"/>
    <cellStyle name="Comma [0] TBD-_BV226 mkt equation_Aug6 2 118" xfId="26905"/>
    <cellStyle name="Comma [0] TBD_BV226 mkt equation_Aug6 2 119" xfId="26906"/>
    <cellStyle name="Comma [0] TBD-_BV226 mkt equation_Aug6 2 119" xfId="26907"/>
    <cellStyle name="Comma [0] TBD_BV226 mkt equation_Aug6 2 12" xfId="26908"/>
    <cellStyle name="Comma [0] TBD-_BV226 mkt equation_Aug6 2 12" xfId="26909"/>
    <cellStyle name="Comma [0] TBD_BV226 mkt equation_Aug6 2 120" xfId="26910"/>
    <cellStyle name="Comma [0] TBD-_BV226 mkt equation_Aug6 2 120" xfId="26911"/>
    <cellStyle name="Comma [0] TBD_BV226 mkt equation_Aug6 2 121" xfId="26912"/>
    <cellStyle name="Comma [0] TBD-_BV226 mkt equation_Aug6 2 121" xfId="26913"/>
    <cellStyle name="Comma [0] TBD_BV226 mkt equation_Aug6 2 122" xfId="26914"/>
    <cellStyle name="Comma [0] TBD-_BV226 mkt equation_Aug6 2 122" xfId="26915"/>
    <cellStyle name="Comma [0] TBD_BV226 mkt equation_Aug6 2 123" xfId="26916"/>
    <cellStyle name="Comma [0] TBD-_BV226 mkt equation_Aug6 2 123" xfId="26917"/>
    <cellStyle name="Comma [0] TBD_BV226 mkt equation_Aug6 2 124" xfId="26918"/>
    <cellStyle name="Comma [0] TBD-_BV226 mkt equation_Aug6 2 124" xfId="26919"/>
    <cellStyle name="Comma [0] TBD_BV226 mkt equation_Aug6 2 125" xfId="26920"/>
    <cellStyle name="Comma [0] TBD-_BV226 mkt equation_Aug6 2 125" xfId="26921"/>
    <cellStyle name="Comma [0] TBD_BV226 mkt equation_Aug6 2 126" xfId="26922"/>
    <cellStyle name="Comma [0] TBD-_BV226 mkt equation_Aug6 2 126" xfId="26923"/>
    <cellStyle name="Comma [0] TBD_BV226 mkt equation_Aug6 2 127" xfId="26924"/>
    <cellStyle name="Comma [0] TBD-_BV226 mkt equation_Aug6 2 127" xfId="26925"/>
    <cellStyle name="Comma [0] TBD_BV226 mkt equation_Aug6 2 128" xfId="26926"/>
    <cellStyle name="Comma [0] TBD-_BV226 mkt equation_Aug6 2 128" xfId="26927"/>
    <cellStyle name="Comma [0] TBD_BV226 mkt equation_Aug6 2 129" xfId="26928"/>
    <cellStyle name="Comma [0] TBD-_BV226 mkt equation_Aug6 2 129" xfId="26929"/>
    <cellStyle name="Comma [0] TBD_BV226 mkt equation_Aug6 2 13" xfId="26930"/>
    <cellStyle name="Comma [0] TBD-_BV226 mkt equation_Aug6 2 13" xfId="26931"/>
    <cellStyle name="Comma [0] TBD_BV226 mkt equation_Aug6 2 130" xfId="26932"/>
    <cellStyle name="Comma [0] TBD-_BV226 mkt equation_Aug6 2 130" xfId="26933"/>
    <cellStyle name="Comma [0] TBD_BV226 mkt equation_Aug6 2 131" xfId="26934"/>
    <cellStyle name="Comma [0] TBD-_BV226 mkt equation_Aug6 2 131" xfId="26935"/>
    <cellStyle name="Comma [0] TBD_BV226 mkt equation_Aug6 2 132" xfId="26936"/>
    <cellStyle name="Comma [0] TBD-_BV226 mkt equation_Aug6 2 132" xfId="26937"/>
    <cellStyle name="Comma [0] TBD_BV226 mkt equation_Aug6 2 133" xfId="26938"/>
    <cellStyle name="Comma [0] TBD-_BV226 mkt equation_Aug6 2 133" xfId="26939"/>
    <cellStyle name="Comma [0] TBD_BV226 mkt equation_Aug6 2 134" xfId="26940"/>
    <cellStyle name="Comma [0] TBD-_BV226 mkt equation_Aug6 2 134" xfId="26941"/>
    <cellStyle name="Comma [0] TBD_BV226 mkt equation_Aug6 2 135" xfId="26942"/>
    <cellStyle name="Comma [0] TBD-_BV226 mkt equation_Aug6 2 135" xfId="26943"/>
    <cellStyle name="Comma [0] TBD_BV226 mkt equation_Aug6 2 136" xfId="26944"/>
    <cellStyle name="Comma [0] TBD-_BV226 mkt equation_Aug6 2 136" xfId="26945"/>
    <cellStyle name="Comma [0] TBD_BV226 mkt equation_Aug6 2 137" xfId="26946"/>
    <cellStyle name="Comma [0] TBD-_BV226 mkt equation_Aug6 2 137" xfId="26947"/>
    <cellStyle name="Comma [0] TBD_BV226 mkt equation_Aug6 2 138" xfId="26948"/>
    <cellStyle name="Comma [0] TBD-_BV226 mkt equation_Aug6 2 138" xfId="26949"/>
    <cellStyle name="Comma [0] TBD_BV226 mkt equation_Aug6 2 139" xfId="26950"/>
    <cellStyle name="Comma [0] TBD-_BV226 mkt equation_Aug6 2 139" xfId="26951"/>
    <cellStyle name="Comma [0] TBD_BV226 mkt equation_Aug6 2 14" xfId="26952"/>
    <cellStyle name="Comma [0] TBD-_BV226 mkt equation_Aug6 2 14" xfId="26953"/>
    <cellStyle name="Comma [0] TBD_BV226 mkt equation_Aug6 2 140" xfId="26954"/>
    <cellStyle name="Comma [0] TBD-_BV226 mkt equation_Aug6 2 140" xfId="26955"/>
    <cellStyle name="Comma [0] TBD_BV226 mkt equation_Aug6 2 141" xfId="26956"/>
    <cellStyle name="Comma [0] TBD-_BV226 mkt equation_Aug6 2 141" xfId="26957"/>
    <cellStyle name="Comma [0] TBD_BV226 mkt equation_Aug6 2 142" xfId="26958"/>
    <cellStyle name="Comma [0] TBD-_BV226 mkt equation_Aug6 2 142" xfId="26959"/>
    <cellStyle name="Comma [0] TBD_BV226 mkt equation_Aug6 2 143" xfId="26960"/>
    <cellStyle name="Comma [0] TBD-_BV226 mkt equation_Aug6 2 143" xfId="26961"/>
    <cellStyle name="Comma [0] TBD_BV226 mkt equation_Aug6 2 144" xfId="26962"/>
    <cellStyle name="Comma [0] TBD-_BV226 mkt equation_Aug6 2 144" xfId="26963"/>
    <cellStyle name="Comma [0] TBD_BV226 mkt equation_Aug6 2 145" xfId="26964"/>
    <cellStyle name="Comma [0] TBD-_BV226 mkt equation_Aug6 2 145" xfId="26965"/>
    <cellStyle name="Comma [0] TBD_BV226 mkt equation_Aug6 2 146" xfId="26966"/>
    <cellStyle name="Comma [0] TBD-_BV226 mkt equation_Aug6 2 146" xfId="26967"/>
    <cellStyle name="Comma [0] TBD_BV226 mkt equation_Aug6 2 147" xfId="26968"/>
    <cellStyle name="Comma [0] TBD-_BV226 mkt equation_Aug6 2 147" xfId="26969"/>
    <cellStyle name="Comma [0] TBD_BV226 mkt equation_Aug6 2 148" xfId="26970"/>
    <cellStyle name="Comma [0] TBD-_BV226 mkt equation_Aug6 2 148" xfId="26971"/>
    <cellStyle name="Comma [0] TBD_BV226 mkt equation_Aug6 2 149" xfId="26972"/>
    <cellStyle name="Comma [0] TBD-_BV226 mkt equation_Aug6 2 149" xfId="26973"/>
    <cellStyle name="Comma [0] TBD_BV226 mkt equation_Aug6 2 15" xfId="26974"/>
    <cellStyle name="Comma [0] TBD-_BV226 mkt equation_Aug6 2 15" xfId="26975"/>
    <cellStyle name="Comma [0] TBD_BV226 mkt equation_Aug6 2 150" xfId="26976"/>
    <cellStyle name="Comma [0] TBD-_BV226 mkt equation_Aug6 2 150" xfId="26977"/>
    <cellStyle name="Comma [0] TBD_BV226 mkt equation_Aug6 2 151" xfId="26978"/>
    <cellStyle name="Comma [0] TBD-_BV226 mkt equation_Aug6 2 151" xfId="26979"/>
    <cellStyle name="Comma [0] TBD_BV226 mkt equation_Aug6 2 152" xfId="26980"/>
    <cellStyle name="Comma [0] TBD-_BV226 mkt equation_Aug6 2 152" xfId="26981"/>
    <cellStyle name="Comma [0] TBD_BV226 mkt equation_Aug6 2 153" xfId="26982"/>
    <cellStyle name="Comma [0] TBD-_BV226 mkt equation_Aug6 2 153" xfId="26983"/>
    <cellStyle name="Comma [0] TBD_BV226 mkt equation_Aug6 2 16" xfId="26984"/>
    <cellStyle name="Comma [0] TBD-_BV226 mkt equation_Aug6 2 16" xfId="26985"/>
    <cellStyle name="Comma [0] TBD_BV226 mkt equation_Aug6 2 17" xfId="26986"/>
    <cellStyle name="Comma [0] TBD-_BV226 mkt equation_Aug6 2 17" xfId="26987"/>
    <cellStyle name="Comma [0] TBD_BV226 mkt equation_Aug6 2 18" xfId="26988"/>
    <cellStyle name="Comma [0] TBD-_BV226 mkt equation_Aug6 2 18" xfId="26989"/>
    <cellStyle name="Comma [0] TBD_BV226 mkt equation_Aug6 2 19" xfId="26990"/>
    <cellStyle name="Comma [0] TBD-_BV226 mkt equation_Aug6 2 19" xfId="26991"/>
    <cellStyle name="Comma [0] TBD_BV226 mkt equation_Aug6 2 2" xfId="26992"/>
    <cellStyle name="Comma [0] TBD-_BV226 mkt equation_Aug6 2 2" xfId="26993"/>
    <cellStyle name="Comma [0] TBD_BV226 mkt equation_Aug6 2 2 2" xfId="26994"/>
    <cellStyle name="Comma [0] TBD-_BV226 mkt equation_Aug6 2 2 2" xfId="26995"/>
    <cellStyle name="Comma [0] TBD_BV226 mkt equation_Aug6 2 20" xfId="26996"/>
    <cellStyle name="Comma [0] TBD-_BV226 mkt equation_Aug6 2 20" xfId="26997"/>
    <cellStyle name="Comma [0] TBD_BV226 mkt equation_Aug6 2 21" xfId="26998"/>
    <cellStyle name="Comma [0] TBD-_BV226 mkt equation_Aug6 2 21" xfId="26999"/>
    <cellStyle name="Comma [0] TBD_BV226 mkt equation_Aug6 2 22" xfId="27000"/>
    <cellStyle name="Comma [0] TBD-_BV226 mkt equation_Aug6 2 22" xfId="27001"/>
    <cellStyle name="Comma [0] TBD_BV226 mkt equation_Aug6 2 23" xfId="27002"/>
    <cellStyle name="Comma [0] TBD-_BV226 mkt equation_Aug6 2 23" xfId="27003"/>
    <cellStyle name="Comma [0] TBD_BV226 mkt equation_Aug6 2 24" xfId="27004"/>
    <cellStyle name="Comma [0] TBD-_BV226 mkt equation_Aug6 2 24" xfId="27005"/>
    <cellStyle name="Comma [0] TBD_BV226 mkt equation_Aug6 2 25" xfId="27006"/>
    <cellStyle name="Comma [0] TBD-_BV226 mkt equation_Aug6 2 25" xfId="27007"/>
    <cellStyle name="Comma [0] TBD_BV226 mkt equation_Aug6 2 26" xfId="27008"/>
    <cellStyle name="Comma [0] TBD-_BV226 mkt equation_Aug6 2 26" xfId="27009"/>
    <cellStyle name="Comma [0] TBD_BV226 mkt equation_Aug6 2 27" xfId="27010"/>
    <cellStyle name="Comma [0] TBD-_BV226 mkt equation_Aug6 2 27" xfId="27011"/>
    <cellStyle name="Comma [0] TBD_BV226 mkt equation_Aug6 2 28" xfId="27012"/>
    <cellStyle name="Comma [0] TBD-_BV226 mkt equation_Aug6 2 28" xfId="27013"/>
    <cellStyle name="Comma [0] TBD_BV226 mkt equation_Aug6 2 29" xfId="27014"/>
    <cellStyle name="Comma [0] TBD-_BV226 mkt equation_Aug6 2 29" xfId="27015"/>
    <cellStyle name="Comma [0] TBD_BV226 mkt equation_Aug6 2 3" xfId="27016"/>
    <cellStyle name="Comma [0] TBD-_BV226 mkt equation_Aug6 2 3" xfId="27017"/>
    <cellStyle name="Comma [0] TBD_BV226 mkt equation_Aug6 2 30" xfId="27018"/>
    <cellStyle name="Comma [0] TBD-_BV226 mkt equation_Aug6 2 30" xfId="27019"/>
    <cellStyle name="Comma [0] TBD_BV226 mkt equation_Aug6 2 31" xfId="27020"/>
    <cellStyle name="Comma [0] TBD-_BV226 mkt equation_Aug6 2 31" xfId="27021"/>
    <cellStyle name="Comma [0] TBD_BV226 mkt equation_Aug6 2 32" xfId="27022"/>
    <cellStyle name="Comma [0] TBD-_BV226 mkt equation_Aug6 2 32" xfId="27023"/>
    <cellStyle name="Comma [0] TBD_BV226 mkt equation_Aug6 2 33" xfId="27024"/>
    <cellStyle name="Comma [0] TBD-_BV226 mkt equation_Aug6 2 33" xfId="27025"/>
    <cellStyle name="Comma [0] TBD_BV226 mkt equation_Aug6 2 34" xfId="27026"/>
    <cellStyle name="Comma [0] TBD-_BV226 mkt equation_Aug6 2 34" xfId="27027"/>
    <cellStyle name="Comma [0] TBD_BV226 mkt equation_Aug6 2 35" xfId="27028"/>
    <cellStyle name="Comma [0] TBD-_BV226 mkt equation_Aug6 2 35" xfId="27029"/>
    <cellStyle name="Comma [0] TBD_BV226 mkt equation_Aug6 2 36" xfId="27030"/>
    <cellStyle name="Comma [0] TBD-_BV226 mkt equation_Aug6 2 36" xfId="27031"/>
    <cellStyle name="Comma [0] TBD_BV226 mkt equation_Aug6 2 37" xfId="27032"/>
    <cellStyle name="Comma [0] TBD-_BV226 mkt equation_Aug6 2 37" xfId="27033"/>
    <cellStyle name="Comma [0] TBD_BV226 mkt equation_Aug6 2 38" xfId="27034"/>
    <cellStyle name="Comma [0] TBD-_BV226 mkt equation_Aug6 2 38" xfId="27035"/>
    <cellStyle name="Comma [0] TBD_BV226 mkt equation_Aug6 2 39" xfId="27036"/>
    <cellStyle name="Comma [0] TBD-_BV226 mkt equation_Aug6 2 39" xfId="27037"/>
    <cellStyle name="Comma [0] TBD_BV226 mkt equation_Aug6 2 4" xfId="27038"/>
    <cellStyle name="Comma [0] TBD-_BV226 mkt equation_Aug6 2 4" xfId="27039"/>
    <cellStyle name="Comma [0] TBD_BV226 mkt equation_Aug6 2 40" xfId="27040"/>
    <cellStyle name="Comma [0] TBD-_BV226 mkt equation_Aug6 2 40" xfId="27041"/>
    <cellStyle name="Comma [0] TBD_BV226 mkt equation_Aug6 2 41" xfId="27042"/>
    <cellStyle name="Comma [0] TBD-_BV226 mkt equation_Aug6 2 41" xfId="27043"/>
    <cellStyle name="Comma [0] TBD_BV226 mkt equation_Aug6 2 42" xfId="27044"/>
    <cellStyle name="Comma [0] TBD-_BV226 mkt equation_Aug6 2 42" xfId="27045"/>
    <cellStyle name="Comma [0] TBD_BV226 mkt equation_Aug6 2 43" xfId="27046"/>
    <cellStyle name="Comma [0] TBD-_BV226 mkt equation_Aug6 2 43" xfId="27047"/>
    <cellStyle name="Comma [0] TBD_BV226 mkt equation_Aug6 2 44" xfId="27048"/>
    <cellStyle name="Comma [0] TBD-_BV226 mkt equation_Aug6 2 44" xfId="27049"/>
    <cellStyle name="Comma [0] TBD_BV226 mkt equation_Aug6 2 45" xfId="27050"/>
    <cellStyle name="Comma [0] TBD-_BV226 mkt equation_Aug6 2 45" xfId="27051"/>
    <cellStyle name="Comma [0] TBD_BV226 mkt equation_Aug6 2 46" xfId="27052"/>
    <cellStyle name="Comma [0] TBD-_BV226 mkt equation_Aug6 2 46" xfId="27053"/>
    <cellStyle name="Comma [0] TBD_BV226 mkt equation_Aug6 2 47" xfId="27054"/>
    <cellStyle name="Comma [0] TBD-_BV226 mkt equation_Aug6 2 47" xfId="27055"/>
    <cellStyle name="Comma [0] TBD_BV226 mkt equation_Aug6 2 48" xfId="27056"/>
    <cellStyle name="Comma [0] TBD-_BV226 mkt equation_Aug6 2 48" xfId="27057"/>
    <cellStyle name="Comma [0] TBD_BV226 mkt equation_Aug6 2 49" xfId="27058"/>
    <cellStyle name="Comma [0] TBD-_BV226 mkt equation_Aug6 2 49" xfId="27059"/>
    <cellStyle name="Comma [0] TBD_BV226 mkt equation_Aug6 2 5" xfId="27060"/>
    <cellStyle name="Comma [0] TBD-_BV226 mkt equation_Aug6 2 5" xfId="27061"/>
    <cellStyle name="Comma [0] TBD_BV226 mkt equation_Aug6 2 50" xfId="27062"/>
    <cellStyle name="Comma [0] TBD-_BV226 mkt equation_Aug6 2 50" xfId="27063"/>
    <cellStyle name="Comma [0] TBD_BV226 mkt equation_Aug6 2 51" xfId="27064"/>
    <cellStyle name="Comma [0] TBD-_BV226 mkt equation_Aug6 2 51" xfId="27065"/>
    <cellStyle name="Comma [0] TBD_BV226 mkt equation_Aug6 2 52" xfId="27066"/>
    <cellStyle name="Comma [0] TBD-_BV226 mkt equation_Aug6 2 52" xfId="27067"/>
    <cellStyle name="Comma [0] TBD_BV226 mkt equation_Aug6 2 53" xfId="27068"/>
    <cellStyle name="Comma [0] TBD-_BV226 mkt equation_Aug6 2 53" xfId="27069"/>
    <cellStyle name="Comma [0] TBD_BV226 mkt equation_Aug6 2 54" xfId="27070"/>
    <cellStyle name="Comma [0] TBD-_BV226 mkt equation_Aug6 2 54" xfId="27071"/>
    <cellStyle name="Comma [0] TBD_BV226 mkt equation_Aug6 2 55" xfId="27072"/>
    <cellStyle name="Comma [0] TBD-_BV226 mkt equation_Aug6 2 55" xfId="27073"/>
    <cellStyle name="Comma [0] TBD_BV226 mkt equation_Aug6 2 56" xfId="27074"/>
    <cellStyle name="Comma [0] TBD-_BV226 mkt equation_Aug6 2 56" xfId="27075"/>
    <cellStyle name="Comma [0] TBD_BV226 mkt equation_Aug6 2 57" xfId="27076"/>
    <cellStyle name="Comma [0] TBD-_BV226 mkt equation_Aug6 2 57" xfId="27077"/>
    <cellStyle name="Comma [0] TBD_BV226 mkt equation_Aug6 2 58" xfId="27078"/>
    <cellStyle name="Comma [0] TBD-_BV226 mkt equation_Aug6 2 58" xfId="27079"/>
    <cellStyle name="Comma [0] TBD_BV226 mkt equation_Aug6 2 59" xfId="27080"/>
    <cellStyle name="Comma [0] TBD-_BV226 mkt equation_Aug6 2 59" xfId="27081"/>
    <cellStyle name="Comma [0] TBD_BV226 mkt equation_Aug6 2 6" xfId="27082"/>
    <cellStyle name="Comma [0] TBD-_BV226 mkt equation_Aug6 2 6" xfId="27083"/>
    <cellStyle name="Comma [0] TBD_BV226 mkt equation_Aug6 2 60" xfId="27084"/>
    <cellStyle name="Comma [0] TBD-_BV226 mkt equation_Aug6 2 60" xfId="27085"/>
    <cellStyle name="Comma [0] TBD_BV226 mkt equation_Aug6 2 61" xfId="27086"/>
    <cellStyle name="Comma [0] TBD-_BV226 mkt equation_Aug6 2 61" xfId="27087"/>
    <cellStyle name="Comma [0] TBD_BV226 mkt equation_Aug6 2 62" xfId="27088"/>
    <cellStyle name="Comma [0] TBD-_BV226 mkt equation_Aug6 2 62" xfId="27089"/>
    <cellStyle name="Comma [0] TBD_BV226 mkt equation_Aug6 2 63" xfId="27090"/>
    <cellStyle name="Comma [0] TBD-_BV226 mkt equation_Aug6 2 63" xfId="27091"/>
    <cellStyle name="Comma [0] TBD_BV226 mkt equation_Aug6 2 64" xfId="27092"/>
    <cellStyle name="Comma [0] TBD-_BV226 mkt equation_Aug6 2 64" xfId="27093"/>
    <cellStyle name="Comma [0] TBD_BV226 mkt equation_Aug6 2 65" xfId="27094"/>
    <cellStyle name="Comma [0] TBD-_BV226 mkt equation_Aug6 2 65" xfId="27095"/>
    <cellStyle name="Comma [0] TBD_BV226 mkt equation_Aug6 2 66" xfId="27096"/>
    <cellStyle name="Comma [0] TBD-_BV226 mkt equation_Aug6 2 66" xfId="27097"/>
    <cellStyle name="Comma [0] TBD_BV226 mkt equation_Aug6 2 67" xfId="27098"/>
    <cellStyle name="Comma [0] TBD-_BV226 mkt equation_Aug6 2 67" xfId="27099"/>
    <cellStyle name="Comma [0] TBD_BV226 mkt equation_Aug6 2 68" xfId="27100"/>
    <cellStyle name="Comma [0] TBD-_BV226 mkt equation_Aug6 2 68" xfId="27101"/>
    <cellStyle name="Comma [0] TBD_BV226 mkt equation_Aug6 2 69" xfId="27102"/>
    <cellStyle name="Comma [0] TBD-_BV226 mkt equation_Aug6 2 69" xfId="27103"/>
    <cellStyle name="Comma [0] TBD_BV226 mkt equation_Aug6 2 7" xfId="27104"/>
    <cellStyle name="Comma [0] TBD-_BV226 mkt equation_Aug6 2 7" xfId="27105"/>
    <cellStyle name="Comma [0] TBD_BV226 mkt equation_Aug6 2 70" xfId="27106"/>
    <cellStyle name="Comma [0] TBD-_BV226 mkt equation_Aug6 2 70" xfId="27107"/>
    <cellStyle name="Comma [0] TBD_BV226 mkt equation_Aug6 2 71" xfId="27108"/>
    <cellStyle name="Comma [0] TBD-_BV226 mkt equation_Aug6 2 71" xfId="27109"/>
    <cellStyle name="Comma [0] TBD_BV226 mkt equation_Aug6 2 72" xfId="27110"/>
    <cellStyle name="Comma [0] TBD-_BV226 mkt equation_Aug6 2 72" xfId="27111"/>
    <cellStyle name="Comma [0] TBD_BV226 mkt equation_Aug6 2 73" xfId="27112"/>
    <cellStyle name="Comma [0] TBD-_BV226 mkt equation_Aug6 2 73" xfId="27113"/>
    <cellStyle name="Comma [0] TBD_BV226 mkt equation_Aug6 2 74" xfId="27114"/>
    <cellStyle name="Comma [0] TBD-_BV226 mkt equation_Aug6 2 74" xfId="27115"/>
    <cellStyle name="Comma [0] TBD_BV226 mkt equation_Aug6 2 75" xfId="27116"/>
    <cellStyle name="Comma [0] TBD-_BV226 mkt equation_Aug6 2 75" xfId="27117"/>
    <cellStyle name="Comma [0] TBD_BV226 mkt equation_Aug6 2 76" xfId="27118"/>
    <cellStyle name="Comma [0] TBD-_BV226 mkt equation_Aug6 2 76" xfId="27119"/>
    <cellStyle name="Comma [0] TBD_BV226 mkt equation_Aug6 2 77" xfId="27120"/>
    <cellStyle name="Comma [0] TBD-_BV226 mkt equation_Aug6 2 77" xfId="27121"/>
    <cellStyle name="Comma [0] TBD_BV226 mkt equation_Aug6 2 78" xfId="27122"/>
    <cellStyle name="Comma [0] TBD-_BV226 mkt equation_Aug6 2 78" xfId="27123"/>
    <cellStyle name="Comma [0] TBD_BV226 mkt equation_Aug6 2 79" xfId="27124"/>
    <cellStyle name="Comma [0] TBD-_BV226 mkt equation_Aug6 2 79" xfId="27125"/>
    <cellStyle name="Comma [0] TBD_BV226 mkt equation_Aug6 2 8" xfId="27126"/>
    <cellStyle name="Comma [0] TBD-_BV226 mkt equation_Aug6 2 8" xfId="27127"/>
    <cellStyle name="Comma [0] TBD_BV226 mkt equation_Aug6 2 80" xfId="27128"/>
    <cellStyle name="Comma [0] TBD-_BV226 mkt equation_Aug6 2 80" xfId="27129"/>
    <cellStyle name="Comma [0] TBD_BV226 mkt equation_Aug6 2 81" xfId="27130"/>
    <cellStyle name="Comma [0] TBD-_BV226 mkt equation_Aug6 2 81" xfId="27131"/>
    <cellStyle name="Comma [0] TBD_BV226 mkt equation_Aug6 2 82" xfId="27132"/>
    <cellStyle name="Comma [0] TBD-_BV226 mkt equation_Aug6 2 82" xfId="27133"/>
    <cellStyle name="Comma [0] TBD_BV226 mkt equation_Aug6 2 83" xfId="27134"/>
    <cellStyle name="Comma [0] TBD-_BV226 mkt equation_Aug6 2 83" xfId="27135"/>
    <cellStyle name="Comma [0] TBD_BV226 mkt equation_Aug6 2 84" xfId="27136"/>
    <cellStyle name="Comma [0] TBD-_BV226 mkt equation_Aug6 2 84" xfId="27137"/>
    <cellStyle name="Comma [0] TBD_BV226 mkt equation_Aug6 2 85" xfId="27138"/>
    <cellStyle name="Comma [0] TBD-_BV226 mkt equation_Aug6 2 85" xfId="27139"/>
    <cellStyle name="Comma [0] TBD_BV226 mkt equation_Aug6 2 86" xfId="27140"/>
    <cellStyle name="Comma [0] TBD-_BV226 mkt equation_Aug6 2 86" xfId="27141"/>
    <cellStyle name="Comma [0] TBD_BV226 mkt equation_Aug6 2 87" xfId="27142"/>
    <cellStyle name="Comma [0] TBD-_BV226 mkt equation_Aug6 2 87" xfId="27143"/>
    <cellStyle name="Comma [0] TBD_BV226 mkt equation_Aug6 2 88" xfId="27144"/>
    <cellStyle name="Comma [0] TBD-_BV226 mkt equation_Aug6 2 88" xfId="27145"/>
    <cellStyle name="Comma [0] TBD_BV226 mkt equation_Aug6 2 89" xfId="27146"/>
    <cellStyle name="Comma [0] TBD-_BV226 mkt equation_Aug6 2 89" xfId="27147"/>
    <cellStyle name="Comma [0] TBD_BV226 mkt equation_Aug6 2 9" xfId="27148"/>
    <cellStyle name="Comma [0] TBD-_BV226 mkt equation_Aug6 2 9" xfId="27149"/>
    <cellStyle name="Comma [0] TBD_BV226 mkt equation_Aug6 2 90" xfId="27150"/>
    <cellStyle name="Comma [0] TBD-_BV226 mkt equation_Aug6 2 90" xfId="27151"/>
    <cellStyle name="Comma [0] TBD_BV226 mkt equation_Aug6 2 91" xfId="27152"/>
    <cellStyle name="Comma [0] TBD-_BV226 mkt equation_Aug6 2 91" xfId="27153"/>
    <cellStyle name="Comma [0] TBD_BV226 mkt equation_Aug6 2 92" xfId="27154"/>
    <cellStyle name="Comma [0] TBD-_BV226 mkt equation_Aug6 2 92" xfId="27155"/>
    <cellStyle name="Comma [0] TBD_BV226 mkt equation_Aug6 2 93" xfId="27156"/>
    <cellStyle name="Comma [0] TBD-_BV226 mkt equation_Aug6 2 93" xfId="27157"/>
    <cellStyle name="Comma [0] TBD_BV226 mkt equation_Aug6 2 94" xfId="27158"/>
    <cellStyle name="Comma [0] TBD-_BV226 mkt equation_Aug6 2 94" xfId="27159"/>
    <cellStyle name="Comma [0] TBD_BV226 mkt equation_Aug6 2 95" xfId="27160"/>
    <cellStyle name="Comma [0] TBD-_BV226 mkt equation_Aug6 2 95" xfId="27161"/>
    <cellStyle name="Comma [0] TBD_BV226 mkt equation_Aug6 2 96" xfId="27162"/>
    <cellStyle name="Comma [0] TBD-_BV226 mkt equation_Aug6 2 96" xfId="27163"/>
    <cellStyle name="Comma [0] TBD_BV226 mkt equation_Aug6 2 97" xfId="27164"/>
    <cellStyle name="Comma [0] TBD-_BV226 mkt equation_Aug6 2 97" xfId="27165"/>
    <cellStyle name="Comma [0] TBD_BV226 mkt equation_Aug6 2 98" xfId="27166"/>
    <cellStyle name="Comma [0] TBD-_BV226 mkt equation_Aug6 2 98" xfId="27167"/>
    <cellStyle name="Comma [0] TBD_BV226 mkt equation_Aug6 2 99" xfId="27168"/>
    <cellStyle name="Comma [0] TBD-_BV226 mkt equation_Aug6 2 99" xfId="27169"/>
    <cellStyle name="Comma [0] TBD_BV226 mkt equation_Aug6 3" xfId="27170"/>
    <cellStyle name="Comma [0] TBD-_BV226 mkt equation_Aug6 3" xfId="27171"/>
    <cellStyle name="Comma [0] TBD_BV226 mkt equation_Aug6 3 10" xfId="27172"/>
    <cellStyle name="Comma [0] TBD-_BV226 mkt equation_Aug6 3 10" xfId="27173"/>
    <cellStyle name="Comma [0] TBD_BV226 mkt equation_Aug6 3 100" xfId="27174"/>
    <cellStyle name="Comma [0] TBD-_BV226 mkt equation_Aug6 3 100" xfId="27175"/>
    <cellStyle name="Comma [0] TBD_BV226 mkt equation_Aug6 3 101" xfId="27176"/>
    <cellStyle name="Comma [0] TBD-_BV226 mkt equation_Aug6 3 101" xfId="27177"/>
    <cellStyle name="Comma [0] TBD_BV226 mkt equation_Aug6 3 102" xfId="27178"/>
    <cellStyle name="Comma [0] TBD-_BV226 mkt equation_Aug6 3 102" xfId="27179"/>
    <cellStyle name="Comma [0] TBD_BV226 mkt equation_Aug6 3 103" xfId="27180"/>
    <cellStyle name="Comma [0] TBD-_BV226 mkt equation_Aug6 3 103" xfId="27181"/>
    <cellStyle name="Comma [0] TBD_BV226 mkt equation_Aug6 3 104" xfId="27182"/>
    <cellStyle name="Comma [0] TBD-_BV226 mkt equation_Aug6 3 104" xfId="27183"/>
    <cellStyle name="Comma [0] TBD_BV226 mkt equation_Aug6 3 105" xfId="27184"/>
    <cellStyle name="Comma [0] TBD-_BV226 mkt equation_Aug6 3 105" xfId="27185"/>
    <cellStyle name="Comma [0] TBD_BV226 mkt equation_Aug6 3 106" xfId="27186"/>
    <cellStyle name="Comma [0] TBD-_BV226 mkt equation_Aug6 3 106" xfId="27187"/>
    <cellStyle name="Comma [0] TBD_BV226 mkt equation_Aug6 3 107" xfId="27188"/>
    <cellStyle name="Comma [0] TBD-_BV226 mkt equation_Aug6 3 107" xfId="27189"/>
    <cellStyle name="Comma [0] TBD_BV226 mkt equation_Aug6 3 108" xfId="27190"/>
    <cellStyle name="Comma [0] TBD-_BV226 mkt equation_Aug6 3 108" xfId="27191"/>
    <cellStyle name="Comma [0] TBD_BV226 mkt equation_Aug6 3 109" xfId="27192"/>
    <cellStyle name="Comma [0] TBD-_BV226 mkt equation_Aug6 3 109" xfId="27193"/>
    <cellStyle name="Comma [0] TBD_BV226 mkt equation_Aug6 3 11" xfId="27194"/>
    <cellStyle name="Comma [0] TBD-_BV226 mkt equation_Aug6 3 11" xfId="27195"/>
    <cellStyle name="Comma [0] TBD_BV226 mkt equation_Aug6 3 110" xfId="27196"/>
    <cellStyle name="Comma [0] TBD-_BV226 mkt equation_Aug6 3 110" xfId="27197"/>
    <cellStyle name="Comma [0] TBD_BV226 mkt equation_Aug6 3 111" xfId="27198"/>
    <cellStyle name="Comma [0] TBD-_BV226 mkt equation_Aug6 3 111" xfId="27199"/>
    <cellStyle name="Comma [0] TBD_BV226 mkt equation_Aug6 3 112" xfId="27200"/>
    <cellStyle name="Comma [0] TBD-_BV226 mkt equation_Aug6 3 112" xfId="27201"/>
    <cellStyle name="Comma [0] TBD_BV226 mkt equation_Aug6 3 113" xfId="27202"/>
    <cellStyle name="Comma [0] TBD-_BV226 mkt equation_Aug6 3 113" xfId="27203"/>
    <cellStyle name="Comma [0] TBD_BV226 mkt equation_Aug6 3 114" xfId="27204"/>
    <cellStyle name="Comma [0] TBD-_BV226 mkt equation_Aug6 3 114" xfId="27205"/>
    <cellStyle name="Comma [0] TBD_BV226 mkt equation_Aug6 3 115" xfId="27206"/>
    <cellStyle name="Comma [0] TBD-_BV226 mkt equation_Aug6 3 115" xfId="27207"/>
    <cellStyle name="Comma [0] TBD_BV226 mkt equation_Aug6 3 116" xfId="27208"/>
    <cellStyle name="Comma [0] TBD-_BV226 mkt equation_Aug6 3 116" xfId="27209"/>
    <cellStyle name="Comma [0] TBD_BV226 mkt equation_Aug6 3 117" xfId="27210"/>
    <cellStyle name="Comma [0] TBD-_BV226 mkt equation_Aug6 3 117" xfId="27211"/>
    <cellStyle name="Comma [0] TBD_BV226 mkt equation_Aug6 3 118" xfId="27212"/>
    <cellStyle name="Comma [0] TBD-_BV226 mkt equation_Aug6 3 118" xfId="27213"/>
    <cellStyle name="Comma [0] TBD_BV226 mkt equation_Aug6 3 119" xfId="27214"/>
    <cellStyle name="Comma [0] TBD-_BV226 mkt equation_Aug6 3 119" xfId="27215"/>
    <cellStyle name="Comma [0] TBD_BV226 mkt equation_Aug6 3 12" xfId="27216"/>
    <cellStyle name="Comma [0] TBD-_BV226 mkt equation_Aug6 3 12" xfId="27217"/>
    <cellStyle name="Comma [0] TBD_BV226 mkt equation_Aug6 3 120" xfId="27218"/>
    <cellStyle name="Comma [0] TBD-_BV226 mkt equation_Aug6 3 120" xfId="27219"/>
    <cellStyle name="Comma [0] TBD_BV226 mkt equation_Aug6 3 121" xfId="27220"/>
    <cellStyle name="Comma [0] TBD-_BV226 mkt equation_Aug6 3 121" xfId="27221"/>
    <cellStyle name="Comma [0] TBD_BV226 mkt equation_Aug6 3 122" xfId="27222"/>
    <cellStyle name="Comma [0] TBD-_BV226 mkt equation_Aug6 3 122" xfId="27223"/>
    <cellStyle name="Comma [0] TBD_BV226 mkt equation_Aug6 3 123" xfId="27224"/>
    <cellStyle name="Comma [0] TBD-_BV226 mkt equation_Aug6 3 123" xfId="27225"/>
    <cellStyle name="Comma [0] TBD_BV226 mkt equation_Aug6 3 124" xfId="27226"/>
    <cellStyle name="Comma [0] TBD-_BV226 mkt equation_Aug6 3 124" xfId="27227"/>
    <cellStyle name="Comma [0] TBD_BV226 mkt equation_Aug6 3 125" xfId="27228"/>
    <cellStyle name="Comma [0] TBD-_BV226 mkt equation_Aug6 3 125" xfId="27229"/>
    <cellStyle name="Comma [0] TBD_BV226 mkt equation_Aug6 3 126" xfId="27230"/>
    <cellStyle name="Comma [0] TBD-_BV226 mkt equation_Aug6 3 126" xfId="27231"/>
    <cellStyle name="Comma [0] TBD_BV226 mkt equation_Aug6 3 127" xfId="27232"/>
    <cellStyle name="Comma [0] TBD-_BV226 mkt equation_Aug6 3 127" xfId="27233"/>
    <cellStyle name="Comma [0] TBD_BV226 mkt equation_Aug6 3 128" xfId="27234"/>
    <cellStyle name="Comma [0] TBD-_BV226 mkt equation_Aug6 3 128" xfId="27235"/>
    <cellStyle name="Comma [0] TBD_BV226 mkt equation_Aug6 3 129" xfId="27236"/>
    <cellStyle name="Comma [0] TBD-_BV226 mkt equation_Aug6 3 129" xfId="27237"/>
    <cellStyle name="Comma [0] TBD_BV226 mkt equation_Aug6 3 13" xfId="27238"/>
    <cellStyle name="Comma [0] TBD-_BV226 mkt equation_Aug6 3 13" xfId="27239"/>
    <cellStyle name="Comma [0] TBD_BV226 mkt equation_Aug6 3 130" xfId="27240"/>
    <cellStyle name="Comma [0] TBD-_BV226 mkt equation_Aug6 3 130" xfId="27241"/>
    <cellStyle name="Comma [0] TBD_BV226 mkt equation_Aug6 3 131" xfId="27242"/>
    <cellStyle name="Comma [0] TBD-_BV226 mkt equation_Aug6 3 131" xfId="27243"/>
    <cellStyle name="Comma [0] TBD_BV226 mkt equation_Aug6 3 132" xfId="27244"/>
    <cellStyle name="Comma [0] TBD-_BV226 mkt equation_Aug6 3 132" xfId="27245"/>
    <cellStyle name="Comma [0] TBD_BV226 mkt equation_Aug6 3 133" xfId="27246"/>
    <cellStyle name="Comma [0] TBD-_BV226 mkt equation_Aug6 3 133" xfId="27247"/>
    <cellStyle name="Comma [0] TBD_BV226 mkt equation_Aug6 3 134" xfId="27248"/>
    <cellStyle name="Comma [0] TBD-_BV226 mkt equation_Aug6 3 134" xfId="27249"/>
    <cellStyle name="Comma [0] TBD_BV226 mkt equation_Aug6 3 135" xfId="27250"/>
    <cellStyle name="Comma [0] TBD-_BV226 mkt equation_Aug6 3 135" xfId="27251"/>
    <cellStyle name="Comma [0] TBD_BV226 mkt equation_Aug6 3 136" xfId="27252"/>
    <cellStyle name="Comma [0] TBD-_BV226 mkt equation_Aug6 3 136" xfId="27253"/>
    <cellStyle name="Comma [0] TBD_BV226 mkt equation_Aug6 3 137" xfId="27254"/>
    <cellStyle name="Comma [0] TBD-_BV226 mkt equation_Aug6 3 137" xfId="27255"/>
    <cellStyle name="Comma [0] TBD_BV226 mkt equation_Aug6 3 138" xfId="27256"/>
    <cellStyle name="Comma [0] TBD-_BV226 mkt equation_Aug6 3 138" xfId="27257"/>
    <cellStyle name="Comma [0] TBD_BV226 mkt equation_Aug6 3 139" xfId="27258"/>
    <cellStyle name="Comma [0] TBD-_BV226 mkt equation_Aug6 3 139" xfId="27259"/>
    <cellStyle name="Comma [0] TBD_BV226 mkt equation_Aug6 3 14" xfId="27260"/>
    <cellStyle name="Comma [0] TBD-_BV226 mkt equation_Aug6 3 14" xfId="27261"/>
    <cellStyle name="Comma [0] TBD_BV226 mkt equation_Aug6 3 140" xfId="27262"/>
    <cellStyle name="Comma [0] TBD-_BV226 mkt equation_Aug6 3 140" xfId="27263"/>
    <cellStyle name="Comma [0] TBD_BV226 mkt equation_Aug6 3 141" xfId="27264"/>
    <cellStyle name="Comma [0] TBD-_BV226 mkt equation_Aug6 3 141" xfId="27265"/>
    <cellStyle name="Comma [0] TBD_BV226 mkt equation_Aug6 3 142" xfId="27266"/>
    <cellStyle name="Comma [0] TBD-_BV226 mkt equation_Aug6 3 142" xfId="27267"/>
    <cellStyle name="Comma [0] TBD_BV226 mkt equation_Aug6 3 143" xfId="27268"/>
    <cellStyle name="Comma [0] TBD-_BV226 mkt equation_Aug6 3 143" xfId="27269"/>
    <cellStyle name="Comma [0] TBD_BV226 mkt equation_Aug6 3 144" xfId="27270"/>
    <cellStyle name="Comma [0] TBD-_BV226 mkt equation_Aug6 3 144" xfId="27271"/>
    <cellStyle name="Comma [0] TBD_BV226 mkt equation_Aug6 3 145" xfId="27272"/>
    <cellStyle name="Comma [0] TBD-_BV226 mkt equation_Aug6 3 145" xfId="27273"/>
    <cellStyle name="Comma [0] TBD_BV226 mkt equation_Aug6 3 146" xfId="27274"/>
    <cellStyle name="Comma [0] TBD-_BV226 mkt equation_Aug6 3 146" xfId="27275"/>
    <cellStyle name="Comma [0] TBD_BV226 mkt equation_Aug6 3 147" xfId="27276"/>
    <cellStyle name="Comma [0] TBD-_BV226 mkt equation_Aug6 3 147" xfId="27277"/>
    <cellStyle name="Comma [0] TBD_BV226 mkt equation_Aug6 3 148" xfId="27278"/>
    <cellStyle name="Comma [0] TBD-_BV226 mkt equation_Aug6 3 148" xfId="27279"/>
    <cellStyle name="Comma [0] TBD_BV226 mkt equation_Aug6 3 149" xfId="27280"/>
    <cellStyle name="Comma [0] TBD-_BV226 mkt equation_Aug6 3 149" xfId="27281"/>
    <cellStyle name="Comma [0] TBD_BV226 mkt equation_Aug6 3 15" xfId="27282"/>
    <cellStyle name="Comma [0] TBD-_BV226 mkt equation_Aug6 3 15" xfId="27283"/>
    <cellStyle name="Comma [0] TBD_BV226 mkt equation_Aug6 3 150" xfId="27284"/>
    <cellStyle name="Comma [0] TBD-_BV226 mkt equation_Aug6 3 150" xfId="27285"/>
    <cellStyle name="Comma [0] TBD_BV226 mkt equation_Aug6 3 151" xfId="27286"/>
    <cellStyle name="Comma [0] TBD-_BV226 mkt equation_Aug6 3 151" xfId="27287"/>
    <cellStyle name="Comma [0] TBD_BV226 mkt equation_Aug6 3 152" xfId="27288"/>
    <cellStyle name="Comma [0] TBD-_BV226 mkt equation_Aug6 3 152" xfId="27289"/>
    <cellStyle name="Comma [0] TBD_BV226 mkt equation_Aug6 3 153" xfId="27290"/>
    <cellStyle name="Comma [0] TBD-_BV226 mkt equation_Aug6 3 153" xfId="27291"/>
    <cellStyle name="Comma [0] TBD_BV226 mkt equation_Aug6 3 16" xfId="27292"/>
    <cellStyle name="Comma [0] TBD-_BV226 mkt equation_Aug6 3 16" xfId="27293"/>
    <cellStyle name="Comma [0] TBD_BV226 mkt equation_Aug6 3 17" xfId="27294"/>
    <cellStyle name="Comma [0] TBD-_BV226 mkt equation_Aug6 3 17" xfId="27295"/>
    <cellStyle name="Comma [0] TBD_BV226 mkt equation_Aug6 3 18" xfId="27296"/>
    <cellStyle name="Comma [0] TBD-_BV226 mkt equation_Aug6 3 18" xfId="27297"/>
    <cellStyle name="Comma [0] TBD_BV226 mkt equation_Aug6 3 19" xfId="27298"/>
    <cellStyle name="Comma [0] TBD-_BV226 mkt equation_Aug6 3 19" xfId="27299"/>
    <cellStyle name="Comma [0] TBD_BV226 mkt equation_Aug6 3 2" xfId="27300"/>
    <cellStyle name="Comma [0] TBD-_BV226 mkt equation_Aug6 3 2" xfId="27301"/>
    <cellStyle name="Comma [0] TBD_BV226 mkt equation_Aug6 3 2 2" xfId="27302"/>
    <cellStyle name="Comma [0] TBD-_BV226 mkt equation_Aug6 3 2 2" xfId="27303"/>
    <cellStyle name="Comma [0] TBD_BV226 mkt equation_Aug6 3 20" xfId="27304"/>
    <cellStyle name="Comma [0] TBD-_BV226 mkt equation_Aug6 3 20" xfId="27305"/>
    <cellStyle name="Comma [0] TBD_BV226 mkt equation_Aug6 3 21" xfId="27306"/>
    <cellStyle name="Comma [0] TBD-_BV226 mkt equation_Aug6 3 21" xfId="27307"/>
    <cellStyle name="Comma [0] TBD_BV226 mkt equation_Aug6 3 22" xfId="27308"/>
    <cellStyle name="Comma [0] TBD-_BV226 mkt equation_Aug6 3 22" xfId="27309"/>
    <cellStyle name="Comma [0] TBD_BV226 mkt equation_Aug6 3 23" xfId="27310"/>
    <cellStyle name="Comma [0] TBD-_BV226 mkt equation_Aug6 3 23" xfId="27311"/>
    <cellStyle name="Comma [0] TBD_BV226 mkt equation_Aug6 3 24" xfId="27312"/>
    <cellStyle name="Comma [0] TBD-_BV226 mkt equation_Aug6 3 24" xfId="27313"/>
    <cellStyle name="Comma [0] TBD_BV226 mkt equation_Aug6 3 25" xfId="27314"/>
    <cellStyle name="Comma [0] TBD-_BV226 mkt equation_Aug6 3 25" xfId="27315"/>
    <cellStyle name="Comma [0] TBD_BV226 mkt equation_Aug6 3 26" xfId="27316"/>
    <cellStyle name="Comma [0] TBD-_BV226 mkt equation_Aug6 3 26" xfId="27317"/>
    <cellStyle name="Comma [0] TBD_BV226 mkt equation_Aug6 3 27" xfId="27318"/>
    <cellStyle name="Comma [0] TBD-_BV226 mkt equation_Aug6 3 27" xfId="27319"/>
    <cellStyle name="Comma [0] TBD_BV226 mkt equation_Aug6 3 28" xfId="27320"/>
    <cellStyle name="Comma [0] TBD-_BV226 mkt equation_Aug6 3 28" xfId="27321"/>
    <cellStyle name="Comma [0] TBD_BV226 mkt equation_Aug6 3 29" xfId="27322"/>
    <cellStyle name="Comma [0] TBD-_BV226 mkt equation_Aug6 3 29" xfId="27323"/>
    <cellStyle name="Comma [0] TBD_BV226 mkt equation_Aug6 3 3" xfId="27324"/>
    <cellStyle name="Comma [0] TBD-_BV226 mkt equation_Aug6 3 3" xfId="27325"/>
    <cellStyle name="Comma [0] TBD_BV226 mkt equation_Aug6 3 30" xfId="27326"/>
    <cellStyle name="Comma [0] TBD-_BV226 mkt equation_Aug6 3 30" xfId="27327"/>
    <cellStyle name="Comma [0] TBD_BV226 mkt equation_Aug6 3 31" xfId="27328"/>
    <cellStyle name="Comma [0] TBD-_BV226 mkt equation_Aug6 3 31" xfId="27329"/>
    <cellStyle name="Comma [0] TBD_BV226 mkt equation_Aug6 3 32" xfId="27330"/>
    <cellStyle name="Comma [0] TBD-_BV226 mkt equation_Aug6 3 32" xfId="27331"/>
    <cellStyle name="Comma [0] TBD_BV226 mkt equation_Aug6 3 33" xfId="27332"/>
    <cellStyle name="Comma [0] TBD-_BV226 mkt equation_Aug6 3 33" xfId="27333"/>
    <cellStyle name="Comma [0] TBD_BV226 mkt equation_Aug6 3 34" xfId="27334"/>
    <cellStyle name="Comma [0] TBD-_BV226 mkt equation_Aug6 3 34" xfId="27335"/>
    <cellStyle name="Comma [0] TBD_BV226 mkt equation_Aug6 3 35" xfId="27336"/>
    <cellStyle name="Comma [0] TBD-_BV226 mkt equation_Aug6 3 35" xfId="27337"/>
    <cellStyle name="Comma [0] TBD_BV226 mkt equation_Aug6 3 36" xfId="27338"/>
    <cellStyle name="Comma [0] TBD-_BV226 mkt equation_Aug6 3 36" xfId="27339"/>
    <cellStyle name="Comma [0] TBD_BV226 mkt equation_Aug6 3 37" xfId="27340"/>
    <cellStyle name="Comma [0] TBD-_BV226 mkt equation_Aug6 3 37" xfId="27341"/>
    <cellStyle name="Comma [0] TBD_BV226 mkt equation_Aug6 3 38" xfId="27342"/>
    <cellStyle name="Comma [0] TBD-_BV226 mkt equation_Aug6 3 38" xfId="27343"/>
    <cellStyle name="Comma [0] TBD_BV226 mkt equation_Aug6 3 39" xfId="27344"/>
    <cellStyle name="Comma [0] TBD-_BV226 mkt equation_Aug6 3 39" xfId="27345"/>
    <cellStyle name="Comma [0] TBD_BV226 mkt equation_Aug6 3 4" xfId="27346"/>
    <cellStyle name="Comma [0] TBD-_BV226 mkt equation_Aug6 3 4" xfId="27347"/>
    <cellStyle name="Comma [0] TBD_BV226 mkt equation_Aug6 3 40" xfId="27348"/>
    <cellStyle name="Comma [0] TBD-_BV226 mkt equation_Aug6 3 40" xfId="27349"/>
    <cellStyle name="Comma [0] TBD_BV226 mkt equation_Aug6 3 41" xfId="27350"/>
    <cellStyle name="Comma [0] TBD-_BV226 mkt equation_Aug6 3 41" xfId="27351"/>
    <cellStyle name="Comma [0] TBD_BV226 mkt equation_Aug6 3 42" xfId="27352"/>
    <cellStyle name="Comma [0] TBD-_BV226 mkt equation_Aug6 3 42" xfId="27353"/>
    <cellStyle name="Comma [0] TBD_BV226 mkt equation_Aug6 3 43" xfId="27354"/>
    <cellStyle name="Comma [0] TBD-_BV226 mkt equation_Aug6 3 43" xfId="27355"/>
    <cellStyle name="Comma [0] TBD_BV226 mkt equation_Aug6 3 44" xfId="27356"/>
    <cellStyle name="Comma [0] TBD-_BV226 mkt equation_Aug6 3 44" xfId="27357"/>
    <cellStyle name="Comma [0] TBD_BV226 mkt equation_Aug6 3 45" xfId="27358"/>
    <cellStyle name="Comma [0] TBD-_BV226 mkt equation_Aug6 3 45" xfId="27359"/>
    <cellStyle name="Comma [0] TBD_BV226 mkt equation_Aug6 3 46" xfId="27360"/>
    <cellStyle name="Comma [0] TBD-_BV226 mkt equation_Aug6 3 46" xfId="27361"/>
    <cellStyle name="Comma [0] TBD_BV226 mkt equation_Aug6 3 47" xfId="27362"/>
    <cellStyle name="Comma [0] TBD-_BV226 mkt equation_Aug6 3 47" xfId="27363"/>
    <cellStyle name="Comma [0] TBD_BV226 mkt equation_Aug6 3 48" xfId="27364"/>
    <cellStyle name="Comma [0] TBD-_BV226 mkt equation_Aug6 3 48" xfId="27365"/>
    <cellStyle name="Comma [0] TBD_BV226 mkt equation_Aug6 3 49" xfId="27366"/>
    <cellStyle name="Comma [0] TBD-_BV226 mkt equation_Aug6 3 49" xfId="27367"/>
    <cellStyle name="Comma [0] TBD_BV226 mkt equation_Aug6 3 5" xfId="27368"/>
    <cellStyle name="Comma [0] TBD-_BV226 mkt equation_Aug6 3 5" xfId="27369"/>
    <cellStyle name="Comma [0] TBD_BV226 mkt equation_Aug6 3 50" xfId="27370"/>
    <cellStyle name="Comma [0] TBD-_BV226 mkt equation_Aug6 3 50" xfId="27371"/>
    <cellStyle name="Comma [0] TBD_BV226 mkt equation_Aug6 3 51" xfId="27372"/>
    <cellStyle name="Comma [0] TBD-_BV226 mkt equation_Aug6 3 51" xfId="27373"/>
    <cellStyle name="Comma [0] TBD_BV226 mkt equation_Aug6 3 52" xfId="27374"/>
    <cellStyle name="Comma [0] TBD-_BV226 mkt equation_Aug6 3 52" xfId="27375"/>
    <cellStyle name="Comma [0] TBD_BV226 mkt equation_Aug6 3 53" xfId="27376"/>
    <cellStyle name="Comma [0] TBD-_BV226 mkt equation_Aug6 3 53" xfId="27377"/>
    <cellStyle name="Comma [0] TBD_BV226 mkt equation_Aug6 3 54" xfId="27378"/>
    <cellStyle name="Comma [0] TBD-_BV226 mkt equation_Aug6 3 54" xfId="27379"/>
    <cellStyle name="Comma [0] TBD_BV226 mkt equation_Aug6 3 55" xfId="27380"/>
    <cellStyle name="Comma [0] TBD-_BV226 mkt equation_Aug6 3 55" xfId="27381"/>
    <cellStyle name="Comma [0] TBD_BV226 mkt equation_Aug6 3 56" xfId="27382"/>
    <cellStyle name="Comma [0] TBD-_BV226 mkt equation_Aug6 3 56" xfId="27383"/>
    <cellStyle name="Comma [0] TBD_BV226 mkt equation_Aug6 3 57" xfId="27384"/>
    <cellStyle name="Comma [0] TBD-_BV226 mkt equation_Aug6 3 57" xfId="27385"/>
    <cellStyle name="Comma [0] TBD_BV226 mkt equation_Aug6 3 58" xfId="27386"/>
    <cellStyle name="Comma [0] TBD-_BV226 mkt equation_Aug6 3 58" xfId="27387"/>
    <cellStyle name="Comma [0] TBD_BV226 mkt equation_Aug6 3 59" xfId="27388"/>
    <cellStyle name="Comma [0] TBD-_BV226 mkt equation_Aug6 3 59" xfId="27389"/>
    <cellStyle name="Comma [0] TBD_BV226 mkt equation_Aug6 3 6" xfId="27390"/>
    <cellStyle name="Comma [0] TBD-_BV226 mkt equation_Aug6 3 6" xfId="27391"/>
    <cellStyle name="Comma [0] TBD_BV226 mkt equation_Aug6 3 60" xfId="27392"/>
    <cellStyle name="Comma [0] TBD-_BV226 mkt equation_Aug6 3 60" xfId="27393"/>
    <cellStyle name="Comma [0] TBD_BV226 mkt equation_Aug6 3 61" xfId="27394"/>
    <cellStyle name="Comma [0] TBD-_BV226 mkt equation_Aug6 3 61" xfId="27395"/>
    <cellStyle name="Comma [0] TBD_BV226 mkt equation_Aug6 3 62" xfId="27396"/>
    <cellStyle name="Comma [0] TBD-_BV226 mkt equation_Aug6 3 62" xfId="27397"/>
    <cellStyle name="Comma [0] TBD_BV226 mkt equation_Aug6 3 63" xfId="27398"/>
    <cellStyle name="Comma [0] TBD-_BV226 mkt equation_Aug6 3 63" xfId="27399"/>
    <cellStyle name="Comma [0] TBD_BV226 mkt equation_Aug6 3 64" xfId="27400"/>
    <cellStyle name="Comma [0] TBD-_BV226 mkt equation_Aug6 3 64" xfId="27401"/>
    <cellStyle name="Comma [0] TBD_BV226 mkt equation_Aug6 3 65" xfId="27402"/>
    <cellStyle name="Comma [0] TBD-_BV226 mkt equation_Aug6 3 65" xfId="27403"/>
    <cellStyle name="Comma [0] TBD_BV226 mkt equation_Aug6 3 66" xfId="27404"/>
    <cellStyle name="Comma [0] TBD-_BV226 mkt equation_Aug6 3 66" xfId="27405"/>
    <cellStyle name="Comma [0] TBD_BV226 mkt equation_Aug6 3 67" xfId="27406"/>
    <cellStyle name="Comma [0] TBD-_BV226 mkt equation_Aug6 3 67" xfId="27407"/>
    <cellStyle name="Comma [0] TBD_BV226 mkt equation_Aug6 3 68" xfId="27408"/>
    <cellStyle name="Comma [0] TBD-_BV226 mkt equation_Aug6 3 68" xfId="27409"/>
    <cellStyle name="Comma [0] TBD_BV226 mkt equation_Aug6 3 69" xfId="27410"/>
    <cellStyle name="Comma [0] TBD-_BV226 mkt equation_Aug6 3 69" xfId="27411"/>
    <cellStyle name="Comma [0] TBD_BV226 mkt equation_Aug6 3 7" xfId="27412"/>
    <cellStyle name="Comma [0] TBD-_BV226 mkt equation_Aug6 3 7" xfId="27413"/>
    <cellStyle name="Comma [0] TBD_BV226 mkt equation_Aug6 3 70" xfId="27414"/>
    <cellStyle name="Comma [0] TBD-_BV226 mkt equation_Aug6 3 70" xfId="27415"/>
    <cellStyle name="Comma [0] TBD_BV226 mkt equation_Aug6 3 71" xfId="27416"/>
    <cellStyle name="Comma [0] TBD-_BV226 mkt equation_Aug6 3 71" xfId="27417"/>
    <cellStyle name="Comma [0] TBD_BV226 mkt equation_Aug6 3 72" xfId="27418"/>
    <cellStyle name="Comma [0] TBD-_BV226 mkt equation_Aug6 3 72" xfId="27419"/>
    <cellStyle name="Comma [0] TBD_BV226 mkt equation_Aug6 3 73" xfId="27420"/>
    <cellStyle name="Comma [0] TBD-_BV226 mkt equation_Aug6 3 73" xfId="27421"/>
    <cellStyle name="Comma [0] TBD_BV226 mkt equation_Aug6 3 74" xfId="27422"/>
    <cellStyle name="Comma [0] TBD-_BV226 mkt equation_Aug6 3 74" xfId="27423"/>
    <cellStyle name="Comma [0] TBD_BV226 mkt equation_Aug6 3 75" xfId="27424"/>
    <cellStyle name="Comma [0] TBD-_BV226 mkt equation_Aug6 3 75" xfId="27425"/>
    <cellStyle name="Comma [0] TBD_BV226 mkt equation_Aug6 3 76" xfId="27426"/>
    <cellStyle name="Comma [0] TBD-_BV226 mkt equation_Aug6 3 76" xfId="27427"/>
    <cellStyle name="Comma [0] TBD_BV226 mkt equation_Aug6 3 77" xfId="27428"/>
    <cellStyle name="Comma [0] TBD-_BV226 mkt equation_Aug6 3 77" xfId="27429"/>
    <cellStyle name="Comma [0] TBD_BV226 mkt equation_Aug6 3 78" xfId="27430"/>
    <cellStyle name="Comma [0] TBD-_BV226 mkt equation_Aug6 3 78" xfId="27431"/>
    <cellStyle name="Comma [0] TBD_BV226 mkt equation_Aug6 3 79" xfId="27432"/>
    <cellStyle name="Comma [0] TBD-_BV226 mkt equation_Aug6 3 79" xfId="27433"/>
    <cellStyle name="Comma [0] TBD_BV226 mkt equation_Aug6 3 8" xfId="27434"/>
    <cellStyle name="Comma [0] TBD-_BV226 mkt equation_Aug6 3 8" xfId="27435"/>
    <cellStyle name="Comma [0] TBD_BV226 mkt equation_Aug6 3 80" xfId="27436"/>
    <cellStyle name="Comma [0] TBD-_BV226 mkt equation_Aug6 3 80" xfId="27437"/>
    <cellStyle name="Comma [0] TBD_BV226 mkt equation_Aug6 3 81" xfId="27438"/>
    <cellStyle name="Comma [0] TBD-_BV226 mkt equation_Aug6 3 81" xfId="27439"/>
    <cellStyle name="Comma [0] TBD_BV226 mkt equation_Aug6 3 82" xfId="27440"/>
    <cellStyle name="Comma [0] TBD-_BV226 mkt equation_Aug6 3 82" xfId="27441"/>
    <cellStyle name="Comma [0] TBD_BV226 mkt equation_Aug6 3 83" xfId="27442"/>
    <cellStyle name="Comma [0] TBD-_BV226 mkt equation_Aug6 3 83" xfId="27443"/>
    <cellStyle name="Comma [0] TBD_BV226 mkt equation_Aug6 3 84" xfId="27444"/>
    <cellStyle name="Comma [0] TBD-_BV226 mkt equation_Aug6 3 84" xfId="27445"/>
    <cellStyle name="Comma [0] TBD_BV226 mkt equation_Aug6 3 85" xfId="27446"/>
    <cellStyle name="Comma [0] TBD-_BV226 mkt equation_Aug6 3 85" xfId="27447"/>
    <cellStyle name="Comma [0] TBD_BV226 mkt equation_Aug6 3 86" xfId="27448"/>
    <cellStyle name="Comma [0] TBD-_BV226 mkt equation_Aug6 3 86" xfId="27449"/>
    <cellStyle name="Comma [0] TBD_BV226 mkt equation_Aug6 3 87" xfId="27450"/>
    <cellStyle name="Comma [0] TBD-_BV226 mkt equation_Aug6 3 87" xfId="27451"/>
    <cellStyle name="Comma [0] TBD_BV226 mkt equation_Aug6 3 88" xfId="27452"/>
    <cellStyle name="Comma [0] TBD-_BV226 mkt equation_Aug6 3 88" xfId="27453"/>
    <cellStyle name="Comma [0] TBD_BV226 mkt equation_Aug6 3 89" xfId="27454"/>
    <cellStyle name="Comma [0] TBD-_BV226 mkt equation_Aug6 3 89" xfId="27455"/>
    <cellStyle name="Comma [0] TBD_BV226 mkt equation_Aug6 3 9" xfId="27456"/>
    <cellStyle name="Comma [0] TBD-_BV226 mkt equation_Aug6 3 9" xfId="27457"/>
    <cellStyle name="Comma [0] TBD_BV226 mkt equation_Aug6 3 90" xfId="27458"/>
    <cellStyle name="Comma [0] TBD-_BV226 mkt equation_Aug6 3 90" xfId="27459"/>
    <cellStyle name="Comma [0] TBD_BV226 mkt equation_Aug6 3 91" xfId="27460"/>
    <cellStyle name="Comma [0] TBD-_BV226 mkt equation_Aug6 3 91" xfId="27461"/>
    <cellStyle name="Comma [0] TBD_BV226 mkt equation_Aug6 3 92" xfId="27462"/>
    <cellStyle name="Comma [0] TBD-_BV226 mkt equation_Aug6 3 92" xfId="27463"/>
    <cellStyle name="Comma [0] TBD_BV226 mkt equation_Aug6 3 93" xfId="27464"/>
    <cellStyle name="Comma [0] TBD-_BV226 mkt equation_Aug6 3 93" xfId="27465"/>
    <cellStyle name="Comma [0] TBD_BV226 mkt equation_Aug6 3 94" xfId="27466"/>
    <cellStyle name="Comma [0] TBD-_BV226 mkt equation_Aug6 3 94" xfId="27467"/>
    <cellStyle name="Comma [0] TBD_BV226 mkt equation_Aug6 3 95" xfId="27468"/>
    <cellStyle name="Comma [0] TBD-_BV226 mkt equation_Aug6 3 95" xfId="27469"/>
    <cellStyle name="Comma [0] TBD_BV226 mkt equation_Aug6 3 96" xfId="27470"/>
    <cellStyle name="Comma [0] TBD-_BV226 mkt equation_Aug6 3 96" xfId="27471"/>
    <cellStyle name="Comma [0] TBD_BV226 mkt equation_Aug6 3 97" xfId="27472"/>
    <cellStyle name="Comma [0] TBD-_BV226 mkt equation_Aug6 3 97" xfId="27473"/>
    <cellStyle name="Comma [0] TBD_BV226 mkt equation_Aug6 3 98" xfId="27474"/>
    <cellStyle name="Comma [0] TBD-_BV226 mkt equation_Aug6 3 98" xfId="27475"/>
    <cellStyle name="Comma [0] TBD_BV226 mkt equation_Aug6 3 99" xfId="27476"/>
    <cellStyle name="Comma [0] TBD-_BV226 mkt equation_Aug6 3 99" xfId="27477"/>
    <cellStyle name="Comma [0] TBD_BV226 mkt equation_Aug6 4" xfId="27478"/>
    <cellStyle name="Comma [0] TBD-_BV226 mkt equation_Aug6 4" xfId="27479"/>
    <cellStyle name="Comma [0] TBD_BV226 mkt equation_Aug6 4 10" xfId="27480"/>
    <cellStyle name="Comma [0] TBD-_BV226 mkt equation_Aug6 4 10" xfId="27481"/>
    <cellStyle name="Comma [0] TBD_BV226 mkt equation_Aug6 4 100" xfId="27482"/>
    <cellStyle name="Comma [0] TBD-_BV226 mkt equation_Aug6 4 100" xfId="27483"/>
    <cellStyle name="Comma [0] TBD_BV226 mkt equation_Aug6 4 101" xfId="27484"/>
    <cellStyle name="Comma [0] TBD-_BV226 mkt equation_Aug6 4 101" xfId="27485"/>
    <cellStyle name="Comma [0] TBD_BV226 mkt equation_Aug6 4 102" xfId="27486"/>
    <cellStyle name="Comma [0] TBD-_BV226 mkt equation_Aug6 4 102" xfId="27487"/>
    <cellStyle name="Comma [0] TBD_BV226 mkt equation_Aug6 4 103" xfId="27488"/>
    <cellStyle name="Comma [0] TBD-_BV226 mkt equation_Aug6 4 103" xfId="27489"/>
    <cellStyle name="Comma [0] TBD_BV226 mkt equation_Aug6 4 104" xfId="27490"/>
    <cellStyle name="Comma [0] TBD-_BV226 mkt equation_Aug6 4 104" xfId="27491"/>
    <cellStyle name="Comma [0] TBD_BV226 mkt equation_Aug6 4 105" xfId="27492"/>
    <cellStyle name="Comma [0] TBD-_BV226 mkt equation_Aug6 4 105" xfId="27493"/>
    <cellStyle name="Comma [0] TBD_BV226 mkt equation_Aug6 4 106" xfId="27494"/>
    <cellStyle name="Comma [0] TBD-_BV226 mkt equation_Aug6 4 106" xfId="27495"/>
    <cellStyle name="Comma [0] TBD_BV226 mkt equation_Aug6 4 107" xfId="27496"/>
    <cellStyle name="Comma [0] TBD-_BV226 mkt equation_Aug6 4 107" xfId="27497"/>
    <cellStyle name="Comma [0] TBD_BV226 mkt equation_Aug6 4 108" xfId="27498"/>
    <cellStyle name="Comma [0] TBD-_BV226 mkt equation_Aug6 4 108" xfId="27499"/>
    <cellStyle name="Comma [0] TBD_BV226 mkt equation_Aug6 4 109" xfId="27500"/>
    <cellStyle name="Comma [0] TBD-_BV226 mkt equation_Aug6 4 109" xfId="27501"/>
    <cellStyle name="Comma [0] TBD_BV226 mkt equation_Aug6 4 11" xfId="27502"/>
    <cellStyle name="Comma [0] TBD-_BV226 mkt equation_Aug6 4 11" xfId="27503"/>
    <cellStyle name="Comma [0] TBD_BV226 mkt equation_Aug6 4 110" xfId="27504"/>
    <cellStyle name="Comma [0] TBD-_BV226 mkt equation_Aug6 4 110" xfId="27505"/>
    <cellStyle name="Comma [0] TBD_BV226 mkt equation_Aug6 4 111" xfId="27506"/>
    <cellStyle name="Comma [0] TBD-_BV226 mkt equation_Aug6 4 111" xfId="27507"/>
    <cellStyle name="Comma [0] TBD_BV226 mkt equation_Aug6 4 112" xfId="27508"/>
    <cellStyle name="Comma [0] TBD-_BV226 mkt equation_Aug6 4 112" xfId="27509"/>
    <cellStyle name="Comma [0] TBD_BV226 mkt equation_Aug6 4 113" xfId="27510"/>
    <cellStyle name="Comma [0] TBD-_BV226 mkt equation_Aug6 4 113" xfId="27511"/>
    <cellStyle name="Comma [0] TBD_BV226 mkt equation_Aug6 4 114" xfId="27512"/>
    <cellStyle name="Comma [0] TBD-_BV226 mkt equation_Aug6 4 114" xfId="27513"/>
    <cellStyle name="Comma [0] TBD_BV226 mkt equation_Aug6 4 115" xfId="27514"/>
    <cellStyle name="Comma [0] TBD-_BV226 mkt equation_Aug6 4 115" xfId="27515"/>
    <cellStyle name="Comma [0] TBD_BV226 mkt equation_Aug6 4 116" xfId="27516"/>
    <cellStyle name="Comma [0] TBD-_BV226 mkt equation_Aug6 4 116" xfId="27517"/>
    <cellStyle name="Comma [0] TBD_BV226 mkt equation_Aug6 4 117" xfId="27518"/>
    <cellStyle name="Comma [0] TBD-_BV226 mkt equation_Aug6 4 117" xfId="27519"/>
    <cellStyle name="Comma [0] TBD_BV226 mkt equation_Aug6 4 118" xfId="27520"/>
    <cellStyle name="Comma [0] TBD-_BV226 mkt equation_Aug6 4 118" xfId="27521"/>
    <cellStyle name="Comma [0] TBD_BV226 mkt equation_Aug6 4 119" xfId="27522"/>
    <cellStyle name="Comma [0] TBD-_BV226 mkt equation_Aug6 4 119" xfId="27523"/>
    <cellStyle name="Comma [0] TBD_BV226 mkt equation_Aug6 4 12" xfId="27524"/>
    <cellStyle name="Comma [0] TBD-_BV226 mkt equation_Aug6 4 12" xfId="27525"/>
    <cellStyle name="Comma [0] TBD_BV226 mkt equation_Aug6 4 120" xfId="27526"/>
    <cellStyle name="Comma [0] TBD-_BV226 mkt equation_Aug6 4 120" xfId="27527"/>
    <cellStyle name="Comma [0] TBD_BV226 mkt equation_Aug6 4 121" xfId="27528"/>
    <cellStyle name="Comma [0] TBD-_BV226 mkt equation_Aug6 4 121" xfId="27529"/>
    <cellStyle name="Comma [0] TBD_BV226 mkt equation_Aug6 4 122" xfId="27530"/>
    <cellStyle name="Comma [0] TBD-_BV226 mkt equation_Aug6 4 122" xfId="27531"/>
    <cellStyle name="Comma [0] TBD_BV226 mkt equation_Aug6 4 123" xfId="27532"/>
    <cellStyle name="Comma [0] TBD-_BV226 mkt equation_Aug6 4 123" xfId="27533"/>
    <cellStyle name="Comma [0] TBD_BV226 mkt equation_Aug6 4 124" xfId="27534"/>
    <cellStyle name="Comma [0] TBD-_BV226 mkt equation_Aug6 4 124" xfId="27535"/>
    <cellStyle name="Comma [0] TBD_BV226 mkt equation_Aug6 4 125" xfId="27536"/>
    <cellStyle name="Comma [0] TBD-_BV226 mkt equation_Aug6 4 125" xfId="27537"/>
    <cellStyle name="Comma [0] TBD_BV226 mkt equation_Aug6 4 126" xfId="27538"/>
    <cellStyle name="Comma [0] TBD-_BV226 mkt equation_Aug6 4 126" xfId="27539"/>
    <cellStyle name="Comma [0] TBD_BV226 mkt equation_Aug6 4 127" xfId="27540"/>
    <cellStyle name="Comma [0] TBD-_BV226 mkt equation_Aug6 4 127" xfId="27541"/>
    <cellStyle name="Comma [0] TBD_BV226 mkt equation_Aug6 4 128" xfId="27542"/>
    <cellStyle name="Comma [0] TBD-_BV226 mkt equation_Aug6 4 128" xfId="27543"/>
    <cellStyle name="Comma [0] TBD_BV226 mkt equation_Aug6 4 129" xfId="27544"/>
    <cellStyle name="Comma [0] TBD-_BV226 mkt equation_Aug6 4 129" xfId="27545"/>
    <cellStyle name="Comma [0] TBD_BV226 mkt equation_Aug6 4 13" xfId="27546"/>
    <cellStyle name="Comma [0] TBD-_BV226 mkt equation_Aug6 4 13" xfId="27547"/>
    <cellStyle name="Comma [0] TBD_BV226 mkt equation_Aug6 4 130" xfId="27548"/>
    <cellStyle name="Comma [0] TBD-_BV226 mkt equation_Aug6 4 130" xfId="27549"/>
    <cellStyle name="Comma [0] TBD_BV226 mkt equation_Aug6 4 131" xfId="27550"/>
    <cellStyle name="Comma [0] TBD-_BV226 mkt equation_Aug6 4 131" xfId="27551"/>
    <cellStyle name="Comma [0] TBD_BV226 mkt equation_Aug6 4 132" xfId="27552"/>
    <cellStyle name="Comma [0] TBD-_BV226 mkt equation_Aug6 4 132" xfId="27553"/>
    <cellStyle name="Comma [0] TBD_BV226 mkt equation_Aug6 4 133" xfId="27554"/>
    <cellStyle name="Comma [0] TBD-_BV226 mkt equation_Aug6 4 133" xfId="27555"/>
    <cellStyle name="Comma [0] TBD_BV226 mkt equation_Aug6 4 134" xfId="27556"/>
    <cellStyle name="Comma [0] TBD-_BV226 mkt equation_Aug6 4 134" xfId="27557"/>
    <cellStyle name="Comma [0] TBD_BV226 mkt equation_Aug6 4 135" xfId="27558"/>
    <cellStyle name="Comma [0] TBD-_BV226 mkt equation_Aug6 4 135" xfId="27559"/>
    <cellStyle name="Comma [0] TBD_BV226 mkt equation_Aug6 4 136" xfId="27560"/>
    <cellStyle name="Comma [0] TBD-_BV226 mkt equation_Aug6 4 136" xfId="27561"/>
    <cellStyle name="Comma [0] TBD_BV226 mkt equation_Aug6 4 137" xfId="27562"/>
    <cellStyle name="Comma [0] TBD-_BV226 mkt equation_Aug6 4 137" xfId="27563"/>
    <cellStyle name="Comma [0] TBD_BV226 mkt equation_Aug6 4 138" xfId="27564"/>
    <cellStyle name="Comma [0] TBD-_BV226 mkt equation_Aug6 4 138" xfId="27565"/>
    <cellStyle name="Comma [0] TBD_BV226 mkt equation_Aug6 4 139" xfId="27566"/>
    <cellStyle name="Comma [0] TBD-_BV226 mkt equation_Aug6 4 139" xfId="27567"/>
    <cellStyle name="Comma [0] TBD_BV226 mkt equation_Aug6 4 14" xfId="27568"/>
    <cellStyle name="Comma [0] TBD-_BV226 mkt equation_Aug6 4 14" xfId="27569"/>
    <cellStyle name="Comma [0] TBD_BV226 mkt equation_Aug6 4 140" xfId="27570"/>
    <cellStyle name="Comma [0] TBD-_BV226 mkt equation_Aug6 4 140" xfId="27571"/>
    <cellStyle name="Comma [0] TBD_BV226 mkt equation_Aug6 4 141" xfId="27572"/>
    <cellStyle name="Comma [0] TBD-_BV226 mkt equation_Aug6 4 141" xfId="27573"/>
    <cellStyle name="Comma [0] TBD_BV226 mkt equation_Aug6 4 142" xfId="27574"/>
    <cellStyle name="Comma [0] TBD-_BV226 mkt equation_Aug6 4 142" xfId="27575"/>
    <cellStyle name="Comma [0] TBD_BV226 mkt equation_Aug6 4 143" xfId="27576"/>
    <cellStyle name="Comma [0] TBD-_BV226 mkt equation_Aug6 4 143" xfId="27577"/>
    <cellStyle name="Comma [0] TBD_BV226 mkt equation_Aug6 4 144" xfId="27578"/>
    <cellStyle name="Comma [0] TBD-_BV226 mkt equation_Aug6 4 144" xfId="27579"/>
    <cellStyle name="Comma [0] TBD_BV226 mkt equation_Aug6 4 145" xfId="27580"/>
    <cellStyle name="Comma [0] TBD-_BV226 mkt equation_Aug6 4 145" xfId="27581"/>
    <cellStyle name="Comma [0] TBD_BV226 mkt equation_Aug6 4 146" xfId="27582"/>
    <cellStyle name="Comma [0] TBD-_BV226 mkt equation_Aug6 4 146" xfId="27583"/>
    <cellStyle name="Comma [0] TBD_BV226 mkt equation_Aug6 4 147" xfId="27584"/>
    <cellStyle name="Comma [0] TBD-_BV226 mkt equation_Aug6 4 147" xfId="27585"/>
    <cellStyle name="Comma [0] TBD_BV226 mkt equation_Aug6 4 148" xfId="27586"/>
    <cellStyle name="Comma [0] TBD-_BV226 mkt equation_Aug6 4 148" xfId="27587"/>
    <cellStyle name="Comma [0] TBD_BV226 mkt equation_Aug6 4 149" xfId="27588"/>
    <cellStyle name="Comma [0] TBD-_BV226 mkt equation_Aug6 4 149" xfId="27589"/>
    <cellStyle name="Comma [0] TBD_BV226 mkt equation_Aug6 4 15" xfId="27590"/>
    <cellStyle name="Comma [0] TBD-_BV226 mkt equation_Aug6 4 15" xfId="27591"/>
    <cellStyle name="Comma [0] TBD_BV226 mkt equation_Aug6 4 150" xfId="27592"/>
    <cellStyle name="Comma [0] TBD-_BV226 mkt equation_Aug6 4 150" xfId="27593"/>
    <cellStyle name="Comma [0] TBD_BV226 mkt equation_Aug6 4 151" xfId="27594"/>
    <cellStyle name="Comma [0] TBD-_BV226 mkt equation_Aug6 4 151" xfId="27595"/>
    <cellStyle name="Comma [0] TBD_BV226 mkt equation_Aug6 4 152" xfId="27596"/>
    <cellStyle name="Comma [0] TBD-_BV226 mkt equation_Aug6 4 152" xfId="27597"/>
    <cellStyle name="Comma [0] TBD_BV226 mkt equation_Aug6 4 153" xfId="27598"/>
    <cellStyle name="Comma [0] TBD-_BV226 mkt equation_Aug6 4 153" xfId="27599"/>
    <cellStyle name="Comma [0] TBD_BV226 mkt equation_Aug6 4 154" xfId="27600"/>
    <cellStyle name="Comma [0] TBD-_BV226 mkt equation_Aug6 4 154" xfId="27601"/>
    <cellStyle name="Comma [0] TBD_BV226 mkt equation_Aug6 4 16" xfId="27602"/>
    <cellStyle name="Comma [0] TBD-_BV226 mkt equation_Aug6 4 16" xfId="27603"/>
    <cellStyle name="Comma [0] TBD_BV226 mkt equation_Aug6 4 17" xfId="27604"/>
    <cellStyle name="Comma [0] TBD-_BV226 mkt equation_Aug6 4 17" xfId="27605"/>
    <cellStyle name="Comma [0] TBD_BV226 mkt equation_Aug6 4 18" xfId="27606"/>
    <cellStyle name="Comma [0] TBD-_BV226 mkt equation_Aug6 4 18" xfId="27607"/>
    <cellStyle name="Comma [0] TBD_BV226 mkt equation_Aug6 4 19" xfId="27608"/>
    <cellStyle name="Comma [0] TBD-_BV226 mkt equation_Aug6 4 19" xfId="27609"/>
    <cellStyle name="Comma [0] TBD_BV226 mkt equation_Aug6 4 2" xfId="27610"/>
    <cellStyle name="Comma [0] TBD-_BV226 mkt equation_Aug6 4 2" xfId="27611"/>
    <cellStyle name="Comma [0] TBD_BV226 mkt equation_Aug6 4 20" xfId="27612"/>
    <cellStyle name="Comma [0] TBD-_BV226 mkt equation_Aug6 4 20" xfId="27613"/>
    <cellStyle name="Comma [0] TBD_BV226 mkt equation_Aug6 4 21" xfId="27614"/>
    <cellStyle name="Comma [0] TBD-_BV226 mkt equation_Aug6 4 21" xfId="27615"/>
    <cellStyle name="Comma [0] TBD_BV226 mkt equation_Aug6 4 22" xfId="27616"/>
    <cellStyle name="Comma [0] TBD-_BV226 mkt equation_Aug6 4 22" xfId="27617"/>
    <cellStyle name="Comma [0] TBD_BV226 mkt equation_Aug6 4 23" xfId="27618"/>
    <cellStyle name="Comma [0] TBD-_BV226 mkt equation_Aug6 4 23" xfId="27619"/>
    <cellStyle name="Comma [0] TBD_BV226 mkt equation_Aug6 4 24" xfId="27620"/>
    <cellStyle name="Comma [0] TBD-_BV226 mkt equation_Aug6 4 24" xfId="27621"/>
    <cellStyle name="Comma [0] TBD_BV226 mkt equation_Aug6 4 25" xfId="27622"/>
    <cellStyle name="Comma [0] TBD-_BV226 mkt equation_Aug6 4 25" xfId="27623"/>
    <cellStyle name="Comma [0] TBD_BV226 mkt equation_Aug6 4 26" xfId="27624"/>
    <cellStyle name="Comma [0] TBD-_BV226 mkt equation_Aug6 4 26" xfId="27625"/>
    <cellStyle name="Comma [0] TBD_BV226 mkt equation_Aug6 4 27" xfId="27626"/>
    <cellStyle name="Comma [0] TBD-_BV226 mkt equation_Aug6 4 27" xfId="27627"/>
    <cellStyle name="Comma [0] TBD_BV226 mkt equation_Aug6 4 28" xfId="27628"/>
    <cellStyle name="Comma [0] TBD-_BV226 mkt equation_Aug6 4 28" xfId="27629"/>
    <cellStyle name="Comma [0] TBD_BV226 mkt equation_Aug6 4 29" xfId="27630"/>
    <cellStyle name="Comma [0] TBD-_BV226 mkt equation_Aug6 4 29" xfId="27631"/>
    <cellStyle name="Comma [0] TBD_BV226 mkt equation_Aug6 4 3" xfId="27632"/>
    <cellStyle name="Comma [0] TBD-_BV226 mkt equation_Aug6 4 3" xfId="27633"/>
    <cellStyle name="Comma [0] TBD_BV226 mkt equation_Aug6 4 30" xfId="27634"/>
    <cellStyle name="Comma [0] TBD-_BV226 mkt equation_Aug6 4 30" xfId="27635"/>
    <cellStyle name="Comma [0] TBD_BV226 mkt equation_Aug6 4 31" xfId="27636"/>
    <cellStyle name="Comma [0] TBD-_BV226 mkt equation_Aug6 4 31" xfId="27637"/>
    <cellStyle name="Comma [0] TBD_BV226 mkt equation_Aug6 4 32" xfId="27638"/>
    <cellStyle name="Comma [0] TBD-_BV226 mkt equation_Aug6 4 32" xfId="27639"/>
    <cellStyle name="Comma [0] TBD_BV226 mkt equation_Aug6 4 33" xfId="27640"/>
    <cellStyle name="Comma [0] TBD-_BV226 mkt equation_Aug6 4 33" xfId="27641"/>
    <cellStyle name="Comma [0] TBD_BV226 mkt equation_Aug6 4 34" xfId="27642"/>
    <cellStyle name="Comma [0] TBD-_BV226 mkt equation_Aug6 4 34" xfId="27643"/>
    <cellStyle name="Comma [0] TBD_BV226 mkt equation_Aug6 4 35" xfId="27644"/>
    <cellStyle name="Comma [0] TBD-_BV226 mkt equation_Aug6 4 35" xfId="27645"/>
    <cellStyle name="Comma [0] TBD_BV226 mkt equation_Aug6 4 36" xfId="27646"/>
    <cellStyle name="Comma [0] TBD-_BV226 mkt equation_Aug6 4 36" xfId="27647"/>
    <cellStyle name="Comma [0] TBD_BV226 mkt equation_Aug6 4 37" xfId="27648"/>
    <cellStyle name="Comma [0] TBD-_BV226 mkt equation_Aug6 4 37" xfId="27649"/>
    <cellStyle name="Comma [0] TBD_BV226 mkt equation_Aug6 4 38" xfId="27650"/>
    <cellStyle name="Comma [0] TBD-_BV226 mkt equation_Aug6 4 38" xfId="27651"/>
    <cellStyle name="Comma [0] TBD_BV226 mkt equation_Aug6 4 39" xfId="27652"/>
    <cellStyle name="Comma [0] TBD-_BV226 mkt equation_Aug6 4 39" xfId="27653"/>
    <cellStyle name="Comma [0] TBD_BV226 mkt equation_Aug6 4 4" xfId="27654"/>
    <cellStyle name="Comma [0] TBD-_BV226 mkt equation_Aug6 4 4" xfId="27655"/>
    <cellStyle name="Comma [0] TBD_BV226 mkt equation_Aug6 4 40" xfId="27656"/>
    <cellStyle name="Comma [0] TBD-_BV226 mkt equation_Aug6 4 40" xfId="27657"/>
    <cellStyle name="Comma [0] TBD_BV226 mkt equation_Aug6 4 41" xfId="27658"/>
    <cellStyle name="Comma [0] TBD-_BV226 mkt equation_Aug6 4 41" xfId="27659"/>
    <cellStyle name="Comma [0] TBD_BV226 mkt equation_Aug6 4 42" xfId="27660"/>
    <cellStyle name="Comma [0] TBD-_BV226 mkt equation_Aug6 4 42" xfId="27661"/>
    <cellStyle name="Comma [0] TBD_BV226 mkt equation_Aug6 4 43" xfId="27662"/>
    <cellStyle name="Comma [0] TBD-_BV226 mkt equation_Aug6 4 43" xfId="27663"/>
    <cellStyle name="Comma [0] TBD_BV226 mkt equation_Aug6 4 44" xfId="27664"/>
    <cellStyle name="Comma [0] TBD-_BV226 mkt equation_Aug6 4 44" xfId="27665"/>
    <cellStyle name="Comma [0] TBD_BV226 mkt equation_Aug6 4 45" xfId="27666"/>
    <cellStyle name="Comma [0] TBD-_BV226 mkt equation_Aug6 4 45" xfId="27667"/>
    <cellStyle name="Comma [0] TBD_BV226 mkt equation_Aug6 4 46" xfId="27668"/>
    <cellStyle name="Comma [0] TBD-_BV226 mkt equation_Aug6 4 46" xfId="27669"/>
    <cellStyle name="Comma [0] TBD_BV226 mkt equation_Aug6 4 47" xfId="27670"/>
    <cellStyle name="Comma [0] TBD-_BV226 mkt equation_Aug6 4 47" xfId="27671"/>
    <cellStyle name="Comma [0] TBD_BV226 mkt equation_Aug6 4 48" xfId="27672"/>
    <cellStyle name="Comma [0] TBD-_BV226 mkt equation_Aug6 4 48" xfId="27673"/>
    <cellStyle name="Comma [0] TBD_BV226 mkt equation_Aug6 4 49" xfId="27674"/>
    <cellStyle name="Comma [0] TBD-_BV226 mkt equation_Aug6 4 49" xfId="27675"/>
    <cellStyle name="Comma [0] TBD_BV226 mkt equation_Aug6 4 5" xfId="27676"/>
    <cellStyle name="Comma [0] TBD-_BV226 mkt equation_Aug6 4 5" xfId="27677"/>
    <cellStyle name="Comma [0] TBD_BV226 mkt equation_Aug6 4 50" xfId="27678"/>
    <cellStyle name="Comma [0] TBD-_BV226 mkt equation_Aug6 4 50" xfId="27679"/>
    <cellStyle name="Comma [0] TBD_BV226 mkt equation_Aug6 4 51" xfId="27680"/>
    <cellStyle name="Comma [0] TBD-_BV226 mkt equation_Aug6 4 51" xfId="27681"/>
    <cellStyle name="Comma [0] TBD_BV226 mkt equation_Aug6 4 52" xfId="27682"/>
    <cellStyle name="Comma [0] TBD-_BV226 mkt equation_Aug6 4 52" xfId="27683"/>
    <cellStyle name="Comma [0] TBD_BV226 mkt equation_Aug6 4 53" xfId="27684"/>
    <cellStyle name="Comma [0] TBD-_BV226 mkt equation_Aug6 4 53" xfId="27685"/>
    <cellStyle name="Comma [0] TBD_BV226 mkt equation_Aug6 4 54" xfId="27686"/>
    <cellStyle name="Comma [0] TBD-_BV226 mkt equation_Aug6 4 54" xfId="27687"/>
    <cellStyle name="Comma [0] TBD_BV226 mkt equation_Aug6 4 55" xfId="27688"/>
    <cellStyle name="Comma [0] TBD-_BV226 mkt equation_Aug6 4 55" xfId="27689"/>
    <cellStyle name="Comma [0] TBD_BV226 mkt equation_Aug6 4 56" xfId="27690"/>
    <cellStyle name="Comma [0] TBD-_BV226 mkt equation_Aug6 4 56" xfId="27691"/>
    <cellStyle name="Comma [0] TBD_BV226 mkt equation_Aug6 4 57" xfId="27692"/>
    <cellStyle name="Comma [0] TBD-_BV226 mkt equation_Aug6 4 57" xfId="27693"/>
    <cellStyle name="Comma [0] TBD_BV226 mkt equation_Aug6 4 58" xfId="27694"/>
    <cellStyle name="Comma [0] TBD-_BV226 mkt equation_Aug6 4 58" xfId="27695"/>
    <cellStyle name="Comma [0] TBD_BV226 mkt equation_Aug6 4 59" xfId="27696"/>
    <cellStyle name="Comma [0] TBD-_BV226 mkt equation_Aug6 4 59" xfId="27697"/>
    <cellStyle name="Comma [0] TBD_BV226 mkt equation_Aug6 4 6" xfId="27698"/>
    <cellStyle name="Comma [0] TBD-_BV226 mkt equation_Aug6 4 6" xfId="27699"/>
    <cellStyle name="Comma [0] TBD_BV226 mkt equation_Aug6 4 60" xfId="27700"/>
    <cellStyle name="Comma [0] TBD-_BV226 mkt equation_Aug6 4 60" xfId="27701"/>
    <cellStyle name="Comma [0] TBD_BV226 mkt equation_Aug6 4 61" xfId="27702"/>
    <cellStyle name="Comma [0] TBD-_BV226 mkt equation_Aug6 4 61" xfId="27703"/>
    <cellStyle name="Comma [0] TBD_BV226 mkt equation_Aug6 4 62" xfId="27704"/>
    <cellStyle name="Comma [0] TBD-_BV226 mkt equation_Aug6 4 62" xfId="27705"/>
    <cellStyle name="Comma [0] TBD_BV226 mkt equation_Aug6 4 63" xfId="27706"/>
    <cellStyle name="Comma [0] TBD-_BV226 mkt equation_Aug6 4 63" xfId="27707"/>
    <cellStyle name="Comma [0] TBD_BV226 mkt equation_Aug6 4 64" xfId="27708"/>
    <cellStyle name="Comma [0] TBD-_BV226 mkt equation_Aug6 4 64" xfId="27709"/>
    <cellStyle name="Comma [0] TBD_BV226 mkt equation_Aug6 4 65" xfId="27710"/>
    <cellStyle name="Comma [0] TBD-_BV226 mkt equation_Aug6 4 65" xfId="27711"/>
    <cellStyle name="Comma [0] TBD_BV226 mkt equation_Aug6 4 66" xfId="27712"/>
    <cellStyle name="Comma [0] TBD-_BV226 mkt equation_Aug6 4 66" xfId="27713"/>
    <cellStyle name="Comma [0] TBD_BV226 mkt equation_Aug6 4 67" xfId="27714"/>
    <cellStyle name="Comma [0] TBD-_BV226 mkt equation_Aug6 4 67" xfId="27715"/>
    <cellStyle name="Comma [0] TBD_BV226 mkt equation_Aug6 4 68" xfId="27716"/>
    <cellStyle name="Comma [0] TBD-_BV226 mkt equation_Aug6 4 68" xfId="27717"/>
    <cellStyle name="Comma [0] TBD_BV226 mkt equation_Aug6 4 69" xfId="27718"/>
    <cellStyle name="Comma [0] TBD-_BV226 mkt equation_Aug6 4 69" xfId="27719"/>
    <cellStyle name="Comma [0] TBD_BV226 mkt equation_Aug6 4 7" xfId="27720"/>
    <cellStyle name="Comma [0] TBD-_BV226 mkt equation_Aug6 4 7" xfId="27721"/>
    <cellStyle name="Comma [0] TBD_BV226 mkt equation_Aug6 4 70" xfId="27722"/>
    <cellStyle name="Comma [0] TBD-_BV226 mkt equation_Aug6 4 70" xfId="27723"/>
    <cellStyle name="Comma [0] TBD_BV226 mkt equation_Aug6 4 71" xfId="27724"/>
    <cellStyle name="Comma [0] TBD-_BV226 mkt equation_Aug6 4 71" xfId="27725"/>
    <cellStyle name="Comma [0] TBD_BV226 mkt equation_Aug6 4 72" xfId="27726"/>
    <cellStyle name="Comma [0] TBD-_BV226 mkt equation_Aug6 4 72" xfId="27727"/>
    <cellStyle name="Comma [0] TBD_BV226 mkt equation_Aug6 4 73" xfId="27728"/>
    <cellStyle name="Comma [0] TBD-_BV226 mkt equation_Aug6 4 73" xfId="27729"/>
    <cellStyle name="Comma [0] TBD_BV226 mkt equation_Aug6 4 74" xfId="27730"/>
    <cellStyle name="Comma [0] TBD-_BV226 mkt equation_Aug6 4 74" xfId="27731"/>
    <cellStyle name="Comma [0] TBD_BV226 mkt equation_Aug6 4 75" xfId="27732"/>
    <cellStyle name="Comma [0] TBD-_BV226 mkt equation_Aug6 4 75" xfId="27733"/>
    <cellStyle name="Comma [0] TBD_BV226 mkt equation_Aug6 4 76" xfId="27734"/>
    <cellStyle name="Comma [0] TBD-_BV226 mkt equation_Aug6 4 76" xfId="27735"/>
    <cellStyle name="Comma [0] TBD_BV226 mkt equation_Aug6 4 77" xfId="27736"/>
    <cellStyle name="Comma [0] TBD-_BV226 mkt equation_Aug6 4 77" xfId="27737"/>
    <cellStyle name="Comma [0] TBD_BV226 mkt equation_Aug6 4 78" xfId="27738"/>
    <cellStyle name="Comma [0] TBD-_BV226 mkt equation_Aug6 4 78" xfId="27739"/>
    <cellStyle name="Comma [0] TBD_BV226 mkt equation_Aug6 4 79" xfId="27740"/>
    <cellStyle name="Comma [0] TBD-_BV226 mkt equation_Aug6 4 79" xfId="27741"/>
    <cellStyle name="Comma [0] TBD_BV226 mkt equation_Aug6 4 8" xfId="27742"/>
    <cellStyle name="Comma [0] TBD-_BV226 mkt equation_Aug6 4 8" xfId="27743"/>
    <cellStyle name="Comma [0] TBD_BV226 mkt equation_Aug6 4 80" xfId="27744"/>
    <cellStyle name="Comma [0] TBD-_BV226 mkt equation_Aug6 4 80" xfId="27745"/>
    <cellStyle name="Comma [0] TBD_BV226 mkt equation_Aug6 4 81" xfId="27746"/>
    <cellStyle name="Comma [0] TBD-_BV226 mkt equation_Aug6 4 81" xfId="27747"/>
    <cellStyle name="Comma [0] TBD_BV226 mkt equation_Aug6 4 82" xfId="27748"/>
    <cellStyle name="Comma [0] TBD-_BV226 mkt equation_Aug6 4 82" xfId="27749"/>
    <cellStyle name="Comma [0] TBD_BV226 mkt equation_Aug6 4 83" xfId="27750"/>
    <cellStyle name="Comma [0] TBD-_BV226 mkt equation_Aug6 4 83" xfId="27751"/>
    <cellStyle name="Comma [0] TBD_BV226 mkt equation_Aug6 4 84" xfId="27752"/>
    <cellStyle name="Comma [0] TBD-_BV226 mkt equation_Aug6 4 84" xfId="27753"/>
    <cellStyle name="Comma [0] TBD_BV226 mkt equation_Aug6 4 85" xfId="27754"/>
    <cellStyle name="Comma [0] TBD-_BV226 mkt equation_Aug6 4 85" xfId="27755"/>
    <cellStyle name="Comma [0] TBD_BV226 mkt equation_Aug6 4 86" xfId="27756"/>
    <cellStyle name="Comma [0] TBD-_BV226 mkt equation_Aug6 4 86" xfId="27757"/>
    <cellStyle name="Comma [0] TBD_BV226 mkt equation_Aug6 4 87" xfId="27758"/>
    <cellStyle name="Comma [0] TBD-_BV226 mkt equation_Aug6 4 87" xfId="27759"/>
    <cellStyle name="Comma [0] TBD_BV226 mkt equation_Aug6 4 88" xfId="27760"/>
    <cellStyle name="Comma [0] TBD-_BV226 mkt equation_Aug6 4 88" xfId="27761"/>
    <cellStyle name="Comma [0] TBD_BV226 mkt equation_Aug6 4 89" xfId="27762"/>
    <cellStyle name="Comma [0] TBD-_BV226 mkt equation_Aug6 4 89" xfId="27763"/>
    <cellStyle name="Comma [0] TBD_BV226 mkt equation_Aug6 4 9" xfId="27764"/>
    <cellStyle name="Comma [0] TBD-_BV226 mkt equation_Aug6 4 9" xfId="27765"/>
    <cellStyle name="Comma [0] TBD_BV226 mkt equation_Aug6 4 90" xfId="27766"/>
    <cellStyle name="Comma [0] TBD-_BV226 mkt equation_Aug6 4 90" xfId="27767"/>
    <cellStyle name="Comma [0] TBD_BV226 mkt equation_Aug6 4 91" xfId="27768"/>
    <cellStyle name="Comma [0] TBD-_BV226 mkt equation_Aug6 4 91" xfId="27769"/>
    <cellStyle name="Comma [0] TBD_BV226 mkt equation_Aug6 4 92" xfId="27770"/>
    <cellStyle name="Comma [0] TBD-_BV226 mkt equation_Aug6 4 92" xfId="27771"/>
    <cellStyle name="Comma [0] TBD_BV226 mkt equation_Aug6 4 93" xfId="27772"/>
    <cellStyle name="Comma [0] TBD-_BV226 mkt equation_Aug6 4 93" xfId="27773"/>
    <cellStyle name="Comma [0] TBD_BV226 mkt equation_Aug6 4 94" xfId="27774"/>
    <cellStyle name="Comma [0] TBD-_BV226 mkt equation_Aug6 4 94" xfId="27775"/>
    <cellStyle name="Comma [0] TBD_BV226 mkt equation_Aug6 4 95" xfId="27776"/>
    <cellStyle name="Comma [0] TBD-_BV226 mkt equation_Aug6 4 95" xfId="27777"/>
    <cellStyle name="Comma [0] TBD_BV226 mkt equation_Aug6 4 96" xfId="27778"/>
    <cellStyle name="Comma [0] TBD-_BV226 mkt equation_Aug6 4 96" xfId="27779"/>
    <cellStyle name="Comma [0] TBD_BV226 mkt equation_Aug6 4 97" xfId="27780"/>
    <cellStyle name="Comma [0] TBD-_BV226 mkt equation_Aug6 4 97" xfId="27781"/>
    <cellStyle name="Comma [0] TBD_BV226 mkt equation_Aug6 4 98" xfId="27782"/>
    <cellStyle name="Comma [0] TBD-_BV226 mkt equation_Aug6 4 98" xfId="27783"/>
    <cellStyle name="Comma [0] TBD_BV226 mkt equation_Aug6 4 99" xfId="27784"/>
    <cellStyle name="Comma [0] TBD-_BV226 mkt equation_Aug6 4 99" xfId="27785"/>
    <cellStyle name="Comma [0] TBD_BV226 mkt equation_Aug6 5" xfId="27786"/>
    <cellStyle name="Comma [0] TBD-_BV226 mkt equation_Aug6 5" xfId="27787"/>
    <cellStyle name="Comma [0] TBD_BV226 mkt equation_Aug6 5 10" xfId="27788"/>
    <cellStyle name="Comma [0] TBD-_BV226 mkt equation_Aug6 5 10" xfId="27789"/>
    <cellStyle name="Comma [0] TBD_BV226 mkt equation_Aug6 5 100" xfId="27790"/>
    <cellStyle name="Comma [0] TBD-_BV226 mkt equation_Aug6 5 100" xfId="27791"/>
    <cellStyle name="Comma [0] TBD_BV226 mkt equation_Aug6 5 101" xfId="27792"/>
    <cellStyle name="Comma [0] TBD-_BV226 mkt equation_Aug6 5 101" xfId="27793"/>
    <cellStyle name="Comma [0] TBD_BV226 mkt equation_Aug6 5 102" xfId="27794"/>
    <cellStyle name="Comma [0] TBD-_BV226 mkt equation_Aug6 5 102" xfId="27795"/>
    <cellStyle name="Comma [0] TBD_BV226 mkt equation_Aug6 5 103" xfId="27796"/>
    <cellStyle name="Comma [0] TBD-_BV226 mkt equation_Aug6 5 103" xfId="27797"/>
    <cellStyle name="Comma [0] TBD_BV226 mkt equation_Aug6 5 104" xfId="27798"/>
    <cellStyle name="Comma [0] TBD-_BV226 mkt equation_Aug6 5 104" xfId="27799"/>
    <cellStyle name="Comma [0] TBD_BV226 mkt equation_Aug6 5 105" xfId="27800"/>
    <cellStyle name="Comma [0] TBD-_BV226 mkt equation_Aug6 5 105" xfId="27801"/>
    <cellStyle name="Comma [0] TBD_BV226 mkt equation_Aug6 5 106" xfId="27802"/>
    <cellStyle name="Comma [0] TBD-_BV226 mkt equation_Aug6 5 106" xfId="27803"/>
    <cellStyle name="Comma [0] TBD_BV226 mkt equation_Aug6 5 107" xfId="27804"/>
    <cellStyle name="Comma [0] TBD-_BV226 mkt equation_Aug6 5 107" xfId="27805"/>
    <cellStyle name="Comma [0] TBD_BV226 mkt equation_Aug6 5 108" xfId="27806"/>
    <cellStyle name="Comma [0] TBD-_BV226 mkt equation_Aug6 5 108" xfId="27807"/>
    <cellStyle name="Comma [0] TBD_BV226 mkt equation_Aug6 5 109" xfId="27808"/>
    <cellStyle name="Comma [0] TBD-_BV226 mkt equation_Aug6 5 109" xfId="27809"/>
    <cellStyle name="Comma [0] TBD_BV226 mkt equation_Aug6 5 11" xfId="27810"/>
    <cellStyle name="Comma [0] TBD-_BV226 mkt equation_Aug6 5 11" xfId="27811"/>
    <cellStyle name="Comma [0] TBD_BV226 mkt equation_Aug6 5 110" xfId="27812"/>
    <cellStyle name="Comma [0] TBD-_BV226 mkt equation_Aug6 5 110" xfId="27813"/>
    <cellStyle name="Comma [0] TBD_BV226 mkt equation_Aug6 5 111" xfId="27814"/>
    <cellStyle name="Comma [0] TBD-_BV226 mkt equation_Aug6 5 111" xfId="27815"/>
    <cellStyle name="Comma [0] TBD_BV226 mkt equation_Aug6 5 112" xfId="27816"/>
    <cellStyle name="Comma [0] TBD-_BV226 mkt equation_Aug6 5 112" xfId="27817"/>
    <cellStyle name="Comma [0] TBD_BV226 mkt equation_Aug6 5 113" xfId="27818"/>
    <cellStyle name="Comma [0] TBD-_BV226 mkt equation_Aug6 5 113" xfId="27819"/>
    <cellStyle name="Comma [0] TBD_BV226 mkt equation_Aug6 5 114" xfId="27820"/>
    <cellStyle name="Comma [0] TBD-_BV226 mkt equation_Aug6 5 114" xfId="27821"/>
    <cellStyle name="Comma [0] TBD_BV226 mkt equation_Aug6 5 115" xfId="27822"/>
    <cellStyle name="Comma [0] TBD-_BV226 mkt equation_Aug6 5 115" xfId="27823"/>
    <cellStyle name="Comma [0] TBD_BV226 mkt equation_Aug6 5 116" xfId="27824"/>
    <cellStyle name="Comma [0] TBD-_BV226 mkt equation_Aug6 5 116" xfId="27825"/>
    <cellStyle name="Comma [0] TBD_BV226 mkt equation_Aug6 5 117" xfId="27826"/>
    <cellStyle name="Comma [0] TBD-_BV226 mkt equation_Aug6 5 117" xfId="27827"/>
    <cellStyle name="Comma [0] TBD_BV226 mkt equation_Aug6 5 118" xfId="27828"/>
    <cellStyle name="Comma [0] TBD-_BV226 mkt equation_Aug6 5 118" xfId="27829"/>
    <cellStyle name="Comma [0] TBD_BV226 mkt equation_Aug6 5 119" xfId="27830"/>
    <cellStyle name="Comma [0] TBD-_BV226 mkt equation_Aug6 5 119" xfId="27831"/>
    <cellStyle name="Comma [0] TBD_BV226 mkt equation_Aug6 5 12" xfId="27832"/>
    <cellStyle name="Comma [0] TBD-_BV226 mkt equation_Aug6 5 12" xfId="27833"/>
    <cellStyle name="Comma [0] TBD_BV226 mkt equation_Aug6 5 120" xfId="27834"/>
    <cellStyle name="Comma [0] TBD-_BV226 mkt equation_Aug6 5 120" xfId="27835"/>
    <cellStyle name="Comma [0] TBD_BV226 mkt equation_Aug6 5 121" xfId="27836"/>
    <cellStyle name="Comma [0] TBD-_BV226 mkt equation_Aug6 5 121" xfId="27837"/>
    <cellStyle name="Comma [0] TBD_BV226 mkt equation_Aug6 5 122" xfId="27838"/>
    <cellStyle name="Comma [0] TBD-_BV226 mkt equation_Aug6 5 122" xfId="27839"/>
    <cellStyle name="Comma [0] TBD_BV226 mkt equation_Aug6 5 123" xfId="27840"/>
    <cellStyle name="Comma [0] TBD-_BV226 mkt equation_Aug6 5 123" xfId="27841"/>
    <cellStyle name="Comma [0] TBD_BV226 mkt equation_Aug6 5 124" xfId="27842"/>
    <cellStyle name="Comma [0] TBD-_BV226 mkt equation_Aug6 5 124" xfId="27843"/>
    <cellStyle name="Comma [0] TBD_BV226 mkt equation_Aug6 5 125" xfId="27844"/>
    <cellStyle name="Comma [0] TBD-_BV226 mkt equation_Aug6 5 125" xfId="27845"/>
    <cellStyle name="Comma [0] TBD_BV226 mkt equation_Aug6 5 126" xfId="27846"/>
    <cellStyle name="Comma [0] TBD-_BV226 mkt equation_Aug6 5 126" xfId="27847"/>
    <cellStyle name="Comma [0] TBD_BV226 mkt equation_Aug6 5 127" xfId="27848"/>
    <cellStyle name="Comma [0] TBD-_BV226 mkt equation_Aug6 5 127" xfId="27849"/>
    <cellStyle name="Comma [0] TBD_BV226 mkt equation_Aug6 5 128" xfId="27850"/>
    <cellStyle name="Comma [0] TBD-_BV226 mkt equation_Aug6 5 128" xfId="27851"/>
    <cellStyle name="Comma [0] TBD_BV226 mkt equation_Aug6 5 129" xfId="27852"/>
    <cellStyle name="Comma [0] TBD-_BV226 mkt equation_Aug6 5 129" xfId="27853"/>
    <cellStyle name="Comma [0] TBD_BV226 mkt equation_Aug6 5 13" xfId="27854"/>
    <cellStyle name="Comma [0] TBD-_BV226 mkt equation_Aug6 5 13" xfId="27855"/>
    <cellStyle name="Comma [0] TBD_BV226 mkt equation_Aug6 5 130" xfId="27856"/>
    <cellStyle name="Comma [0] TBD-_BV226 mkt equation_Aug6 5 130" xfId="27857"/>
    <cellStyle name="Comma [0] TBD_BV226 mkt equation_Aug6 5 131" xfId="27858"/>
    <cellStyle name="Comma [0] TBD-_BV226 mkt equation_Aug6 5 131" xfId="27859"/>
    <cellStyle name="Comma [0] TBD_BV226 mkt equation_Aug6 5 132" xfId="27860"/>
    <cellStyle name="Comma [0] TBD-_BV226 mkt equation_Aug6 5 132" xfId="27861"/>
    <cellStyle name="Comma [0] TBD_BV226 mkt equation_Aug6 5 133" xfId="27862"/>
    <cellStyle name="Comma [0] TBD-_BV226 mkt equation_Aug6 5 133" xfId="27863"/>
    <cellStyle name="Comma [0] TBD_BV226 mkt equation_Aug6 5 134" xfId="27864"/>
    <cellStyle name="Comma [0] TBD-_BV226 mkt equation_Aug6 5 134" xfId="27865"/>
    <cellStyle name="Comma [0] TBD_BV226 mkt equation_Aug6 5 135" xfId="27866"/>
    <cellStyle name="Comma [0] TBD-_BV226 mkt equation_Aug6 5 135" xfId="27867"/>
    <cellStyle name="Comma [0] TBD_BV226 mkt equation_Aug6 5 136" xfId="27868"/>
    <cellStyle name="Comma [0] TBD-_BV226 mkt equation_Aug6 5 136" xfId="27869"/>
    <cellStyle name="Comma [0] TBD_BV226 mkt equation_Aug6 5 137" xfId="27870"/>
    <cellStyle name="Comma [0] TBD-_BV226 mkt equation_Aug6 5 137" xfId="27871"/>
    <cellStyle name="Comma [0] TBD_BV226 mkt equation_Aug6 5 138" xfId="27872"/>
    <cellStyle name="Comma [0] TBD-_BV226 mkt equation_Aug6 5 138" xfId="27873"/>
    <cellStyle name="Comma [0] TBD_BV226 mkt equation_Aug6 5 139" xfId="27874"/>
    <cellStyle name="Comma [0] TBD-_BV226 mkt equation_Aug6 5 139" xfId="27875"/>
    <cellStyle name="Comma [0] TBD_BV226 mkt equation_Aug6 5 14" xfId="27876"/>
    <cellStyle name="Comma [0] TBD-_BV226 mkt equation_Aug6 5 14" xfId="27877"/>
    <cellStyle name="Comma [0] TBD_BV226 mkt equation_Aug6 5 140" xfId="27878"/>
    <cellStyle name="Comma [0] TBD-_BV226 mkt equation_Aug6 5 140" xfId="27879"/>
    <cellStyle name="Comma [0] TBD_BV226 mkt equation_Aug6 5 141" xfId="27880"/>
    <cellStyle name="Comma [0] TBD-_BV226 mkt equation_Aug6 5 141" xfId="27881"/>
    <cellStyle name="Comma [0] TBD_BV226 mkt equation_Aug6 5 142" xfId="27882"/>
    <cellStyle name="Comma [0] TBD-_BV226 mkt equation_Aug6 5 142" xfId="27883"/>
    <cellStyle name="Comma [0] TBD_BV226 mkt equation_Aug6 5 143" xfId="27884"/>
    <cellStyle name="Comma [0] TBD-_BV226 mkt equation_Aug6 5 143" xfId="27885"/>
    <cellStyle name="Comma [0] TBD_BV226 mkt equation_Aug6 5 144" xfId="27886"/>
    <cellStyle name="Comma [0] TBD-_BV226 mkt equation_Aug6 5 144" xfId="27887"/>
    <cellStyle name="Comma [0] TBD_BV226 mkt equation_Aug6 5 145" xfId="27888"/>
    <cellStyle name="Comma [0] TBD-_BV226 mkt equation_Aug6 5 145" xfId="27889"/>
    <cellStyle name="Comma [0] TBD_BV226 mkt equation_Aug6 5 146" xfId="27890"/>
    <cellStyle name="Comma [0] TBD-_BV226 mkt equation_Aug6 5 146" xfId="27891"/>
    <cellStyle name="Comma [0] TBD_BV226 mkt equation_Aug6 5 147" xfId="27892"/>
    <cellStyle name="Comma [0] TBD-_BV226 mkt equation_Aug6 5 147" xfId="27893"/>
    <cellStyle name="Comma [0] TBD_BV226 mkt equation_Aug6 5 148" xfId="27894"/>
    <cellStyle name="Comma [0] TBD-_BV226 mkt equation_Aug6 5 148" xfId="27895"/>
    <cellStyle name="Comma [0] TBD_BV226 mkt equation_Aug6 5 149" xfId="27896"/>
    <cellStyle name="Comma [0] TBD-_BV226 mkt equation_Aug6 5 149" xfId="27897"/>
    <cellStyle name="Comma [0] TBD_BV226 mkt equation_Aug6 5 15" xfId="27898"/>
    <cellStyle name="Comma [0] TBD-_BV226 mkt equation_Aug6 5 15" xfId="27899"/>
    <cellStyle name="Comma [0] TBD_BV226 mkt equation_Aug6 5 150" xfId="27900"/>
    <cellStyle name="Comma [0] TBD-_BV226 mkt equation_Aug6 5 150" xfId="27901"/>
    <cellStyle name="Comma [0] TBD_BV226 mkt equation_Aug6 5 151" xfId="27902"/>
    <cellStyle name="Comma [0] TBD-_BV226 mkt equation_Aug6 5 151" xfId="27903"/>
    <cellStyle name="Comma [0] TBD_BV226 mkt equation_Aug6 5 152" xfId="27904"/>
    <cellStyle name="Comma [0] TBD-_BV226 mkt equation_Aug6 5 152" xfId="27905"/>
    <cellStyle name="Comma [0] TBD_BV226 mkt equation_Aug6 5 153" xfId="27906"/>
    <cellStyle name="Comma [0] TBD-_BV226 mkt equation_Aug6 5 153" xfId="27907"/>
    <cellStyle name="Comma [0] TBD_BV226 mkt equation_Aug6 5 154" xfId="27908"/>
    <cellStyle name="Comma [0] TBD-_BV226 mkt equation_Aug6 5 154" xfId="27909"/>
    <cellStyle name="Comma [0] TBD_BV226 mkt equation_Aug6 5 16" xfId="27910"/>
    <cellStyle name="Comma [0] TBD-_BV226 mkt equation_Aug6 5 16" xfId="27911"/>
    <cellStyle name="Comma [0] TBD_BV226 mkt equation_Aug6 5 17" xfId="27912"/>
    <cellStyle name="Comma [0] TBD-_BV226 mkt equation_Aug6 5 17" xfId="27913"/>
    <cellStyle name="Comma [0] TBD_BV226 mkt equation_Aug6 5 18" xfId="27914"/>
    <cellStyle name="Comma [0] TBD-_BV226 mkt equation_Aug6 5 18" xfId="27915"/>
    <cellStyle name="Comma [0] TBD_BV226 mkt equation_Aug6 5 19" xfId="27916"/>
    <cellStyle name="Comma [0] TBD-_BV226 mkt equation_Aug6 5 19" xfId="27917"/>
    <cellStyle name="Comma [0] TBD_BV226 mkt equation_Aug6 5 2" xfId="27918"/>
    <cellStyle name="Comma [0] TBD-_BV226 mkt equation_Aug6 5 2" xfId="27919"/>
    <cellStyle name="Comma [0] TBD_BV226 mkt equation_Aug6 5 20" xfId="27920"/>
    <cellStyle name="Comma [0] TBD-_BV226 mkt equation_Aug6 5 20" xfId="27921"/>
    <cellStyle name="Comma [0] TBD_BV226 mkt equation_Aug6 5 21" xfId="27922"/>
    <cellStyle name="Comma [0] TBD-_BV226 mkt equation_Aug6 5 21" xfId="27923"/>
    <cellStyle name="Comma [0] TBD_BV226 mkt equation_Aug6 5 22" xfId="27924"/>
    <cellStyle name="Comma [0] TBD-_BV226 mkt equation_Aug6 5 22" xfId="27925"/>
    <cellStyle name="Comma [0] TBD_BV226 mkt equation_Aug6 5 23" xfId="27926"/>
    <cellStyle name="Comma [0] TBD-_BV226 mkt equation_Aug6 5 23" xfId="27927"/>
    <cellStyle name="Comma [0] TBD_BV226 mkt equation_Aug6 5 24" xfId="27928"/>
    <cellStyle name="Comma [0] TBD-_BV226 mkt equation_Aug6 5 24" xfId="27929"/>
    <cellStyle name="Comma [0] TBD_BV226 mkt equation_Aug6 5 25" xfId="27930"/>
    <cellStyle name="Comma [0] TBD-_BV226 mkt equation_Aug6 5 25" xfId="27931"/>
    <cellStyle name="Comma [0] TBD_BV226 mkt equation_Aug6 5 26" xfId="27932"/>
    <cellStyle name="Comma [0] TBD-_BV226 mkt equation_Aug6 5 26" xfId="27933"/>
    <cellStyle name="Comma [0] TBD_BV226 mkt equation_Aug6 5 27" xfId="27934"/>
    <cellStyle name="Comma [0] TBD-_BV226 mkt equation_Aug6 5 27" xfId="27935"/>
    <cellStyle name="Comma [0] TBD_BV226 mkt equation_Aug6 5 28" xfId="27936"/>
    <cellStyle name="Comma [0] TBD-_BV226 mkt equation_Aug6 5 28" xfId="27937"/>
    <cellStyle name="Comma [0] TBD_BV226 mkt equation_Aug6 5 29" xfId="27938"/>
    <cellStyle name="Comma [0] TBD-_BV226 mkt equation_Aug6 5 29" xfId="27939"/>
    <cellStyle name="Comma [0] TBD_BV226 mkt equation_Aug6 5 3" xfId="27940"/>
    <cellStyle name="Comma [0] TBD-_BV226 mkt equation_Aug6 5 3" xfId="27941"/>
    <cellStyle name="Comma [0] TBD_BV226 mkt equation_Aug6 5 30" xfId="27942"/>
    <cellStyle name="Comma [0] TBD-_BV226 mkt equation_Aug6 5 30" xfId="27943"/>
    <cellStyle name="Comma [0] TBD_BV226 mkt equation_Aug6 5 31" xfId="27944"/>
    <cellStyle name="Comma [0] TBD-_BV226 mkt equation_Aug6 5 31" xfId="27945"/>
    <cellStyle name="Comma [0] TBD_BV226 mkt equation_Aug6 5 32" xfId="27946"/>
    <cellStyle name="Comma [0] TBD-_BV226 mkt equation_Aug6 5 32" xfId="27947"/>
    <cellStyle name="Comma [0] TBD_BV226 mkt equation_Aug6 5 33" xfId="27948"/>
    <cellStyle name="Comma [0] TBD-_BV226 mkt equation_Aug6 5 33" xfId="27949"/>
    <cellStyle name="Comma [0] TBD_BV226 mkt equation_Aug6 5 34" xfId="27950"/>
    <cellStyle name="Comma [0] TBD-_BV226 mkt equation_Aug6 5 34" xfId="27951"/>
    <cellStyle name="Comma [0] TBD_BV226 mkt equation_Aug6 5 35" xfId="27952"/>
    <cellStyle name="Comma [0] TBD-_BV226 mkt equation_Aug6 5 35" xfId="27953"/>
    <cellStyle name="Comma [0] TBD_BV226 mkt equation_Aug6 5 36" xfId="27954"/>
    <cellStyle name="Comma [0] TBD-_BV226 mkt equation_Aug6 5 36" xfId="27955"/>
    <cellStyle name="Comma [0] TBD_BV226 mkt equation_Aug6 5 37" xfId="27956"/>
    <cellStyle name="Comma [0] TBD-_BV226 mkt equation_Aug6 5 37" xfId="27957"/>
    <cellStyle name="Comma [0] TBD_BV226 mkt equation_Aug6 5 38" xfId="27958"/>
    <cellStyle name="Comma [0] TBD-_BV226 mkt equation_Aug6 5 38" xfId="27959"/>
    <cellStyle name="Comma [0] TBD_BV226 mkt equation_Aug6 5 39" xfId="27960"/>
    <cellStyle name="Comma [0] TBD-_BV226 mkt equation_Aug6 5 39" xfId="27961"/>
    <cellStyle name="Comma [0] TBD_BV226 mkt equation_Aug6 5 4" xfId="27962"/>
    <cellStyle name="Comma [0] TBD-_BV226 mkt equation_Aug6 5 4" xfId="27963"/>
    <cellStyle name="Comma [0] TBD_BV226 mkt equation_Aug6 5 40" xfId="27964"/>
    <cellStyle name="Comma [0] TBD-_BV226 mkt equation_Aug6 5 40" xfId="27965"/>
    <cellStyle name="Comma [0] TBD_BV226 mkt equation_Aug6 5 41" xfId="27966"/>
    <cellStyle name="Comma [0] TBD-_BV226 mkt equation_Aug6 5 41" xfId="27967"/>
    <cellStyle name="Comma [0] TBD_BV226 mkt equation_Aug6 5 42" xfId="27968"/>
    <cellStyle name="Comma [0] TBD-_BV226 mkt equation_Aug6 5 42" xfId="27969"/>
    <cellStyle name="Comma [0] TBD_BV226 mkt equation_Aug6 5 43" xfId="27970"/>
    <cellStyle name="Comma [0] TBD-_BV226 mkt equation_Aug6 5 43" xfId="27971"/>
    <cellStyle name="Comma [0] TBD_BV226 mkt equation_Aug6 5 44" xfId="27972"/>
    <cellStyle name="Comma [0] TBD-_BV226 mkt equation_Aug6 5 44" xfId="27973"/>
    <cellStyle name="Comma [0] TBD_BV226 mkt equation_Aug6 5 45" xfId="27974"/>
    <cellStyle name="Comma [0] TBD-_BV226 mkt equation_Aug6 5 45" xfId="27975"/>
    <cellStyle name="Comma [0] TBD_BV226 mkt equation_Aug6 5 46" xfId="27976"/>
    <cellStyle name="Comma [0] TBD-_BV226 mkt equation_Aug6 5 46" xfId="27977"/>
    <cellStyle name="Comma [0] TBD_BV226 mkt equation_Aug6 5 47" xfId="27978"/>
    <cellStyle name="Comma [0] TBD-_BV226 mkt equation_Aug6 5 47" xfId="27979"/>
    <cellStyle name="Comma [0] TBD_BV226 mkt equation_Aug6 5 48" xfId="27980"/>
    <cellStyle name="Comma [0] TBD-_BV226 mkt equation_Aug6 5 48" xfId="27981"/>
    <cellStyle name="Comma [0] TBD_BV226 mkt equation_Aug6 5 49" xfId="27982"/>
    <cellStyle name="Comma [0] TBD-_BV226 mkt equation_Aug6 5 49" xfId="27983"/>
    <cellStyle name="Comma [0] TBD_BV226 mkt equation_Aug6 5 5" xfId="27984"/>
    <cellStyle name="Comma [0] TBD-_BV226 mkt equation_Aug6 5 5" xfId="27985"/>
    <cellStyle name="Comma [0] TBD_BV226 mkt equation_Aug6 5 50" xfId="27986"/>
    <cellStyle name="Comma [0] TBD-_BV226 mkt equation_Aug6 5 50" xfId="27987"/>
    <cellStyle name="Comma [0] TBD_BV226 mkt equation_Aug6 5 51" xfId="27988"/>
    <cellStyle name="Comma [0] TBD-_BV226 mkt equation_Aug6 5 51" xfId="27989"/>
    <cellStyle name="Comma [0] TBD_BV226 mkt equation_Aug6 5 52" xfId="27990"/>
    <cellStyle name="Comma [0] TBD-_BV226 mkt equation_Aug6 5 52" xfId="27991"/>
    <cellStyle name="Comma [0] TBD_BV226 mkt equation_Aug6 5 53" xfId="27992"/>
    <cellStyle name="Comma [0] TBD-_BV226 mkt equation_Aug6 5 53" xfId="27993"/>
    <cellStyle name="Comma [0] TBD_BV226 mkt equation_Aug6 5 54" xfId="27994"/>
    <cellStyle name="Comma [0] TBD-_BV226 mkt equation_Aug6 5 54" xfId="27995"/>
    <cellStyle name="Comma [0] TBD_BV226 mkt equation_Aug6 5 55" xfId="27996"/>
    <cellStyle name="Comma [0] TBD-_BV226 mkt equation_Aug6 5 55" xfId="27997"/>
    <cellStyle name="Comma [0] TBD_BV226 mkt equation_Aug6 5 56" xfId="27998"/>
    <cellStyle name="Comma [0] TBD-_BV226 mkt equation_Aug6 5 56" xfId="27999"/>
    <cellStyle name="Comma [0] TBD_BV226 mkt equation_Aug6 5 57" xfId="28000"/>
    <cellStyle name="Comma [0] TBD-_BV226 mkt equation_Aug6 5 57" xfId="28001"/>
    <cellStyle name="Comma [0] TBD_BV226 mkt equation_Aug6 5 58" xfId="28002"/>
    <cellStyle name="Comma [0] TBD-_BV226 mkt equation_Aug6 5 58" xfId="28003"/>
    <cellStyle name="Comma [0] TBD_BV226 mkt equation_Aug6 5 59" xfId="28004"/>
    <cellStyle name="Comma [0] TBD-_BV226 mkt equation_Aug6 5 59" xfId="28005"/>
    <cellStyle name="Comma [0] TBD_BV226 mkt equation_Aug6 5 6" xfId="28006"/>
    <cellStyle name="Comma [0] TBD-_BV226 mkt equation_Aug6 5 6" xfId="28007"/>
    <cellStyle name="Comma [0] TBD_BV226 mkt equation_Aug6 5 60" xfId="28008"/>
    <cellStyle name="Comma [0] TBD-_BV226 mkt equation_Aug6 5 60" xfId="28009"/>
    <cellStyle name="Comma [0] TBD_BV226 mkt equation_Aug6 5 61" xfId="28010"/>
    <cellStyle name="Comma [0] TBD-_BV226 mkt equation_Aug6 5 61" xfId="28011"/>
    <cellStyle name="Comma [0] TBD_BV226 mkt equation_Aug6 5 62" xfId="28012"/>
    <cellStyle name="Comma [0] TBD-_BV226 mkt equation_Aug6 5 62" xfId="28013"/>
    <cellStyle name="Comma [0] TBD_BV226 mkt equation_Aug6 5 63" xfId="28014"/>
    <cellStyle name="Comma [0] TBD-_BV226 mkt equation_Aug6 5 63" xfId="28015"/>
    <cellStyle name="Comma [0] TBD_BV226 mkt equation_Aug6 5 64" xfId="28016"/>
    <cellStyle name="Comma [0] TBD-_BV226 mkt equation_Aug6 5 64" xfId="28017"/>
    <cellStyle name="Comma [0] TBD_BV226 mkt equation_Aug6 5 65" xfId="28018"/>
    <cellStyle name="Comma [0] TBD-_BV226 mkt equation_Aug6 5 65" xfId="28019"/>
    <cellStyle name="Comma [0] TBD_BV226 mkt equation_Aug6 5 66" xfId="28020"/>
    <cellStyle name="Comma [0] TBD-_BV226 mkt equation_Aug6 5 66" xfId="28021"/>
    <cellStyle name="Comma [0] TBD_BV226 mkt equation_Aug6 5 67" xfId="28022"/>
    <cellStyle name="Comma [0] TBD-_BV226 mkt equation_Aug6 5 67" xfId="28023"/>
    <cellStyle name="Comma [0] TBD_BV226 mkt equation_Aug6 5 68" xfId="28024"/>
    <cellStyle name="Comma [0] TBD-_BV226 mkt equation_Aug6 5 68" xfId="28025"/>
    <cellStyle name="Comma [0] TBD_BV226 mkt equation_Aug6 5 69" xfId="28026"/>
    <cellStyle name="Comma [0] TBD-_BV226 mkt equation_Aug6 5 69" xfId="28027"/>
    <cellStyle name="Comma [0] TBD_BV226 mkt equation_Aug6 5 7" xfId="28028"/>
    <cellStyle name="Comma [0] TBD-_BV226 mkt equation_Aug6 5 7" xfId="28029"/>
    <cellStyle name="Comma [0] TBD_BV226 mkt equation_Aug6 5 70" xfId="28030"/>
    <cellStyle name="Comma [0] TBD-_BV226 mkt equation_Aug6 5 70" xfId="28031"/>
    <cellStyle name="Comma [0] TBD_BV226 mkt equation_Aug6 5 71" xfId="28032"/>
    <cellStyle name="Comma [0] TBD-_BV226 mkt equation_Aug6 5 71" xfId="28033"/>
    <cellStyle name="Comma [0] TBD_BV226 mkt equation_Aug6 5 72" xfId="28034"/>
    <cellStyle name="Comma [0] TBD-_BV226 mkt equation_Aug6 5 72" xfId="28035"/>
    <cellStyle name="Comma [0] TBD_BV226 mkt equation_Aug6 5 73" xfId="28036"/>
    <cellStyle name="Comma [0] TBD-_BV226 mkt equation_Aug6 5 73" xfId="28037"/>
    <cellStyle name="Comma [0] TBD_BV226 mkt equation_Aug6 5 74" xfId="28038"/>
    <cellStyle name="Comma [0] TBD-_BV226 mkt equation_Aug6 5 74" xfId="28039"/>
    <cellStyle name="Comma [0] TBD_BV226 mkt equation_Aug6 5 75" xfId="28040"/>
    <cellStyle name="Comma [0] TBD-_BV226 mkt equation_Aug6 5 75" xfId="28041"/>
    <cellStyle name="Comma [0] TBD_BV226 mkt equation_Aug6 5 76" xfId="28042"/>
    <cellStyle name="Comma [0] TBD-_BV226 mkt equation_Aug6 5 76" xfId="28043"/>
    <cellStyle name="Comma [0] TBD_BV226 mkt equation_Aug6 5 77" xfId="28044"/>
    <cellStyle name="Comma [0] TBD-_BV226 mkt equation_Aug6 5 77" xfId="28045"/>
    <cellStyle name="Comma [0] TBD_BV226 mkt equation_Aug6 5 78" xfId="28046"/>
    <cellStyle name="Comma [0] TBD-_BV226 mkt equation_Aug6 5 78" xfId="28047"/>
    <cellStyle name="Comma [0] TBD_BV226 mkt equation_Aug6 5 79" xfId="28048"/>
    <cellStyle name="Comma [0] TBD-_BV226 mkt equation_Aug6 5 79" xfId="28049"/>
    <cellStyle name="Comma [0] TBD_BV226 mkt equation_Aug6 5 8" xfId="28050"/>
    <cellStyle name="Comma [0] TBD-_BV226 mkt equation_Aug6 5 8" xfId="28051"/>
    <cellStyle name="Comma [0] TBD_BV226 mkt equation_Aug6 5 80" xfId="28052"/>
    <cellStyle name="Comma [0] TBD-_BV226 mkt equation_Aug6 5 80" xfId="28053"/>
    <cellStyle name="Comma [0] TBD_BV226 mkt equation_Aug6 5 81" xfId="28054"/>
    <cellStyle name="Comma [0] TBD-_BV226 mkt equation_Aug6 5 81" xfId="28055"/>
    <cellStyle name="Comma [0] TBD_BV226 mkt equation_Aug6 5 82" xfId="28056"/>
    <cellStyle name="Comma [0] TBD-_BV226 mkt equation_Aug6 5 82" xfId="28057"/>
    <cellStyle name="Comma [0] TBD_BV226 mkt equation_Aug6 5 83" xfId="28058"/>
    <cellStyle name="Comma [0] TBD-_BV226 mkt equation_Aug6 5 83" xfId="28059"/>
    <cellStyle name="Comma [0] TBD_BV226 mkt equation_Aug6 5 84" xfId="28060"/>
    <cellStyle name="Comma [0] TBD-_BV226 mkt equation_Aug6 5 84" xfId="28061"/>
    <cellStyle name="Comma [0] TBD_BV226 mkt equation_Aug6 5 85" xfId="28062"/>
    <cellStyle name="Comma [0] TBD-_BV226 mkt equation_Aug6 5 85" xfId="28063"/>
    <cellStyle name="Comma [0] TBD_BV226 mkt equation_Aug6 5 86" xfId="28064"/>
    <cellStyle name="Comma [0] TBD-_BV226 mkt equation_Aug6 5 86" xfId="28065"/>
    <cellStyle name="Comma [0] TBD_BV226 mkt equation_Aug6 5 87" xfId="28066"/>
    <cellStyle name="Comma [0] TBD-_BV226 mkt equation_Aug6 5 87" xfId="28067"/>
    <cellStyle name="Comma [0] TBD_BV226 mkt equation_Aug6 5 88" xfId="28068"/>
    <cellStyle name="Comma [0] TBD-_BV226 mkt equation_Aug6 5 88" xfId="28069"/>
    <cellStyle name="Comma [0] TBD_BV226 mkt equation_Aug6 5 89" xfId="28070"/>
    <cellStyle name="Comma [0] TBD-_BV226 mkt equation_Aug6 5 89" xfId="28071"/>
    <cellStyle name="Comma [0] TBD_BV226 mkt equation_Aug6 5 9" xfId="28072"/>
    <cellStyle name="Comma [0] TBD-_BV226 mkt equation_Aug6 5 9" xfId="28073"/>
    <cellStyle name="Comma [0] TBD_BV226 mkt equation_Aug6 5 90" xfId="28074"/>
    <cellStyle name="Comma [0] TBD-_BV226 mkt equation_Aug6 5 90" xfId="28075"/>
    <cellStyle name="Comma [0] TBD_BV226 mkt equation_Aug6 5 91" xfId="28076"/>
    <cellStyle name="Comma [0] TBD-_BV226 mkt equation_Aug6 5 91" xfId="28077"/>
    <cellStyle name="Comma [0] TBD_BV226 mkt equation_Aug6 5 92" xfId="28078"/>
    <cellStyle name="Comma [0] TBD-_BV226 mkt equation_Aug6 5 92" xfId="28079"/>
    <cellStyle name="Comma [0] TBD_BV226 mkt equation_Aug6 5 93" xfId="28080"/>
    <cellStyle name="Comma [0] TBD-_BV226 mkt equation_Aug6 5 93" xfId="28081"/>
    <cellStyle name="Comma [0] TBD_BV226 mkt equation_Aug6 5 94" xfId="28082"/>
    <cellStyle name="Comma [0] TBD-_BV226 mkt equation_Aug6 5 94" xfId="28083"/>
    <cellStyle name="Comma [0] TBD_BV226 mkt equation_Aug6 5 95" xfId="28084"/>
    <cellStyle name="Comma [0] TBD-_BV226 mkt equation_Aug6 5 95" xfId="28085"/>
    <cellStyle name="Comma [0] TBD_BV226 mkt equation_Aug6 5 96" xfId="28086"/>
    <cellStyle name="Comma [0] TBD-_BV226 mkt equation_Aug6 5 96" xfId="28087"/>
    <cellStyle name="Comma [0] TBD_BV226 mkt equation_Aug6 5 97" xfId="28088"/>
    <cellStyle name="Comma [0] TBD-_BV226 mkt equation_Aug6 5 97" xfId="28089"/>
    <cellStyle name="Comma [0] TBD_BV226 mkt equation_Aug6 5 98" xfId="28090"/>
    <cellStyle name="Comma [0] TBD-_BV226 mkt equation_Aug6 5 98" xfId="28091"/>
    <cellStyle name="Comma [0] TBD_BV226 mkt equation_Aug6 5 99" xfId="28092"/>
    <cellStyle name="Comma [0] TBD-_BV226 mkt equation_Aug6 5 99" xfId="28093"/>
    <cellStyle name="Comma [0] TBD_BV226 mkt equation_Aug6 6" xfId="28094"/>
    <cellStyle name="Comma [0] TBD-_BV226 mkt equation_Aug6 6" xfId="28095"/>
    <cellStyle name="Comma [0] TBD_BV226 mkt equation_Aug6 6 10" xfId="28096"/>
    <cellStyle name="Comma [0] TBD-_BV226 mkt equation_Aug6 6 10" xfId="28097"/>
    <cellStyle name="Comma [0] TBD_BV226 mkt equation_Aug6 6 100" xfId="28098"/>
    <cellStyle name="Comma [0] TBD-_BV226 mkt equation_Aug6 6 100" xfId="28099"/>
    <cellStyle name="Comma [0] TBD_BV226 mkt equation_Aug6 6 101" xfId="28100"/>
    <cellStyle name="Comma [0] TBD-_BV226 mkt equation_Aug6 6 101" xfId="28101"/>
    <cellStyle name="Comma [0] TBD_BV226 mkt equation_Aug6 6 102" xfId="28102"/>
    <cellStyle name="Comma [0] TBD-_BV226 mkt equation_Aug6 6 102" xfId="28103"/>
    <cellStyle name="Comma [0] TBD_BV226 mkt equation_Aug6 6 103" xfId="28104"/>
    <cellStyle name="Comma [0] TBD-_BV226 mkt equation_Aug6 6 103" xfId="28105"/>
    <cellStyle name="Comma [0] TBD_BV226 mkt equation_Aug6 6 104" xfId="28106"/>
    <cellStyle name="Comma [0] TBD-_BV226 mkt equation_Aug6 6 104" xfId="28107"/>
    <cellStyle name="Comma [0] TBD_BV226 mkt equation_Aug6 6 105" xfId="28108"/>
    <cellStyle name="Comma [0] TBD-_BV226 mkt equation_Aug6 6 105" xfId="28109"/>
    <cellStyle name="Comma [0] TBD_BV226 mkt equation_Aug6 6 106" xfId="28110"/>
    <cellStyle name="Comma [0] TBD-_BV226 mkt equation_Aug6 6 106" xfId="28111"/>
    <cellStyle name="Comma [0] TBD_BV226 mkt equation_Aug6 6 107" xfId="28112"/>
    <cellStyle name="Comma [0] TBD-_BV226 mkt equation_Aug6 6 107" xfId="28113"/>
    <cellStyle name="Comma [0] TBD_BV226 mkt equation_Aug6 6 108" xfId="28114"/>
    <cellStyle name="Comma [0] TBD-_BV226 mkt equation_Aug6 6 108" xfId="28115"/>
    <cellStyle name="Comma [0] TBD_BV226 mkt equation_Aug6 6 109" xfId="28116"/>
    <cellStyle name="Comma [0] TBD-_BV226 mkt equation_Aug6 6 109" xfId="28117"/>
    <cellStyle name="Comma [0] TBD_BV226 mkt equation_Aug6 6 11" xfId="28118"/>
    <cellStyle name="Comma [0] TBD-_BV226 mkt equation_Aug6 6 11" xfId="28119"/>
    <cellStyle name="Comma [0] TBD_BV226 mkt equation_Aug6 6 110" xfId="28120"/>
    <cellStyle name="Comma [0] TBD-_BV226 mkt equation_Aug6 6 110" xfId="28121"/>
    <cellStyle name="Comma [0] TBD_BV226 mkt equation_Aug6 6 111" xfId="28122"/>
    <cellStyle name="Comma [0] TBD-_BV226 mkt equation_Aug6 6 111" xfId="28123"/>
    <cellStyle name="Comma [0] TBD_BV226 mkt equation_Aug6 6 112" xfId="28124"/>
    <cellStyle name="Comma [0] TBD-_BV226 mkt equation_Aug6 6 112" xfId="28125"/>
    <cellStyle name="Comma [0] TBD_BV226 mkt equation_Aug6 6 113" xfId="28126"/>
    <cellStyle name="Comma [0] TBD-_BV226 mkt equation_Aug6 6 113" xfId="28127"/>
    <cellStyle name="Comma [0] TBD_BV226 mkt equation_Aug6 6 114" xfId="28128"/>
    <cellStyle name="Comma [0] TBD-_BV226 mkt equation_Aug6 6 114" xfId="28129"/>
    <cellStyle name="Comma [0] TBD_BV226 mkt equation_Aug6 6 115" xfId="28130"/>
    <cellStyle name="Comma [0] TBD-_BV226 mkt equation_Aug6 6 115" xfId="28131"/>
    <cellStyle name="Comma [0] TBD_BV226 mkt equation_Aug6 6 116" xfId="28132"/>
    <cellStyle name="Comma [0] TBD-_BV226 mkt equation_Aug6 6 116" xfId="28133"/>
    <cellStyle name="Comma [0] TBD_BV226 mkt equation_Aug6 6 117" xfId="28134"/>
    <cellStyle name="Comma [0] TBD-_BV226 mkt equation_Aug6 6 117" xfId="28135"/>
    <cellStyle name="Comma [0] TBD_BV226 mkt equation_Aug6 6 118" xfId="28136"/>
    <cellStyle name="Comma [0] TBD-_BV226 mkt equation_Aug6 6 118" xfId="28137"/>
    <cellStyle name="Comma [0] TBD_BV226 mkt equation_Aug6 6 119" xfId="28138"/>
    <cellStyle name="Comma [0] TBD-_BV226 mkt equation_Aug6 6 119" xfId="28139"/>
    <cellStyle name="Comma [0] TBD_BV226 mkt equation_Aug6 6 12" xfId="28140"/>
    <cellStyle name="Comma [0] TBD-_BV226 mkt equation_Aug6 6 12" xfId="28141"/>
    <cellStyle name="Comma [0] TBD_BV226 mkt equation_Aug6 6 120" xfId="28142"/>
    <cellStyle name="Comma [0] TBD-_BV226 mkt equation_Aug6 6 120" xfId="28143"/>
    <cellStyle name="Comma [0] TBD_BV226 mkt equation_Aug6 6 121" xfId="28144"/>
    <cellStyle name="Comma [0] TBD-_BV226 mkt equation_Aug6 6 121" xfId="28145"/>
    <cellStyle name="Comma [0] TBD_BV226 mkt equation_Aug6 6 122" xfId="28146"/>
    <cellStyle name="Comma [0] TBD-_BV226 mkt equation_Aug6 6 122" xfId="28147"/>
    <cellStyle name="Comma [0] TBD_BV226 mkt equation_Aug6 6 123" xfId="28148"/>
    <cellStyle name="Comma [0] TBD-_BV226 mkt equation_Aug6 6 123" xfId="28149"/>
    <cellStyle name="Comma [0] TBD_BV226 mkt equation_Aug6 6 124" xfId="28150"/>
    <cellStyle name="Comma [0] TBD-_BV226 mkt equation_Aug6 6 124" xfId="28151"/>
    <cellStyle name="Comma [0] TBD_BV226 mkt equation_Aug6 6 125" xfId="28152"/>
    <cellStyle name="Comma [0] TBD-_BV226 mkt equation_Aug6 6 125" xfId="28153"/>
    <cellStyle name="Comma [0] TBD_BV226 mkt equation_Aug6 6 126" xfId="28154"/>
    <cellStyle name="Comma [0] TBD-_BV226 mkt equation_Aug6 6 126" xfId="28155"/>
    <cellStyle name="Comma [0] TBD_BV226 mkt equation_Aug6 6 127" xfId="28156"/>
    <cellStyle name="Comma [0] TBD-_BV226 mkt equation_Aug6 6 127" xfId="28157"/>
    <cellStyle name="Comma [0] TBD_BV226 mkt equation_Aug6 6 128" xfId="28158"/>
    <cellStyle name="Comma [0] TBD-_BV226 mkt equation_Aug6 6 128" xfId="28159"/>
    <cellStyle name="Comma [0] TBD_BV226 mkt equation_Aug6 6 129" xfId="28160"/>
    <cellStyle name="Comma [0] TBD-_BV226 mkt equation_Aug6 6 129" xfId="28161"/>
    <cellStyle name="Comma [0] TBD_BV226 mkt equation_Aug6 6 13" xfId="28162"/>
    <cellStyle name="Comma [0] TBD-_BV226 mkt equation_Aug6 6 13" xfId="28163"/>
    <cellStyle name="Comma [0] TBD_BV226 mkt equation_Aug6 6 130" xfId="28164"/>
    <cellStyle name="Comma [0] TBD-_BV226 mkt equation_Aug6 6 130" xfId="28165"/>
    <cellStyle name="Comma [0] TBD_BV226 mkt equation_Aug6 6 131" xfId="28166"/>
    <cellStyle name="Comma [0] TBD-_BV226 mkt equation_Aug6 6 131" xfId="28167"/>
    <cellStyle name="Comma [0] TBD_BV226 mkt equation_Aug6 6 132" xfId="28168"/>
    <cellStyle name="Comma [0] TBD-_BV226 mkt equation_Aug6 6 132" xfId="28169"/>
    <cellStyle name="Comma [0] TBD_BV226 mkt equation_Aug6 6 133" xfId="28170"/>
    <cellStyle name="Comma [0] TBD-_BV226 mkt equation_Aug6 6 133" xfId="28171"/>
    <cellStyle name="Comma [0] TBD_BV226 mkt equation_Aug6 6 134" xfId="28172"/>
    <cellStyle name="Comma [0] TBD-_BV226 mkt equation_Aug6 6 134" xfId="28173"/>
    <cellStyle name="Comma [0] TBD_BV226 mkt equation_Aug6 6 135" xfId="28174"/>
    <cellStyle name="Comma [0] TBD-_BV226 mkt equation_Aug6 6 135" xfId="28175"/>
    <cellStyle name="Comma [0] TBD_BV226 mkt equation_Aug6 6 136" xfId="28176"/>
    <cellStyle name="Comma [0] TBD-_BV226 mkt equation_Aug6 6 136" xfId="28177"/>
    <cellStyle name="Comma [0] TBD_BV226 mkt equation_Aug6 6 137" xfId="28178"/>
    <cellStyle name="Comma [0] TBD-_BV226 mkt equation_Aug6 6 137" xfId="28179"/>
    <cellStyle name="Comma [0] TBD_BV226 mkt equation_Aug6 6 138" xfId="28180"/>
    <cellStyle name="Comma [0] TBD-_BV226 mkt equation_Aug6 6 138" xfId="28181"/>
    <cellStyle name="Comma [0] TBD_BV226 mkt equation_Aug6 6 139" xfId="28182"/>
    <cellStyle name="Comma [0] TBD-_BV226 mkt equation_Aug6 6 139" xfId="28183"/>
    <cellStyle name="Comma [0] TBD_BV226 mkt equation_Aug6 6 14" xfId="28184"/>
    <cellStyle name="Comma [0] TBD-_BV226 mkt equation_Aug6 6 14" xfId="28185"/>
    <cellStyle name="Comma [0] TBD_BV226 mkt equation_Aug6 6 140" xfId="28186"/>
    <cellStyle name="Comma [0] TBD-_BV226 mkt equation_Aug6 6 140" xfId="28187"/>
    <cellStyle name="Comma [0] TBD_BV226 mkt equation_Aug6 6 141" xfId="28188"/>
    <cellStyle name="Comma [0] TBD-_BV226 mkt equation_Aug6 6 141" xfId="28189"/>
    <cellStyle name="Comma [0] TBD_BV226 mkt equation_Aug6 6 142" xfId="28190"/>
    <cellStyle name="Comma [0] TBD-_BV226 mkt equation_Aug6 6 142" xfId="28191"/>
    <cellStyle name="Comma [0] TBD_BV226 mkt equation_Aug6 6 143" xfId="28192"/>
    <cellStyle name="Comma [0] TBD-_BV226 mkt equation_Aug6 6 143" xfId="28193"/>
    <cellStyle name="Comma [0] TBD_BV226 mkt equation_Aug6 6 144" xfId="28194"/>
    <cellStyle name="Comma [0] TBD-_BV226 mkt equation_Aug6 6 144" xfId="28195"/>
    <cellStyle name="Comma [0] TBD_BV226 mkt equation_Aug6 6 145" xfId="28196"/>
    <cellStyle name="Comma [0] TBD-_BV226 mkt equation_Aug6 6 145" xfId="28197"/>
    <cellStyle name="Comma [0] TBD_BV226 mkt equation_Aug6 6 146" xfId="28198"/>
    <cellStyle name="Comma [0] TBD-_BV226 mkt equation_Aug6 6 146" xfId="28199"/>
    <cellStyle name="Comma [0] TBD_BV226 mkt equation_Aug6 6 147" xfId="28200"/>
    <cellStyle name="Comma [0] TBD-_BV226 mkt equation_Aug6 6 147" xfId="28201"/>
    <cellStyle name="Comma [0] TBD_BV226 mkt equation_Aug6 6 148" xfId="28202"/>
    <cellStyle name="Comma [0] TBD-_BV226 mkt equation_Aug6 6 148" xfId="28203"/>
    <cellStyle name="Comma [0] TBD_BV226 mkt equation_Aug6 6 149" xfId="28204"/>
    <cellStyle name="Comma [0] TBD-_BV226 mkt equation_Aug6 6 149" xfId="28205"/>
    <cellStyle name="Comma [0] TBD_BV226 mkt equation_Aug6 6 15" xfId="28206"/>
    <cellStyle name="Comma [0] TBD-_BV226 mkt equation_Aug6 6 15" xfId="28207"/>
    <cellStyle name="Comma [0] TBD_BV226 mkt equation_Aug6 6 150" xfId="28208"/>
    <cellStyle name="Comma [0] TBD-_BV226 mkt equation_Aug6 6 150" xfId="28209"/>
    <cellStyle name="Comma [0] TBD_BV226 mkt equation_Aug6 6 151" xfId="28210"/>
    <cellStyle name="Comma [0] TBD-_BV226 mkt equation_Aug6 6 151" xfId="28211"/>
    <cellStyle name="Comma [0] TBD_BV226 mkt equation_Aug6 6 152" xfId="28212"/>
    <cellStyle name="Comma [0] TBD-_BV226 mkt equation_Aug6 6 152" xfId="28213"/>
    <cellStyle name="Comma [0] TBD_BV226 mkt equation_Aug6 6 153" xfId="28214"/>
    <cellStyle name="Comma [0] TBD-_BV226 mkt equation_Aug6 6 153" xfId="28215"/>
    <cellStyle name="Comma [0] TBD_BV226 mkt equation_Aug6 6 154" xfId="28216"/>
    <cellStyle name="Comma [0] TBD-_BV226 mkt equation_Aug6 6 154" xfId="28217"/>
    <cellStyle name="Comma [0] TBD_BV226 mkt equation_Aug6 6 16" xfId="28218"/>
    <cellStyle name="Comma [0] TBD-_BV226 mkt equation_Aug6 6 16" xfId="28219"/>
    <cellStyle name="Comma [0] TBD_BV226 mkt equation_Aug6 6 17" xfId="28220"/>
    <cellStyle name="Comma [0] TBD-_BV226 mkt equation_Aug6 6 17" xfId="28221"/>
    <cellStyle name="Comma [0] TBD_BV226 mkt equation_Aug6 6 18" xfId="28222"/>
    <cellStyle name="Comma [0] TBD-_BV226 mkt equation_Aug6 6 18" xfId="28223"/>
    <cellStyle name="Comma [0] TBD_BV226 mkt equation_Aug6 6 19" xfId="28224"/>
    <cellStyle name="Comma [0] TBD-_BV226 mkt equation_Aug6 6 19" xfId="28225"/>
    <cellStyle name="Comma [0] TBD_BV226 mkt equation_Aug6 6 2" xfId="28226"/>
    <cellStyle name="Comma [0] TBD-_BV226 mkt equation_Aug6 6 2" xfId="28227"/>
    <cellStyle name="Comma [0] TBD_BV226 mkt equation_Aug6 6 20" xfId="28228"/>
    <cellStyle name="Comma [0] TBD-_BV226 mkt equation_Aug6 6 20" xfId="28229"/>
    <cellStyle name="Comma [0] TBD_BV226 mkt equation_Aug6 6 21" xfId="28230"/>
    <cellStyle name="Comma [0] TBD-_BV226 mkt equation_Aug6 6 21" xfId="28231"/>
    <cellStyle name="Comma [0] TBD_BV226 mkt equation_Aug6 6 22" xfId="28232"/>
    <cellStyle name="Comma [0] TBD-_BV226 mkt equation_Aug6 6 22" xfId="28233"/>
    <cellStyle name="Comma [0] TBD_BV226 mkt equation_Aug6 6 23" xfId="28234"/>
    <cellStyle name="Comma [0] TBD-_BV226 mkt equation_Aug6 6 23" xfId="28235"/>
    <cellStyle name="Comma [0] TBD_BV226 mkt equation_Aug6 6 24" xfId="28236"/>
    <cellStyle name="Comma [0] TBD-_BV226 mkt equation_Aug6 6 24" xfId="28237"/>
    <cellStyle name="Comma [0] TBD_BV226 mkt equation_Aug6 6 25" xfId="28238"/>
    <cellStyle name="Comma [0] TBD-_BV226 mkt equation_Aug6 6 25" xfId="28239"/>
    <cellStyle name="Comma [0] TBD_BV226 mkt equation_Aug6 6 26" xfId="28240"/>
    <cellStyle name="Comma [0] TBD-_BV226 mkt equation_Aug6 6 26" xfId="28241"/>
    <cellStyle name="Comma [0] TBD_BV226 mkt equation_Aug6 6 27" xfId="28242"/>
    <cellStyle name="Comma [0] TBD-_BV226 mkt equation_Aug6 6 27" xfId="28243"/>
    <cellStyle name="Comma [0] TBD_BV226 mkt equation_Aug6 6 28" xfId="28244"/>
    <cellStyle name="Comma [0] TBD-_BV226 mkt equation_Aug6 6 28" xfId="28245"/>
    <cellStyle name="Comma [0] TBD_BV226 mkt equation_Aug6 6 29" xfId="28246"/>
    <cellStyle name="Comma [0] TBD-_BV226 mkt equation_Aug6 6 29" xfId="28247"/>
    <cellStyle name="Comma [0] TBD_BV226 mkt equation_Aug6 6 3" xfId="28248"/>
    <cellStyle name="Comma [0] TBD-_BV226 mkt equation_Aug6 6 3" xfId="28249"/>
    <cellStyle name="Comma [0] TBD_BV226 mkt equation_Aug6 6 30" xfId="28250"/>
    <cellStyle name="Comma [0] TBD-_BV226 mkt equation_Aug6 6 30" xfId="28251"/>
    <cellStyle name="Comma [0] TBD_BV226 mkt equation_Aug6 6 31" xfId="28252"/>
    <cellStyle name="Comma [0] TBD-_BV226 mkt equation_Aug6 6 31" xfId="28253"/>
    <cellStyle name="Comma [0] TBD_BV226 mkt equation_Aug6 6 32" xfId="28254"/>
    <cellStyle name="Comma [0] TBD-_BV226 mkt equation_Aug6 6 32" xfId="28255"/>
    <cellStyle name="Comma [0] TBD_BV226 mkt equation_Aug6 6 33" xfId="28256"/>
    <cellStyle name="Comma [0] TBD-_BV226 mkt equation_Aug6 6 33" xfId="28257"/>
    <cellStyle name="Comma [0] TBD_BV226 mkt equation_Aug6 6 34" xfId="28258"/>
    <cellStyle name="Comma [0] TBD-_BV226 mkt equation_Aug6 6 34" xfId="28259"/>
    <cellStyle name="Comma [0] TBD_BV226 mkt equation_Aug6 6 35" xfId="28260"/>
    <cellStyle name="Comma [0] TBD-_BV226 mkt equation_Aug6 6 35" xfId="28261"/>
    <cellStyle name="Comma [0] TBD_BV226 mkt equation_Aug6 6 36" xfId="28262"/>
    <cellStyle name="Comma [0] TBD-_BV226 mkt equation_Aug6 6 36" xfId="28263"/>
    <cellStyle name="Comma [0] TBD_BV226 mkt equation_Aug6 6 37" xfId="28264"/>
    <cellStyle name="Comma [0] TBD-_BV226 mkt equation_Aug6 6 37" xfId="28265"/>
    <cellStyle name="Comma [0] TBD_BV226 mkt equation_Aug6 6 38" xfId="28266"/>
    <cellStyle name="Comma [0] TBD-_BV226 mkt equation_Aug6 6 38" xfId="28267"/>
    <cellStyle name="Comma [0] TBD_BV226 mkt equation_Aug6 6 39" xfId="28268"/>
    <cellStyle name="Comma [0] TBD-_BV226 mkt equation_Aug6 6 39" xfId="28269"/>
    <cellStyle name="Comma [0] TBD_BV226 mkt equation_Aug6 6 4" xfId="28270"/>
    <cellStyle name="Comma [0] TBD-_BV226 mkt equation_Aug6 6 4" xfId="28271"/>
    <cellStyle name="Comma [0] TBD_BV226 mkt equation_Aug6 6 40" xfId="28272"/>
    <cellStyle name="Comma [0] TBD-_BV226 mkt equation_Aug6 6 40" xfId="28273"/>
    <cellStyle name="Comma [0] TBD_BV226 mkt equation_Aug6 6 41" xfId="28274"/>
    <cellStyle name="Comma [0] TBD-_BV226 mkt equation_Aug6 6 41" xfId="28275"/>
    <cellStyle name="Comma [0] TBD_BV226 mkt equation_Aug6 6 42" xfId="28276"/>
    <cellStyle name="Comma [0] TBD-_BV226 mkt equation_Aug6 6 42" xfId="28277"/>
    <cellStyle name="Comma [0] TBD_BV226 mkt equation_Aug6 6 43" xfId="28278"/>
    <cellStyle name="Comma [0] TBD-_BV226 mkt equation_Aug6 6 43" xfId="28279"/>
    <cellStyle name="Comma [0] TBD_BV226 mkt equation_Aug6 6 44" xfId="28280"/>
    <cellStyle name="Comma [0] TBD-_BV226 mkt equation_Aug6 6 44" xfId="28281"/>
    <cellStyle name="Comma [0] TBD_BV226 mkt equation_Aug6 6 45" xfId="28282"/>
    <cellStyle name="Comma [0] TBD-_BV226 mkt equation_Aug6 6 45" xfId="28283"/>
    <cellStyle name="Comma [0] TBD_BV226 mkt equation_Aug6 6 46" xfId="28284"/>
    <cellStyle name="Comma [0] TBD-_BV226 mkt equation_Aug6 6 46" xfId="28285"/>
    <cellStyle name="Comma [0] TBD_BV226 mkt equation_Aug6 6 47" xfId="28286"/>
    <cellStyle name="Comma [0] TBD-_BV226 mkt equation_Aug6 6 47" xfId="28287"/>
    <cellStyle name="Comma [0] TBD_BV226 mkt equation_Aug6 6 48" xfId="28288"/>
    <cellStyle name="Comma [0] TBD-_BV226 mkt equation_Aug6 6 48" xfId="28289"/>
    <cellStyle name="Comma [0] TBD_BV226 mkt equation_Aug6 6 49" xfId="28290"/>
    <cellStyle name="Comma [0] TBD-_BV226 mkt equation_Aug6 6 49" xfId="28291"/>
    <cellStyle name="Comma [0] TBD_BV226 mkt equation_Aug6 6 5" xfId="28292"/>
    <cellStyle name="Comma [0] TBD-_BV226 mkt equation_Aug6 6 5" xfId="28293"/>
    <cellStyle name="Comma [0] TBD_BV226 mkt equation_Aug6 6 50" xfId="28294"/>
    <cellStyle name="Comma [0] TBD-_BV226 mkt equation_Aug6 6 50" xfId="28295"/>
    <cellStyle name="Comma [0] TBD_BV226 mkt equation_Aug6 6 51" xfId="28296"/>
    <cellStyle name="Comma [0] TBD-_BV226 mkt equation_Aug6 6 51" xfId="28297"/>
    <cellStyle name="Comma [0] TBD_BV226 mkt equation_Aug6 6 52" xfId="28298"/>
    <cellStyle name="Comma [0] TBD-_BV226 mkt equation_Aug6 6 52" xfId="28299"/>
    <cellStyle name="Comma [0] TBD_BV226 mkt equation_Aug6 6 53" xfId="28300"/>
    <cellStyle name="Comma [0] TBD-_BV226 mkt equation_Aug6 6 53" xfId="28301"/>
    <cellStyle name="Comma [0] TBD_BV226 mkt equation_Aug6 6 54" xfId="28302"/>
    <cellStyle name="Comma [0] TBD-_BV226 mkt equation_Aug6 6 54" xfId="28303"/>
    <cellStyle name="Comma [0] TBD_BV226 mkt equation_Aug6 6 55" xfId="28304"/>
    <cellStyle name="Comma [0] TBD-_BV226 mkt equation_Aug6 6 55" xfId="28305"/>
    <cellStyle name="Comma [0] TBD_BV226 mkt equation_Aug6 6 56" xfId="28306"/>
    <cellStyle name="Comma [0] TBD-_BV226 mkt equation_Aug6 6 56" xfId="28307"/>
    <cellStyle name="Comma [0] TBD_BV226 mkt equation_Aug6 6 57" xfId="28308"/>
    <cellStyle name="Comma [0] TBD-_BV226 mkt equation_Aug6 6 57" xfId="28309"/>
    <cellStyle name="Comma [0] TBD_BV226 mkt equation_Aug6 6 58" xfId="28310"/>
    <cellStyle name="Comma [0] TBD-_BV226 mkt equation_Aug6 6 58" xfId="28311"/>
    <cellStyle name="Comma [0] TBD_BV226 mkt equation_Aug6 6 59" xfId="28312"/>
    <cellStyle name="Comma [0] TBD-_BV226 mkt equation_Aug6 6 59" xfId="28313"/>
    <cellStyle name="Comma [0] TBD_BV226 mkt equation_Aug6 6 6" xfId="28314"/>
    <cellStyle name="Comma [0] TBD-_BV226 mkt equation_Aug6 6 6" xfId="28315"/>
    <cellStyle name="Comma [0] TBD_BV226 mkt equation_Aug6 6 60" xfId="28316"/>
    <cellStyle name="Comma [0] TBD-_BV226 mkt equation_Aug6 6 60" xfId="28317"/>
    <cellStyle name="Comma [0] TBD_BV226 mkt equation_Aug6 6 61" xfId="28318"/>
    <cellStyle name="Comma [0] TBD-_BV226 mkt equation_Aug6 6 61" xfId="28319"/>
    <cellStyle name="Comma [0] TBD_BV226 mkt equation_Aug6 6 62" xfId="28320"/>
    <cellStyle name="Comma [0] TBD-_BV226 mkt equation_Aug6 6 62" xfId="28321"/>
    <cellStyle name="Comma [0] TBD_BV226 mkt equation_Aug6 6 63" xfId="28322"/>
    <cellStyle name="Comma [0] TBD-_BV226 mkt equation_Aug6 6 63" xfId="28323"/>
    <cellStyle name="Comma [0] TBD_BV226 mkt equation_Aug6 6 64" xfId="28324"/>
    <cellStyle name="Comma [0] TBD-_BV226 mkt equation_Aug6 6 64" xfId="28325"/>
    <cellStyle name="Comma [0] TBD_BV226 mkt equation_Aug6 6 65" xfId="28326"/>
    <cellStyle name="Comma [0] TBD-_BV226 mkt equation_Aug6 6 65" xfId="28327"/>
    <cellStyle name="Comma [0] TBD_BV226 mkt equation_Aug6 6 66" xfId="28328"/>
    <cellStyle name="Comma [0] TBD-_BV226 mkt equation_Aug6 6 66" xfId="28329"/>
    <cellStyle name="Comma [0] TBD_BV226 mkt equation_Aug6 6 67" xfId="28330"/>
    <cellStyle name="Comma [0] TBD-_BV226 mkt equation_Aug6 6 67" xfId="28331"/>
    <cellStyle name="Comma [0] TBD_BV226 mkt equation_Aug6 6 68" xfId="28332"/>
    <cellStyle name="Comma [0] TBD-_BV226 mkt equation_Aug6 6 68" xfId="28333"/>
    <cellStyle name="Comma [0] TBD_BV226 mkt equation_Aug6 6 69" xfId="28334"/>
    <cellStyle name="Comma [0] TBD-_BV226 mkt equation_Aug6 6 69" xfId="28335"/>
    <cellStyle name="Comma [0] TBD_BV226 mkt equation_Aug6 6 7" xfId="28336"/>
    <cellStyle name="Comma [0] TBD-_BV226 mkt equation_Aug6 6 7" xfId="28337"/>
    <cellStyle name="Comma [0] TBD_BV226 mkt equation_Aug6 6 70" xfId="28338"/>
    <cellStyle name="Comma [0] TBD-_BV226 mkt equation_Aug6 6 70" xfId="28339"/>
    <cellStyle name="Comma [0] TBD_BV226 mkt equation_Aug6 6 71" xfId="28340"/>
    <cellStyle name="Comma [0] TBD-_BV226 mkt equation_Aug6 6 71" xfId="28341"/>
    <cellStyle name="Comma [0] TBD_BV226 mkt equation_Aug6 6 72" xfId="28342"/>
    <cellStyle name="Comma [0] TBD-_BV226 mkt equation_Aug6 6 72" xfId="28343"/>
    <cellStyle name="Comma [0] TBD_BV226 mkt equation_Aug6 6 73" xfId="28344"/>
    <cellStyle name="Comma [0] TBD-_BV226 mkt equation_Aug6 6 73" xfId="28345"/>
    <cellStyle name="Comma [0] TBD_BV226 mkt equation_Aug6 6 74" xfId="28346"/>
    <cellStyle name="Comma [0] TBD-_BV226 mkt equation_Aug6 6 74" xfId="28347"/>
    <cellStyle name="Comma [0] TBD_BV226 mkt equation_Aug6 6 75" xfId="28348"/>
    <cellStyle name="Comma [0] TBD-_BV226 mkt equation_Aug6 6 75" xfId="28349"/>
    <cellStyle name="Comma [0] TBD_BV226 mkt equation_Aug6 6 76" xfId="28350"/>
    <cellStyle name="Comma [0] TBD-_BV226 mkt equation_Aug6 6 76" xfId="28351"/>
    <cellStyle name="Comma [0] TBD_BV226 mkt equation_Aug6 6 77" xfId="28352"/>
    <cellStyle name="Comma [0] TBD-_BV226 mkt equation_Aug6 6 77" xfId="28353"/>
    <cellStyle name="Comma [0] TBD_BV226 mkt equation_Aug6 6 78" xfId="28354"/>
    <cellStyle name="Comma [0] TBD-_BV226 mkt equation_Aug6 6 78" xfId="28355"/>
    <cellStyle name="Comma [0] TBD_BV226 mkt equation_Aug6 6 79" xfId="28356"/>
    <cellStyle name="Comma [0] TBD-_BV226 mkt equation_Aug6 6 79" xfId="28357"/>
    <cellStyle name="Comma [0] TBD_BV226 mkt equation_Aug6 6 8" xfId="28358"/>
    <cellStyle name="Comma [0] TBD-_BV226 mkt equation_Aug6 6 8" xfId="28359"/>
    <cellStyle name="Comma [0] TBD_BV226 mkt equation_Aug6 6 80" xfId="28360"/>
    <cellStyle name="Comma [0] TBD-_BV226 mkt equation_Aug6 6 80" xfId="28361"/>
    <cellStyle name="Comma [0] TBD_BV226 mkt equation_Aug6 6 81" xfId="28362"/>
    <cellStyle name="Comma [0] TBD-_BV226 mkt equation_Aug6 6 81" xfId="28363"/>
    <cellStyle name="Comma [0] TBD_BV226 mkt equation_Aug6 6 82" xfId="28364"/>
    <cellStyle name="Comma [0] TBD-_BV226 mkt equation_Aug6 6 82" xfId="28365"/>
    <cellStyle name="Comma [0] TBD_BV226 mkt equation_Aug6 6 83" xfId="28366"/>
    <cellStyle name="Comma [0] TBD-_BV226 mkt equation_Aug6 6 83" xfId="28367"/>
    <cellStyle name="Comma [0] TBD_BV226 mkt equation_Aug6 6 84" xfId="28368"/>
    <cellStyle name="Comma [0] TBD-_BV226 mkt equation_Aug6 6 84" xfId="28369"/>
    <cellStyle name="Comma [0] TBD_BV226 mkt equation_Aug6 6 85" xfId="28370"/>
    <cellStyle name="Comma [0] TBD-_BV226 mkt equation_Aug6 6 85" xfId="28371"/>
    <cellStyle name="Comma [0] TBD_BV226 mkt equation_Aug6 6 86" xfId="28372"/>
    <cellStyle name="Comma [0] TBD-_BV226 mkt equation_Aug6 6 86" xfId="28373"/>
    <cellStyle name="Comma [0] TBD_BV226 mkt equation_Aug6 6 87" xfId="28374"/>
    <cellStyle name="Comma [0] TBD-_BV226 mkt equation_Aug6 6 87" xfId="28375"/>
    <cellStyle name="Comma [0] TBD_BV226 mkt equation_Aug6 6 88" xfId="28376"/>
    <cellStyle name="Comma [0] TBD-_BV226 mkt equation_Aug6 6 88" xfId="28377"/>
    <cellStyle name="Comma [0] TBD_BV226 mkt equation_Aug6 6 89" xfId="28378"/>
    <cellStyle name="Comma [0] TBD-_BV226 mkt equation_Aug6 6 89" xfId="28379"/>
    <cellStyle name="Comma [0] TBD_BV226 mkt equation_Aug6 6 9" xfId="28380"/>
    <cellStyle name="Comma [0] TBD-_BV226 mkt equation_Aug6 6 9" xfId="28381"/>
    <cellStyle name="Comma [0] TBD_BV226 mkt equation_Aug6 6 90" xfId="28382"/>
    <cellStyle name="Comma [0] TBD-_BV226 mkt equation_Aug6 6 90" xfId="28383"/>
    <cellStyle name="Comma [0] TBD_BV226 mkt equation_Aug6 6 91" xfId="28384"/>
    <cellStyle name="Comma [0] TBD-_BV226 mkt equation_Aug6 6 91" xfId="28385"/>
    <cellStyle name="Comma [0] TBD_BV226 mkt equation_Aug6 6 92" xfId="28386"/>
    <cellStyle name="Comma [0] TBD-_BV226 mkt equation_Aug6 6 92" xfId="28387"/>
    <cellStyle name="Comma [0] TBD_BV226 mkt equation_Aug6 6 93" xfId="28388"/>
    <cellStyle name="Comma [0] TBD-_BV226 mkt equation_Aug6 6 93" xfId="28389"/>
    <cellStyle name="Comma [0] TBD_BV226 mkt equation_Aug6 6 94" xfId="28390"/>
    <cellStyle name="Comma [0] TBD-_BV226 mkt equation_Aug6 6 94" xfId="28391"/>
    <cellStyle name="Comma [0] TBD_BV226 mkt equation_Aug6 6 95" xfId="28392"/>
    <cellStyle name="Comma [0] TBD-_BV226 mkt equation_Aug6 6 95" xfId="28393"/>
    <cellStyle name="Comma [0] TBD_BV226 mkt equation_Aug6 6 96" xfId="28394"/>
    <cellStyle name="Comma [0] TBD-_BV226 mkt equation_Aug6 6 96" xfId="28395"/>
    <cellStyle name="Comma [0] TBD_BV226 mkt equation_Aug6 6 97" xfId="28396"/>
    <cellStyle name="Comma [0] TBD-_BV226 mkt equation_Aug6 6 97" xfId="28397"/>
    <cellStyle name="Comma [0] TBD_BV226 mkt equation_Aug6 6 98" xfId="28398"/>
    <cellStyle name="Comma [0] TBD-_BV226 mkt equation_Aug6 6 98" xfId="28399"/>
    <cellStyle name="Comma [0] TBD_BV226 mkt equation_Aug6 6 99" xfId="28400"/>
    <cellStyle name="Comma [0] TBD-_BV226 mkt equation_Aug6 6 99" xfId="28401"/>
    <cellStyle name="Comma [0] TBD_BV226 mkt equation_Aug6 7" xfId="28402"/>
    <cellStyle name="Comma [0] TBD-_BV226 mkt equation_Aug6 7" xfId="28403"/>
    <cellStyle name="Comma [0] TBD_BV226 mkt equation_Aug6 7 10" xfId="28404"/>
    <cellStyle name="Comma [0] TBD-_BV226 mkt equation_Aug6 7 10" xfId="28405"/>
    <cellStyle name="Comma [0] TBD_BV226 mkt equation_Aug6 7 100" xfId="28406"/>
    <cellStyle name="Comma [0] TBD-_BV226 mkt equation_Aug6 7 100" xfId="28407"/>
    <cellStyle name="Comma [0] TBD_BV226 mkt equation_Aug6 7 101" xfId="28408"/>
    <cellStyle name="Comma [0] TBD-_BV226 mkt equation_Aug6 7 101" xfId="28409"/>
    <cellStyle name="Comma [0] TBD_BV226 mkt equation_Aug6 7 102" xfId="28410"/>
    <cellStyle name="Comma [0] TBD-_BV226 mkt equation_Aug6 7 102" xfId="28411"/>
    <cellStyle name="Comma [0] TBD_BV226 mkt equation_Aug6 7 103" xfId="28412"/>
    <cellStyle name="Comma [0] TBD-_BV226 mkt equation_Aug6 7 103" xfId="28413"/>
    <cellStyle name="Comma [0] TBD_BV226 mkt equation_Aug6 7 104" xfId="28414"/>
    <cellStyle name="Comma [0] TBD-_BV226 mkt equation_Aug6 7 104" xfId="28415"/>
    <cellStyle name="Comma [0] TBD_BV226 mkt equation_Aug6 7 105" xfId="28416"/>
    <cellStyle name="Comma [0] TBD-_BV226 mkt equation_Aug6 7 105" xfId="28417"/>
    <cellStyle name="Comma [0] TBD_BV226 mkt equation_Aug6 7 106" xfId="28418"/>
    <cellStyle name="Comma [0] TBD-_BV226 mkt equation_Aug6 7 106" xfId="28419"/>
    <cellStyle name="Comma [0] TBD_BV226 mkt equation_Aug6 7 107" xfId="28420"/>
    <cellStyle name="Comma [0] TBD-_BV226 mkt equation_Aug6 7 107" xfId="28421"/>
    <cellStyle name="Comma [0] TBD_BV226 mkt equation_Aug6 7 108" xfId="28422"/>
    <cellStyle name="Comma [0] TBD-_BV226 mkt equation_Aug6 7 108" xfId="28423"/>
    <cellStyle name="Comma [0] TBD_BV226 mkt equation_Aug6 7 109" xfId="28424"/>
    <cellStyle name="Comma [0] TBD-_BV226 mkt equation_Aug6 7 109" xfId="28425"/>
    <cellStyle name="Comma [0] TBD_BV226 mkt equation_Aug6 7 11" xfId="28426"/>
    <cellStyle name="Comma [0] TBD-_BV226 mkt equation_Aug6 7 11" xfId="28427"/>
    <cellStyle name="Comma [0] TBD_BV226 mkt equation_Aug6 7 110" xfId="28428"/>
    <cellStyle name="Comma [0] TBD-_BV226 mkt equation_Aug6 7 110" xfId="28429"/>
    <cellStyle name="Comma [0] TBD_BV226 mkt equation_Aug6 7 111" xfId="28430"/>
    <cellStyle name="Comma [0] TBD-_BV226 mkt equation_Aug6 7 111" xfId="28431"/>
    <cellStyle name="Comma [0] TBD_BV226 mkt equation_Aug6 7 112" xfId="28432"/>
    <cellStyle name="Comma [0] TBD-_BV226 mkt equation_Aug6 7 112" xfId="28433"/>
    <cellStyle name="Comma [0] TBD_BV226 mkt equation_Aug6 7 113" xfId="28434"/>
    <cellStyle name="Comma [0] TBD-_BV226 mkt equation_Aug6 7 113" xfId="28435"/>
    <cellStyle name="Comma [0] TBD_BV226 mkt equation_Aug6 7 114" xfId="28436"/>
    <cellStyle name="Comma [0] TBD-_BV226 mkt equation_Aug6 7 114" xfId="28437"/>
    <cellStyle name="Comma [0] TBD_BV226 mkt equation_Aug6 7 115" xfId="28438"/>
    <cellStyle name="Comma [0] TBD-_BV226 mkt equation_Aug6 7 115" xfId="28439"/>
    <cellStyle name="Comma [0] TBD_BV226 mkt equation_Aug6 7 116" xfId="28440"/>
    <cellStyle name="Comma [0] TBD-_BV226 mkt equation_Aug6 7 116" xfId="28441"/>
    <cellStyle name="Comma [0] TBD_BV226 mkt equation_Aug6 7 117" xfId="28442"/>
    <cellStyle name="Comma [0] TBD-_BV226 mkt equation_Aug6 7 117" xfId="28443"/>
    <cellStyle name="Comma [0] TBD_BV226 mkt equation_Aug6 7 118" xfId="28444"/>
    <cellStyle name="Comma [0] TBD-_BV226 mkt equation_Aug6 7 118" xfId="28445"/>
    <cellStyle name="Comma [0] TBD_BV226 mkt equation_Aug6 7 119" xfId="28446"/>
    <cellStyle name="Comma [0] TBD-_BV226 mkt equation_Aug6 7 119" xfId="28447"/>
    <cellStyle name="Comma [0] TBD_BV226 mkt equation_Aug6 7 12" xfId="28448"/>
    <cellStyle name="Comma [0] TBD-_BV226 mkt equation_Aug6 7 12" xfId="28449"/>
    <cellStyle name="Comma [0] TBD_BV226 mkt equation_Aug6 7 120" xfId="28450"/>
    <cellStyle name="Comma [0] TBD-_BV226 mkt equation_Aug6 7 120" xfId="28451"/>
    <cellStyle name="Comma [0] TBD_BV226 mkt equation_Aug6 7 121" xfId="28452"/>
    <cellStyle name="Comma [0] TBD-_BV226 mkt equation_Aug6 7 121" xfId="28453"/>
    <cellStyle name="Comma [0] TBD_BV226 mkt equation_Aug6 7 122" xfId="28454"/>
    <cellStyle name="Comma [0] TBD-_BV226 mkt equation_Aug6 7 122" xfId="28455"/>
    <cellStyle name="Comma [0] TBD_BV226 mkt equation_Aug6 7 123" xfId="28456"/>
    <cellStyle name="Comma [0] TBD-_BV226 mkt equation_Aug6 7 123" xfId="28457"/>
    <cellStyle name="Comma [0] TBD_BV226 mkt equation_Aug6 7 124" xfId="28458"/>
    <cellStyle name="Comma [0] TBD-_BV226 mkt equation_Aug6 7 124" xfId="28459"/>
    <cellStyle name="Comma [0] TBD_BV226 mkt equation_Aug6 7 125" xfId="28460"/>
    <cellStyle name="Comma [0] TBD-_BV226 mkt equation_Aug6 7 125" xfId="28461"/>
    <cellStyle name="Comma [0] TBD_BV226 mkt equation_Aug6 7 126" xfId="28462"/>
    <cellStyle name="Comma [0] TBD-_BV226 mkt equation_Aug6 7 126" xfId="28463"/>
    <cellStyle name="Comma [0] TBD_BV226 mkt equation_Aug6 7 127" xfId="28464"/>
    <cellStyle name="Comma [0] TBD-_BV226 mkt equation_Aug6 7 127" xfId="28465"/>
    <cellStyle name="Comma [0] TBD_BV226 mkt equation_Aug6 7 128" xfId="28466"/>
    <cellStyle name="Comma [0] TBD-_BV226 mkt equation_Aug6 7 128" xfId="28467"/>
    <cellStyle name="Comma [0] TBD_BV226 mkt equation_Aug6 7 129" xfId="28468"/>
    <cellStyle name="Comma [0] TBD-_BV226 mkt equation_Aug6 7 129" xfId="28469"/>
    <cellStyle name="Comma [0] TBD_BV226 mkt equation_Aug6 7 13" xfId="28470"/>
    <cellStyle name="Comma [0] TBD-_BV226 mkt equation_Aug6 7 13" xfId="28471"/>
    <cellStyle name="Comma [0] TBD_BV226 mkt equation_Aug6 7 130" xfId="28472"/>
    <cellStyle name="Comma [0] TBD-_BV226 mkt equation_Aug6 7 130" xfId="28473"/>
    <cellStyle name="Comma [0] TBD_BV226 mkt equation_Aug6 7 131" xfId="28474"/>
    <cellStyle name="Comma [0] TBD-_BV226 mkt equation_Aug6 7 131" xfId="28475"/>
    <cellStyle name="Comma [0] TBD_BV226 mkt equation_Aug6 7 132" xfId="28476"/>
    <cellStyle name="Comma [0] TBD-_BV226 mkt equation_Aug6 7 132" xfId="28477"/>
    <cellStyle name="Comma [0] TBD_BV226 mkt equation_Aug6 7 133" xfId="28478"/>
    <cellStyle name="Comma [0] TBD-_BV226 mkt equation_Aug6 7 133" xfId="28479"/>
    <cellStyle name="Comma [0] TBD_BV226 mkt equation_Aug6 7 134" xfId="28480"/>
    <cellStyle name="Comma [0] TBD-_BV226 mkt equation_Aug6 7 134" xfId="28481"/>
    <cellStyle name="Comma [0] TBD_BV226 mkt equation_Aug6 7 135" xfId="28482"/>
    <cellStyle name="Comma [0] TBD-_BV226 mkt equation_Aug6 7 135" xfId="28483"/>
    <cellStyle name="Comma [0] TBD_BV226 mkt equation_Aug6 7 136" xfId="28484"/>
    <cellStyle name="Comma [0] TBD-_BV226 mkt equation_Aug6 7 136" xfId="28485"/>
    <cellStyle name="Comma [0] TBD_BV226 mkt equation_Aug6 7 137" xfId="28486"/>
    <cellStyle name="Comma [0] TBD-_BV226 mkt equation_Aug6 7 137" xfId="28487"/>
    <cellStyle name="Comma [0] TBD_BV226 mkt equation_Aug6 7 138" xfId="28488"/>
    <cellStyle name="Comma [0] TBD-_BV226 mkt equation_Aug6 7 138" xfId="28489"/>
    <cellStyle name="Comma [0] TBD_BV226 mkt equation_Aug6 7 139" xfId="28490"/>
    <cellStyle name="Comma [0] TBD-_BV226 mkt equation_Aug6 7 139" xfId="28491"/>
    <cellStyle name="Comma [0] TBD_BV226 mkt equation_Aug6 7 14" xfId="28492"/>
    <cellStyle name="Comma [0] TBD-_BV226 mkt equation_Aug6 7 14" xfId="28493"/>
    <cellStyle name="Comma [0] TBD_BV226 mkt equation_Aug6 7 140" xfId="28494"/>
    <cellStyle name="Comma [0] TBD-_BV226 mkt equation_Aug6 7 140" xfId="28495"/>
    <cellStyle name="Comma [0] TBD_BV226 mkt equation_Aug6 7 141" xfId="28496"/>
    <cellStyle name="Comma [0] TBD-_BV226 mkt equation_Aug6 7 141" xfId="28497"/>
    <cellStyle name="Comma [0] TBD_BV226 mkt equation_Aug6 7 142" xfId="28498"/>
    <cellStyle name="Comma [0] TBD-_BV226 mkt equation_Aug6 7 142" xfId="28499"/>
    <cellStyle name="Comma [0] TBD_BV226 mkt equation_Aug6 7 143" xfId="28500"/>
    <cellStyle name="Comma [0] TBD-_BV226 mkt equation_Aug6 7 143" xfId="28501"/>
    <cellStyle name="Comma [0] TBD_BV226 mkt equation_Aug6 7 144" xfId="28502"/>
    <cellStyle name="Comma [0] TBD-_BV226 mkt equation_Aug6 7 144" xfId="28503"/>
    <cellStyle name="Comma [0] TBD_BV226 mkt equation_Aug6 7 145" xfId="28504"/>
    <cellStyle name="Comma [0] TBD-_BV226 mkt equation_Aug6 7 145" xfId="28505"/>
    <cellStyle name="Comma [0] TBD_BV226 mkt equation_Aug6 7 146" xfId="28506"/>
    <cellStyle name="Comma [0] TBD-_BV226 mkt equation_Aug6 7 146" xfId="28507"/>
    <cellStyle name="Comma [0] TBD_BV226 mkt equation_Aug6 7 147" xfId="28508"/>
    <cellStyle name="Comma [0] TBD-_BV226 mkt equation_Aug6 7 147" xfId="28509"/>
    <cellStyle name="Comma [0] TBD_BV226 mkt equation_Aug6 7 148" xfId="28510"/>
    <cellStyle name="Comma [0] TBD-_BV226 mkt equation_Aug6 7 148" xfId="28511"/>
    <cellStyle name="Comma [0] TBD_BV226 mkt equation_Aug6 7 149" xfId="28512"/>
    <cellStyle name="Comma [0] TBD-_BV226 mkt equation_Aug6 7 149" xfId="28513"/>
    <cellStyle name="Comma [0] TBD_BV226 mkt equation_Aug6 7 15" xfId="28514"/>
    <cellStyle name="Comma [0] TBD-_BV226 mkt equation_Aug6 7 15" xfId="28515"/>
    <cellStyle name="Comma [0] TBD_BV226 mkt equation_Aug6 7 150" xfId="28516"/>
    <cellStyle name="Comma [0] TBD-_BV226 mkt equation_Aug6 7 150" xfId="28517"/>
    <cellStyle name="Comma [0] TBD_BV226 mkt equation_Aug6 7 151" xfId="28518"/>
    <cellStyle name="Comma [0] TBD-_BV226 mkt equation_Aug6 7 151" xfId="28519"/>
    <cellStyle name="Comma [0] TBD_BV226 mkt equation_Aug6 7 152" xfId="28520"/>
    <cellStyle name="Comma [0] TBD-_BV226 mkt equation_Aug6 7 152" xfId="28521"/>
    <cellStyle name="Comma [0] TBD_BV226 mkt equation_Aug6 7 153" xfId="28522"/>
    <cellStyle name="Comma [0] TBD-_BV226 mkt equation_Aug6 7 153" xfId="28523"/>
    <cellStyle name="Comma [0] TBD_BV226 mkt equation_Aug6 7 154" xfId="28524"/>
    <cellStyle name="Comma [0] TBD-_BV226 mkt equation_Aug6 7 154" xfId="28525"/>
    <cellStyle name="Comma [0] TBD_BV226 mkt equation_Aug6 7 16" xfId="28526"/>
    <cellStyle name="Comma [0] TBD-_BV226 mkt equation_Aug6 7 16" xfId="28527"/>
    <cellStyle name="Comma [0] TBD_BV226 mkt equation_Aug6 7 17" xfId="28528"/>
    <cellStyle name="Comma [0] TBD-_BV226 mkt equation_Aug6 7 17" xfId="28529"/>
    <cellStyle name="Comma [0] TBD_BV226 mkt equation_Aug6 7 18" xfId="28530"/>
    <cellStyle name="Comma [0] TBD-_BV226 mkt equation_Aug6 7 18" xfId="28531"/>
    <cellStyle name="Comma [0] TBD_BV226 mkt equation_Aug6 7 19" xfId="28532"/>
    <cellStyle name="Comma [0] TBD-_BV226 mkt equation_Aug6 7 19" xfId="28533"/>
    <cellStyle name="Comma [0] TBD_BV226 mkt equation_Aug6 7 2" xfId="28534"/>
    <cellStyle name="Comma [0] TBD-_BV226 mkt equation_Aug6 7 2" xfId="28535"/>
    <cellStyle name="Comma [0] TBD_BV226 mkt equation_Aug6 7 20" xfId="28536"/>
    <cellStyle name="Comma [0] TBD-_BV226 mkt equation_Aug6 7 20" xfId="28537"/>
    <cellStyle name="Comma [0] TBD_BV226 mkt equation_Aug6 7 21" xfId="28538"/>
    <cellStyle name="Comma [0] TBD-_BV226 mkt equation_Aug6 7 21" xfId="28539"/>
    <cellStyle name="Comma [0] TBD_BV226 mkt equation_Aug6 7 22" xfId="28540"/>
    <cellStyle name="Comma [0] TBD-_BV226 mkt equation_Aug6 7 22" xfId="28541"/>
    <cellStyle name="Comma [0] TBD_BV226 mkt equation_Aug6 7 23" xfId="28542"/>
    <cellStyle name="Comma [0] TBD-_BV226 mkt equation_Aug6 7 23" xfId="28543"/>
    <cellStyle name="Comma [0] TBD_BV226 mkt equation_Aug6 7 24" xfId="28544"/>
    <cellStyle name="Comma [0] TBD-_BV226 mkt equation_Aug6 7 24" xfId="28545"/>
    <cellStyle name="Comma [0] TBD_BV226 mkt equation_Aug6 7 25" xfId="28546"/>
    <cellStyle name="Comma [0] TBD-_BV226 mkt equation_Aug6 7 25" xfId="28547"/>
    <cellStyle name="Comma [0] TBD_BV226 mkt equation_Aug6 7 26" xfId="28548"/>
    <cellStyle name="Comma [0] TBD-_BV226 mkt equation_Aug6 7 26" xfId="28549"/>
    <cellStyle name="Comma [0] TBD_BV226 mkt equation_Aug6 7 27" xfId="28550"/>
    <cellStyle name="Comma [0] TBD-_BV226 mkt equation_Aug6 7 27" xfId="28551"/>
    <cellStyle name="Comma [0] TBD_BV226 mkt equation_Aug6 7 28" xfId="28552"/>
    <cellStyle name="Comma [0] TBD-_BV226 mkt equation_Aug6 7 28" xfId="28553"/>
    <cellStyle name="Comma [0] TBD_BV226 mkt equation_Aug6 7 29" xfId="28554"/>
    <cellStyle name="Comma [0] TBD-_BV226 mkt equation_Aug6 7 29" xfId="28555"/>
    <cellStyle name="Comma [0] TBD_BV226 mkt equation_Aug6 7 3" xfId="28556"/>
    <cellStyle name="Comma [0] TBD-_BV226 mkt equation_Aug6 7 3" xfId="28557"/>
    <cellStyle name="Comma [0] TBD_BV226 mkt equation_Aug6 7 30" xfId="28558"/>
    <cellStyle name="Comma [0] TBD-_BV226 mkt equation_Aug6 7 30" xfId="28559"/>
    <cellStyle name="Comma [0] TBD_BV226 mkt equation_Aug6 7 31" xfId="28560"/>
    <cellStyle name="Comma [0] TBD-_BV226 mkt equation_Aug6 7 31" xfId="28561"/>
    <cellStyle name="Comma [0] TBD_BV226 mkt equation_Aug6 7 32" xfId="28562"/>
    <cellStyle name="Comma [0] TBD-_BV226 mkt equation_Aug6 7 32" xfId="28563"/>
    <cellStyle name="Comma [0] TBD_BV226 mkt equation_Aug6 7 33" xfId="28564"/>
    <cellStyle name="Comma [0] TBD-_BV226 mkt equation_Aug6 7 33" xfId="28565"/>
    <cellStyle name="Comma [0] TBD_BV226 mkt equation_Aug6 7 34" xfId="28566"/>
    <cellStyle name="Comma [0] TBD-_BV226 mkt equation_Aug6 7 34" xfId="28567"/>
    <cellStyle name="Comma [0] TBD_BV226 mkt equation_Aug6 7 35" xfId="28568"/>
    <cellStyle name="Comma [0] TBD-_BV226 mkt equation_Aug6 7 35" xfId="28569"/>
    <cellStyle name="Comma [0] TBD_BV226 mkt equation_Aug6 7 36" xfId="28570"/>
    <cellStyle name="Comma [0] TBD-_BV226 mkt equation_Aug6 7 36" xfId="28571"/>
    <cellStyle name="Comma [0] TBD_BV226 mkt equation_Aug6 7 37" xfId="28572"/>
    <cellStyle name="Comma [0] TBD-_BV226 mkt equation_Aug6 7 37" xfId="28573"/>
    <cellStyle name="Comma [0] TBD_BV226 mkt equation_Aug6 7 38" xfId="28574"/>
    <cellStyle name="Comma [0] TBD-_BV226 mkt equation_Aug6 7 38" xfId="28575"/>
    <cellStyle name="Comma [0] TBD_BV226 mkt equation_Aug6 7 39" xfId="28576"/>
    <cellStyle name="Comma [0] TBD-_BV226 mkt equation_Aug6 7 39" xfId="28577"/>
    <cellStyle name="Comma [0] TBD_BV226 mkt equation_Aug6 7 4" xfId="28578"/>
    <cellStyle name="Comma [0] TBD-_BV226 mkt equation_Aug6 7 4" xfId="28579"/>
    <cellStyle name="Comma [0] TBD_BV226 mkt equation_Aug6 7 40" xfId="28580"/>
    <cellStyle name="Comma [0] TBD-_BV226 mkt equation_Aug6 7 40" xfId="28581"/>
    <cellStyle name="Comma [0] TBD_BV226 mkt equation_Aug6 7 41" xfId="28582"/>
    <cellStyle name="Comma [0] TBD-_BV226 mkt equation_Aug6 7 41" xfId="28583"/>
    <cellStyle name="Comma [0] TBD_BV226 mkt equation_Aug6 7 42" xfId="28584"/>
    <cellStyle name="Comma [0] TBD-_BV226 mkt equation_Aug6 7 42" xfId="28585"/>
    <cellStyle name="Comma [0] TBD_BV226 mkt equation_Aug6 7 43" xfId="28586"/>
    <cellStyle name="Comma [0] TBD-_BV226 mkt equation_Aug6 7 43" xfId="28587"/>
    <cellStyle name="Comma [0] TBD_BV226 mkt equation_Aug6 7 44" xfId="28588"/>
    <cellStyle name="Comma [0] TBD-_BV226 mkt equation_Aug6 7 44" xfId="28589"/>
    <cellStyle name="Comma [0] TBD_BV226 mkt equation_Aug6 7 45" xfId="28590"/>
    <cellStyle name="Comma [0] TBD-_BV226 mkt equation_Aug6 7 45" xfId="28591"/>
    <cellStyle name="Comma [0] TBD_BV226 mkt equation_Aug6 7 46" xfId="28592"/>
    <cellStyle name="Comma [0] TBD-_BV226 mkt equation_Aug6 7 46" xfId="28593"/>
    <cellStyle name="Comma [0] TBD_BV226 mkt equation_Aug6 7 47" xfId="28594"/>
    <cellStyle name="Comma [0] TBD-_BV226 mkt equation_Aug6 7 47" xfId="28595"/>
    <cellStyle name="Comma [0] TBD_BV226 mkt equation_Aug6 7 48" xfId="28596"/>
    <cellStyle name="Comma [0] TBD-_BV226 mkt equation_Aug6 7 48" xfId="28597"/>
    <cellStyle name="Comma [0] TBD_BV226 mkt equation_Aug6 7 49" xfId="28598"/>
    <cellStyle name="Comma [0] TBD-_BV226 mkt equation_Aug6 7 49" xfId="28599"/>
    <cellStyle name="Comma [0] TBD_BV226 mkt equation_Aug6 7 5" xfId="28600"/>
    <cellStyle name="Comma [0] TBD-_BV226 mkt equation_Aug6 7 5" xfId="28601"/>
    <cellStyle name="Comma [0] TBD_BV226 mkt equation_Aug6 7 50" xfId="28602"/>
    <cellStyle name="Comma [0] TBD-_BV226 mkt equation_Aug6 7 50" xfId="28603"/>
    <cellStyle name="Comma [0] TBD_BV226 mkt equation_Aug6 7 51" xfId="28604"/>
    <cellStyle name="Comma [0] TBD-_BV226 mkt equation_Aug6 7 51" xfId="28605"/>
    <cellStyle name="Comma [0] TBD_BV226 mkt equation_Aug6 7 52" xfId="28606"/>
    <cellStyle name="Comma [0] TBD-_BV226 mkt equation_Aug6 7 52" xfId="28607"/>
    <cellStyle name="Comma [0] TBD_BV226 mkt equation_Aug6 7 53" xfId="28608"/>
    <cellStyle name="Comma [0] TBD-_BV226 mkt equation_Aug6 7 53" xfId="28609"/>
    <cellStyle name="Comma [0] TBD_BV226 mkt equation_Aug6 7 54" xfId="28610"/>
    <cellStyle name="Comma [0] TBD-_BV226 mkt equation_Aug6 7 54" xfId="28611"/>
    <cellStyle name="Comma [0] TBD_BV226 mkt equation_Aug6 7 55" xfId="28612"/>
    <cellStyle name="Comma [0] TBD-_BV226 mkt equation_Aug6 7 55" xfId="28613"/>
    <cellStyle name="Comma [0] TBD_BV226 mkt equation_Aug6 7 56" xfId="28614"/>
    <cellStyle name="Comma [0] TBD-_BV226 mkt equation_Aug6 7 56" xfId="28615"/>
    <cellStyle name="Comma [0] TBD_BV226 mkt equation_Aug6 7 57" xfId="28616"/>
    <cellStyle name="Comma [0] TBD-_BV226 mkt equation_Aug6 7 57" xfId="28617"/>
    <cellStyle name="Comma [0] TBD_BV226 mkt equation_Aug6 7 58" xfId="28618"/>
    <cellStyle name="Comma [0] TBD-_BV226 mkt equation_Aug6 7 58" xfId="28619"/>
    <cellStyle name="Comma [0] TBD_BV226 mkt equation_Aug6 7 59" xfId="28620"/>
    <cellStyle name="Comma [0] TBD-_BV226 mkt equation_Aug6 7 59" xfId="28621"/>
    <cellStyle name="Comma [0] TBD_BV226 mkt equation_Aug6 7 6" xfId="28622"/>
    <cellStyle name="Comma [0] TBD-_BV226 mkt equation_Aug6 7 6" xfId="28623"/>
    <cellStyle name="Comma [0] TBD_BV226 mkt equation_Aug6 7 60" xfId="28624"/>
    <cellStyle name="Comma [0] TBD-_BV226 mkt equation_Aug6 7 60" xfId="28625"/>
    <cellStyle name="Comma [0] TBD_BV226 mkt equation_Aug6 7 61" xfId="28626"/>
    <cellStyle name="Comma [0] TBD-_BV226 mkt equation_Aug6 7 61" xfId="28627"/>
    <cellStyle name="Comma [0] TBD_BV226 mkt equation_Aug6 7 62" xfId="28628"/>
    <cellStyle name="Comma [0] TBD-_BV226 mkt equation_Aug6 7 62" xfId="28629"/>
    <cellStyle name="Comma [0] TBD_BV226 mkt equation_Aug6 7 63" xfId="28630"/>
    <cellStyle name="Comma [0] TBD-_BV226 mkt equation_Aug6 7 63" xfId="28631"/>
    <cellStyle name="Comma [0] TBD_BV226 mkt equation_Aug6 7 64" xfId="28632"/>
    <cellStyle name="Comma [0] TBD-_BV226 mkt equation_Aug6 7 64" xfId="28633"/>
    <cellStyle name="Comma [0] TBD_BV226 mkt equation_Aug6 7 65" xfId="28634"/>
    <cellStyle name="Comma [0] TBD-_BV226 mkt equation_Aug6 7 65" xfId="28635"/>
    <cellStyle name="Comma [0] TBD_BV226 mkt equation_Aug6 7 66" xfId="28636"/>
    <cellStyle name="Comma [0] TBD-_BV226 mkt equation_Aug6 7 66" xfId="28637"/>
    <cellStyle name="Comma [0] TBD_BV226 mkt equation_Aug6 7 67" xfId="28638"/>
    <cellStyle name="Comma [0] TBD-_BV226 mkt equation_Aug6 7 67" xfId="28639"/>
    <cellStyle name="Comma [0] TBD_BV226 mkt equation_Aug6 7 68" xfId="28640"/>
    <cellStyle name="Comma [0] TBD-_BV226 mkt equation_Aug6 7 68" xfId="28641"/>
    <cellStyle name="Comma [0] TBD_BV226 mkt equation_Aug6 7 69" xfId="28642"/>
    <cellStyle name="Comma [0] TBD-_BV226 mkt equation_Aug6 7 69" xfId="28643"/>
    <cellStyle name="Comma [0] TBD_BV226 mkt equation_Aug6 7 7" xfId="28644"/>
    <cellStyle name="Comma [0] TBD-_BV226 mkt equation_Aug6 7 7" xfId="28645"/>
    <cellStyle name="Comma [0] TBD_BV226 mkt equation_Aug6 7 70" xfId="28646"/>
    <cellStyle name="Comma [0] TBD-_BV226 mkt equation_Aug6 7 70" xfId="28647"/>
    <cellStyle name="Comma [0] TBD_BV226 mkt equation_Aug6 7 71" xfId="28648"/>
    <cellStyle name="Comma [0] TBD-_BV226 mkt equation_Aug6 7 71" xfId="28649"/>
    <cellStyle name="Comma [0] TBD_BV226 mkt equation_Aug6 7 72" xfId="28650"/>
    <cellStyle name="Comma [0] TBD-_BV226 mkt equation_Aug6 7 72" xfId="28651"/>
    <cellStyle name="Comma [0] TBD_BV226 mkt equation_Aug6 7 73" xfId="28652"/>
    <cellStyle name="Comma [0] TBD-_BV226 mkt equation_Aug6 7 73" xfId="28653"/>
    <cellStyle name="Comma [0] TBD_BV226 mkt equation_Aug6 7 74" xfId="28654"/>
    <cellStyle name="Comma [0] TBD-_BV226 mkt equation_Aug6 7 74" xfId="28655"/>
    <cellStyle name="Comma [0] TBD_BV226 mkt equation_Aug6 7 75" xfId="28656"/>
    <cellStyle name="Comma [0] TBD-_BV226 mkt equation_Aug6 7 75" xfId="28657"/>
    <cellStyle name="Comma [0] TBD_BV226 mkt equation_Aug6 7 76" xfId="28658"/>
    <cellStyle name="Comma [0] TBD-_BV226 mkt equation_Aug6 7 76" xfId="28659"/>
    <cellStyle name="Comma [0] TBD_BV226 mkt equation_Aug6 7 77" xfId="28660"/>
    <cellStyle name="Comma [0] TBD-_BV226 mkt equation_Aug6 7 77" xfId="28661"/>
    <cellStyle name="Comma [0] TBD_BV226 mkt equation_Aug6 7 78" xfId="28662"/>
    <cellStyle name="Comma [0] TBD-_BV226 mkt equation_Aug6 7 78" xfId="28663"/>
    <cellStyle name="Comma [0] TBD_BV226 mkt equation_Aug6 7 79" xfId="28664"/>
    <cellStyle name="Comma [0] TBD-_BV226 mkt equation_Aug6 7 79" xfId="28665"/>
    <cellStyle name="Comma [0] TBD_BV226 mkt equation_Aug6 7 8" xfId="28666"/>
    <cellStyle name="Comma [0] TBD-_BV226 mkt equation_Aug6 7 8" xfId="28667"/>
    <cellStyle name="Comma [0] TBD_BV226 mkt equation_Aug6 7 80" xfId="28668"/>
    <cellStyle name="Comma [0] TBD-_BV226 mkt equation_Aug6 7 80" xfId="28669"/>
    <cellStyle name="Comma [0] TBD_BV226 mkt equation_Aug6 7 81" xfId="28670"/>
    <cellStyle name="Comma [0] TBD-_BV226 mkt equation_Aug6 7 81" xfId="28671"/>
    <cellStyle name="Comma [0] TBD_BV226 mkt equation_Aug6 7 82" xfId="28672"/>
    <cellStyle name="Comma [0] TBD-_BV226 mkt equation_Aug6 7 82" xfId="28673"/>
    <cellStyle name="Comma [0] TBD_BV226 mkt equation_Aug6 7 83" xfId="28674"/>
    <cellStyle name="Comma [0] TBD-_BV226 mkt equation_Aug6 7 83" xfId="28675"/>
    <cellStyle name="Comma [0] TBD_BV226 mkt equation_Aug6 7 84" xfId="28676"/>
    <cellStyle name="Comma [0] TBD-_BV226 mkt equation_Aug6 7 84" xfId="28677"/>
    <cellStyle name="Comma [0] TBD_BV226 mkt equation_Aug6 7 85" xfId="28678"/>
    <cellStyle name="Comma [0] TBD-_BV226 mkt equation_Aug6 7 85" xfId="28679"/>
    <cellStyle name="Comma [0] TBD_BV226 mkt equation_Aug6 7 86" xfId="28680"/>
    <cellStyle name="Comma [0] TBD-_BV226 mkt equation_Aug6 7 86" xfId="28681"/>
    <cellStyle name="Comma [0] TBD_BV226 mkt equation_Aug6 7 87" xfId="28682"/>
    <cellStyle name="Comma [0] TBD-_BV226 mkt equation_Aug6 7 87" xfId="28683"/>
    <cellStyle name="Comma [0] TBD_BV226 mkt equation_Aug6 7 88" xfId="28684"/>
    <cellStyle name="Comma [0] TBD-_BV226 mkt equation_Aug6 7 88" xfId="28685"/>
    <cellStyle name="Comma [0] TBD_BV226 mkt equation_Aug6 7 89" xfId="28686"/>
    <cellStyle name="Comma [0] TBD-_BV226 mkt equation_Aug6 7 89" xfId="28687"/>
    <cellStyle name="Comma [0] TBD_BV226 mkt equation_Aug6 7 9" xfId="28688"/>
    <cellStyle name="Comma [0] TBD-_BV226 mkt equation_Aug6 7 9" xfId="28689"/>
    <cellStyle name="Comma [0] TBD_BV226 mkt equation_Aug6 7 90" xfId="28690"/>
    <cellStyle name="Comma [0] TBD-_BV226 mkt equation_Aug6 7 90" xfId="28691"/>
    <cellStyle name="Comma [0] TBD_BV226 mkt equation_Aug6 7 91" xfId="28692"/>
    <cellStyle name="Comma [0] TBD-_BV226 mkt equation_Aug6 7 91" xfId="28693"/>
    <cellStyle name="Comma [0] TBD_BV226 mkt equation_Aug6 7 92" xfId="28694"/>
    <cellStyle name="Comma [0] TBD-_BV226 mkt equation_Aug6 7 92" xfId="28695"/>
    <cellStyle name="Comma [0] TBD_BV226 mkt equation_Aug6 7 93" xfId="28696"/>
    <cellStyle name="Comma [0] TBD-_BV226 mkt equation_Aug6 7 93" xfId="28697"/>
    <cellStyle name="Comma [0] TBD_BV226 mkt equation_Aug6 7 94" xfId="28698"/>
    <cellStyle name="Comma [0] TBD-_BV226 mkt equation_Aug6 7 94" xfId="28699"/>
    <cellStyle name="Comma [0] TBD_BV226 mkt equation_Aug6 7 95" xfId="28700"/>
    <cellStyle name="Comma [0] TBD-_BV226 mkt equation_Aug6 7 95" xfId="28701"/>
    <cellStyle name="Comma [0] TBD_BV226 mkt equation_Aug6 7 96" xfId="28702"/>
    <cellStyle name="Comma [0] TBD-_BV226 mkt equation_Aug6 7 96" xfId="28703"/>
    <cellStyle name="Comma [0] TBD_BV226 mkt equation_Aug6 7 97" xfId="28704"/>
    <cellStyle name="Comma [0] TBD-_BV226 mkt equation_Aug6 7 97" xfId="28705"/>
    <cellStyle name="Comma [0] TBD_BV226 mkt equation_Aug6 7 98" xfId="28706"/>
    <cellStyle name="Comma [0] TBD-_BV226 mkt equation_Aug6 7 98" xfId="28707"/>
    <cellStyle name="Comma [0] TBD_BV226 mkt equation_Aug6 7 99" xfId="28708"/>
    <cellStyle name="Comma [0] TBD-_BV226 mkt equation_Aug6 7 99" xfId="28709"/>
    <cellStyle name="Comma [0] TBD_BV226 mkt equation_Aug6 8" xfId="28710"/>
    <cellStyle name="Comma [0] TBD-_BV226 mkt equation_Aug6 8" xfId="28711"/>
    <cellStyle name="Comma [0] TBD_BV226 mkt equation_Aug6 8 10" xfId="28712"/>
    <cellStyle name="Comma [0] TBD-_BV226 mkt equation_Aug6 8 10" xfId="28713"/>
    <cellStyle name="Comma [0] TBD_BV226 mkt equation_Aug6 8 100" xfId="28714"/>
    <cellStyle name="Comma [0] TBD-_BV226 mkt equation_Aug6 8 100" xfId="28715"/>
    <cellStyle name="Comma [0] TBD_BV226 mkt equation_Aug6 8 101" xfId="28716"/>
    <cellStyle name="Comma [0] TBD-_BV226 mkt equation_Aug6 8 101" xfId="28717"/>
    <cellStyle name="Comma [0] TBD_BV226 mkt equation_Aug6 8 102" xfId="28718"/>
    <cellStyle name="Comma [0] TBD-_BV226 mkt equation_Aug6 8 102" xfId="28719"/>
    <cellStyle name="Comma [0] TBD_BV226 mkt equation_Aug6 8 103" xfId="28720"/>
    <cellStyle name="Comma [0] TBD-_BV226 mkt equation_Aug6 8 103" xfId="28721"/>
    <cellStyle name="Comma [0] TBD_BV226 mkt equation_Aug6 8 104" xfId="28722"/>
    <cellStyle name="Comma [0] TBD-_BV226 mkt equation_Aug6 8 104" xfId="28723"/>
    <cellStyle name="Comma [0] TBD_BV226 mkt equation_Aug6 8 105" xfId="28724"/>
    <cellStyle name="Comma [0] TBD-_BV226 mkt equation_Aug6 8 105" xfId="28725"/>
    <cellStyle name="Comma [0] TBD_BV226 mkt equation_Aug6 8 106" xfId="28726"/>
    <cellStyle name="Comma [0] TBD-_BV226 mkt equation_Aug6 8 106" xfId="28727"/>
    <cellStyle name="Comma [0] TBD_BV226 mkt equation_Aug6 8 107" xfId="28728"/>
    <cellStyle name="Comma [0] TBD-_BV226 mkt equation_Aug6 8 107" xfId="28729"/>
    <cellStyle name="Comma [0] TBD_BV226 mkt equation_Aug6 8 108" xfId="28730"/>
    <cellStyle name="Comma [0] TBD-_BV226 mkt equation_Aug6 8 108" xfId="28731"/>
    <cellStyle name="Comma [0] TBD_BV226 mkt equation_Aug6 8 109" xfId="28732"/>
    <cellStyle name="Comma [0] TBD-_BV226 mkt equation_Aug6 8 109" xfId="28733"/>
    <cellStyle name="Comma [0] TBD_BV226 mkt equation_Aug6 8 11" xfId="28734"/>
    <cellStyle name="Comma [0] TBD-_BV226 mkt equation_Aug6 8 11" xfId="28735"/>
    <cellStyle name="Comma [0] TBD_BV226 mkt equation_Aug6 8 110" xfId="28736"/>
    <cellStyle name="Comma [0] TBD-_BV226 mkt equation_Aug6 8 110" xfId="28737"/>
    <cellStyle name="Comma [0] TBD_BV226 mkt equation_Aug6 8 111" xfId="28738"/>
    <cellStyle name="Comma [0] TBD-_BV226 mkt equation_Aug6 8 111" xfId="28739"/>
    <cellStyle name="Comma [0] TBD_BV226 mkt equation_Aug6 8 112" xfId="28740"/>
    <cellStyle name="Comma [0] TBD-_BV226 mkt equation_Aug6 8 112" xfId="28741"/>
    <cellStyle name="Comma [0] TBD_BV226 mkt equation_Aug6 8 113" xfId="28742"/>
    <cellStyle name="Comma [0] TBD-_BV226 mkt equation_Aug6 8 113" xfId="28743"/>
    <cellStyle name="Comma [0] TBD_BV226 mkt equation_Aug6 8 114" xfId="28744"/>
    <cellStyle name="Comma [0] TBD-_BV226 mkt equation_Aug6 8 114" xfId="28745"/>
    <cellStyle name="Comma [0] TBD_BV226 mkt equation_Aug6 8 115" xfId="28746"/>
    <cellStyle name="Comma [0] TBD-_BV226 mkt equation_Aug6 8 115" xfId="28747"/>
    <cellStyle name="Comma [0] TBD_BV226 mkt equation_Aug6 8 116" xfId="28748"/>
    <cellStyle name="Comma [0] TBD-_BV226 mkt equation_Aug6 8 116" xfId="28749"/>
    <cellStyle name="Comma [0] TBD_BV226 mkt equation_Aug6 8 117" xfId="28750"/>
    <cellStyle name="Comma [0] TBD-_BV226 mkt equation_Aug6 8 117" xfId="28751"/>
    <cellStyle name="Comma [0] TBD_BV226 mkt equation_Aug6 8 118" xfId="28752"/>
    <cellStyle name="Comma [0] TBD-_BV226 mkt equation_Aug6 8 118" xfId="28753"/>
    <cellStyle name="Comma [0] TBD_BV226 mkt equation_Aug6 8 119" xfId="28754"/>
    <cellStyle name="Comma [0] TBD-_BV226 mkt equation_Aug6 8 119" xfId="28755"/>
    <cellStyle name="Comma [0] TBD_BV226 mkt equation_Aug6 8 12" xfId="28756"/>
    <cellStyle name="Comma [0] TBD-_BV226 mkt equation_Aug6 8 12" xfId="28757"/>
    <cellStyle name="Comma [0] TBD_BV226 mkt equation_Aug6 8 120" xfId="28758"/>
    <cellStyle name="Comma [0] TBD-_BV226 mkt equation_Aug6 8 120" xfId="28759"/>
    <cellStyle name="Comma [0] TBD_BV226 mkt equation_Aug6 8 121" xfId="28760"/>
    <cellStyle name="Comma [0] TBD-_BV226 mkt equation_Aug6 8 121" xfId="28761"/>
    <cellStyle name="Comma [0] TBD_BV226 mkt equation_Aug6 8 122" xfId="28762"/>
    <cellStyle name="Comma [0] TBD-_BV226 mkt equation_Aug6 8 122" xfId="28763"/>
    <cellStyle name="Comma [0] TBD_BV226 mkt equation_Aug6 8 123" xfId="28764"/>
    <cellStyle name="Comma [0] TBD-_BV226 mkt equation_Aug6 8 123" xfId="28765"/>
    <cellStyle name="Comma [0] TBD_BV226 mkt equation_Aug6 8 124" xfId="28766"/>
    <cellStyle name="Comma [0] TBD-_BV226 mkt equation_Aug6 8 124" xfId="28767"/>
    <cellStyle name="Comma [0] TBD_BV226 mkt equation_Aug6 8 125" xfId="28768"/>
    <cellStyle name="Comma [0] TBD-_BV226 mkt equation_Aug6 8 125" xfId="28769"/>
    <cellStyle name="Comma [0] TBD_BV226 mkt equation_Aug6 8 126" xfId="28770"/>
    <cellStyle name="Comma [0] TBD-_BV226 mkt equation_Aug6 8 126" xfId="28771"/>
    <cellStyle name="Comma [0] TBD_BV226 mkt equation_Aug6 8 127" xfId="28772"/>
    <cellStyle name="Comma [0] TBD-_BV226 mkt equation_Aug6 8 127" xfId="28773"/>
    <cellStyle name="Comma [0] TBD_BV226 mkt equation_Aug6 8 128" xfId="28774"/>
    <cellStyle name="Comma [0] TBD-_BV226 mkt equation_Aug6 8 128" xfId="28775"/>
    <cellStyle name="Comma [0] TBD_BV226 mkt equation_Aug6 8 129" xfId="28776"/>
    <cellStyle name="Comma [0] TBD-_BV226 mkt equation_Aug6 8 129" xfId="28777"/>
    <cellStyle name="Comma [0] TBD_BV226 mkt equation_Aug6 8 13" xfId="28778"/>
    <cellStyle name="Comma [0] TBD-_BV226 mkt equation_Aug6 8 13" xfId="28779"/>
    <cellStyle name="Comma [0] TBD_BV226 mkt equation_Aug6 8 130" xfId="28780"/>
    <cellStyle name="Comma [0] TBD-_BV226 mkt equation_Aug6 8 130" xfId="28781"/>
    <cellStyle name="Comma [0] TBD_BV226 mkt equation_Aug6 8 131" xfId="28782"/>
    <cellStyle name="Comma [0] TBD-_BV226 mkt equation_Aug6 8 131" xfId="28783"/>
    <cellStyle name="Comma [0] TBD_BV226 mkt equation_Aug6 8 132" xfId="28784"/>
    <cellStyle name="Comma [0] TBD-_BV226 mkt equation_Aug6 8 132" xfId="28785"/>
    <cellStyle name="Comma [0] TBD_BV226 mkt equation_Aug6 8 133" xfId="28786"/>
    <cellStyle name="Comma [0] TBD-_BV226 mkt equation_Aug6 8 133" xfId="28787"/>
    <cellStyle name="Comma [0] TBD_BV226 mkt equation_Aug6 8 134" xfId="28788"/>
    <cellStyle name="Comma [0] TBD-_BV226 mkt equation_Aug6 8 134" xfId="28789"/>
    <cellStyle name="Comma [0] TBD_BV226 mkt equation_Aug6 8 135" xfId="28790"/>
    <cellStyle name="Comma [0] TBD-_BV226 mkt equation_Aug6 8 135" xfId="28791"/>
    <cellStyle name="Comma [0] TBD_BV226 mkt equation_Aug6 8 136" xfId="28792"/>
    <cellStyle name="Comma [0] TBD-_BV226 mkt equation_Aug6 8 136" xfId="28793"/>
    <cellStyle name="Comma [0] TBD_BV226 mkt equation_Aug6 8 137" xfId="28794"/>
    <cellStyle name="Comma [0] TBD-_BV226 mkt equation_Aug6 8 137" xfId="28795"/>
    <cellStyle name="Comma [0] TBD_BV226 mkt equation_Aug6 8 138" xfId="28796"/>
    <cellStyle name="Comma [0] TBD-_BV226 mkt equation_Aug6 8 138" xfId="28797"/>
    <cellStyle name="Comma [0] TBD_BV226 mkt equation_Aug6 8 139" xfId="28798"/>
    <cellStyle name="Comma [0] TBD-_BV226 mkt equation_Aug6 8 139" xfId="28799"/>
    <cellStyle name="Comma [0] TBD_BV226 mkt equation_Aug6 8 14" xfId="28800"/>
    <cellStyle name="Comma [0] TBD-_BV226 mkt equation_Aug6 8 14" xfId="28801"/>
    <cellStyle name="Comma [0] TBD_BV226 mkt equation_Aug6 8 140" xfId="28802"/>
    <cellStyle name="Comma [0] TBD-_BV226 mkt equation_Aug6 8 140" xfId="28803"/>
    <cellStyle name="Comma [0] TBD_BV226 mkt equation_Aug6 8 141" xfId="28804"/>
    <cellStyle name="Comma [0] TBD-_BV226 mkt equation_Aug6 8 141" xfId="28805"/>
    <cellStyle name="Comma [0] TBD_BV226 mkt equation_Aug6 8 142" xfId="28806"/>
    <cellStyle name="Comma [0] TBD-_BV226 mkt equation_Aug6 8 142" xfId="28807"/>
    <cellStyle name="Comma [0] TBD_BV226 mkt equation_Aug6 8 143" xfId="28808"/>
    <cellStyle name="Comma [0] TBD-_BV226 mkt equation_Aug6 8 143" xfId="28809"/>
    <cellStyle name="Comma [0] TBD_BV226 mkt equation_Aug6 8 144" xfId="28810"/>
    <cellStyle name="Comma [0] TBD-_BV226 mkt equation_Aug6 8 144" xfId="28811"/>
    <cellStyle name="Comma [0] TBD_BV226 mkt equation_Aug6 8 145" xfId="28812"/>
    <cellStyle name="Comma [0] TBD-_BV226 mkt equation_Aug6 8 145" xfId="28813"/>
    <cellStyle name="Comma [0] TBD_BV226 mkt equation_Aug6 8 146" xfId="28814"/>
    <cellStyle name="Comma [0] TBD-_BV226 mkt equation_Aug6 8 146" xfId="28815"/>
    <cellStyle name="Comma [0] TBD_BV226 mkt equation_Aug6 8 147" xfId="28816"/>
    <cellStyle name="Comma [0] TBD-_BV226 mkt equation_Aug6 8 147" xfId="28817"/>
    <cellStyle name="Comma [0] TBD_BV226 mkt equation_Aug6 8 148" xfId="28818"/>
    <cellStyle name="Comma [0] TBD-_BV226 mkt equation_Aug6 8 148" xfId="28819"/>
    <cellStyle name="Comma [0] TBD_BV226 mkt equation_Aug6 8 149" xfId="28820"/>
    <cellStyle name="Comma [0] TBD-_BV226 mkt equation_Aug6 8 149" xfId="28821"/>
    <cellStyle name="Comma [0] TBD_BV226 mkt equation_Aug6 8 15" xfId="28822"/>
    <cellStyle name="Comma [0] TBD-_BV226 mkt equation_Aug6 8 15" xfId="28823"/>
    <cellStyle name="Comma [0] TBD_BV226 mkt equation_Aug6 8 150" xfId="28824"/>
    <cellStyle name="Comma [0] TBD-_BV226 mkt equation_Aug6 8 150" xfId="28825"/>
    <cellStyle name="Comma [0] TBD_BV226 mkt equation_Aug6 8 151" xfId="28826"/>
    <cellStyle name="Comma [0] TBD-_BV226 mkt equation_Aug6 8 151" xfId="28827"/>
    <cellStyle name="Comma [0] TBD_BV226 mkt equation_Aug6 8 152" xfId="28828"/>
    <cellStyle name="Comma [0] TBD-_BV226 mkt equation_Aug6 8 152" xfId="28829"/>
    <cellStyle name="Comma [0] TBD_BV226 mkt equation_Aug6 8 153" xfId="28830"/>
    <cellStyle name="Comma [0] TBD-_BV226 mkt equation_Aug6 8 153" xfId="28831"/>
    <cellStyle name="Comma [0] TBD_BV226 mkt equation_Aug6 8 154" xfId="28832"/>
    <cellStyle name="Comma [0] TBD-_BV226 mkt equation_Aug6 8 154" xfId="28833"/>
    <cellStyle name="Comma [0] TBD_BV226 mkt equation_Aug6 8 16" xfId="28834"/>
    <cellStyle name="Comma [0] TBD-_BV226 mkt equation_Aug6 8 16" xfId="28835"/>
    <cellStyle name="Comma [0] TBD_BV226 mkt equation_Aug6 8 17" xfId="28836"/>
    <cellStyle name="Comma [0] TBD-_BV226 mkt equation_Aug6 8 17" xfId="28837"/>
    <cellStyle name="Comma [0] TBD_BV226 mkt equation_Aug6 8 18" xfId="28838"/>
    <cellStyle name="Comma [0] TBD-_BV226 mkt equation_Aug6 8 18" xfId="28839"/>
    <cellStyle name="Comma [0] TBD_BV226 mkt equation_Aug6 8 19" xfId="28840"/>
    <cellStyle name="Comma [0] TBD-_BV226 mkt equation_Aug6 8 19" xfId="28841"/>
    <cellStyle name="Comma [0] TBD_BV226 mkt equation_Aug6 8 2" xfId="28842"/>
    <cellStyle name="Comma [0] TBD-_BV226 mkt equation_Aug6 8 2" xfId="28843"/>
    <cellStyle name="Comma [0] TBD_BV226 mkt equation_Aug6 8 20" xfId="28844"/>
    <cellStyle name="Comma [0] TBD-_BV226 mkt equation_Aug6 8 20" xfId="28845"/>
    <cellStyle name="Comma [0] TBD_BV226 mkt equation_Aug6 8 21" xfId="28846"/>
    <cellStyle name="Comma [0] TBD-_BV226 mkt equation_Aug6 8 21" xfId="28847"/>
    <cellStyle name="Comma [0] TBD_BV226 mkt equation_Aug6 8 22" xfId="28848"/>
    <cellStyle name="Comma [0] TBD-_BV226 mkt equation_Aug6 8 22" xfId="28849"/>
    <cellStyle name="Comma [0] TBD_BV226 mkt equation_Aug6 8 23" xfId="28850"/>
    <cellStyle name="Comma [0] TBD-_BV226 mkt equation_Aug6 8 23" xfId="28851"/>
    <cellStyle name="Comma [0] TBD_BV226 mkt equation_Aug6 8 24" xfId="28852"/>
    <cellStyle name="Comma [0] TBD-_BV226 mkt equation_Aug6 8 24" xfId="28853"/>
    <cellStyle name="Comma [0] TBD_BV226 mkt equation_Aug6 8 25" xfId="28854"/>
    <cellStyle name="Comma [0] TBD-_BV226 mkt equation_Aug6 8 25" xfId="28855"/>
    <cellStyle name="Comma [0] TBD_BV226 mkt equation_Aug6 8 26" xfId="28856"/>
    <cellStyle name="Comma [0] TBD-_BV226 mkt equation_Aug6 8 26" xfId="28857"/>
    <cellStyle name="Comma [0] TBD_BV226 mkt equation_Aug6 8 27" xfId="28858"/>
    <cellStyle name="Comma [0] TBD-_BV226 mkt equation_Aug6 8 27" xfId="28859"/>
    <cellStyle name="Comma [0] TBD_BV226 mkt equation_Aug6 8 28" xfId="28860"/>
    <cellStyle name="Comma [0] TBD-_BV226 mkt equation_Aug6 8 28" xfId="28861"/>
    <cellStyle name="Comma [0] TBD_BV226 mkt equation_Aug6 8 29" xfId="28862"/>
    <cellStyle name="Comma [0] TBD-_BV226 mkt equation_Aug6 8 29" xfId="28863"/>
    <cellStyle name="Comma [0] TBD_BV226 mkt equation_Aug6 8 3" xfId="28864"/>
    <cellStyle name="Comma [0] TBD-_BV226 mkt equation_Aug6 8 3" xfId="28865"/>
    <cellStyle name="Comma [0] TBD_BV226 mkt equation_Aug6 8 30" xfId="28866"/>
    <cellStyle name="Comma [0] TBD-_BV226 mkt equation_Aug6 8 30" xfId="28867"/>
    <cellStyle name="Comma [0] TBD_BV226 mkt equation_Aug6 8 31" xfId="28868"/>
    <cellStyle name="Comma [0] TBD-_BV226 mkt equation_Aug6 8 31" xfId="28869"/>
    <cellStyle name="Comma [0] TBD_BV226 mkt equation_Aug6 8 32" xfId="28870"/>
    <cellStyle name="Comma [0] TBD-_BV226 mkt equation_Aug6 8 32" xfId="28871"/>
    <cellStyle name="Comma [0] TBD_BV226 mkt equation_Aug6 8 33" xfId="28872"/>
    <cellStyle name="Comma [0] TBD-_BV226 mkt equation_Aug6 8 33" xfId="28873"/>
    <cellStyle name="Comma [0] TBD_BV226 mkt equation_Aug6 8 34" xfId="28874"/>
    <cellStyle name="Comma [0] TBD-_BV226 mkt equation_Aug6 8 34" xfId="28875"/>
    <cellStyle name="Comma [0] TBD_BV226 mkt equation_Aug6 8 35" xfId="28876"/>
    <cellStyle name="Comma [0] TBD-_BV226 mkt equation_Aug6 8 35" xfId="28877"/>
    <cellStyle name="Comma [0] TBD_BV226 mkt equation_Aug6 8 36" xfId="28878"/>
    <cellStyle name="Comma [0] TBD-_BV226 mkt equation_Aug6 8 36" xfId="28879"/>
    <cellStyle name="Comma [0] TBD_BV226 mkt equation_Aug6 8 37" xfId="28880"/>
    <cellStyle name="Comma [0] TBD-_BV226 mkt equation_Aug6 8 37" xfId="28881"/>
    <cellStyle name="Comma [0] TBD_BV226 mkt equation_Aug6 8 38" xfId="28882"/>
    <cellStyle name="Comma [0] TBD-_BV226 mkt equation_Aug6 8 38" xfId="28883"/>
    <cellStyle name="Comma [0] TBD_BV226 mkt equation_Aug6 8 39" xfId="28884"/>
    <cellStyle name="Comma [0] TBD-_BV226 mkt equation_Aug6 8 39" xfId="28885"/>
    <cellStyle name="Comma [0] TBD_BV226 mkt equation_Aug6 8 4" xfId="28886"/>
    <cellStyle name="Comma [0] TBD-_BV226 mkt equation_Aug6 8 4" xfId="28887"/>
    <cellStyle name="Comma [0] TBD_BV226 mkt equation_Aug6 8 40" xfId="28888"/>
    <cellStyle name="Comma [0] TBD-_BV226 mkt equation_Aug6 8 40" xfId="28889"/>
    <cellStyle name="Comma [0] TBD_BV226 mkt equation_Aug6 8 41" xfId="28890"/>
    <cellStyle name="Comma [0] TBD-_BV226 mkt equation_Aug6 8 41" xfId="28891"/>
    <cellStyle name="Comma [0] TBD_BV226 mkt equation_Aug6 8 42" xfId="28892"/>
    <cellStyle name="Comma [0] TBD-_BV226 mkt equation_Aug6 8 42" xfId="28893"/>
    <cellStyle name="Comma [0] TBD_BV226 mkt equation_Aug6 8 43" xfId="28894"/>
    <cellStyle name="Comma [0] TBD-_BV226 mkt equation_Aug6 8 43" xfId="28895"/>
    <cellStyle name="Comma [0] TBD_BV226 mkt equation_Aug6 8 44" xfId="28896"/>
    <cellStyle name="Comma [0] TBD-_BV226 mkt equation_Aug6 8 44" xfId="28897"/>
    <cellStyle name="Comma [0] TBD_BV226 mkt equation_Aug6 8 45" xfId="28898"/>
    <cellStyle name="Comma [0] TBD-_BV226 mkt equation_Aug6 8 45" xfId="28899"/>
    <cellStyle name="Comma [0] TBD_BV226 mkt equation_Aug6 8 46" xfId="28900"/>
    <cellStyle name="Comma [0] TBD-_BV226 mkt equation_Aug6 8 46" xfId="28901"/>
    <cellStyle name="Comma [0] TBD_BV226 mkt equation_Aug6 8 47" xfId="28902"/>
    <cellStyle name="Comma [0] TBD-_BV226 mkt equation_Aug6 8 47" xfId="28903"/>
    <cellStyle name="Comma [0] TBD_BV226 mkt equation_Aug6 8 48" xfId="28904"/>
    <cellStyle name="Comma [0] TBD-_BV226 mkt equation_Aug6 8 48" xfId="28905"/>
    <cellStyle name="Comma [0] TBD_BV226 mkt equation_Aug6 8 49" xfId="28906"/>
    <cellStyle name="Comma [0] TBD-_BV226 mkt equation_Aug6 8 49" xfId="28907"/>
    <cellStyle name="Comma [0] TBD_BV226 mkt equation_Aug6 8 5" xfId="28908"/>
    <cellStyle name="Comma [0] TBD-_BV226 mkt equation_Aug6 8 5" xfId="28909"/>
    <cellStyle name="Comma [0] TBD_BV226 mkt equation_Aug6 8 50" xfId="28910"/>
    <cellStyle name="Comma [0] TBD-_BV226 mkt equation_Aug6 8 50" xfId="28911"/>
    <cellStyle name="Comma [0] TBD_BV226 mkt equation_Aug6 8 51" xfId="28912"/>
    <cellStyle name="Comma [0] TBD-_BV226 mkt equation_Aug6 8 51" xfId="28913"/>
    <cellStyle name="Comma [0] TBD_BV226 mkt equation_Aug6 8 52" xfId="28914"/>
    <cellStyle name="Comma [0] TBD-_BV226 mkt equation_Aug6 8 52" xfId="28915"/>
    <cellStyle name="Comma [0] TBD_BV226 mkt equation_Aug6 8 53" xfId="28916"/>
    <cellStyle name="Comma [0] TBD-_BV226 mkt equation_Aug6 8 53" xfId="28917"/>
    <cellStyle name="Comma [0] TBD_BV226 mkt equation_Aug6 8 54" xfId="28918"/>
    <cellStyle name="Comma [0] TBD-_BV226 mkt equation_Aug6 8 54" xfId="28919"/>
    <cellStyle name="Comma [0] TBD_BV226 mkt equation_Aug6 8 55" xfId="28920"/>
    <cellStyle name="Comma [0] TBD-_BV226 mkt equation_Aug6 8 55" xfId="28921"/>
    <cellStyle name="Comma [0] TBD_BV226 mkt equation_Aug6 8 56" xfId="28922"/>
    <cellStyle name="Comma [0] TBD-_BV226 mkt equation_Aug6 8 56" xfId="28923"/>
    <cellStyle name="Comma [0] TBD_BV226 mkt equation_Aug6 8 57" xfId="28924"/>
    <cellStyle name="Comma [0] TBD-_BV226 mkt equation_Aug6 8 57" xfId="28925"/>
    <cellStyle name="Comma [0] TBD_BV226 mkt equation_Aug6 8 58" xfId="28926"/>
    <cellStyle name="Comma [0] TBD-_BV226 mkt equation_Aug6 8 58" xfId="28927"/>
    <cellStyle name="Comma [0] TBD_BV226 mkt equation_Aug6 8 59" xfId="28928"/>
    <cellStyle name="Comma [0] TBD-_BV226 mkt equation_Aug6 8 59" xfId="28929"/>
    <cellStyle name="Comma [0] TBD_BV226 mkt equation_Aug6 8 6" xfId="28930"/>
    <cellStyle name="Comma [0] TBD-_BV226 mkt equation_Aug6 8 6" xfId="28931"/>
    <cellStyle name="Comma [0] TBD_BV226 mkt equation_Aug6 8 60" xfId="28932"/>
    <cellStyle name="Comma [0] TBD-_BV226 mkt equation_Aug6 8 60" xfId="28933"/>
    <cellStyle name="Comma [0] TBD_BV226 mkt equation_Aug6 8 61" xfId="28934"/>
    <cellStyle name="Comma [0] TBD-_BV226 mkt equation_Aug6 8 61" xfId="28935"/>
    <cellStyle name="Comma [0] TBD_BV226 mkt equation_Aug6 8 62" xfId="28936"/>
    <cellStyle name="Comma [0] TBD-_BV226 mkt equation_Aug6 8 62" xfId="28937"/>
    <cellStyle name="Comma [0] TBD_BV226 mkt equation_Aug6 8 63" xfId="28938"/>
    <cellStyle name="Comma [0] TBD-_BV226 mkt equation_Aug6 8 63" xfId="28939"/>
    <cellStyle name="Comma [0] TBD_BV226 mkt equation_Aug6 8 64" xfId="28940"/>
    <cellStyle name="Comma [0] TBD-_BV226 mkt equation_Aug6 8 64" xfId="28941"/>
    <cellStyle name="Comma [0] TBD_BV226 mkt equation_Aug6 8 65" xfId="28942"/>
    <cellStyle name="Comma [0] TBD-_BV226 mkt equation_Aug6 8 65" xfId="28943"/>
    <cellStyle name="Comma [0] TBD_BV226 mkt equation_Aug6 8 66" xfId="28944"/>
    <cellStyle name="Comma [0] TBD-_BV226 mkt equation_Aug6 8 66" xfId="28945"/>
    <cellStyle name="Comma [0] TBD_BV226 mkt equation_Aug6 8 67" xfId="28946"/>
    <cellStyle name="Comma [0] TBD-_BV226 mkt equation_Aug6 8 67" xfId="28947"/>
    <cellStyle name="Comma [0] TBD_BV226 mkt equation_Aug6 8 68" xfId="28948"/>
    <cellStyle name="Comma [0] TBD-_BV226 mkt equation_Aug6 8 68" xfId="28949"/>
    <cellStyle name="Comma [0] TBD_BV226 mkt equation_Aug6 8 69" xfId="28950"/>
    <cellStyle name="Comma [0] TBD-_BV226 mkt equation_Aug6 8 69" xfId="28951"/>
    <cellStyle name="Comma [0] TBD_BV226 mkt equation_Aug6 8 7" xfId="28952"/>
    <cellStyle name="Comma [0] TBD-_BV226 mkt equation_Aug6 8 7" xfId="28953"/>
    <cellStyle name="Comma [0] TBD_BV226 mkt equation_Aug6 8 70" xfId="28954"/>
    <cellStyle name="Comma [0] TBD-_BV226 mkt equation_Aug6 8 70" xfId="28955"/>
    <cellStyle name="Comma [0] TBD_BV226 mkt equation_Aug6 8 71" xfId="28956"/>
    <cellStyle name="Comma [0] TBD-_BV226 mkt equation_Aug6 8 71" xfId="28957"/>
    <cellStyle name="Comma [0] TBD_BV226 mkt equation_Aug6 8 72" xfId="28958"/>
    <cellStyle name="Comma [0] TBD-_BV226 mkt equation_Aug6 8 72" xfId="28959"/>
    <cellStyle name="Comma [0] TBD_BV226 mkt equation_Aug6 8 73" xfId="28960"/>
    <cellStyle name="Comma [0] TBD-_BV226 mkt equation_Aug6 8 73" xfId="28961"/>
    <cellStyle name="Comma [0] TBD_BV226 mkt equation_Aug6 8 74" xfId="28962"/>
    <cellStyle name="Comma [0] TBD-_BV226 mkt equation_Aug6 8 74" xfId="28963"/>
    <cellStyle name="Comma [0] TBD_BV226 mkt equation_Aug6 8 75" xfId="28964"/>
    <cellStyle name="Comma [0] TBD-_BV226 mkt equation_Aug6 8 75" xfId="28965"/>
    <cellStyle name="Comma [0] TBD_BV226 mkt equation_Aug6 8 76" xfId="28966"/>
    <cellStyle name="Comma [0] TBD-_BV226 mkt equation_Aug6 8 76" xfId="28967"/>
    <cellStyle name="Comma [0] TBD_BV226 mkt equation_Aug6 8 77" xfId="28968"/>
    <cellStyle name="Comma [0] TBD-_BV226 mkt equation_Aug6 8 77" xfId="28969"/>
    <cellStyle name="Comma [0] TBD_BV226 mkt equation_Aug6 8 78" xfId="28970"/>
    <cellStyle name="Comma [0] TBD-_BV226 mkt equation_Aug6 8 78" xfId="28971"/>
    <cellStyle name="Comma [0] TBD_BV226 mkt equation_Aug6 8 79" xfId="28972"/>
    <cellStyle name="Comma [0] TBD-_BV226 mkt equation_Aug6 8 79" xfId="28973"/>
    <cellStyle name="Comma [0] TBD_BV226 mkt equation_Aug6 8 8" xfId="28974"/>
    <cellStyle name="Comma [0] TBD-_BV226 mkt equation_Aug6 8 8" xfId="28975"/>
    <cellStyle name="Comma [0] TBD_BV226 mkt equation_Aug6 8 80" xfId="28976"/>
    <cellStyle name="Comma [0] TBD-_BV226 mkt equation_Aug6 8 80" xfId="28977"/>
    <cellStyle name="Comma [0] TBD_BV226 mkt equation_Aug6 8 81" xfId="28978"/>
    <cellStyle name="Comma [0] TBD-_BV226 mkt equation_Aug6 8 81" xfId="28979"/>
    <cellStyle name="Comma [0] TBD_BV226 mkt equation_Aug6 8 82" xfId="28980"/>
    <cellStyle name="Comma [0] TBD-_BV226 mkt equation_Aug6 8 82" xfId="28981"/>
    <cellStyle name="Comma [0] TBD_BV226 mkt equation_Aug6 8 83" xfId="28982"/>
    <cellStyle name="Comma [0] TBD-_BV226 mkt equation_Aug6 8 83" xfId="28983"/>
    <cellStyle name="Comma [0] TBD_BV226 mkt equation_Aug6 8 84" xfId="28984"/>
    <cellStyle name="Comma [0] TBD-_BV226 mkt equation_Aug6 8 84" xfId="28985"/>
    <cellStyle name="Comma [0] TBD_BV226 mkt equation_Aug6 8 85" xfId="28986"/>
    <cellStyle name="Comma [0] TBD-_BV226 mkt equation_Aug6 8 85" xfId="28987"/>
    <cellStyle name="Comma [0] TBD_BV226 mkt equation_Aug6 8 86" xfId="28988"/>
    <cellStyle name="Comma [0] TBD-_BV226 mkt equation_Aug6 8 86" xfId="28989"/>
    <cellStyle name="Comma [0] TBD_BV226 mkt equation_Aug6 8 87" xfId="28990"/>
    <cellStyle name="Comma [0] TBD-_BV226 mkt equation_Aug6 8 87" xfId="28991"/>
    <cellStyle name="Comma [0] TBD_BV226 mkt equation_Aug6 8 88" xfId="28992"/>
    <cellStyle name="Comma [0] TBD-_BV226 mkt equation_Aug6 8 88" xfId="28993"/>
    <cellStyle name="Comma [0] TBD_BV226 mkt equation_Aug6 8 89" xfId="28994"/>
    <cellStyle name="Comma [0] TBD-_BV226 mkt equation_Aug6 8 89" xfId="28995"/>
    <cellStyle name="Comma [0] TBD_BV226 mkt equation_Aug6 8 9" xfId="28996"/>
    <cellStyle name="Comma [0] TBD-_BV226 mkt equation_Aug6 8 9" xfId="28997"/>
    <cellStyle name="Comma [0] TBD_BV226 mkt equation_Aug6 8 90" xfId="28998"/>
    <cellStyle name="Comma [0] TBD-_BV226 mkt equation_Aug6 8 90" xfId="28999"/>
    <cellStyle name="Comma [0] TBD_BV226 mkt equation_Aug6 8 91" xfId="29000"/>
    <cellStyle name="Comma [0] TBD-_BV226 mkt equation_Aug6 8 91" xfId="29001"/>
    <cellStyle name="Comma [0] TBD_BV226 mkt equation_Aug6 8 92" xfId="29002"/>
    <cellStyle name="Comma [0] TBD-_BV226 mkt equation_Aug6 8 92" xfId="29003"/>
    <cellStyle name="Comma [0] TBD_BV226 mkt equation_Aug6 8 93" xfId="29004"/>
    <cellStyle name="Comma [0] TBD-_BV226 mkt equation_Aug6 8 93" xfId="29005"/>
    <cellStyle name="Comma [0] TBD_BV226 mkt equation_Aug6 8 94" xfId="29006"/>
    <cellStyle name="Comma [0] TBD-_BV226 mkt equation_Aug6 8 94" xfId="29007"/>
    <cellStyle name="Comma [0] TBD_BV226 mkt equation_Aug6 8 95" xfId="29008"/>
    <cellStyle name="Comma [0] TBD-_BV226 mkt equation_Aug6 8 95" xfId="29009"/>
    <cellStyle name="Comma [0] TBD_BV226 mkt equation_Aug6 8 96" xfId="29010"/>
    <cellStyle name="Comma [0] TBD-_BV226 mkt equation_Aug6 8 96" xfId="29011"/>
    <cellStyle name="Comma [0] TBD_BV226 mkt equation_Aug6 8 97" xfId="29012"/>
    <cellStyle name="Comma [0] TBD-_BV226 mkt equation_Aug6 8 97" xfId="29013"/>
    <cellStyle name="Comma [0] TBD_BV226 mkt equation_Aug6 8 98" xfId="29014"/>
    <cellStyle name="Comma [0] TBD-_BV226 mkt equation_Aug6 8 98" xfId="29015"/>
    <cellStyle name="Comma [0] TBD_BV226 mkt equation_Aug6 8 99" xfId="29016"/>
    <cellStyle name="Comma [0] TBD-_BV226 mkt equation_Aug6 8 99" xfId="29017"/>
    <cellStyle name="Comma [0] TBD_BV226 mkt equation_Aug6 9" xfId="29018"/>
    <cellStyle name="Comma [0] TBD-_BV226 mkt equation_Aug6 9" xfId="29019"/>
    <cellStyle name="Comma [0] TBD_BV226 mkt equation_Aug6 9 10" xfId="29020"/>
    <cellStyle name="Comma [0] TBD-_BV226 mkt equation_Aug6 9 10" xfId="29021"/>
    <cellStyle name="Comma [0] TBD_BV226 mkt equation_Aug6 9 100" xfId="29022"/>
    <cellStyle name="Comma [0] TBD-_BV226 mkt equation_Aug6 9 100" xfId="29023"/>
    <cellStyle name="Comma [0] TBD_BV226 mkt equation_Aug6 9 101" xfId="29024"/>
    <cellStyle name="Comma [0] TBD-_BV226 mkt equation_Aug6 9 101" xfId="29025"/>
    <cellStyle name="Comma [0] TBD_BV226 mkt equation_Aug6 9 102" xfId="29026"/>
    <cellStyle name="Comma [0] TBD-_BV226 mkt equation_Aug6 9 102" xfId="29027"/>
    <cellStyle name="Comma [0] TBD_BV226 mkt equation_Aug6 9 103" xfId="29028"/>
    <cellStyle name="Comma [0] TBD-_BV226 mkt equation_Aug6 9 103" xfId="29029"/>
    <cellStyle name="Comma [0] TBD_BV226 mkt equation_Aug6 9 104" xfId="29030"/>
    <cellStyle name="Comma [0] TBD-_BV226 mkt equation_Aug6 9 104" xfId="29031"/>
    <cellStyle name="Comma [0] TBD_BV226 mkt equation_Aug6 9 105" xfId="29032"/>
    <cellStyle name="Comma [0] TBD-_BV226 mkt equation_Aug6 9 105" xfId="29033"/>
    <cellStyle name="Comma [0] TBD_BV226 mkt equation_Aug6 9 106" xfId="29034"/>
    <cellStyle name="Comma [0] TBD-_BV226 mkt equation_Aug6 9 106" xfId="29035"/>
    <cellStyle name="Comma [0] TBD_BV226 mkt equation_Aug6 9 107" xfId="29036"/>
    <cellStyle name="Comma [0] TBD-_BV226 mkt equation_Aug6 9 107" xfId="29037"/>
    <cellStyle name="Comma [0] TBD_BV226 mkt equation_Aug6 9 108" xfId="29038"/>
    <cellStyle name="Comma [0] TBD-_BV226 mkt equation_Aug6 9 108" xfId="29039"/>
    <cellStyle name="Comma [0] TBD_BV226 mkt equation_Aug6 9 109" xfId="29040"/>
    <cellStyle name="Comma [0] TBD-_BV226 mkt equation_Aug6 9 109" xfId="29041"/>
    <cellStyle name="Comma [0] TBD_BV226 mkt equation_Aug6 9 11" xfId="29042"/>
    <cellStyle name="Comma [0] TBD-_BV226 mkt equation_Aug6 9 11" xfId="29043"/>
    <cellStyle name="Comma [0] TBD_BV226 mkt equation_Aug6 9 110" xfId="29044"/>
    <cellStyle name="Comma [0] TBD-_BV226 mkt equation_Aug6 9 110" xfId="29045"/>
    <cellStyle name="Comma [0] TBD_BV226 mkt equation_Aug6 9 111" xfId="29046"/>
    <cellStyle name="Comma [0] TBD-_BV226 mkt equation_Aug6 9 111" xfId="29047"/>
    <cellStyle name="Comma [0] TBD_BV226 mkt equation_Aug6 9 112" xfId="29048"/>
    <cellStyle name="Comma [0] TBD-_BV226 mkt equation_Aug6 9 112" xfId="29049"/>
    <cellStyle name="Comma [0] TBD_BV226 mkt equation_Aug6 9 113" xfId="29050"/>
    <cellStyle name="Comma [0] TBD-_BV226 mkt equation_Aug6 9 113" xfId="29051"/>
    <cellStyle name="Comma [0] TBD_BV226 mkt equation_Aug6 9 114" xfId="29052"/>
    <cellStyle name="Comma [0] TBD-_BV226 mkt equation_Aug6 9 114" xfId="29053"/>
    <cellStyle name="Comma [0] TBD_BV226 mkt equation_Aug6 9 115" xfId="29054"/>
    <cellStyle name="Comma [0] TBD-_BV226 mkt equation_Aug6 9 115" xfId="29055"/>
    <cellStyle name="Comma [0] TBD_BV226 mkt equation_Aug6 9 116" xfId="29056"/>
    <cellStyle name="Comma [0] TBD-_BV226 mkt equation_Aug6 9 116" xfId="29057"/>
    <cellStyle name="Comma [0] TBD_BV226 mkt equation_Aug6 9 117" xfId="29058"/>
    <cellStyle name="Comma [0] TBD-_BV226 mkt equation_Aug6 9 117" xfId="29059"/>
    <cellStyle name="Comma [0] TBD_BV226 mkt equation_Aug6 9 118" xfId="29060"/>
    <cellStyle name="Comma [0] TBD-_BV226 mkt equation_Aug6 9 118" xfId="29061"/>
    <cellStyle name="Comma [0] TBD_BV226 mkt equation_Aug6 9 119" xfId="29062"/>
    <cellStyle name="Comma [0] TBD-_BV226 mkt equation_Aug6 9 119" xfId="29063"/>
    <cellStyle name="Comma [0] TBD_BV226 mkt equation_Aug6 9 12" xfId="29064"/>
    <cellStyle name="Comma [0] TBD-_BV226 mkt equation_Aug6 9 12" xfId="29065"/>
    <cellStyle name="Comma [0] TBD_BV226 mkt equation_Aug6 9 120" xfId="29066"/>
    <cellStyle name="Comma [0] TBD-_BV226 mkt equation_Aug6 9 120" xfId="29067"/>
    <cellStyle name="Comma [0] TBD_BV226 mkt equation_Aug6 9 121" xfId="29068"/>
    <cellStyle name="Comma [0] TBD-_BV226 mkt equation_Aug6 9 121" xfId="29069"/>
    <cellStyle name="Comma [0] TBD_BV226 mkt equation_Aug6 9 122" xfId="29070"/>
    <cellStyle name="Comma [0] TBD-_BV226 mkt equation_Aug6 9 122" xfId="29071"/>
    <cellStyle name="Comma [0] TBD_BV226 mkt equation_Aug6 9 123" xfId="29072"/>
    <cellStyle name="Comma [0] TBD-_BV226 mkt equation_Aug6 9 123" xfId="29073"/>
    <cellStyle name="Comma [0] TBD_BV226 mkt equation_Aug6 9 124" xfId="29074"/>
    <cellStyle name="Comma [0] TBD-_BV226 mkt equation_Aug6 9 124" xfId="29075"/>
    <cellStyle name="Comma [0] TBD_BV226 mkt equation_Aug6 9 125" xfId="29076"/>
    <cellStyle name="Comma [0] TBD-_BV226 mkt equation_Aug6 9 125" xfId="29077"/>
    <cellStyle name="Comma [0] TBD_BV226 mkt equation_Aug6 9 126" xfId="29078"/>
    <cellStyle name="Comma [0] TBD-_BV226 mkt equation_Aug6 9 126" xfId="29079"/>
    <cellStyle name="Comma [0] TBD_BV226 mkt equation_Aug6 9 127" xfId="29080"/>
    <cellStyle name="Comma [0] TBD-_BV226 mkt equation_Aug6 9 127" xfId="29081"/>
    <cellStyle name="Comma [0] TBD_BV226 mkt equation_Aug6 9 128" xfId="29082"/>
    <cellStyle name="Comma [0] TBD-_BV226 mkt equation_Aug6 9 128" xfId="29083"/>
    <cellStyle name="Comma [0] TBD_BV226 mkt equation_Aug6 9 129" xfId="29084"/>
    <cellStyle name="Comma [0] TBD-_BV226 mkt equation_Aug6 9 129" xfId="29085"/>
    <cellStyle name="Comma [0] TBD_BV226 mkt equation_Aug6 9 13" xfId="29086"/>
    <cellStyle name="Comma [0] TBD-_BV226 mkt equation_Aug6 9 13" xfId="29087"/>
    <cellStyle name="Comma [0] TBD_BV226 mkt equation_Aug6 9 130" xfId="29088"/>
    <cellStyle name="Comma [0] TBD-_BV226 mkt equation_Aug6 9 130" xfId="29089"/>
    <cellStyle name="Comma [0] TBD_BV226 mkt equation_Aug6 9 131" xfId="29090"/>
    <cellStyle name="Comma [0] TBD-_BV226 mkt equation_Aug6 9 131" xfId="29091"/>
    <cellStyle name="Comma [0] TBD_BV226 mkt equation_Aug6 9 132" xfId="29092"/>
    <cellStyle name="Comma [0] TBD-_BV226 mkt equation_Aug6 9 132" xfId="29093"/>
    <cellStyle name="Comma [0] TBD_BV226 mkt equation_Aug6 9 133" xfId="29094"/>
    <cellStyle name="Comma [0] TBD-_BV226 mkt equation_Aug6 9 133" xfId="29095"/>
    <cellStyle name="Comma [0] TBD_BV226 mkt equation_Aug6 9 134" xfId="29096"/>
    <cellStyle name="Comma [0] TBD-_BV226 mkt equation_Aug6 9 134" xfId="29097"/>
    <cellStyle name="Comma [0] TBD_BV226 mkt equation_Aug6 9 135" xfId="29098"/>
    <cellStyle name="Comma [0] TBD-_BV226 mkt equation_Aug6 9 135" xfId="29099"/>
    <cellStyle name="Comma [0] TBD_BV226 mkt equation_Aug6 9 136" xfId="29100"/>
    <cellStyle name="Comma [0] TBD-_BV226 mkt equation_Aug6 9 136" xfId="29101"/>
    <cellStyle name="Comma [0] TBD_BV226 mkt equation_Aug6 9 137" xfId="29102"/>
    <cellStyle name="Comma [0] TBD-_BV226 mkt equation_Aug6 9 137" xfId="29103"/>
    <cellStyle name="Comma [0] TBD_BV226 mkt equation_Aug6 9 138" xfId="29104"/>
    <cellStyle name="Comma [0] TBD-_BV226 mkt equation_Aug6 9 138" xfId="29105"/>
    <cellStyle name="Comma [0] TBD_BV226 mkt equation_Aug6 9 139" xfId="29106"/>
    <cellStyle name="Comma [0] TBD-_BV226 mkt equation_Aug6 9 139" xfId="29107"/>
    <cellStyle name="Comma [0] TBD_BV226 mkt equation_Aug6 9 14" xfId="29108"/>
    <cellStyle name="Comma [0] TBD-_BV226 mkt equation_Aug6 9 14" xfId="29109"/>
    <cellStyle name="Comma [0] TBD_BV226 mkt equation_Aug6 9 140" xfId="29110"/>
    <cellStyle name="Comma [0] TBD-_BV226 mkt equation_Aug6 9 140" xfId="29111"/>
    <cellStyle name="Comma [0] TBD_BV226 mkt equation_Aug6 9 141" xfId="29112"/>
    <cellStyle name="Comma [0] TBD-_BV226 mkt equation_Aug6 9 141" xfId="29113"/>
    <cellStyle name="Comma [0] TBD_BV226 mkt equation_Aug6 9 142" xfId="29114"/>
    <cellStyle name="Comma [0] TBD-_BV226 mkt equation_Aug6 9 142" xfId="29115"/>
    <cellStyle name="Comma [0] TBD_BV226 mkt equation_Aug6 9 143" xfId="29116"/>
    <cellStyle name="Comma [0] TBD-_BV226 mkt equation_Aug6 9 143" xfId="29117"/>
    <cellStyle name="Comma [0] TBD_BV226 mkt equation_Aug6 9 144" xfId="29118"/>
    <cellStyle name="Comma [0] TBD-_BV226 mkt equation_Aug6 9 144" xfId="29119"/>
    <cellStyle name="Comma [0] TBD_BV226 mkt equation_Aug6 9 145" xfId="29120"/>
    <cellStyle name="Comma [0] TBD-_BV226 mkt equation_Aug6 9 145" xfId="29121"/>
    <cellStyle name="Comma [0] TBD_BV226 mkt equation_Aug6 9 146" xfId="29122"/>
    <cellStyle name="Comma [0] TBD-_BV226 mkt equation_Aug6 9 146" xfId="29123"/>
    <cellStyle name="Comma [0] TBD_BV226 mkt equation_Aug6 9 147" xfId="29124"/>
    <cellStyle name="Comma [0] TBD-_BV226 mkt equation_Aug6 9 147" xfId="29125"/>
    <cellStyle name="Comma [0] TBD_BV226 mkt equation_Aug6 9 148" xfId="29126"/>
    <cellStyle name="Comma [0] TBD-_BV226 mkt equation_Aug6 9 148" xfId="29127"/>
    <cellStyle name="Comma [0] TBD_BV226 mkt equation_Aug6 9 149" xfId="29128"/>
    <cellStyle name="Comma [0] TBD-_BV226 mkt equation_Aug6 9 149" xfId="29129"/>
    <cellStyle name="Comma [0] TBD_BV226 mkt equation_Aug6 9 15" xfId="29130"/>
    <cellStyle name="Comma [0] TBD-_BV226 mkt equation_Aug6 9 15" xfId="29131"/>
    <cellStyle name="Comma [0] TBD_BV226 mkt equation_Aug6 9 150" xfId="29132"/>
    <cellStyle name="Comma [0] TBD-_BV226 mkt equation_Aug6 9 150" xfId="29133"/>
    <cellStyle name="Comma [0] TBD_BV226 mkt equation_Aug6 9 151" xfId="29134"/>
    <cellStyle name="Comma [0] TBD-_BV226 mkt equation_Aug6 9 151" xfId="29135"/>
    <cellStyle name="Comma [0] TBD_BV226 mkt equation_Aug6 9 152" xfId="29136"/>
    <cellStyle name="Comma [0] TBD-_BV226 mkt equation_Aug6 9 152" xfId="29137"/>
    <cellStyle name="Comma [0] TBD_BV226 mkt equation_Aug6 9 153" xfId="29138"/>
    <cellStyle name="Comma [0] TBD-_BV226 mkt equation_Aug6 9 153" xfId="29139"/>
    <cellStyle name="Comma [0] TBD_BV226 mkt equation_Aug6 9 154" xfId="29140"/>
    <cellStyle name="Comma [0] TBD-_BV226 mkt equation_Aug6 9 154" xfId="29141"/>
    <cellStyle name="Comma [0] TBD_BV226 mkt equation_Aug6 9 16" xfId="29142"/>
    <cellStyle name="Comma [0] TBD-_BV226 mkt equation_Aug6 9 16" xfId="29143"/>
    <cellStyle name="Comma [0] TBD_BV226 mkt equation_Aug6 9 17" xfId="29144"/>
    <cellStyle name="Comma [0] TBD-_BV226 mkt equation_Aug6 9 17" xfId="29145"/>
    <cellStyle name="Comma [0] TBD_BV226 mkt equation_Aug6 9 18" xfId="29146"/>
    <cellStyle name="Comma [0] TBD-_BV226 mkt equation_Aug6 9 18" xfId="29147"/>
    <cellStyle name="Comma [0] TBD_BV226 mkt equation_Aug6 9 19" xfId="29148"/>
    <cellStyle name="Comma [0] TBD-_BV226 mkt equation_Aug6 9 19" xfId="29149"/>
    <cellStyle name="Comma [0] TBD_BV226 mkt equation_Aug6 9 2" xfId="29150"/>
    <cellStyle name="Comma [0] TBD-_BV226 mkt equation_Aug6 9 2" xfId="29151"/>
    <cellStyle name="Comma [0] TBD_BV226 mkt equation_Aug6 9 20" xfId="29152"/>
    <cellStyle name="Comma [0] TBD-_BV226 mkt equation_Aug6 9 20" xfId="29153"/>
    <cellStyle name="Comma [0] TBD_BV226 mkt equation_Aug6 9 21" xfId="29154"/>
    <cellStyle name="Comma [0] TBD-_BV226 mkt equation_Aug6 9 21" xfId="29155"/>
    <cellStyle name="Comma [0] TBD_BV226 mkt equation_Aug6 9 22" xfId="29156"/>
    <cellStyle name="Comma [0] TBD-_BV226 mkt equation_Aug6 9 22" xfId="29157"/>
    <cellStyle name="Comma [0] TBD_BV226 mkt equation_Aug6 9 23" xfId="29158"/>
    <cellStyle name="Comma [0] TBD-_BV226 mkt equation_Aug6 9 23" xfId="29159"/>
    <cellStyle name="Comma [0] TBD_BV226 mkt equation_Aug6 9 24" xfId="29160"/>
    <cellStyle name="Comma [0] TBD-_BV226 mkt equation_Aug6 9 24" xfId="29161"/>
    <cellStyle name="Comma [0] TBD_BV226 mkt equation_Aug6 9 25" xfId="29162"/>
    <cellStyle name="Comma [0] TBD-_BV226 mkt equation_Aug6 9 25" xfId="29163"/>
    <cellStyle name="Comma [0] TBD_BV226 mkt equation_Aug6 9 26" xfId="29164"/>
    <cellStyle name="Comma [0] TBD-_BV226 mkt equation_Aug6 9 26" xfId="29165"/>
    <cellStyle name="Comma [0] TBD_BV226 mkt equation_Aug6 9 27" xfId="29166"/>
    <cellStyle name="Comma [0] TBD-_BV226 mkt equation_Aug6 9 27" xfId="29167"/>
    <cellStyle name="Comma [0] TBD_BV226 mkt equation_Aug6 9 28" xfId="29168"/>
    <cellStyle name="Comma [0] TBD-_BV226 mkt equation_Aug6 9 28" xfId="29169"/>
    <cellStyle name="Comma [0] TBD_BV226 mkt equation_Aug6 9 29" xfId="29170"/>
    <cellStyle name="Comma [0] TBD-_BV226 mkt equation_Aug6 9 29" xfId="29171"/>
    <cellStyle name="Comma [0] TBD_BV226 mkt equation_Aug6 9 3" xfId="29172"/>
    <cellStyle name="Comma [0] TBD-_BV226 mkt equation_Aug6 9 3" xfId="29173"/>
    <cellStyle name="Comma [0] TBD_BV226 mkt equation_Aug6 9 30" xfId="29174"/>
    <cellStyle name="Comma [0] TBD-_BV226 mkt equation_Aug6 9 30" xfId="29175"/>
    <cellStyle name="Comma [0] TBD_BV226 mkt equation_Aug6 9 31" xfId="29176"/>
    <cellStyle name="Comma [0] TBD-_BV226 mkt equation_Aug6 9 31" xfId="29177"/>
    <cellStyle name="Comma [0] TBD_BV226 mkt equation_Aug6 9 32" xfId="29178"/>
    <cellStyle name="Comma [0] TBD-_BV226 mkt equation_Aug6 9 32" xfId="29179"/>
    <cellStyle name="Comma [0] TBD_BV226 mkt equation_Aug6 9 33" xfId="29180"/>
    <cellStyle name="Comma [0] TBD-_BV226 mkt equation_Aug6 9 33" xfId="29181"/>
    <cellStyle name="Comma [0] TBD_BV226 mkt equation_Aug6 9 34" xfId="29182"/>
    <cellStyle name="Comma [0] TBD-_BV226 mkt equation_Aug6 9 34" xfId="29183"/>
    <cellStyle name="Comma [0] TBD_BV226 mkt equation_Aug6 9 35" xfId="29184"/>
    <cellStyle name="Comma [0] TBD-_BV226 mkt equation_Aug6 9 35" xfId="29185"/>
    <cellStyle name="Comma [0] TBD_BV226 mkt equation_Aug6 9 36" xfId="29186"/>
    <cellStyle name="Comma [0] TBD-_BV226 mkt equation_Aug6 9 36" xfId="29187"/>
    <cellStyle name="Comma [0] TBD_BV226 mkt equation_Aug6 9 37" xfId="29188"/>
    <cellStyle name="Comma [0] TBD-_BV226 mkt equation_Aug6 9 37" xfId="29189"/>
    <cellStyle name="Comma [0] TBD_BV226 mkt equation_Aug6 9 38" xfId="29190"/>
    <cellStyle name="Comma [0] TBD-_BV226 mkt equation_Aug6 9 38" xfId="29191"/>
    <cellStyle name="Comma [0] TBD_BV226 mkt equation_Aug6 9 39" xfId="29192"/>
    <cellStyle name="Comma [0] TBD-_BV226 mkt equation_Aug6 9 39" xfId="29193"/>
    <cellStyle name="Comma [0] TBD_BV226 mkt equation_Aug6 9 4" xfId="29194"/>
    <cellStyle name="Comma [0] TBD-_BV226 mkt equation_Aug6 9 4" xfId="29195"/>
    <cellStyle name="Comma [0] TBD_BV226 mkt equation_Aug6 9 40" xfId="29196"/>
    <cellStyle name="Comma [0] TBD-_BV226 mkt equation_Aug6 9 40" xfId="29197"/>
    <cellStyle name="Comma [0] TBD_BV226 mkt equation_Aug6 9 41" xfId="29198"/>
    <cellStyle name="Comma [0] TBD-_BV226 mkt equation_Aug6 9 41" xfId="29199"/>
    <cellStyle name="Comma [0] TBD_BV226 mkt equation_Aug6 9 42" xfId="29200"/>
    <cellStyle name="Comma [0] TBD-_BV226 mkt equation_Aug6 9 42" xfId="29201"/>
    <cellStyle name="Comma [0] TBD_BV226 mkt equation_Aug6 9 43" xfId="29202"/>
    <cellStyle name="Comma [0] TBD-_BV226 mkt equation_Aug6 9 43" xfId="29203"/>
    <cellStyle name="Comma [0] TBD_BV226 mkt equation_Aug6 9 44" xfId="29204"/>
    <cellStyle name="Comma [0] TBD-_BV226 mkt equation_Aug6 9 44" xfId="29205"/>
    <cellStyle name="Comma [0] TBD_BV226 mkt equation_Aug6 9 45" xfId="29206"/>
    <cellStyle name="Comma [0] TBD-_BV226 mkt equation_Aug6 9 45" xfId="29207"/>
    <cellStyle name="Comma [0] TBD_BV226 mkt equation_Aug6 9 46" xfId="29208"/>
    <cellStyle name="Comma [0] TBD-_BV226 mkt equation_Aug6 9 46" xfId="29209"/>
    <cellStyle name="Comma [0] TBD_BV226 mkt equation_Aug6 9 47" xfId="29210"/>
    <cellStyle name="Comma [0] TBD-_BV226 mkt equation_Aug6 9 47" xfId="29211"/>
    <cellStyle name="Comma [0] TBD_BV226 mkt equation_Aug6 9 48" xfId="29212"/>
    <cellStyle name="Comma [0] TBD-_BV226 mkt equation_Aug6 9 48" xfId="29213"/>
    <cellStyle name="Comma [0] TBD_BV226 mkt equation_Aug6 9 49" xfId="29214"/>
    <cellStyle name="Comma [0] TBD-_BV226 mkt equation_Aug6 9 49" xfId="29215"/>
    <cellStyle name="Comma [0] TBD_BV226 mkt equation_Aug6 9 5" xfId="29216"/>
    <cellStyle name="Comma [0] TBD-_BV226 mkt equation_Aug6 9 5" xfId="29217"/>
    <cellStyle name="Comma [0] TBD_BV226 mkt equation_Aug6 9 50" xfId="29218"/>
    <cellStyle name="Comma [0] TBD-_BV226 mkt equation_Aug6 9 50" xfId="29219"/>
    <cellStyle name="Comma [0] TBD_BV226 mkt equation_Aug6 9 51" xfId="29220"/>
    <cellStyle name="Comma [0] TBD-_BV226 mkt equation_Aug6 9 51" xfId="29221"/>
    <cellStyle name="Comma [0] TBD_BV226 mkt equation_Aug6 9 52" xfId="29222"/>
    <cellStyle name="Comma [0] TBD-_BV226 mkt equation_Aug6 9 52" xfId="29223"/>
    <cellStyle name="Comma [0] TBD_BV226 mkt equation_Aug6 9 53" xfId="29224"/>
    <cellStyle name="Comma [0] TBD-_BV226 mkt equation_Aug6 9 53" xfId="29225"/>
    <cellStyle name="Comma [0] TBD_BV226 mkt equation_Aug6 9 54" xfId="29226"/>
    <cellStyle name="Comma [0] TBD-_BV226 mkt equation_Aug6 9 54" xfId="29227"/>
    <cellStyle name="Comma [0] TBD_BV226 mkt equation_Aug6 9 55" xfId="29228"/>
    <cellStyle name="Comma [0] TBD-_BV226 mkt equation_Aug6 9 55" xfId="29229"/>
    <cellStyle name="Comma [0] TBD_BV226 mkt equation_Aug6 9 56" xfId="29230"/>
    <cellStyle name="Comma [0] TBD-_BV226 mkt equation_Aug6 9 56" xfId="29231"/>
    <cellStyle name="Comma [0] TBD_BV226 mkt equation_Aug6 9 57" xfId="29232"/>
    <cellStyle name="Comma [0] TBD-_BV226 mkt equation_Aug6 9 57" xfId="29233"/>
    <cellStyle name="Comma [0] TBD_BV226 mkt equation_Aug6 9 58" xfId="29234"/>
    <cellStyle name="Comma [0] TBD-_BV226 mkt equation_Aug6 9 58" xfId="29235"/>
    <cellStyle name="Comma [0] TBD_BV226 mkt equation_Aug6 9 59" xfId="29236"/>
    <cellStyle name="Comma [0] TBD-_BV226 mkt equation_Aug6 9 59" xfId="29237"/>
    <cellStyle name="Comma [0] TBD_BV226 mkt equation_Aug6 9 6" xfId="29238"/>
    <cellStyle name="Comma [0] TBD-_BV226 mkt equation_Aug6 9 6" xfId="29239"/>
    <cellStyle name="Comma [0] TBD_BV226 mkt equation_Aug6 9 60" xfId="29240"/>
    <cellStyle name="Comma [0] TBD-_BV226 mkt equation_Aug6 9 60" xfId="29241"/>
    <cellStyle name="Comma [0] TBD_BV226 mkt equation_Aug6 9 61" xfId="29242"/>
    <cellStyle name="Comma [0] TBD-_BV226 mkt equation_Aug6 9 61" xfId="29243"/>
    <cellStyle name="Comma [0] TBD_BV226 mkt equation_Aug6 9 62" xfId="29244"/>
    <cellStyle name="Comma [0] TBD-_BV226 mkt equation_Aug6 9 62" xfId="29245"/>
    <cellStyle name="Comma [0] TBD_BV226 mkt equation_Aug6 9 63" xfId="29246"/>
    <cellStyle name="Comma [0] TBD-_BV226 mkt equation_Aug6 9 63" xfId="29247"/>
    <cellStyle name="Comma [0] TBD_BV226 mkt equation_Aug6 9 64" xfId="29248"/>
    <cellStyle name="Comma [0] TBD-_BV226 mkt equation_Aug6 9 64" xfId="29249"/>
    <cellStyle name="Comma [0] TBD_BV226 mkt equation_Aug6 9 65" xfId="29250"/>
    <cellStyle name="Comma [0] TBD-_BV226 mkt equation_Aug6 9 65" xfId="29251"/>
    <cellStyle name="Comma [0] TBD_BV226 mkt equation_Aug6 9 66" xfId="29252"/>
    <cellStyle name="Comma [0] TBD-_BV226 mkt equation_Aug6 9 66" xfId="29253"/>
    <cellStyle name="Comma [0] TBD_BV226 mkt equation_Aug6 9 67" xfId="29254"/>
    <cellStyle name="Comma [0] TBD-_BV226 mkt equation_Aug6 9 67" xfId="29255"/>
    <cellStyle name="Comma [0] TBD_BV226 mkt equation_Aug6 9 68" xfId="29256"/>
    <cellStyle name="Comma [0] TBD-_BV226 mkt equation_Aug6 9 68" xfId="29257"/>
    <cellStyle name="Comma [0] TBD_BV226 mkt equation_Aug6 9 69" xfId="29258"/>
    <cellStyle name="Comma [0] TBD-_BV226 mkt equation_Aug6 9 69" xfId="29259"/>
    <cellStyle name="Comma [0] TBD_BV226 mkt equation_Aug6 9 7" xfId="29260"/>
    <cellStyle name="Comma [0] TBD-_BV226 mkt equation_Aug6 9 7" xfId="29261"/>
    <cellStyle name="Comma [0] TBD_BV226 mkt equation_Aug6 9 70" xfId="29262"/>
    <cellStyle name="Comma [0] TBD-_BV226 mkt equation_Aug6 9 70" xfId="29263"/>
    <cellStyle name="Comma [0] TBD_BV226 mkt equation_Aug6 9 71" xfId="29264"/>
    <cellStyle name="Comma [0] TBD-_BV226 mkt equation_Aug6 9 71" xfId="29265"/>
    <cellStyle name="Comma [0] TBD_BV226 mkt equation_Aug6 9 72" xfId="29266"/>
    <cellStyle name="Comma [0] TBD-_BV226 mkt equation_Aug6 9 72" xfId="29267"/>
    <cellStyle name="Comma [0] TBD_BV226 mkt equation_Aug6 9 73" xfId="29268"/>
    <cellStyle name="Comma [0] TBD-_BV226 mkt equation_Aug6 9 73" xfId="29269"/>
    <cellStyle name="Comma [0] TBD_BV226 mkt equation_Aug6 9 74" xfId="29270"/>
    <cellStyle name="Comma [0] TBD-_BV226 mkt equation_Aug6 9 74" xfId="29271"/>
    <cellStyle name="Comma [0] TBD_BV226 mkt equation_Aug6 9 75" xfId="29272"/>
    <cellStyle name="Comma [0] TBD-_BV226 mkt equation_Aug6 9 75" xfId="29273"/>
    <cellStyle name="Comma [0] TBD_BV226 mkt equation_Aug6 9 76" xfId="29274"/>
    <cellStyle name="Comma [0] TBD-_BV226 mkt equation_Aug6 9 76" xfId="29275"/>
    <cellStyle name="Comma [0] TBD_BV226 mkt equation_Aug6 9 77" xfId="29276"/>
    <cellStyle name="Comma [0] TBD-_BV226 mkt equation_Aug6 9 77" xfId="29277"/>
    <cellStyle name="Comma [0] TBD_BV226 mkt equation_Aug6 9 78" xfId="29278"/>
    <cellStyle name="Comma [0] TBD-_BV226 mkt equation_Aug6 9 78" xfId="29279"/>
    <cellStyle name="Comma [0] TBD_BV226 mkt equation_Aug6 9 79" xfId="29280"/>
    <cellStyle name="Comma [0] TBD-_BV226 mkt equation_Aug6 9 79" xfId="29281"/>
    <cellStyle name="Comma [0] TBD_BV226 mkt equation_Aug6 9 8" xfId="29282"/>
    <cellStyle name="Comma [0] TBD-_BV226 mkt equation_Aug6 9 8" xfId="29283"/>
    <cellStyle name="Comma [0] TBD_BV226 mkt equation_Aug6 9 80" xfId="29284"/>
    <cellStyle name="Comma [0] TBD-_BV226 mkt equation_Aug6 9 80" xfId="29285"/>
    <cellStyle name="Comma [0] TBD_BV226 mkt equation_Aug6 9 81" xfId="29286"/>
    <cellStyle name="Comma [0] TBD-_BV226 mkt equation_Aug6 9 81" xfId="29287"/>
    <cellStyle name="Comma [0] TBD_BV226 mkt equation_Aug6 9 82" xfId="29288"/>
    <cellStyle name="Comma [0] TBD-_BV226 mkt equation_Aug6 9 82" xfId="29289"/>
    <cellStyle name="Comma [0] TBD_BV226 mkt equation_Aug6 9 83" xfId="29290"/>
    <cellStyle name="Comma [0] TBD-_BV226 mkt equation_Aug6 9 83" xfId="29291"/>
    <cellStyle name="Comma [0] TBD_BV226 mkt equation_Aug6 9 84" xfId="29292"/>
    <cellStyle name="Comma [0] TBD-_BV226 mkt equation_Aug6 9 84" xfId="29293"/>
    <cellStyle name="Comma [0] TBD_BV226 mkt equation_Aug6 9 85" xfId="29294"/>
    <cellStyle name="Comma [0] TBD-_BV226 mkt equation_Aug6 9 85" xfId="29295"/>
    <cellStyle name="Comma [0] TBD_BV226 mkt equation_Aug6 9 86" xfId="29296"/>
    <cellStyle name="Comma [0] TBD-_BV226 mkt equation_Aug6 9 86" xfId="29297"/>
    <cellStyle name="Comma [0] TBD_BV226 mkt equation_Aug6 9 87" xfId="29298"/>
    <cellStyle name="Comma [0] TBD-_BV226 mkt equation_Aug6 9 87" xfId="29299"/>
    <cellStyle name="Comma [0] TBD_BV226 mkt equation_Aug6 9 88" xfId="29300"/>
    <cellStyle name="Comma [0] TBD-_BV226 mkt equation_Aug6 9 88" xfId="29301"/>
    <cellStyle name="Comma [0] TBD_BV226 mkt equation_Aug6 9 89" xfId="29302"/>
    <cellStyle name="Comma [0] TBD-_BV226 mkt equation_Aug6 9 89" xfId="29303"/>
    <cellStyle name="Comma [0] TBD_BV226 mkt equation_Aug6 9 9" xfId="29304"/>
    <cellStyle name="Comma [0] TBD-_BV226 mkt equation_Aug6 9 9" xfId="29305"/>
    <cellStyle name="Comma [0] TBD_BV226 mkt equation_Aug6 9 90" xfId="29306"/>
    <cellStyle name="Comma [0] TBD-_BV226 mkt equation_Aug6 9 90" xfId="29307"/>
    <cellStyle name="Comma [0] TBD_BV226 mkt equation_Aug6 9 91" xfId="29308"/>
    <cellStyle name="Comma [0] TBD-_BV226 mkt equation_Aug6 9 91" xfId="29309"/>
    <cellStyle name="Comma [0] TBD_BV226 mkt equation_Aug6 9 92" xfId="29310"/>
    <cellStyle name="Comma [0] TBD-_BV226 mkt equation_Aug6 9 92" xfId="29311"/>
    <cellStyle name="Comma [0] TBD_BV226 mkt equation_Aug6 9 93" xfId="29312"/>
    <cellStyle name="Comma [0] TBD-_BV226 mkt equation_Aug6 9 93" xfId="29313"/>
    <cellStyle name="Comma [0] TBD_BV226 mkt equation_Aug6 9 94" xfId="29314"/>
    <cellStyle name="Comma [0] TBD-_BV226 mkt equation_Aug6 9 94" xfId="29315"/>
    <cellStyle name="Comma [0] TBD_BV226 mkt equation_Aug6 9 95" xfId="29316"/>
    <cellStyle name="Comma [0] TBD-_BV226 mkt equation_Aug6 9 95" xfId="29317"/>
    <cellStyle name="Comma [0] TBD_BV226 mkt equation_Aug6 9 96" xfId="29318"/>
    <cellStyle name="Comma [0] TBD-_BV226 mkt equation_Aug6 9 96" xfId="29319"/>
    <cellStyle name="Comma [0] TBD_BV226 mkt equation_Aug6 9 97" xfId="29320"/>
    <cellStyle name="Comma [0] TBD-_BV226 mkt equation_Aug6 9 97" xfId="29321"/>
    <cellStyle name="Comma [0] TBD_BV226 mkt equation_Aug6 9 98" xfId="29322"/>
    <cellStyle name="Comma [0] TBD-_BV226 mkt equation_Aug6 9 98" xfId="29323"/>
    <cellStyle name="Comma [0] TBD_BV226 mkt equation_Aug6 9 99" xfId="29324"/>
    <cellStyle name="Comma [0] TBD-_BV226 mkt equation_Aug6 9 99" xfId="29325"/>
    <cellStyle name="Comma [0] TBD_BV226N Facer Pg Charts" xfId="29326"/>
    <cellStyle name="Comma [0] TBD-_BV226N Facer Pg Charts" xfId="29327"/>
    <cellStyle name="Comma [0] TBD_BV226N Facer Pg Charts 2" xfId="29328"/>
    <cellStyle name="Comma [0] TBD-_BV226N Facer Pg Charts 2" xfId="29329"/>
    <cellStyle name="Comma [0] TBD_BV226N Facer Pg Charts1" xfId="29330"/>
    <cellStyle name="Comma [0] TBD-_BV226N Facer Pg Charts1" xfId="29331"/>
    <cellStyle name="Comma [0] TBD_BV226N Facer Pg Charts1 2" xfId="29332"/>
    <cellStyle name="Comma [0] TBD-_BV226N Facer Pg Charts1 2" xfId="29333"/>
    <cellStyle name="Comma [0] TBD_Calendarisation 2003 Total PAG vs 11+1" xfId="29334"/>
    <cellStyle name="Comma [0] TBD-_Calendarisation 2003 Total PAG vs 11+1" xfId="29335"/>
    <cellStyle name="Comma [0] TBD_Calendarisation 2003 Total PAG vs 11+1 2" xfId="29336"/>
    <cellStyle name="Comma [0] TBD-_Calendarisation 2003 Total PAG vs 11+1 2" xfId="29337"/>
    <cellStyle name="Comma [0] TBD_Calendarised 2004 Budget v7 Update" xfId="29338"/>
    <cellStyle name="Comma [0] TBD-_Calendarised 2004 Budget v7 Update" xfId="29339"/>
    <cellStyle name="Comma [0] TBD_Calendarised 2004 Budget v7 Update 2" xfId="29340"/>
    <cellStyle name="Comma [0] TBD-_Calendarised 2004 Budget v7 Update 2" xfId="29341"/>
    <cellStyle name="Comma [0] TBD_Calendarised 2004 Budget v7 Update 2 2" xfId="29342"/>
    <cellStyle name="Comma [0] TBD-_Calendarised 2004 Budget v7 Update 2 2" xfId="29343"/>
    <cellStyle name="Comma [0] TBD_Calendarised 2004 Budget v7 Update 3" xfId="29344"/>
    <cellStyle name="Comma [0] TBD-_Calendarised 2004 Budget v7 Update 3" xfId="29345"/>
    <cellStyle name="Comma [0] TBD_Calendarised 2004 Budget v7 Update 3 2" xfId="29346"/>
    <cellStyle name="Comma [0] TBD-_Calendarised 2004 Budget v7 Update 3 2" xfId="29347"/>
    <cellStyle name="Comma [0] TBD_Calendarised 2004 Budget v7 Update 4" xfId="29348"/>
    <cellStyle name="Comma [0] TBD-_Calendarised 2004 Budget v7 Update 4" xfId="29349"/>
    <cellStyle name="Comma [0] TBD_Calendarised 2004 Budget v7 Update 5" xfId="29350"/>
    <cellStyle name="Comma [0] TBD-_Calendarised 2004 Budget v7 Update 5" xfId="29351"/>
    <cellStyle name="Comma [0] TBD_Calendarised 2004 Budget v7 Update 6" xfId="29352"/>
    <cellStyle name="Comma [0] TBD-_Calendarised 2004 Budget v7 Update 6" xfId="29353"/>
    <cellStyle name="Comma [0] TBD_Calendarised 2004 Budget v7 Update 7" xfId="29354"/>
    <cellStyle name="Comma [0] TBD-_Calendarised 2004 Budget v7 Update 7" xfId="29355"/>
    <cellStyle name="Comma [0] TBD_Calendarised 2004 Budget v7 Update 8" xfId="29356"/>
    <cellStyle name="Comma [0] TBD-_Calendarised 2004 Budget v7 Update 8" xfId="29357"/>
    <cellStyle name="Comma [0] TBD_Calendarised 2004 Budget v7 Update 9" xfId="29358"/>
    <cellStyle name="Comma [0] TBD-_Calendarised 2004 Budget v7 Update 9" xfId="29359"/>
    <cellStyle name="Comma [0] TBD_CD 378  09MY_ PS_ file buildup 8-05-05" xfId="29360"/>
    <cellStyle name="Comma [0] TBD-_CD 378  09MY_ PS_ file buildup 8-05-05" xfId="29361"/>
    <cellStyle name="Comma [0] TBD_CD 378  09MY_ PS_ file buildup 8-05-05 2" xfId="29362"/>
    <cellStyle name="Comma [0] TBD-_CD 378  09MY_ PS_ file buildup 8-05-05 2" xfId="29363"/>
    <cellStyle name="Comma [0] TBD_CSV (84) Status" xfId="29364"/>
    <cellStyle name="Comma [0] TBD-_CSV (84) Status" xfId="29365"/>
    <cellStyle name="Comma [0] TBD_CSV (84) Status 2" xfId="29366"/>
    <cellStyle name="Comma [0] TBD-_CSV (84) Status 2" xfId="29367"/>
    <cellStyle name="Comma [0] TBD_CSV 66 Status1" xfId="29368"/>
    <cellStyle name="Comma [0] TBD-_CSV 66 Status1" xfId="29369"/>
    <cellStyle name="Comma [0] TBD_CSV 66 Status1 2" xfId="29370"/>
    <cellStyle name="Comma [0] TBD-_CSV 66 Status1 2" xfId="29371"/>
    <cellStyle name="Comma [0] TBD_CSV_48 Status (update)1" xfId="29372"/>
    <cellStyle name="Comma [0] TBD-_CSV_48 Status (update)1" xfId="29373"/>
    <cellStyle name="Comma [0] TBD_CSV_48 Status (update)1 2" xfId="29374"/>
    <cellStyle name="Comma [0] TBD-_CSV_48 Status (update)1 2" xfId="29375"/>
    <cellStyle name="Comma [0] TBD_D385 - PA  04-04-06" xfId="29376"/>
    <cellStyle name="Comma [0] TBD-_D385 - PA  04-04-06" xfId="29377"/>
    <cellStyle name="Comma [0] TBD_D385 - PA  04-04-06 2" xfId="29378"/>
    <cellStyle name="Comma [0] TBD-_D385 - PA  04-04-06 2" xfId="29379"/>
    <cellStyle name="Comma [0] TBD_D385 - PA  04-04-06 2 2" xfId="29380"/>
    <cellStyle name="Comma [0] TBD-_D385 - PA  04-04-06 2 2" xfId="29381"/>
    <cellStyle name="Comma [0] TBD_D385 - PA  04-04-06 3" xfId="29382"/>
    <cellStyle name="Comma [0] TBD-_D385 - PA  04-04-06 3" xfId="29383"/>
    <cellStyle name="Comma [0] TBD_D385 - PA  04-04-06 3 2" xfId="29384"/>
    <cellStyle name="Comma [0] TBD-_D385 - PA  04-04-06 3 2" xfId="29385"/>
    <cellStyle name="Comma [0] TBD_D385 - PA  04-04-06 4" xfId="29386"/>
    <cellStyle name="Comma [0] TBD-_D385 - PA  04-04-06 4" xfId="29387"/>
    <cellStyle name="Comma [0] TBD_D385 - PA  04-04-06 5" xfId="29388"/>
    <cellStyle name="Comma [0] TBD-_D385 - PA  04-04-06 5" xfId="29389"/>
    <cellStyle name="Comma [0] TBD_D385 - PA  04-04-06 6" xfId="29390"/>
    <cellStyle name="Comma [0] TBD-_D385 - PA  04-04-06 6" xfId="29391"/>
    <cellStyle name="Comma [0] TBD_D385 - PA  04-04-06 7" xfId="29392"/>
    <cellStyle name="Comma [0] TBD-_D385 - PA  04-04-06 7" xfId="29393"/>
    <cellStyle name="Comma [0] TBD_D385 - PA  04-04-06 8" xfId="29394"/>
    <cellStyle name="Comma [0] TBD-_D385 - PA  04-04-06 8" xfId="29395"/>
    <cellStyle name="Comma [0] TBD_D385 - PA  04-04-06 9" xfId="29396"/>
    <cellStyle name="Comma [0] TBD-_D385 - PA  04-04-06 9" xfId="29397"/>
    <cellStyle name="Comma [0] TBD_D385 - PA  10-25-05" xfId="29398"/>
    <cellStyle name="Comma [0] TBD-_D385 - PA  10-25-05" xfId="29399"/>
    <cellStyle name="Comma [0] TBD_D385 - PA  10-25-05 2" xfId="29400"/>
    <cellStyle name="Comma [0] TBD-_D385 - PA  10-25-05 2" xfId="29401"/>
    <cellStyle name="Comma [0] TBD_D385 - PA  10-25-05 2 2" xfId="29402"/>
    <cellStyle name="Comma [0] TBD-_D385 - PA  10-25-05 2 2" xfId="29403"/>
    <cellStyle name="Comma [0] TBD_D385 - PA  10-25-05 3" xfId="29404"/>
    <cellStyle name="Comma [0] TBD-_D385 - PA  10-25-05 3" xfId="29405"/>
    <cellStyle name="Comma [0] TBD_D385 - PA  10-25-05 3 2" xfId="29406"/>
    <cellStyle name="Comma [0] TBD-_D385 - PA  10-25-05 3 2" xfId="29407"/>
    <cellStyle name="Comma [0] TBD_D385 - PA  10-25-05 4" xfId="29408"/>
    <cellStyle name="Comma [0] TBD-_D385 - PA  10-25-05 4" xfId="29409"/>
    <cellStyle name="Comma [0] TBD_D385 - PA  10-25-05 5" xfId="29410"/>
    <cellStyle name="Comma [0] TBD-_D385 - PA  10-25-05 5" xfId="29411"/>
    <cellStyle name="Comma [0] TBD_D385 - PA  10-25-05 6" xfId="29412"/>
    <cellStyle name="Comma [0] TBD-_D385 - PA  10-25-05 6" xfId="29413"/>
    <cellStyle name="Comma [0] TBD_D385 - PA  10-25-05 7" xfId="29414"/>
    <cellStyle name="Comma [0] TBD-_D385 - PA  10-25-05 7" xfId="29415"/>
    <cellStyle name="Comma [0] TBD_D385 - PA  10-25-05 8" xfId="29416"/>
    <cellStyle name="Comma [0] TBD-_D385 - PA  10-25-05 8" xfId="29417"/>
    <cellStyle name="Comma [0] TBD_D385 - PA  10-25-05 9" xfId="29418"/>
    <cellStyle name="Comma [0] TBD-_D385 - PA  10-25-05 9" xfId="29419"/>
    <cellStyle name="Comma [0] TBD_D472 PS MktEqn 031706" xfId="29420"/>
    <cellStyle name="Comma [0] TBD-_D472 PS MktEqn 031706" xfId="29421"/>
    <cellStyle name="Comma [0] TBD_D472 PS MktEqn 031706 2" xfId="29422"/>
    <cellStyle name="Comma [0] TBD-_D472 PS MktEqn 031706 2" xfId="29423"/>
    <cellStyle name="Comma [0] TBD_D472 PS MktEqn 032406 " xfId="29424"/>
    <cellStyle name="Comma [0] TBD-_D472 PS MktEqn 032406 " xfId="29425"/>
    <cellStyle name="Comma [0] TBD_D472 PS MktEqn 032406  2" xfId="29426"/>
    <cellStyle name="Comma [0] TBD-_D472 PS MktEqn 032406  2" xfId="29427"/>
    <cellStyle name="Comma [0] TBD_Dick Langley data 030305" xfId="29428"/>
    <cellStyle name="Comma [0] TBD-_Dick Langley data 030305" xfId="29429"/>
    <cellStyle name="Comma [0] TBD_Dick Langley data 030305 2" xfId="29430"/>
    <cellStyle name="Comma [0] TBD-_Dick Langley data 030305 2" xfId="29431"/>
    <cellStyle name="Comma [0] TBD_Dick Langley data 030305 2 2" xfId="29432"/>
    <cellStyle name="Comma [0] TBD-_Dick Langley data 030305 2 2" xfId="29433"/>
    <cellStyle name="Comma [0] TBD_Dick Langley data 030305 3" xfId="29434"/>
    <cellStyle name="Comma [0] TBD-_Dick Langley data 030305 3" xfId="29435"/>
    <cellStyle name="Comma [0] TBD_Dick Langley data 030305 3 2" xfId="29436"/>
    <cellStyle name="Comma [0] TBD-_Dick Langley data 030305 3 2" xfId="29437"/>
    <cellStyle name="Comma [0] TBD_Dick Langley data 030305 4" xfId="29438"/>
    <cellStyle name="Comma [0] TBD-_Dick Langley data 030305 4" xfId="29439"/>
    <cellStyle name="Comma [0] TBD_Dick Langley data 030305 5" xfId="29440"/>
    <cellStyle name="Comma [0] TBD-_Dick Langley data 030305 5" xfId="29441"/>
    <cellStyle name="Comma [0] TBD_Dick Langley data 030305 6" xfId="29442"/>
    <cellStyle name="Comma [0] TBD-_Dick Langley data 030305 6" xfId="29443"/>
    <cellStyle name="Comma [0] TBD_Dick Langley data 030305 7" xfId="29444"/>
    <cellStyle name="Comma [0] TBD-_Dick Langley data 030305 7" xfId="29445"/>
    <cellStyle name="Comma [0] TBD_Dick Langley data 030305 8" xfId="29446"/>
    <cellStyle name="Comma [0] TBD-_Dick Langley data 030305 8" xfId="29447"/>
    <cellStyle name="Comma [0] TBD_Dick Langley data 030305 9" xfId="29448"/>
    <cellStyle name="Comma [0] TBD-_Dick Langley data 030305 9" xfId="29449"/>
    <cellStyle name="Comma [0] TBD_EMS August PBR" xfId="29450"/>
    <cellStyle name="Comma [0] TBD-_EMS August PBR" xfId="29451"/>
    <cellStyle name="Comma [0] TBD_EMS August PBR 2" xfId="29452"/>
    <cellStyle name="Comma [0] TBD-_EMS August PBR 2" xfId="29453"/>
    <cellStyle name="Comma [0] TBD_Equip Adj Vs Highlander &amp; Explorer" xfId="29454"/>
    <cellStyle name="Comma [0] TBD-_Equip Adj Vs Highlander &amp; Explorer" xfId="29455"/>
    <cellStyle name="Comma [0] TBD_Equip Adj Vs Highlander &amp; Explorer 10" xfId="29456"/>
    <cellStyle name="Comma [0] TBD-_Equip Adj Vs Highlander &amp; Explorer 10" xfId="29457"/>
    <cellStyle name="Comma [0] TBD_Equip Adj Vs Highlander &amp; Explorer 10 10" xfId="29458"/>
    <cellStyle name="Comma [0] TBD-_Equip Adj Vs Highlander &amp; Explorer 10 10" xfId="29459"/>
    <cellStyle name="Comma [0] TBD_Equip Adj Vs Highlander &amp; Explorer 10 100" xfId="29460"/>
    <cellStyle name="Comma [0] TBD-_Equip Adj Vs Highlander &amp; Explorer 10 100" xfId="29461"/>
    <cellStyle name="Comma [0] TBD_Equip Adj Vs Highlander &amp; Explorer 10 101" xfId="29462"/>
    <cellStyle name="Comma [0] TBD-_Equip Adj Vs Highlander &amp; Explorer 10 101" xfId="29463"/>
    <cellStyle name="Comma [0] TBD_Equip Adj Vs Highlander &amp; Explorer 10 102" xfId="29464"/>
    <cellStyle name="Comma [0] TBD-_Equip Adj Vs Highlander &amp; Explorer 10 102" xfId="29465"/>
    <cellStyle name="Comma [0] TBD_Equip Adj Vs Highlander &amp; Explorer 10 103" xfId="29466"/>
    <cellStyle name="Comma [0] TBD-_Equip Adj Vs Highlander &amp; Explorer 10 103" xfId="29467"/>
    <cellStyle name="Comma [0] TBD_Equip Adj Vs Highlander &amp; Explorer 10 104" xfId="29468"/>
    <cellStyle name="Comma [0] TBD-_Equip Adj Vs Highlander &amp; Explorer 10 104" xfId="29469"/>
    <cellStyle name="Comma [0] TBD_Equip Adj Vs Highlander &amp; Explorer 10 105" xfId="29470"/>
    <cellStyle name="Comma [0] TBD-_Equip Adj Vs Highlander &amp; Explorer 10 105" xfId="29471"/>
    <cellStyle name="Comma [0] TBD_Equip Adj Vs Highlander &amp; Explorer 10 106" xfId="29472"/>
    <cellStyle name="Comma [0] TBD-_Equip Adj Vs Highlander &amp; Explorer 10 106" xfId="29473"/>
    <cellStyle name="Comma [0] TBD_Equip Adj Vs Highlander &amp; Explorer 10 107" xfId="29474"/>
    <cellStyle name="Comma [0] TBD-_Equip Adj Vs Highlander &amp; Explorer 10 107" xfId="29475"/>
    <cellStyle name="Comma [0] TBD_Equip Adj Vs Highlander &amp; Explorer 10 108" xfId="29476"/>
    <cellStyle name="Comma [0] TBD-_Equip Adj Vs Highlander &amp; Explorer 10 108" xfId="29477"/>
    <cellStyle name="Comma [0] TBD_Equip Adj Vs Highlander &amp; Explorer 10 109" xfId="29478"/>
    <cellStyle name="Comma [0] TBD-_Equip Adj Vs Highlander &amp; Explorer 10 109" xfId="29479"/>
    <cellStyle name="Comma [0] TBD_Equip Adj Vs Highlander &amp; Explorer 10 11" xfId="29480"/>
    <cellStyle name="Comma [0] TBD-_Equip Adj Vs Highlander &amp; Explorer 10 11" xfId="29481"/>
    <cellStyle name="Comma [0] TBD_Equip Adj Vs Highlander &amp; Explorer 10 110" xfId="29482"/>
    <cellStyle name="Comma [0] TBD-_Equip Adj Vs Highlander &amp; Explorer 10 110" xfId="29483"/>
    <cellStyle name="Comma [0] TBD_Equip Adj Vs Highlander &amp; Explorer 10 111" xfId="29484"/>
    <cellStyle name="Comma [0] TBD-_Equip Adj Vs Highlander &amp; Explorer 10 111" xfId="29485"/>
    <cellStyle name="Comma [0] TBD_Equip Adj Vs Highlander &amp; Explorer 10 112" xfId="29486"/>
    <cellStyle name="Comma [0] TBD-_Equip Adj Vs Highlander &amp; Explorer 10 112" xfId="29487"/>
    <cellStyle name="Comma [0] TBD_Equip Adj Vs Highlander &amp; Explorer 10 113" xfId="29488"/>
    <cellStyle name="Comma [0] TBD-_Equip Adj Vs Highlander &amp; Explorer 10 113" xfId="29489"/>
    <cellStyle name="Comma [0] TBD_Equip Adj Vs Highlander &amp; Explorer 10 114" xfId="29490"/>
    <cellStyle name="Comma [0] TBD-_Equip Adj Vs Highlander &amp; Explorer 10 114" xfId="29491"/>
    <cellStyle name="Comma [0] TBD_Equip Adj Vs Highlander &amp; Explorer 10 115" xfId="29492"/>
    <cellStyle name="Comma [0] TBD-_Equip Adj Vs Highlander &amp; Explorer 10 115" xfId="29493"/>
    <cellStyle name="Comma [0] TBD_Equip Adj Vs Highlander &amp; Explorer 10 116" xfId="29494"/>
    <cellStyle name="Comma [0] TBD-_Equip Adj Vs Highlander &amp; Explorer 10 116" xfId="29495"/>
    <cellStyle name="Comma [0] TBD_Equip Adj Vs Highlander &amp; Explorer 10 117" xfId="29496"/>
    <cellStyle name="Comma [0] TBD-_Equip Adj Vs Highlander &amp; Explorer 10 117" xfId="29497"/>
    <cellStyle name="Comma [0] TBD_Equip Adj Vs Highlander &amp; Explorer 10 118" xfId="29498"/>
    <cellStyle name="Comma [0] TBD-_Equip Adj Vs Highlander &amp; Explorer 10 118" xfId="29499"/>
    <cellStyle name="Comma [0] TBD_Equip Adj Vs Highlander &amp; Explorer 10 119" xfId="29500"/>
    <cellStyle name="Comma [0] TBD-_Equip Adj Vs Highlander &amp; Explorer 10 119" xfId="29501"/>
    <cellStyle name="Comma [0] TBD_Equip Adj Vs Highlander &amp; Explorer 10 12" xfId="29502"/>
    <cellStyle name="Comma [0] TBD-_Equip Adj Vs Highlander &amp; Explorer 10 12" xfId="29503"/>
    <cellStyle name="Comma [0] TBD_Equip Adj Vs Highlander &amp; Explorer 10 120" xfId="29504"/>
    <cellStyle name="Comma [0] TBD-_Equip Adj Vs Highlander &amp; Explorer 10 120" xfId="29505"/>
    <cellStyle name="Comma [0] TBD_Equip Adj Vs Highlander &amp; Explorer 10 121" xfId="29506"/>
    <cellStyle name="Comma [0] TBD-_Equip Adj Vs Highlander &amp; Explorer 10 121" xfId="29507"/>
    <cellStyle name="Comma [0] TBD_Equip Adj Vs Highlander &amp; Explorer 10 122" xfId="29508"/>
    <cellStyle name="Comma [0] TBD-_Equip Adj Vs Highlander &amp; Explorer 10 122" xfId="29509"/>
    <cellStyle name="Comma [0] TBD_Equip Adj Vs Highlander &amp; Explorer 10 123" xfId="29510"/>
    <cellStyle name="Comma [0] TBD-_Equip Adj Vs Highlander &amp; Explorer 10 123" xfId="29511"/>
    <cellStyle name="Comma [0] TBD_Equip Adj Vs Highlander &amp; Explorer 10 124" xfId="29512"/>
    <cellStyle name="Comma [0] TBD-_Equip Adj Vs Highlander &amp; Explorer 10 124" xfId="29513"/>
    <cellStyle name="Comma [0] TBD_Equip Adj Vs Highlander &amp; Explorer 10 125" xfId="29514"/>
    <cellStyle name="Comma [0] TBD-_Equip Adj Vs Highlander &amp; Explorer 10 125" xfId="29515"/>
    <cellStyle name="Comma [0] TBD_Equip Adj Vs Highlander &amp; Explorer 10 126" xfId="29516"/>
    <cellStyle name="Comma [0] TBD-_Equip Adj Vs Highlander &amp; Explorer 10 126" xfId="29517"/>
    <cellStyle name="Comma [0] TBD_Equip Adj Vs Highlander &amp; Explorer 10 127" xfId="29518"/>
    <cellStyle name="Comma [0] TBD-_Equip Adj Vs Highlander &amp; Explorer 10 127" xfId="29519"/>
    <cellStyle name="Comma [0] TBD_Equip Adj Vs Highlander &amp; Explorer 10 128" xfId="29520"/>
    <cellStyle name="Comma [0] TBD-_Equip Adj Vs Highlander &amp; Explorer 10 128" xfId="29521"/>
    <cellStyle name="Comma [0] TBD_Equip Adj Vs Highlander &amp; Explorer 10 129" xfId="29522"/>
    <cellStyle name="Comma [0] TBD-_Equip Adj Vs Highlander &amp; Explorer 10 129" xfId="29523"/>
    <cellStyle name="Comma [0] TBD_Equip Adj Vs Highlander &amp; Explorer 10 13" xfId="29524"/>
    <cellStyle name="Comma [0] TBD-_Equip Adj Vs Highlander &amp; Explorer 10 13" xfId="29525"/>
    <cellStyle name="Comma [0] TBD_Equip Adj Vs Highlander &amp; Explorer 10 130" xfId="29526"/>
    <cellStyle name="Comma [0] TBD-_Equip Adj Vs Highlander &amp; Explorer 10 130" xfId="29527"/>
    <cellStyle name="Comma [0] TBD_Equip Adj Vs Highlander &amp; Explorer 10 131" xfId="29528"/>
    <cellStyle name="Comma [0] TBD-_Equip Adj Vs Highlander &amp; Explorer 10 131" xfId="29529"/>
    <cellStyle name="Comma [0] TBD_Equip Adj Vs Highlander &amp; Explorer 10 132" xfId="29530"/>
    <cellStyle name="Comma [0] TBD-_Equip Adj Vs Highlander &amp; Explorer 10 132" xfId="29531"/>
    <cellStyle name="Comma [0] TBD_Equip Adj Vs Highlander &amp; Explorer 10 133" xfId="29532"/>
    <cellStyle name="Comma [0] TBD-_Equip Adj Vs Highlander &amp; Explorer 10 133" xfId="29533"/>
    <cellStyle name="Comma [0] TBD_Equip Adj Vs Highlander &amp; Explorer 10 134" xfId="29534"/>
    <cellStyle name="Comma [0] TBD-_Equip Adj Vs Highlander &amp; Explorer 10 134" xfId="29535"/>
    <cellStyle name="Comma [0] TBD_Equip Adj Vs Highlander &amp; Explorer 10 135" xfId="29536"/>
    <cellStyle name="Comma [0] TBD-_Equip Adj Vs Highlander &amp; Explorer 10 135" xfId="29537"/>
    <cellStyle name="Comma [0] TBD_Equip Adj Vs Highlander &amp; Explorer 10 136" xfId="29538"/>
    <cellStyle name="Comma [0] TBD-_Equip Adj Vs Highlander &amp; Explorer 10 136" xfId="29539"/>
    <cellStyle name="Comma [0] TBD_Equip Adj Vs Highlander &amp; Explorer 10 137" xfId="29540"/>
    <cellStyle name="Comma [0] TBD-_Equip Adj Vs Highlander &amp; Explorer 10 137" xfId="29541"/>
    <cellStyle name="Comma [0] TBD_Equip Adj Vs Highlander &amp; Explorer 10 138" xfId="29542"/>
    <cellStyle name="Comma [0] TBD-_Equip Adj Vs Highlander &amp; Explorer 10 138" xfId="29543"/>
    <cellStyle name="Comma [0] TBD_Equip Adj Vs Highlander &amp; Explorer 10 139" xfId="29544"/>
    <cellStyle name="Comma [0] TBD-_Equip Adj Vs Highlander &amp; Explorer 10 139" xfId="29545"/>
    <cellStyle name="Comma [0] TBD_Equip Adj Vs Highlander &amp; Explorer 10 14" xfId="29546"/>
    <cellStyle name="Comma [0] TBD-_Equip Adj Vs Highlander &amp; Explorer 10 14" xfId="29547"/>
    <cellStyle name="Comma [0] TBD_Equip Adj Vs Highlander &amp; Explorer 10 140" xfId="29548"/>
    <cellStyle name="Comma [0] TBD-_Equip Adj Vs Highlander &amp; Explorer 10 140" xfId="29549"/>
    <cellStyle name="Comma [0] TBD_Equip Adj Vs Highlander &amp; Explorer 10 141" xfId="29550"/>
    <cellStyle name="Comma [0] TBD-_Equip Adj Vs Highlander &amp; Explorer 10 141" xfId="29551"/>
    <cellStyle name="Comma [0] TBD_Equip Adj Vs Highlander &amp; Explorer 10 142" xfId="29552"/>
    <cellStyle name="Comma [0] TBD-_Equip Adj Vs Highlander &amp; Explorer 10 142" xfId="29553"/>
    <cellStyle name="Comma [0] TBD_Equip Adj Vs Highlander &amp; Explorer 10 143" xfId="29554"/>
    <cellStyle name="Comma [0] TBD-_Equip Adj Vs Highlander &amp; Explorer 10 143" xfId="29555"/>
    <cellStyle name="Comma [0] TBD_Equip Adj Vs Highlander &amp; Explorer 10 144" xfId="29556"/>
    <cellStyle name="Comma [0] TBD-_Equip Adj Vs Highlander &amp; Explorer 10 144" xfId="29557"/>
    <cellStyle name="Comma [0] TBD_Equip Adj Vs Highlander &amp; Explorer 10 145" xfId="29558"/>
    <cellStyle name="Comma [0] TBD-_Equip Adj Vs Highlander &amp; Explorer 10 145" xfId="29559"/>
    <cellStyle name="Comma [0] TBD_Equip Adj Vs Highlander &amp; Explorer 10 146" xfId="29560"/>
    <cellStyle name="Comma [0] TBD-_Equip Adj Vs Highlander &amp; Explorer 10 146" xfId="29561"/>
    <cellStyle name="Comma [0] TBD_Equip Adj Vs Highlander &amp; Explorer 10 147" xfId="29562"/>
    <cellStyle name="Comma [0] TBD-_Equip Adj Vs Highlander &amp; Explorer 10 147" xfId="29563"/>
    <cellStyle name="Comma [0] TBD_Equip Adj Vs Highlander &amp; Explorer 10 148" xfId="29564"/>
    <cellStyle name="Comma [0] TBD-_Equip Adj Vs Highlander &amp; Explorer 10 148" xfId="29565"/>
    <cellStyle name="Comma [0] TBD_Equip Adj Vs Highlander &amp; Explorer 10 149" xfId="29566"/>
    <cellStyle name="Comma [0] TBD-_Equip Adj Vs Highlander &amp; Explorer 10 149" xfId="29567"/>
    <cellStyle name="Comma [0] TBD_Equip Adj Vs Highlander &amp; Explorer 10 15" xfId="29568"/>
    <cellStyle name="Comma [0] TBD-_Equip Adj Vs Highlander &amp; Explorer 10 15" xfId="29569"/>
    <cellStyle name="Comma [0] TBD_Equip Adj Vs Highlander &amp; Explorer 10 150" xfId="29570"/>
    <cellStyle name="Comma [0] TBD-_Equip Adj Vs Highlander &amp; Explorer 10 150" xfId="29571"/>
    <cellStyle name="Comma [0] TBD_Equip Adj Vs Highlander &amp; Explorer 10 151" xfId="29572"/>
    <cellStyle name="Comma [0] TBD-_Equip Adj Vs Highlander &amp; Explorer 10 151" xfId="29573"/>
    <cellStyle name="Comma [0] TBD_Equip Adj Vs Highlander &amp; Explorer 10 152" xfId="29574"/>
    <cellStyle name="Comma [0] TBD-_Equip Adj Vs Highlander &amp; Explorer 10 152" xfId="29575"/>
    <cellStyle name="Comma [0] TBD_Equip Adj Vs Highlander &amp; Explorer 10 153" xfId="29576"/>
    <cellStyle name="Comma [0] TBD-_Equip Adj Vs Highlander &amp; Explorer 10 153" xfId="29577"/>
    <cellStyle name="Comma [0] TBD_Equip Adj Vs Highlander &amp; Explorer 10 16" xfId="29578"/>
    <cellStyle name="Comma [0] TBD-_Equip Adj Vs Highlander &amp; Explorer 10 16" xfId="29579"/>
    <cellStyle name="Comma [0] TBD_Equip Adj Vs Highlander &amp; Explorer 10 17" xfId="29580"/>
    <cellStyle name="Comma [0] TBD-_Equip Adj Vs Highlander &amp; Explorer 10 17" xfId="29581"/>
    <cellStyle name="Comma [0] TBD_Equip Adj Vs Highlander &amp; Explorer 10 18" xfId="29582"/>
    <cellStyle name="Comma [0] TBD-_Equip Adj Vs Highlander &amp; Explorer 10 18" xfId="29583"/>
    <cellStyle name="Comma [0] TBD_Equip Adj Vs Highlander &amp; Explorer 10 19" xfId="29584"/>
    <cellStyle name="Comma [0] TBD-_Equip Adj Vs Highlander &amp; Explorer 10 19" xfId="29585"/>
    <cellStyle name="Comma [0] TBD_Equip Adj Vs Highlander &amp; Explorer 10 2" xfId="29586"/>
    <cellStyle name="Comma [0] TBD-_Equip Adj Vs Highlander &amp; Explorer 10 2" xfId="29587"/>
    <cellStyle name="Comma [0] TBD_Equip Adj Vs Highlander &amp; Explorer 10 20" xfId="29588"/>
    <cellStyle name="Comma [0] TBD-_Equip Adj Vs Highlander &amp; Explorer 10 20" xfId="29589"/>
    <cellStyle name="Comma [0] TBD_Equip Adj Vs Highlander &amp; Explorer 10 21" xfId="29590"/>
    <cellStyle name="Comma [0] TBD-_Equip Adj Vs Highlander &amp; Explorer 10 21" xfId="29591"/>
    <cellStyle name="Comma [0] TBD_Equip Adj Vs Highlander &amp; Explorer 10 22" xfId="29592"/>
    <cellStyle name="Comma [0] TBD-_Equip Adj Vs Highlander &amp; Explorer 10 22" xfId="29593"/>
    <cellStyle name="Comma [0] TBD_Equip Adj Vs Highlander &amp; Explorer 10 23" xfId="29594"/>
    <cellStyle name="Comma [0] TBD-_Equip Adj Vs Highlander &amp; Explorer 10 23" xfId="29595"/>
    <cellStyle name="Comma [0] TBD_Equip Adj Vs Highlander &amp; Explorer 10 24" xfId="29596"/>
    <cellStyle name="Comma [0] TBD-_Equip Adj Vs Highlander &amp; Explorer 10 24" xfId="29597"/>
    <cellStyle name="Comma [0] TBD_Equip Adj Vs Highlander &amp; Explorer 10 25" xfId="29598"/>
    <cellStyle name="Comma [0] TBD-_Equip Adj Vs Highlander &amp; Explorer 10 25" xfId="29599"/>
    <cellStyle name="Comma [0] TBD_Equip Adj Vs Highlander &amp; Explorer 10 26" xfId="29600"/>
    <cellStyle name="Comma [0] TBD-_Equip Adj Vs Highlander &amp; Explorer 10 26" xfId="29601"/>
    <cellStyle name="Comma [0] TBD_Equip Adj Vs Highlander &amp; Explorer 10 27" xfId="29602"/>
    <cellStyle name="Comma [0] TBD-_Equip Adj Vs Highlander &amp; Explorer 10 27" xfId="29603"/>
    <cellStyle name="Comma [0] TBD_Equip Adj Vs Highlander &amp; Explorer 10 28" xfId="29604"/>
    <cellStyle name="Comma [0] TBD-_Equip Adj Vs Highlander &amp; Explorer 10 28" xfId="29605"/>
    <cellStyle name="Comma [0] TBD_Equip Adj Vs Highlander &amp; Explorer 10 29" xfId="29606"/>
    <cellStyle name="Comma [0] TBD-_Equip Adj Vs Highlander &amp; Explorer 10 29" xfId="29607"/>
    <cellStyle name="Comma [0] TBD_Equip Adj Vs Highlander &amp; Explorer 10 3" xfId="29608"/>
    <cellStyle name="Comma [0] TBD-_Equip Adj Vs Highlander &amp; Explorer 10 3" xfId="29609"/>
    <cellStyle name="Comma [0] TBD_Equip Adj Vs Highlander &amp; Explorer 10 30" xfId="29610"/>
    <cellStyle name="Comma [0] TBD-_Equip Adj Vs Highlander &amp; Explorer 10 30" xfId="29611"/>
    <cellStyle name="Comma [0] TBD_Equip Adj Vs Highlander &amp; Explorer 10 31" xfId="29612"/>
    <cellStyle name="Comma [0] TBD-_Equip Adj Vs Highlander &amp; Explorer 10 31" xfId="29613"/>
    <cellStyle name="Comma [0] TBD_Equip Adj Vs Highlander &amp; Explorer 10 32" xfId="29614"/>
    <cellStyle name="Comma [0] TBD-_Equip Adj Vs Highlander &amp; Explorer 10 32" xfId="29615"/>
    <cellStyle name="Comma [0] TBD_Equip Adj Vs Highlander &amp; Explorer 10 33" xfId="29616"/>
    <cellStyle name="Comma [0] TBD-_Equip Adj Vs Highlander &amp; Explorer 10 33" xfId="29617"/>
    <cellStyle name="Comma [0] TBD_Equip Adj Vs Highlander &amp; Explorer 10 34" xfId="29618"/>
    <cellStyle name="Comma [0] TBD-_Equip Adj Vs Highlander &amp; Explorer 10 34" xfId="29619"/>
    <cellStyle name="Comma [0] TBD_Equip Adj Vs Highlander &amp; Explorer 10 35" xfId="29620"/>
    <cellStyle name="Comma [0] TBD-_Equip Adj Vs Highlander &amp; Explorer 10 35" xfId="29621"/>
    <cellStyle name="Comma [0] TBD_Equip Adj Vs Highlander &amp; Explorer 10 36" xfId="29622"/>
    <cellStyle name="Comma [0] TBD-_Equip Adj Vs Highlander &amp; Explorer 10 36" xfId="29623"/>
    <cellStyle name="Comma [0] TBD_Equip Adj Vs Highlander &amp; Explorer 10 37" xfId="29624"/>
    <cellStyle name="Comma [0] TBD-_Equip Adj Vs Highlander &amp; Explorer 10 37" xfId="29625"/>
    <cellStyle name="Comma [0] TBD_Equip Adj Vs Highlander &amp; Explorer 10 38" xfId="29626"/>
    <cellStyle name="Comma [0] TBD-_Equip Adj Vs Highlander &amp; Explorer 10 38" xfId="29627"/>
    <cellStyle name="Comma [0] TBD_Equip Adj Vs Highlander &amp; Explorer 10 39" xfId="29628"/>
    <cellStyle name="Comma [0] TBD-_Equip Adj Vs Highlander &amp; Explorer 10 39" xfId="29629"/>
    <cellStyle name="Comma [0] TBD_Equip Adj Vs Highlander &amp; Explorer 10 4" xfId="29630"/>
    <cellStyle name="Comma [0] TBD-_Equip Adj Vs Highlander &amp; Explorer 10 4" xfId="29631"/>
    <cellStyle name="Comma [0] TBD_Equip Adj Vs Highlander &amp; Explorer 10 40" xfId="29632"/>
    <cellStyle name="Comma [0] TBD-_Equip Adj Vs Highlander &amp; Explorer 10 40" xfId="29633"/>
    <cellStyle name="Comma [0] TBD_Equip Adj Vs Highlander &amp; Explorer 10 41" xfId="29634"/>
    <cellStyle name="Comma [0] TBD-_Equip Adj Vs Highlander &amp; Explorer 10 41" xfId="29635"/>
    <cellStyle name="Comma [0] TBD_Equip Adj Vs Highlander &amp; Explorer 10 42" xfId="29636"/>
    <cellStyle name="Comma [0] TBD-_Equip Adj Vs Highlander &amp; Explorer 10 42" xfId="29637"/>
    <cellStyle name="Comma [0] TBD_Equip Adj Vs Highlander &amp; Explorer 10 43" xfId="29638"/>
    <cellStyle name="Comma [0] TBD-_Equip Adj Vs Highlander &amp; Explorer 10 43" xfId="29639"/>
    <cellStyle name="Comma [0] TBD_Equip Adj Vs Highlander &amp; Explorer 10 44" xfId="29640"/>
    <cellStyle name="Comma [0] TBD-_Equip Adj Vs Highlander &amp; Explorer 10 44" xfId="29641"/>
    <cellStyle name="Comma [0] TBD_Equip Adj Vs Highlander &amp; Explorer 10 45" xfId="29642"/>
    <cellStyle name="Comma [0] TBD-_Equip Adj Vs Highlander &amp; Explorer 10 45" xfId="29643"/>
    <cellStyle name="Comma [0] TBD_Equip Adj Vs Highlander &amp; Explorer 10 46" xfId="29644"/>
    <cellStyle name="Comma [0] TBD-_Equip Adj Vs Highlander &amp; Explorer 10 46" xfId="29645"/>
    <cellStyle name="Comma [0] TBD_Equip Adj Vs Highlander &amp; Explorer 10 47" xfId="29646"/>
    <cellStyle name="Comma [0] TBD-_Equip Adj Vs Highlander &amp; Explorer 10 47" xfId="29647"/>
    <cellStyle name="Comma [0] TBD_Equip Adj Vs Highlander &amp; Explorer 10 48" xfId="29648"/>
    <cellStyle name="Comma [0] TBD-_Equip Adj Vs Highlander &amp; Explorer 10 48" xfId="29649"/>
    <cellStyle name="Comma [0] TBD_Equip Adj Vs Highlander &amp; Explorer 10 49" xfId="29650"/>
    <cellStyle name="Comma [0] TBD-_Equip Adj Vs Highlander &amp; Explorer 10 49" xfId="29651"/>
    <cellStyle name="Comma [0] TBD_Equip Adj Vs Highlander &amp; Explorer 10 5" xfId="29652"/>
    <cellStyle name="Comma [0] TBD-_Equip Adj Vs Highlander &amp; Explorer 10 5" xfId="29653"/>
    <cellStyle name="Comma [0] TBD_Equip Adj Vs Highlander &amp; Explorer 10 50" xfId="29654"/>
    <cellStyle name="Comma [0] TBD-_Equip Adj Vs Highlander &amp; Explorer 10 50" xfId="29655"/>
    <cellStyle name="Comma [0] TBD_Equip Adj Vs Highlander &amp; Explorer 10 51" xfId="29656"/>
    <cellStyle name="Comma [0] TBD-_Equip Adj Vs Highlander &amp; Explorer 10 51" xfId="29657"/>
    <cellStyle name="Comma [0] TBD_Equip Adj Vs Highlander &amp; Explorer 10 52" xfId="29658"/>
    <cellStyle name="Comma [0] TBD-_Equip Adj Vs Highlander &amp; Explorer 10 52" xfId="29659"/>
    <cellStyle name="Comma [0] TBD_Equip Adj Vs Highlander &amp; Explorer 10 53" xfId="29660"/>
    <cellStyle name="Comma [0] TBD-_Equip Adj Vs Highlander &amp; Explorer 10 53" xfId="29661"/>
    <cellStyle name="Comma [0] TBD_Equip Adj Vs Highlander &amp; Explorer 10 54" xfId="29662"/>
    <cellStyle name="Comma [0] TBD-_Equip Adj Vs Highlander &amp; Explorer 10 54" xfId="29663"/>
    <cellStyle name="Comma [0] TBD_Equip Adj Vs Highlander &amp; Explorer 10 55" xfId="29664"/>
    <cellStyle name="Comma [0] TBD-_Equip Adj Vs Highlander &amp; Explorer 10 55" xfId="29665"/>
    <cellStyle name="Comma [0] TBD_Equip Adj Vs Highlander &amp; Explorer 10 56" xfId="29666"/>
    <cellStyle name="Comma [0] TBD-_Equip Adj Vs Highlander &amp; Explorer 10 56" xfId="29667"/>
    <cellStyle name="Comma [0] TBD_Equip Adj Vs Highlander &amp; Explorer 10 57" xfId="29668"/>
    <cellStyle name="Comma [0] TBD-_Equip Adj Vs Highlander &amp; Explorer 10 57" xfId="29669"/>
    <cellStyle name="Comma [0] TBD_Equip Adj Vs Highlander &amp; Explorer 10 58" xfId="29670"/>
    <cellStyle name="Comma [0] TBD-_Equip Adj Vs Highlander &amp; Explorer 10 58" xfId="29671"/>
    <cellStyle name="Comma [0] TBD_Equip Adj Vs Highlander &amp; Explorer 10 59" xfId="29672"/>
    <cellStyle name="Comma [0] TBD-_Equip Adj Vs Highlander &amp; Explorer 10 59" xfId="29673"/>
    <cellStyle name="Comma [0] TBD_Equip Adj Vs Highlander &amp; Explorer 10 6" xfId="29674"/>
    <cellStyle name="Comma [0] TBD-_Equip Adj Vs Highlander &amp; Explorer 10 6" xfId="29675"/>
    <cellStyle name="Comma [0] TBD_Equip Adj Vs Highlander &amp; Explorer 10 60" xfId="29676"/>
    <cellStyle name="Comma [0] TBD-_Equip Adj Vs Highlander &amp; Explorer 10 60" xfId="29677"/>
    <cellStyle name="Comma [0] TBD_Equip Adj Vs Highlander &amp; Explorer 10 61" xfId="29678"/>
    <cellStyle name="Comma [0] TBD-_Equip Adj Vs Highlander &amp; Explorer 10 61" xfId="29679"/>
    <cellStyle name="Comma [0] TBD_Equip Adj Vs Highlander &amp; Explorer 10 62" xfId="29680"/>
    <cellStyle name="Comma [0] TBD-_Equip Adj Vs Highlander &amp; Explorer 10 62" xfId="29681"/>
    <cellStyle name="Comma [0] TBD_Equip Adj Vs Highlander &amp; Explorer 10 63" xfId="29682"/>
    <cellStyle name="Comma [0] TBD-_Equip Adj Vs Highlander &amp; Explorer 10 63" xfId="29683"/>
    <cellStyle name="Comma [0] TBD_Equip Adj Vs Highlander &amp; Explorer 10 64" xfId="29684"/>
    <cellStyle name="Comma [0] TBD-_Equip Adj Vs Highlander &amp; Explorer 10 64" xfId="29685"/>
    <cellStyle name="Comma [0] TBD_Equip Adj Vs Highlander &amp; Explorer 10 65" xfId="29686"/>
    <cellStyle name="Comma [0] TBD-_Equip Adj Vs Highlander &amp; Explorer 10 65" xfId="29687"/>
    <cellStyle name="Comma [0] TBD_Equip Adj Vs Highlander &amp; Explorer 10 66" xfId="29688"/>
    <cellStyle name="Comma [0] TBD-_Equip Adj Vs Highlander &amp; Explorer 10 66" xfId="29689"/>
    <cellStyle name="Comma [0] TBD_Equip Adj Vs Highlander &amp; Explorer 10 67" xfId="29690"/>
    <cellStyle name="Comma [0] TBD-_Equip Adj Vs Highlander &amp; Explorer 10 67" xfId="29691"/>
    <cellStyle name="Comma [0] TBD_Equip Adj Vs Highlander &amp; Explorer 10 68" xfId="29692"/>
    <cellStyle name="Comma [0] TBD-_Equip Adj Vs Highlander &amp; Explorer 10 68" xfId="29693"/>
    <cellStyle name="Comma [0] TBD_Equip Adj Vs Highlander &amp; Explorer 10 69" xfId="29694"/>
    <cellStyle name="Comma [0] TBD-_Equip Adj Vs Highlander &amp; Explorer 10 69" xfId="29695"/>
    <cellStyle name="Comma [0] TBD_Equip Adj Vs Highlander &amp; Explorer 10 7" xfId="29696"/>
    <cellStyle name="Comma [0] TBD-_Equip Adj Vs Highlander &amp; Explorer 10 7" xfId="29697"/>
    <cellStyle name="Comma [0] TBD_Equip Adj Vs Highlander &amp; Explorer 10 70" xfId="29698"/>
    <cellStyle name="Comma [0] TBD-_Equip Adj Vs Highlander &amp; Explorer 10 70" xfId="29699"/>
    <cellStyle name="Comma [0] TBD_Equip Adj Vs Highlander &amp; Explorer 10 71" xfId="29700"/>
    <cellStyle name="Comma [0] TBD-_Equip Adj Vs Highlander &amp; Explorer 10 71" xfId="29701"/>
    <cellStyle name="Comma [0] TBD_Equip Adj Vs Highlander &amp; Explorer 10 72" xfId="29702"/>
    <cellStyle name="Comma [0] TBD-_Equip Adj Vs Highlander &amp; Explorer 10 72" xfId="29703"/>
    <cellStyle name="Comma [0] TBD_Equip Adj Vs Highlander &amp; Explorer 10 73" xfId="29704"/>
    <cellStyle name="Comma [0] TBD-_Equip Adj Vs Highlander &amp; Explorer 10 73" xfId="29705"/>
    <cellStyle name="Comma [0] TBD_Equip Adj Vs Highlander &amp; Explorer 10 74" xfId="29706"/>
    <cellStyle name="Comma [0] TBD-_Equip Adj Vs Highlander &amp; Explorer 10 74" xfId="29707"/>
    <cellStyle name="Comma [0] TBD_Equip Adj Vs Highlander &amp; Explorer 10 75" xfId="29708"/>
    <cellStyle name="Comma [0] TBD-_Equip Adj Vs Highlander &amp; Explorer 10 75" xfId="29709"/>
    <cellStyle name="Comma [0] TBD_Equip Adj Vs Highlander &amp; Explorer 10 76" xfId="29710"/>
    <cellStyle name="Comma [0] TBD-_Equip Adj Vs Highlander &amp; Explorer 10 76" xfId="29711"/>
    <cellStyle name="Comma [0] TBD_Equip Adj Vs Highlander &amp; Explorer 10 77" xfId="29712"/>
    <cellStyle name="Comma [0] TBD-_Equip Adj Vs Highlander &amp; Explorer 10 77" xfId="29713"/>
    <cellStyle name="Comma [0] TBD_Equip Adj Vs Highlander &amp; Explorer 10 78" xfId="29714"/>
    <cellStyle name="Comma [0] TBD-_Equip Adj Vs Highlander &amp; Explorer 10 78" xfId="29715"/>
    <cellStyle name="Comma [0] TBD_Equip Adj Vs Highlander &amp; Explorer 10 79" xfId="29716"/>
    <cellStyle name="Comma [0] TBD-_Equip Adj Vs Highlander &amp; Explorer 10 79" xfId="29717"/>
    <cellStyle name="Comma [0] TBD_Equip Adj Vs Highlander &amp; Explorer 10 8" xfId="29718"/>
    <cellStyle name="Comma [0] TBD-_Equip Adj Vs Highlander &amp; Explorer 10 8" xfId="29719"/>
    <cellStyle name="Comma [0] TBD_Equip Adj Vs Highlander &amp; Explorer 10 80" xfId="29720"/>
    <cellStyle name="Comma [0] TBD-_Equip Adj Vs Highlander &amp; Explorer 10 80" xfId="29721"/>
    <cellStyle name="Comma [0] TBD_Equip Adj Vs Highlander &amp; Explorer 10 81" xfId="29722"/>
    <cellStyle name="Comma [0] TBD-_Equip Adj Vs Highlander &amp; Explorer 10 81" xfId="29723"/>
    <cellStyle name="Comma [0] TBD_Equip Adj Vs Highlander &amp; Explorer 10 82" xfId="29724"/>
    <cellStyle name="Comma [0] TBD-_Equip Adj Vs Highlander &amp; Explorer 10 82" xfId="29725"/>
    <cellStyle name="Comma [0] TBD_Equip Adj Vs Highlander &amp; Explorer 10 83" xfId="29726"/>
    <cellStyle name="Comma [0] TBD-_Equip Adj Vs Highlander &amp; Explorer 10 83" xfId="29727"/>
    <cellStyle name="Comma [0] TBD_Equip Adj Vs Highlander &amp; Explorer 10 84" xfId="29728"/>
    <cellStyle name="Comma [0] TBD-_Equip Adj Vs Highlander &amp; Explorer 10 84" xfId="29729"/>
    <cellStyle name="Comma [0] TBD_Equip Adj Vs Highlander &amp; Explorer 10 85" xfId="29730"/>
    <cellStyle name="Comma [0] TBD-_Equip Adj Vs Highlander &amp; Explorer 10 85" xfId="29731"/>
    <cellStyle name="Comma [0] TBD_Equip Adj Vs Highlander &amp; Explorer 10 86" xfId="29732"/>
    <cellStyle name="Comma [0] TBD-_Equip Adj Vs Highlander &amp; Explorer 10 86" xfId="29733"/>
    <cellStyle name="Comma [0] TBD_Equip Adj Vs Highlander &amp; Explorer 10 87" xfId="29734"/>
    <cellStyle name="Comma [0] TBD-_Equip Adj Vs Highlander &amp; Explorer 10 87" xfId="29735"/>
    <cellStyle name="Comma [0] TBD_Equip Adj Vs Highlander &amp; Explorer 10 88" xfId="29736"/>
    <cellStyle name="Comma [0] TBD-_Equip Adj Vs Highlander &amp; Explorer 10 88" xfId="29737"/>
    <cellStyle name="Comma [0] TBD_Equip Adj Vs Highlander &amp; Explorer 10 89" xfId="29738"/>
    <cellStyle name="Comma [0] TBD-_Equip Adj Vs Highlander &amp; Explorer 10 89" xfId="29739"/>
    <cellStyle name="Comma [0] TBD_Equip Adj Vs Highlander &amp; Explorer 10 9" xfId="29740"/>
    <cellStyle name="Comma [0] TBD-_Equip Adj Vs Highlander &amp; Explorer 10 9" xfId="29741"/>
    <cellStyle name="Comma [0] TBD_Equip Adj Vs Highlander &amp; Explorer 10 90" xfId="29742"/>
    <cellStyle name="Comma [0] TBD-_Equip Adj Vs Highlander &amp; Explorer 10 90" xfId="29743"/>
    <cellStyle name="Comma [0] TBD_Equip Adj Vs Highlander &amp; Explorer 10 91" xfId="29744"/>
    <cellStyle name="Comma [0] TBD-_Equip Adj Vs Highlander &amp; Explorer 10 91" xfId="29745"/>
    <cellStyle name="Comma [0] TBD_Equip Adj Vs Highlander &amp; Explorer 10 92" xfId="29746"/>
    <cellStyle name="Comma [0] TBD-_Equip Adj Vs Highlander &amp; Explorer 10 92" xfId="29747"/>
    <cellStyle name="Comma [0] TBD_Equip Adj Vs Highlander &amp; Explorer 10 93" xfId="29748"/>
    <cellStyle name="Comma [0] TBD-_Equip Adj Vs Highlander &amp; Explorer 10 93" xfId="29749"/>
    <cellStyle name="Comma [0] TBD_Equip Adj Vs Highlander &amp; Explorer 10 94" xfId="29750"/>
    <cellStyle name="Comma [0] TBD-_Equip Adj Vs Highlander &amp; Explorer 10 94" xfId="29751"/>
    <cellStyle name="Comma [0] TBD_Equip Adj Vs Highlander &amp; Explorer 10 95" xfId="29752"/>
    <cellStyle name="Comma [0] TBD-_Equip Adj Vs Highlander &amp; Explorer 10 95" xfId="29753"/>
    <cellStyle name="Comma [0] TBD_Equip Adj Vs Highlander &amp; Explorer 10 96" xfId="29754"/>
    <cellStyle name="Comma [0] TBD-_Equip Adj Vs Highlander &amp; Explorer 10 96" xfId="29755"/>
    <cellStyle name="Comma [0] TBD_Equip Adj Vs Highlander &amp; Explorer 10 97" xfId="29756"/>
    <cellStyle name="Comma [0] TBD-_Equip Adj Vs Highlander &amp; Explorer 10 97" xfId="29757"/>
    <cellStyle name="Comma [0] TBD_Equip Adj Vs Highlander &amp; Explorer 10 98" xfId="29758"/>
    <cellStyle name="Comma [0] TBD-_Equip Adj Vs Highlander &amp; Explorer 10 98" xfId="29759"/>
    <cellStyle name="Comma [0] TBD_Equip Adj Vs Highlander &amp; Explorer 10 99" xfId="29760"/>
    <cellStyle name="Comma [0] TBD-_Equip Adj Vs Highlander &amp; Explorer 10 99" xfId="29761"/>
    <cellStyle name="Comma [0] TBD_Equip Adj Vs Highlander &amp; Explorer 11" xfId="29762"/>
    <cellStyle name="Comma [0] TBD-_Equip Adj Vs Highlander &amp; Explorer 11" xfId="29763"/>
    <cellStyle name="Comma [0] TBD_Equip Adj Vs Highlander &amp; Explorer 11 10" xfId="29764"/>
    <cellStyle name="Comma [0] TBD-_Equip Adj Vs Highlander &amp; Explorer 11 10" xfId="29765"/>
    <cellStyle name="Comma [0] TBD_Equip Adj Vs Highlander &amp; Explorer 11 100" xfId="29766"/>
    <cellStyle name="Comma [0] TBD-_Equip Adj Vs Highlander &amp; Explorer 11 100" xfId="29767"/>
    <cellStyle name="Comma [0] TBD_Equip Adj Vs Highlander &amp; Explorer 11 101" xfId="29768"/>
    <cellStyle name="Comma [0] TBD-_Equip Adj Vs Highlander &amp; Explorer 11 101" xfId="29769"/>
    <cellStyle name="Comma [0] TBD_Equip Adj Vs Highlander &amp; Explorer 11 102" xfId="29770"/>
    <cellStyle name="Comma [0] TBD-_Equip Adj Vs Highlander &amp; Explorer 11 102" xfId="29771"/>
    <cellStyle name="Comma [0] TBD_Equip Adj Vs Highlander &amp; Explorer 11 103" xfId="29772"/>
    <cellStyle name="Comma [0] TBD-_Equip Adj Vs Highlander &amp; Explorer 11 103" xfId="29773"/>
    <cellStyle name="Comma [0] TBD_Equip Adj Vs Highlander &amp; Explorer 11 104" xfId="29774"/>
    <cellStyle name="Comma [0] TBD-_Equip Adj Vs Highlander &amp; Explorer 11 104" xfId="29775"/>
    <cellStyle name="Comma [0] TBD_Equip Adj Vs Highlander &amp; Explorer 11 105" xfId="29776"/>
    <cellStyle name="Comma [0] TBD-_Equip Adj Vs Highlander &amp; Explorer 11 105" xfId="29777"/>
    <cellStyle name="Comma [0] TBD_Equip Adj Vs Highlander &amp; Explorer 11 106" xfId="29778"/>
    <cellStyle name="Comma [0] TBD-_Equip Adj Vs Highlander &amp; Explorer 11 106" xfId="29779"/>
    <cellStyle name="Comma [0] TBD_Equip Adj Vs Highlander &amp; Explorer 11 107" xfId="29780"/>
    <cellStyle name="Comma [0] TBD-_Equip Adj Vs Highlander &amp; Explorer 11 107" xfId="29781"/>
    <cellStyle name="Comma [0] TBD_Equip Adj Vs Highlander &amp; Explorer 11 108" xfId="29782"/>
    <cellStyle name="Comma [0] TBD-_Equip Adj Vs Highlander &amp; Explorer 11 108" xfId="29783"/>
    <cellStyle name="Comma [0] TBD_Equip Adj Vs Highlander &amp; Explorer 11 109" xfId="29784"/>
    <cellStyle name="Comma [0] TBD-_Equip Adj Vs Highlander &amp; Explorer 11 109" xfId="29785"/>
    <cellStyle name="Comma [0] TBD_Equip Adj Vs Highlander &amp; Explorer 11 11" xfId="29786"/>
    <cellStyle name="Comma [0] TBD-_Equip Adj Vs Highlander &amp; Explorer 11 11" xfId="29787"/>
    <cellStyle name="Comma [0] TBD_Equip Adj Vs Highlander &amp; Explorer 11 110" xfId="29788"/>
    <cellStyle name="Comma [0] TBD-_Equip Adj Vs Highlander &amp; Explorer 11 110" xfId="29789"/>
    <cellStyle name="Comma [0] TBD_Equip Adj Vs Highlander &amp; Explorer 11 111" xfId="29790"/>
    <cellStyle name="Comma [0] TBD-_Equip Adj Vs Highlander &amp; Explorer 11 111" xfId="29791"/>
    <cellStyle name="Comma [0] TBD_Equip Adj Vs Highlander &amp; Explorer 11 112" xfId="29792"/>
    <cellStyle name="Comma [0] TBD-_Equip Adj Vs Highlander &amp; Explorer 11 112" xfId="29793"/>
    <cellStyle name="Comma [0] TBD_Equip Adj Vs Highlander &amp; Explorer 11 113" xfId="29794"/>
    <cellStyle name="Comma [0] TBD-_Equip Adj Vs Highlander &amp; Explorer 11 113" xfId="29795"/>
    <cellStyle name="Comma [0] TBD_Equip Adj Vs Highlander &amp; Explorer 11 114" xfId="29796"/>
    <cellStyle name="Comma [0] TBD-_Equip Adj Vs Highlander &amp; Explorer 11 114" xfId="29797"/>
    <cellStyle name="Comma [0] TBD_Equip Adj Vs Highlander &amp; Explorer 11 115" xfId="29798"/>
    <cellStyle name="Comma [0] TBD-_Equip Adj Vs Highlander &amp; Explorer 11 115" xfId="29799"/>
    <cellStyle name="Comma [0] TBD_Equip Adj Vs Highlander &amp; Explorer 11 116" xfId="29800"/>
    <cellStyle name="Comma [0] TBD-_Equip Adj Vs Highlander &amp; Explorer 11 116" xfId="29801"/>
    <cellStyle name="Comma [0] TBD_Equip Adj Vs Highlander &amp; Explorer 11 117" xfId="29802"/>
    <cellStyle name="Comma [0] TBD-_Equip Adj Vs Highlander &amp; Explorer 11 117" xfId="29803"/>
    <cellStyle name="Comma [0] TBD_Equip Adj Vs Highlander &amp; Explorer 11 118" xfId="29804"/>
    <cellStyle name="Comma [0] TBD-_Equip Adj Vs Highlander &amp; Explorer 11 118" xfId="29805"/>
    <cellStyle name="Comma [0] TBD_Equip Adj Vs Highlander &amp; Explorer 11 119" xfId="29806"/>
    <cellStyle name="Comma [0] TBD-_Equip Adj Vs Highlander &amp; Explorer 11 119" xfId="29807"/>
    <cellStyle name="Comma [0] TBD_Equip Adj Vs Highlander &amp; Explorer 11 12" xfId="29808"/>
    <cellStyle name="Comma [0] TBD-_Equip Adj Vs Highlander &amp; Explorer 11 12" xfId="29809"/>
    <cellStyle name="Comma [0] TBD_Equip Adj Vs Highlander &amp; Explorer 11 120" xfId="29810"/>
    <cellStyle name="Comma [0] TBD-_Equip Adj Vs Highlander &amp; Explorer 11 120" xfId="29811"/>
    <cellStyle name="Comma [0] TBD_Equip Adj Vs Highlander &amp; Explorer 11 121" xfId="29812"/>
    <cellStyle name="Comma [0] TBD-_Equip Adj Vs Highlander &amp; Explorer 11 121" xfId="29813"/>
    <cellStyle name="Comma [0] TBD_Equip Adj Vs Highlander &amp; Explorer 11 122" xfId="29814"/>
    <cellStyle name="Comma [0] TBD-_Equip Adj Vs Highlander &amp; Explorer 11 122" xfId="29815"/>
    <cellStyle name="Comma [0] TBD_Equip Adj Vs Highlander &amp; Explorer 11 123" xfId="29816"/>
    <cellStyle name="Comma [0] TBD-_Equip Adj Vs Highlander &amp; Explorer 11 123" xfId="29817"/>
    <cellStyle name="Comma [0] TBD_Equip Adj Vs Highlander &amp; Explorer 11 124" xfId="29818"/>
    <cellStyle name="Comma [0] TBD-_Equip Adj Vs Highlander &amp; Explorer 11 124" xfId="29819"/>
    <cellStyle name="Comma [0] TBD_Equip Adj Vs Highlander &amp; Explorer 11 125" xfId="29820"/>
    <cellStyle name="Comma [0] TBD-_Equip Adj Vs Highlander &amp; Explorer 11 125" xfId="29821"/>
    <cellStyle name="Comma [0] TBD_Equip Adj Vs Highlander &amp; Explorer 11 126" xfId="29822"/>
    <cellStyle name="Comma [0] TBD-_Equip Adj Vs Highlander &amp; Explorer 11 126" xfId="29823"/>
    <cellStyle name="Comma [0] TBD_Equip Adj Vs Highlander &amp; Explorer 11 127" xfId="29824"/>
    <cellStyle name="Comma [0] TBD-_Equip Adj Vs Highlander &amp; Explorer 11 127" xfId="29825"/>
    <cellStyle name="Comma [0] TBD_Equip Adj Vs Highlander &amp; Explorer 11 128" xfId="29826"/>
    <cellStyle name="Comma [0] TBD-_Equip Adj Vs Highlander &amp; Explorer 11 128" xfId="29827"/>
    <cellStyle name="Comma [0] TBD_Equip Adj Vs Highlander &amp; Explorer 11 129" xfId="29828"/>
    <cellStyle name="Comma [0] TBD-_Equip Adj Vs Highlander &amp; Explorer 11 129" xfId="29829"/>
    <cellStyle name="Comma [0] TBD_Equip Adj Vs Highlander &amp; Explorer 11 13" xfId="29830"/>
    <cellStyle name="Comma [0] TBD-_Equip Adj Vs Highlander &amp; Explorer 11 13" xfId="29831"/>
    <cellStyle name="Comma [0] TBD_Equip Adj Vs Highlander &amp; Explorer 11 130" xfId="29832"/>
    <cellStyle name="Comma [0] TBD-_Equip Adj Vs Highlander &amp; Explorer 11 130" xfId="29833"/>
    <cellStyle name="Comma [0] TBD_Equip Adj Vs Highlander &amp; Explorer 11 131" xfId="29834"/>
    <cellStyle name="Comma [0] TBD-_Equip Adj Vs Highlander &amp; Explorer 11 131" xfId="29835"/>
    <cellStyle name="Comma [0] TBD_Equip Adj Vs Highlander &amp; Explorer 11 132" xfId="29836"/>
    <cellStyle name="Comma [0] TBD-_Equip Adj Vs Highlander &amp; Explorer 11 132" xfId="29837"/>
    <cellStyle name="Comma [0] TBD_Equip Adj Vs Highlander &amp; Explorer 11 133" xfId="29838"/>
    <cellStyle name="Comma [0] TBD-_Equip Adj Vs Highlander &amp; Explorer 11 133" xfId="29839"/>
    <cellStyle name="Comma [0] TBD_Equip Adj Vs Highlander &amp; Explorer 11 134" xfId="29840"/>
    <cellStyle name="Comma [0] TBD-_Equip Adj Vs Highlander &amp; Explorer 11 134" xfId="29841"/>
    <cellStyle name="Comma [0] TBD_Equip Adj Vs Highlander &amp; Explorer 11 135" xfId="29842"/>
    <cellStyle name="Comma [0] TBD-_Equip Adj Vs Highlander &amp; Explorer 11 135" xfId="29843"/>
    <cellStyle name="Comma [0] TBD_Equip Adj Vs Highlander &amp; Explorer 11 136" xfId="29844"/>
    <cellStyle name="Comma [0] TBD-_Equip Adj Vs Highlander &amp; Explorer 11 136" xfId="29845"/>
    <cellStyle name="Comma [0] TBD_Equip Adj Vs Highlander &amp; Explorer 11 137" xfId="29846"/>
    <cellStyle name="Comma [0] TBD-_Equip Adj Vs Highlander &amp; Explorer 11 137" xfId="29847"/>
    <cellStyle name="Comma [0] TBD_Equip Adj Vs Highlander &amp; Explorer 11 138" xfId="29848"/>
    <cellStyle name="Comma [0] TBD-_Equip Adj Vs Highlander &amp; Explorer 11 138" xfId="29849"/>
    <cellStyle name="Comma [0] TBD_Equip Adj Vs Highlander &amp; Explorer 11 139" xfId="29850"/>
    <cellStyle name="Comma [0] TBD-_Equip Adj Vs Highlander &amp; Explorer 11 139" xfId="29851"/>
    <cellStyle name="Comma [0] TBD_Equip Adj Vs Highlander &amp; Explorer 11 14" xfId="29852"/>
    <cellStyle name="Comma [0] TBD-_Equip Adj Vs Highlander &amp; Explorer 11 14" xfId="29853"/>
    <cellStyle name="Comma [0] TBD_Equip Adj Vs Highlander &amp; Explorer 11 140" xfId="29854"/>
    <cellStyle name="Comma [0] TBD-_Equip Adj Vs Highlander &amp; Explorer 11 140" xfId="29855"/>
    <cellStyle name="Comma [0] TBD_Equip Adj Vs Highlander &amp; Explorer 11 141" xfId="29856"/>
    <cellStyle name="Comma [0] TBD-_Equip Adj Vs Highlander &amp; Explorer 11 141" xfId="29857"/>
    <cellStyle name="Comma [0] TBD_Equip Adj Vs Highlander &amp; Explorer 11 142" xfId="29858"/>
    <cellStyle name="Comma [0] TBD-_Equip Adj Vs Highlander &amp; Explorer 11 142" xfId="29859"/>
    <cellStyle name="Comma [0] TBD_Equip Adj Vs Highlander &amp; Explorer 11 143" xfId="29860"/>
    <cellStyle name="Comma [0] TBD-_Equip Adj Vs Highlander &amp; Explorer 11 143" xfId="29861"/>
    <cellStyle name="Comma [0] TBD_Equip Adj Vs Highlander &amp; Explorer 11 144" xfId="29862"/>
    <cellStyle name="Comma [0] TBD-_Equip Adj Vs Highlander &amp; Explorer 11 144" xfId="29863"/>
    <cellStyle name="Comma [0] TBD_Equip Adj Vs Highlander &amp; Explorer 11 145" xfId="29864"/>
    <cellStyle name="Comma [0] TBD-_Equip Adj Vs Highlander &amp; Explorer 11 145" xfId="29865"/>
    <cellStyle name="Comma [0] TBD_Equip Adj Vs Highlander &amp; Explorer 11 146" xfId="29866"/>
    <cellStyle name="Comma [0] TBD-_Equip Adj Vs Highlander &amp; Explorer 11 146" xfId="29867"/>
    <cellStyle name="Comma [0] TBD_Equip Adj Vs Highlander &amp; Explorer 11 147" xfId="29868"/>
    <cellStyle name="Comma [0] TBD-_Equip Adj Vs Highlander &amp; Explorer 11 147" xfId="29869"/>
    <cellStyle name="Comma [0] TBD_Equip Adj Vs Highlander &amp; Explorer 11 148" xfId="29870"/>
    <cellStyle name="Comma [0] TBD-_Equip Adj Vs Highlander &amp; Explorer 11 148" xfId="29871"/>
    <cellStyle name="Comma [0] TBD_Equip Adj Vs Highlander &amp; Explorer 11 149" xfId="29872"/>
    <cellStyle name="Comma [0] TBD-_Equip Adj Vs Highlander &amp; Explorer 11 149" xfId="29873"/>
    <cellStyle name="Comma [0] TBD_Equip Adj Vs Highlander &amp; Explorer 11 15" xfId="29874"/>
    <cellStyle name="Comma [0] TBD-_Equip Adj Vs Highlander &amp; Explorer 11 15" xfId="29875"/>
    <cellStyle name="Comma [0] TBD_Equip Adj Vs Highlander &amp; Explorer 11 150" xfId="29876"/>
    <cellStyle name="Comma [0] TBD-_Equip Adj Vs Highlander &amp; Explorer 11 150" xfId="29877"/>
    <cellStyle name="Comma [0] TBD_Equip Adj Vs Highlander &amp; Explorer 11 151" xfId="29878"/>
    <cellStyle name="Comma [0] TBD-_Equip Adj Vs Highlander &amp; Explorer 11 151" xfId="29879"/>
    <cellStyle name="Comma [0] TBD_Equip Adj Vs Highlander &amp; Explorer 11 152" xfId="29880"/>
    <cellStyle name="Comma [0] TBD-_Equip Adj Vs Highlander &amp; Explorer 11 152" xfId="29881"/>
    <cellStyle name="Comma [0] TBD_Equip Adj Vs Highlander &amp; Explorer 11 153" xfId="29882"/>
    <cellStyle name="Comma [0] TBD-_Equip Adj Vs Highlander &amp; Explorer 11 153" xfId="29883"/>
    <cellStyle name="Comma [0] TBD_Equip Adj Vs Highlander &amp; Explorer 11 16" xfId="29884"/>
    <cellStyle name="Comma [0] TBD-_Equip Adj Vs Highlander &amp; Explorer 11 16" xfId="29885"/>
    <cellStyle name="Comma [0] TBD_Equip Adj Vs Highlander &amp; Explorer 11 17" xfId="29886"/>
    <cellStyle name="Comma [0] TBD-_Equip Adj Vs Highlander &amp; Explorer 11 17" xfId="29887"/>
    <cellStyle name="Comma [0] TBD_Equip Adj Vs Highlander &amp; Explorer 11 18" xfId="29888"/>
    <cellStyle name="Comma [0] TBD-_Equip Adj Vs Highlander &amp; Explorer 11 18" xfId="29889"/>
    <cellStyle name="Comma [0] TBD_Equip Adj Vs Highlander &amp; Explorer 11 19" xfId="29890"/>
    <cellStyle name="Comma [0] TBD-_Equip Adj Vs Highlander &amp; Explorer 11 19" xfId="29891"/>
    <cellStyle name="Comma [0] TBD_Equip Adj Vs Highlander &amp; Explorer 11 2" xfId="29892"/>
    <cellStyle name="Comma [0] TBD-_Equip Adj Vs Highlander &amp; Explorer 11 2" xfId="29893"/>
    <cellStyle name="Comma [0] TBD_Equip Adj Vs Highlander &amp; Explorer 11 20" xfId="29894"/>
    <cellStyle name="Comma [0] TBD-_Equip Adj Vs Highlander &amp; Explorer 11 20" xfId="29895"/>
    <cellStyle name="Comma [0] TBD_Equip Adj Vs Highlander &amp; Explorer 11 21" xfId="29896"/>
    <cellStyle name="Comma [0] TBD-_Equip Adj Vs Highlander &amp; Explorer 11 21" xfId="29897"/>
    <cellStyle name="Comma [0] TBD_Equip Adj Vs Highlander &amp; Explorer 11 22" xfId="29898"/>
    <cellStyle name="Comma [0] TBD-_Equip Adj Vs Highlander &amp; Explorer 11 22" xfId="29899"/>
    <cellStyle name="Comma [0] TBD_Equip Adj Vs Highlander &amp; Explorer 11 23" xfId="29900"/>
    <cellStyle name="Comma [0] TBD-_Equip Adj Vs Highlander &amp; Explorer 11 23" xfId="29901"/>
    <cellStyle name="Comma [0] TBD_Equip Adj Vs Highlander &amp; Explorer 11 24" xfId="29902"/>
    <cellStyle name="Comma [0] TBD-_Equip Adj Vs Highlander &amp; Explorer 11 24" xfId="29903"/>
    <cellStyle name="Comma [0] TBD_Equip Adj Vs Highlander &amp; Explorer 11 25" xfId="29904"/>
    <cellStyle name="Comma [0] TBD-_Equip Adj Vs Highlander &amp; Explorer 11 25" xfId="29905"/>
    <cellStyle name="Comma [0] TBD_Equip Adj Vs Highlander &amp; Explorer 11 26" xfId="29906"/>
    <cellStyle name="Comma [0] TBD-_Equip Adj Vs Highlander &amp; Explorer 11 26" xfId="29907"/>
    <cellStyle name="Comma [0] TBD_Equip Adj Vs Highlander &amp; Explorer 11 27" xfId="29908"/>
    <cellStyle name="Comma [0] TBD-_Equip Adj Vs Highlander &amp; Explorer 11 27" xfId="29909"/>
    <cellStyle name="Comma [0] TBD_Equip Adj Vs Highlander &amp; Explorer 11 28" xfId="29910"/>
    <cellStyle name="Comma [0] TBD-_Equip Adj Vs Highlander &amp; Explorer 11 28" xfId="29911"/>
    <cellStyle name="Comma [0] TBD_Equip Adj Vs Highlander &amp; Explorer 11 29" xfId="29912"/>
    <cellStyle name="Comma [0] TBD-_Equip Adj Vs Highlander &amp; Explorer 11 29" xfId="29913"/>
    <cellStyle name="Comma [0] TBD_Equip Adj Vs Highlander &amp; Explorer 11 3" xfId="29914"/>
    <cellStyle name="Comma [0] TBD-_Equip Adj Vs Highlander &amp; Explorer 11 3" xfId="29915"/>
    <cellStyle name="Comma [0] TBD_Equip Adj Vs Highlander &amp; Explorer 11 30" xfId="29916"/>
    <cellStyle name="Comma [0] TBD-_Equip Adj Vs Highlander &amp; Explorer 11 30" xfId="29917"/>
    <cellStyle name="Comma [0] TBD_Equip Adj Vs Highlander &amp; Explorer 11 31" xfId="29918"/>
    <cellStyle name="Comma [0] TBD-_Equip Adj Vs Highlander &amp; Explorer 11 31" xfId="29919"/>
    <cellStyle name="Comma [0] TBD_Equip Adj Vs Highlander &amp; Explorer 11 32" xfId="29920"/>
    <cellStyle name="Comma [0] TBD-_Equip Adj Vs Highlander &amp; Explorer 11 32" xfId="29921"/>
    <cellStyle name="Comma [0] TBD_Equip Adj Vs Highlander &amp; Explorer 11 33" xfId="29922"/>
    <cellStyle name="Comma [0] TBD-_Equip Adj Vs Highlander &amp; Explorer 11 33" xfId="29923"/>
    <cellStyle name="Comma [0] TBD_Equip Adj Vs Highlander &amp; Explorer 11 34" xfId="29924"/>
    <cellStyle name="Comma [0] TBD-_Equip Adj Vs Highlander &amp; Explorer 11 34" xfId="29925"/>
    <cellStyle name="Comma [0] TBD_Equip Adj Vs Highlander &amp; Explorer 11 35" xfId="29926"/>
    <cellStyle name="Comma [0] TBD-_Equip Adj Vs Highlander &amp; Explorer 11 35" xfId="29927"/>
    <cellStyle name="Comma [0] TBD_Equip Adj Vs Highlander &amp; Explorer 11 36" xfId="29928"/>
    <cellStyle name="Comma [0] TBD-_Equip Adj Vs Highlander &amp; Explorer 11 36" xfId="29929"/>
    <cellStyle name="Comma [0] TBD_Equip Adj Vs Highlander &amp; Explorer 11 37" xfId="29930"/>
    <cellStyle name="Comma [0] TBD-_Equip Adj Vs Highlander &amp; Explorer 11 37" xfId="29931"/>
    <cellStyle name="Comma [0] TBD_Equip Adj Vs Highlander &amp; Explorer 11 38" xfId="29932"/>
    <cellStyle name="Comma [0] TBD-_Equip Adj Vs Highlander &amp; Explorer 11 38" xfId="29933"/>
    <cellStyle name="Comma [0] TBD_Equip Adj Vs Highlander &amp; Explorer 11 39" xfId="29934"/>
    <cellStyle name="Comma [0] TBD-_Equip Adj Vs Highlander &amp; Explorer 11 39" xfId="29935"/>
    <cellStyle name="Comma [0] TBD_Equip Adj Vs Highlander &amp; Explorer 11 4" xfId="29936"/>
    <cellStyle name="Comma [0] TBD-_Equip Adj Vs Highlander &amp; Explorer 11 4" xfId="29937"/>
    <cellStyle name="Comma [0] TBD_Equip Adj Vs Highlander &amp; Explorer 11 40" xfId="29938"/>
    <cellStyle name="Comma [0] TBD-_Equip Adj Vs Highlander &amp; Explorer 11 40" xfId="29939"/>
    <cellStyle name="Comma [0] TBD_Equip Adj Vs Highlander &amp; Explorer 11 41" xfId="29940"/>
    <cellStyle name="Comma [0] TBD-_Equip Adj Vs Highlander &amp; Explorer 11 41" xfId="29941"/>
    <cellStyle name="Comma [0] TBD_Equip Adj Vs Highlander &amp; Explorer 11 42" xfId="29942"/>
    <cellStyle name="Comma [0] TBD-_Equip Adj Vs Highlander &amp; Explorer 11 42" xfId="29943"/>
    <cellStyle name="Comma [0] TBD_Equip Adj Vs Highlander &amp; Explorer 11 43" xfId="29944"/>
    <cellStyle name="Comma [0] TBD-_Equip Adj Vs Highlander &amp; Explorer 11 43" xfId="29945"/>
    <cellStyle name="Comma [0] TBD_Equip Adj Vs Highlander &amp; Explorer 11 44" xfId="29946"/>
    <cellStyle name="Comma [0] TBD-_Equip Adj Vs Highlander &amp; Explorer 11 44" xfId="29947"/>
    <cellStyle name="Comma [0] TBD_Equip Adj Vs Highlander &amp; Explorer 11 45" xfId="29948"/>
    <cellStyle name="Comma [0] TBD-_Equip Adj Vs Highlander &amp; Explorer 11 45" xfId="29949"/>
    <cellStyle name="Comma [0] TBD_Equip Adj Vs Highlander &amp; Explorer 11 46" xfId="29950"/>
    <cellStyle name="Comma [0] TBD-_Equip Adj Vs Highlander &amp; Explorer 11 46" xfId="29951"/>
    <cellStyle name="Comma [0] TBD_Equip Adj Vs Highlander &amp; Explorer 11 47" xfId="29952"/>
    <cellStyle name="Comma [0] TBD-_Equip Adj Vs Highlander &amp; Explorer 11 47" xfId="29953"/>
    <cellStyle name="Comma [0] TBD_Equip Adj Vs Highlander &amp; Explorer 11 48" xfId="29954"/>
    <cellStyle name="Comma [0] TBD-_Equip Adj Vs Highlander &amp; Explorer 11 48" xfId="29955"/>
    <cellStyle name="Comma [0] TBD_Equip Adj Vs Highlander &amp; Explorer 11 49" xfId="29956"/>
    <cellStyle name="Comma [0] TBD-_Equip Adj Vs Highlander &amp; Explorer 11 49" xfId="29957"/>
    <cellStyle name="Comma [0] TBD_Equip Adj Vs Highlander &amp; Explorer 11 5" xfId="29958"/>
    <cellStyle name="Comma [0] TBD-_Equip Adj Vs Highlander &amp; Explorer 11 5" xfId="29959"/>
    <cellStyle name="Comma [0] TBD_Equip Adj Vs Highlander &amp; Explorer 11 50" xfId="29960"/>
    <cellStyle name="Comma [0] TBD-_Equip Adj Vs Highlander &amp; Explorer 11 50" xfId="29961"/>
    <cellStyle name="Comma [0] TBD_Equip Adj Vs Highlander &amp; Explorer 11 51" xfId="29962"/>
    <cellStyle name="Comma [0] TBD-_Equip Adj Vs Highlander &amp; Explorer 11 51" xfId="29963"/>
    <cellStyle name="Comma [0] TBD_Equip Adj Vs Highlander &amp; Explorer 11 52" xfId="29964"/>
    <cellStyle name="Comma [0] TBD-_Equip Adj Vs Highlander &amp; Explorer 11 52" xfId="29965"/>
    <cellStyle name="Comma [0] TBD_Equip Adj Vs Highlander &amp; Explorer 11 53" xfId="29966"/>
    <cellStyle name="Comma [0] TBD-_Equip Adj Vs Highlander &amp; Explorer 11 53" xfId="29967"/>
    <cellStyle name="Comma [0] TBD_Equip Adj Vs Highlander &amp; Explorer 11 54" xfId="29968"/>
    <cellStyle name="Comma [0] TBD-_Equip Adj Vs Highlander &amp; Explorer 11 54" xfId="29969"/>
    <cellStyle name="Comma [0] TBD_Equip Adj Vs Highlander &amp; Explorer 11 55" xfId="29970"/>
    <cellStyle name="Comma [0] TBD-_Equip Adj Vs Highlander &amp; Explorer 11 55" xfId="29971"/>
    <cellStyle name="Comma [0] TBD_Equip Adj Vs Highlander &amp; Explorer 11 56" xfId="29972"/>
    <cellStyle name="Comma [0] TBD-_Equip Adj Vs Highlander &amp; Explorer 11 56" xfId="29973"/>
    <cellStyle name="Comma [0] TBD_Equip Adj Vs Highlander &amp; Explorer 11 57" xfId="29974"/>
    <cellStyle name="Comma [0] TBD-_Equip Adj Vs Highlander &amp; Explorer 11 57" xfId="29975"/>
    <cellStyle name="Comma [0] TBD_Equip Adj Vs Highlander &amp; Explorer 11 58" xfId="29976"/>
    <cellStyle name="Comma [0] TBD-_Equip Adj Vs Highlander &amp; Explorer 11 58" xfId="29977"/>
    <cellStyle name="Comma [0] TBD_Equip Adj Vs Highlander &amp; Explorer 11 59" xfId="29978"/>
    <cellStyle name="Comma [0] TBD-_Equip Adj Vs Highlander &amp; Explorer 11 59" xfId="29979"/>
    <cellStyle name="Comma [0] TBD_Equip Adj Vs Highlander &amp; Explorer 11 6" xfId="29980"/>
    <cellStyle name="Comma [0] TBD-_Equip Adj Vs Highlander &amp; Explorer 11 6" xfId="29981"/>
    <cellStyle name="Comma [0] TBD_Equip Adj Vs Highlander &amp; Explorer 11 60" xfId="29982"/>
    <cellStyle name="Comma [0] TBD-_Equip Adj Vs Highlander &amp; Explorer 11 60" xfId="29983"/>
    <cellStyle name="Comma [0] TBD_Equip Adj Vs Highlander &amp; Explorer 11 61" xfId="29984"/>
    <cellStyle name="Comma [0] TBD-_Equip Adj Vs Highlander &amp; Explorer 11 61" xfId="29985"/>
    <cellStyle name="Comma [0] TBD_Equip Adj Vs Highlander &amp; Explorer 11 62" xfId="29986"/>
    <cellStyle name="Comma [0] TBD-_Equip Adj Vs Highlander &amp; Explorer 11 62" xfId="29987"/>
    <cellStyle name="Comma [0] TBD_Equip Adj Vs Highlander &amp; Explorer 11 63" xfId="29988"/>
    <cellStyle name="Comma [0] TBD-_Equip Adj Vs Highlander &amp; Explorer 11 63" xfId="29989"/>
    <cellStyle name="Comma [0] TBD_Equip Adj Vs Highlander &amp; Explorer 11 64" xfId="29990"/>
    <cellStyle name="Comma [0] TBD-_Equip Adj Vs Highlander &amp; Explorer 11 64" xfId="29991"/>
    <cellStyle name="Comma [0] TBD_Equip Adj Vs Highlander &amp; Explorer 11 65" xfId="29992"/>
    <cellStyle name="Comma [0] TBD-_Equip Adj Vs Highlander &amp; Explorer 11 65" xfId="29993"/>
    <cellStyle name="Comma [0] TBD_Equip Adj Vs Highlander &amp; Explorer 11 66" xfId="29994"/>
    <cellStyle name="Comma [0] TBD-_Equip Adj Vs Highlander &amp; Explorer 11 66" xfId="29995"/>
    <cellStyle name="Comma [0] TBD_Equip Adj Vs Highlander &amp; Explorer 11 67" xfId="29996"/>
    <cellStyle name="Comma [0] TBD-_Equip Adj Vs Highlander &amp; Explorer 11 67" xfId="29997"/>
    <cellStyle name="Comma [0] TBD_Equip Adj Vs Highlander &amp; Explorer 11 68" xfId="29998"/>
    <cellStyle name="Comma [0] TBD-_Equip Adj Vs Highlander &amp; Explorer 11 68" xfId="29999"/>
    <cellStyle name="Comma [0] TBD_Equip Adj Vs Highlander &amp; Explorer 11 69" xfId="30000"/>
    <cellStyle name="Comma [0] TBD-_Equip Adj Vs Highlander &amp; Explorer 11 69" xfId="30001"/>
    <cellStyle name="Comma [0] TBD_Equip Adj Vs Highlander &amp; Explorer 11 7" xfId="30002"/>
    <cellStyle name="Comma [0] TBD-_Equip Adj Vs Highlander &amp; Explorer 11 7" xfId="30003"/>
    <cellStyle name="Comma [0] TBD_Equip Adj Vs Highlander &amp; Explorer 11 70" xfId="30004"/>
    <cellStyle name="Comma [0] TBD-_Equip Adj Vs Highlander &amp; Explorer 11 70" xfId="30005"/>
    <cellStyle name="Comma [0] TBD_Equip Adj Vs Highlander &amp; Explorer 11 71" xfId="30006"/>
    <cellStyle name="Comma [0] TBD-_Equip Adj Vs Highlander &amp; Explorer 11 71" xfId="30007"/>
    <cellStyle name="Comma [0] TBD_Equip Adj Vs Highlander &amp; Explorer 11 72" xfId="30008"/>
    <cellStyle name="Comma [0] TBD-_Equip Adj Vs Highlander &amp; Explorer 11 72" xfId="30009"/>
    <cellStyle name="Comma [0] TBD_Equip Adj Vs Highlander &amp; Explorer 11 73" xfId="30010"/>
    <cellStyle name="Comma [0] TBD-_Equip Adj Vs Highlander &amp; Explorer 11 73" xfId="30011"/>
    <cellStyle name="Comma [0] TBD_Equip Adj Vs Highlander &amp; Explorer 11 74" xfId="30012"/>
    <cellStyle name="Comma [0] TBD-_Equip Adj Vs Highlander &amp; Explorer 11 74" xfId="30013"/>
    <cellStyle name="Comma [0] TBD_Equip Adj Vs Highlander &amp; Explorer 11 75" xfId="30014"/>
    <cellStyle name="Comma [0] TBD-_Equip Adj Vs Highlander &amp; Explorer 11 75" xfId="30015"/>
    <cellStyle name="Comma [0] TBD_Equip Adj Vs Highlander &amp; Explorer 11 76" xfId="30016"/>
    <cellStyle name="Comma [0] TBD-_Equip Adj Vs Highlander &amp; Explorer 11 76" xfId="30017"/>
    <cellStyle name="Comma [0] TBD_Equip Adj Vs Highlander &amp; Explorer 11 77" xfId="30018"/>
    <cellStyle name="Comma [0] TBD-_Equip Adj Vs Highlander &amp; Explorer 11 77" xfId="30019"/>
    <cellStyle name="Comma [0] TBD_Equip Adj Vs Highlander &amp; Explorer 11 78" xfId="30020"/>
    <cellStyle name="Comma [0] TBD-_Equip Adj Vs Highlander &amp; Explorer 11 78" xfId="30021"/>
    <cellStyle name="Comma [0] TBD_Equip Adj Vs Highlander &amp; Explorer 11 79" xfId="30022"/>
    <cellStyle name="Comma [0] TBD-_Equip Adj Vs Highlander &amp; Explorer 11 79" xfId="30023"/>
    <cellStyle name="Comma [0] TBD_Equip Adj Vs Highlander &amp; Explorer 11 8" xfId="30024"/>
    <cellStyle name="Comma [0] TBD-_Equip Adj Vs Highlander &amp; Explorer 11 8" xfId="30025"/>
    <cellStyle name="Comma [0] TBD_Equip Adj Vs Highlander &amp; Explorer 11 80" xfId="30026"/>
    <cellStyle name="Comma [0] TBD-_Equip Adj Vs Highlander &amp; Explorer 11 80" xfId="30027"/>
    <cellStyle name="Comma [0] TBD_Equip Adj Vs Highlander &amp; Explorer 11 81" xfId="30028"/>
    <cellStyle name="Comma [0] TBD-_Equip Adj Vs Highlander &amp; Explorer 11 81" xfId="30029"/>
    <cellStyle name="Comma [0] TBD_Equip Adj Vs Highlander &amp; Explorer 11 82" xfId="30030"/>
    <cellStyle name="Comma [0] TBD-_Equip Adj Vs Highlander &amp; Explorer 11 82" xfId="30031"/>
    <cellStyle name="Comma [0] TBD_Equip Adj Vs Highlander &amp; Explorer 11 83" xfId="30032"/>
    <cellStyle name="Comma [0] TBD-_Equip Adj Vs Highlander &amp; Explorer 11 83" xfId="30033"/>
    <cellStyle name="Comma [0] TBD_Equip Adj Vs Highlander &amp; Explorer 11 84" xfId="30034"/>
    <cellStyle name="Comma [0] TBD-_Equip Adj Vs Highlander &amp; Explorer 11 84" xfId="30035"/>
    <cellStyle name="Comma [0] TBD_Equip Adj Vs Highlander &amp; Explorer 11 85" xfId="30036"/>
    <cellStyle name="Comma [0] TBD-_Equip Adj Vs Highlander &amp; Explorer 11 85" xfId="30037"/>
    <cellStyle name="Comma [0] TBD_Equip Adj Vs Highlander &amp; Explorer 11 86" xfId="30038"/>
    <cellStyle name="Comma [0] TBD-_Equip Adj Vs Highlander &amp; Explorer 11 86" xfId="30039"/>
    <cellStyle name="Comma [0] TBD_Equip Adj Vs Highlander &amp; Explorer 11 87" xfId="30040"/>
    <cellStyle name="Comma [0] TBD-_Equip Adj Vs Highlander &amp; Explorer 11 87" xfId="30041"/>
    <cellStyle name="Comma [0] TBD_Equip Adj Vs Highlander &amp; Explorer 11 88" xfId="30042"/>
    <cellStyle name="Comma [0] TBD-_Equip Adj Vs Highlander &amp; Explorer 11 88" xfId="30043"/>
    <cellStyle name="Comma [0] TBD_Equip Adj Vs Highlander &amp; Explorer 11 89" xfId="30044"/>
    <cellStyle name="Comma [0] TBD-_Equip Adj Vs Highlander &amp; Explorer 11 89" xfId="30045"/>
    <cellStyle name="Comma [0] TBD_Equip Adj Vs Highlander &amp; Explorer 11 9" xfId="30046"/>
    <cellStyle name="Comma [0] TBD-_Equip Adj Vs Highlander &amp; Explorer 11 9" xfId="30047"/>
    <cellStyle name="Comma [0] TBD_Equip Adj Vs Highlander &amp; Explorer 11 90" xfId="30048"/>
    <cellStyle name="Comma [0] TBD-_Equip Adj Vs Highlander &amp; Explorer 11 90" xfId="30049"/>
    <cellStyle name="Comma [0] TBD_Equip Adj Vs Highlander &amp; Explorer 11 91" xfId="30050"/>
    <cellStyle name="Comma [0] TBD-_Equip Adj Vs Highlander &amp; Explorer 11 91" xfId="30051"/>
    <cellStyle name="Comma [0] TBD_Equip Adj Vs Highlander &amp; Explorer 11 92" xfId="30052"/>
    <cellStyle name="Comma [0] TBD-_Equip Adj Vs Highlander &amp; Explorer 11 92" xfId="30053"/>
    <cellStyle name="Comma [0] TBD_Equip Adj Vs Highlander &amp; Explorer 11 93" xfId="30054"/>
    <cellStyle name="Comma [0] TBD-_Equip Adj Vs Highlander &amp; Explorer 11 93" xfId="30055"/>
    <cellStyle name="Comma [0] TBD_Equip Adj Vs Highlander &amp; Explorer 11 94" xfId="30056"/>
    <cellStyle name="Comma [0] TBD-_Equip Adj Vs Highlander &amp; Explorer 11 94" xfId="30057"/>
    <cellStyle name="Comma [0] TBD_Equip Adj Vs Highlander &amp; Explorer 11 95" xfId="30058"/>
    <cellStyle name="Comma [0] TBD-_Equip Adj Vs Highlander &amp; Explorer 11 95" xfId="30059"/>
    <cellStyle name="Comma [0] TBD_Equip Adj Vs Highlander &amp; Explorer 11 96" xfId="30060"/>
    <cellStyle name="Comma [0] TBD-_Equip Adj Vs Highlander &amp; Explorer 11 96" xfId="30061"/>
    <cellStyle name="Comma [0] TBD_Equip Adj Vs Highlander &amp; Explorer 11 97" xfId="30062"/>
    <cellStyle name="Comma [0] TBD-_Equip Adj Vs Highlander &amp; Explorer 11 97" xfId="30063"/>
    <cellStyle name="Comma [0] TBD_Equip Adj Vs Highlander &amp; Explorer 11 98" xfId="30064"/>
    <cellStyle name="Comma [0] TBD-_Equip Adj Vs Highlander &amp; Explorer 11 98" xfId="30065"/>
    <cellStyle name="Comma [0] TBD_Equip Adj Vs Highlander &amp; Explorer 11 99" xfId="30066"/>
    <cellStyle name="Comma [0] TBD-_Equip Adj Vs Highlander &amp; Explorer 11 99" xfId="30067"/>
    <cellStyle name="Comma [0] TBD_Equip Adj Vs Highlander &amp; Explorer 12" xfId="30068"/>
    <cellStyle name="Comma [0] TBD-_Equip Adj Vs Highlander &amp; Explorer 12" xfId="30069"/>
    <cellStyle name="Comma [0] TBD_Equip Adj Vs Highlander &amp; Explorer 12 10" xfId="30070"/>
    <cellStyle name="Comma [0] TBD-_Equip Adj Vs Highlander &amp; Explorer 12 10" xfId="30071"/>
    <cellStyle name="Comma [0] TBD_Equip Adj Vs Highlander &amp; Explorer 12 100" xfId="30072"/>
    <cellStyle name="Comma [0] TBD-_Equip Adj Vs Highlander &amp; Explorer 12 100" xfId="30073"/>
    <cellStyle name="Comma [0] TBD_Equip Adj Vs Highlander &amp; Explorer 12 101" xfId="30074"/>
    <cellStyle name="Comma [0] TBD-_Equip Adj Vs Highlander &amp; Explorer 12 101" xfId="30075"/>
    <cellStyle name="Comma [0] TBD_Equip Adj Vs Highlander &amp; Explorer 12 102" xfId="30076"/>
    <cellStyle name="Comma [0] TBD-_Equip Adj Vs Highlander &amp; Explorer 12 102" xfId="30077"/>
    <cellStyle name="Comma [0] TBD_Equip Adj Vs Highlander &amp; Explorer 12 103" xfId="30078"/>
    <cellStyle name="Comma [0] TBD-_Equip Adj Vs Highlander &amp; Explorer 12 103" xfId="30079"/>
    <cellStyle name="Comma [0] TBD_Equip Adj Vs Highlander &amp; Explorer 12 104" xfId="30080"/>
    <cellStyle name="Comma [0] TBD-_Equip Adj Vs Highlander &amp; Explorer 12 104" xfId="30081"/>
    <cellStyle name="Comma [0] TBD_Equip Adj Vs Highlander &amp; Explorer 12 105" xfId="30082"/>
    <cellStyle name="Comma [0] TBD-_Equip Adj Vs Highlander &amp; Explorer 12 105" xfId="30083"/>
    <cellStyle name="Comma [0] TBD_Equip Adj Vs Highlander &amp; Explorer 12 106" xfId="30084"/>
    <cellStyle name="Comma [0] TBD-_Equip Adj Vs Highlander &amp; Explorer 12 106" xfId="30085"/>
    <cellStyle name="Comma [0] TBD_Equip Adj Vs Highlander &amp; Explorer 12 107" xfId="30086"/>
    <cellStyle name="Comma [0] TBD-_Equip Adj Vs Highlander &amp; Explorer 12 107" xfId="30087"/>
    <cellStyle name="Comma [0] TBD_Equip Adj Vs Highlander &amp; Explorer 12 108" xfId="30088"/>
    <cellStyle name="Comma [0] TBD-_Equip Adj Vs Highlander &amp; Explorer 12 108" xfId="30089"/>
    <cellStyle name="Comma [0] TBD_Equip Adj Vs Highlander &amp; Explorer 12 109" xfId="30090"/>
    <cellStyle name="Comma [0] TBD-_Equip Adj Vs Highlander &amp; Explorer 12 109" xfId="30091"/>
    <cellStyle name="Comma [0] TBD_Equip Adj Vs Highlander &amp; Explorer 12 11" xfId="30092"/>
    <cellStyle name="Comma [0] TBD-_Equip Adj Vs Highlander &amp; Explorer 12 11" xfId="30093"/>
    <cellStyle name="Comma [0] TBD_Equip Adj Vs Highlander &amp; Explorer 12 110" xfId="30094"/>
    <cellStyle name="Comma [0] TBD-_Equip Adj Vs Highlander &amp; Explorer 12 110" xfId="30095"/>
    <cellStyle name="Comma [0] TBD_Equip Adj Vs Highlander &amp; Explorer 12 111" xfId="30096"/>
    <cellStyle name="Comma [0] TBD-_Equip Adj Vs Highlander &amp; Explorer 12 111" xfId="30097"/>
    <cellStyle name="Comma [0] TBD_Equip Adj Vs Highlander &amp; Explorer 12 112" xfId="30098"/>
    <cellStyle name="Comma [0] TBD-_Equip Adj Vs Highlander &amp; Explorer 12 112" xfId="30099"/>
    <cellStyle name="Comma [0] TBD_Equip Adj Vs Highlander &amp; Explorer 12 113" xfId="30100"/>
    <cellStyle name="Comma [0] TBD-_Equip Adj Vs Highlander &amp; Explorer 12 113" xfId="30101"/>
    <cellStyle name="Comma [0] TBD_Equip Adj Vs Highlander &amp; Explorer 12 114" xfId="30102"/>
    <cellStyle name="Comma [0] TBD-_Equip Adj Vs Highlander &amp; Explorer 12 114" xfId="30103"/>
    <cellStyle name="Comma [0] TBD_Equip Adj Vs Highlander &amp; Explorer 12 115" xfId="30104"/>
    <cellStyle name="Comma [0] TBD-_Equip Adj Vs Highlander &amp; Explorer 12 115" xfId="30105"/>
    <cellStyle name="Comma [0] TBD_Equip Adj Vs Highlander &amp; Explorer 12 116" xfId="30106"/>
    <cellStyle name="Comma [0] TBD-_Equip Adj Vs Highlander &amp; Explorer 12 116" xfId="30107"/>
    <cellStyle name="Comma [0] TBD_Equip Adj Vs Highlander &amp; Explorer 12 117" xfId="30108"/>
    <cellStyle name="Comma [0] TBD-_Equip Adj Vs Highlander &amp; Explorer 12 117" xfId="30109"/>
    <cellStyle name="Comma [0] TBD_Equip Adj Vs Highlander &amp; Explorer 12 118" xfId="30110"/>
    <cellStyle name="Comma [0] TBD-_Equip Adj Vs Highlander &amp; Explorer 12 118" xfId="30111"/>
    <cellStyle name="Comma [0] TBD_Equip Adj Vs Highlander &amp; Explorer 12 119" xfId="30112"/>
    <cellStyle name="Comma [0] TBD-_Equip Adj Vs Highlander &amp; Explorer 12 119" xfId="30113"/>
    <cellStyle name="Comma [0] TBD_Equip Adj Vs Highlander &amp; Explorer 12 12" xfId="30114"/>
    <cellStyle name="Comma [0] TBD-_Equip Adj Vs Highlander &amp; Explorer 12 12" xfId="30115"/>
    <cellStyle name="Comma [0] TBD_Equip Adj Vs Highlander &amp; Explorer 12 120" xfId="30116"/>
    <cellStyle name="Comma [0] TBD-_Equip Adj Vs Highlander &amp; Explorer 12 120" xfId="30117"/>
    <cellStyle name="Comma [0] TBD_Equip Adj Vs Highlander &amp; Explorer 12 121" xfId="30118"/>
    <cellStyle name="Comma [0] TBD-_Equip Adj Vs Highlander &amp; Explorer 12 121" xfId="30119"/>
    <cellStyle name="Comma [0] TBD_Equip Adj Vs Highlander &amp; Explorer 12 122" xfId="30120"/>
    <cellStyle name="Comma [0] TBD-_Equip Adj Vs Highlander &amp; Explorer 12 122" xfId="30121"/>
    <cellStyle name="Comma [0] TBD_Equip Adj Vs Highlander &amp; Explorer 12 123" xfId="30122"/>
    <cellStyle name="Comma [0] TBD-_Equip Adj Vs Highlander &amp; Explorer 12 123" xfId="30123"/>
    <cellStyle name="Comma [0] TBD_Equip Adj Vs Highlander &amp; Explorer 12 124" xfId="30124"/>
    <cellStyle name="Comma [0] TBD-_Equip Adj Vs Highlander &amp; Explorer 12 124" xfId="30125"/>
    <cellStyle name="Comma [0] TBD_Equip Adj Vs Highlander &amp; Explorer 12 125" xfId="30126"/>
    <cellStyle name="Comma [0] TBD-_Equip Adj Vs Highlander &amp; Explorer 12 125" xfId="30127"/>
    <cellStyle name="Comma [0] TBD_Equip Adj Vs Highlander &amp; Explorer 12 126" xfId="30128"/>
    <cellStyle name="Comma [0] TBD-_Equip Adj Vs Highlander &amp; Explorer 12 126" xfId="30129"/>
    <cellStyle name="Comma [0] TBD_Equip Adj Vs Highlander &amp; Explorer 12 127" xfId="30130"/>
    <cellStyle name="Comma [0] TBD-_Equip Adj Vs Highlander &amp; Explorer 12 127" xfId="30131"/>
    <cellStyle name="Comma [0] TBD_Equip Adj Vs Highlander &amp; Explorer 12 128" xfId="30132"/>
    <cellStyle name="Comma [0] TBD-_Equip Adj Vs Highlander &amp; Explorer 12 128" xfId="30133"/>
    <cellStyle name="Comma [0] TBD_Equip Adj Vs Highlander &amp; Explorer 12 129" xfId="30134"/>
    <cellStyle name="Comma [0] TBD-_Equip Adj Vs Highlander &amp; Explorer 12 129" xfId="30135"/>
    <cellStyle name="Comma [0] TBD_Equip Adj Vs Highlander &amp; Explorer 12 13" xfId="30136"/>
    <cellStyle name="Comma [0] TBD-_Equip Adj Vs Highlander &amp; Explorer 12 13" xfId="30137"/>
    <cellStyle name="Comma [0] TBD_Equip Adj Vs Highlander &amp; Explorer 12 130" xfId="30138"/>
    <cellStyle name="Comma [0] TBD-_Equip Adj Vs Highlander &amp; Explorer 12 130" xfId="30139"/>
    <cellStyle name="Comma [0] TBD_Equip Adj Vs Highlander &amp; Explorer 12 131" xfId="30140"/>
    <cellStyle name="Comma [0] TBD-_Equip Adj Vs Highlander &amp; Explorer 12 131" xfId="30141"/>
    <cellStyle name="Comma [0] TBD_Equip Adj Vs Highlander &amp; Explorer 12 132" xfId="30142"/>
    <cellStyle name="Comma [0] TBD-_Equip Adj Vs Highlander &amp; Explorer 12 132" xfId="30143"/>
    <cellStyle name="Comma [0] TBD_Equip Adj Vs Highlander &amp; Explorer 12 133" xfId="30144"/>
    <cellStyle name="Comma [0] TBD-_Equip Adj Vs Highlander &amp; Explorer 12 133" xfId="30145"/>
    <cellStyle name="Comma [0] TBD_Equip Adj Vs Highlander &amp; Explorer 12 134" xfId="30146"/>
    <cellStyle name="Comma [0] TBD-_Equip Adj Vs Highlander &amp; Explorer 12 134" xfId="30147"/>
    <cellStyle name="Comma [0] TBD_Equip Adj Vs Highlander &amp; Explorer 12 135" xfId="30148"/>
    <cellStyle name="Comma [0] TBD-_Equip Adj Vs Highlander &amp; Explorer 12 135" xfId="30149"/>
    <cellStyle name="Comma [0] TBD_Equip Adj Vs Highlander &amp; Explorer 12 136" xfId="30150"/>
    <cellStyle name="Comma [0] TBD-_Equip Adj Vs Highlander &amp; Explorer 12 136" xfId="30151"/>
    <cellStyle name="Comma [0] TBD_Equip Adj Vs Highlander &amp; Explorer 12 137" xfId="30152"/>
    <cellStyle name="Comma [0] TBD-_Equip Adj Vs Highlander &amp; Explorer 12 137" xfId="30153"/>
    <cellStyle name="Comma [0] TBD_Equip Adj Vs Highlander &amp; Explorer 12 138" xfId="30154"/>
    <cellStyle name="Comma [0] TBD-_Equip Adj Vs Highlander &amp; Explorer 12 138" xfId="30155"/>
    <cellStyle name="Comma [0] TBD_Equip Adj Vs Highlander &amp; Explorer 12 139" xfId="30156"/>
    <cellStyle name="Comma [0] TBD-_Equip Adj Vs Highlander &amp; Explorer 12 139" xfId="30157"/>
    <cellStyle name="Comma [0] TBD_Equip Adj Vs Highlander &amp; Explorer 12 14" xfId="30158"/>
    <cellStyle name="Comma [0] TBD-_Equip Adj Vs Highlander &amp; Explorer 12 14" xfId="30159"/>
    <cellStyle name="Comma [0] TBD_Equip Adj Vs Highlander &amp; Explorer 12 140" xfId="30160"/>
    <cellStyle name="Comma [0] TBD-_Equip Adj Vs Highlander &amp; Explorer 12 140" xfId="30161"/>
    <cellStyle name="Comma [0] TBD_Equip Adj Vs Highlander &amp; Explorer 12 141" xfId="30162"/>
    <cellStyle name="Comma [0] TBD-_Equip Adj Vs Highlander &amp; Explorer 12 141" xfId="30163"/>
    <cellStyle name="Comma [0] TBD_Equip Adj Vs Highlander &amp; Explorer 12 142" xfId="30164"/>
    <cellStyle name="Comma [0] TBD-_Equip Adj Vs Highlander &amp; Explorer 12 142" xfId="30165"/>
    <cellStyle name="Comma [0] TBD_Equip Adj Vs Highlander &amp; Explorer 12 143" xfId="30166"/>
    <cellStyle name="Comma [0] TBD-_Equip Adj Vs Highlander &amp; Explorer 12 143" xfId="30167"/>
    <cellStyle name="Comma [0] TBD_Equip Adj Vs Highlander &amp; Explorer 12 144" xfId="30168"/>
    <cellStyle name="Comma [0] TBD-_Equip Adj Vs Highlander &amp; Explorer 12 144" xfId="30169"/>
    <cellStyle name="Comma [0] TBD_Equip Adj Vs Highlander &amp; Explorer 12 145" xfId="30170"/>
    <cellStyle name="Comma [0] TBD-_Equip Adj Vs Highlander &amp; Explorer 12 145" xfId="30171"/>
    <cellStyle name="Comma [0] TBD_Equip Adj Vs Highlander &amp; Explorer 12 146" xfId="30172"/>
    <cellStyle name="Comma [0] TBD-_Equip Adj Vs Highlander &amp; Explorer 12 146" xfId="30173"/>
    <cellStyle name="Comma [0] TBD_Equip Adj Vs Highlander &amp; Explorer 12 147" xfId="30174"/>
    <cellStyle name="Comma [0] TBD-_Equip Adj Vs Highlander &amp; Explorer 12 147" xfId="30175"/>
    <cellStyle name="Comma [0] TBD_Equip Adj Vs Highlander &amp; Explorer 12 148" xfId="30176"/>
    <cellStyle name="Comma [0] TBD-_Equip Adj Vs Highlander &amp; Explorer 12 148" xfId="30177"/>
    <cellStyle name="Comma [0] TBD_Equip Adj Vs Highlander &amp; Explorer 12 149" xfId="30178"/>
    <cellStyle name="Comma [0] TBD-_Equip Adj Vs Highlander &amp; Explorer 12 149" xfId="30179"/>
    <cellStyle name="Comma [0] TBD_Equip Adj Vs Highlander &amp; Explorer 12 15" xfId="30180"/>
    <cellStyle name="Comma [0] TBD-_Equip Adj Vs Highlander &amp; Explorer 12 15" xfId="30181"/>
    <cellStyle name="Comma [0] TBD_Equip Adj Vs Highlander &amp; Explorer 12 150" xfId="30182"/>
    <cellStyle name="Comma [0] TBD-_Equip Adj Vs Highlander &amp; Explorer 12 150" xfId="30183"/>
    <cellStyle name="Comma [0] TBD_Equip Adj Vs Highlander &amp; Explorer 12 151" xfId="30184"/>
    <cellStyle name="Comma [0] TBD-_Equip Adj Vs Highlander &amp; Explorer 12 151" xfId="30185"/>
    <cellStyle name="Comma [0] TBD_Equip Adj Vs Highlander &amp; Explorer 12 152" xfId="30186"/>
    <cellStyle name="Comma [0] TBD-_Equip Adj Vs Highlander &amp; Explorer 12 152" xfId="30187"/>
    <cellStyle name="Comma [0] TBD_Equip Adj Vs Highlander &amp; Explorer 12 153" xfId="30188"/>
    <cellStyle name="Comma [0] TBD-_Equip Adj Vs Highlander &amp; Explorer 12 153" xfId="30189"/>
    <cellStyle name="Comma [0] TBD_Equip Adj Vs Highlander &amp; Explorer 12 16" xfId="30190"/>
    <cellStyle name="Comma [0] TBD-_Equip Adj Vs Highlander &amp; Explorer 12 16" xfId="30191"/>
    <cellStyle name="Comma [0] TBD_Equip Adj Vs Highlander &amp; Explorer 12 17" xfId="30192"/>
    <cellStyle name="Comma [0] TBD-_Equip Adj Vs Highlander &amp; Explorer 12 17" xfId="30193"/>
    <cellStyle name="Comma [0] TBD_Equip Adj Vs Highlander &amp; Explorer 12 18" xfId="30194"/>
    <cellStyle name="Comma [0] TBD-_Equip Adj Vs Highlander &amp; Explorer 12 18" xfId="30195"/>
    <cellStyle name="Comma [0] TBD_Equip Adj Vs Highlander &amp; Explorer 12 19" xfId="30196"/>
    <cellStyle name="Comma [0] TBD-_Equip Adj Vs Highlander &amp; Explorer 12 19" xfId="30197"/>
    <cellStyle name="Comma [0] TBD_Equip Adj Vs Highlander &amp; Explorer 12 2" xfId="30198"/>
    <cellStyle name="Comma [0] TBD-_Equip Adj Vs Highlander &amp; Explorer 12 2" xfId="30199"/>
    <cellStyle name="Comma [0] TBD_Equip Adj Vs Highlander &amp; Explorer 12 20" xfId="30200"/>
    <cellStyle name="Comma [0] TBD-_Equip Adj Vs Highlander &amp; Explorer 12 20" xfId="30201"/>
    <cellStyle name="Comma [0] TBD_Equip Adj Vs Highlander &amp; Explorer 12 21" xfId="30202"/>
    <cellStyle name="Comma [0] TBD-_Equip Adj Vs Highlander &amp; Explorer 12 21" xfId="30203"/>
    <cellStyle name="Comma [0] TBD_Equip Adj Vs Highlander &amp; Explorer 12 22" xfId="30204"/>
    <cellStyle name="Comma [0] TBD-_Equip Adj Vs Highlander &amp; Explorer 12 22" xfId="30205"/>
    <cellStyle name="Comma [0] TBD_Equip Adj Vs Highlander &amp; Explorer 12 23" xfId="30206"/>
    <cellStyle name="Comma [0] TBD-_Equip Adj Vs Highlander &amp; Explorer 12 23" xfId="30207"/>
    <cellStyle name="Comma [0] TBD_Equip Adj Vs Highlander &amp; Explorer 12 24" xfId="30208"/>
    <cellStyle name="Comma [0] TBD-_Equip Adj Vs Highlander &amp; Explorer 12 24" xfId="30209"/>
    <cellStyle name="Comma [0] TBD_Equip Adj Vs Highlander &amp; Explorer 12 25" xfId="30210"/>
    <cellStyle name="Comma [0] TBD-_Equip Adj Vs Highlander &amp; Explorer 12 25" xfId="30211"/>
    <cellStyle name="Comma [0] TBD_Equip Adj Vs Highlander &amp; Explorer 12 26" xfId="30212"/>
    <cellStyle name="Comma [0] TBD-_Equip Adj Vs Highlander &amp; Explorer 12 26" xfId="30213"/>
    <cellStyle name="Comma [0] TBD_Equip Adj Vs Highlander &amp; Explorer 12 27" xfId="30214"/>
    <cellStyle name="Comma [0] TBD-_Equip Adj Vs Highlander &amp; Explorer 12 27" xfId="30215"/>
    <cellStyle name="Comma [0] TBD_Equip Adj Vs Highlander &amp; Explorer 12 28" xfId="30216"/>
    <cellStyle name="Comma [0] TBD-_Equip Adj Vs Highlander &amp; Explorer 12 28" xfId="30217"/>
    <cellStyle name="Comma [0] TBD_Equip Adj Vs Highlander &amp; Explorer 12 29" xfId="30218"/>
    <cellStyle name="Comma [0] TBD-_Equip Adj Vs Highlander &amp; Explorer 12 29" xfId="30219"/>
    <cellStyle name="Comma [0] TBD_Equip Adj Vs Highlander &amp; Explorer 12 3" xfId="30220"/>
    <cellStyle name="Comma [0] TBD-_Equip Adj Vs Highlander &amp; Explorer 12 3" xfId="30221"/>
    <cellStyle name="Comma [0] TBD_Equip Adj Vs Highlander &amp; Explorer 12 30" xfId="30222"/>
    <cellStyle name="Comma [0] TBD-_Equip Adj Vs Highlander &amp; Explorer 12 30" xfId="30223"/>
    <cellStyle name="Comma [0] TBD_Equip Adj Vs Highlander &amp; Explorer 12 31" xfId="30224"/>
    <cellStyle name="Comma [0] TBD-_Equip Adj Vs Highlander &amp; Explorer 12 31" xfId="30225"/>
    <cellStyle name="Comma [0] TBD_Equip Adj Vs Highlander &amp; Explorer 12 32" xfId="30226"/>
    <cellStyle name="Comma [0] TBD-_Equip Adj Vs Highlander &amp; Explorer 12 32" xfId="30227"/>
    <cellStyle name="Comma [0] TBD_Equip Adj Vs Highlander &amp; Explorer 12 33" xfId="30228"/>
    <cellStyle name="Comma [0] TBD-_Equip Adj Vs Highlander &amp; Explorer 12 33" xfId="30229"/>
    <cellStyle name="Comma [0] TBD_Equip Adj Vs Highlander &amp; Explorer 12 34" xfId="30230"/>
    <cellStyle name="Comma [0] TBD-_Equip Adj Vs Highlander &amp; Explorer 12 34" xfId="30231"/>
    <cellStyle name="Comma [0] TBD_Equip Adj Vs Highlander &amp; Explorer 12 35" xfId="30232"/>
    <cellStyle name="Comma [0] TBD-_Equip Adj Vs Highlander &amp; Explorer 12 35" xfId="30233"/>
    <cellStyle name="Comma [0] TBD_Equip Adj Vs Highlander &amp; Explorer 12 36" xfId="30234"/>
    <cellStyle name="Comma [0] TBD-_Equip Adj Vs Highlander &amp; Explorer 12 36" xfId="30235"/>
    <cellStyle name="Comma [0] TBD_Equip Adj Vs Highlander &amp; Explorer 12 37" xfId="30236"/>
    <cellStyle name="Comma [0] TBD-_Equip Adj Vs Highlander &amp; Explorer 12 37" xfId="30237"/>
    <cellStyle name="Comma [0] TBD_Equip Adj Vs Highlander &amp; Explorer 12 38" xfId="30238"/>
    <cellStyle name="Comma [0] TBD-_Equip Adj Vs Highlander &amp; Explorer 12 38" xfId="30239"/>
    <cellStyle name="Comma [0] TBD_Equip Adj Vs Highlander &amp; Explorer 12 39" xfId="30240"/>
    <cellStyle name="Comma [0] TBD-_Equip Adj Vs Highlander &amp; Explorer 12 39" xfId="30241"/>
    <cellStyle name="Comma [0] TBD_Equip Adj Vs Highlander &amp; Explorer 12 4" xfId="30242"/>
    <cellStyle name="Comma [0] TBD-_Equip Adj Vs Highlander &amp; Explorer 12 4" xfId="30243"/>
    <cellStyle name="Comma [0] TBD_Equip Adj Vs Highlander &amp; Explorer 12 40" xfId="30244"/>
    <cellStyle name="Comma [0] TBD-_Equip Adj Vs Highlander &amp; Explorer 12 40" xfId="30245"/>
    <cellStyle name="Comma [0] TBD_Equip Adj Vs Highlander &amp; Explorer 12 41" xfId="30246"/>
    <cellStyle name="Comma [0] TBD-_Equip Adj Vs Highlander &amp; Explorer 12 41" xfId="30247"/>
    <cellStyle name="Comma [0] TBD_Equip Adj Vs Highlander &amp; Explorer 12 42" xfId="30248"/>
    <cellStyle name="Comma [0] TBD-_Equip Adj Vs Highlander &amp; Explorer 12 42" xfId="30249"/>
    <cellStyle name="Comma [0] TBD_Equip Adj Vs Highlander &amp; Explorer 12 43" xfId="30250"/>
    <cellStyle name="Comma [0] TBD-_Equip Adj Vs Highlander &amp; Explorer 12 43" xfId="30251"/>
    <cellStyle name="Comma [0] TBD_Equip Adj Vs Highlander &amp; Explorer 12 44" xfId="30252"/>
    <cellStyle name="Comma [0] TBD-_Equip Adj Vs Highlander &amp; Explorer 12 44" xfId="30253"/>
    <cellStyle name="Comma [0] TBD_Equip Adj Vs Highlander &amp; Explorer 12 45" xfId="30254"/>
    <cellStyle name="Comma [0] TBD-_Equip Adj Vs Highlander &amp; Explorer 12 45" xfId="30255"/>
    <cellStyle name="Comma [0] TBD_Equip Adj Vs Highlander &amp; Explorer 12 46" xfId="30256"/>
    <cellStyle name="Comma [0] TBD-_Equip Adj Vs Highlander &amp; Explorer 12 46" xfId="30257"/>
    <cellStyle name="Comma [0] TBD_Equip Adj Vs Highlander &amp; Explorer 12 47" xfId="30258"/>
    <cellStyle name="Comma [0] TBD-_Equip Adj Vs Highlander &amp; Explorer 12 47" xfId="30259"/>
    <cellStyle name="Comma [0] TBD_Equip Adj Vs Highlander &amp; Explorer 12 48" xfId="30260"/>
    <cellStyle name="Comma [0] TBD-_Equip Adj Vs Highlander &amp; Explorer 12 48" xfId="30261"/>
    <cellStyle name="Comma [0] TBD_Equip Adj Vs Highlander &amp; Explorer 12 49" xfId="30262"/>
    <cellStyle name="Comma [0] TBD-_Equip Adj Vs Highlander &amp; Explorer 12 49" xfId="30263"/>
    <cellStyle name="Comma [0] TBD_Equip Adj Vs Highlander &amp; Explorer 12 5" xfId="30264"/>
    <cellStyle name="Comma [0] TBD-_Equip Adj Vs Highlander &amp; Explorer 12 5" xfId="30265"/>
    <cellStyle name="Comma [0] TBD_Equip Adj Vs Highlander &amp; Explorer 12 50" xfId="30266"/>
    <cellStyle name="Comma [0] TBD-_Equip Adj Vs Highlander &amp; Explorer 12 50" xfId="30267"/>
    <cellStyle name="Comma [0] TBD_Equip Adj Vs Highlander &amp; Explorer 12 51" xfId="30268"/>
    <cellStyle name="Comma [0] TBD-_Equip Adj Vs Highlander &amp; Explorer 12 51" xfId="30269"/>
    <cellStyle name="Comma [0] TBD_Equip Adj Vs Highlander &amp; Explorer 12 52" xfId="30270"/>
    <cellStyle name="Comma [0] TBD-_Equip Adj Vs Highlander &amp; Explorer 12 52" xfId="30271"/>
    <cellStyle name="Comma [0] TBD_Equip Adj Vs Highlander &amp; Explorer 12 53" xfId="30272"/>
    <cellStyle name="Comma [0] TBD-_Equip Adj Vs Highlander &amp; Explorer 12 53" xfId="30273"/>
    <cellStyle name="Comma [0] TBD_Equip Adj Vs Highlander &amp; Explorer 12 54" xfId="30274"/>
    <cellStyle name="Comma [0] TBD-_Equip Adj Vs Highlander &amp; Explorer 12 54" xfId="30275"/>
    <cellStyle name="Comma [0] TBD_Equip Adj Vs Highlander &amp; Explorer 12 55" xfId="30276"/>
    <cellStyle name="Comma [0] TBD-_Equip Adj Vs Highlander &amp; Explorer 12 55" xfId="30277"/>
    <cellStyle name="Comma [0] TBD_Equip Adj Vs Highlander &amp; Explorer 12 56" xfId="30278"/>
    <cellStyle name="Comma [0] TBD-_Equip Adj Vs Highlander &amp; Explorer 12 56" xfId="30279"/>
    <cellStyle name="Comma [0] TBD_Equip Adj Vs Highlander &amp; Explorer 12 57" xfId="30280"/>
    <cellStyle name="Comma [0] TBD-_Equip Adj Vs Highlander &amp; Explorer 12 57" xfId="30281"/>
    <cellStyle name="Comma [0] TBD_Equip Adj Vs Highlander &amp; Explorer 12 58" xfId="30282"/>
    <cellStyle name="Comma [0] TBD-_Equip Adj Vs Highlander &amp; Explorer 12 58" xfId="30283"/>
    <cellStyle name="Comma [0] TBD_Equip Adj Vs Highlander &amp; Explorer 12 59" xfId="30284"/>
    <cellStyle name="Comma [0] TBD-_Equip Adj Vs Highlander &amp; Explorer 12 59" xfId="30285"/>
    <cellStyle name="Comma [0] TBD_Equip Adj Vs Highlander &amp; Explorer 12 6" xfId="30286"/>
    <cellStyle name="Comma [0] TBD-_Equip Adj Vs Highlander &amp; Explorer 12 6" xfId="30287"/>
    <cellStyle name="Comma [0] TBD_Equip Adj Vs Highlander &amp; Explorer 12 60" xfId="30288"/>
    <cellStyle name="Comma [0] TBD-_Equip Adj Vs Highlander &amp; Explorer 12 60" xfId="30289"/>
    <cellStyle name="Comma [0] TBD_Equip Adj Vs Highlander &amp; Explorer 12 61" xfId="30290"/>
    <cellStyle name="Comma [0] TBD-_Equip Adj Vs Highlander &amp; Explorer 12 61" xfId="30291"/>
    <cellStyle name="Comma [0] TBD_Equip Adj Vs Highlander &amp; Explorer 12 62" xfId="30292"/>
    <cellStyle name="Comma [0] TBD-_Equip Adj Vs Highlander &amp; Explorer 12 62" xfId="30293"/>
    <cellStyle name="Comma [0] TBD_Equip Adj Vs Highlander &amp; Explorer 12 63" xfId="30294"/>
    <cellStyle name="Comma [0] TBD-_Equip Adj Vs Highlander &amp; Explorer 12 63" xfId="30295"/>
    <cellStyle name="Comma [0] TBD_Equip Adj Vs Highlander &amp; Explorer 12 64" xfId="30296"/>
    <cellStyle name="Comma [0] TBD-_Equip Adj Vs Highlander &amp; Explorer 12 64" xfId="30297"/>
    <cellStyle name="Comma [0] TBD_Equip Adj Vs Highlander &amp; Explorer 12 65" xfId="30298"/>
    <cellStyle name="Comma [0] TBD-_Equip Adj Vs Highlander &amp; Explorer 12 65" xfId="30299"/>
    <cellStyle name="Comma [0] TBD_Equip Adj Vs Highlander &amp; Explorer 12 66" xfId="30300"/>
    <cellStyle name="Comma [0] TBD-_Equip Adj Vs Highlander &amp; Explorer 12 66" xfId="30301"/>
    <cellStyle name="Comma [0] TBD_Equip Adj Vs Highlander &amp; Explorer 12 67" xfId="30302"/>
    <cellStyle name="Comma [0] TBD-_Equip Adj Vs Highlander &amp; Explorer 12 67" xfId="30303"/>
    <cellStyle name="Comma [0] TBD_Equip Adj Vs Highlander &amp; Explorer 12 68" xfId="30304"/>
    <cellStyle name="Comma [0] TBD-_Equip Adj Vs Highlander &amp; Explorer 12 68" xfId="30305"/>
    <cellStyle name="Comma [0] TBD_Equip Adj Vs Highlander &amp; Explorer 12 69" xfId="30306"/>
    <cellStyle name="Comma [0] TBD-_Equip Adj Vs Highlander &amp; Explorer 12 69" xfId="30307"/>
    <cellStyle name="Comma [0] TBD_Equip Adj Vs Highlander &amp; Explorer 12 7" xfId="30308"/>
    <cellStyle name="Comma [0] TBD-_Equip Adj Vs Highlander &amp; Explorer 12 7" xfId="30309"/>
    <cellStyle name="Comma [0] TBD_Equip Adj Vs Highlander &amp; Explorer 12 70" xfId="30310"/>
    <cellStyle name="Comma [0] TBD-_Equip Adj Vs Highlander &amp; Explorer 12 70" xfId="30311"/>
    <cellStyle name="Comma [0] TBD_Equip Adj Vs Highlander &amp; Explorer 12 71" xfId="30312"/>
    <cellStyle name="Comma [0] TBD-_Equip Adj Vs Highlander &amp; Explorer 12 71" xfId="30313"/>
    <cellStyle name="Comma [0] TBD_Equip Adj Vs Highlander &amp; Explorer 12 72" xfId="30314"/>
    <cellStyle name="Comma [0] TBD-_Equip Adj Vs Highlander &amp; Explorer 12 72" xfId="30315"/>
    <cellStyle name="Comma [0] TBD_Equip Adj Vs Highlander &amp; Explorer 12 73" xfId="30316"/>
    <cellStyle name="Comma [0] TBD-_Equip Adj Vs Highlander &amp; Explorer 12 73" xfId="30317"/>
    <cellStyle name="Comma [0] TBD_Equip Adj Vs Highlander &amp; Explorer 12 74" xfId="30318"/>
    <cellStyle name="Comma [0] TBD-_Equip Adj Vs Highlander &amp; Explorer 12 74" xfId="30319"/>
    <cellStyle name="Comma [0] TBD_Equip Adj Vs Highlander &amp; Explorer 12 75" xfId="30320"/>
    <cellStyle name="Comma [0] TBD-_Equip Adj Vs Highlander &amp; Explorer 12 75" xfId="30321"/>
    <cellStyle name="Comma [0] TBD_Equip Adj Vs Highlander &amp; Explorer 12 76" xfId="30322"/>
    <cellStyle name="Comma [0] TBD-_Equip Adj Vs Highlander &amp; Explorer 12 76" xfId="30323"/>
    <cellStyle name="Comma [0] TBD_Equip Adj Vs Highlander &amp; Explorer 12 77" xfId="30324"/>
    <cellStyle name="Comma [0] TBD-_Equip Adj Vs Highlander &amp; Explorer 12 77" xfId="30325"/>
    <cellStyle name="Comma [0] TBD_Equip Adj Vs Highlander &amp; Explorer 12 78" xfId="30326"/>
    <cellStyle name="Comma [0] TBD-_Equip Adj Vs Highlander &amp; Explorer 12 78" xfId="30327"/>
    <cellStyle name="Comma [0] TBD_Equip Adj Vs Highlander &amp; Explorer 12 79" xfId="30328"/>
    <cellStyle name="Comma [0] TBD-_Equip Adj Vs Highlander &amp; Explorer 12 79" xfId="30329"/>
    <cellStyle name="Comma [0] TBD_Equip Adj Vs Highlander &amp; Explorer 12 8" xfId="30330"/>
    <cellStyle name="Comma [0] TBD-_Equip Adj Vs Highlander &amp; Explorer 12 8" xfId="30331"/>
    <cellStyle name="Comma [0] TBD_Equip Adj Vs Highlander &amp; Explorer 12 80" xfId="30332"/>
    <cellStyle name="Comma [0] TBD-_Equip Adj Vs Highlander &amp; Explorer 12 80" xfId="30333"/>
    <cellStyle name="Comma [0] TBD_Equip Adj Vs Highlander &amp; Explorer 12 81" xfId="30334"/>
    <cellStyle name="Comma [0] TBD-_Equip Adj Vs Highlander &amp; Explorer 12 81" xfId="30335"/>
    <cellStyle name="Comma [0] TBD_Equip Adj Vs Highlander &amp; Explorer 12 82" xfId="30336"/>
    <cellStyle name="Comma [0] TBD-_Equip Adj Vs Highlander &amp; Explorer 12 82" xfId="30337"/>
    <cellStyle name="Comma [0] TBD_Equip Adj Vs Highlander &amp; Explorer 12 83" xfId="30338"/>
    <cellStyle name="Comma [0] TBD-_Equip Adj Vs Highlander &amp; Explorer 12 83" xfId="30339"/>
    <cellStyle name="Comma [0] TBD_Equip Adj Vs Highlander &amp; Explorer 12 84" xfId="30340"/>
    <cellStyle name="Comma [0] TBD-_Equip Adj Vs Highlander &amp; Explorer 12 84" xfId="30341"/>
    <cellStyle name="Comma [0] TBD_Equip Adj Vs Highlander &amp; Explorer 12 85" xfId="30342"/>
    <cellStyle name="Comma [0] TBD-_Equip Adj Vs Highlander &amp; Explorer 12 85" xfId="30343"/>
    <cellStyle name="Comma [0] TBD_Equip Adj Vs Highlander &amp; Explorer 12 86" xfId="30344"/>
    <cellStyle name="Comma [0] TBD-_Equip Adj Vs Highlander &amp; Explorer 12 86" xfId="30345"/>
    <cellStyle name="Comma [0] TBD_Equip Adj Vs Highlander &amp; Explorer 12 87" xfId="30346"/>
    <cellStyle name="Comma [0] TBD-_Equip Adj Vs Highlander &amp; Explorer 12 87" xfId="30347"/>
    <cellStyle name="Comma [0] TBD_Equip Adj Vs Highlander &amp; Explorer 12 88" xfId="30348"/>
    <cellStyle name="Comma [0] TBD-_Equip Adj Vs Highlander &amp; Explorer 12 88" xfId="30349"/>
    <cellStyle name="Comma [0] TBD_Equip Adj Vs Highlander &amp; Explorer 12 89" xfId="30350"/>
    <cellStyle name="Comma [0] TBD-_Equip Adj Vs Highlander &amp; Explorer 12 89" xfId="30351"/>
    <cellStyle name="Comma [0] TBD_Equip Adj Vs Highlander &amp; Explorer 12 9" xfId="30352"/>
    <cellStyle name="Comma [0] TBD-_Equip Adj Vs Highlander &amp; Explorer 12 9" xfId="30353"/>
    <cellStyle name="Comma [0] TBD_Equip Adj Vs Highlander &amp; Explorer 12 90" xfId="30354"/>
    <cellStyle name="Comma [0] TBD-_Equip Adj Vs Highlander &amp; Explorer 12 90" xfId="30355"/>
    <cellStyle name="Comma [0] TBD_Equip Adj Vs Highlander &amp; Explorer 12 91" xfId="30356"/>
    <cellStyle name="Comma [0] TBD-_Equip Adj Vs Highlander &amp; Explorer 12 91" xfId="30357"/>
    <cellStyle name="Comma [0] TBD_Equip Adj Vs Highlander &amp; Explorer 12 92" xfId="30358"/>
    <cellStyle name="Comma [0] TBD-_Equip Adj Vs Highlander &amp; Explorer 12 92" xfId="30359"/>
    <cellStyle name="Comma [0] TBD_Equip Adj Vs Highlander &amp; Explorer 12 93" xfId="30360"/>
    <cellStyle name="Comma [0] TBD-_Equip Adj Vs Highlander &amp; Explorer 12 93" xfId="30361"/>
    <cellStyle name="Comma [0] TBD_Equip Adj Vs Highlander &amp; Explorer 12 94" xfId="30362"/>
    <cellStyle name="Comma [0] TBD-_Equip Adj Vs Highlander &amp; Explorer 12 94" xfId="30363"/>
    <cellStyle name="Comma [0] TBD_Equip Adj Vs Highlander &amp; Explorer 12 95" xfId="30364"/>
    <cellStyle name="Comma [0] TBD-_Equip Adj Vs Highlander &amp; Explorer 12 95" xfId="30365"/>
    <cellStyle name="Comma [0] TBD_Equip Adj Vs Highlander &amp; Explorer 12 96" xfId="30366"/>
    <cellStyle name="Comma [0] TBD-_Equip Adj Vs Highlander &amp; Explorer 12 96" xfId="30367"/>
    <cellStyle name="Comma [0] TBD_Equip Adj Vs Highlander &amp; Explorer 12 97" xfId="30368"/>
    <cellStyle name="Comma [0] TBD-_Equip Adj Vs Highlander &amp; Explorer 12 97" xfId="30369"/>
    <cellStyle name="Comma [0] TBD_Equip Adj Vs Highlander &amp; Explorer 12 98" xfId="30370"/>
    <cellStyle name="Comma [0] TBD-_Equip Adj Vs Highlander &amp; Explorer 12 98" xfId="30371"/>
    <cellStyle name="Comma [0] TBD_Equip Adj Vs Highlander &amp; Explorer 12 99" xfId="30372"/>
    <cellStyle name="Comma [0] TBD-_Equip Adj Vs Highlander &amp; Explorer 12 99" xfId="30373"/>
    <cellStyle name="Comma [0] TBD_Equip Adj Vs Highlander &amp; Explorer 13" xfId="30374"/>
    <cellStyle name="Comma [0] TBD-_Equip Adj Vs Highlander &amp; Explorer 13" xfId="30375"/>
    <cellStyle name="Comma [0] TBD_Equip Adj Vs Highlander &amp; Explorer 13 10" xfId="30376"/>
    <cellStyle name="Comma [0] TBD-_Equip Adj Vs Highlander &amp; Explorer 13 10" xfId="30377"/>
    <cellStyle name="Comma [0] TBD_Equip Adj Vs Highlander &amp; Explorer 13 100" xfId="30378"/>
    <cellStyle name="Comma [0] TBD-_Equip Adj Vs Highlander &amp; Explorer 13 100" xfId="30379"/>
    <cellStyle name="Comma [0] TBD_Equip Adj Vs Highlander &amp; Explorer 13 101" xfId="30380"/>
    <cellStyle name="Comma [0] TBD-_Equip Adj Vs Highlander &amp; Explorer 13 101" xfId="30381"/>
    <cellStyle name="Comma [0] TBD_Equip Adj Vs Highlander &amp; Explorer 13 102" xfId="30382"/>
    <cellStyle name="Comma [0] TBD-_Equip Adj Vs Highlander &amp; Explorer 13 102" xfId="30383"/>
    <cellStyle name="Comma [0] TBD_Equip Adj Vs Highlander &amp; Explorer 13 103" xfId="30384"/>
    <cellStyle name="Comma [0] TBD-_Equip Adj Vs Highlander &amp; Explorer 13 103" xfId="30385"/>
    <cellStyle name="Comma [0] TBD_Equip Adj Vs Highlander &amp; Explorer 13 104" xfId="30386"/>
    <cellStyle name="Comma [0] TBD-_Equip Adj Vs Highlander &amp; Explorer 13 104" xfId="30387"/>
    <cellStyle name="Comma [0] TBD_Equip Adj Vs Highlander &amp; Explorer 13 105" xfId="30388"/>
    <cellStyle name="Comma [0] TBD-_Equip Adj Vs Highlander &amp; Explorer 13 105" xfId="30389"/>
    <cellStyle name="Comma [0] TBD_Equip Adj Vs Highlander &amp; Explorer 13 106" xfId="30390"/>
    <cellStyle name="Comma [0] TBD-_Equip Adj Vs Highlander &amp; Explorer 13 106" xfId="30391"/>
    <cellStyle name="Comma [0] TBD_Equip Adj Vs Highlander &amp; Explorer 13 107" xfId="30392"/>
    <cellStyle name="Comma [0] TBD-_Equip Adj Vs Highlander &amp; Explorer 13 107" xfId="30393"/>
    <cellStyle name="Comma [0] TBD_Equip Adj Vs Highlander &amp; Explorer 13 108" xfId="30394"/>
    <cellStyle name="Comma [0] TBD-_Equip Adj Vs Highlander &amp; Explorer 13 108" xfId="30395"/>
    <cellStyle name="Comma [0] TBD_Equip Adj Vs Highlander &amp; Explorer 13 109" xfId="30396"/>
    <cellStyle name="Comma [0] TBD-_Equip Adj Vs Highlander &amp; Explorer 13 109" xfId="30397"/>
    <cellStyle name="Comma [0] TBD_Equip Adj Vs Highlander &amp; Explorer 13 11" xfId="30398"/>
    <cellStyle name="Comma [0] TBD-_Equip Adj Vs Highlander &amp; Explorer 13 11" xfId="30399"/>
    <cellStyle name="Comma [0] TBD_Equip Adj Vs Highlander &amp; Explorer 13 110" xfId="30400"/>
    <cellStyle name="Comma [0] TBD-_Equip Adj Vs Highlander &amp; Explorer 13 110" xfId="30401"/>
    <cellStyle name="Comma [0] TBD_Equip Adj Vs Highlander &amp; Explorer 13 111" xfId="30402"/>
    <cellStyle name="Comma [0] TBD-_Equip Adj Vs Highlander &amp; Explorer 13 111" xfId="30403"/>
    <cellStyle name="Comma [0] TBD_Equip Adj Vs Highlander &amp; Explorer 13 112" xfId="30404"/>
    <cellStyle name="Comma [0] TBD-_Equip Adj Vs Highlander &amp; Explorer 13 112" xfId="30405"/>
    <cellStyle name="Comma [0] TBD_Equip Adj Vs Highlander &amp; Explorer 13 113" xfId="30406"/>
    <cellStyle name="Comma [0] TBD-_Equip Adj Vs Highlander &amp; Explorer 13 113" xfId="30407"/>
    <cellStyle name="Comma [0] TBD_Equip Adj Vs Highlander &amp; Explorer 13 114" xfId="30408"/>
    <cellStyle name="Comma [0] TBD-_Equip Adj Vs Highlander &amp; Explorer 13 114" xfId="30409"/>
    <cellStyle name="Comma [0] TBD_Equip Adj Vs Highlander &amp; Explorer 13 115" xfId="30410"/>
    <cellStyle name="Comma [0] TBD-_Equip Adj Vs Highlander &amp; Explorer 13 115" xfId="30411"/>
    <cellStyle name="Comma [0] TBD_Equip Adj Vs Highlander &amp; Explorer 13 116" xfId="30412"/>
    <cellStyle name="Comma [0] TBD-_Equip Adj Vs Highlander &amp; Explorer 13 116" xfId="30413"/>
    <cellStyle name="Comma [0] TBD_Equip Adj Vs Highlander &amp; Explorer 13 117" xfId="30414"/>
    <cellStyle name="Comma [0] TBD-_Equip Adj Vs Highlander &amp; Explorer 13 117" xfId="30415"/>
    <cellStyle name="Comma [0] TBD_Equip Adj Vs Highlander &amp; Explorer 13 118" xfId="30416"/>
    <cellStyle name="Comma [0] TBD-_Equip Adj Vs Highlander &amp; Explorer 13 118" xfId="30417"/>
    <cellStyle name="Comma [0] TBD_Equip Adj Vs Highlander &amp; Explorer 13 119" xfId="30418"/>
    <cellStyle name="Comma [0] TBD-_Equip Adj Vs Highlander &amp; Explorer 13 119" xfId="30419"/>
    <cellStyle name="Comma [0] TBD_Equip Adj Vs Highlander &amp; Explorer 13 12" xfId="30420"/>
    <cellStyle name="Comma [0] TBD-_Equip Adj Vs Highlander &amp; Explorer 13 12" xfId="30421"/>
    <cellStyle name="Comma [0] TBD_Equip Adj Vs Highlander &amp; Explorer 13 120" xfId="30422"/>
    <cellStyle name="Comma [0] TBD-_Equip Adj Vs Highlander &amp; Explorer 13 120" xfId="30423"/>
    <cellStyle name="Comma [0] TBD_Equip Adj Vs Highlander &amp; Explorer 13 121" xfId="30424"/>
    <cellStyle name="Comma [0] TBD-_Equip Adj Vs Highlander &amp; Explorer 13 121" xfId="30425"/>
    <cellStyle name="Comma [0] TBD_Equip Adj Vs Highlander &amp; Explorer 13 122" xfId="30426"/>
    <cellStyle name="Comma [0] TBD-_Equip Adj Vs Highlander &amp; Explorer 13 122" xfId="30427"/>
    <cellStyle name="Comma [0] TBD_Equip Adj Vs Highlander &amp; Explorer 13 123" xfId="30428"/>
    <cellStyle name="Comma [0] TBD-_Equip Adj Vs Highlander &amp; Explorer 13 123" xfId="30429"/>
    <cellStyle name="Comma [0] TBD_Equip Adj Vs Highlander &amp; Explorer 13 124" xfId="30430"/>
    <cellStyle name="Comma [0] TBD-_Equip Adj Vs Highlander &amp; Explorer 13 124" xfId="30431"/>
    <cellStyle name="Comma [0] TBD_Equip Adj Vs Highlander &amp; Explorer 13 125" xfId="30432"/>
    <cellStyle name="Comma [0] TBD-_Equip Adj Vs Highlander &amp; Explorer 13 125" xfId="30433"/>
    <cellStyle name="Comma [0] TBD_Equip Adj Vs Highlander &amp; Explorer 13 126" xfId="30434"/>
    <cellStyle name="Comma [0] TBD-_Equip Adj Vs Highlander &amp; Explorer 13 126" xfId="30435"/>
    <cellStyle name="Comma [0] TBD_Equip Adj Vs Highlander &amp; Explorer 13 127" xfId="30436"/>
    <cellStyle name="Comma [0] TBD-_Equip Adj Vs Highlander &amp; Explorer 13 127" xfId="30437"/>
    <cellStyle name="Comma [0] TBD_Equip Adj Vs Highlander &amp; Explorer 13 128" xfId="30438"/>
    <cellStyle name="Comma [0] TBD-_Equip Adj Vs Highlander &amp; Explorer 13 128" xfId="30439"/>
    <cellStyle name="Comma [0] TBD_Equip Adj Vs Highlander &amp; Explorer 13 129" xfId="30440"/>
    <cellStyle name="Comma [0] TBD-_Equip Adj Vs Highlander &amp; Explorer 13 129" xfId="30441"/>
    <cellStyle name="Comma [0] TBD_Equip Adj Vs Highlander &amp; Explorer 13 13" xfId="30442"/>
    <cellStyle name="Comma [0] TBD-_Equip Adj Vs Highlander &amp; Explorer 13 13" xfId="30443"/>
    <cellStyle name="Comma [0] TBD_Equip Adj Vs Highlander &amp; Explorer 13 130" xfId="30444"/>
    <cellStyle name="Comma [0] TBD-_Equip Adj Vs Highlander &amp; Explorer 13 130" xfId="30445"/>
    <cellStyle name="Comma [0] TBD_Equip Adj Vs Highlander &amp; Explorer 13 131" xfId="30446"/>
    <cellStyle name="Comma [0] TBD-_Equip Adj Vs Highlander &amp; Explorer 13 131" xfId="30447"/>
    <cellStyle name="Comma [0] TBD_Equip Adj Vs Highlander &amp; Explorer 13 132" xfId="30448"/>
    <cellStyle name="Comma [0] TBD-_Equip Adj Vs Highlander &amp; Explorer 13 132" xfId="30449"/>
    <cellStyle name="Comma [0] TBD_Equip Adj Vs Highlander &amp; Explorer 13 133" xfId="30450"/>
    <cellStyle name="Comma [0] TBD-_Equip Adj Vs Highlander &amp; Explorer 13 133" xfId="30451"/>
    <cellStyle name="Comma [0] TBD_Equip Adj Vs Highlander &amp; Explorer 13 134" xfId="30452"/>
    <cellStyle name="Comma [0] TBD-_Equip Adj Vs Highlander &amp; Explorer 13 134" xfId="30453"/>
    <cellStyle name="Comma [0] TBD_Equip Adj Vs Highlander &amp; Explorer 13 135" xfId="30454"/>
    <cellStyle name="Comma [0] TBD-_Equip Adj Vs Highlander &amp; Explorer 13 135" xfId="30455"/>
    <cellStyle name="Comma [0] TBD_Equip Adj Vs Highlander &amp; Explorer 13 136" xfId="30456"/>
    <cellStyle name="Comma [0] TBD-_Equip Adj Vs Highlander &amp; Explorer 13 136" xfId="30457"/>
    <cellStyle name="Comma [0] TBD_Equip Adj Vs Highlander &amp; Explorer 13 137" xfId="30458"/>
    <cellStyle name="Comma [0] TBD-_Equip Adj Vs Highlander &amp; Explorer 13 137" xfId="30459"/>
    <cellStyle name="Comma [0] TBD_Equip Adj Vs Highlander &amp; Explorer 13 138" xfId="30460"/>
    <cellStyle name="Comma [0] TBD-_Equip Adj Vs Highlander &amp; Explorer 13 138" xfId="30461"/>
    <cellStyle name="Comma [0] TBD_Equip Adj Vs Highlander &amp; Explorer 13 139" xfId="30462"/>
    <cellStyle name="Comma [0] TBD-_Equip Adj Vs Highlander &amp; Explorer 13 139" xfId="30463"/>
    <cellStyle name="Comma [0] TBD_Equip Adj Vs Highlander &amp; Explorer 13 14" xfId="30464"/>
    <cellStyle name="Comma [0] TBD-_Equip Adj Vs Highlander &amp; Explorer 13 14" xfId="30465"/>
    <cellStyle name="Comma [0] TBD_Equip Adj Vs Highlander &amp; Explorer 13 140" xfId="30466"/>
    <cellStyle name="Comma [0] TBD-_Equip Adj Vs Highlander &amp; Explorer 13 140" xfId="30467"/>
    <cellStyle name="Comma [0] TBD_Equip Adj Vs Highlander &amp; Explorer 13 141" xfId="30468"/>
    <cellStyle name="Comma [0] TBD-_Equip Adj Vs Highlander &amp; Explorer 13 141" xfId="30469"/>
    <cellStyle name="Comma [0] TBD_Equip Adj Vs Highlander &amp; Explorer 13 142" xfId="30470"/>
    <cellStyle name="Comma [0] TBD-_Equip Adj Vs Highlander &amp; Explorer 13 142" xfId="30471"/>
    <cellStyle name="Comma [0] TBD_Equip Adj Vs Highlander &amp; Explorer 13 143" xfId="30472"/>
    <cellStyle name="Comma [0] TBD-_Equip Adj Vs Highlander &amp; Explorer 13 143" xfId="30473"/>
    <cellStyle name="Comma [0] TBD_Equip Adj Vs Highlander &amp; Explorer 13 144" xfId="30474"/>
    <cellStyle name="Comma [0] TBD-_Equip Adj Vs Highlander &amp; Explorer 13 144" xfId="30475"/>
    <cellStyle name="Comma [0] TBD_Equip Adj Vs Highlander &amp; Explorer 13 145" xfId="30476"/>
    <cellStyle name="Comma [0] TBD-_Equip Adj Vs Highlander &amp; Explorer 13 145" xfId="30477"/>
    <cellStyle name="Comma [0] TBD_Equip Adj Vs Highlander &amp; Explorer 13 146" xfId="30478"/>
    <cellStyle name="Comma [0] TBD-_Equip Adj Vs Highlander &amp; Explorer 13 146" xfId="30479"/>
    <cellStyle name="Comma [0] TBD_Equip Adj Vs Highlander &amp; Explorer 13 147" xfId="30480"/>
    <cellStyle name="Comma [0] TBD-_Equip Adj Vs Highlander &amp; Explorer 13 147" xfId="30481"/>
    <cellStyle name="Comma [0] TBD_Equip Adj Vs Highlander &amp; Explorer 13 148" xfId="30482"/>
    <cellStyle name="Comma [0] TBD-_Equip Adj Vs Highlander &amp; Explorer 13 148" xfId="30483"/>
    <cellStyle name="Comma [0] TBD_Equip Adj Vs Highlander &amp; Explorer 13 149" xfId="30484"/>
    <cellStyle name="Comma [0] TBD-_Equip Adj Vs Highlander &amp; Explorer 13 149" xfId="30485"/>
    <cellStyle name="Comma [0] TBD_Equip Adj Vs Highlander &amp; Explorer 13 15" xfId="30486"/>
    <cellStyle name="Comma [0] TBD-_Equip Adj Vs Highlander &amp; Explorer 13 15" xfId="30487"/>
    <cellStyle name="Comma [0] TBD_Equip Adj Vs Highlander &amp; Explorer 13 150" xfId="30488"/>
    <cellStyle name="Comma [0] TBD-_Equip Adj Vs Highlander &amp; Explorer 13 150" xfId="30489"/>
    <cellStyle name="Comma [0] TBD_Equip Adj Vs Highlander &amp; Explorer 13 151" xfId="30490"/>
    <cellStyle name="Comma [0] TBD-_Equip Adj Vs Highlander &amp; Explorer 13 151" xfId="30491"/>
    <cellStyle name="Comma [0] TBD_Equip Adj Vs Highlander &amp; Explorer 13 152" xfId="30492"/>
    <cellStyle name="Comma [0] TBD-_Equip Adj Vs Highlander &amp; Explorer 13 152" xfId="30493"/>
    <cellStyle name="Comma [0] TBD_Equip Adj Vs Highlander &amp; Explorer 13 153" xfId="30494"/>
    <cellStyle name="Comma [0] TBD-_Equip Adj Vs Highlander &amp; Explorer 13 153" xfId="30495"/>
    <cellStyle name="Comma [0] TBD_Equip Adj Vs Highlander &amp; Explorer 13 16" xfId="30496"/>
    <cellStyle name="Comma [0] TBD-_Equip Adj Vs Highlander &amp; Explorer 13 16" xfId="30497"/>
    <cellStyle name="Comma [0] TBD_Equip Adj Vs Highlander &amp; Explorer 13 17" xfId="30498"/>
    <cellStyle name="Comma [0] TBD-_Equip Adj Vs Highlander &amp; Explorer 13 17" xfId="30499"/>
    <cellStyle name="Comma [0] TBD_Equip Adj Vs Highlander &amp; Explorer 13 18" xfId="30500"/>
    <cellStyle name="Comma [0] TBD-_Equip Adj Vs Highlander &amp; Explorer 13 18" xfId="30501"/>
    <cellStyle name="Comma [0] TBD_Equip Adj Vs Highlander &amp; Explorer 13 19" xfId="30502"/>
    <cellStyle name="Comma [0] TBD-_Equip Adj Vs Highlander &amp; Explorer 13 19" xfId="30503"/>
    <cellStyle name="Comma [0] TBD_Equip Adj Vs Highlander &amp; Explorer 13 2" xfId="30504"/>
    <cellStyle name="Comma [0] TBD-_Equip Adj Vs Highlander &amp; Explorer 13 2" xfId="30505"/>
    <cellStyle name="Comma [0] TBD_Equip Adj Vs Highlander &amp; Explorer 13 20" xfId="30506"/>
    <cellStyle name="Comma [0] TBD-_Equip Adj Vs Highlander &amp; Explorer 13 20" xfId="30507"/>
    <cellStyle name="Comma [0] TBD_Equip Adj Vs Highlander &amp; Explorer 13 21" xfId="30508"/>
    <cellStyle name="Comma [0] TBD-_Equip Adj Vs Highlander &amp; Explorer 13 21" xfId="30509"/>
    <cellStyle name="Comma [0] TBD_Equip Adj Vs Highlander &amp; Explorer 13 22" xfId="30510"/>
    <cellStyle name="Comma [0] TBD-_Equip Adj Vs Highlander &amp; Explorer 13 22" xfId="30511"/>
    <cellStyle name="Comma [0] TBD_Equip Adj Vs Highlander &amp; Explorer 13 23" xfId="30512"/>
    <cellStyle name="Comma [0] TBD-_Equip Adj Vs Highlander &amp; Explorer 13 23" xfId="30513"/>
    <cellStyle name="Comma [0] TBD_Equip Adj Vs Highlander &amp; Explorer 13 24" xfId="30514"/>
    <cellStyle name="Comma [0] TBD-_Equip Adj Vs Highlander &amp; Explorer 13 24" xfId="30515"/>
    <cellStyle name="Comma [0] TBD_Equip Adj Vs Highlander &amp; Explorer 13 25" xfId="30516"/>
    <cellStyle name="Comma [0] TBD-_Equip Adj Vs Highlander &amp; Explorer 13 25" xfId="30517"/>
    <cellStyle name="Comma [0] TBD_Equip Adj Vs Highlander &amp; Explorer 13 26" xfId="30518"/>
    <cellStyle name="Comma [0] TBD-_Equip Adj Vs Highlander &amp; Explorer 13 26" xfId="30519"/>
    <cellStyle name="Comma [0] TBD_Equip Adj Vs Highlander &amp; Explorer 13 27" xfId="30520"/>
    <cellStyle name="Comma [0] TBD-_Equip Adj Vs Highlander &amp; Explorer 13 27" xfId="30521"/>
    <cellStyle name="Comma [0] TBD_Equip Adj Vs Highlander &amp; Explorer 13 28" xfId="30522"/>
    <cellStyle name="Comma [0] TBD-_Equip Adj Vs Highlander &amp; Explorer 13 28" xfId="30523"/>
    <cellStyle name="Comma [0] TBD_Equip Adj Vs Highlander &amp; Explorer 13 29" xfId="30524"/>
    <cellStyle name="Comma [0] TBD-_Equip Adj Vs Highlander &amp; Explorer 13 29" xfId="30525"/>
    <cellStyle name="Comma [0] TBD_Equip Adj Vs Highlander &amp; Explorer 13 3" xfId="30526"/>
    <cellStyle name="Comma [0] TBD-_Equip Adj Vs Highlander &amp; Explorer 13 3" xfId="30527"/>
    <cellStyle name="Comma [0] TBD_Equip Adj Vs Highlander &amp; Explorer 13 30" xfId="30528"/>
    <cellStyle name="Comma [0] TBD-_Equip Adj Vs Highlander &amp; Explorer 13 30" xfId="30529"/>
    <cellStyle name="Comma [0] TBD_Equip Adj Vs Highlander &amp; Explorer 13 31" xfId="30530"/>
    <cellStyle name="Comma [0] TBD-_Equip Adj Vs Highlander &amp; Explorer 13 31" xfId="30531"/>
    <cellStyle name="Comma [0] TBD_Equip Adj Vs Highlander &amp; Explorer 13 32" xfId="30532"/>
    <cellStyle name="Comma [0] TBD-_Equip Adj Vs Highlander &amp; Explorer 13 32" xfId="30533"/>
    <cellStyle name="Comma [0] TBD_Equip Adj Vs Highlander &amp; Explorer 13 33" xfId="30534"/>
    <cellStyle name="Comma [0] TBD-_Equip Adj Vs Highlander &amp; Explorer 13 33" xfId="30535"/>
    <cellStyle name="Comma [0] TBD_Equip Adj Vs Highlander &amp; Explorer 13 34" xfId="30536"/>
    <cellStyle name="Comma [0] TBD-_Equip Adj Vs Highlander &amp; Explorer 13 34" xfId="30537"/>
    <cellStyle name="Comma [0] TBD_Equip Adj Vs Highlander &amp; Explorer 13 35" xfId="30538"/>
    <cellStyle name="Comma [0] TBD-_Equip Adj Vs Highlander &amp; Explorer 13 35" xfId="30539"/>
    <cellStyle name="Comma [0] TBD_Equip Adj Vs Highlander &amp; Explorer 13 36" xfId="30540"/>
    <cellStyle name="Comma [0] TBD-_Equip Adj Vs Highlander &amp; Explorer 13 36" xfId="30541"/>
    <cellStyle name="Comma [0] TBD_Equip Adj Vs Highlander &amp; Explorer 13 37" xfId="30542"/>
    <cellStyle name="Comma [0] TBD-_Equip Adj Vs Highlander &amp; Explorer 13 37" xfId="30543"/>
    <cellStyle name="Comma [0] TBD_Equip Adj Vs Highlander &amp; Explorer 13 38" xfId="30544"/>
    <cellStyle name="Comma [0] TBD-_Equip Adj Vs Highlander &amp; Explorer 13 38" xfId="30545"/>
    <cellStyle name="Comma [0] TBD_Equip Adj Vs Highlander &amp; Explorer 13 39" xfId="30546"/>
    <cellStyle name="Comma [0] TBD-_Equip Adj Vs Highlander &amp; Explorer 13 39" xfId="30547"/>
    <cellStyle name="Comma [0] TBD_Equip Adj Vs Highlander &amp; Explorer 13 4" xfId="30548"/>
    <cellStyle name="Comma [0] TBD-_Equip Adj Vs Highlander &amp; Explorer 13 4" xfId="30549"/>
    <cellStyle name="Comma [0] TBD_Equip Adj Vs Highlander &amp; Explorer 13 40" xfId="30550"/>
    <cellStyle name="Comma [0] TBD-_Equip Adj Vs Highlander &amp; Explorer 13 40" xfId="30551"/>
    <cellStyle name="Comma [0] TBD_Equip Adj Vs Highlander &amp; Explorer 13 41" xfId="30552"/>
    <cellStyle name="Comma [0] TBD-_Equip Adj Vs Highlander &amp; Explorer 13 41" xfId="30553"/>
    <cellStyle name="Comma [0] TBD_Equip Adj Vs Highlander &amp; Explorer 13 42" xfId="30554"/>
    <cellStyle name="Comma [0] TBD-_Equip Adj Vs Highlander &amp; Explorer 13 42" xfId="30555"/>
    <cellStyle name="Comma [0] TBD_Equip Adj Vs Highlander &amp; Explorer 13 43" xfId="30556"/>
    <cellStyle name="Comma [0] TBD-_Equip Adj Vs Highlander &amp; Explorer 13 43" xfId="30557"/>
    <cellStyle name="Comma [0] TBD_Equip Adj Vs Highlander &amp; Explorer 13 44" xfId="30558"/>
    <cellStyle name="Comma [0] TBD-_Equip Adj Vs Highlander &amp; Explorer 13 44" xfId="30559"/>
    <cellStyle name="Comma [0] TBD_Equip Adj Vs Highlander &amp; Explorer 13 45" xfId="30560"/>
    <cellStyle name="Comma [0] TBD-_Equip Adj Vs Highlander &amp; Explorer 13 45" xfId="30561"/>
    <cellStyle name="Comma [0] TBD_Equip Adj Vs Highlander &amp; Explorer 13 46" xfId="30562"/>
    <cellStyle name="Comma [0] TBD-_Equip Adj Vs Highlander &amp; Explorer 13 46" xfId="30563"/>
    <cellStyle name="Comma [0] TBD_Equip Adj Vs Highlander &amp; Explorer 13 47" xfId="30564"/>
    <cellStyle name="Comma [0] TBD-_Equip Adj Vs Highlander &amp; Explorer 13 47" xfId="30565"/>
    <cellStyle name="Comma [0] TBD_Equip Adj Vs Highlander &amp; Explorer 13 48" xfId="30566"/>
    <cellStyle name="Comma [0] TBD-_Equip Adj Vs Highlander &amp; Explorer 13 48" xfId="30567"/>
    <cellStyle name="Comma [0] TBD_Equip Adj Vs Highlander &amp; Explorer 13 49" xfId="30568"/>
    <cellStyle name="Comma [0] TBD-_Equip Adj Vs Highlander &amp; Explorer 13 49" xfId="30569"/>
    <cellStyle name="Comma [0] TBD_Equip Adj Vs Highlander &amp; Explorer 13 5" xfId="30570"/>
    <cellStyle name="Comma [0] TBD-_Equip Adj Vs Highlander &amp; Explorer 13 5" xfId="30571"/>
    <cellStyle name="Comma [0] TBD_Equip Adj Vs Highlander &amp; Explorer 13 50" xfId="30572"/>
    <cellStyle name="Comma [0] TBD-_Equip Adj Vs Highlander &amp; Explorer 13 50" xfId="30573"/>
    <cellStyle name="Comma [0] TBD_Equip Adj Vs Highlander &amp; Explorer 13 51" xfId="30574"/>
    <cellStyle name="Comma [0] TBD-_Equip Adj Vs Highlander &amp; Explorer 13 51" xfId="30575"/>
    <cellStyle name="Comma [0] TBD_Equip Adj Vs Highlander &amp; Explorer 13 52" xfId="30576"/>
    <cellStyle name="Comma [0] TBD-_Equip Adj Vs Highlander &amp; Explorer 13 52" xfId="30577"/>
    <cellStyle name="Comma [0] TBD_Equip Adj Vs Highlander &amp; Explorer 13 53" xfId="30578"/>
    <cellStyle name="Comma [0] TBD-_Equip Adj Vs Highlander &amp; Explorer 13 53" xfId="30579"/>
    <cellStyle name="Comma [0] TBD_Equip Adj Vs Highlander &amp; Explorer 13 54" xfId="30580"/>
    <cellStyle name="Comma [0] TBD-_Equip Adj Vs Highlander &amp; Explorer 13 54" xfId="30581"/>
    <cellStyle name="Comma [0] TBD_Equip Adj Vs Highlander &amp; Explorer 13 55" xfId="30582"/>
    <cellStyle name="Comma [0] TBD-_Equip Adj Vs Highlander &amp; Explorer 13 55" xfId="30583"/>
    <cellStyle name="Comma [0] TBD_Equip Adj Vs Highlander &amp; Explorer 13 56" xfId="30584"/>
    <cellStyle name="Comma [0] TBD-_Equip Adj Vs Highlander &amp; Explorer 13 56" xfId="30585"/>
    <cellStyle name="Comma [0] TBD_Equip Adj Vs Highlander &amp; Explorer 13 57" xfId="30586"/>
    <cellStyle name="Comma [0] TBD-_Equip Adj Vs Highlander &amp; Explorer 13 57" xfId="30587"/>
    <cellStyle name="Comma [0] TBD_Equip Adj Vs Highlander &amp; Explorer 13 58" xfId="30588"/>
    <cellStyle name="Comma [0] TBD-_Equip Adj Vs Highlander &amp; Explorer 13 58" xfId="30589"/>
    <cellStyle name="Comma [0] TBD_Equip Adj Vs Highlander &amp; Explorer 13 59" xfId="30590"/>
    <cellStyle name="Comma [0] TBD-_Equip Adj Vs Highlander &amp; Explorer 13 59" xfId="30591"/>
    <cellStyle name="Comma [0] TBD_Equip Adj Vs Highlander &amp; Explorer 13 6" xfId="30592"/>
    <cellStyle name="Comma [0] TBD-_Equip Adj Vs Highlander &amp; Explorer 13 6" xfId="30593"/>
    <cellStyle name="Comma [0] TBD_Equip Adj Vs Highlander &amp; Explorer 13 60" xfId="30594"/>
    <cellStyle name="Comma [0] TBD-_Equip Adj Vs Highlander &amp; Explorer 13 60" xfId="30595"/>
    <cellStyle name="Comma [0] TBD_Equip Adj Vs Highlander &amp; Explorer 13 61" xfId="30596"/>
    <cellStyle name="Comma [0] TBD-_Equip Adj Vs Highlander &amp; Explorer 13 61" xfId="30597"/>
    <cellStyle name="Comma [0] TBD_Equip Adj Vs Highlander &amp; Explorer 13 62" xfId="30598"/>
    <cellStyle name="Comma [0] TBD-_Equip Adj Vs Highlander &amp; Explorer 13 62" xfId="30599"/>
    <cellStyle name="Comma [0] TBD_Equip Adj Vs Highlander &amp; Explorer 13 63" xfId="30600"/>
    <cellStyle name="Comma [0] TBD-_Equip Adj Vs Highlander &amp; Explorer 13 63" xfId="30601"/>
    <cellStyle name="Comma [0] TBD_Equip Adj Vs Highlander &amp; Explorer 13 64" xfId="30602"/>
    <cellStyle name="Comma [0] TBD-_Equip Adj Vs Highlander &amp; Explorer 13 64" xfId="30603"/>
    <cellStyle name="Comma [0] TBD_Equip Adj Vs Highlander &amp; Explorer 13 65" xfId="30604"/>
    <cellStyle name="Comma [0] TBD-_Equip Adj Vs Highlander &amp; Explorer 13 65" xfId="30605"/>
    <cellStyle name="Comma [0] TBD_Equip Adj Vs Highlander &amp; Explorer 13 66" xfId="30606"/>
    <cellStyle name="Comma [0] TBD-_Equip Adj Vs Highlander &amp; Explorer 13 66" xfId="30607"/>
    <cellStyle name="Comma [0] TBD_Equip Adj Vs Highlander &amp; Explorer 13 67" xfId="30608"/>
    <cellStyle name="Comma [0] TBD-_Equip Adj Vs Highlander &amp; Explorer 13 67" xfId="30609"/>
    <cellStyle name="Comma [0] TBD_Equip Adj Vs Highlander &amp; Explorer 13 68" xfId="30610"/>
    <cellStyle name="Comma [0] TBD-_Equip Adj Vs Highlander &amp; Explorer 13 68" xfId="30611"/>
    <cellStyle name="Comma [0] TBD_Equip Adj Vs Highlander &amp; Explorer 13 69" xfId="30612"/>
    <cellStyle name="Comma [0] TBD-_Equip Adj Vs Highlander &amp; Explorer 13 69" xfId="30613"/>
    <cellStyle name="Comma [0] TBD_Equip Adj Vs Highlander &amp; Explorer 13 7" xfId="30614"/>
    <cellStyle name="Comma [0] TBD-_Equip Adj Vs Highlander &amp; Explorer 13 7" xfId="30615"/>
    <cellStyle name="Comma [0] TBD_Equip Adj Vs Highlander &amp; Explorer 13 70" xfId="30616"/>
    <cellStyle name="Comma [0] TBD-_Equip Adj Vs Highlander &amp; Explorer 13 70" xfId="30617"/>
    <cellStyle name="Comma [0] TBD_Equip Adj Vs Highlander &amp; Explorer 13 71" xfId="30618"/>
    <cellStyle name="Comma [0] TBD-_Equip Adj Vs Highlander &amp; Explorer 13 71" xfId="30619"/>
    <cellStyle name="Comma [0] TBD_Equip Adj Vs Highlander &amp; Explorer 13 72" xfId="30620"/>
    <cellStyle name="Comma [0] TBD-_Equip Adj Vs Highlander &amp; Explorer 13 72" xfId="30621"/>
    <cellStyle name="Comma [0] TBD_Equip Adj Vs Highlander &amp; Explorer 13 73" xfId="30622"/>
    <cellStyle name="Comma [0] TBD-_Equip Adj Vs Highlander &amp; Explorer 13 73" xfId="30623"/>
    <cellStyle name="Comma [0] TBD_Equip Adj Vs Highlander &amp; Explorer 13 74" xfId="30624"/>
    <cellStyle name="Comma [0] TBD-_Equip Adj Vs Highlander &amp; Explorer 13 74" xfId="30625"/>
    <cellStyle name="Comma [0] TBD_Equip Adj Vs Highlander &amp; Explorer 13 75" xfId="30626"/>
    <cellStyle name="Comma [0] TBD-_Equip Adj Vs Highlander &amp; Explorer 13 75" xfId="30627"/>
    <cellStyle name="Comma [0] TBD_Equip Adj Vs Highlander &amp; Explorer 13 76" xfId="30628"/>
    <cellStyle name="Comma [0] TBD-_Equip Adj Vs Highlander &amp; Explorer 13 76" xfId="30629"/>
    <cellStyle name="Comma [0] TBD_Equip Adj Vs Highlander &amp; Explorer 13 77" xfId="30630"/>
    <cellStyle name="Comma [0] TBD-_Equip Adj Vs Highlander &amp; Explorer 13 77" xfId="30631"/>
    <cellStyle name="Comma [0] TBD_Equip Adj Vs Highlander &amp; Explorer 13 78" xfId="30632"/>
    <cellStyle name="Comma [0] TBD-_Equip Adj Vs Highlander &amp; Explorer 13 78" xfId="30633"/>
    <cellStyle name="Comma [0] TBD_Equip Adj Vs Highlander &amp; Explorer 13 79" xfId="30634"/>
    <cellStyle name="Comma [0] TBD-_Equip Adj Vs Highlander &amp; Explorer 13 79" xfId="30635"/>
    <cellStyle name="Comma [0] TBD_Equip Adj Vs Highlander &amp; Explorer 13 8" xfId="30636"/>
    <cellStyle name="Comma [0] TBD-_Equip Adj Vs Highlander &amp; Explorer 13 8" xfId="30637"/>
    <cellStyle name="Comma [0] TBD_Equip Adj Vs Highlander &amp; Explorer 13 80" xfId="30638"/>
    <cellStyle name="Comma [0] TBD-_Equip Adj Vs Highlander &amp; Explorer 13 80" xfId="30639"/>
    <cellStyle name="Comma [0] TBD_Equip Adj Vs Highlander &amp; Explorer 13 81" xfId="30640"/>
    <cellStyle name="Comma [0] TBD-_Equip Adj Vs Highlander &amp; Explorer 13 81" xfId="30641"/>
    <cellStyle name="Comma [0] TBD_Equip Adj Vs Highlander &amp; Explorer 13 82" xfId="30642"/>
    <cellStyle name="Comma [0] TBD-_Equip Adj Vs Highlander &amp; Explorer 13 82" xfId="30643"/>
    <cellStyle name="Comma [0] TBD_Equip Adj Vs Highlander &amp; Explorer 13 83" xfId="30644"/>
    <cellStyle name="Comma [0] TBD-_Equip Adj Vs Highlander &amp; Explorer 13 83" xfId="30645"/>
    <cellStyle name="Comma [0] TBD_Equip Adj Vs Highlander &amp; Explorer 13 84" xfId="30646"/>
    <cellStyle name="Comma [0] TBD-_Equip Adj Vs Highlander &amp; Explorer 13 84" xfId="30647"/>
    <cellStyle name="Comma [0] TBD_Equip Adj Vs Highlander &amp; Explorer 13 85" xfId="30648"/>
    <cellStyle name="Comma [0] TBD-_Equip Adj Vs Highlander &amp; Explorer 13 85" xfId="30649"/>
    <cellStyle name="Comma [0] TBD_Equip Adj Vs Highlander &amp; Explorer 13 86" xfId="30650"/>
    <cellStyle name="Comma [0] TBD-_Equip Adj Vs Highlander &amp; Explorer 13 86" xfId="30651"/>
    <cellStyle name="Comma [0] TBD_Equip Adj Vs Highlander &amp; Explorer 13 87" xfId="30652"/>
    <cellStyle name="Comma [0] TBD-_Equip Adj Vs Highlander &amp; Explorer 13 87" xfId="30653"/>
    <cellStyle name="Comma [0] TBD_Equip Adj Vs Highlander &amp; Explorer 13 88" xfId="30654"/>
    <cellStyle name="Comma [0] TBD-_Equip Adj Vs Highlander &amp; Explorer 13 88" xfId="30655"/>
    <cellStyle name="Comma [0] TBD_Equip Adj Vs Highlander &amp; Explorer 13 89" xfId="30656"/>
    <cellStyle name="Comma [0] TBD-_Equip Adj Vs Highlander &amp; Explorer 13 89" xfId="30657"/>
    <cellStyle name="Comma [0] TBD_Equip Adj Vs Highlander &amp; Explorer 13 9" xfId="30658"/>
    <cellStyle name="Comma [0] TBD-_Equip Adj Vs Highlander &amp; Explorer 13 9" xfId="30659"/>
    <cellStyle name="Comma [0] TBD_Equip Adj Vs Highlander &amp; Explorer 13 90" xfId="30660"/>
    <cellStyle name="Comma [0] TBD-_Equip Adj Vs Highlander &amp; Explorer 13 90" xfId="30661"/>
    <cellStyle name="Comma [0] TBD_Equip Adj Vs Highlander &amp; Explorer 13 91" xfId="30662"/>
    <cellStyle name="Comma [0] TBD-_Equip Adj Vs Highlander &amp; Explorer 13 91" xfId="30663"/>
    <cellStyle name="Comma [0] TBD_Equip Adj Vs Highlander &amp; Explorer 13 92" xfId="30664"/>
    <cellStyle name="Comma [0] TBD-_Equip Adj Vs Highlander &amp; Explorer 13 92" xfId="30665"/>
    <cellStyle name="Comma [0] TBD_Equip Adj Vs Highlander &amp; Explorer 13 93" xfId="30666"/>
    <cellStyle name="Comma [0] TBD-_Equip Adj Vs Highlander &amp; Explorer 13 93" xfId="30667"/>
    <cellStyle name="Comma [0] TBD_Equip Adj Vs Highlander &amp; Explorer 13 94" xfId="30668"/>
    <cellStyle name="Comma [0] TBD-_Equip Adj Vs Highlander &amp; Explorer 13 94" xfId="30669"/>
    <cellStyle name="Comma [0] TBD_Equip Adj Vs Highlander &amp; Explorer 13 95" xfId="30670"/>
    <cellStyle name="Comma [0] TBD-_Equip Adj Vs Highlander &amp; Explorer 13 95" xfId="30671"/>
    <cellStyle name="Comma [0] TBD_Equip Adj Vs Highlander &amp; Explorer 13 96" xfId="30672"/>
    <cellStyle name="Comma [0] TBD-_Equip Adj Vs Highlander &amp; Explorer 13 96" xfId="30673"/>
    <cellStyle name="Comma [0] TBD_Equip Adj Vs Highlander &amp; Explorer 13 97" xfId="30674"/>
    <cellStyle name="Comma [0] TBD-_Equip Adj Vs Highlander &amp; Explorer 13 97" xfId="30675"/>
    <cellStyle name="Comma [0] TBD_Equip Adj Vs Highlander &amp; Explorer 13 98" xfId="30676"/>
    <cellStyle name="Comma [0] TBD-_Equip Adj Vs Highlander &amp; Explorer 13 98" xfId="30677"/>
    <cellStyle name="Comma [0] TBD_Equip Adj Vs Highlander &amp; Explorer 13 99" xfId="30678"/>
    <cellStyle name="Comma [0] TBD-_Equip Adj Vs Highlander &amp; Explorer 13 99" xfId="30679"/>
    <cellStyle name="Comma [0] TBD_Equip Adj Vs Highlander &amp; Explorer 14" xfId="30680"/>
    <cellStyle name="Comma [0] TBD-_Equip Adj Vs Highlander &amp; Explorer 14" xfId="30681"/>
    <cellStyle name="Comma [0] TBD_Equip Adj Vs Highlander &amp; Explorer 14 10" xfId="30682"/>
    <cellStyle name="Comma [0] TBD-_Equip Adj Vs Highlander &amp; Explorer 14 10" xfId="30683"/>
    <cellStyle name="Comma [0] TBD_Equip Adj Vs Highlander &amp; Explorer 14 100" xfId="30684"/>
    <cellStyle name="Comma [0] TBD-_Equip Adj Vs Highlander &amp; Explorer 14 100" xfId="30685"/>
    <cellStyle name="Comma [0] TBD_Equip Adj Vs Highlander &amp; Explorer 14 101" xfId="30686"/>
    <cellStyle name="Comma [0] TBD-_Equip Adj Vs Highlander &amp; Explorer 14 101" xfId="30687"/>
    <cellStyle name="Comma [0] TBD_Equip Adj Vs Highlander &amp; Explorer 14 102" xfId="30688"/>
    <cellStyle name="Comma [0] TBD-_Equip Adj Vs Highlander &amp; Explorer 14 102" xfId="30689"/>
    <cellStyle name="Comma [0] TBD_Equip Adj Vs Highlander &amp; Explorer 14 103" xfId="30690"/>
    <cellStyle name="Comma [0] TBD-_Equip Adj Vs Highlander &amp; Explorer 14 103" xfId="30691"/>
    <cellStyle name="Comma [0] TBD_Equip Adj Vs Highlander &amp; Explorer 14 104" xfId="30692"/>
    <cellStyle name="Comma [0] TBD-_Equip Adj Vs Highlander &amp; Explorer 14 104" xfId="30693"/>
    <cellStyle name="Comma [0] TBD_Equip Adj Vs Highlander &amp; Explorer 14 105" xfId="30694"/>
    <cellStyle name="Comma [0] TBD-_Equip Adj Vs Highlander &amp; Explorer 14 105" xfId="30695"/>
    <cellStyle name="Comma [0] TBD_Equip Adj Vs Highlander &amp; Explorer 14 106" xfId="30696"/>
    <cellStyle name="Comma [0] TBD-_Equip Adj Vs Highlander &amp; Explorer 14 106" xfId="30697"/>
    <cellStyle name="Comma [0] TBD_Equip Adj Vs Highlander &amp; Explorer 14 107" xfId="30698"/>
    <cellStyle name="Comma [0] TBD-_Equip Adj Vs Highlander &amp; Explorer 14 107" xfId="30699"/>
    <cellStyle name="Comma [0] TBD_Equip Adj Vs Highlander &amp; Explorer 14 108" xfId="30700"/>
    <cellStyle name="Comma [0] TBD-_Equip Adj Vs Highlander &amp; Explorer 14 108" xfId="30701"/>
    <cellStyle name="Comma [0] TBD_Equip Adj Vs Highlander &amp; Explorer 14 109" xfId="30702"/>
    <cellStyle name="Comma [0] TBD-_Equip Adj Vs Highlander &amp; Explorer 14 109" xfId="30703"/>
    <cellStyle name="Comma [0] TBD_Equip Adj Vs Highlander &amp; Explorer 14 11" xfId="30704"/>
    <cellStyle name="Comma [0] TBD-_Equip Adj Vs Highlander &amp; Explorer 14 11" xfId="30705"/>
    <cellStyle name="Comma [0] TBD_Equip Adj Vs Highlander &amp; Explorer 14 110" xfId="30706"/>
    <cellStyle name="Comma [0] TBD-_Equip Adj Vs Highlander &amp; Explorer 14 110" xfId="30707"/>
    <cellStyle name="Comma [0] TBD_Equip Adj Vs Highlander &amp; Explorer 14 111" xfId="30708"/>
    <cellStyle name="Comma [0] TBD-_Equip Adj Vs Highlander &amp; Explorer 14 111" xfId="30709"/>
    <cellStyle name="Comma [0] TBD_Equip Adj Vs Highlander &amp; Explorer 14 112" xfId="30710"/>
    <cellStyle name="Comma [0] TBD-_Equip Adj Vs Highlander &amp; Explorer 14 112" xfId="30711"/>
    <cellStyle name="Comma [0] TBD_Equip Adj Vs Highlander &amp; Explorer 14 113" xfId="30712"/>
    <cellStyle name="Comma [0] TBD-_Equip Adj Vs Highlander &amp; Explorer 14 113" xfId="30713"/>
    <cellStyle name="Comma [0] TBD_Equip Adj Vs Highlander &amp; Explorer 14 114" xfId="30714"/>
    <cellStyle name="Comma [0] TBD-_Equip Adj Vs Highlander &amp; Explorer 14 114" xfId="30715"/>
    <cellStyle name="Comma [0] TBD_Equip Adj Vs Highlander &amp; Explorer 14 115" xfId="30716"/>
    <cellStyle name="Comma [0] TBD-_Equip Adj Vs Highlander &amp; Explorer 14 115" xfId="30717"/>
    <cellStyle name="Comma [0] TBD_Equip Adj Vs Highlander &amp; Explorer 14 116" xfId="30718"/>
    <cellStyle name="Comma [0] TBD-_Equip Adj Vs Highlander &amp; Explorer 14 116" xfId="30719"/>
    <cellStyle name="Comma [0] TBD_Equip Adj Vs Highlander &amp; Explorer 14 117" xfId="30720"/>
    <cellStyle name="Comma [0] TBD-_Equip Adj Vs Highlander &amp; Explorer 14 117" xfId="30721"/>
    <cellStyle name="Comma [0] TBD_Equip Adj Vs Highlander &amp; Explorer 14 118" xfId="30722"/>
    <cellStyle name="Comma [0] TBD-_Equip Adj Vs Highlander &amp; Explorer 14 118" xfId="30723"/>
    <cellStyle name="Comma [0] TBD_Equip Adj Vs Highlander &amp; Explorer 14 119" xfId="30724"/>
    <cellStyle name="Comma [0] TBD-_Equip Adj Vs Highlander &amp; Explorer 14 119" xfId="30725"/>
    <cellStyle name="Comma [0] TBD_Equip Adj Vs Highlander &amp; Explorer 14 12" xfId="30726"/>
    <cellStyle name="Comma [0] TBD-_Equip Adj Vs Highlander &amp; Explorer 14 12" xfId="30727"/>
    <cellStyle name="Comma [0] TBD_Equip Adj Vs Highlander &amp; Explorer 14 120" xfId="30728"/>
    <cellStyle name="Comma [0] TBD-_Equip Adj Vs Highlander &amp; Explorer 14 120" xfId="30729"/>
    <cellStyle name="Comma [0] TBD_Equip Adj Vs Highlander &amp; Explorer 14 121" xfId="30730"/>
    <cellStyle name="Comma [0] TBD-_Equip Adj Vs Highlander &amp; Explorer 14 121" xfId="30731"/>
    <cellStyle name="Comma [0] TBD_Equip Adj Vs Highlander &amp; Explorer 14 122" xfId="30732"/>
    <cellStyle name="Comma [0] TBD-_Equip Adj Vs Highlander &amp; Explorer 14 122" xfId="30733"/>
    <cellStyle name="Comma [0] TBD_Equip Adj Vs Highlander &amp; Explorer 14 123" xfId="30734"/>
    <cellStyle name="Comma [0] TBD-_Equip Adj Vs Highlander &amp; Explorer 14 123" xfId="30735"/>
    <cellStyle name="Comma [0] TBD_Equip Adj Vs Highlander &amp; Explorer 14 124" xfId="30736"/>
    <cellStyle name="Comma [0] TBD-_Equip Adj Vs Highlander &amp; Explorer 14 124" xfId="30737"/>
    <cellStyle name="Comma [0] TBD_Equip Adj Vs Highlander &amp; Explorer 14 125" xfId="30738"/>
    <cellStyle name="Comma [0] TBD-_Equip Adj Vs Highlander &amp; Explorer 14 125" xfId="30739"/>
    <cellStyle name="Comma [0] TBD_Equip Adj Vs Highlander &amp; Explorer 14 126" xfId="30740"/>
    <cellStyle name="Comma [0] TBD-_Equip Adj Vs Highlander &amp; Explorer 14 126" xfId="30741"/>
    <cellStyle name="Comma [0] TBD_Equip Adj Vs Highlander &amp; Explorer 14 127" xfId="30742"/>
    <cellStyle name="Comma [0] TBD-_Equip Adj Vs Highlander &amp; Explorer 14 127" xfId="30743"/>
    <cellStyle name="Comma [0] TBD_Equip Adj Vs Highlander &amp; Explorer 14 128" xfId="30744"/>
    <cellStyle name="Comma [0] TBD-_Equip Adj Vs Highlander &amp; Explorer 14 128" xfId="30745"/>
    <cellStyle name="Comma [0] TBD_Equip Adj Vs Highlander &amp; Explorer 14 129" xfId="30746"/>
    <cellStyle name="Comma [0] TBD-_Equip Adj Vs Highlander &amp; Explorer 14 129" xfId="30747"/>
    <cellStyle name="Comma [0] TBD_Equip Adj Vs Highlander &amp; Explorer 14 13" xfId="30748"/>
    <cellStyle name="Comma [0] TBD-_Equip Adj Vs Highlander &amp; Explorer 14 13" xfId="30749"/>
    <cellStyle name="Comma [0] TBD_Equip Adj Vs Highlander &amp; Explorer 14 130" xfId="30750"/>
    <cellStyle name="Comma [0] TBD-_Equip Adj Vs Highlander &amp; Explorer 14 130" xfId="30751"/>
    <cellStyle name="Comma [0] TBD_Equip Adj Vs Highlander &amp; Explorer 14 131" xfId="30752"/>
    <cellStyle name="Comma [0] TBD-_Equip Adj Vs Highlander &amp; Explorer 14 131" xfId="30753"/>
    <cellStyle name="Comma [0] TBD_Equip Adj Vs Highlander &amp; Explorer 14 132" xfId="30754"/>
    <cellStyle name="Comma [0] TBD-_Equip Adj Vs Highlander &amp; Explorer 14 132" xfId="30755"/>
    <cellStyle name="Comma [0] TBD_Equip Adj Vs Highlander &amp; Explorer 14 133" xfId="30756"/>
    <cellStyle name="Comma [0] TBD-_Equip Adj Vs Highlander &amp; Explorer 14 133" xfId="30757"/>
    <cellStyle name="Comma [0] TBD_Equip Adj Vs Highlander &amp; Explorer 14 134" xfId="30758"/>
    <cellStyle name="Comma [0] TBD-_Equip Adj Vs Highlander &amp; Explorer 14 134" xfId="30759"/>
    <cellStyle name="Comma [0] TBD_Equip Adj Vs Highlander &amp; Explorer 14 135" xfId="30760"/>
    <cellStyle name="Comma [0] TBD-_Equip Adj Vs Highlander &amp; Explorer 14 135" xfId="30761"/>
    <cellStyle name="Comma [0] TBD_Equip Adj Vs Highlander &amp; Explorer 14 136" xfId="30762"/>
    <cellStyle name="Comma [0] TBD-_Equip Adj Vs Highlander &amp; Explorer 14 136" xfId="30763"/>
    <cellStyle name="Comma [0] TBD_Equip Adj Vs Highlander &amp; Explorer 14 137" xfId="30764"/>
    <cellStyle name="Comma [0] TBD-_Equip Adj Vs Highlander &amp; Explorer 14 137" xfId="30765"/>
    <cellStyle name="Comma [0] TBD_Equip Adj Vs Highlander &amp; Explorer 14 138" xfId="30766"/>
    <cellStyle name="Comma [0] TBD-_Equip Adj Vs Highlander &amp; Explorer 14 138" xfId="30767"/>
    <cellStyle name="Comma [0] TBD_Equip Adj Vs Highlander &amp; Explorer 14 139" xfId="30768"/>
    <cellStyle name="Comma [0] TBD-_Equip Adj Vs Highlander &amp; Explorer 14 139" xfId="30769"/>
    <cellStyle name="Comma [0] TBD_Equip Adj Vs Highlander &amp; Explorer 14 14" xfId="30770"/>
    <cellStyle name="Comma [0] TBD-_Equip Adj Vs Highlander &amp; Explorer 14 14" xfId="30771"/>
    <cellStyle name="Comma [0] TBD_Equip Adj Vs Highlander &amp; Explorer 14 140" xfId="30772"/>
    <cellStyle name="Comma [0] TBD-_Equip Adj Vs Highlander &amp; Explorer 14 140" xfId="30773"/>
    <cellStyle name="Comma [0] TBD_Equip Adj Vs Highlander &amp; Explorer 14 141" xfId="30774"/>
    <cellStyle name="Comma [0] TBD-_Equip Adj Vs Highlander &amp; Explorer 14 141" xfId="30775"/>
    <cellStyle name="Comma [0] TBD_Equip Adj Vs Highlander &amp; Explorer 14 142" xfId="30776"/>
    <cellStyle name="Comma [0] TBD-_Equip Adj Vs Highlander &amp; Explorer 14 142" xfId="30777"/>
    <cellStyle name="Comma [0] TBD_Equip Adj Vs Highlander &amp; Explorer 14 143" xfId="30778"/>
    <cellStyle name="Comma [0] TBD-_Equip Adj Vs Highlander &amp; Explorer 14 143" xfId="30779"/>
    <cellStyle name="Comma [0] TBD_Equip Adj Vs Highlander &amp; Explorer 14 144" xfId="30780"/>
    <cellStyle name="Comma [0] TBD-_Equip Adj Vs Highlander &amp; Explorer 14 144" xfId="30781"/>
    <cellStyle name="Comma [0] TBD_Equip Adj Vs Highlander &amp; Explorer 14 145" xfId="30782"/>
    <cellStyle name="Comma [0] TBD-_Equip Adj Vs Highlander &amp; Explorer 14 145" xfId="30783"/>
    <cellStyle name="Comma [0] TBD_Equip Adj Vs Highlander &amp; Explorer 14 146" xfId="30784"/>
    <cellStyle name="Comma [0] TBD-_Equip Adj Vs Highlander &amp; Explorer 14 146" xfId="30785"/>
    <cellStyle name="Comma [0] TBD_Equip Adj Vs Highlander &amp; Explorer 14 147" xfId="30786"/>
    <cellStyle name="Comma [0] TBD-_Equip Adj Vs Highlander &amp; Explorer 14 147" xfId="30787"/>
    <cellStyle name="Comma [0] TBD_Equip Adj Vs Highlander &amp; Explorer 14 148" xfId="30788"/>
    <cellStyle name="Comma [0] TBD-_Equip Adj Vs Highlander &amp; Explorer 14 148" xfId="30789"/>
    <cellStyle name="Comma [0] TBD_Equip Adj Vs Highlander &amp; Explorer 14 149" xfId="30790"/>
    <cellStyle name="Comma [0] TBD-_Equip Adj Vs Highlander &amp; Explorer 14 149" xfId="30791"/>
    <cellStyle name="Comma [0] TBD_Equip Adj Vs Highlander &amp; Explorer 14 15" xfId="30792"/>
    <cellStyle name="Comma [0] TBD-_Equip Adj Vs Highlander &amp; Explorer 14 15" xfId="30793"/>
    <cellStyle name="Comma [0] TBD_Equip Adj Vs Highlander &amp; Explorer 14 150" xfId="30794"/>
    <cellStyle name="Comma [0] TBD-_Equip Adj Vs Highlander &amp; Explorer 14 150" xfId="30795"/>
    <cellStyle name="Comma [0] TBD_Equip Adj Vs Highlander &amp; Explorer 14 151" xfId="30796"/>
    <cellStyle name="Comma [0] TBD-_Equip Adj Vs Highlander &amp; Explorer 14 151" xfId="30797"/>
    <cellStyle name="Comma [0] TBD_Equip Adj Vs Highlander &amp; Explorer 14 152" xfId="30798"/>
    <cellStyle name="Comma [0] TBD-_Equip Adj Vs Highlander &amp; Explorer 14 152" xfId="30799"/>
    <cellStyle name="Comma [0] TBD_Equip Adj Vs Highlander &amp; Explorer 14 153" xfId="30800"/>
    <cellStyle name="Comma [0] TBD-_Equip Adj Vs Highlander &amp; Explorer 14 153" xfId="30801"/>
    <cellStyle name="Comma [0] TBD_Equip Adj Vs Highlander &amp; Explorer 14 16" xfId="30802"/>
    <cellStyle name="Comma [0] TBD-_Equip Adj Vs Highlander &amp; Explorer 14 16" xfId="30803"/>
    <cellStyle name="Comma [0] TBD_Equip Adj Vs Highlander &amp; Explorer 14 17" xfId="30804"/>
    <cellStyle name="Comma [0] TBD-_Equip Adj Vs Highlander &amp; Explorer 14 17" xfId="30805"/>
    <cellStyle name="Comma [0] TBD_Equip Adj Vs Highlander &amp; Explorer 14 18" xfId="30806"/>
    <cellStyle name="Comma [0] TBD-_Equip Adj Vs Highlander &amp; Explorer 14 18" xfId="30807"/>
    <cellStyle name="Comma [0] TBD_Equip Adj Vs Highlander &amp; Explorer 14 19" xfId="30808"/>
    <cellStyle name="Comma [0] TBD-_Equip Adj Vs Highlander &amp; Explorer 14 19" xfId="30809"/>
    <cellStyle name="Comma [0] TBD_Equip Adj Vs Highlander &amp; Explorer 14 2" xfId="30810"/>
    <cellStyle name="Comma [0] TBD-_Equip Adj Vs Highlander &amp; Explorer 14 2" xfId="30811"/>
    <cellStyle name="Comma [0] TBD_Equip Adj Vs Highlander &amp; Explorer 14 20" xfId="30812"/>
    <cellStyle name="Comma [0] TBD-_Equip Adj Vs Highlander &amp; Explorer 14 20" xfId="30813"/>
    <cellStyle name="Comma [0] TBD_Equip Adj Vs Highlander &amp; Explorer 14 21" xfId="30814"/>
    <cellStyle name="Comma [0] TBD-_Equip Adj Vs Highlander &amp; Explorer 14 21" xfId="30815"/>
    <cellStyle name="Comma [0] TBD_Equip Adj Vs Highlander &amp; Explorer 14 22" xfId="30816"/>
    <cellStyle name="Comma [0] TBD-_Equip Adj Vs Highlander &amp; Explorer 14 22" xfId="30817"/>
    <cellStyle name="Comma [0] TBD_Equip Adj Vs Highlander &amp; Explorer 14 23" xfId="30818"/>
    <cellStyle name="Comma [0] TBD-_Equip Adj Vs Highlander &amp; Explorer 14 23" xfId="30819"/>
    <cellStyle name="Comma [0] TBD_Equip Adj Vs Highlander &amp; Explorer 14 24" xfId="30820"/>
    <cellStyle name="Comma [0] TBD-_Equip Adj Vs Highlander &amp; Explorer 14 24" xfId="30821"/>
    <cellStyle name="Comma [0] TBD_Equip Adj Vs Highlander &amp; Explorer 14 25" xfId="30822"/>
    <cellStyle name="Comma [0] TBD-_Equip Adj Vs Highlander &amp; Explorer 14 25" xfId="30823"/>
    <cellStyle name="Comma [0] TBD_Equip Adj Vs Highlander &amp; Explorer 14 26" xfId="30824"/>
    <cellStyle name="Comma [0] TBD-_Equip Adj Vs Highlander &amp; Explorer 14 26" xfId="30825"/>
    <cellStyle name="Comma [0] TBD_Equip Adj Vs Highlander &amp; Explorer 14 27" xfId="30826"/>
    <cellStyle name="Comma [0] TBD-_Equip Adj Vs Highlander &amp; Explorer 14 27" xfId="30827"/>
    <cellStyle name="Comma [0] TBD_Equip Adj Vs Highlander &amp; Explorer 14 28" xfId="30828"/>
    <cellStyle name="Comma [0] TBD-_Equip Adj Vs Highlander &amp; Explorer 14 28" xfId="30829"/>
    <cellStyle name="Comma [0] TBD_Equip Adj Vs Highlander &amp; Explorer 14 29" xfId="30830"/>
    <cellStyle name="Comma [0] TBD-_Equip Adj Vs Highlander &amp; Explorer 14 29" xfId="30831"/>
    <cellStyle name="Comma [0] TBD_Equip Adj Vs Highlander &amp; Explorer 14 3" xfId="30832"/>
    <cellStyle name="Comma [0] TBD-_Equip Adj Vs Highlander &amp; Explorer 14 3" xfId="30833"/>
    <cellStyle name="Comma [0] TBD_Equip Adj Vs Highlander &amp; Explorer 14 30" xfId="30834"/>
    <cellStyle name="Comma [0] TBD-_Equip Adj Vs Highlander &amp; Explorer 14 30" xfId="30835"/>
    <cellStyle name="Comma [0] TBD_Equip Adj Vs Highlander &amp; Explorer 14 31" xfId="30836"/>
    <cellStyle name="Comma [0] TBD-_Equip Adj Vs Highlander &amp; Explorer 14 31" xfId="30837"/>
    <cellStyle name="Comma [0] TBD_Equip Adj Vs Highlander &amp; Explorer 14 32" xfId="30838"/>
    <cellStyle name="Comma [0] TBD-_Equip Adj Vs Highlander &amp; Explorer 14 32" xfId="30839"/>
    <cellStyle name="Comma [0] TBD_Equip Adj Vs Highlander &amp; Explorer 14 33" xfId="30840"/>
    <cellStyle name="Comma [0] TBD-_Equip Adj Vs Highlander &amp; Explorer 14 33" xfId="30841"/>
    <cellStyle name="Comma [0] TBD_Equip Adj Vs Highlander &amp; Explorer 14 34" xfId="30842"/>
    <cellStyle name="Comma [0] TBD-_Equip Adj Vs Highlander &amp; Explorer 14 34" xfId="30843"/>
    <cellStyle name="Comma [0] TBD_Equip Adj Vs Highlander &amp; Explorer 14 35" xfId="30844"/>
    <cellStyle name="Comma [0] TBD-_Equip Adj Vs Highlander &amp; Explorer 14 35" xfId="30845"/>
    <cellStyle name="Comma [0] TBD_Equip Adj Vs Highlander &amp; Explorer 14 36" xfId="30846"/>
    <cellStyle name="Comma [0] TBD-_Equip Adj Vs Highlander &amp; Explorer 14 36" xfId="30847"/>
    <cellStyle name="Comma [0] TBD_Equip Adj Vs Highlander &amp; Explorer 14 37" xfId="30848"/>
    <cellStyle name="Comma [0] TBD-_Equip Adj Vs Highlander &amp; Explorer 14 37" xfId="30849"/>
    <cellStyle name="Comma [0] TBD_Equip Adj Vs Highlander &amp; Explorer 14 38" xfId="30850"/>
    <cellStyle name="Comma [0] TBD-_Equip Adj Vs Highlander &amp; Explorer 14 38" xfId="30851"/>
    <cellStyle name="Comma [0] TBD_Equip Adj Vs Highlander &amp; Explorer 14 39" xfId="30852"/>
    <cellStyle name="Comma [0] TBD-_Equip Adj Vs Highlander &amp; Explorer 14 39" xfId="30853"/>
    <cellStyle name="Comma [0] TBD_Equip Adj Vs Highlander &amp; Explorer 14 4" xfId="30854"/>
    <cellStyle name="Comma [0] TBD-_Equip Adj Vs Highlander &amp; Explorer 14 4" xfId="30855"/>
    <cellStyle name="Comma [0] TBD_Equip Adj Vs Highlander &amp; Explorer 14 40" xfId="30856"/>
    <cellStyle name="Comma [0] TBD-_Equip Adj Vs Highlander &amp; Explorer 14 40" xfId="30857"/>
    <cellStyle name="Comma [0] TBD_Equip Adj Vs Highlander &amp; Explorer 14 41" xfId="30858"/>
    <cellStyle name="Comma [0] TBD-_Equip Adj Vs Highlander &amp; Explorer 14 41" xfId="30859"/>
    <cellStyle name="Comma [0] TBD_Equip Adj Vs Highlander &amp; Explorer 14 42" xfId="30860"/>
    <cellStyle name="Comma [0] TBD-_Equip Adj Vs Highlander &amp; Explorer 14 42" xfId="30861"/>
    <cellStyle name="Comma [0] TBD_Equip Adj Vs Highlander &amp; Explorer 14 43" xfId="30862"/>
    <cellStyle name="Comma [0] TBD-_Equip Adj Vs Highlander &amp; Explorer 14 43" xfId="30863"/>
    <cellStyle name="Comma [0] TBD_Equip Adj Vs Highlander &amp; Explorer 14 44" xfId="30864"/>
    <cellStyle name="Comma [0] TBD-_Equip Adj Vs Highlander &amp; Explorer 14 44" xfId="30865"/>
    <cellStyle name="Comma [0] TBD_Equip Adj Vs Highlander &amp; Explorer 14 45" xfId="30866"/>
    <cellStyle name="Comma [0] TBD-_Equip Adj Vs Highlander &amp; Explorer 14 45" xfId="30867"/>
    <cellStyle name="Comma [0] TBD_Equip Adj Vs Highlander &amp; Explorer 14 46" xfId="30868"/>
    <cellStyle name="Comma [0] TBD-_Equip Adj Vs Highlander &amp; Explorer 14 46" xfId="30869"/>
    <cellStyle name="Comma [0] TBD_Equip Adj Vs Highlander &amp; Explorer 14 47" xfId="30870"/>
    <cellStyle name="Comma [0] TBD-_Equip Adj Vs Highlander &amp; Explorer 14 47" xfId="30871"/>
    <cellStyle name="Comma [0] TBD_Equip Adj Vs Highlander &amp; Explorer 14 48" xfId="30872"/>
    <cellStyle name="Comma [0] TBD-_Equip Adj Vs Highlander &amp; Explorer 14 48" xfId="30873"/>
    <cellStyle name="Comma [0] TBD_Equip Adj Vs Highlander &amp; Explorer 14 49" xfId="30874"/>
    <cellStyle name="Comma [0] TBD-_Equip Adj Vs Highlander &amp; Explorer 14 49" xfId="30875"/>
    <cellStyle name="Comma [0] TBD_Equip Adj Vs Highlander &amp; Explorer 14 5" xfId="30876"/>
    <cellStyle name="Comma [0] TBD-_Equip Adj Vs Highlander &amp; Explorer 14 5" xfId="30877"/>
    <cellStyle name="Comma [0] TBD_Equip Adj Vs Highlander &amp; Explorer 14 50" xfId="30878"/>
    <cellStyle name="Comma [0] TBD-_Equip Adj Vs Highlander &amp; Explorer 14 50" xfId="30879"/>
    <cellStyle name="Comma [0] TBD_Equip Adj Vs Highlander &amp; Explorer 14 51" xfId="30880"/>
    <cellStyle name="Comma [0] TBD-_Equip Adj Vs Highlander &amp; Explorer 14 51" xfId="30881"/>
    <cellStyle name="Comma [0] TBD_Equip Adj Vs Highlander &amp; Explorer 14 52" xfId="30882"/>
    <cellStyle name="Comma [0] TBD-_Equip Adj Vs Highlander &amp; Explorer 14 52" xfId="30883"/>
    <cellStyle name="Comma [0] TBD_Equip Adj Vs Highlander &amp; Explorer 14 53" xfId="30884"/>
    <cellStyle name="Comma [0] TBD-_Equip Adj Vs Highlander &amp; Explorer 14 53" xfId="30885"/>
    <cellStyle name="Comma [0] TBD_Equip Adj Vs Highlander &amp; Explorer 14 54" xfId="30886"/>
    <cellStyle name="Comma [0] TBD-_Equip Adj Vs Highlander &amp; Explorer 14 54" xfId="30887"/>
    <cellStyle name="Comma [0] TBD_Equip Adj Vs Highlander &amp; Explorer 14 55" xfId="30888"/>
    <cellStyle name="Comma [0] TBD-_Equip Adj Vs Highlander &amp; Explorer 14 55" xfId="30889"/>
    <cellStyle name="Comma [0] TBD_Equip Adj Vs Highlander &amp; Explorer 14 56" xfId="30890"/>
    <cellStyle name="Comma [0] TBD-_Equip Adj Vs Highlander &amp; Explorer 14 56" xfId="30891"/>
    <cellStyle name="Comma [0] TBD_Equip Adj Vs Highlander &amp; Explorer 14 57" xfId="30892"/>
    <cellStyle name="Comma [0] TBD-_Equip Adj Vs Highlander &amp; Explorer 14 57" xfId="30893"/>
    <cellStyle name="Comma [0] TBD_Equip Adj Vs Highlander &amp; Explorer 14 58" xfId="30894"/>
    <cellStyle name="Comma [0] TBD-_Equip Adj Vs Highlander &amp; Explorer 14 58" xfId="30895"/>
    <cellStyle name="Comma [0] TBD_Equip Adj Vs Highlander &amp; Explorer 14 59" xfId="30896"/>
    <cellStyle name="Comma [0] TBD-_Equip Adj Vs Highlander &amp; Explorer 14 59" xfId="30897"/>
    <cellStyle name="Comma [0] TBD_Equip Adj Vs Highlander &amp; Explorer 14 6" xfId="30898"/>
    <cellStyle name="Comma [0] TBD-_Equip Adj Vs Highlander &amp; Explorer 14 6" xfId="30899"/>
    <cellStyle name="Comma [0] TBD_Equip Adj Vs Highlander &amp; Explorer 14 60" xfId="30900"/>
    <cellStyle name="Comma [0] TBD-_Equip Adj Vs Highlander &amp; Explorer 14 60" xfId="30901"/>
    <cellStyle name="Comma [0] TBD_Equip Adj Vs Highlander &amp; Explorer 14 61" xfId="30902"/>
    <cellStyle name="Comma [0] TBD-_Equip Adj Vs Highlander &amp; Explorer 14 61" xfId="30903"/>
    <cellStyle name="Comma [0] TBD_Equip Adj Vs Highlander &amp; Explorer 14 62" xfId="30904"/>
    <cellStyle name="Comma [0] TBD-_Equip Adj Vs Highlander &amp; Explorer 14 62" xfId="30905"/>
    <cellStyle name="Comma [0] TBD_Equip Adj Vs Highlander &amp; Explorer 14 63" xfId="30906"/>
    <cellStyle name="Comma [0] TBD-_Equip Adj Vs Highlander &amp; Explorer 14 63" xfId="30907"/>
    <cellStyle name="Comma [0] TBD_Equip Adj Vs Highlander &amp; Explorer 14 64" xfId="30908"/>
    <cellStyle name="Comma [0] TBD-_Equip Adj Vs Highlander &amp; Explorer 14 64" xfId="30909"/>
    <cellStyle name="Comma [0] TBD_Equip Adj Vs Highlander &amp; Explorer 14 65" xfId="30910"/>
    <cellStyle name="Comma [0] TBD-_Equip Adj Vs Highlander &amp; Explorer 14 65" xfId="30911"/>
    <cellStyle name="Comma [0] TBD_Equip Adj Vs Highlander &amp; Explorer 14 66" xfId="30912"/>
    <cellStyle name="Comma [0] TBD-_Equip Adj Vs Highlander &amp; Explorer 14 66" xfId="30913"/>
    <cellStyle name="Comma [0] TBD_Equip Adj Vs Highlander &amp; Explorer 14 67" xfId="30914"/>
    <cellStyle name="Comma [0] TBD-_Equip Adj Vs Highlander &amp; Explorer 14 67" xfId="30915"/>
    <cellStyle name="Comma [0] TBD_Equip Adj Vs Highlander &amp; Explorer 14 68" xfId="30916"/>
    <cellStyle name="Comma [0] TBD-_Equip Adj Vs Highlander &amp; Explorer 14 68" xfId="30917"/>
    <cellStyle name="Comma [0] TBD_Equip Adj Vs Highlander &amp; Explorer 14 69" xfId="30918"/>
    <cellStyle name="Comma [0] TBD-_Equip Adj Vs Highlander &amp; Explorer 14 69" xfId="30919"/>
    <cellStyle name="Comma [0] TBD_Equip Adj Vs Highlander &amp; Explorer 14 7" xfId="30920"/>
    <cellStyle name="Comma [0] TBD-_Equip Adj Vs Highlander &amp; Explorer 14 7" xfId="30921"/>
    <cellStyle name="Comma [0] TBD_Equip Adj Vs Highlander &amp; Explorer 14 70" xfId="30922"/>
    <cellStyle name="Comma [0] TBD-_Equip Adj Vs Highlander &amp; Explorer 14 70" xfId="30923"/>
    <cellStyle name="Comma [0] TBD_Equip Adj Vs Highlander &amp; Explorer 14 71" xfId="30924"/>
    <cellStyle name="Comma [0] TBD-_Equip Adj Vs Highlander &amp; Explorer 14 71" xfId="30925"/>
    <cellStyle name="Comma [0] TBD_Equip Adj Vs Highlander &amp; Explorer 14 72" xfId="30926"/>
    <cellStyle name="Comma [0] TBD-_Equip Adj Vs Highlander &amp; Explorer 14 72" xfId="30927"/>
    <cellStyle name="Comma [0] TBD_Equip Adj Vs Highlander &amp; Explorer 14 73" xfId="30928"/>
    <cellStyle name="Comma [0] TBD-_Equip Adj Vs Highlander &amp; Explorer 14 73" xfId="30929"/>
    <cellStyle name="Comma [0] TBD_Equip Adj Vs Highlander &amp; Explorer 14 74" xfId="30930"/>
    <cellStyle name="Comma [0] TBD-_Equip Adj Vs Highlander &amp; Explorer 14 74" xfId="30931"/>
    <cellStyle name="Comma [0] TBD_Equip Adj Vs Highlander &amp; Explorer 14 75" xfId="30932"/>
    <cellStyle name="Comma [0] TBD-_Equip Adj Vs Highlander &amp; Explorer 14 75" xfId="30933"/>
    <cellStyle name="Comma [0] TBD_Equip Adj Vs Highlander &amp; Explorer 14 76" xfId="30934"/>
    <cellStyle name="Comma [0] TBD-_Equip Adj Vs Highlander &amp; Explorer 14 76" xfId="30935"/>
    <cellStyle name="Comma [0] TBD_Equip Adj Vs Highlander &amp; Explorer 14 77" xfId="30936"/>
    <cellStyle name="Comma [0] TBD-_Equip Adj Vs Highlander &amp; Explorer 14 77" xfId="30937"/>
    <cellStyle name="Comma [0] TBD_Equip Adj Vs Highlander &amp; Explorer 14 78" xfId="30938"/>
    <cellStyle name="Comma [0] TBD-_Equip Adj Vs Highlander &amp; Explorer 14 78" xfId="30939"/>
    <cellStyle name="Comma [0] TBD_Equip Adj Vs Highlander &amp; Explorer 14 79" xfId="30940"/>
    <cellStyle name="Comma [0] TBD-_Equip Adj Vs Highlander &amp; Explorer 14 79" xfId="30941"/>
    <cellStyle name="Comma [0] TBD_Equip Adj Vs Highlander &amp; Explorer 14 8" xfId="30942"/>
    <cellStyle name="Comma [0] TBD-_Equip Adj Vs Highlander &amp; Explorer 14 8" xfId="30943"/>
    <cellStyle name="Comma [0] TBD_Equip Adj Vs Highlander &amp; Explorer 14 80" xfId="30944"/>
    <cellStyle name="Comma [0] TBD-_Equip Adj Vs Highlander &amp; Explorer 14 80" xfId="30945"/>
    <cellStyle name="Comma [0] TBD_Equip Adj Vs Highlander &amp; Explorer 14 81" xfId="30946"/>
    <cellStyle name="Comma [0] TBD-_Equip Adj Vs Highlander &amp; Explorer 14 81" xfId="30947"/>
    <cellStyle name="Comma [0] TBD_Equip Adj Vs Highlander &amp; Explorer 14 82" xfId="30948"/>
    <cellStyle name="Comma [0] TBD-_Equip Adj Vs Highlander &amp; Explorer 14 82" xfId="30949"/>
    <cellStyle name="Comma [0] TBD_Equip Adj Vs Highlander &amp; Explorer 14 83" xfId="30950"/>
    <cellStyle name="Comma [0] TBD-_Equip Adj Vs Highlander &amp; Explorer 14 83" xfId="30951"/>
    <cellStyle name="Comma [0] TBD_Equip Adj Vs Highlander &amp; Explorer 14 84" xfId="30952"/>
    <cellStyle name="Comma [0] TBD-_Equip Adj Vs Highlander &amp; Explorer 14 84" xfId="30953"/>
    <cellStyle name="Comma [0] TBD_Equip Adj Vs Highlander &amp; Explorer 14 85" xfId="30954"/>
    <cellStyle name="Comma [0] TBD-_Equip Adj Vs Highlander &amp; Explorer 14 85" xfId="30955"/>
    <cellStyle name="Comma [0] TBD_Equip Adj Vs Highlander &amp; Explorer 14 86" xfId="30956"/>
    <cellStyle name="Comma [0] TBD-_Equip Adj Vs Highlander &amp; Explorer 14 86" xfId="30957"/>
    <cellStyle name="Comma [0] TBD_Equip Adj Vs Highlander &amp; Explorer 14 87" xfId="30958"/>
    <cellStyle name="Comma [0] TBD-_Equip Adj Vs Highlander &amp; Explorer 14 87" xfId="30959"/>
    <cellStyle name="Comma [0] TBD_Equip Adj Vs Highlander &amp; Explorer 14 88" xfId="30960"/>
    <cellStyle name="Comma [0] TBD-_Equip Adj Vs Highlander &amp; Explorer 14 88" xfId="30961"/>
    <cellStyle name="Comma [0] TBD_Equip Adj Vs Highlander &amp; Explorer 14 89" xfId="30962"/>
    <cellStyle name="Comma [0] TBD-_Equip Adj Vs Highlander &amp; Explorer 14 89" xfId="30963"/>
    <cellStyle name="Comma [0] TBD_Equip Adj Vs Highlander &amp; Explorer 14 9" xfId="30964"/>
    <cellStyle name="Comma [0] TBD-_Equip Adj Vs Highlander &amp; Explorer 14 9" xfId="30965"/>
    <cellStyle name="Comma [0] TBD_Equip Adj Vs Highlander &amp; Explorer 14 90" xfId="30966"/>
    <cellStyle name="Comma [0] TBD-_Equip Adj Vs Highlander &amp; Explorer 14 90" xfId="30967"/>
    <cellStyle name="Comma [0] TBD_Equip Adj Vs Highlander &amp; Explorer 14 91" xfId="30968"/>
    <cellStyle name="Comma [0] TBD-_Equip Adj Vs Highlander &amp; Explorer 14 91" xfId="30969"/>
    <cellStyle name="Comma [0] TBD_Equip Adj Vs Highlander &amp; Explorer 14 92" xfId="30970"/>
    <cellStyle name="Comma [0] TBD-_Equip Adj Vs Highlander &amp; Explorer 14 92" xfId="30971"/>
    <cellStyle name="Comma [0] TBD_Equip Adj Vs Highlander &amp; Explorer 14 93" xfId="30972"/>
    <cellStyle name="Comma [0] TBD-_Equip Adj Vs Highlander &amp; Explorer 14 93" xfId="30973"/>
    <cellStyle name="Comma [0] TBD_Equip Adj Vs Highlander &amp; Explorer 14 94" xfId="30974"/>
    <cellStyle name="Comma [0] TBD-_Equip Adj Vs Highlander &amp; Explorer 14 94" xfId="30975"/>
    <cellStyle name="Comma [0] TBD_Equip Adj Vs Highlander &amp; Explorer 14 95" xfId="30976"/>
    <cellStyle name="Comma [0] TBD-_Equip Adj Vs Highlander &amp; Explorer 14 95" xfId="30977"/>
    <cellStyle name="Comma [0] TBD_Equip Adj Vs Highlander &amp; Explorer 14 96" xfId="30978"/>
    <cellStyle name="Comma [0] TBD-_Equip Adj Vs Highlander &amp; Explorer 14 96" xfId="30979"/>
    <cellStyle name="Comma [0] TBD_Equip Adj Vs Highlander &amp; Explorer 14 97" xfId="30980"/>
    <cellStyle name="Comma [0] TBD-_Equip Adj Vs Highlander &amp; Explorer 14 97" xfId="30981"/>
    <cellStyle name="Comma [0] TBD_Equip Adj Vs Highlander &amp; Explorer 14 98" xfId="30982"/>
    <cellStyle name="Comma [0] TBD-_Equip Adj Vs Highlander &amp; Explorer 14 98" xfId="30983"/>
    <cellStyle name="Comma [0] TBD_Equip Adj Vs Highlander &amp; Explorer 14 99" xfId="30984"/>
    <cellStyle name="Comma [0] TBD-_Equip Adj Vs Highlander &amp; Explorer 14 99" xfId="30985"/>
    <cellStyle name="Comma [0] TBD_Equip Adj Vs Highlander &amp; Explorer 2" xfId="30986"/>
    <cellStyle name="Comma [0] TBD-_Equip Adj Vs Highlander &amp; Explorer 2" xfId="30987"/>
    <cellStyle name="Comma [0] TBD_Equip Adj Vs Highlander &amp; Explorer 2 10" xfId="30988"/>
    <cellStyle name="Comma [0] TBD-_Equip Adj Vs Highlander &amp; Explorer 2 10" xfId="30989"/>
    <cellStyle name="Comma [0] TBD_Equip Adj Vs Highlander &amp; Explorer 2 100" xfId="30990"/>
    <cellStyle name="Comma [0] TBD-_Equip Adj Vs Highlander &amp; Explorer 2 100" xfId="30991"/>
    <cellStyle name="Comma [0] TBD_Equip Adj Vs Highlander &amp; Explorer 2 101" xfId="30992"/>
    <cellStyle name="Comma [0] TBD-_Equip Adj Vs Highlander &amp; Explorer 2 101" xfId="30993"/>
    <cellStyle name="Comma [0] TBD_Equip Adj Vs Highlander &amp; Explorer 2 102" xfId="30994"/>
    <cellStyle name="Comma [0] TBD-_Equip Adj Vs Highlander &amp; Explorer 2 102" xfId="30995"/>
    <cellStyle name="Comma [0] TBD_Equip Adj Vs Highlander &amp; Explorer 2 103" xfId="30996"/>
    <cellStyle name="Comma [0] TBD-_Equip Adj Vs Highlander &amp; Explorer 2 103" xfId="30997"/>
    <cellStyle name="Comma [0] TBD_Equip Adj Vs Highlander &amp; Explorer 2 104" xfId="30998"/>
    <cellStyle name="Comma [0] TBD-_Equip Adj Vs Highlander &amp; Explorer 2 104" xfId="30999"/>
    <cellStyle name="Comma [0] TBD_Equip Adj Vs Highlander &amp; Explorer 2 105" xfId="31000"/>
    <cellStyle name="Comma [0] TBD-_Equip Adj Vs Highlander &amp; Explorer 2 105" xfId="31001"/>
    <cellStyle name="Comma [0] TBD_Equip Adj Vs Highlander &amp; Explorer 2 106" xfId="31002"/>
    <cellStyle name="Comma [0] TBD-_Equip Adj Vs Highlander &amp; Explorer 2 106" xfId="31003"/>
    <cellStyle name="Comma [0] TBD_Equip Adj Vs Highlander &amp; Explorer 2 107" xfId="31004"/>
    <cellStyle name="Comma [0] TBD-_Equip Adj Vs Highlander &amp; Explorer 2 107" xfId="31005"/>
    <cellStyle name="Comma [0] TBD_Equip Adj Vs Highlander &amp; Explorer 2 108" xfId="31006"/>
    <cellStyle name="Comma [0] TBD-_Equip Adj Vs Highlander &amp; Explorer 2 108" xfId="31007"/>
    <cellStyle name="Comma [0] TBD_Equip Adj Vs Highlander &amp; Explorer 2 109" xfId="31008"/>
    <cellStyle name="Comma [0] TBD-_Equip Adj Vs Highlander &amp; Explorer 2 109" xfId="31009"/>
    <cellStyle name="Comma [0] TBD_Equip Adj Vs Highlander &amp; Explorer 2 11" xfId="31010"/>
    <cellStyle name="Comma [0] TBD-_Equip Adj Vs Highlander &amp; Explorer 2 11" xfId="31011"/>
    <cellStyle name="Comma [0] TBD_Equip Adj Vs Highlander &amp; Explorer 2 110" xfId="31012"/>
    <cellStyle name="Comma [0] TBD-_Equip Adj Vs Highlander &amp; Explorer 2 110" xfId="31013"/>
    <cellStyle name="Comma [0] TBD_Equip Adj Vs Highlander &amp; Explorer 2 111" xfId="31014"/>
    <cellStyle name="Comma [0] TBD-_Equip Adj Vs Highlander &amp; Explorer 2 111" xfId="31015"/>
    <cellStyle name="Comma [0] TBD_Equip Adj Vs Highlander &amp; Explorer 2 112" xfId="31016"/>
    <cellStyle name="Comma [0] TBD-_Equip Adj Vs Highlander &amp; Explorer 2 112" xfId="31017"/>
    <cellStyle name="Comma [0] TBD_Equip Adj Vs Highlander &amp; Explorer 2 113" xfId="31018"/>
    <cellStyle name="Comma [0] TBD-_Equip Adj Vs Highlander &amp; Explorer 2 113" xfId="31019"/>
    <cellStyle name="Comma [0] TBD_Equip Adj Vs Highlander &amp; Explorer 2 114" xfId="31020"/>
    <cellStyle name="Comma [0] TBD-_Equip Adj Vs Highlander &amp; Explorer 2 114" xfId="31021"/>
    <cellStyle name="Comma [0] TBD_Equip Adj Vs Highlander &amp; Explorer 2 115" xfId="31022"/>
    <cellStyle name="Comma [0] TBD-_Equip Adj Vs Highlander &amp; Explorer 2 115" xfId="31023"/>
    <cellStyle name="Comma [0] TBD_Equip Adj Vs Highlander &amp; Explorer 2 116" xfId="31024"/>
    <cellStyle name="Comma [0] TBD-_Equip Adj Vs Highlander &amp; Explorer 2 116" xfId="31025"/>
    <cellStyle name="Comma [0] TBD_Equip Adj Vs Highlander &amp; Explorer 2 117" xfId="31026"/>
    <cellStyle name="Comma [0] TBD-_Equip Adj Vs Highlander &amp; Explorer 2 117" xfId="31027"/>
    <cellStyle name="Comma [0] TBD_Equip Adj Vs Highlander &amp; Explorer 2 118" xfId="31028"/>
    <cellStyle name="Comma [0] TBD-_Equip Adj Vs Highlander &amp; Explorer 2 118" xfId="31029"/>
    <cellStyle name="Comma [0] TBD_Equip Adj Vs Highlander &amp; Explorer 2 119" xfId="31030"/>
    <cellStyle name="Comma [0] TBD-_Equip Adj Vs Highlander &amp; Explorer 2 119" xfId="31031"/>
    <cellStyle name="Comma [0] TBD_Equip Adj Vs Highlander &amp; Explorer 2 12" xfId="31032"/>
    <cellStyle name="Comma [0] TBD-_Equip Adj Vs Highlander &amp; Explorer 2 12" xfId="31033"/>
    <cellStyle name="Comma [0] TBD_Equip Adj Vs Highlander &amp; Explorer 2 120" xfId="31034"/>
    <cellStyle name="Comma [0] TBD-_Equip Adj Vs Highlander &amp; Explorer 2 120" xfId="31035"/>
    <cellStyle name="Comma [0] TBD_Equip Adj Vs Highlander &amp; Explorer 2 121" xfId="31036"/>
    <cellStyle name="Comma [0] TBD-_Equip Adj Vs Highlander &amp; Explorer 2 121" xfId="31037"/>
    <cellStyle name="Comma [0] TBD_Equip Adj Vs Highlander &amp; Explorer 2 122" xfId="31038"/>
    <cellStyle name="Comma [0] TBD-_Equip Adj Vs Highlander &amp; Explorer 2 122" xfId="31039"/>
    <cellStyle name="Comma [0] TBD_Equip Adj Vs Highlander &amp; Explorer 2 123" xfId="31040"/>
    <cellStyle name="Comma [0] TBD-_Equip Adj Vs Highlander &amp; Explorer 2 123" xfId="31041"/>
    <cellStyle name="Comma [0] TBD_Equip Adj Vs Highlander &amp; Explorer 2 124" xfId="31042"/>
    <cellStyle name="Comma [0] TBD-_Equip Adj Vs Highlander &amp; Explorer 2 124" xfId="31043"/>
    <cellStyle name="Comma [0] TBD_Equip Adj Vs Highlander &amp; Explorer 2 125" xfId="31044"/>
    <cellStyle name="Comma [0] TBD-_Equip Adj Vs Highlander &amp; Explorer 2 125" xfId="31045"/>
    <cellStyle name="Comma [0] TBD_Equip Adj Vs Highlander &amp; Explorer 2 126" xfId="31046"/>
    <cellStyle name="Comma [0] TBD-_Equip Adj Vs Highlander &amp; Explorer 2 126" xfId="31047"/>
    <cellStyle name="Comma [0] TBD_Equip Adj Vs Highlander &amp; Explorer 2 127" xfId="31048"/>
    <cellStyle name="Comma [0] TBD-_Equip Adj Vs Highlander &amp; Explorer 2 127" xfId="31049"/>
    <cellStyle name="Comma [0] TBD_Equip Adj Vs Highlander &amp; Explorer 2 128" xfId="31050"/>
    <cellStyle name="Comma [0] TBD-_Equip Adj Vs Highlander &amp; Explorer 2 128" xfId="31051"/>
    <cellStyle name="Comma [0] TBD_Equip Adj Vs Highlander &amp; Explorer 2 129" xfId="31052"/>
    <cellStyle name="Comma [0] TBD-_Equip Adj Vs Highlander &amp; Explorer 2 129" xfId="31053"/>
    <cellStyle name="Comma [0] TBD_Equip Adj Vs Highlander &amp; Explorer 2 13" xfId="31054"/>
    <cellStyle name="Comma [0] TBD-_Equip Adj Vs Highlander &amp; Explorer 2 13" xfId="31055"/>
    <cellStyle name="Comma [0] TBD_Equip Adj Vs Highlander &amp; Explorer 2 130" xfId="31056"/>
    <cellStyle name="Comma [0] TBD-_Equip Adj Vs Highlander &amp; Explorer 2 130" xfId="31057"/>
    <cellStyle name="Comma [0] TBD_Equip Adj Vs Highlander &amp; Explorer 2 131" xfId="31058"/>
    <cellStyle name="Comma [0] TBD-_Equip Adj Vs Highlander &amp; Explorer 2 131" xfId="31059"/>
    <cellStyle name="Comma [0] TBD_Equip Adj Vs Highlander &amp; Explorer 2 132" xfId="31060"/>
    <cellStyle name="Comma [0] TBD-_Equip Adj Vs Highlander &amp; Explorer 2 132" xfId="31061"/>
    <cellStyle name="Comma [0] TBD_Equip Adj Vs Highlander &amp; Explorer 2 133" xfId="31062"/>
    <cellStyle name="Comma [0] TBD-_Equip Adj Vs Highlander &amp; Explorer 2 133" xfId="31063"/>
    <cellStyle name="Comma [0] TBD_Equip Adj Vs Highlander &amp; Explorer 2 134" xfId="31064"/>
    <cellStyle name="Comma [0] TBD-_Equip Adj Vs Highlander &amp; Explorer 2 134" xfId="31065"/>
    <cellStyle name="Comma [0] TBD_Equip Adj Vs Highlander &amp; Explorer 2 135" xfId="31066"/>
    <cellStyle name="Comma [0] TBD-_Equip Adj Vs Highlander &amp; Explorer 2 135" xfId="31067"/>
    <cellStyle name="Comma [0] TBD_Equip Adj Vs Highlander &amp; Explorer 2 136" xfId="31068"/>
    <cellStyle name="Comma [0] TBD-_Equip Adj Vs Highlander &amp; Explorer 2 136" xfId="31069"/>
    <cellStyle name="Comma [0] TBD_Equip Adj Vs Highlander &amp; Explorer 2 137" xfId="31070"/>
    <cellStyle name="Comma [0] TBD-_Equip Adj Vs Highlander &amp; Explorer 2 137" xfId="31071"/>
    <cellStyle name="Comma [0] TBD_Equip Adj Vs Highlander &amp; Explorer 2 138" xfId="31072"/>
    <cellStyle name="Comma [0] TBD-_Equip Adj Vs Highlander &amp; Explorer 2 138" xfId="31073"/>
    <cellStyle name="Comma [0] TBD_Equip Adj Vs Highlander &amp; Explorer 2 139" xfId="31074"/>
    <cellStyle name="Comma [0] TBD-_Equip Adj Vs Highlander &amp; Explorer 2 139" xfId="31075"/>
    <cellStyle name="Comma [0] TBD_Equip Adj Vs Highlander &amp; Explorer 2 14" xfId="31076"/>
    <cellStyle name="Comma [0] TBD-_Equip Adj Vs Highlander &amp; Explorer 2 14" xfId="31077"/>
    <cellStyle name="Comma [0] TBD_Equip Adj Vs Highlander &amp; Explorer 2 140" xfId="31078"/>
    <cellStyle name="Comma [0] TBD-_Equip Adj Vs Highlander &amp; Explorer 2 140" xfId="31079"/>
    <cellStyle name="Comma [0] TBD_Equip Adj Vs Highlander &amp; Explorer 2 141" xfId="31080"/>
    <cellStyle name="Comma [0] TBD-_Equip Adj Vs Highlander &amp; Explorer 2 141" xfId="31081"/>
    <cellStyle name="Comma [0] TBD_Equip Adj Vs Highlander &amp; Explorer 2 142" xfId="31082"/>
    <cellStyle name="Comma [0] TBD-_Equip Adj Vs Highlander &amp; Explorer 2 142" xfId="31083"/>
    <cellStyle name="Comma [0] TBD_Equip Adj Vs Highlander &amp; Explorer 2 143" xfId="31084"/>
    <cellStyle name="Comma [0] TBD-_Equip Adj Vs Highlander &amp; Explorer 2 143" xfId="31085"/>
    <cellStyle name="Comma [0] TBD_Equip Adj Vs Highlander &amp; Explorer 2 144" xfId="31086"/>
    <cellStyle name="Comma [0] TBD-_Equip Adj Vs Highlander &amp; Explorer 2 144" xfId="31087"/>
    <cellStyle name="Comma [0] TBD_Equip Adj Vs Highlander &amp; Explorer 2 145" xfId="31088"/>
    <cellStyle name="Comma [0] TBD-_Equip Adj Vs Highlander &amp; Explorer 2 145" xfId="31089"/>
    <cellStyle name="Comma [0] TBD_Equip Adj Vs Highlander &amp; Explorer 2 146" xfId="31090"/>
    <cellStyle name="Comma [0] TBD-_Equip Adj Vs Highlander &amp; Explorer 2 146" xfId="31091"/>
    <cellStyle name="Comma [0] TBD_Equip Adj Vs Highlander &amp; Explorer 2 147" xfId="31092"/>
    <cellStyle name="Comma [0] TBD-_Equip Adj Vs Highlander &amp; Explorer 2 147" xfId="31093"/>
    <cellStyle name="Comma [0] TBD_Equip Adj Vs Highlander &amp; Explorer 2 148" xfId="31094"/>
    <cellStyle name="Comma [0] TBD-_Equip Adj Vs Highlander &amp; Explorer 2 148" xfId="31095"/>
    <cellStyle name="Comma [0] TBD_Equip Adj Vs Highlander &amp; Explorer 2 149" xfId="31096"/>
    <cellStyle name="Comma [0] TBD-_Equip Adj Vs Highlander &amp; Explorer 2 149" xfId="31097"/>
    <cellStyle name="Comma [0] TBD_Equip Adj Vs Highlander &amp; Explorer 2 15" xfId="31098"/>
    <cellStyle name="Comma [0] TBD-_Equip Adj Vs Highlander &amp; Explorer 2 15" xfId="31099"/>
    <cellStyle name="Comma [0] TBD_Equip Adj Vs Highlander &amp; Explorer 2 150" xfId="31100"/>
    <cellStyle name="Comma [0] TBD-_Equip Adj Vs Highlander &amp; Explorer 2 150" xfId="31101"/>
    <cellStyle name="Comma [0] TBD_Equip Adj Vs Highlander &amp; Explorer 2 151" xfId="31102"/>
    <cellStyle name="Comma [0] TBD-_Equip Adj Vs Highlander &amp; Explorer 2 151" xfId="31103"/>
    <cellStyle name="Comma [0] TBD_Equip Adj Vs Highlander &amp; Explorer 2 152" xfId="31104"/>
    <cellStyle name="Comma [0] TBD-_Equip Adj Vs Highlander &amp; Explorer 2 152" xfId="31105"/>
    <cellStyle name="Comma [0] TBD_Equip Adj Vs Highlander &amp; Explorer 2 153" xfId="31106"/>
    <cellStyle name="Comma [0] TBD-_Equip Adj Vs Highlander &amp; Explorer 2 153" xfId="31107"/>
    <cellStyle name="Comma [0] TBD_Equip Adj Vs Highlander &amp; Explorer 2 16" xfId="31108"/>
    <cellStyle name="Comma [0] TBD-_Equip Adj Vs Highlander &amp; Explorer 2 16" xfId="31109"/>
    <cellStyle name="Comma [0] TBD_Equip Adj Vs Highlander &amp; Explorer 2 17" xfId="31110"/>
    <cellStyle name="Comma [0] TBD-_Equip Adj Vs Highlander &amp; Explorer 2 17" xfId="31111"/>
    <cellStyle name="Comma [0] TBD_Equip Adj Vs Highlander &amp; Explorer 2 18" xfId="31112"/>
    <cellStyle name="Comma [0] TBD-_Equip Adj Vs Highlander &amp; Explorer 2 18" xfId="31113"/>
    <cellStyle name="Comma [0] TBD_Equip Adj Vs Highlander &amp; Explorer 2 19" xfId="31114"/>
    <cellStyle name="Comma [0] TBD-_Equip Adj Vs Highlander &amp; Explorer 2 19" xfId="31115"/>
    <cellStyle name="Comma [0] TBD_Equip Adj Vs Highlander &amp; Explorer 2 2" xfId="31116"/>
    <cellStyle name="Comma [0] TBD-_Equip Adj Vs Highlander &amp; Explorer 2 2" xfId="31117"/>
    <cellStyle name="Comma [0] TBD_Equip Adj Vs Highlander &amp; Explorer 2 2 2" xfId="31118"/>
    <cellStyle name="Comma [0] TBD-_Equip Adj Vs Highlander &amp; Explorer 2 2 2" xfId="31119"/>
    <cellStyle name="Comma [0] TBD_Equip Adj Vs Highlander &amp; Explorer 2 20" xfId="31120"/>
    <cellStyle name="Comma [0] TBD-_Equip Adj Vs Highlander &amp; Explorer 2 20" xfId="31121"/>
    <cellStyle name="Comma [0] TBD_Equip Adj Vs Highlander &amp; Explorer 2 21" xfId="31122"/>
    <cellStyle name="Comma [0] TBD-_Equip Adj Vs Highlander &amp; Explorer 2 21" xfId="31123"/>
    <cellStyle name="Comma [0] TBD_Equip Adj Vs Highlander &amp; Explorer 2 22" xfId="31124"/>
    <cellStyle name="Comma [0] TBD-_Equip Adj Vs Highlander &amp; Explorer 2 22" xfId="31125"/>
    <cellStyle name="Comma [0] TBD_Equip Adj Vs Highlander &amp; Explorer 2 23" xfId="31126"/>
    <cellStyle name="Comma [0] TBD-_Equip Adj Vs Highlander &amp; Explorer 2 23" xfId="31127"/>
    <cellStyle name="Comma [0] TBD_Equip Adj Vs Highlander &amp; Explorer 2 24" xfId="31128"/>
    <cellStyle name="Comma [0] TBD-_Equip Adj Vs Highlander &amp; Explorer 2 24" xfId="31129"/>
    <cellStyle name="Comma [0] TBD_Equip Adj Vs Highlander &amp; Explorer 2 25" xfId="31130"/>
    <cellStyle name="Comma [0] TBD-_Equip Adj Vs Highlander &amp; Explorer 2 25" xfId="31131"/>
    <cellStyle name="Comma [0] TBD_Equip Adj Vs Highlander &amp; Explorer 2 26" xfId="31132"/>
    <cellStyle name="Comma [0] TBD-_Equip Adj Vs Highlander &amp; Explorer 2 26" xfId="31133"/>
    <cellStyle name="Comma [0] TBD_Equip Adj Vs Highlander &amp; Explorer 2 27" xfId="31134"/>
    <cellStyle name="Comma [0] TBD-_Equip Adj Vs Highlander &amp; Explorer 2 27" xfId="31135"/>
    <cellStyle name="Comma [0] TBD_Equip Adj Vs Highlander &amp; Explorer 2 28" xfId="31136"/>
    <cellStyle name="Comma [0] TBD-_Equip Adj Vs Highlander &amp; Explorer 2 28" xfId="31137"/>
    <cellStyle name="Comma [0] TBD_Equip Adj Vs Highlander &amp; Explorer 2 29" xfId="31138"/>
    <cellStyle name="Comma [0] TBD-_Equip Adj Vs Highlander &amp; Explorer 2 29" xfId="31139"/>
    <cellStyle name="Comma [0] TBD_Equip Adj Vs Highlander &amp; Explorer 2 3" xfId="31140"/>
    <cellStyle name="Comma [0] TBD-_Equip Adj Vs Highlander &amp; Explorer 2 3" xfId="31141"/>
    <cellStyle name="Comma [0] TBD_Equip Adj Vs Highlander &amp; Explorer 2 30" xfId="31142"/>
    <cellStyle name="Comma [0] TBD-_Equip Adj Vs Highlander &amp; Explorer 2 30" xfId="31143"/>
    <cellStyle name="Comma [0] TBD_Equip Adj Vs Highlander &amp; Explorer 2 31" xfId="31144"/>
    <cellStyle name="Comma [0] TBD-_Equip Adj Vs Highlander &amp; Explorer 2 31" xfId="31145"/>
    <cellStyle name="Comma [0] TBD_Equip Adj Vs Highlander &amp; Explorer 2 32" xfId="31146"/>
    <cellStyle name="Comma [0] TBD-_Equip Adj Vs Highlander &amp; Explorer 2 32" xfId="31147"/>
    <cellStyle name="Comma [0] TBD_Equip Adj Vs Highlander &amp; Explorer 2 33" xfId="31148"/>
    <cellStyle name="Comma [0] TBD-_Equip Adj Vs Highlander &amp; Explorer 2 33" xfId="31149"/>
    <cellStyle name="Comma [0] TBD_Equip Adj Vs Highlander &amp; Explorer 2 34" xfId="31150"/>
    <cellStyle name="Comma [0] TBD-_Equip Adj Vs Highlander &amp; Explorer 2 34" xfId="31151"/>
    <cellStyle name="Comma [0] TBD_Equip Adj Vs Highlander &amp; Explorer 2 35" xfId="31152"/>
    <cellStyle name="Comma [0] TBD-_Equip Adj Vs Highlander &amp; Explorer 2 35" xfId="31153"/>
    <cellStyle name="Comma [0] TBD_Equip Adj Vs Highlander &amp; Explorer 2 36" xfId="31154"/>
    <cellStyle name="Comma [0] TBD-_Equip Adj Vs Highlander &amp; Explorer 2 36" xfId="31155"/>
    <cellStyle name="Comma [0] TBD_Equip Adj Vs Highlander &amp; Explorer 2 37" xfId="31156"/>
    <cellStyle name="Comma [0] TBD-_Equip Adj Vs Highlander &amp; Explorer 2 37" xfId="31157"/>
    <cellStyle name="Comma [0] TBD_Equip Adj Vs Highlander &amp; Explorer 2 38" xfId="31158"/>
    <cellStyle name="Comma [0] TBD-_Equip Adj Vs Highlander &amp; Explorer 2 38" xfId="31159"/>
    <cellStyle name="Comma [0] TBD_Equip Adj Vs Highlander &amp; Explorer 2 39" xfId="31160"/>
    <cellStyle name="Comma [0] TBD-_Equip Adj Vs Highlander &amp; Explorer 2 39" xfId="31161"/>
    <cellStyle name="Comma [0] TBD_Equip Adj Vs Highlander &amp; Explorer 2 4" xfId="31162"/>
    <cellStyle name="Comma [0] TBD-_Equip Adj Vs Highlander &amp; Explorer 2 4" xfId="31163"/>
    <cellStyle name="Comma [0] TBD_Equip Adj Vs Highlander &amp; Explorer 2 40" xfId="31164"/>
    <cellStyle name="Comma [0] TBD-_Equip Adj Vs Highlander &amp; Explorer 2 40" xfId="31165"/>
    <cellStyle name="Comma [0] TBD_Equip Adj Vs Highlander &amp; Explorer 2 41" xfId="31166"/>
    <cellStyle name="Comma [0] TBD-_Equip Adj Vs Highlander &amp; Explorer 2 41" xfId="31167"/>
    <cellStyle name="Comma [0] TBD_Equip Adj Vs Highlander &amp; Explorer 2 42" xfId="31168"/>
    <cellStyle name="Comma [0] TBD-_Equip Adj Vs Highlander &amp; Explorer 2 42" xfId="31169"/>
    <cellStyle name="Comma [0] TBD_Equip Adj Vs Highlander &amp; Explorer 2 43" xfId="31170"/>
    <cellStyle name="Comma [0] TBD-_Equip Adj Vs Highlander &amp; Explorer 2 43" xfId="31171"/>
    <cellStyle name="Comma [0] TBD_Equip Adj Vs Highlander &amp; Explorer 2 44" xfId="31172"/>
    <cellStyle name="Comma [0] TBD-_Equip Adj Vs Highlander &amp; Explorer 2 44" xfId="31173"/>
    <cellStyle name="Comma [0] TBD_Equip Adj Vs Highlander &amp; Explorer 2 45" xfId="31174"/>
    <cellStyle name="Comma [0] TBD-_Equip Adj Vs Highlander &amp; Explorer 2 45" xfId="31175"/>
    <cellStyle name="Comma [0] TBD_Equip Adj Vs Highlander &amp; Explorer 2 46" xfId="31176"/>
    <cellStyle name="Comma [0] TBD-_Equip Adj Vs Highlander &amp; Explorer 2 46" xfId="31177"/>
    <cellStyle name="Comma [0] TBD_Equip Adj Vs Highlander &amp; Explorer 2 47" xfId="31178"/>
    <cellStyle name="Comma [0] TBD-_Equip Adj Vs Highlander &amp; Explorer 2 47" xfId="31179"/>
    <cellStyle name="Comma [0] TBD_Equip Adj Vs Highlander &amp; Explorer 2 48" xfId="31180"/>
    <cellStyle name="Comma [0] TBD-_Equip Adj Vs Highlander &amp; Explorer 2 48" xfId="31181"/>
    <cellStyle name="Comma [0] TBD_Equip Adj Vs Highlander &amp; Explorer 2 49" xfId="31182"/>
    <cellStyle name="Comma [0] TBD-_Equip Adj Vs Highlander &amp; Explorer 2 49" xfId="31183"/>
    <cellStyle name="Comma [0] TBD_Equip Adj Vs Highlander &amp; Explorer 2 5" xfId="31184"/>
    <cellStyle name="Comma [0] TBD-_Equip Adj Vs Highlander &amp; Explorer 2 5" xfId="31185"/>
    <cellStyle name="Comma [0] TBD_Equip Adj Vs Highlander &amp; Explorer 2 50" xfId="31186"/>
    <cellStyle name="Comma [0] TBD-_Equip Adj Vs Highlander &amp; Explorer 2 50" xfId="31187"/>
    <cellStyle name="Comma [0] TBD_Equip Adj Vs Highlander &amp; Explorer 2 51" xfId="31188"/>
    <cellStyle name="Comma [0] TBD-_Equip Adj Vs Highlander &amp; Explorer 2 51" xfId="31189"/>
    <cellStyle name="Comma [0] TBD_Equip Adj Vs Highlander &amp; Explorer 2 52" xfId="31190"/>
    <cellStyle name="Comma [0] TBD-_Equip Adj Vs Highlander &amp; Explorer 2 52" xfId="31191"/>
    <cellStyle name="Comma [0] TBD_Equip Adj Vs Highlander &amp; Explorer 2 53" xfId="31192"/>
    <cellStyle name="Comma [0] TBD-_Equip Adj Vs Highlander &amp; Explorer 2 53" xfId="31193"/>
    <cellStyle name="Comma [0] TBD_Equip Adj Vs Highlander &amp; Explorer 2 54" xfId="31194"/>
    <cellStyle name="Comma [0] TBD-_Equip Adj Vs Highlander &amp; Explorer 2 54" xfId="31195"/>
    <cellStyle name="Comma [0] TBD_Equip Adj Vs Highlander &amp; Explorer 2 55" xfId="31196"/>
    <cellStyle name="Comma [0] TBD-_Equip Adj Vs Highlander &amp; Explorer 2 55" xfId="31197"/>
    <cellStyle name="Comma [0] TBD_Equip Adj Vs Highlander &amp; Explorer 2 56" xfId="31198"/>
    <cellStyle name="Comma [0] TBD-_Equip Adj Vs Highlander &amp; Explorer 2 56" xfId="31199"/>
    <cellStyle name="Comma [0] TBD_Equip Adj Vs Highlander &amp; Explorer 2 57" xfId="31200"/>
    <cellStyle name="Comma [0] TBD-_Equip Adj Vs Highlander &amp; Explorer 2 57" xfId="31201"/>
    <cellStyle name="Comma [0] TBD_Equip Adj Vs Highlander &amp; Explorer 2 58" xfId="31202"/>
    <cellStyle name="Comma [0] TBD-_Equip Adj Vs Highlander &amp; Explorer 2 58" xfId="31203"/>
    <cellStyle name="Comma [0] TBD_Equip Adj Vs Highlander &amp; Explorer 2 59" xfId="31204"/>
    <cellStyle name="Comma [0] TBD-_Equip Adj Vs Highlander &amp; Explorer 2 59" xfId="31205"/>
    <cellStyle name="Comma [0] TBD_Equip Adj Vs Highlander &amp; Explorer 2 6" xfId="31206"/>
    <cellStyle name="Comma [0] TBD-_Equip Adj Vs Highlander &amp; Explorer 2 6" xfId="31207"/>
    <cellStyle name="Comma [0] TBD_Equip Adj Vs Highlander &amp; Explorer 2 60" xfId="31208"/>
    <cellStyle name="Comma [0] TBD-_Equip Adj Vs Highlander &amp; Explorer 2 60" xfId="31209"/>
    <cellStyle name="Comma [0] TBD_Equip Adj Vs Highlander &amp; Explorer 2 61" xfId="31210"/>
    <cellStyle name="Comma [0] TBD-_Equip Adj Vs Highlander &amp; Explorer 2 61" xfId="31211"/>
    <cellStyle name="Comma [0] TBD_Equip Adj Vs Highlander &amp; Explorer 2 62" xfId="31212"/>
    <cellStyle name="Comma [0] TBD-_Equip Adj Vs Highlander &amp; Explorer 2 62" xfId="31213"/>
    <cellStyle name="Comma [0] TBD_Equip Adj Vs Highlander &amp; Explorer 2 63" xfId="31214"/>
    <cellStyle name="Comma [0] TBD-_Equip Adj Vs Highlander &amp; Explorer 2 63" xfId="31215"/>
    <cellStyle name="Comma [0] TBD_Equip Adj Vs Highlander &amp; Explorer 2 64" xfId="31216"/>
    <cellStyle name="Comma [0] TBD-_Equip Adj Vs Highlander &amp; Explorer 2 64" xfId="31217"/>
    <cellStyle name="Comma [0] TBD_Equip Adj Vs Highlander &amp; Explorer 2 65" xfId="31218"/>
    <cellStyle name="Comma [0] TBD-_Equip Adj Vs Highlander &amp; Explorer 2 65" xfId="31219"/>
    <cellStyle name="Comma [0] TBD_Equip Adj Vs Highlander &amp; Explorer 2 66" xfId="31220"/>
    <cellStyle name="Comma [0] TBD-_Equip Adj Vs Highlander &amp; Explorer 2 66" xfId="31221"/>
    <cellStyle name="Comma [0] TBD_Equip Adj Vs Highlander &amp; Explorer 2 67" xfId="31222"/>
    <cellStyle name="Comma [0] TBD-_Equip Adj Vs Highlander &amp; Explorer 2 67" xfId="31223"/>
    <cellStyle name="Comma [0] TBD_Equip Adj Vs Highlander &amp; Explorer 2 68" xfId="31224"/>
    <cellStyle name="Comma [0] TBD-_Equip Adj Vs Highlander &amp; Explorer 2 68" xfId="31225"/>
    <cellStyle name="Comma [0] TBD_Equip Adj Vs Highlander &amp; Explorer 2 69" xfId="31226"/>
    <cellStyle name="Comma [0] TBD-_Equip Adj Vs Highlander &amp; Explorer 2 69" xfId="31227"/>
    <cellStyle name="Comma [0] TBD_Equip Adj Vs Highlander &amp; Explorer 2 7" xfId="31228"/>
    <cellStyle name="Comma [0] TBD-_Equip Adj Vs Highlander &amp; Explorer 2 7" xfId="31229"/>
    <cellStyle name="Comma [0] TBD_Equip Adj Vs Highlander &amp; Explorer 2 70" xfId="31230"/>
    <cellStyle name="Comma [0] TBD-_Equip Adj Vs Highlander &amp; Explorer 2 70" xfId="31231"/>
    <cellStyle name="Comma [0] TBD_Equip Adj Vs Highlander &amp; Explorer 2 71" xfId="31232"/>
    <cellStyle name="Comma [0] TBD-_Equip Adj Vs Highlander &amp; Explorer 2 71" xfId="31233"/>
    <cellStyle name="Comma [0] TBD_Equip Adj Vs Highlander &amp; Explorer 2 72" xfId="31234"/>
    <cellStyle name="Comma [0] TBD-_Equip Adj Vs Highlander &amp; Explorer 2 72" xfId="31235"/>
    <cellStyle name="Comma [0] TBD_Equip Adj Vs Highlander &amp; Explorer 2 73" xfId="31236"/>
    <cellStyle name="Comma [0] TBD-_Equip Adj Vs Highlander &amp; Explorer 2 73" xfId="31237"/>
    <cellStyle name="Comma [0] TBD_Equip Adj Vs Highlander &amp; Explorer 2 74" xfId="31238"/>
    <cellStyle name="Comma [0] TBD-_Equip Adj Vs Highlander &amp; Explorer 2 74" xfId="31239"/>
    <cellStyle name="Comma [0] TBD_Equip Adj Vs Highlander &amp; Explorer 2 75" xfId="31240"/>
    <cellStyle name="Comma [0] TBD-_Equip Adj Vs Highlander &amp; Explorer 2 75" xfId="31241"/>
    <cellStyle name="Comma [0] TBD_Equip Adj Vs Highlander &amp; Explorer 2 76" xfId="31242"/>
    <cellStyle name="Comma [0] TBD-_Equip Adj Vs Highlander &amp; Explorer 2 76" xfId="31243"/>
    <cellStyle name="Comma [0] TBD_Equip Adj Vs Highlander &amp; Explorer 2 77" xfId="31244"/>
    <cellStyle name="Comma [0] TBD-_Equip Adj Vs Highlander &amp; Explorer 2 77" xfId="31245"/>
    <cellStyle name="Comma [0] TBD_Equip Adj Vs Highlander &amp; Explorer 2 78" xfId="31246"/>
    <cellStyle name="Comma [0] TBD-_Equip Adj Vs Highlander &amp; Explorer 2 78" xfId="31247"/>
    <cellStyle name="Comma [0] TBD_Equip Adj Vs Highlander &amp; Explorer 2 79" xfId="31248"/>
    <cellStyle name="Comma [0] TBD-_Equip Adj Vs Highlander &amp; Explorer 2 79" xfId="31249"/>
    <cellStyle name="Comma [0] TBD_Equip Adj Vs Highlander &amp; Explorer 2 8" xfId="31250"/>
    <cellStyle name="Comma [0] TBD-_Equip Adj Vs Highlander &amp; Explorer 2 8" xfId="31251"/>
    <cellStyle name="Comma [0] TBD_Equip Adj Vs Highlander &amp; Explorer 2 80" xfId="31252"/>
    <cellStyle name="Comma [0] TBD-_Equip Adj Vs Highlander &amp; Explorer 2 80" xfId="31253"/>
    <cellStyle name="Comma [0] TBD_Equip Adj Vs Highlander &amp; Explorer 2 81" xfId="31254"/>
    <cellStyle name="Comma [0] TBD-_Equip Adj Vs Highlander &amp; Explorer 2 81" xfId="31255"/>
    <cellStyle name="Comma [0] TBD_Equip Adj Vs Highlander &amp; Explorer 2 82" xfId="31256"/>
    <cellStyle name="Comma [0] TBD-_Equip Adj Vs Highlander &amp; Explorer 2 82" xfId="31257"/>
    <cellStyle name="Comma [0] TBD_Equip Adj Vs Highlander &amp; Explorer 2 83" xfId="31258"/>
    <cellStyle name="Comma [0] TBD-_Equip Adj Vs Highlander &amp; Explorer 2 83" xfId="31259"/>
    <cellStyle name="Comma [0] TBD_Equip Adj Vs Highlander &amp; Explorer 2 84" xfId="31260"/>
    <cellStyle name="Comma [0] TBD-_Equip Adj Vs Highlander &amp; Explorer 2 84" xfId="31261"/>
    <cellStyle name="Comma [0] TBD_Equip Adj Vs Highlander &amp; Explorer 2 85" xfId="31262"/>
    <cellStyle name="Comma [0] TBD-_Equip Adj Vs Highlander &amp; Explorer 2 85" xfId="31263"/>
    <cellStyle name="Comma [0] TBD_Equip Adj Vs Highlander &amp; Explorer 2 86" xfId="31264"/>
    <cellStyle name="Comma [0] TBD-_Equip Adj Vs Highlander &amp; Explorer 2 86" xfId="31265"/>
    <cellStyle name="Comma [0] TBD_Equip Adj Vs Highlander &amp; Explorer 2 87" xfId="31266"/>
    <cellStyle name="Comma [0] TBD-_Equip Adj Vs Highlander &amp; Explorer 2 87" xfId="31267"/>
    <cellStyle name="Comma [0] TBD_Equip Adj Vs Highlander &amp; Explorer 2 88" xfId="31268"/>
    <cellStyle name="Comma [0] TBD-_Equip Adj Vs Highlander &amp; Explorer 2 88" xfId="31269"/>
    <cellStyle name="Comma [0] TBD_Equip Adj Vs Highlander &amp; Explorer 2 89" xfId="31270"/>
    <cellStyle name="Comma [0] TBD-_Equip Adj Vs Highlander &amp; Explorer 2 89" xfId="31271"/>
    <cellStyle name="Comma [0] TBD_Equip Adj Vs Highlander &amp; Explorer 2 9" xfId="31272"/>
    <cellStyle name="Comma [0] TBD-_Equip Adj Vs Highlander &amp; Explorer 2 9" xfId="31273"/>
    <cellStyle name="Comma [0] TBD_Equip Adj Vs Highlander &amp; Explorer 2 90" xfId="31274"/>
    <cellStyle name="Comma [0] TBD-_Equip Adj Vs Highlander &amp; Explorer 2 90" xfId="31275"/>
    <cellStyle name="Comma [0] TBD_Equip Adj Vs Highlander &amp; Explorer 2 91" xfId="31276"/>
    <cellStyle name="Comma [0] TBD-_Equip Adj Vs Highlander &amp; Explorer 2 91" xfId="31277"/>
    <cellStyle name="Comma [0] TBD_Equip Adj Vs Highlander &amp; Explorer 2 92" xfId="31278"/>
    <cellStyle name="Comma [0] TBD-_Equip Adj Vs Highlander &amp; Explorer 2 92" xfId="31279"/>
    <cellStyle name="Comma [0] TBD_Equip Adj Vs Highlander &amp; Explorer 2 93" xfId="31280"/>
    <cellStyle name="Comma [0] TBD-_Equip Adj Vs Highlander &amp; Explorer 2 93" xfId="31281"/>
    <cellStyle name="Comma [0] TBD_Equip Adj Vs Highlander &amp; Explorer 2 94" xfId="31282"/>
    <cellStyle name="Comma [0] TBD-_Equip Adj Vs Highlander &amp; Explorer 2 94" xfId="31283"/>
    <cellStyle name="Comma [0] TBD_Equip Adj Vs Highlander &amp; Explorer 2 95" xfId="31284"/>
    <cellStyle name="Comma [0] TBD-_Equip Adj Vs Highlander &amp; Explorer 2 95" xfId="31285"/>
    <cellStyle name="Comma [0] TBD_Equip Adj Vs Highlander &amp; Explorer 2 96" xfId="31286"/>
    <cellStyle name="Comma [0] TBD-_Equip Adj Vs Highlander &amp; Explorer 2 96" xfId="31287"/>
    <cellStyle name="Comma [0] TBD_Equip Adj Vs Highlander &amp; Explorer 2 97" xfId="31288"/>
    <cellStyle name="Comma [0] TBD-_Equip Adj Vs Highlander &amp; Explorer 2 97" xfId="31289"/>
    <cellStyle name="Comma [0] TBD_Equip Adj Vs Highlander &amp; Explorer 2 98" xfId="31290"/>
    <cellStyle name="Comma [0] TBD-_Equip Adj Vs Highlander &amp; Explorer 2 98" xfId="31291"/>
    <cellStyle name="Comma [0] TBD_Equip Adj Vs Highlander &amp; Explorer 2 99" xfId="31292"/>
    <cellStyle name="Comma [0] TBD-_Equip Adj Vs Highlander &amp; Explorer 2 99" xfId="31293"/>
    <cellStyle name="Comma [0] TBD_Equip Adj Vs Highlander &amp; Explorer 3" xfId="31294"/>
    <cellStyle name="Comma [0] TBD-_Equip Adj Vs Highlander &amp; Explorer 3" xfId="31295"/>
    <cellStyle name="Comma [0] TBD_Equip Adj Vs Highlander &amp; Explorer 3 10" xfId="31296"/>
    <cellStyle name="Comma [0] TBD-_Equip Adj Vs Highlander &amp; Explorer 3 10" xfId="31297"/>
    <cellStyle name="Comma [0] TBD_Equip Adj Vs Highlander &amp; Explorer 3 100" xfId="31298"/>
    <cellStyle name="Comma [0] TBD-_Equip Adj Vs Highlander &amp; Explorer 3 100" xfId="31299"/>
    <cellStyle name="Comma [0] TBD_Equip Adj Vs Highlander &amp; Explorer 3 101" xfId="31300"/>
    <cellStyle name="Comma [0] TBD-_Equip Adj Vs Highlander &amp; Explorer 3 101" xfId="31301"/>
    <cellStyle name="Comma [0] TBD_Equip Adj Vs Highlander &amp; Explorer 3 102" xfId="31302"/>
    <cellStyle name="Comma [0] TBD-_Equip Adj Vs Highlander &amp; Explorer 3 102" xfId="31303"/>
    <cellStyle name="Comma [0] TBD_Equip Adj Vs Highlander &amp; Explorer 3 103" xfId="31304"/>
    <cellStyle name="Comma [0] TBD-_Equip Adj Vs Highlander &amp; Explorer 3 103" xfId="31305"/>
    <cellStyle name="Comma [0] TBD_Equip Adj Vs Highlander &amp; Explorer 3 104" xfId="31306"/>
    <cellStyle name="Comma [0] TBD-_Equip Adj Vs Highlander &amp; Explorer 3 104" xfId="31307"/>
    <cellStyle name="Comma [0] TBD_Equip Adj Vs Highlander &amp; Explorer 3 105" xfId="31308"/>
    <cellStyle name="Comma [0] TBD-_Equip Adj Vs Highlander &amp; Explorer 3 105" xfId="31309"/>
    <cellStyle name="Comma [0] TBD_Equip Adj Vs Highlander &amp; Explorer 3 106" xfId="31310"/>
    <cellStyle name="Comma [0] TBD-_Equip Adj Vs Highlander &amp; Explorer 3 106" xfId="31311"/>
    <cellStyle name="Comma [0] TBD_Equip Adj Vs Highlander &amp; Explorer 3 107" xfId="31312"/>
    <cellStyle name="Comma [0] TBD-_Equip Adj Vs Highlander &amp; Explorer 3 107" xfId="31313"/>
    <cellStyle name="Comma [0] TBD_Equip Adj Vs Highlander &amp; Explorer 3 108" xfId="31314"/>
    <cellStyle name="Comma [0] TBD-_Equip Adj Vs Highlander &amp; Explorer 3 108" xfId="31315"/>
    <cellStyle name="Comma [0] TBD_Equip Adj Vs Highlander &amp; Explorer 3 109" xfId="31316"/>
    <cellStyle name="Comma [0] TBD-_Equip Adj Vs Highlander &amp; Explorer 3 109" xfId="31317"/>
    <cellStyle name="Comma [0] TBD_Equip Adj Vs Highlander &amp; Explorer 3 11" xfId="31318"/>
    <cellStyle name="Comma [0] TBD-_Equip Adj Vs Highlander &amp; Explorer 3 11" xfId="31319"/>
    <cellStyle name="Comma [0] TBD_Equip Adj Vs Highlander &amp; Explorer 3 110" xfId="31320"/>
    <cellStyle name="Comma [0] TBD-_Equip Adj Vs Highlander &amp; Explorer 3 110" xfId="31321"/>
    <cellStyle name="Comma [0] TBD_Equip Adj Vs Highlander &amp; Explorer 3 111" xfId="31322"/>
    <cellStyle name="Comma [0] TBD-_Equip Adj Vs Highlander &amp; Explorer 3 111" xfId="31323"/>
    <cellStyle name="Comma [0] TBD_Equip Adj Vs Highlander &amp; Explorer 3 112" xfId="31324"/>
    <cellStyle name="Comma [0] TBD-_Equip Adj Vs Highlander &amp; Explorer 3 112" xfId="31325"/>
    <cellStyle name="Comma [0] TBD_Equip Adj Vs Highlander &amp; Explorer 3 113" xfId="31326"/>
    <cellStyle name="Comma [0] TBD-_Equip Adj Vs Highlander &amp; Explorer 3 113" xfId="31327"/>
    <cellStyle name="Comma [0] TBD_Equip Adj Vs Highlander &amp; Explorer 3 114" xfId="31328"/>
    <cellStyle name="Comma [0] TBD-_Equip Adj Vs Highlander &amp; Explorer 3 114" xfId="31329"/>
    <cellStyle name="Comma [0] TBD_Equip Adj Vs Highlander &amp; Explorer 3 115" xfId="31330"/>
    <cellStyle name="Comma [0] TBD-_Equip Adj Vs Highlander &amp; Explorer 3 115" xfId="31331"/>
    <cellStyle name="Comma [0] TBD_Equip Adj Vs Highlander &amp; Explorer 3 116" xfId="31332"/>
    <cellStyle name="Comma [0] TBD-_Equip Adj Vs Highlander &amp; Explorer 3 116" xfId="31333"/>
    <cellStyle name="Comma [0] TBD_Equip Adj Vs Highlander &amp; Explorer 3 117" xfId="31334"/>
    <cellStyle name="Comma [0] TBD-_Equip Adj Vs Highlander &amp; Explorer 3 117" xfId="31335"/>
    <cellStyle name="Comma [0] TBD_Equip Adj Vs Highlander &amp; Explorer 3 118" xfId="31336"/>
    <cellStyle name="Comma [0] TBD-_Equip Adj Vs Highlander &amp; Explorer 3 118" xfId="31337"/>
    <cellStyle name="Comma [0] TBD_Equip Adj Vs Highlander &amp; Explorer 3 119" xfId="31338"/>
    <cellStyle name="Comma [0] TBD-_Equip Adj Vs Highlander &amp; Explorer 3 119" xfId="31339"/>
    <cellStyle name="Comma [0] TBD_Equip Adj Vs Highlander &amp; Explorer 3 12" xfId="31340"/>
    <cellStyle name="Comma [0] TBD-_Equip Adj Vs Highlander &amp; Explorer 3 12" xfId="31341"/>
    <cellStyle name="Comma [0] TBD_Equip Adj Vs Highlander &amp; Explorer 3 120" xfId="31342"/>
    <cellStyle name="Comma [0] TBD-_Equip Adj Vs Highlander &amp; Explorer 3 120" xfId="31343"/>
    <cellStyle name="Comma [0] TBD_Equip Adj Vs Highlander &amp; Explorer 3 121" xfId="31344"/>
    <cellStyle name="Comma [0] TBD-_Equip Adj Vs Highlander &amp; Explorer 3 121" xfId="31345"/>
    <cellStyle name="Comma [0] TBD_Equip Adj Vs Highlander &amp; Explorer 3 122" xfId="31346"/>
    <cellStyle name="Comma [0] TBD-_Equip Adj Vs Highlander &amp; Explorer 3 122" xfId="31347"/>
    <cellStyle name="Comma [0] TBD_Equip Adj Vs Highlander &amp; Explorer 3 123" xfId="31348"/>
    <cellStyle name="Comma [0] TBD-_Equip Adj Vs Highlander &amp; Explorer 3 123" xfId="31349"/>
    <cellStyle name="Comma [0] TBD_Equip Adj Vs Highlander &amp; Explorer 3 124" xfId="31350"/>
    <cellStyle name="Comma [0] TBD-_Equip Adj Vs Highlander &amp; Explorer 3 124" xfId="31351"/>
    <cellStyle name="Comma [0] TBD_Equip Adj Vs Highlander &amp; Explorer 3 125" xfId="31352"/>
    <cellStyle name="Comma [0] TBD-_Equip Adj Vs Highlander &amp; Explorer 3 125" xfId="31353"/>
    <cellStyle name="Comma [0] TBD_Equip Adj Vs Highlander &amp; Explorer 3 126" xfId="31354"/>
    <cellStyle name="Comma [0] TBD-_Equip Adj Vs Highlander &amp; Explorer 3 126" xfId="31355"/>
    <cellStyle name="Comma [0] TBD_Equip Adj Vs Highlander &amp; Explorer 3 127" xfId="31356"/>
    <cellStyle name="Comma [0] TBD-_Equip Adj Vs Highlander &amp; Explorer 3 127" xfId="31357"/>
    <cellStyle name="Comma [0] TBD_Equip Adj Vs Highlander &amp; Explorer 3 128" xfId="31358"/>
    <cellStyle name="Comma [0] TBD-_Equip Adj Vs Highlander &amp; Explorer 3 128" xfId="31359"/>
    <cellStyle name="Comma [0] TBD_Equip Adj Vs Highlander &amp; Explorer 3 129" xfId="31360"/>
    <cellStyle name="Comma [0] TBD-_Equip Adj Vs Highlander &amp; Explorer 3 129" xfId="31361"/>
    <cellStyle name="Comma [0] TBD_Equip Adj Vs Highlander &amp; Explorer 3 13" xfId="31362"/>
    <cellStyle name="Comma [0] TBD-_Equip Adj Vs Highlander &amp; Explorer 3 13" xfId="31363"/>
    <cellStyle name="Comma [0] TBD_Equip Adj Vs Highlander &amp; Explorer 3 130" xfId="31364"/>
    <cellStyle name="Comma [0] TBD-_Equip Adj Vs Highlander &amp; Explorer 3 130" xfId="31365"/>
    <cellStyle name="Comma [0] TBD_Equip Adj Vs Highlander &amp; Explorer 3 131" xfId="31366"/>
    <cellStyle name="Comma [0] TBD-_Equip Adj Vs Highlander &amp; Explorer 3 131" xfId="31367"/>
    <cellStyle name="Comma [0] TBD_Equip Adj Vs Highlander &amp; Explorer 3 132" xfId="31368"/>
    <cellStyle name="Comma [0] TBD-_Equip Adj Vs Highlander &amp; Explorer 3 132" xfId="31369"/>
    <cellStyle name="Comma [0] TBD_Equip Adj Vs Highlander &amp; Explorer 3 133" xfId="31370"/>
    <cellStyle name="Comma [0] TBD-_Equip Adj Vs Highlander &amp; Explorer 3 133" xfId="31371"/>
    <cellStyle name="Comma [0] TBD_Equip Adj Vs Highlander &amp; Explorer 3 134" xfId="31372"/>
    <cellStyle name="Comma [0] TBD-_Equip Adj Vs Highlander &amp; Explorer 3 134" xfId="31373"/>
    <cellStyle name="Comma [0] TBD_Equip Adj Vs Highlander &amp; Explorer 3 135" xfId="31374"/>
    <cellStyle name="Comma [0] TBD-_Equip Adj Vs Highlander &amp; Explorer 3 135" xfId="31375"/>
    <cellStyle name="Comma [0] TBD_Equip Adj Vs Highlander &amp; Explorer 3 136" xfId="31376"/>
    <cellStyle name="Comma [0] TBD-_Equip Adj Vs Highlander &amp; Explorer 3 136" xfId="31377"/>
    <cellStyle name="Comma [0] TBD_Equip Adj Vs Highlander &amp; Explorer 3 137" xfId="31378"/>
    <cellStyle name="Comma [0] TBD-_Equip Adj Vs Highlander &amp; Explorer 3 137" xfId="31379"/>
    <cellStyle name="Comma [0] TBD_Equip Adj Vs Highlander &amp; Explorer 3 138" xfId="31380"/>
    <cellStyle name="Comma [0] TBD-_Equip Adj Vs Highlander &amp; Explorer 3 138" xfId="31381"/>
    <cellStyle name="Comma [0] TBD_Equip Adj Vs Highlander &amp; Explorer 3 139" xfId="31382"/>
    <cellStyle name="Comma [0] TBD-_Equip Adj Vs Highlander &amp; Explorer 3 139" xfId="31383"/>
    <cellStyle name="Comma [0] TBD_Equip Adj Vs Highlander &amp; Explorer 3 14" xfId="31384"/>
    <cellStyle name="Comma [0] TBD-_Equip Adj Vs Highlander &amp; Explorer 3 14" xfId="31385"/>
    <cellStyle name="Comma [0] TBD_Equip Adj Vs Highlander &amp; Explorer 3 140" xfId="31386"/>
    <cellStyle name="Comma [0] TBD-_Equip Adj Vs Highlander &amp; Explorer 3 140" xfId="31387"/>
    <cellStyle name="Comma [0] TBD_Equip Adj Vs Highlander &amp; Explorer 3 141" xfId="31388"/>
    <cellStyle name="Comma [0] TBD-_Equip Adj Vs Highlander &amp; Explorer 3 141" xfId="31389"/>
    <cellStyle name="Comma [0] TBD_Equip Adj Vs Highlander &amp; Explorer 3 142" xfId="31390"/>
    <cellStyle name="Comma [0] TBD-_Equip Adj Vs Highlander &amp; Explorer 3 142" xfId="31391"/>
    <cellStyle name="Comma [0] TBD_Equip Adj Vs Highlander &amp; Explorer 3 143" xfId="31392"/>
    <cellStyle name="Comma [0] TBD-_Equip Adj Vs Highlander &amp; Explorer 3 143" xfId="31393"/>
    <cellStyle name="Comma [0] TBD_Equip Adj Vs Highlander &amp; Explorer 3 144" xfId="31394"/>
    <cellStyle name="Comma [0] TBD-_Equip Adj Vs Highlander &amp; Explorer 3 144" xfId="31395"/>
    <cellStyle name="Comma [0] TBD_Equip Adj Vs Highlander &amp; Explorer 3 145" xfId="31396"/>
    <cellStyle name="Comma [0] TBD-_Equip Adj Vs Highlander &amp; Explorer 3 145" xfId="31397"/>
    <cellStyle name="Comma [0] TBD_Equip Adj Vs Highlander &amp; Explorer 3 146" xfId="31398"/>
    <cellStyle name="Comma [0] TBD-_Equip Adj Vs Highlander &amp; Explorer 3 146" xfId="31399"/>
    <cellStyle name="Comma [0] TBD_Equip Adj Vs Highlander &amp; Explorer 3 147" xfId="31400"/>
    <cellStyle name="Comma [0] TBD-_Equip Adj Vs Highlander &amp; Explorer 3 147" xfId="31401"/>
    <cellStyle name="Comma [0] TBD_Equip Adj Vs Highlander &amp; Explorer 3 148" xfId="31402"/>
    <cellStyle name="Comma [0] TBD-_Equip Adj Vs Highlander &amp; Explorer 3 148" xfId="31403"/>
    <cellStyle name="Comma [0] TBD_Equip Adj Vs Highlander &amp; Explorer 3 149" xfId="31404"/>
    <cellStyle name="Comma [0] TBD-_Equip Adj Vs Highlander &amp; Explorer 3 149" xfId="31405"/>
    <cellStyle name="Comma [0] TBD_Equip Adj Vs Highlander &amp; Explorer 3 15" xfId="31406"/>
    <cellStyle name="Comma [0] TBD-_Equip Adj Vs Highlander &amp; Explorer 3 15" xfId="31407"/>
    <cellStyle name="Comma [0] TBD_Equip Adj Vs Highlander &amp; Explorer 3 150" xfId="31408"/>
    <cellStyle name="Comma [0] TBD-_Equip Adj Vs Highlander &amp; Explorer 3 150" xfId="31409"/>
    <cellStyle name="Comma [0] TBD_Equip Adj Vs Highlander &amp; Explorer 3 151" xfId="31410"/>
    <cellStyle name="Comma [0] TBD-_Equip Adj Vs Highlander &amp; Explorer 3 151" xfId="31411"/>
    <cellStyle name="Comma [0] TBD_Equip Adj Vs Highlander &amp; Explorer 3 152" xfId="31412"/>
    <cellStyle name="Comma [0] TBD-_Equip Adj Vs Highlander &amp; Explorer 3 152" xfId="31413"/>
    <cellStyle name="Comma [0] TBD_Equip Adj Vs Highlander &amp; Explorer 3 153" xfId="31414"/>
    <cellStyle name="Comma [0] TBD-_Equip Adj Vs Highlander &amp; Explorer 3 153" xfId="31415"/>
    <cellStyle name="Comma [0] TBD_Equip Adj Vs Highlander &amp; Explorer 3 16" xfId="31416"/>
    <cellStyle name="Comma [0] TBD-_Equip Adj Vs Highlander &amp; Explorer 3 16" xfId="31417"/>
    <cellStyle name="Comma [0] TBD_Equip Adj Vs Highlander &amp; Explorer 3 17" xfId="31418"/>
    <cellStyle name="Comma [0] TBD-_Equip Adj Vs Highlander &amp; Explorer 3 17" xfId="31419"/>
    <cellStyle name="Comma [0] TBD_Equip Adj Vs Highlander &amp; Explorer 3 18" xfId="31420"/>
    <cellStyle name="Comma [0] TBD-_Equip Adj Vs Highlander &amp; Explorer 3 18" xfId="31421"/>
    <cellStyle name="Comma [0] TBD_Equip Adj Vs Highlander &amp; Explorer 3 19" xfId="31422"/>
    <cellStyle name="Comma [0] TBD-_Equip Adj Vs Highlander &amp; Explorer 3 19" xfId="31423"/>
    <cellStyle name="Comma [0] TBD_Equip Adj Vs Highlander &amp; Explorer 3 2" xfId="31424"/>
    <cellStyle name="Comma [0] TBD-_Equip Adj Vs Highlander &amp; Explorer 3 2" xfId="31425"/>
    <cellStyle name="Comma [0] TBD_Equip Adj Vs Highlander &amp; Explorer 3 2 2" xfId="31426"/>
    <cellStyle name="Comma [0] TBD-_Equip Adj Vs Highlander &amp; Explorer 3 2 2" xfId="31427"/>
    <cellStyle name="Comma [0] TBD_Equip Adj Vs Highlander &amp; Explorer 3 20" xfId="31428"/>
    <cellStyle name="Comma [0] TBD-_Equip Adj Vs Highlander &amp; Explorer 3 20" xfId="31429"/>
    <cellStyle name="Comma [0] TBD_Equip Adj Vs Highlander &amp; Explorer 3 21" xfId="31430"/>
    <cellStyle name="Comma [0] TBD-_Equip Adj Vs Highlander &amp; Explorer 3 21" xfId="31431"/>
    <cellStyle name="Comma [0] TBD_Equip Adj Vs Highlander &amp; Explorer 3 22" xfId="31432"/>
    <cellStyle name="Comma [0] TBD-_Equip Adj Vs Highlander &amp; Explorer 3 22" xfId="31433"/>
    <cellStyle name="Comma [0] TBD_Equip Adj Vs Highlander &amp; Explorer 3 23" xfId="31434"/>
    <cellStyle name="Comma [0] TBD-_Equip Adj Vs Highlander &amp; Explorer 3 23" xfId="31435"/>
    <cellStyle name="Comma [0] TBD_Equip Adj Vs Highlander &amp; Explorer 3 24" xfId="31436"/>
    <cellStyle name="Comma [0] TBD-_Equip Adj Vs Highlander &amp; Explorer 3 24" xfId="31437"/>
    <cellStyle name="Comma [0] TBD_Equip Adj Vs Highlander &amp; Explorer 3 25" xfId="31438"/>
    <cellStyle name="Comma [0] TBD-_Equip Adj Vs Highlander &amp; Explorer 3 25" xfId="31439"/>
    <cellStyle name="Comma [0] TBD_Equip Adj Vs Highlander &amp; Explorer 3 26" xfId="31440"/>
    <cellStyle name="Comma [0] TBD-_Equip Adj Vs Highlander &amp; Explorer 3 26" xfId="31441"/>
    <cellStyle name="Comma [0] TBD_Equip Adj Vs Highlander &amp; Explorer 3 27" xfId="31442"/>
    <cellStyle name="Comma [0] TBD-_Equip Adj Vs Highlander &amp; Explorer 3 27" xfId="31443"/>
    <cellStyle name="Comma [0] TBD_Equip Adj Vs Highlander &amp; Explorer 3 28" xfId="31444"/>
    <cellStyle name="Comma [0] TBD-_Equip Adj Vs Highlander &amp; Explorer 3 28" xfId="31445"/>
    <cellStyle name="Comma [0] TBD_Equip Adj Vs Highlander &amp; Explorer 3 29" xfId="31446"/>
    <cellStyle name="Comma [0] TBD-_Equip Adj Vs Highlander &amp; Explorer 3 29" xfId="31447"/>
    <cellStyle name="Comma [0] TBD_Equip Adj Vs Highlander &amp; Explorer 3 3" xfId="31448"/>
    <cellStyle name="Comma [0] TBD-_Equip Adj Vs Highlander &amp; Explorer 3 3" xfId="31449"/>
    <cellStyle name="Comma [0] TBD_Equip Adj Vs Highlander &amp; Explorer 3 30" xfId="31450"/>
    <cellStyle name="Comma [0] TBD-_Equip Adj Vs Highlander &amp; Explorer 3 30" xfId="31451"/>
    <cellStyle name="Comma [0] TBD_Equip Adj Vs Highlander &amp; Explorer 3 31" xfId="31452"/>
    <cellStyle name="Comma [0] TBD-_Equip Adj Vs Highlander &amp; Explorer 3 31" xfId="31453"/>
    <cellStyle name="Comma [0] TBD_Equip Adj Vs Highlander &amp; Explorer 3 32" xfId="31454"/>
    <cellStyle name="Comma [0] TBD-_Equip Adj Vs Highlander &amp; Explorer 3 32" xfId="31455"/>
    <cellStyle name="Comma [0] TBD_Equip Adj Vs Highlander &amp; Explorer 3 33" xfId="31456"/>
    <cellStyle name="Comma [0] TBD-_Equip Adj Vs Highlander &amp; Explorer 3 33" xfId="31457"/>
    <cellStyle name="Comma [0] TBD_Equip Adj Vs Highlander &amp; Explorer 3 34" xfId="31458"/>
    <cellStyle name="Comma [0] TBD-_Equip Adj Vs Highlander &amp; Explorer 3 34" xfId="31459"/>
    <cellStyle name="Comma [0] TBD_Equip Adj Vs Highlander &amp; Explorer 3 35" xfId="31460"/>
    <cellStyle name="Comma [0] TBD-_Equip Adj Vs Highlander &amp; Explorer 3 35" xfId="31461"/>
    <cellStyle name="Comma [0] TBD_Equip Adj Vs Highlander &amp; Explorer 3 36" xfId="31462"/>
    <cellStyle name="Comma [0] TBD-_Equip Adj Vs Highlander &amp; Explorer 3 36" xfId="31463"/>
    <cellStyle name="Comma [0] TBD_Equip Adj Vs Highlander &amp; Explorer 3 37" xfId="31464"/>
    <cellStyle name="Comma [0] TBD-_Equip Adj Vs Highlander &amp; Explorer 3 37" xfId="31465"/>
    <cellStyle name="Comma [0] TBD_Equip Adj Vs Highlander &amp; Explorer 3 38" xfId="31466"/>
    <cellStyle name="Comma [0] TBD-_Equip Adj Vs Highlander &amp; Explorer 3 38" xfId="31467"/>
    <cellStyle name="Comma [0] TBD_Equip Adj Vs Highlander &amp; Explorer 3 39" xfId="31468"/>
    <cellStyle name="Comma [0] TBD-_Equip Adj Vs Highlander &amp; Explorer 3 39" xfId="31469"/>
    <cellStyle name="Comma [0] TBD_Equip Adj Vs Highlander &amp; Explorer 3 4" xfId="31470"/>
    <cellStyle name="Comma [0] TBD-_Equip Adj Vs Highlander &amp; Explorer 3 4" xfId="31471"/>
    <cellStyle name="Comma [0] TBD_Equip Adj Vs Highlander &amp; Explorer 3 40" xfId="31472"/>
    <cellStyle name="Comma [0] TBD-_Equip Adj Vs Highlander &amp; Explorer 3 40" xfId="31473"/>
    <cellStyle name="Comma [0] TBD_Equip Adj Vs Highlander &amp; Explorer 3 41" xfId="31474"/>
    <cellStyle name="Comma [0] TBD-_Equip Adj Vs Highlander &amp; Explorer 3 41" xfId="31475"/>
    <cellStyle name="Comma [0] TBD_Equip Adj Vs Highlander &amp; Explorer 3 42" xfId="31476"/>
    <cellStyle name="Comma [0] TBD-_Equip Adj Vs Highlander &amp; Explorer 3 42" xfId="31477"/>
    <cellStyle name="Comma [0] TBD_Equip Adj Vs Highlander &amp; Explorer 3 43" xfId="31478"/>
    <cellStyle name="Comma [0] TBD-_Equip Adj Vs Highlander &amp; Explorer 3 43" xfId="31479"/>
    <cellStyle name="Comma [0] TBD_Equip Adj Vs Highlander &amp; Explorer 3 44" xfId="31480"/>
    <cellStyle name="Comma [0] TBD-_Equip Adj Vs Highlander &amp; Explorer 3 44" xfId="31481"/>
    <cellStyle name="Comma [0] TBD_Equip Adj Vs Highlander &amp; Explorer 3 45" xfId="31482"/>
    <cellStyle name="Comma [0] TBD-_Equip Adj Vs Highlander &amp; Explorer 3 45" xfId="31483"/>
    <cellStyle name="Comma [0] TBD_Equip Adj Vs Highlander &amp; Explorer 3 46" xfId="31484"/>
    <cellStyle name="Comma [0] TBD-_Equip Adj Vs Highlander &amp; Explorer 3 46" xfId="31485"/>
    <cellStyle name="Comma [0] TBD_Equip Adj Vs Highlander &amp; Explorer 3 47" xfId="31486"/>
    <cellStyle name="Comma [0] TBD-_Equip Adj Vs Highlander &amp; Explorer 3 47" xfId="31487"/>
    <cellStyle name="Comma [0] TBD_Equip Adj Vs Highlander &amp; Explorer 3 48" xfId="31488"/>
    <cellStyle name="Comma [0] TBD-_Equip Adj Vs Highlander &amp; Explorer 3 48" xfId="31489"/>
    <cellStyle name="Comma [0] TBD_Equip Adj Vs Highlander &amp; Explorer 3 49" xfId="31490"/>
    <cellStyle name="Comma [0] TBD-_Equip Adj Vs Highlander &amp; Explorer 3 49" xfId="31491"/>
    <cellStyle name="Comma [0] TBD_Equip Adj Vs Highlander &amp; Explorer 3 5" xfId="31492"/>
    <cellStyle name="Comma [0] TBD-_Equip Adj Vs Highlander &amp; Explorer 3 5" xfId="31493"/>
    <cellStyle name="Comma [0] TBD_Equip Adj Vs Highlander &amp; Explorer 3 50" xfId="31494"/>
    <cellStyle name="Comma [0] TBD-_Equip Adj Vs Highlander &amp; Explorer 3 50" xfId="31495"/>
    <cellStyle name="Comma [0] TBD_Equip Adj Vs Highlander &amp; Explorer 3 51" xfId="31496"/>
    <cellStyle name="Comma [0] TBD-_Equip Adj Vs Highlander &amp; Explorer 3 51" xfId="31497"/>
    <cellStyle name="Comma [0] TBD_Equip Adj Vs Highlander &amp; Explorer 3 52" xfId="31498"/>
    <cellStyle name="Comma [0] TBD-_Equip Adj Vs Highlander &amp; Explorer 3 52" xfId="31499"/>
    <cellStyle name="Comma [0] TBD_Equip Adj Vs Highlander &amp; Explorer 3 53" xfId="31500"/>
    <cellStyle name="Comma [0] TBD-_Equip Adj Vs Highlander &amp; Explorer 3 53" xfId="31501"/>
    <cellStyle name="Comma [0] TBD_Equip Adj Vs Highlander &amp; Explorer 3 54" xfId="31502"/>
    <cellStyle name="Comma [0] TBD-_Equip Adj Vs Highlander &amp; Explorer 3 54" xfId="31503"/>
    <cellStyle name="Comma [0] TBD_Equip Adj Vs Highlander &amp; Explorer 3 55" xfId="31504"/>
    <cellStyle name="Comma [0] TBD-_Equip Adj Vs Highlander &amp; Explorer 3 55" xfId="31505"/>
    <cellStyle name="Comma [0] TBD_Equip Adj Vs Highlander &amp; Explorer 3 56" xfId="31506"/>
    <cellStyle name="Comma [0] TBD-_Equip Adj Vs Highlander &amp; Explorer 3 56" xfId="31507"/>
    <cellStyle name="Comma [0] TBD_Equip Adj Vs Highlander &amp; Explorer 3 57" xfId="31508"/>
    <cellStyle name="Comma [0] TBD-_Equip Adj Vs Highlander &amp; Explorer 3 57" xfId="31509"/>
    <cellStyle name="Comma [0] TBD_Equip Adj Vs Highlander &amp; Explorer 3 58" xfId="31510"/>
    <cellStyle name="Comma [0] TBD-_Equip Adj Vs Highlander &amp; Explorer 3 58" xfId="31511"/>
    <cellStyle name="Comma [0] TBD_Equip Adj Vs Highlander &amp; Explorer 3 59" xfId="31512"/>
    <cellStyle name="Comma [0] TBD-_Equip Adj Vs Highlander &amp; Explorer 3 59" xfId="31513"/>
    <cellStyle name="Comma [0] TBD_Equip Adj Vs Highlander &amp; Explorer 3 6" xfId="31514"/>
    <cellStyle name="Comma [0] TBD-_Equip Adj Vs Highlander &amp; Explorer 3 6" xfId="31515"/>
    <cellStyle name="Comma [0] TBD_Equip Adj Vs Highlander &amp; Explorer 3 60" xfId="31516"/>
    <cellStyle name="Comma [0] TBD-_Equip Adj Vs Highlander &amp; Explorer 3 60" xfId="31517"/>
    <cellStyle name="Comma [0] TBD_Equip Adj Vs Highlander &amp; Explorer 3 61" xfId="31518"/>
    <cellStyle name="Comma [0] TBD-_Equip Adj Vs Highlander &amp; Explorer 3 61" xfId="31519"/>
    <cellStyle name="Comma [0] TBD_Equip Adj Vs Highlander &amp; Explorer 3 62" xfId="31520"/>
    <cellStyle name="Comma [0] TBD-_Equip Adj Vs Highlander &amp; Explorer 3 62" xfId="31521"/>
    <cellStyle name="Comma [0] TBD_Equip Adj Vs Highlander &amp; Explorer 3 63" xfId="31522"/>
    <cellStyle name="Comma [0] TBD-_Equip Adj Vs Highlander &amp; Explorer 3 63" xfId="31523"/>
    <cellStyle name="Comma [0] TBD_Equip Adj Vs Highlander &amp; Explorer 3 64" xfId="31524"/>
    <cellStyle name="Comma [0] TBD-_Equip Adj Vs Highlander &amp; Explorer 3 64" xfId="31525"/>
    <cellStyle name="Comma [0] TBD_Equip Adj Vs Highlander &amp; Explorer 3 65" xfId="31526"/>
    <cellStyle name="Comma [0] TBD-_Equip Adj Vs Highlander &amp; Explorer 3 65" xfId="31527"/>
    <cellStyle name="Comma [0] TBD_Equip Adj Vs Highlander &amp; Explorer 3 66" xfId="31528"/>
    <cellStyle name="Comma [0] TBD-_Equip Adj Vs Highlander &amp; Explorer 3 66" xfId="31529"/>
    <cellStyle name="Comma [0] TBD_Equip Adj Vs Highlander &amp; Explorer 3 67" xfId="31530"/>
    <cellStyle name="Comma [0] TBD-_Equip Adj Vs Highlander &amp; Explorer 3 67" xfId="31531"/>
    <cellStyle name="Comma [0] TBD_Equip Adj Vs Highlander &amp; Explorer 3 68" xfId="31532"/>
    <cellStyle name="Comma [0] TBD-_Equip Adj Vs Highlander &amp; Explorer 3 68" xfId="31533"/>
    <cellStyle name="Comma [0] TBD_Equip Adj Vs Highlander &amp; Explorer 3 69" xfId="31534"/>
    <cellStyle name="Comma [0] TBD-_Equip Adj Vs Highlander &amp; Explorer 3 69" xfId="31535"/>
    <cellStyle name="Comma [0] TBD_Equip Adj Vs Highlander &amp; Explorer 3 7" xfId="31536"/>
    <cellStyle name="Comma [0] TBD-_Equip Adj Vs Highlander &amp; Explorer 3 7" xfId="31537"/>
    <cellStyle name="Comma [0] TBD_Equip Adj Vs Highlander &amp; Explorer 3 70" xfId="31538"/>
    <cellStyle name="Comma [0] TBD-_Equip Adj Vs Highlander &amp; Explorer 3 70" xfId="31539"/>
    <cellStyle name="Comma [0] TBD_Equip Adj Vs Highlander &amp; Explorer 3 71" xfId="31540"/>
    <cellStyle name="Comma [0] TBD-_Equip Adj Vs Highlander &amp; Explorer 3 71" xfId="31541"/>
    <cellStyle name="Comma [0] TBD_Equip Adj Vs Highlander &amp; Explorer 3 72" xfId="31542"/>
    <cellStyle name="Comma [0] TBD-_Equip Adj Vs Highlander &amp; Explorer 3 72" xfId="31543"/>
    <cellStyle name="Comma [0] TBD_Equip Adj Vs Highlander &amp; Explorer 3 73" xfId="31544"/>
    <cellStyle name="Comma [0] TBD-_Equip Adj Vs Highlander &amp; Explorer 3 73" xfId="31545"/>
    <cellStyle name="Comma [0] TBD_Equip Adj Vs Highlander &amp; Explorer 3 74" xfId="31546"/>
    <cellStyle name="Comma [0] TBD-_Equip Adj Vs Highlander &amp; Explorer 3 74" xfId="31547"/>
    <cellStyle name="Comma [0] TBD_Equip Adj Vs Highlander &amp; Explorer 3 75" xfId="31548"/>
    <cellStyle name="Comma [0] TBD-_Equip Adj Vs Highlander &amp; Explorer 3 75" xfId="31549"/>
    <cellStyle name="Comma [0] TBD_Equip Adj Vs Highlander &amp; Explorer 3 76" xfId="31550"/>
    <cellStyle name="Comma [0] TBD-_Equip Adj Vs Highlander &amp; Explorer 3 76" xfId="31551"/>
    <cellStyle name="Comma [0] TBD_Equip Adj Vs Highlander &amp; Explorer 3 77" xfId="31552"/>
    <cellStyle name="Comma [0] TBD-_Equip Adj Vs Highlander &amp; Explorer 3 77" xfId="31553"/>
    <cellStyle name="Comma [0] TBD_Equip Adj Vs Highlander &amp; Explorer 3 78" xfId="31554"/>
    <cellStyle name="Comma [0] TBD-_Equip Adj Vs Highlander &amp; Explorer 3 78" xfId="31555"/>
    <cellStyle name="Comma [0] TBD_Equip Adj Vs Highlander &amp; Explorer 3 79" xfId="31556"/>
    <cellStyle name="Comma [0] TBD-_Equip Adj Vs Highlander &amp; Explorer 3 79" xfId="31557"/>
    <cellStyle name="Comma [0] TBD_Equip Adj Vs Highlander &amp; Explorer 3 8" xfId="31558"/>
    <cellStyle name="Comma [0] TBD-_Equip Adj Vs Highlander &amp; Explorer 3 8" xfId="31559"/>
    <cellStyle name="Comma [0] TBD_Equip Adj Vs Highlander &amp; Explorer 3 80" xfId="31560"/>
    <cellStyle name="Comma [0] TBD-_Equip Adj Vs Highlander &amp; Explorer 3 80" xfId="31561"/>
    <cellStyle name="Comma [0] TBD_Equip Adj Vs Highlander &amp; Explorer 3 81" xfId="31562"/>
    <cellStyle name="Comma [0] TBD-_Equip Adj Vs Highlander &amp; Explorer 3 81" xfId="31563"/>
    <cellStyle name="Comma [0] TBD_Equip Adj Vs Highlander &amp; Explorer 3 82" xfId="31564"/>
    <cellStyle name="Comma [0] TBD-_Equip Adj Vs Highlander &amp; Explorer 3 82" xfId="31565"/>
    <cellStyle name="Comma [0] TBD_Equip Adj Vs Highlander &amp; Explorer 3 83" xfId="31566"/>
    <cellStyle name="Comma [0] TBD-_Equip Adj Vs Highlander &amp; Explorer 3 83" xfId="31567"/>
    <cellStyle name="Comma [0] TBD_Equip Adj Vs Highlander &amp; Explorer 3 84" xfId="31568"/>
    <cellStyle name="Comma [0] TBD-_Equip Adj Vs Highlander &amp; Explorer 3 84" xfId="31569"/>
    <cellStyle name="Comma [0] TBD_Equip Adj Vs Highlander &amp; Explorer 3 85" xfId="31570"/>
    <cellStyle name="Comma [0] TBD-_Equip Adj Vs Highlander &amp; Explorer 3 85" xfId="31571"/>
    <cellStyle name="Comma [0] TBD_Equip Adj Vs Highlander &amp; Explorer 3 86" xfId="31572"/>
    <cellStyle name="Comma [0] TBD-_Equip Adj Vs Highlander &amp; Explorer 3 86" xfId="31573"/>
    <cellStyle name="Comma [0] TBD_Equip Adj Vs Highlander &amp; Explorer 3 87" xfId="31574"/>
    <cellStyle name="Comma [0] TBD-_Equip Adj Vs Highlander &amp; Explorer 3 87" xfId="31575"/>
    <cellStyle name="Comma [0] TBD_Equip Adj Vs Highlander &amp; Explorer 3 88" xfId="31576"/>
    <cellStyle name="Comma [0] TBD-_Equip Adj Vs Highlander &amp; Explorer 3 88" xfId="31577"/>
    <cellStyle name="Comma [0] TBD_Equip Adj Vs Highlander &amp; Explorer 3 89" xfId="31578"/>
    <cellStyle name="Comma [0] TBD-_Equip Adj Vs Highlander &amp; Explorer 3 89" xfId="31579"/>
    <cellStyle name="Comma [0] TBD_Equip Adj Vs Highlander &amp; Explorer 3 9" xfId="31580"/>
    <cellStyle name="Comma [0] TBD-_Equip Adj Vs Highlander &amp; Explorer 3 9" xfId="31581"/>
    <cellStyle name="Comma [0] TBD_Equip Adj Vs Highlander &amp; Explorer 3 90" xfId="31582"/>
    <cellStyle name="Comma [0] TBD-_Equip Adj Vs Highlander &amp; Explorer 3 90" xfId="31583"/>
    <cellStyle name="Comma [0] TBD_Equip Adj Vs Highlander &amp; Explorer 3 91" xfId="31584"/>
    <cellStyle name="Comma [0] TBD-_Equip Adj Vs Highlander &amp; Explorer 3 91" xfId="31585"/>
    <cellStyle name="Comma [0] TBD_Equip Adj Vs Highlander &amp; Explorer 3 92" xfId="31586"/>
    <cellStyle name="Comma [0] TBD-_Equip Adj Vs Highlander &amp; Explorer 3 92" xfId="31587"/>
    <cellStyle name="Comma [0] TBD_Equip Adj Vs Highlander &amp; Explorer 3 93" xfId="31588"/>
    <cellStyle name="Comma [0] TBD-_Equip Adj Vs Highlander &amp; Explorer 3 93" xfId="31589"/>
    <cellStyle name="Comma [0] TBD_Equip Adj Vs Highlander &amp; Explorer 3 94" xfId="31590"/>
    <cellStyle name="Comma [0] TBD-_Equip Adj Vs Highlander &amp; Explorer 3 94" xfId="31591"/>
    <cellStyle name="Comma [0] TBD_Equip Adj Vs Highlander &amp; Explorer 3 95" xfId="31592"/>
    <cellStyle name="Comma [0] TBD-_Equip Adj Vs Highlander &amp; Explorer 3 95" xfId="31593"/>
    <cellStyle name="Comma [0] TBD_Equip Adj Vs Highlander &amp; Explorer 3 96" xfId="31594"/>
    <cellStyle name="Comma [0] TBD-_Equip Adj Vs Highlander &amp; Explorer 3 96" xfId="31595"/>
    <cellStyle name="Comma [0] TBD_Equip Adj Vs Highlander &amp; Explorer 3 97" xfId="31596"/>
    <cellStyle name="Comma [0] TBD-_Equip Adj Vs Highlander &amp; Explorer 3 97" xfId="31597"/>
    <cellStyle name="Comma [0] TBD_Equip Adj Vs Highlander &amp; Explorer 3 98" xfId="31598"/>
    <cellStyle name="Comma [0] TBD-_Equip Adj Vs Highlander &amp; Explorer 3 98" xfId="31599"/>
    <cellStyle name="Comma [0] TBD_Equip Adj Vs Highlander &amp; Explorer 3 99" xfId="31600"/>
    <cellStyle name="Comma [0] TBD-_Equip Adj Vs Highlander &amp; Explorer 3 99" xfId="31601"/>
    <cellStyle name="Comma [0] TBD_Equip Adj Vs Highlander &amp; Explorer 4" xfId="31602"/>
    <cellStyle name="Comma [0] TBD-_Equip Adj Vs Highlander &amp; Explorer 4" xfId="31603"/>
    <cellStyle name="Comma [0] TBD_Equip Adj Vs Highlander &amp; Explorer 4 10" xfId="31604"/>
    <cellStyle name="Comma [0] TBD-_Equip Adj Vs Highlander &amp; Explorer 4 10" xfId="31605"/>
    <cellStyle name="Comma [0] TBD_Equip Adj Vs Highlander &amp; Explorer 4 100" xfId="31606"/>
    <cellStyle name="Comma [0] TBD-_Equip Adj Vs Highlander &amp; Explorer 4 100" xfId="31607"/>
    <cellStyle name="Comma [0] TBD_Equip Adj Vs Highlander &amp; Explorer 4 101" xfId="31608"/>
    <cellStyle name="Comma [0] TBD-_Equip Adj Vs Highlander &amp; Explorer 4 101" xfId="31609"/>
    <cellStyle name="Comma [0] TBD_Equip Adj Vs Highlander &amp; Explorer 4 102" xfId="31610"/>
    <cellStyle name="Comma [0] TBD-_Equip Adj Vs Highlander &amp; Explorer 4 102" xfId="31611"/>
    <cellStyle name="Comma [0] TBD_Equip Adj Vs Highlander &amp; Explorer 4 103" xfId="31612"/>
    <cellStyle name="Comma [0] TBD-_Equip Adj Vs Highlander &amp; Explorer 4 103" xfId="31613"/>
    <cellStyle name="Comma [0] TBD_Equip Adj Vs Highlander &amp; Explorer 4 104" xfId="31614"/>
    <cellStyle name="Comma [0] TBD-_Equip Adj Vs Highlander &amp; Explorer 4 104" xfId="31615"/>
    <cellStyle name="Comma [0] TBD_Equip Adj Vs Highlander &amp; Explorer 4 105" xfId="31616"/>
    <cellStyle name="Comma [0] TBD-_Equip Adj Vs Highlander &amp; Explorer 4 105" xfId="31617"/>
    <cellStyle name="Comma [0] TBD_Equip Adj Vs Highlander &amp; Explorer 4 106" xfId="31618"/>
    <cellStyle name="Comma [0] TBD-_Equip Adj Vs Highlander &amp; Explorer 4 106" xfId="31619"/>
    <cellStyle name="Comma [0] TBD_Equip Adj Vs Highlander &amp; Explorer 4 107" xfId="31620"/>
    <cellStyle name="Comma [0] TBD-_Equip Adj Vs Highlander &amp; Explorer 4 107" xfId="31621"/>
    <cellStyle name="Comma [0] TBD_Equip Adj Vs Highlander &amp; Explorer 4 108" xfId="31622"/>
    <cellStyle name="Comma [0] TBD-_Equip Adj Vs Highlander &amp; Explorer 4 108" xfId="31623"/>
    <cellStyle name="Comma [0] TBD_Equip Adj Vs Highlander &amp; Explorer 4 109" xfId="31624"/>
    <cellStyle name="Comma [0] TBD-_Equip Adj Vs Highlander &amp; Explorer 4 109" xfId="31625"/>
    <cellStyle name="Comma [0] TBD_Equip Adj Vs Highlander &amp; Explorer 4 11" xfId="31626"/>
    <cellStyle name="Comma [0] TBD-_Equip Adj Vs Highlander &amp; Explorer 4 11" xfId="31627"/>
    <cellStyle name="Comma [0] TBD_Equip Adj Vs Highlander &amp; Explorer 4 110" xfId="31628"/>
    <cellStyle name="Comma [0] TBD-_Equip Adj Vs Highlander &amp; Explorer 4 110" xfId="31629"/>
    <cellStyle name="Comma [0] TBD_Equip Adj Vs Highlander &amp; Explorer 4 111" xfId="31630"/>
    <cellStyle name="Comma [0] TBD-_Equip Adj Vs Highlander &amp; Explorer 4 111" xfId="31631"/>
    <cellStyle name="Comma [0] TBD_Equip Adj Vs Highlander &amp; Explorer 4 112" xfId="31632"/>
    <cellStyle name="Comma [0] TBD-_Equip Adj Vs Highlander &amp; Explorer 4 112" xfId="31633"/>
    <cellStyle name="Comma [0] TBD_Equip Adj Vs Highlander &amp; Explorer 4 113" xfId="31634"/>
    <cellStyle name="Comma [0] TBD-_Equip Adj Vs Highlander &amp; Explorer 4 113" xfId="31635"/>
    <cellStyle name="Comma [0] TBD_Equip Adj Vs Highlander &amp; Explorer 4 114" xfId="31636"/>
    <cellStyle name="Comma [0] TBD-_Equip Adj Vs Highlander &amp; Explorer 4 114" xfId="31637"/>
    <cellStyle name="Comma [0] TBD_Equip Adj Vs Highlander &amp; Explorer 4 115" xfId="31638"/>
    <cellStyle name="Comma [0] TBD-_Equip Adj Vs Highlander &amp; Explorer 4 115" xfId="31639"/>
    <cellStyle name="Comma [0] TBD_Equip Adj Vs Highlander &amp; Explorer 4 116" xfId="31640"/>
    <cellStyle name="Comma [0] TBD-_Equip Adj Vs Highlander &amp; Explorer 4 116" xfId="31641"/>
    <cellStyle name="Comma [0] TBD_Equip Adj Vs Highlander &amp; Explorer 4 117" xfId="31642"/>
    <cellStyle name="Comma [0] TBD-_Equip Adj Vs Highlander &amp; Explorer 4 117" xfId="31643"/>
    <cellStyle name="Comma [0] TBD_Equip Adj Vs Highlander &amp; Explorer 4 118" xfId="31644"/>
    <cellStyle name="Comma [0] TBD-_Equip Adj Vs Highlander &amp; Explorer 4 118" xfId="31645"/>
    <cellStyle name="Comma [0] TBD_Equip Adj Vs Highlander &amp; Explorer 4 119" xfId="31646"/>
    <cellStyle name="Comma [0] TBD-_Equip Adj Vs Highlander &amp; Explorer 4 119" xfId="31647"/>
    <cellStyle name="Comma [0] TBD_Equip Adj Vs Highlander &amp; Explorer 4 12" xfId="31648"/>
    <cellStyle name="Comma [0] TBD-_Equip Adj Vs Highlander &amp; Explorer 4 12" xfId="31649"/>
    <cellStyle name="Comma [0] TBD_Equip Adj Vs Highlander &amp; Explorer 4 120" xfId="31650"/>
    <cellStyle name="Comma [0] TBD-_Equip Adj Vs Highlander &amp; Explorer 4 120" xfId="31651"/>
    <cellStyle name="Comma [0] TBD_Equip Adj Vs Highlander &amp; Explorer 4 121" xfId="31652"/>
    <cellStyle name="Comma [0] TBD-_Equip Adj Vs Highlander &amp; Explorer 4 121" xfId="31653"/>
    <cellStyle name="Comma [0] TBD_Equip Adj Vs Highlander &amp; Explorer 4 122" xfId="31654"/>
    <cellStyle name="Comma [0] TBD-_Equip Adj Vs Highlander &amp; Explorer 4 122" xfId="31655"/>
    <cellStyle name="Comma [0] TBD_Equip Adj Vs Highlander &amp; Explorer 4 123" xfId="31656"/>
    <cellStyle name="Comma [0] TBD-_Equip Adj Vs Highlander &amp; Explorer 4 123" xfId="31657"/>
    <cellStyle name="Comma [0] TBD_Equip Adj Vs Highlander &amp; Explorer 4 124" xfId="31658"/>
    <cellStyle name="Comma [0] TBD-_Equip Adj Vs Highlander &amp; Explorer 4 124" xfId="31659"/>
    <cellStyle name="Comma [0] TBD_Equip Adj Vs Highlander &amp; Explorer 4 125" xfId="31660"/>
    <cellStyle name="Comma [0] TBD-_Equip Adj Vs Highlander &amp; Explorer 4 125" xfId="31661"/>
    <cellStyle name="Comma [0] TBD_Equip Adj Vs Highlander &amp; Explorer 4 126" xfId="31662"/>
    <cellStyle name="Comma [0] TBD-_Equip Adj Vs Highlander &amp; Explorer 4 126" xfId="31663"/>
    <cellStyle name="Comma [0] TBD_Equip Adj Vs Highlander &amp; Explorer 4 127" xfId="31664"/>
    <cellStyle name="Comma [0] TBD-_Equip Adj Vs Highlander &amp; Explorer 4 127" xfId="31665"/>
    <cellStyle name="Comma [0] TBD_Equip Adj Vs Highlander &amp; Explorer 4 128" xfId="31666"/>
    <cellStyle name="Comma [0] TBD-_Equip Adj Vs Highlander &amp; Explorer 4 128" xfId="31667"/>
    <cellStyle name="Comma [0] TBD_Equip Adj Vs Highlander &amp; Explorer 4 129" xfId="31668"/>
    <cellStyle name="Comma [0] TBD-_Equip Adj Vs Highlander &amp; Explorer 4 129" xfId="31669"/>
    <cellStyle name="Comma [0] TBD_Equip Adj Vs Highlander &amp; Explorer 4 13" xfId="31670"/>
    <cellStyle name="Comma [0] TBD-_Equip Adj Vs Highlander &amp; Explorer 4 13" xfId="31671"/>
    <cellStyle name="Comma [0] TBD_Equip Adj Vs Highlander &amp; Explorer 4 130" xfId="31672"/>
    <cellStyle name="Comma [0] TBD-_Equip Adj Vs Highlander &amp; Explorer 4 130" xfId="31673"/>
    <cellStyle name="Comma [0] TBD_Equip Adj Vs Highlander &amp; Explorer 4 131" xfId="31674"/>
    <cellStyle name="Comma [0] TBD-_Equip Adj Vs Highlander &amp; Explorer 4 131" xfId="31675"/>
    <cellStyle name="Comma [0] TBD_Equip Adj Vs Highlander &amp; Explorer 4 132" xfId="31676"/>
    <cellStyle name="Comma [0] TBD-_Equip Adj Vs Highlander &amp; Explorer 4 132" xfId="31677"/>
    <cellStyle name="Comma [0] TBD_Equip Adj Vs Highlander &amp; Explorer 4 133" xfId="31678"/>
    <cellStyle name="Comma [0] TBD-_Equip Adj Vs Highlander &amp; Explorer 4 133" xfId="31679"/>
    <cellStyle name="Comma [0] TBD_Equip Adj Vs Highlander &amp; Explorer 4 134" xfId="31680"/>
    <cellStyle name="Comma [0] TBD-_Equip Adj Vs Highlander &amp; Explorer 4 134" xfId="31681"/>
    <cellStyle name="Comma [0] TBD_Equip Adj Vs Highlander &amp; Explorer 4 135" xfId="31682"/>
    <cellStyle name="Comma [0] TBD-_Equip Adj Vs Highlander &amp; Explorer 4 135" xfId="31683"/>
    <cellStyle name="Comma [0] TBD_Equip Adj Vs Highlander &amp; Explorer 4 136" xfId="31684"/>
    <cellStyle name="Comma [0] TBD-_Equip Adj Vs Highlander &amp; Explorer 4 136" xfId="31685"/>
    <cellStyle name="Comma [0] TBD_Equip Adj Vs Highlander &amp; Explorer 4 137" xfId="31686"/>
    <cellStyle name="Comma [0] TBD-_Equip Adj Vs Highlander &amp; Explorer 4 137" xfId="31687"/>
    <cellStyle name="Comma [0] TBD_Equip Adj Vs Highlander &amp; Explorer 4 138" xfId="31688"/>
    <cellStyle name="Comma [0] TBD-_Equip Adj Vs Highlander &amp; Explorer 4 138" xfId="31689"/>
    <cellStyle name="Comma [0] TBD_Equip Adj Vs Highlander &amp; Explorer 4 139" xfId="31690"/>
    <cellStyle name="Comma [0] TBD-_Equip Adj Vs Highlander &amp; Explorer 4 139" xfId="31691"/>
    <cellStyle name="Comma [0] TBD_Equip Adj Vs Highlander &amp; Explorer 4 14" xfId="31692"/>
    <cellStyle name="Comma [0] TBD-_Equip Adj Vs Highlander &amp; Explorer 4 14" xfId="31693"/>
    <cellStyle name="Comma [0] TBD_Equip Adj Vs Highlander &amp; Explorer 4 140" xfId="31694"/>
    <cellStyle name="Comma [0] TBD-_Equip Adj Vs Highlander &amp; Explorer 4 140" xfId="31695"/>
    <cellStyle name="Comma [0] TBD_Equip Adj Vs Highlander &amp; Explorer 4 141" xfId="31696"/>
    <cellStyle name="Comma [0] TBD-_Equip Adj Vs Highlander &amp; Explorer 4 141" xfId="31697"/>
    <cellStyle name="Comma [0] TBD_Equip Adj Vs Highlander &amp; Explorer 4 142" xfId="31698"/>
    <cellStyle name="Comma [0] TBD-_Equip Adj Vs Highlander &amp; Explorer 4 142" xfId="31699"/>
    <cellStyle name="Comma [0] TBD_Equip Adj Vs Highlander &amp; Explorer 4 143" xfId="31700"/>
    <cellStyle name="Comma [0] TBD-_Equip Adj Vs Highlander &amp; Explorer 4 143" xfId="31701"/>
    <cellStyle name="Comma [0] TBD_Equip Adj Vs Highlander &amp; Explorer 4 144" xfId="31702"/>
    <cellStyle name="Comma [0] TBD-_Equip Adj Vs Highlander &amp; Explorer 4 144" xfId="31703"/>
    <cellStyle name="Comma [0] TBD_Equip Adj Vs Highlander &amp; Explorer 4 145" xfId="31704"/>
    <cellStyle name="Comma [0] TBD-_Equip Adj Vs Highlander &amp; Explorer 4 145" xfId="31705"/>
    <cellStyle name="Comma [0] TBD_Equip Adj Vs Highlander &amp; Explorer 4 146" xfId="31706"/>
    <cellStyle name="Comma [0] TBD-_Equip Adj Vs Highlander &amp; Explorer 4 146" xfId="31707"/>
    <cellStyle name="Comma [0] TBD_Equip Adj Vs Highlander &amp; Explorer 4 147" xfId="31708"/>
    <cellStyle name="Comma [0] TBD-_Equip Adj Vs Highlander &amp; Explorer 4 147" xfId="31709"/>
    <cellStyle name="Comma [0] TBD_Equip Adj Vs Highlander &amp; Explorer 4 148" xfId="31710"/>
    <cellStyle name="Comma [0] TBD-_Equip Adj Vs Highlander &amp; Explorer 4 148" xfId="31711"/>
    <cellStyle name="Comma [0] TBD_Equip Adj Vs Highlander &amp; Explorer 4 149" xfId="31712"/>
    <cellStyle name="Comma [0] TBD-_Equip Adj Vs Highlander &amp; Explorer 4 149" xfId="31713"/>
    <cellStyle name="Comma [0] TBD_Equip Adj Vs Highlander &amp; Explorer 4 15" xfId="31714"/>
    <cellStyle name="Comma [0] TBD-_Equip Adj Vs Highlander &amp; Explorer 4 15" xfId="31715"/>
    <cellStyle name="Comma [0] TBD_Equip Adj Vs Highlander &amp; Explorer 4 150" xfId="31716"/>
    <cellStyle name="Comma [0] TBD-_Equip Adj Vs Highlander &amp; Explorer 4 150" xfId="31717"/>
    <cellStyle name="Comma [0] TBD_Equip Adj Vs Highlander &amp; Explorer 4 151" xfId="31718"/>
    <cellStyle name="Comma [0] TBD-_Equip Adj Vs Highlander &amp; Explorer 4 151" xfId="31719"/>
    <cellStyle name="Comma [0] TBD_Equip Adj Vs Highlander &amp; Explorer 4 152" xfId="31720"/>
    <cellStyle name="Comma [0] TBD-_Equip Adj Vs Highlander &amp; Explorer 4 152" xfId="31721"/>
    <cellStyle name="Comma [0] TBD_Equip Adj Vs Highlander &amp; Explorer 4 153" xfId="31722"/>
    <cellStyle name="Comma [0] TBD-_Equip Adj Vs Highlander &amp; Explorer 4 153" xfId="31723"/>
    <cellStyle name="Comma [0] TBD_Equip Adj Vs Highlander &amp; Explorer 4 154" xfId="31724"/>
    <cellStyle name="Comma [0] TBD-_Equip Adj Vs Highlander &amp; Explorer 4 154" xfId="31725"/>
    <cellStyle name="Comma [0] TBD_Equip Adj Vs Highlander &amp; Explorer 4 16" xfId="31726"/>
    <cellStyle name="Comma [0] TBD-_Equip Adj Vs Highlander &amp; Explorer 4 16" xfId="31727"/>
    <cellStyle name="Comma [0] TBD_Equip Adj Vs Highlander &amp; Explorer 4 17" xfId="31728"/>
    <cellStyle name="Comma [0] TBD-_Equip Adj Vs Highlander &amp; Explorer 4 17" xfId="31729"/>
    <cellStyle name="Comma [0] TBD_Equip Adj Vs Highlander &amp; Explorer 4 18" xfId="31730"/>
    <cellStyle name="Comma [0] TBD-_Equip Adj Vs Highlander &amp; Explorer 4 18" xfId="31731"/>
    <cellStyle name="Comma [0] TBD_Equip Adj Vs Highlander &amp; Explorer 4 19" xfId="31732"/>
    <cellStyle name="Comma [0] TBD-_Equip Adj Vs Highlander &amp; Explorer 4 19" xfId="31733"/>
    <cellStyle name="Comma [0] TBD_Equip Adj Vs Highlander &amp; Explorer 4 2" xfId="31734"/>
    <cellStyle name="Comma [0] TBD-_Equip Adj Vs Highlander &amp; Explorer 4 2" xfId="31735"/>
    <cellStyle name="Comma [0] TBD_Equip Adj Vs Highlander &amp; Explorer 4 20" xfId="31736"/>
    <cellStyle name="Comma [0] TBD-_Equip Adj Vs Highlander &amp; Explorer 4 20" xfId="31737"/>
    <cellStyle name="Comma [0] TBD_Equip Adj Vs Highlander &amp; Explorer 4 21" xfId="31738"/>
    <cellStyle name="Comma [0] TBD-_Equip Adj Vs Highlander &amp; Explorer 4 21" xfId="31739"/>
    <cellStyle name="Comma [0] TBD_Equip Adj Vs Highlander &amp; Explorer 4 22" xfId="31740"/>
    <cellStyle name="Comma [0] TBD-_Equip Adj Vs Highlander &amp; Explorer 4 22" xfId="31741"/>
    <cellStyle name="Comma [0] TBD_Equip Adj Vs Highlander &amp; Explorer 4 23" xfId="31742"/>
    <cellStyle name="Comma [0] TBD-_Equip Adj Vs Highlander &amp; Explorer 4 23" xfId="31743"/>
    <cellStyle name="Comma [0] TBD_Equip Adj Vs Highlander &amp; Explorer 4 24" xfId="31744"/>
    <cellStyle name="Comma [0] TBD-_Equip Adj Vs Highlander &amp; Explorer 4 24" xfId="31745"/>
    <cellStyle name="Comma [0] TBD_Equip Adj Vs Highlander &amp; Explorer 4 25" xfId="31746"/>
    <cellStyle name="Comma [0] TBD-_Equip Adj Vs Highlander &amp; Explorer 4 25" xfId="31747"/>
    <cellStyle name="Comma [0] TBD_Equip Adj Vs Highlander &amp; Explorer 4 26" xfId="31748"/>
    <cellStyle name="Comma [0] TBD-_Equip Adj Vs Highlander &amp; Explorer 4 26" xfId="31749"/>
    <cellStyle name="Comma [0] TBD_Equip Adj Vs Highlander &amp; Explorer 4 27" xfId="31750"/>
    <cellStyle name="Comma [0] TBD-_Equip Adj Vs Highlander &amp; Explorer 4 27" xfId="31751"/>
    <cellStyle name="Comma [0] TBD_Equip Adj Vs Highlander &amp; Explorer 4 28" xfId="31752"/>
    <cellStyle name="Comma [0] TBD-_Equip Adj Vs Highlander &amp; Explorer 4 28" xfId="31753"/>
    <cellStyle name="Comma [0] TBD_Equip Adj Vs Highlander &amp; Explorer 4 29" xfId="31754"/>
    <cellStyle name="Comma [0] TBD-_Equip Adj Vs Highlander &amp; Explorer 4 29" xfId="31755"/>
    <cellStyle name="Comma [0] TBD_Equip Adj Vs Highlander &amp; Explorer 4 3" xfId="31756"/>
    <cellStyle name="Comma [0] TBD-_Equip Adj Vs Highlander &amp; Explorer 4 3" xfId="31757"/>
    <cellStyle name="Comma [0] TBD_Equip Adj Vs Highlander &amp; Explorer 4 30" xfId="31758"/>
    <cellStyle name="Comma [0] TBD-_Equip Adj Vs Highlander &amp; Explorer 4 30" xfId="31759"/>
    <cellStyle name="Comma [0] TBD_Equip Adj Vs Highlander &amp; Explorer 4 31" xfId="31760"/>
    <cellStyle name="Comma [0] TBD-_Equip Adj Vs Highlander &amp; Explorer 4 31" xfId="31761"/>
    <cellStyle name="Comma [0] TBD_Equip Adj Vs Highlander &amp; Explorer 4 32" xfId="31762"/>
    <cellStyle name="Comma [0] TBD-_Equip Adj Vs Highlander &amp; Explorer 4 32" xfId="31763"/>
    <cellStyle name="Comma [0] TBD_Equip Adj Vs Highlander &amp; Explorer 4 33" xfId="31764"/>
    <cellStyle name="Comma [0] TBD-_Equip Adj Vs Highlander &amp; Explorer 4 33" xfId="31765"/>
    <cellStyle name="Comma [0] TBD_Equip Adj Vs Highlander &amp; Explorer 4 34" xfId="31766"/>
    <cellStyle name="Comma [0] TBD-_Equip Adj Vs Highlander &amp; Explorer 4 34" xfId="31767"/>
    <cellStyle name="Comma [0] TBD_Equip Adj Vs Highlander &amp; Explorer 4 35" xfId="31768"/>
    <cellStyle name="Comma [0] TBD-_Equip Adj Vs Highlander &amp; Explorer 4 35" xfId="31769"/>
    <cellStyle name="Comma [0] TBD_Equip Adj Vs Highlander &amp; Explorer 4 36" xfId="31770"/>
    <cellStyle name="Comma [0] TBD-_Equip Adj Vs Highlander &amp; Explorer 4 36" xfId="31771"/>
    <cellStyle name="Comma [0] TBD_Equip Adj Vs Highlander &amp; Explorer 4 37" xfId="31772"/>
    <cellStyle name="Comma [0] TBD-_Equip Adj Vs Highlander &amp; Explorer 4 37" xfId="31773"/>
    <cellStyle name="Comma [0] TBD_Equip Adj Vs Highlander &amp; Explorer 4 38" xfId="31774"/>
    <cellStyle name="Comma [0] TBD-_Equip Adj Vs Highlander &amp; Explorer 4 38" xfId="31775"/>
    <cellStyle name="Comma [0] TBD_Equip Adj Vs Highlander &amp; Explorer 4 39" xfId="31776"/>
    <cellStyle name="Comma [0] TBD-_Equip Adj Vs Highlander &amp; Explorer 4 39" xfId="31777"/>
    <cellStyle name="Comma [0] TBD_Equip Adj Vs Highlander &amp; Explorer 4 4" xfId="31778"/>
    <cellStyle name="Comma [0] TBD-_Equip Adj Vs Highlander &amp; Explorer 4 4" xfId="31779"/>
    <cellStyle name="Comma [0] TBD_Equip Adj Vs Highlander &amp; Explorer 4 40" xfId="31780"/>
    <cellStyle name="Comma [0] TBD-_Equip Adj Vs Highlander &amp; Explorer 4 40" xfId="31781"/>
    <cellStyle name="Comma [0] TBD_Equip Adj Vs Highlander &amp; Explorer 4 41" xfId="31782"/>
    <cellStyle name="Comma [0] TBD-_Equip Adj Vs Highlander &amp; Explorer 4 41" xfId="31783"/>
    <cellStyle name="Comma [0] TBD_Equip Adj Vs Highlander &amp; Explorer 4 42" xfId="31784"/>
    <cellStyle name="Comma [0] TBD-_Equip Adj Vs Highlander &amp; Explorer 4 42" xfId="31785"/>
    <cellStyle name="Comma [0] TBD_Equip Adj Vs Highlander &amp; Explorer 4 43" xfId="31786"/>
    <cellStyle name="Comma [0] TBD-_Equip Adj Vs Highlander &amp; Explorer 4 43" xfId="31787"/>
    <cellStyle name="Comma [0] TBD_Equip Adj Vs Highlander &amp; Explorer 4 44" xfId="31788"/>
    <cellStyle name="Comma [0] TBD-_Equip Adj Vs Highlander &amp; Explorer 4 44" xfId="31789"/>
    <cellStyle name="Comma [0] TBD_Equip Adj Vs Highlander &amp; Explorer 4 45" xfId="31790"/>
    <cellStyle name="Comma [0] TBD-_Equip Adj Vs Highlander &amp; Explorer 4 45" xfId="31791"/>
    <cellStyle name="Comma [0] TBD_Equip Adj Vs Highlander &amp; Explorer 4 46" xfId="31792"/>
    <cellStyle name="Comma [0] TBD-_Equip Adj Vs Highlander &amp; Explorer 4 46" xfId="31793"/>
    <cellStyle name="Comma [0] TBD_Equip Adj Vs Highlander &amp; Explorer 4 47" xfId="31794"/>
    <cellStyle name="Comma [0] TBD-_Equip Adj Vs Highlander &amp; Explorer 4 47" xfId="31795"/>
    <cellStyle name="Comma [0] TBD_Equip Adj Vs Highlander &amp; Explorer 4 48" xfId="31796"/>
    <cellStyle name="Comma [0] TBD-_Equip Adj Vs Highlander &amp; Explorer 4 48" xfId="31797"/>
    <cellStyle name="Comma [0] TBD_Equip Adj Vs Highlander &amp; Explorer 4 49" xfId="31798"/>
    <cellStyle name="Comma [0] TBD-_Equip Adj Vs Highlander &amp; Explorer 4 49" xfId="31799"/>
    <cellStyle name="Comma [0] TBD_Equip Adj Vs Highlander &amp; Explorer 4 5" xfId="31800"/>
    <cellStyle name="Comma [0] TBD-_Equip Adj Vs Highlander &amp; Explorer 4 5" xfId="31801"/>
    <cellStyle name="Comma [0] TBD_Equip Adj Vs Highlander &amp; Explorer 4 50" xfId="31802"/>
    <cellStyle name="Comma [0] TBD-_Equip Adj Vs Highlander &amp; Explorer 4 50" xfId="31803"/>
    <cellStyle name="Comma [0] TBD_Equip Adj Vs Highlander &amp; Explorer 4 51" xfId="31804"/>
    <cellStyle name="Comma [0] TBD-_Equip Adj Vs Highlander &amp; Explorer 4 51" xfId="31805"/>
    <cellStyle name="Comma [0] TBD_Equip Adj Vs Highlander &amp; Explorer 4 52" xfId="31806"/>
    <cellStyle name="Comma [0] TBD-_Equip Adj Vs Highlander &amp; Explorer 4 52" xfId="31807"/>
    <cellStyle name="Comma [0] TBD_Equip Adj Vs Highlander &amp; Explorer 4 53" xfId="31808"/>
    <cellStyle name="Comma [0] TBD-_Equip Adj Vs Highlander &amp; Explorer 4 53" xfId="31809"/>
    <cellStyle name="Comma [0] TBD_Equip Adj Vs Highlander &amp; Explorer 4 54" xfId="31810"/>
    <cellStyle name="Comma [0] TBD-_Equip Adj Vs Highlander &amp; Explorer 4 54" xfId="31811"/>
    <cellStyle name="Comma [0] TBD_Equip Adj Vs Highlander &amp; Explorer 4 55" xfId="31812"/>
    <cellStyle name="Comma [0] TBD-_Equip Adj Vs Highlander &amp; Explorer 4 55" xfId="31813"/>
    <cellStyle name="Comma [0] TBD_Equip Adj Vs Highlander &amp; Explorer 4 56" xfId="31814"/>
    <cellStyle name="Comma [0] TBD-_Equip Adj Vs Highlander &amp; Explorer 4 56" xfId="31815"/>
    <cellStyle name="Comma [0] TBD_Equip Adj Vs Highlander &amp; Explorer 4 57" xfId="31816"/>
    <cellStyle name="Comma [0] TBD-_Equip Adj Vs Highlander &amp; Explorer 4 57" xfId="31817"/>
    <cellStyle name="Comma [0] TBD_Equip Adj Vs Highlander &amp; Explorer 4 58" xfId="31818"/>
    <cellStyle name="Comma [0] TBD-_Equip Adj Vs Highlander &amp; Explorer 4 58" xfId="31819"/>
    <cellStyle name="Comma [0] TBD_Equip Adj Vs Highlander &amp; Explorer 4 59" xfId="31820"/>
    <cellStyle name="Comma [0] TBD-_Equip Adj Vs Highlander &amp; Explorer 4 59" xfId="31821"/>
    <cellStyle name="Comma [0] TBD_Equip Adj Vs Highlander &amp; Explorer 4 6" xfId="31822"/>
    <cellStyle name="Comma [0] TBD-_Equip Adj Vs Highlander &amp; Explorer 4 6" xfId="31823"/>
    <cellStyle name="Comma [0] TBD_Equip Adj Vs Highlander &amp; Explorer 4 60" xfId="31824"/>
    <cellStyle name="Comma [0] TBD-_Equip Adj Vs Highlander &amp; Explorer 4 60" xfId="31825"/>
    <cellStyle name="Comma [0] TBD_Equip Adj Vs Highlander &amp; Explorer 4 61" xfId="31826"/>
    <cellStyle name="Comma [0] TBD-_Equip Adj Vs Highlander &amp; Explorer 4 61" xfId="31827"/>
    <cellStyle name="Comma [0] TBD_Equip Adj Vs Highlander &amp; Explorer 4 62" xfId="31828"/>
    <cellStyle name="Comma [0] TBD-_Equip Adj Vs Highlander &amp; Explorer 4 62" xfId="31829"/>
    <cellStyle name="Comma [0] TBD_Equip Adj Vs Highlander &amp; Explorer 4 63" xfId="31830"/>
    <cellStyle name="Comma [0] TBD-_Equip Adj Vs Highlander &amp; Explorer 4 63" xfId="31831"/>
    <cellStyle name="Comma [0] TBD_Equip Adj Vs Highlander &amp; Explorer 4 64" xfId="31832"/>
    <cellStyle name="Comma [0] TBD-_Equip Adj Vs Highlander &amp; Explorer 4 64" xfId="31833"/>
    <cellStyle name="Comma [0] TBD_Equip Adj Vs Highlander &amp; Explorer 4 65" xfId="31834"/>
    <cellStyle name="Comma [0] TBD-_Equip Adj Vs Highlander &amp; Explorer 4 65" xfId="31835"/>
    <cellStyle name="Comma [0] TBD_Equip Adj Vs Highlander &amp; Explorer 4 66" xfId="31836"/>
    <cellStyle name="Comma [0] TBD-_Equip Adj Vs Highlander &amp; Explorer 4 66" xfId="31837"/>
    <cellStyle name="Comma [0] TBD_Equip Adj Vs Highlander &amp; Explorer 4 67" xfId="31838"/>
    <cellStyle name="Comma [0] TBD-_Equip Adj Vs Highlander &amp; Explorer 4 67" xfId="31839"/>
    <cellStyle name="Comma [0] TBD_Equip Adj Vs Highlander &amp; Explorer 4 68" xfId="31840"/>
    <cellStyle name="Comma [0] TBD-_Equip Adj Vs Highlander &amp; Explorer 4 68" xfId="31841"/>
    <cellStyle name="Comma [0] TBD_Equip Adj Vs Highlander &amp; Explorer 4 69" xfId="31842"/>
    <cellStyle name="Comma [0] TBD-_Equip Adj Vs Highlander &amp; Explorer 4 69" xfId="31843"/>
    <cellStyle name="Comma [0] TBD_Equip Adj Vs Highlander &amp; Explorer 4 7" xfId="31844"/>
    <cellStyle name="Comma [0] TBD-_Equip Adj Vs Highlander &amp; Explorer 4 7" xfId="31845"/>
    <cellStyle name="Comma [0] TBD_Equip Adj Vs Highlander &amp; Explorer 4 70" xfId="31846"/>
    <cellStyle name="Comma [0] TBD-_Equip Adj Vs Highlander &amp; Explorer 4 70" xfId="31847"/>
    <cellStyle name="Comma [0] TBD_Equip Adj Vs Highlander &amp; Explorer 4 71" xfId="31848"/>
    <cellStyle name="Comma [0] TBD-_Equip Adj Vs Highlander &amp; Explorer 4 71" xfId="31849"/>
    <cellStyle name="Comma [0] TBD_Equip Adj Vs Highlander &amp; Explorer 4 72" xfId="31850"/>
    <cellStyle name="Comma [0] TBD-_Equip Adj Vs Highlander &amp; Explorer 4 72" xfId="31851"/>
    <cellStyle name="Comma [0] TBD_Equip Adj Vs Highlander &amp; Explorer 4 73" xfId="31852"/>
    <cellStyle name="Comma [0] TBD-_Equip Adj Vs Highlander &amp; Explorer 4 73" xfId="31853"/>
    <cellStyle name="Comma [0] TBD_Equip Adj Vs Highlander &amp; Explorer 4 74" xfId="31854"/>
    <cellStyle name="Comma [0] TBD-_Equip Adj Vs Highlander &amp; Explorer 4 74" xfId="31855"/>
    <cellStyle name="Comma [0] TBD_Equip Adj Vs Highlander &amp; Explorer 4 75" xfId="31856"/>
    <cellStyle name="Comma [0] TBD-_Equip Adj Vs Highlander &amp; Explorer 4 75" xfId="31857"/>
    <cellStyle name="Comma [0] TBD_Equip Adj Vs Highlander &amp; Explorer 4 76" xfId="31858"/>
    <cellStyle name="Comma [0] TBD-_Equip Adj Vs Highlander &amp; Explorer 4 76" xfId="31859"/>
    <cellStyle name="Comma [0] TBD_Equip Adj Vs Highlander &amp; Explorer 4 77" xfId="31860"/>
    <cellStyle name="Comma [0] TBD-_Equip Adj Vs Highlander &amp; Explorer 4 77" xfId="31861"/>
    <cellStyle name="Comma [0] TBD_Equip Adj Vs Highlander &amp; Explorer 4 78" xfId="31862"/>
    <cellStyle name="Comma [0] TBD-_Equip Adj Vs Highlander &amp; Explorer 4 78" xfId="31863"/>
    <cellStyle name="Comma [0] TBD_Equip Adj Vs Highlander &amp; Explorer 4 79" xfId="31864"/>
    <cellStyle name="Comma [0] TBD-_Equip Adj Vs Highlander &amp; Explorer 4 79" xfId="31865"/>
    <cellStyle name="Comma [0] TBD_Equip Adj Vs Highlander &amp; Explorer 4 8" xfId="31866"/>
    <cellStyle name="Comma [0] TBD-_Equip Adj Vs Highlander &amp; Explorer 4 8" xfId="31867"/>
    <cellStyle name="Comma [0] TBD_Equip Adj Vs Highlander &amp; Explorer 4 80" xfId="31868"/>
    <cellStyle name="Comma [0] TBD-_Equip Adj Vs Highlander &amp; Explorer 4 80" xfId="31869"/>
    <cellStyle name="Comma [0] TBD_Equip Adj Vs Highlander &amp; Explorer 4 81" xfId="31870"/>
    <cellStyle name="Comma [0] TBD-_Equip Adj Vs Highlander &amp; Explorer 4 81" xfId="31871"/>
    <cellStyle name="Comma [0] TBD_Equip Adj Vs Highlander &amp; Explorer 4 82" xfId="31872"/>
    <cellStyle name="Comma [0] TBD-_Equip Adj Vs Highlander &amp; Explorer 4 82" xfId="31873"/>
    <cellStyle name="Comma [0] TBD_Equip Adj Vs Highlander &amp; Explorer 4 83" xfId="31874"/>
    <cellStyle name="Comma [0] TBD-_Equip Adj Vs Highlander &amp; Explorer 4 83" xfId="31875"/>
    <cellStyle name="Comma [0] TBD_Equip Adj Vs Highlander &amp; Explorer 4 84" xfId="31876"/>
    <cellStyle name="Comma [0] TBD-_Equip Adj Vs Highlander &amp; Explorer 4 84" xfId="31877"/>
    <cellStyle name="Comma [0] TBD_Equip Adj Vs Highlander &amp; Explorer 4 85" xfId="31878"/>
    <cellStyle name="Comma [0] TBD-_Equip Adj Vs Highlander &amp; Explorer 4 85" xfId="31879"/>
    <cellStyle name="Comma [0] TBD_Equip Adj Vs Highlander &amp; Explorer 4 86" xfId="31880"/>
    <cellStyle name="Comma [0] TBD-_Equip Adj Vs Highlander &amp; Explorer 4 86" xfId="31881"/>
    <cellStyle name="Comma [0] TBD_Equip Adj Vs Highlander &amp; Explorer 4 87" xfId="31882"/>
    <cellStyle name="Comma [0] TBD-_Equip Adj Vs Highlander &amp; Explorer 4 87" xfId="31883"/>
    <cellStyle name="Comma [0] TBD_Equip Adj Vs Highlander &amp; Explorer 4 88" xfId="31884"/>
    <cellStyle name="Comma [0] TBD-_Equip Adj Vs Highlander &amp; Explorer 4 88" xfId="31885"/>
    <cellStyle name="Comma [0] TBD_Equip Adj Vs Highlander &amp; Explorer 4 89" xfId="31886"/>
    <cellStyle name="Comma [0] TBD-_Equip Adj Vs Highlander &amp; Explorer 4 89" xfId="31887"/>
    <cellStyle name="Comma [0] TBD_Equip Adj Vs Highlander &amp; Explorer 4 9" xfId="31888"/>
    <cellStyle name="Comma [0] TBD-_Equip Adj Vs Highlander &amp; Explorer 4 9" xfId="31889"/>
    <cellStyle name="Comma [0] TBD_Equip Adj Vs Highlander &amp; Explorer 4 90" xfId="31890"/>
    <cellStyle name="Comma [0] TBD-_Equip Adj Vs Highlander &amp; Explorer 4 90" xfId="31891"/>
    <cellStyle name="Comma [0] TBD_Equip Adj Vs Highlander &amp; Explorer 4 91" xfId="31892"/>
    <cellStyle name="Comma [0] TBD-_Equip Adj Vs Highlander &amp; Explorer 4 91" xfId="31893"/>
    <cellStyle name="Comma [0] TBD_Equip Adj Vs Highlander &amp; Explorer 4 92" xfId="31894"/>
    <cellStyle name="Comma [0] TBD-_Equip Adj Vs Highlander &amp; Explorer 4 92" xfId="31895"/>
    <cellStyle name="Comma [0] TBD_Equip Adj Vs Highlander &amp; Explorer 4 93" xfId="31896"/>
    <cellStyle name="Comma [0] TBD-_Equip Adj Vs Highlander &amp; Explorer 4 93" xfId="31897"/>
    <cellStyle name="Comma [0] TBD_Equip Adj Vs Highlander &amp; Explorer 4 94" xfId="31898"/>
    <cellStyle name="Comma [0] TBD-_Equip Adj Vs Highlander &amp; Explorer 4 94" xfId="31899"/>
    <cellStyle name="Comma [0] TBD_Equip Adj Vs Highlander &amp; Explorer 4 95" xfId="31900"/>
    <cellStyle name="Comma [0] TBD-_Equip Adj Vs Highlander &amp; Explorer 4 95" xfId="31901"/>
    <cellStyle name="Comma [0] TBD_Equip Adj Vs Highlander &amp; Explorer 4 96" xfId="31902"/>
    <cellStyle name="Comma [0] TBD-_Equip Adj Vs Highlander &amp; Explorer 4 96" xfId="31903"/>
    <cellStyle name="Comma [0] TBD_Equip Adj Vs Highlander &amp; Explorer 4 97" xfId="31904"/>
    <cellStyle name="Comma [0] TBD-_Equip Adj Vs Highlander &amp; Explorer 4 97" xfId="31905"/>
    <cellStyle name="Comma [0] TBD_Equip Adj Vs Highlander &amp; Explorer 4 98" xfId="31906"/>
    <cellStyle name="Comma [0] TBD-_Equip Adj Vs Highlander &amp; Explorer 4 98" xfId="31907"/>
    <cellStyle name="Comma [0] TBD_Equip Adj Vs Highlander &amp; Explorer 4 99" xfId="31908"/>
    <cellStyle name="Comma [0] TBD-_Equip Adj Vs Highlander &amp; Explorer 4 99" xfId="31909"/>
    <cellStyle name="Comma [0] TBD_Equip Adj Vs Highlander &amp; Explorer 5" xfId="31910"/>
    <cellStyle name="Comma [0] TBD-_Equip Adj Vs Highlander &amp; Explorer 5" xfId="31911"/>
    <cellStyle name="Comma [0] TBD_Equip Adj Vs Highlander &amp; Explorer 5 10" xfId="31912"/>
    <cellStyle name="Comma [0] TBD-_Equip Adj Vs Highlander &amp; Explorer 5 10" xfId="31913"/>
    <cellStyle name="Comma [0] TBD_Equip Adj Vs Highlander &amp; Explorer 5 100" xfId="31914"/>
    <cellStyle name="Comma [0] TBD-_Equip Adj Vs Highlander &amp; Explorer 5 100" xfId="31915"/>
    <cellStyle name="Comma [0] TBD_Equip Adj Vs Highlander &amp; Explorer 5 101" xfId="31916"/>
    <cellStyle name="Comma [0] TBD-_Equip Adj Vs Highlander &amp; Explorer 5 101" xfId="31917"/>
    <cellStyle name="Comma [0] TBD_Equip Adj Vs Highlander &amp; Explorer 5 102" xfId="31918"/>
    <cellStyle name="Comma [0] TBD-_Equip Adj Vs Highlander &amp; Explorer 5 102" xfId="31919"/>
    <cellStyle name="Comma [0] TBD_Equip Adj Vs Highlander &amp; Explorer 5 103" xfId="31920"/>
    <cellStyle name="Comma [0] TBD-_Equip Adj Vs Highlander &amp; Explorer 5 103" xfId="31921"/>
    <cellStyle name="Comma [0] TBD_Equip Adj Vs Highlander &amp; Explorer 5 104" xfId="31922"/>
    <cellStyle name="Comma [0] TBD-_Equip Adj Vs Highlander &amp; Explorer 5 104" xfId="31923"/>
    <cellStyle name="Comma [0] TBD_Equip Adj Vs Highlander &amp; Explorer 5 105" xfId="31924"/>
    <cellStyle name="Comma [0] TBD-_Equip Adj Vs Highlander &amp; Explorer 5 105" xfId="31925"/>
    <cellStyle name="Comma [0] TBD_Equip Adj Vs Highlander &amp; Explorer 5 106" xfId="31926"/>
    <cellStyle name="Comma [0] TBD-_Equip Adj Vs Highlander &amp; Explorer 5 106" xfId="31927"/>
    <cellStyle name="Comma [0] TBD_Equip Adj Vs Highlander &amp; Explorer 5 107" xfId="31928"/>
    <cellStyle name="Comma [0] TBD-_Equip Adj Vs Highlander &amp; Explorer 5 107" xfId="31929"/>
    <cellStyle name="Comma [0] TBD_Equip Adj Vs Highlander &amp; Explorer 5 108" xfId="31930"/>
    <cellStyle name="Comma [0] TBD-_Equip Adj Vs Highlander &amp; Explorer 5 108" xfId="31931"/>
    <cellStyle name="Comma [0] TBD_Equip Adj Vs Highlander &amp; Explorer 5 109" xfId="31932"/>
    <cellStyle name="Comma [0] TBD-_Equip Adj Vs Highlander &amp; Explorer 5 109" xfId="31933"/>
    <cellStyle name="Comma [0] TBD_Equip Adj Vs Highlander &amp; Explorer 5 11" xfId="31934"/>
    <cellStyle name="Comma [0] TBD-_Equip Adj Vs Highlander &amp; Explorer 5 11" xfId="31935"/>
    <cellStyle name="Comma [0] TBD_Equip Adj Vs Highlander &amp; Explorer 5 110" xfId="31936"/>
    <cellStyle name="Comma [0] TBD-_Equip Adj Vs Highlander &amp; Explorer 5 110" xfId="31937"/>
    <cellStyle name="Comma [0] TBD_Equip Adj Vs Highlander &amp; Explorer 5 111" xfId="31938"/>
    <cellStyle name="Comma [0] TBD-_Equip Adj Vs Highlander &amp; Explorer 5 111" xfId="31939"/>
    <cellStyle name="Comma [0] TBD_Equip Adj Vs Highlander &amp; Explorer 5 112" xfId="31940"/>
    <cellStyle name="Comma [0] TBD-_Equip Adj Vs Highlander &amp; Explorer 5 112" xfId="31941"/>
    <cellStyle name="Comma [0] TBD_Equip Adj Vs Highlander &amp; Explorer 5 113" xfId="31942"/>
    <cellStyle name="Comma [0] TBD-_Equip Adj Vs Highlander &amp; Explorer 5 113" xfId="31943"/>
    <cellStyle name="Comma [0] TBD_Equip Adj Vs Highlander &amp; Explorer 5 114" xfId="31944"/>
    <cellStyle name="Comma [0] TBD-_Equip Adj Vs Highlander &amp; Explorer 5 114" xfId="31945"/>
    <cellStyle name="Comma [0] TBD_Equip Adj Vs Highlander &amp; Explorer 5 115" xfId="31946"/>
    <cellStyle name="Comma [0] TBD-_Equip Adj Vs Highlander &amp; Explorer 5 115" xfId="31947"/>
    <cellStyle name="Comma [0] TBD_Equip Adj Vs Highlander &amp; Explorer 5 116" xfId="31948"/>
    <cellStyle name="Comma [0] TBD-_Equip Adj Vs Highlander &amp; Explorer 5 116" xfId="31949"/>
    <cellStyle name="Comma [0] TBD_Equip Adj Vs Highlander &amp; Explorer 5 117" xfId="31950"/>
    <cellStyle name="Comma [0] TBD-_Equip Adj Vs Highlander &amp; Explorer 5 117" xfId="31951"/>
    <cellStyle name="Comma [0] TBD_Equip Adj Vs Highlander &amp; Explorer 5 118" xfId="31952"/>
    <cellStyle name="Comma [0] TBD-_Equip Adj Vs Highlander &amp; Explorer 5 118" xfId="31953"/>
    <cellStyle name="Comma [0] TBD_Equip Adj Vs Highlander &amp; Explorer 5 119" xfId="31954"/>
    <cellStyle name="Comma [0] TBD-_Equip Adj Vs Highlander &amp; Explorer 5 119" xfId="31955"/>
    <cellStyle name="Comma [0] TBD_Equip Adj Vs Highlander &amp; Explorer 5 12" xfId="31956"/>
    <cellStyle name="Comma [0] TBD-_Equip Adj Vs Highlander &amp; Explorer 5 12" xfId="31957"/>
    <cellStyle name="Comma [0] TBD_Equip Adj Vs Highlander &amp; Explorer 5 120" xfId="31958"/>
    <cellStyle name="Comma [0] TBD-_Equip Adj Vs Highlander &amp; Explorer 5 120" xfId="31959"/>
    <cellStyle name="Comma [0] TBD_Equip Adj Vs Highlander &amp; Explorer 5 121" xfId="31960"/>
    <cellStyle name="Comma [0] TBD-_Equip Adj Vs Highlander &amp; Explorer 5 121" xfId="31961"/>
    <cellStyle name="Comma [0] TBD_Equip Adj Vs Highlander &amp; Explorer 5 122" xfId="31962"/>
    <cellStyle name="Comma [0] TBD-_Equip Adj Vs Highlander &amp; Explorer 5 122" xfId="31963"/>
    <cellStyle name="Comma [0] TBD_Equip Adj Vs Highlander &amp; Explorer 5 123" xfId="31964"/>
    <cellStyle name="Comma [0] TBD-_Equip Adj Vs Highlander &amp; Explorer 5 123" xfId="31965"/>
    <cellStyle name="Comma [0] TBD_Equip Adj Vs Highlander &amp; Explorer 5 124" xfId="31966"/>
    <cellStyle name="Comma [0] TBD-_Equip Adj Vs Highlander &amp; Explorer 5 124" xfId="31967"/>
    <cellStyle name="Comma [0] TBD_Equip Adj Vs Highlander &amp; Explorer 5 125" xfId="31968"/>
    <cellStyle name="Comma [0] TBD-_Equip Adj Vs Highlander &amp; Explorer 5 125" xfId="31969"/>
    <cellStyle name="Comma [0] TBD_Equip Adj Vs Highlander &amp; Explorer 5 126" xfId="31970"/>
    <cellStyle name="Comma [0] TBD-_Equip Adj Vs Highlander &amp; Explorer 5 126" xfId="31971"/>
    <cellStyle name="Comma [0] TBD_Equip Adj Vs Highlander &amp; Explorer 5 127" xfId="31972"/>
    <cellStyle name="Comma [0] TBD-_Equip Adj Vs Highlander &amp; Explorer 5 127" xfId="31973"/>
    <cellStyle name="Comma [0] TBD_Equip Adj Vs Highlander &amp; Explorer 5 128" xfId="31974"/>
    <cellStyle name="Comma [0] TBD-_Equip Adj Vs Highlander &amp; Explorer 5 128" xfId="31975"/>
    <cellStyle name="Comma [0] TBD_Equip Adj Vs Highlander &amp; Explorer 5 129" xfId="31976"/>
    <cellStyle name="Comma [0] TBD-_Equip Adj Vs Highlander &amp; Explorer 5 129" xfId="31977"/>
    <cellStyle name="Comma [0] TBD_Equip Adj Vs Highlander &amp; Explorer 5 13" xfId="31978"/>
    <cellStyle name="Comma [0] TBD-_Equip Adj Vs Highlander &amp; Explorer 5 13" xfId="31979"/>
    <cellStyle name="Comma [0] TBD_Equip Adj Vs Highlander &amp; Explorer 5 130" xfId="31980"/>
    <cellStyle name="Comma [0] TBD-_Equip Adj Vs Highlander &amp; Explorer 5 130" xfId="31981"/>
    <cellStyle name="Comma [0] TBD_Equip Adj Vs Highlander &amp; Explorer 5 131" xfId="31982"/>
    <cellStyle name="Comma [0] TBD-_Equip Adj Vs Highlander &amp; Explorer 5 131" xfId="31983"/>
    <cellStyle name="Comma [0] TBD_Equip Adj Vs Highlander &amp; Explorer 5 132" xfId="31984"/>
    <cellStyle name="Comma [0] TBD-_Equip Adj Vs Highlander &amp; Explorer 5 132" xfId="31985"/>
    <cellStyle name="Comma [0] TBD_Equip Adj Vs Highlander &amp; Explorer 5 133" xfId="31986"/>
    <cellStyle name="Comma [0] TBD-_Equip Adj Vs Highlander &amp; Explorer 5 133" xfId="31987"/>
    <cellStyle name="Comma [0] TBD_Equip Adj Vs Highlander &amp; Explorer 5 134" xfId="31988"/>
    <cellStyle name="Comma [0] TBD-_Equip Adj Vs Highlander &amp; Explorer 5 134" xfId="31989"/>
    <cellStyle name="Comma [0] TBD_Equip Adj Vs Highlander &amp; Explorer 5 135" xfId="31990"/>
    <cellStyle name="Comma [0] TBD-_Equip Adj Vs Highlander &amp; Explorer 5 135" xfId="31991"/>
    <cellStyle name="Comma [0] TBD_Equip Adj Vs Highlander &amp; Explorer 5 136" xfId="31992"/>
    <cellStyle name="Comma [0] TBD-_Equip Adj Vs Highlander &amp; Explorer 5 136" xfId="31993"/>
    <cellStyle name="Comma [0] TBD_Equip Adj Vs Highlander &amp; Explorer 5 137" xfId="31994"/>
    <cellStyle name="Comma [0] TBD-_Equip Adj Vs Highlander &amp; Explorer 5 137" xfId="31995"/>
    <cellStyle name="Comma [0] TBD_Equip Adj Vs Highlander &amp; Explorer 5 138" xfId="31996"/>
    <cellStyle name="Comma [0] TBD-_Equip Adj Vs Highlander &amp; Explorer 5 138" xfId="31997"/>
    <cellStyle name="Comma [0] TBD_Equip Adj Vs Highlander &amp; Explorer 5 139" xfId="31998"/>
    <cellStyle name="Comma [0] TBD-_Equip Adj Vs Highlander &amp; Explorer 5 139" xfId="31999"/>
    <cellStyle name="Comma [0] TBD_Equip Adj Vs Highlander &amp; Explorer 5 14" xfId="32000"/>
    <cellStyle name="Comma [0] TBD-_Equip Adj Vs Highlander &amp; Explorer 5 14" xfId="32001"/>
    <cellStyle name="Comma [0] TBD_Equip Adj Vs Highlander &amp; Explorer 5 140" xfId="32002"/>
    <cellStyle name="Comma [0] TBD-_Equip Adj Vs Highlander &amp; Explorer 5 140" xfId="32003"/>
    <cellStyle name="Comma [0] TBD_Equip Adj Vs Highlander &amp; Explorer 5 141" xfId="32004"/>
    <cellStyle name="Comma [0] TBD-_Equip Adj Vs Highlander &amp; Explorer 5 141" xfId="32005"/>
    <cellStyle name="Comma [0] TBD_Equip Adj Vs Highlander &amp; Explorer 5 142" xfId="32006"/>
    <cellStyle name="Comma [0] TBD-_Equip Adj Vs Highlander &amp; Explorer 5 142" xfId="32007"/>
    <cellStyle name="Comma [0] TBD_Equip Adj Vs Highlander &amp; Explorer 5 143" xfId="32008"/>
    <cellStyle name="Comma [0] TBD-_Equip Adj Vs Highlander &amp; Explorer 5 143" xfId="32009"/>
    <cellStyle name="Comma [0] TBD_Equip Adj Vs Highlander &amp; Explorer 5 144" xfId="32010"/>
    <cellStyle name="Comma [0] TBD-_Equip Adj Vs Highlander &amp; Explorer 5 144" xfId="32011"/>
    <cellStyle name="Comma [0] TBD_Equip Adj Vs Highlander &amp; Explorer 5 145" xfId="32012"/>
    <cellStyle name="Comma [0] TBD-_Equip Adj Vs Highlander &amp; Explorer 5 145" xfId="32013"/>
    <cellStyle name="Comma [0] TBD_Equip Adj Vs Highlander &amp; Explorer 5 146" xfId="32014"/>
    <cellStyle name="Comma [0] TBD-_Equip Adj Vs Highlander &amp; Explorer 5 146" xfId="32015"/>
    <cellStyle name="Comma [0] TBD_Equip Adj Vs Highlander &amp; Explorer 5 147" xfId="32016"/>
    <cellStyle name="Comma [0] TBD-_Equip Adj Vs Highlander &amp; Explorer 5 147" xfId="32017"/>
    <cellStyle name="Comma [0] TBD_Equip Adj Vs Highlander &amp; Explorer 5 148" xfId="32018"/>
    <cellStyle name="Comma [0] TBD-_Equip Adj Vs Highlander &amp; Explorer 5 148" xfId="32019"/>
    <cellStyle name="Comma [0] TBD_Equip Adj Vs Highlander &amp; Explorer 5 149" xfId="32020"/>
    <cellStyle name="Comma [0] TBD-_Equip Adj Vs Highlander &amp; Explorer 5 149" xfId="32021"/>
    <cellStyle name="Comma [0] TBD_Equip Adj Vs Highlander &amp; Explorer 5 15" xfId="32022"/>
    <cellStyle name="Comma [0] TBD-_Equip Adj Vs Highlander &amp; Explorer 5 15" xfId="32023"/>
    <cellStyle name="Comma [0] TBD_Equip Adj Vs Highlander &amp; Explorer 5 150" xfId="32024"/>
    <cellStyle name="Comma [0] TBD-_Equip Adj Vs Highlander &amp; Explorer 5 150" xfId="32025"/>
    <cellStyle name="Comma [0] TBD_Equip Adj Vs Highlander &amp; Explorer 5 151" xfId="32026"/>
    <cellStyle name="Comma [0] TBD-_Equip Adj Vs Highlander &amp; Explorer 5 151" xfId="32027"/>
    <cellStyle name="Comma [0] TBD_Equip Adj Vs Highlander &amp; Explorer 5 152" xfId="32028"/>
    <cellStyle name="Comma [0] TBD-_Equip Adj Vs Highlander &amp; Explorer 5 152" xfId="32029"/>
    <cellStyle name="Comma [0] TBD_Equip Adj Vs Highlander &amp; Explorer 5 153" xfId="32030"/>
    <cellStyle name="Comma [0] TBD-_Equip Adj Vs Highlander &amp; Explorer 5 153" xfId="32031"/>
    <cellStyle name="Comma [0] TBD_Equip Adj Vs Highlander &amp; Explorer 5 154" xfId="32032"/>
    <cellStyle name="Comma [0] TBD-_Equip Adj Vs Highlander &amp; Explorer 5 154" xfId="32033"/>
    <cellStyle name="Comma [0] TBD_Equip Adj Vs Highlander &amp; Explorer 5 16" xfId="32034"/>
    <cellStyle name="Comma [0] TBD-_Equip Adj Vs Highlander &amp; Explorer 5 16" xfId="32035"/>
    <cellStyle name="Comma [0] TBD_Equip Adj Vs Highlander &amp; Explorer 5 17" xfId="32036"/>
    <cellStyle name="Comma [0] TBD-_Equip Adj Vs Highlander &amp; Explorer 5 17" xfId="32037"/>
    <cellStyle name="Comma [0] TBD_Equip Adj Vs Highlander &amp; Explorer 5 18" xfId="32038"/>
    <cellStyle name="Comma [0] TBD-_Equip Adj Vs Highlander &amp; Explorer 5 18" xfId="32039"/>
    <cellStyle name="Comma [0] TBD_Equip Adj Vs Highlander &amp; Explorer 5 19" xfId="32040"/>
    <cellStyle name="Comma [0] TBD-_Equip Adj Vs Highlander &amp; Explorer 5 19" xfId="32041"/>
    <cellStyle name="Comma [0] TBD_Equip Adj Vs Highlander &amp; Explorer 5 2" xfId="32042"/>
    <cellStyle name="Comma [0] TBD-_Equip Adj Vs Highlander &amp; Explorer 5 2" xfId="32043"/>
    <cellStyle name="Comma [0] TBD_Equip Adj Vs Highlander &amp; Explorer 5 20" xfId="32044"/>
    <cellStyle name="Comma [0] TBD-_Equip Adj Vs Highlander &amp; Explorer 5 20" xfId="32045"/>
    <cellStyle name="Comma [0] TBD_Equip Adj Vs Highlander &amp; Explorer 5 21" xfId="32046"/>
    <cellStyle name="Comma [0] TBD-_Equip Adj Vs Highlander &amp; Explorer 5 21" xfId="32047"/>
    <cellStyle name="Comma [0] TBD_Equip Adj Vs Highlander &amp; Explorer 5 22" xfId="32048"/>
    <cellStyle name="Comma [0] TBD-_Equip Adj Vs Highlander &amp; Explorer 5 22" xfId="32049"/>
    <cellStyle name="Comma [0] TBD_Equip Adj Vs Highlander &amp; Explorer 5 23" xfId="32050"/>
    <cellStyle name="Comma [0] TBD-_Equip Adj Vs Highlander &amp; Explorer 5 23" xfId="32051"/>
    <cellStyle name="Comma [0] TBD_Equip Adj Vs Highlander &amp; Explorer 5 24" xfId="32052"/>
    <cellStyle name="Comma [0] TBD-_Equip Adj Vs Highlander &amp; Explorer 5 24" xfId="32053"/>
    <cellStyle name="Comma [0] TBD_Equip Adj Vs Highlander &amp; Explorer 5 25" xfId="32054"/>
    <cellStyle name="Comma [0] TBD-_Equip Adj Vs Highlander &amp; Explorer 5 25" xfId="32055"/>
    <cellStyle name="Comma [0] TBD_Equip Adj Vs Highlander &amp; Explorer 5 26" xfId="32056"/>
    <cellStyle name="Comma [0] TBD-_Equip Adj Vs Highlander &amp; Explorer 5 26" xfId="32057"/>
    <cellStyle name="Comma [0] TBD_Equip Adj Vs Highlander &amp; Explorer 5 27" xfId="32058"/>
    <cellStyle name="Comma [0] TBD-_Equip Adj Vs Highlander &amp; Explorer 5 27" xfId="32059"/>
    <cellStyle name="Comma [0] TBD_Equip Adj Vs Highlander &amp; Explorer 5 28" xfId="32060"/>
    <cellStyle name="Comma [0] TBD-_Equip Adj Vs Highlander &amp; Explorer 5 28" xfId="32061"/>
    <cellStyle name="Comma [0] TBD_Equip Adj Vs Highlander &amp; Explorer 5 29" xfId="32062"/>
    <cellStyle name="Comma [0] TBD-_Equip Adj Vs Highlander &amp; Explorer 5 29" xfId="32063"/>
    <cellStyle name="Comma [0] TBD_Equip Adj Vs Highlander &amp; Explorer 5 3" xfId="32064"/>
    <cellStyle name="Comma [0] TBD-_Equip Adj Vs Highlander &amp; Explorer 5 3" xfId="32065"/>
    <cellStyle name="Comma [0] TBD_Equip Adj Vs Highlander &amp; Explorer 5 30" xfId="32066"/>
    <cellStyle name="Comma [0] TBD-_Equip Adj Vs Highlander &amp; Explorer 5 30" xfId="32067"/>
    <cellStyle name="Comma [0] TBD_Equip Adj Vs Highlander &amp; Explorer 5 31" xfId="32068"/>
    <cellStyle name="Comma [0] TBD-_Equip Adj Vs Highlander &amp; Explorer 5 31" xfId="32069"/>
    <cellStyle name="Comma [0] TBD_Equip Adj Vs Highlander &amp; Explorer 5 32" xfId="32070"/>
    <cellStyle name="Comma [0] TBD-_Equip Adj Vs Highlander &amp; Explorer 5 32" xfId="32071"/>
    <cellStyle name="Comma [0] TBD_Equip Adj Vs Highlander &amp; Explorer 5 33" xfId="32072"/>
    <cellStyle name="Comma [0] TBD-_Equip Adj Vs Highlander &amp; Explorer 5 33" xfId="32073"/>
    <cellStyle name="Comma [0] TBD_Equip Adj Vs Highlander &amp; Explorer 5 34" xfId="32074"/>
    <cellStyle name="Comma [0] TBD-_Equip Adj Vs Highlander &amp; Explorer 5 34" xfId="32075"/>
    <cellStyle name="Comma [0] TBD_Equip Adj Vs Highlander &amp; Explorer 5 35" xfId="32076"/>
    <cellStyle name="Comma [0] TBD-_Equip Adj Vs Highlander &amp; Explorer 5 35" xfId="32077"/>
    <cellStyle name="Comma [0] TBD_Equip Adj Vs Highlander &amp; Explorer 5 36" xfId="32078"/>
    <cellStyle name="Comma [0] TBD-_Equip Adj Vs Highlander &amp; Explorer 5 36" xfId="32079"/>
    <cellStyle name="Comma [0] TBD_Equip Adj Vs Highlander &amp; Explorer 5 37" xfId="32080"/>
    <cellStyle name="Comma [0] TBD-_Equip Adj Vs Highlander &amp; Explorer 5 37" xfId="32081"/>
    <cellStyle name="Comma [0] TBD_Equip Adj Vs Highlander &amp; Explorer 5 38" xfId="32082"/>
    <cellStyle name="Comma [0] TBD-_Equip Adj Vs Highlander &amp; Explorer 5 38" xfId="32083"/>
    <cellStyle name="Comma [0] TBD_Equip Adj Vs Highlander &amp; Explorer 5 39" xfId="32084"/>
    <cellStyle name="Comma [0] TBD-_Equip Adj Vs Highlander &amp; Explorer 5 39" xfId="32085"/>
    <cellStyle name="Comma [0] TBD_Equip Adj Vs Highlander &amp; Explorer 5 4" xfId="32086"/>
    <cellStyle name="Comma [0] TBD-_Equip Adj Vs Highlander &amp; Explorer 5 4" xfId="32087"/>
    <cellStyle name="Comma [0] TBD_Equip Adj Vs Highlander &amp; Explorer 5 40" xfId="32088"/>
    <cellStyle name="Comma [0] TBD-_Equip Adj Vs Highlander &amp; Explorer 5 40" xfId="32089"/>
    <cellStyle name="Comma [0] TBD_Equip Adj Vs Highlander &amp; Explorer 5 41" xfId="32090"/>
    <cellStyle name="Comma [0] TBD-_Equip Adj Vs Highlander &amp; Explorer 5 41" xfId="32091"/>
    <cellStyle name="Comma [0] TBD_Equip Adj Vs Highlander &amp; Explorer 5 42" xfId="32092"/>
    <cellStyle name="Comma [0] TBD-_Equip Adj Vs Highlander &amp; Explorer 5 42" xfId="32093"/>
    <cellStyle name="Comma [0] TBD_Equip Adj Vs Highlander &amp; Explorer 5 43" xfId="32094"/>
    <cellStyle name="Comma [0] TBD-_Equip Adj Vs Highlander &amp; Explorer 5 43" xfId="32095"/>
    <cellStyle name="Comma [0] TBD_Equip Adj Vs Highlander &amp; Explorer 5 44" xfId="32096"/>
    <cellStyle name="Comma [0] TBD-_Equip Adj Vs Highlander &amp; Explorer 5 44" xfId="32097"/>
    <cellStyle name="Comma [0] TBD_Equip Adj Vs Highlander &amp; Explorer 5 45" xfId="32098"/>
    <cellStyle name="Comma [0] TBD-_Equip Adj Vs Highlander &amp; Explorer 5 45" xfId="32099"/>
    <cellStyle name="Comma [0] TBD_Equip Adj Vs Highlander &amp; Explorer 5 46" xfId="32100"/>
    <cellStyle name="Comma [0] TBD-_Equip Adj Vs Highlander &amp; Explorer 5 46" xfId="32101"/>
    <cellStyle name="Comma [0] TBD_Equip Adj Vs Highlander &amp; Explorer 5 47" xfId="32102"/>
    <cellStyle name="Comma [0] TBD-_Equip Adj Vs Highlander &amp; Explorer 5 47" xfId="32103"/>
    <cellStyle name="Comma [0] TBD_Equip Adj Vs Highlander &amp; Explorer 5 48" xfId="32104"/>
    <cellStyle name="Comma [0] TBD-_Equip Adj Vs Highlander &amp; Explorer 5 48" xfId="32105"/>
    <cellStyle name="Comma [0] TBD_Equip Adj Vs Highlander &amp; Explorer 5 49" xfId="32106"/>
    <cellStyle name="Comma [0] TBD-_Equip Adj Vs Highlander &amp; Explorer 5 49" xfId="32107"/>
    <cellStyle name="Comma [0] TBD_Equip Adj Vs Highlander &amp; Explorer 5 5" xfId="32108"/>
    <cellStyle name="Comma [0] TBD-_Equip Adj Vs Highlander &amp; Explorer 5 5" xfId="32109"/>
    <cellStyle name="Comma [0] TBD_Equip Adj Vs Highlander &amp; Explorer 5 50" xfId="32110"/>
    <cellStyle name="Comma [0] TBD-_Equip Adj Vs Highlander &amp; Explorer 5 50" xfId="32111"/>
    <cellStyle name="Comma [0] TBD_Equip Adj Vs Highlander &amp; Explorer 5 51" xfId="32112"/>
    <cellStyle name="Comma [0] TBD-_Equip Adj Vs Highlander &amp; Explorer 5 51" xfId="32113"/>
    <cellStyle name="Comma [0] TBD_Equip Adj Vs Highlander &amp; Explorer 5 52" xfId="32114"/>
    <cellStyle name="Comma [0] TBD-_Equip Adj Vs Highlander &amp; Explorer 5 52" xfId="32115"/>
    <cellStyle name="Comma [0] TBD_Equip Adj Vs Highlander &amp; Explorer 5 53" xfId="32116"/>
    <cellStyle name="Comma [0] TBD-_Equip Adj Vs Highlander &amp; Explorer 5 53" xfId="32117"/>
    <cellStyle name="Comma [0] TBD_Equip Adj Vs Highlander &amp; Explorer 5 54" xfId="32118"/>
    <cellStyle name="Comma [0] TBD-_Equip Adj Vs Highlander &amp; Explorer 5 54" xfId="32119"/>
    <cellStyle name="Comma [0] TBD_Equip Adj Vs Highlander &amp; Explorer 5 55" xfId="32120"/>
    <cellStyle name="Comma [0] TBD-_Equip Adj Vs Highlander &amp; Explorer 5 55" xfId="32121"/>
    <cellStyle name="Comma [0] TBD_Equip Adj Vs Highlander &amp; Explorer 5 56" xfId="32122"/>
    <cellStyle name="Comma [0] TBD-_Equip Adj Vs Highlander &amp; Explorer 5 56" xfId="32123"/>
    <cellStyle name="Comma [0] TBD_Equip Adj Vs Highlander &amp; Explorer 5 57" xfId="32124"/>
    <cellStyle name="Comma [0] TBD-_Equip Adj Vs Highlander &amp; Explorer 5 57" xfId="32125"/>
    <cellStyle name="Comma [0] TBD_Equip Adj Vs Highlander &amp; Explorer 5 58" xfId="32126"/>
    <cellStyle name="Comma [0] TBD-_Equip Adj Vs Highlander &amp; Explorer 5 58" xfId="32127"/>
    <cellStyle name="Comma [0] TBD_Equip Adj Vs Highlander &amp; Explorer 5 59" xfId="32128"/>
    <cellStyle name="Comma [0] TBD-_Equip Adj Vs Highlander &amp; Explorer 5 59" xfId="32129"/>
    <cellStyle name="Comma [0] TBD_Equip Adj Vs Highlander &amp; Explorer 5 6" xfId="32130"/>
    <cellStyle name="Comma [0] TBD-_Equip Adj Vs Highlander &amp; Explorer 5 6" xfId="32131"/>
    <cellStyle name="Comma [0] TBD_Equip Adj Vs Highlander &amp; Explorer 5 60" xfId="32132"/>
    <cellStyle name="Comma [0] TBD-_Equip Adj Vs Highlander &amp; Explorer 5 60" xfId="32133"/>
    <cellStyle name="Comma [0] TBD_Equip Adj Vs Highlander &amp; Explorer 5 61" xfId="32134"/>
    <cellStyle name="Comma [0] TBD-_Equip Adj Vs Highlander &amp; Explorer 5 61" xfId="32135"/>
    <cellStyle name="Comma [0] TBD_Equip Adj Vs Highlander &amp; Explorer 5 62" xfId="32136"/>
    <cellStyle name="Comma [0] TBD-_Equip Adj Vs Highlander &amp; Explorer 5 62" xfId="32137"/>
    <cellStyle name="Comma [0] TBD_Equip Adj Vs Highlander &amp; Explorer 5 63" xfId="32138"/>
    <cellStyle name="Comma [0] TBD-_Equip Adj Vs Highlander &amp; Explorer 5 63" xfId="32139"/>
    <cellStyle name="Comma [0] TBD_Equip Adj Vs Highlander &amp; Explorer 5 64" xfId="32140"/>
    <cellStyle name="Comma [0] TBD-_Equip Adj Vs Highlander &amp; Explorer 5 64" xfId="32141"/>
    <cellStyle name="Comma [0] TBD_Equip Adj Vs Highlander &amp; Explorer 5 65" xfId="32142"/>
    <cellStyle name="Comma [0] TBD-_Equip Adj Vs Highlander &amp; Explorer 5 65" xfId="32143"/>
    <cellStyle name="Comma [0] TBD_Equip Adj Vs Highlander &amp; Explorer 5 66" xfId="32144"/>
    <cellStyle name="Comma [0] TBD-_Equip Adj Vs Highlander &amp; Explorer 5 66" xfId="32145"/>
    <cellStyle name="Comma [0] TBD_Equip Adj Vs Highlander &amp; Explorer 5 67" xfId="32146"/>
    <cellStyle name="Comma [0] TBD-_Equip Adj Vs Highlander &amp; Explorer 5 67" xfId="32147"/>
    <cellStyle name="Comma [0] TBD_Equip Adj Vs Highlander &amp; Explorer 5 68" xfId="32148"/>
    <cellStyle name="Comma [0] TBD-_Equip Adj Vs Highlander &amp; Explorer 5 68" xfId="32149"/>
    <cellStyle name="Comma [0] TBD_Equip Adj Vs Highlander &amp; Explorer 5 69" xfId="32150"/>
    <cellStyle name="Comma [0] TBD-_Equip Adj Vs Highlander &amp; Explorer 5 69" xfId="32151"/>
    <cellStyle name="Comma [0] TBD_Equip Adj Vs Highlander &amp; Explorer 5 7" xfId="32152"/>
    <cellStyle name="Comma [0] TBD-_Equip Adj Vs Highlander &amp; Explorer 5 7" xfId="32153"/>
    <cellStyle name="Comma [0] TBD_Equip Adj Vs Highlander &amp; Explorer 5 70" xfId="32154"/>
    <cellStyle name="Comma [0] TBD-_Equip Adj Vs Highlander &amp; Explorer 5 70" xfId="32155"/>
    <cellStyle name="Comma [0] TBD_Equip Adj Vs Highlander &amp; Explorer 5 71" xfId="32156"/>
    <cellStyle name="Comma [0] TBD-_Equip Adj Vs Highlander &amp; Explorer 5 71" xfId="32157"/>
    <cellStyle name="Comma [0] TBD_Equip Adj Vs Highlander &amp; Explorer 5 72" xfId="32158"/>
    <cellStyle name="Comma [0] TBD-_Equip Adj Vs Highlander &amp; Explorer 5 72" xfId="32159"/>
    <cellStyle name="Comma [0] TBD_Equip Adj Vs Highlander &amp; Explorer 5 73" xfId="32160"/>
    <cellStyle name="Comma [0] TBD-_Equip Adj Vs Highlander &amp; Explorer 5 73" xfId="32161"/>
    <cellStyle name="Comma [0] TBD_Equip Adj Vs Highlander &amp; Explorer 5 74" xfId="32162"/>
    <cellStyle name="Comma [0] TBD-_Equip Adj Vs Highlander &amp; Explorer 5 74" xfId="32163"/>
    <cellStyle name="Comma [0] TBD_Equip Adj Vs Highlander &amp; Explorer 5 75" xfId="32164"/>
    <cellStyle name="Comma [0] TBD-_Equip Adj Vs Highlander &amp; Explorer 5 75" xfId="32165"/>
    <cellStyle name="Comma [0] TBD_Equip Adj Vs Highlander &amp; Explorer 5 76" xfId="32166"/>
    <cellStyle name="Comma [0] TBD-_Equip Adj Vs Highlander &amp; Explorer 5 76" xfId="32167"/>
    <cellStyle name="Comma [0] TBD_Equip Adj Vs Highlander &amp; Explorer 5 77" xfId="32168"/>
    <cellStyle name="Comma [0] TBD-_Equip Adj Vs Highlander &amp; Explorer 5 77" xfId="32169"/>
    <cellStyle name="Comma [0] TBD_Equip Adj Vs Highlander &amp; Explorer 5 78" xfId="32170"/>
    <cellStyle name="Comma [0] TBD-_Equip Adj Vs Highlander &amp; Explorer 5 78" xfId="32171"/>
    <cellStyle name="Comma [0] TBD_Equip Adj Vs Highlander &amp; Explorer 5 79" xfId="32172"/>
    <cellStyle name="Comma [0] TBD-_Equip Adj Vs Highlander &amp; Explorer 5 79" xfId="32173"/>
    <cellStyle name="Comma [0] TBD_Equip Adj Vs Highlander &amp; Explorer 5 8" xfId="32174"/>
    <cellStyle name="Comma [0] TBD-_Equip Adj Vs Highlander &amp; Explorer 5 8" xfId="32175"/>
    <cellStyle name="Comma [0] TBD_Equip Adj Vs Highlander &amp; Explorer 5 80" xfId="32176"/>
    <cellStyle name="Comma [0] TBD-_Equip Adj Vs Highlander &amp; Explorer 5 80" xfId="32177"/>
    <cellStyle name="Comma [0] TBD_Equip Adj Vs Highlander &amp; Explorer 5 81" xfId="32178"/>
    <cellStyle name="Comma [0] TBD-_Equip Adj Vs Highlander &amp; Explorer 5 81" xfId="32179"/>
    <cellStyle name="Comma [0] TBD_Equip Adj Vs Highlander &amp; Explorer 5 82" xfId="32180"/>
    <cellStyle name="Comma [0] TBD-_Equip Adj Vs Highlander &amp; Explorer 5 82" xfId="32181"/>
    <cellStyle name="Comma [0] TBD_Equip Adj Vs Highlander &amp; Explorer 5 83" xfId="32182"/>
    <cellStyle name="Comma [0] TBD-_Equip Adj Vs Highlander &amp; Explorer 5 83" xfId="32183"/>
    <cellStyle name="Comma [0] TBD_Equip Adj Vs Highlander &amp; Explorer 5 84" xfId="32184"/>
    <cellStyle name="Comma [0] TBD-_Equip Adj Vs Highlander &amp; Explorer 5 84" xfId="32185"/>
    <cellStyle name="Comma [0] TBD_Equip Adj Vs Highlander &amp; Explorer 5 85" xfId="32186"/>
    <cellStyle name="Comma [0] TBD-_Equip Adj Vs Highlander &amp; Explorer 5 85" xfId="32187"/>
    <cellStyle name="Comma [0] TBD_Equip Adj Vs Highlander &amp; Explorer 5 86" xfId="32188"/>
    <cellStyle name="Comma [0] TBD-_Equip Adj Vs Highlander &amp; Explorer 5 86" xfId="32189"/>
    <cellStyle name="Comma [0] TBD_Equip Adj Vs Highlander &amp; Explorer 5 87" xfId="32190"/>
    <cellStyle name="Comma [0] TBD-_Equip Adj Vs Highlander &amp; Explorer 5 87" xfId="32191"/>
    <cellStyle name="Comma [0] TBD_Equip Adj Vs Highlander &amp; Explorer 5 88" xfId="32192"/>
    <cellStyle name="Comma [0] TBD-_Equip Adj Vs Highlander &amp; Explorer 5 88" xfId="32193"/>
    <cellStyle name="Comma [0] TBD_Equip Adj Vs Highlander &amp; Explorer 5 89" xfId="32194"/>
    <cellStyle name="Comma [0] TBD-_Equip Adj Vs Highlander &amp; Explorer 5 89" xfId="32195"/>
    <cellStyle name="Comma [0] TBD_Equip Adj Vs Highlander &amp; Explorer 5 9" xfId="32196"/>
    <cellStyle name="Comma [0] TBD-_Equip Adj Vs Highlander &amp; Explorer 5 9" xfId="32197"/>
    <cellStyle name="Comma [0] TBD_Equip Adj Vs Highlander &amp; Explorer 5 90" xfId="32198"/>
    <cellStyle name="Comma [0] TBD-_Equip Adj Vs Highlander &amp; Explorer 5 90" xfId="32199"/>
    <cellStyle name="Comma [0] TBD_Equip Adj Vs Highlander &amp; Explorer 5 91" xfId="32200"/>
    <cellStyle name="Comma [0] TBD-_Equip Adj Vs Highlander &amp; Explorer 5 91" xfId="32201"/>
    <cellStyle name="Comma [0] TBD_Equip Adj Vs Highlander &amp; Explorer 5 92" xfId="32202"/>
    <cellStyle name="Comma [0] TBD-_Equip Adj Vs Highlander &amp; Explorer 5 92" xfId="32203"/>
    <cellStyle name="Comma [0] TBD_Equip Adj Vs Highlander &amp; Explorer 5 93" xfId="32204"/>
    <cellStyle name="Comma [0] TBD-_Equip Adj Vs Highlander &amp; Explorer 5 93" xfId="32205"/>
    <cellStyle name="Comma [0] TBD_Equip Adj Vs Highlander &amp; Explorer 5 94" xfId="32206"/>
    <cellStyle name="Comma [0] TBD-_Equip Adj Vs Highlander &amp; Explorer 5 94" xfId="32207"/>
    <cellStyle name="Comma [0] TBD_Equip Adj Vs Highlander &amp; Explorer 5 95" xfId="32208"/>
    <cellStyle name="Comma [0] TBD-_Equip Adj Vs Highlander &amp; Explorer 5 95" xfId="32209"/>
    <cellStyle name="Comma [0] TBD_Equip Adj Vs Highlander &amp; Explorer 5 96" xfId="32210"/>
    <cellStyle name="Comma [0] TBD-_Equip Adj Vs Highlander &amp; Explorer 5 96" xfId="32211"/>
    <cellStyle name="Comma [0] TBD_Equip Adj Vs Highlander &amp; Explorer 5 97" xfId="32212"/>
    <cellStyle name="Comma [0] TBD-_Equip Adj Vs Highlander &amp; Explorer 5 97" xfId="32213"/>
    <cellStyle name="Comma [0] TBD_Equip Adj Vs Highlander &amp; Explorer 5 98" xfId="32214"/>
    <cellStyle name="Comma [0] TBD-_Equip Adj Vs Highlander &amp; Explorer 5 98" xfId="32215"/>
    <cellStyle name="Comma [0] TBD_Equip Adj Vs Highlander &amp; Explorer 5 99" xfId="32216"/>
    <cellStyle name="Comma [0] TBD-_Equip Adj Vs Highlander &amp; Explorer 5 99" xfId="32217"/>
    <cellStyle name="Comma [0] TBD_Equip Adj Vs Highlander &amp; Explorer 6" xfId="32218"/>
    <cellStyle name="Comma [0] TBD-_Equip Adj Vs Highlander &amp; Explorer 6" xfId="32219"/>
    <cellStyle name="Comma [0] TBD_Equip Adj Vs Highlander &amp; Explorer 6 10" xfId="32220"/>
    <cellStyle name="Comma [0] TBD-_Equip Adj Vs Highlander &amp; Explorer 6 10" xfId="32221"/>
    <cellStyle name="Comma [0] TBD_Equip Adj Vs Highlander &amp; Explorer 6 100" xfId="32222"/>
    <cellStyle name="Comma [0] TBD-_Equip Adj Vs Highlander &amp; Explorer 6 100" xfId="32223"/>
    <cellStyle name="Comma [0] TBD_Equip Adj Vs Highlander &amp; Explorer 6 101" xfId="32224"/>
    <cellStyle name="Comma [0] TBD-_Equip Adj Vs Highlander &amp; Explorer 6 101" xfId="32225"/>
    <cellStyle name="Comma [0] TBD_Equip Adj Vs Highlander &amp; Explorer 6 102" xfId="32226"/>
    <cellStyle name="Comma [0] TBD-_Equip Adj Vs Highlander &amp; Explorer 6 102" xfId="32227"/>
    <cellStyle name="Comma [0] TBD_Equip Adj Vs Highlander &amp; Explorer 6 103" xfId="32228"/>
    <cellStyle name="Comma [0] TBD-_Equip Adj Vs Highlander &amp; Explorer 6 103" xfId="32229"/>
    <cellStyle name="Comma [0] TBD_Equip Adj Vs Highlander &amp; Explorer 6 104" xfId="32230"/>
    <cellStyle name="Comma [0] TBD-_Equip Adj Vs Highlander &amp; Explorer 6 104" xfId="32231"/>
    <cellStyle name="Comma [0] TBD_Equip Adj Vs Highlander &amp; Explorer 6 105" xfId="32232"/>
    <cellStyle name="Comma [0] TBD-_Equip Adj Vs Highlander &amp; Explorer 6 105" xfId="32233"/>
    <cellStyle name="Comma [0] TBD_Equip Adj Vs Highlander &amp; Explorer 6 106" xfId="32234"/>
    <cellStyle name="Comma [0] TBD-_Equip Adj Vs Highlander &amp; Explorer 6 106" xfId="32235"/>
    <cellStyle name="Comma [0] TBD_Equip Adj Vs Highlander &amp; Explorer 6 107" xfId="32236"/>
    <cellStyle name="Comma [0] TBD-_Equip Adj Vs Highlander &amp; Explorer 6 107" xfId="32237"/>
    <cellStyle name="Comma [0] TBD_Equip Adj Vs Highlander &amp; Explorer 6 108" xfId="32238"/>
    <cellStyle name="Comma [0] TBD-_Equip Adj Vs Highlander &amp; Explorer 6 108" xfId="32239"/>
    <cellStyle name="Comma [0] TBD_Equip Adj Vs Highlander &amp; Explorer 6 109" xfId="32240"/>
    <cellStyle name="Comma [0] TBD-_Equip Adj Vs Highlander &amp; Explorer 6 109" xfId="32241"/>
    <cellStyle name="Comma [0] TBD_Equip Adj Vs Highlander &amp; Explorer 6 11" xfId="32242"/>
    <cellStyle name="Comma [0] TBD-_Equip Adj Vs Highlander &amp; Explorer 6 11" xfId="32243"/>
    <cellStyle name="Comma [0] TBD_Equip Adj Vs Highlander &amp; Explorer 6 110" xfId="32244"/>
    <cellStyle name="Comma [0] TBD-_Equip Adj Vs Highlander &amp; Explorer 6 110" xfId="32245"/>
    <cellStyle name="Comma [0] TBD_Equip Adj Vs Highlander &amp; Explorer 6 111" xfId="32246"/>
    <cellStyle name="Comma [0] TBD-_Equip Adj Vs Highlander &amp; Explorer 6 111" xfId="32247"/>
    <cellStyle name="Comma [0] TBD_Equip Adj Vs Highlander &amp; Explorer 6 112" xfId="32248"/>
    <cellStyle name="Comma [0] TBD-_Equip Adj Vs Highlander &amp; Explorer 6 112" xfId="32249"/>
    <cellStyle name="Comma [0] TBD_Equip Adj Vs Highlander &amp; Explorer 6 113" xfId="32250"/>
    <cellStyle name="Comma [0] TBD-_Equip Adj Vs Highlander &amp; Explorer 6 113" xfId="32251"/>
    <cellStyle name="Comma [0] TBD_Equip Adj Vs Highlander &amp; Explorer 6 114" xfId="32252"/>
    <cellStyle name="Comma [0] TBD-_Equip Adj Vs Highlander &amp; Explorer 6 114" xfId="32253"/>
    <cellStyle name="Comma [0] TBD_Equip Adj Vs Highlander &amp; Explorer 6 115" xfId="32254"/>
    <cellStyle name="Comma [0] TBD-_Equip Adj Vs Highlander &amp; Explorer 6 115" xfId="32255"/>
    <cellStyle name="Comma [0] TBD_Equip Adj Vs Highlander &amp; Explorer 6 116" xfId="32256"/>
    <cellStyle name="Comma [0] TBD-_Equip Adj Vs Highlander &amp; Explorer 6 116" xfId="32257"/>
    <cellStyle name="Comma [0] TBD_Equip Adj Vs Highlander &amp; Explorer 6 117" xfId="32258"/>
    <cellStyle name="Comma [0] TBD-_Equip Adj Vs Highlander &amp; Explorer 6 117" xfId="32259"/>
    <cellStyle name="Comma [0] TBD_Equip Adj Vs Highlander &amp; Explorer 6 118" xfId="32260"/>
    <cellStyle name="Comma [0] TBD-_Equip Adj Vs Highlander &amp; Explorer 6 118" xfId="32261"/>
    <cellStyle name="Comma [0] TBD_Equip Adj Vs Highlander &amp; Explorer 6 119" xfId="32262"/>
    <cellStyle name="Comma [0] TBD-_Equip Adj Vs Highlander &amp; Explorer 6 119" xfId="32263"/>
    <cellStyle name="Comma [0] TBD_Equip Adj Vs Highlander &amp; Explorer 6 12" xfId="32264"/>
    <cellStyle name="Comma [0] TBD-_Equip Adj Vs Highlander &amp; Explorer 6 12" xfId="32265"/>
    <cellStyle name="Comma [0] TBD_Equip Adj Vs Highlander &amp; Explorer 6 120" xfId="32266"/>
    <cellStyle name="Comma [0] TBD-_Equip Adj Vs Highlander &amp; Explorer 6 120" xfId="32267"/>
    <cellStyle name="Comma [0] TBD_Equip Adj Vs Highlander &amp; Explorer 6 121" xfId="32268"/>
    <cellStyle name="Comma [0] TBD-_Equip Adj Vs Highlander &amp; Explorer 6 121" xfId="32269"/>
    <cellStyle name="Comma [0] TBD_Equip Adj Vs Highlander &amp; Explorer 6 122" xfId="32270"/>
    <cellStyle name="Comma [0] TBD-_Equip Adj Vs Highlander &amp; Explorer 6 122" xfId="32271"/>
    <cellStyle name="Comma [0] TBD_Equip Adj Vs Highlander &amp; Explorer 6 123" xfId="32272"/>
    <cellStyle name="Comma [0] TBD-_Equip Adj Vs Highlander &amp; Explorer 6 123" xfId="32273"/>
    <cellStyle name="Comma [0] TBD_Equip Adj Vs Highlander &amp; Explorer 6 124" xfId="32274"/>
    <cellStyle name="Comma [0] TBD-_Equip Adj Vs Highlander &amp; Explorer 6 124" xfId="32275"/>
    <cellStyle name="Comma [0] TBD_Equip Adj Vs Highlander &amp; Explorer 6 125" xfId="32276"/>
    <cellStyle name="Comma [0] TBD-_Equip Adj Vs Highlander &amp; Explorer 6 125" xfId="32277"/>
    <cellStyle name="Comma [0] TBD_Equip Adj Vs Highlander &amp; Explorer 6 126" xfId="32278"/>
    <cellStyle name="Comma [0] TBD-_Equip Adj Vs Highlander &amp; Explorer 6 126" xfId="32279"/>
    <cellStyle name="Comma [0] TBD_Equip Adj Vs Highlander &amp; Explorer 6 127" xfId="32280"/>
    <cellStyle name="Comma [0] TBD-_Equip Adj Vs Highlander &amp; Explorer 6 127" xfId="32281"/>
    <cellStyle name="Comma [0] TBD_Equip Adj Vs Highlander &amp; Explorer 6 128" xfId="32282"/>
    <cellStyle name="Comma [0] TBD-_Equip Adj Vs Highlander &amp; Explorer 6 128" xfId="32283"/>
    <cellStyle name="Comma [0] TBD_Equip Adj Vs Highlander &amp; Explorer 6 129" xfId="32284"/>
    <cellStyle name="Comma [0] TBD-_Equip Adj Vs Highlander &amp; Explorer 6 129" xfId="32285"/>
    <cellStyle name="Comma [0] TBD_Equip Adj Vs Highlander &amp; Explorer 6 13" xfId="32286"/>
    <cellStyle name="Comma [0] TBD-_Equip Adj Vs Highlander &amp; Explorer 6 13" xfId="32287"/>
    <cellStyle name="Comma [0] TBD_Equip Adj Vs Highlander &amp; Explorer 6 130" xfId="32288"/>
    <cellStyle name="Comma [0] TBD-_Equip Adj Vs Highlander &amp; Explorer 6 130" xfId="32289"/>
    <cellStyle name="Comma [0] TBD_Equip Adj Vs Highlander &amp; Explorer 6 131" xfId="32290"/>
    <cellStyle name="Comma [0] TBD-_Equip Adj Vs Highlander &amp; Explorer 6 131" xfId="32291"/>
    <cellStyle name="Comma [0] TBD_Equip Adj Vs Highlander &amp; Explorer 6 132" xfId="32292"/>
    <cellStyle name="Comma [0] TBD-_Equip Adj Vs Highlander &amp; Explorer 6 132" xfId="32293"/>
    <cellStyle name="Comma [0] TBD_Equip Adj Vs Highlander &amp; Explorer 6 133" xfId="32294"/>
    <cellStyle name="Comma [0] TBD-_Equip Adj Vs Highlander &amp; Explorer 6 133" xfId="32295"/>
    <cellStyle name="Comma [0] TBD_Equip Adj Vs Highlander &amp; Explorer 6 134" xfId="32296"/>
    <cellStyle name="Comma [0] TBD-_Equip Adj Vs Highlander &amp; Explorer 6 134" xfId="32297"/>
    <cellStyle name="Comma [0] TBD_Equip Adj Vs Highlander &amp; Explorer 6 135" xfId="32298"/>
    <cellStyle name="Comma [0] TBD-_Equip Adj Vs Highlander &amp; Explorer 6 135" xfId="32299"/>
    <cellStyle name="Comma [0] TBD_Equip Adj Vs Highlander &amp; Explorer 6 136" xfId="32300"/>
    <cellStyle name="Comma [0] TBD-_Equip Adj Vs Highlander &amp; Explorer 6 136" xfId="32301"/>
    <cellStyle name="Comma [0] TBD_Equip Adj Vs Highlander &amp; Explorer 6 137" xfId="32302"/>
    <cellStyle name="Comma [0] TBD-_Equip Adj Vs Highlander &amp; Explorer 6 137" xfId="32303"/>
    <cellStyle name="Comma [0] TBD_Equip Adj Vs Highlander &amp; Explorer 6 138" xfId="32304"/>
    <cellStyle name="Comma [0] TBD-_Equip Adj Vs Highlander &amp; Explorer 6 138" xfId="32305"/>
    <cellStyle name="Comma [0] TBD_Equip Adj Vs Highlander &amp; Explorer 6 139" xfId="32306"/>
    <cellStyle name="Comma [0] TBD-_Equip Adj Vs Highlander &amp; Explorer 6 139" xfId="32307"/>
    <cellStyle name="Comma [0] TBD_Equip Adj Vs Highlander &amp; Explorer 6 14" xfId="32308"/>
    <cellStyle name="Comma [0] TBD-_Equip Adj Vs Highlander &amp; Explorer 6 14" xfId="32309"/>
    <cellStyle name="Comma [0] TBD_Equip Adj Vs Highlander &amp; Explorer 6 140" xfId="32310"/>
    <cellStyle name="Comma [0] TBD-_Equip Adj Vs Highlander &amp; Explorer 6 140" xfId="32311"/>
    <cellStyle name="Comma [0] TBD_Equip Adj Vs Highlander &amp; Explorer 6 141" xfId="32312"/>
    <cellStyle name="Comma [0] TBD-_Equip Adj Vs Highlander &amp; Explorer 6 141" xfId="32313"/>
    <cellStyle name="Comma [0] TBD_Equip Adj Vs Highlander &amp; Explorer 6 142" xfId="32314"/>
    <cellStyle name="Comma [0] TBD-_Equip Adj Vs Highlander &amp; Explorer 6 142" xfId="32315"/>
    <cellStyle name="Comma [0] TBD_Equip Adj Vs Highlander &amp; Explorer 6 143" xfId="32316"/>
    <cellStyle name="Comma [0] TBD-_Equip Adj Vs Highlander &amp; Explorer 6 143" xfId="32317"/>
    <cellStyle name="Comma [0] TBD_Equip Adj Vs Highlander &amp; Explorer 6 144" xfId="32318"/>
    <cellStyle name="Comma [0] TBD-_Equip Adj Vs Highlander &amp; Explorer 6 144" xfId="32319"/>
    <cellStyle name="Comma [0] TBD_Equip Adj Vs Highlander &amp; Explorer 6 145" xfId="32320"/>
    <cellStyle name="Comma [0] TBD-_Equip Adj Vs Highlander &amp; Explorer 6 145" xfId="32321"/>
    <cellStyle name="Comma [0] TBD_Equip Adj Vs Highlander &amp; Explorer 6 146" xfId="32322"/>
    <cellStyle name="Comma [0] TBD-_Equip Adj Vs Highlander &amp; Explorer 6 146" xfId="32323"/>
    <cellStyle name="Comma [0] TBD_Equip Adj Vs Highlander &amp; Explorer 6 147" xfId="32324"/>
    <cellStyle name="Comma [0] TBD-_Equip Adj Vs Highlander &amp; Explorer 6 147" xfId="32325"/>
    <cellStyle name="Comma [0] TBD_Equip Adj Vs Highlander &amp; Explorer 6 148" xfId="32326"/>
    <cellStyle name="Comma [0] TBD-_Equip Adj Vs Highlander &amp; Explorer 6 148" xfId="32327"/>
    <cellStyle name="Comma [0] TBD_Equip Adj Vs Highlander &amp; Explorer 6 149" xfId="32328"/>
    <cellStyle name="Comma [0] TBD-_Equip Adj Vs Highlander &amp; Explorer 6 149" xfId="32329"/>
    <cellStyle name="Comma [0] TBD_Equip Adj Vs Highlander &amp; Explorer 6 15" xfId="32330"/>
    <cellStyle name="Comma [0] TBD-_Equip Adj Vs Highlander &amp; Explorer 6 15" xfId="32331"/>
    <cellStyle name="Comma [0] TBD_Equip Adj Vs Highlander &amp; Explorer 6 150" xfId="32332"/>
    <cellStyle name="Comma [0] TBD-_Equip Adj Vs Highlander &amp; Explorer 6 150" xfId="32333"/>
    <cellStyle name="Comma [0] TBD_Equip Adj Vs Highlander &amp; Explorer 6 151" xfId="32334"/>
    <cellStyle name="Comma [0] TBD-_Equip Adj Vs Highlander &amp; Explorer 6 151" xfId="32335"/>
    <cellStyle name="Comma [0] TBD_Equip Adj Vs Highlander &amp; Explorer 6 152" xfId="32336"/>
    <cellStyle name="Comma [0] TBD-_Equip Adj Vs Highlander &amp; Explorer 6 152" xfId="32337"/>
    <cellStyle name="Comma [0] TBD_Equip Adj Vs Highlander &amp; Explorer 6 153" xfId="32338"/>
    <cellStyle name="Comma [0] TBD-_Equip Adj Vs Highlander &amp; Explorer 6 153" xfId="32339"/>
    <cellStyle name="Comma [0] TBD_Equip Adj Vs Highlander &amp; Explorer 6 154" xfId="32340"/>
    <cellStyle name="Comma [0] TBD-_Equip Adj Vs Highlander &amp; Explorer 6 154" xfId="32341"/>
    <cellStyle name="Comma [0] TBD_Equip Adj Vs Highlander &amp; Explorer 6 16" xfId="32342"/>
    <cellStyle name="Comma [0] TBD-_Equip Adj Vs Highlander &amp; Explorer 6 16" xfId="32343"/>
    <cellStyle name="Comma [0] TBD_Equip Adj Vs Highlander &amp; Explorer 6 17" xfId="32344"/>
    <cellStyle name="Comma [0] TBD-_Equip Adj Vs Highlander &amp; Explorer 6 17" xfId="32345"/>
    <cellStyle name="Comma [0] TBD_Equip Adj Vs Highlander &amp; Explorer 6 18" xfId="32346"/>
    <cellStyle name="Comma [0] TBD-_Equip Adj Vs Highlander &amp; Explorer 6 18" xfId="32347"/>
    <cellStyle name="Comma [0] TBD_Equip Adj Vs Highlander &amp; Explorer 6 19" xfId="32348"/>
    <cellStyle name="Comma [0] TBD-_Equip Adj Vs Highlander &amp; Explorer 6 19" xfId="32349"/>
    <cellStyle name="Comma [0] TBD_Equip Adj Vs Highlander &amp; Explorer 6 2" xfId="32350"/>
    <cellStyle name="Comma [0] TBD-_Equip Adj Vs Highlander &amp; Explorer 6 2" xfId="32351"/>
    <cellStyle name="Comma [0] TBD_Equip Adj Vs Highlander &amp; Explorer 6 20" xfId="32352"/>
    <cellStyle name="Comma [0] TBD-_Equip Adj Vs Highlander &amp; Explorer 6 20" xfId="32353"/>
    <cellStyle name="Comma [0] TBD_Equip Adj Vs Highlander &amp; Explorer 6 21" xfId="32354"/>
    <cellStyle name="Comma [0] TBD-_Equip Adj Vs Highlander &amp; Explorer 6 21" xfId="32355"/>
    <cellStyle name="Comma [0] TBD_Equip Adj Vs Highlander &amp; Explorer 6 22" xfId="32356"/>
    <cellStyle name="Comma [0] TBD-_Equip Adj Vs Highlander &amp; Explorer 6 22" xfId="32357"/>
    <cellStyle name="Comma [0] TBD_Equip Adj Vs Highlander &amp; Explorer 6 23" xfId="32358"/>
    <cellStyle name="Comma [0] TBD-_Equip Adj Vs Highlander &amp; Explorer 6 23" xfId="32359"/>
    <cellStyle name="Comma [0] TBD_Equip Adj Vs Highlander &amp; Explorer 6 24" xfId="32360"/>
    <cellStyle name="Comma [0] TBD-_Equip Adj Vs Highlander &amp; Explorer 6 24" xfId="32361"/>
    <cellStyle name="Comma [0] TBD_Equip Adj Vs Highlander &amp; Explorer 6 25" xfId="32362"/>
    <cellStyle name="Comma [0] TBD-_Equip Adj Vs Highlander &amp; Explorer 6 25" xfId="32363"/>
    <cellStyle name="Comma [0] TBD_Equip Adj Vs Highlander &amp; Explorer 6 26" xfId="32364"/>
    <cellStyle name="Comma [0] TBD-_Equip Adj Vs Highlander &amp; Explorer 6 26" xfId="32365"/>
    <cellStyle name="Comma [0] TBD_Equip Adj Vs Highlander &amp; Explorer 6 27" xfId="32366"/>
    <cellStyle name="Comma [0] TBD-_Equip Adj Vs Highlander &amp; Explorer 6 27" xfId="32367"/>
    <cellStyle name="Comma [0] TBD_Equip Adj Vs Highlander &amp; Explorer 6 28" xfId="32368"/>
    <cellStyle name="Comma [0] TBD-_Equip Adj Vs Highlander &amp; Explorer 6 28" xfId="32369"/>
    <cellStyle name="Comma [0] TBD_Equip Adj Vs Highlander &amp; Explorer 6 29" xfId="32370"/>
    <cellStyle name="Comma [0] TBD-_Equip Adj Vs Highlander &amp; Explorer 6 29" xfId="32371"/>
    <cellStyle name="Comma [0] TBD_Equip Adj Vs Highlander &amp; Explorer 6 3" xfId="32372"/>
    <cellStyle name="Comma [0] TBD-_Equip Adj Vs Highlander &amp; Explorer 6 3" xfId="32373"/>
    <cellStyle name="Comma [0] TBD_Equip Adj Vs Highlander &amp; Explorer 6 30" xfId="32374"/>
    <cellStyle name="Comma [0] TBD-_Equip Adj Vs Highlander &amp; Explorer 6 30" xfId="32375"/>
    <cellStyle name="Comma [0] TBD_Equip Adj Vs Highlander &amp; Explorer 6 31" xfId="32376"/>
    <cellStyle name="Comma [0] TBD-_Equip Adj Vs Highlander &amp; Explorer 6 31" xfId="32377"/>
    <cellStyle name="Comma [0] TBD_Equip Adj Vs Highlander &amp; Explorer 6 32" xfId="32378"/>
    <cellStyle name="Comma [0] TBD-_Equip Adj Vs Highlander &amp; Explorer 6 32" xfId="32379"/>
    <cellStyle name="Comma [0] TBD_Equip Adj Vs Highlander &amp; Explorer 6 33" xfId="32380"/>
    <cellStyle name="Comma [0] TBD-_Equip Adj Vs Highlander &amp; Explorer 6 33" xfId="32381"/>
    <cellStyle name="Comma [0] TBD_Equip Adj Vs Highlander &amp; Explorer 6 34" xfId="32382"/>
    <cellStyle name="Comma [0] TBD-_Equip Adj Vs Highlander &amp; Explorer 6 34" xfId="32383"/>
    <cellStyle name="Comma [0] TBD_Equip Adj Vs Highlander &amp; Explorer 6 35" xfId="32384"/>
    <cellStyle name="Comma [0] TBD-_Equip Adj Vs Highlander &amp; Explorer 6 35" xfId="32385"/>
    <cellStyle name="Comma [0] TBD_Equip Adj Vs Highlander &amp; Explorer 6 36" xfId="32386"/>
    <cellStyle name="Comma [0] TBD-_Equip Adj Vs Highlander &amp; Explorer 6 36" xfId="32387"/>
    <cellStyle name="Comma [0] TBD_Equip Adj Vs Highlander &amp; Explorer 6 37" xfId="32388"/>
    <cellStyle name="Comma [0] TBD-_Equip Adj Vs Highlander &amp; Explorer 6 37" xfId="32389"/>
    <cellStyle name="Comma [0] TBD_Equip Adj Vs Highlander &amp; Explorer 6 38" xfId="32390"/>
    <cellStyle name="Comma [0] TBD-_Equip Adj Vs Highlander &amp; Explorer 6 38" xfId="32391"/>
    <cellStyle name="Comma [0] TBD_Equip Adj Vs Highlander &amp; Explorer 6 39" xfId="32392"/>
    <cellStyle name="Comma [0] TBD-_Equip Adj Vs Highlander &amp; Explorer 6 39" xfId="32393"/>
    <cellStyle name="Comma [0] TBD_Equip Adj Vs Highlander &amp; Explorer 6 4" xfId="32394"/>
    <cellStyle name="Comma [0] TBD-_Equip Adj Vs Highlander &amp; Explorer 6 4" xfId="32395"/>
    <cellStyle name="Comma [0] TBD_Equip Adj Vs Highlander &amp; Explorer 6 40" xfId="32396"/>
    <cellStyle name="Comma [0] TBD-_Equip Adj Vs Highlander &amp; Explorer 6 40" xfId="32397"/>
    <cellStyle name="Comma [0] TBD_Equip Adj Vs Highlander &amp; Explorer 6 41" xfId="32398"/>
    <cellStyle name="Comma [0] TBD-_Equip Adj Vs Highlander &amp; Explorer 6 41" xfId="32399"/>
    <cellStyle name="Comma [0] TBD_Equip Adj Vs Highlander &amp; Explorer 6 42" xfId="32400"/>
    <cellStyle name="Comma [0] TBD-_Equip Adj Vs Highlander &amp; Explorer 6 42" xfId="32401"/>
    <cellStyle name="Comma [0] TBD_Equip Adj Vs Highlander &amp; Explorer 6 43" xfId="32402"/>
    <cellStyle name="Comma [0] TBD-_Equip Adj Vs Highlander &amp; Explorer 6 43" xfId="32403"/>
    <cellStyle name="Comma [0] TBD_Equip Adj Vs Highlander &amp; Explorer 6 44" xfId="32404"/>
    <cellStyle name="Comma [0] TBD-_Equip Adj Vs Highlander &amp; Explorer 6 44" xfId="32405"/>
    <cellStyle name="Comma [0] TBD_Equip Adj Vs Highlander &amp; Explorer 6 45" xfId="32406"/>
    <cellStyle name="Comma [0] TBD-_Equip Adj Vs Highlander &amp; Explorer 6 45" xfId="32407"/>
    <cellStyle name="Comma [0] TBD_Equip Adj Vs Highlander &amp; Explorer 6 46" xfId="32408"/>
    <cellStyle name="Comma [0] TBD-_Equip Adj Vs Highlander &amp; Explorer 6 46" xfId="32409"/>
    <cellStyle name="Comma [0] TBD_Equip Adj Vs Highlander &amp; Explorer 6 47" xfId="32410"/>
    <cellStyle name="Comma [0] TBD-_Equip Adj Vs Highlander &amp; Explorer 6 47" xfId="32411"/>
    <cellStyle name="Comma [0] TBD_Equip Adj Vs Highlander &amp; Explorer 6 48" xfId="32412"/>
    <cellStyle name="Comma [0] TBD-_Equip Adj Vs Highlander &amp; Explorer 6 48" xfId="32413"/>
    <cellStyle name="Comma [0] TBD_Equip Adj Vs Highlander &amp; Explorer 6 49" xfId="32414"/>
    <cellStyle name="Comma [0] TBD-_Equip Adj Vs Highlander &amp; Explorer 6 49" xfId="32415"/>
    <cellStyle name="Comma [0] TBD_Equip Adj Vs Highlander &amp; Explorer 6 5" xfId="32416"/>
    <cellStyle name="Comma [0] TBD-_Equip Adj Vs Highlander &amp; Explorer 6 5" xfId="32417"/>
    <cellStyle name="Comma [0] TBD_Equip Adj Vs Highlander &amp; Explorer 6 50" xfId="32418"/>
    <cellStyle name="Comma [0] TBD-_Equip Adj Vs Highlander &amp; Explorer 6 50" xfId="32419"/>
    <cellStyle name="Comma [0] TBD_Equip Adj Vs Highlander &amp; Explorer 6 51" xfId="32420"/>
    <cellStyle name="Comma [0] TBD-_Equip Adj Vs Highlander &amp; Explorer 6 51" xfId="32421"/>
    <cellStyle name="Comma [0] TBD_Equip Adj Vs Highlander &amp; Explorer 6 52" xfId="32422"/>
    <cellStyle name="Comma [0] TBD-_Equip Adj Vs Highlander &amp; Explorer 6 52" xfId="32423"/>
    <cellStyle name="Comma [0] TBD_Equip Adj Vs Highlander &amp; Explorer 6 53" xfId="32424"/>
    <cellStyle name="Comma [0] TBD-_Equip Adj Vs Highlander &amp; Explorer 6 53" xfId="32425"/>
    <cellStyle name="Comma [0] TBD_Equip Adj Vs Highlander &amp; Explorer 6 54" xfId="32426"/>
    <cellStyle name="Comma [0] TBD-_Equip Adj Vs Highlander &amp; Explorer 6 54" xfId="32427"/>
    <cellStyle name="Comma [0] TBD_Equip Adj Vs Highlander &amp; Explorer 6 55" xfId="32428"/>
    <cellStyle name="Comma [0] TBD-_Equip Adj Vs Highlander &amp; Explorer 6 55" xfId="32429"/>
    <cellStyle name="Comma [0] TBD_Equip Adj Vs Highlander &amp; Explorer 6 56" xfId="32430"/>
    <cellStyle name="Comma [0] TBD-_Equip Adj Vs Highlander &amp; Explorer 6 56" xfId="32431"/>
    <cellStyle name="Comma [0] TBD_Equip Adj Vs Highlander &amp; Explorer 6 57" xfId="32432"/>
    <cellStyle name="Comma [0] TBD-_Equip Adj Vs Highlander &amp; Explorer 6 57" xfId="32433"/>
    <cellStyle name="Comma [0] TBD_Equip Adj Vs Highlander &amp; Explorer 6 58" xfId="32434"/>
    <cellStyle name="Comma [0] TBD-_Equip Adj Vs Highlander &amp; Explorer 6 58" xfId="32435"/>
    <cellStyle name="Comma [0] TBD_Equip Adj Vs Highlander &amp; Explorer 6 59" xfId="32436"/>
    <cellStyle name="Comma [0] TBD-_Equip Adj Vs Highlander &amp; Explorer 6 59" xfId="32437"/>
    <cellStyle name="Comma [0] TBD_Equip Adj Vs Highlander &amp; Explorer 6 6" xfId="32438"/>
    <cellStyle name="Comma [0] TBD-_Equip Adj Vs Highlander &amp; Explorer 6 6" xfId="32439"/>
    <cellStyle name="Comma [0] TBD_Equip Adj Vs Highlander &amp; Explorer 6 60" xfId="32440"/>
    <cellStyle name="Comma [0] TBD-_Equip Adj Vs Highlander &amp; Explorer 6 60" xfId="32441"/>
    <cellStyle name="Comma [0] TBD_Equip Adj Vs Highlander &amp; Explorer 6 61" xfId="32442"/>
    <cellStyle name="Comma [0] TBD-_Equip Adj Vs Highlander &amp; Explorer 6 61" xfId="32443"/>
    <cellStyle name="Comma [0] TBD_Equip Adj Vs Highlander &amp; Explorer 6 62" xfId="32444"/>
    <cellStyle name="Comma [0] TBD-_Equip Adj Vs Highlander &amp; Explorer 6 62" xfId="32445"/>
    <cellStyle name="Comma [0] TBD_Equip Adj Vs Highlander &amp; Explorer 6 63" xfId="32446"/>
    <cellStyle name="Comma [0] TBD-_Equip Adj Vs Highlander &amp; Explorer 6 63" xfId="32447"/>
    <cellStyle name="Comma [0] TBD_Equip Adj Vs Highlander &amp; Explorer 6 64" xfId="32448"/>
    <cellStyle name="Comma [0] TBD-_Equip Adj Vs Highlander &amp; Explorer 6 64" xfId="32449"/>
    <cellStyle name="Comma [0] TBD_Equip Adj Vs Highlander &amp; Explorer 6 65" xfId="32450"/>
    <cellStyle name="Comma [0] TBD-_Equip Adj Vs Highlander &amp; Explorer 6 65" xfId="32451"/>
    <cellStyle name="Comma [0] TBD_Equip Adj Vs Highlander &amp; Explorer 6 66" xfId="32452"/>
    <cellStyle name="Comma [0] TBD-_Equip Adj Vs Highlander &amp; Explorer 6 66" xfId="32453"/>
    <cellStyle name="Comma [0] TBD_Equip Adj Vs Highlander &amp; Explorer 6 67" xfId="32454"/>
    <cellStyle name="Comma [0] TBD-_Equip Adj Vs Highlander &amp; Explorer 6 67" xfId="32455"/>
    <cellStyle name="Comma [0] TBD_Equip Adj Vs Highlander &amp; Explorer 6 68" xfId="32456"/>
    <cellStyle name="Comma [0] TBD-_Equip Adj Vs Highlander &amp; Explorer 6 68" xfId="32457"/>
    <cellStyle name="Comma [0] TBD_Equip Adj Vs Highlander &amp; Explorer 6 69" xfId="32458"/>
    <cellStyle name="Comma [0] TBD-_Equip Adj Vs Highlander &amp; Explorer 6 69" xfId="32459"/>
    <cellStyle name="Comma [0] TBD_Equip Adj Vs Highlander &amp; Explorer 6 7" xfId="32460"/>
    <cellStyle name="Comma [0] TBD-_Equip Adj Vs Highlander &amp; Explorer 6 7" xfId="32461"/>
    <cellStyle name="Comma [0] TBD_Equip Adj Vs Highlander &amp; Explorer 6 70" xfId="32462"/>
    <cellStyle name="Comma [0] TBD-_Equip Adj Vs Highlander &amp; Explorer 6 70" xfId="32463"/>
    <cellStyle name="Comma [0] TBD_Equip Adj Vs Highlander &amp; Explorer 6 71" xfId="32464"/>
    <cellStyle name="Comma [0] TBD-_Equip Adj Vs Highlander &amp; Explorer 6 71" xfId="32465"/>
    <cellStyle name="Comma [0] TBD_Equip Adj Vs Highlander &amp; Explorer 6 72" xfId="32466"/>
    <cellStyle name="Comma [0] TBD-_Equip Adj Vs Highlander &amp; Explorer 6 72" xfId="32467"/>
    <cellStyle name="Comma [0] TBD_Equip Adj Vs Highlander &amp; Explorer 6 73" xfId="32468"/>
    <cellStyle name="Comma [0] TBD-_Equip Adj Vs Highlander &amp; Explorer 6 73" xfId="32469"/>
    <cellStyle name="Comma [0] TBD_Equip Adj Vs Highlander &amp; Explorer 6 74" xfId="32470"/>
    <cellStyle name="Comma [0] TBD-_Equip Adj Vs Highlander &amp; Explorer 6 74" xfId="32471"/>
    <cellStyle name="Comma [0] TBD_Equip Adj Vs Highlander &amp; Explorer 6 75" xfId="32472"/>
    <cellStyle name="Comma [0] TBD-_Equip Adj Vs Highlander &amp; Explorer 6 75" xfId="32473"/>
    <cellStyle name="Comma [0] TBD_Equip Adj Vs Highlander &amp; Explorer 6 76" xfId="32474"/>
    <cellStyle name="Comma [0] TBD-_Equip Adj Vs Highlander &amp; Explorer 6 76" xfId="32475"/>
    <cellStyle name="Comma [0] TBD_Equip Adj Vs Highlander &amp; Explorer 6 77" xfId="32476"/>
    <cellStyle name="Comma [0] TBD-_Equip Adj Vs Highlander &amp; Explorer 6 77" xfId="32477"/>
    <cellStyle name="Comma [0] TBD_Equip Adj Vs Highlander &amp; Explorer 6 78" xfId="32478"/>
    <cellStyle name="Comma [0] TBD-_Equip Adj Vs Highlander &amp; Explorer 6 78" xfId="32479"/>
    <cellStyle name="Comma [0] TBD_Equip Adj Vs Highlander &amp; Explorer 6 79" xfId="32480"/>
    <cellStyle name="Comma [0] TBD-_Equip Adj Vs Highlander &amp; Explorer 6 79" xfId="32481"/>
    <cellStyle name="Comma [0] TBD_Equip Adj Vs Highlander &amp; Explorer 6 8" xfId="32482"/>
    <cellStyle name="Comma [0] TBD-_Equip Adj Vs Highlander &amp; Explorer 6 8" xfId="32483"/>
    <cellStyle name="Comma [0] TBD_Equip Adj Vs Highlander &amp; Explorer 6 80" xfId="32484"/>
    <cellStyle name="Comma [0] TBD-_Equip Adj Vs Highlander &amp; Explorer 6 80" xfId="32485"/>
    <cellStyle name="Comma [0] TBD_Equip Adj Vs Highlander &amp; Explorer 6 81" xfId="32486"/>
    <cellStyle name="Comma [0] TBD-_Equip Adj Vs Highlander &amp; Explorer 6 81" xfId="32487"/>
    <cellStyle name="Comma [0] TBD_Equip Adj Vs Highlander &amp; Explorer 6 82" xfId="32488"/>
    <cellStyle name="Comma [0] TBD-_Equip Adj Vs Highlander &amp; Explorer 6 82" xfId="32489"/>
    <cellStyle name="Comma [0] TBD_Equip Adj Vs Highlander &amp; Explorer 6 83" xfId="32490"/>
    <cellStyle name="Comma [0] TBD-_Equip Adj Vs Highlander &amp; Explorer 6 83" xfId="32491"/>
    <cellStyle name="Comma [0] TBD_Equip Adj Vs Highlander &amp; Explorer 6 84" xfId="32492"/>
    <cellStyle name="Comma [0] TBD-_Equip Adj Vs Highlander &amp; Explorer 6 84" xfId="32493"/>
    <cellStyle name="Comma [0] TBD_Equip Adj Vs Highlander &amp; Explorer 6 85" xfId="32494"/>
    <cellStyle name="Comma [0] TBD-_Equip Adj Vs Highlander &amp; Explorer 6 85" xfId="32495"/>
    <cellStyle name="Comma [0] TBD_Equip Adj Vs Highlander &amp; Explorer 6 86" xfId="32496"/>
    <cellStyle name="Comma [0] TBD-_Equip Adj Vs Highlander &amp; Explorer 6 86" xfId="32497"/>
    <cellStyle name="Comma [0] TBD_Equip Adj Vs Highlander &amp; Explorer 6 87" xfId="32498"/>
    <cellStyle name="Comma [0] TBD-_Equip Adj Vs Highlander &amp; Explorer 6 87" xfId="32499"/>
    <cellStyle name="Comma [0] TBD_Equip Adj Vs Highlander &amp; Explorer 6 88" xfId="32500"/>
    <cellStyle name="Comma [0] TBD-_Equip Adj Vs Highlander &amp; Explorer 6 88" xfId="32501"/>
    <cellStyle name="Comma [0] TBD_Equip Adj Vs Highlander &amp; Explorer 6 89" xfId="32502"/>
    <cellStyle name="Comma [0] TBD-_Equip Adj Vs Highlander &amp; Explorer 6 89" xfId="32503"/>
    <cellStyle name="Comma [0] TBD_Equip Adj Vs Highlander &amp; Explorer 6 9" xfId="32504"/>
    <cellStyle name="Comma [0] TBD-_Equip Adj Vs Highlander &amp; Explorer 6 9" xfId="32505"/>
    <cellStyle name="Comma [0] TBD_Equip Adj Vs Highlander &amp; Explorer 6 90" xfId="32506"/>
    <cellStyle name="Comma [0] TBD-_Equip Adj Vs Highlander &amp; Explorer 6 90" xfId="32507"/>
    <cellStyle name="Comma [0] TBD_Equip Adj Vs Highlander &amp; Explorer 6 91" xfId="32508"/>
    <cellStyle name="Comma [0] TBD-_Equip Adj Vs Highlander &amp; Explorer 6 91" xfId="32509"/>
    <cellStyle name="Comma [0] TBD_Equip Adj Vs Highlander &amp; Explorer 6 92" xfId="32510"/>
    <cellStyle name="Comma [0] TBD-_Equip Adj Vs Highlander &amp; Explorer 6 92" xfId="32511"/>
    <cellStyle name="Comma [0] TBD_Equip Adj Vs Highlander &amp; Explorer 6 93" xfId="32512"/>
    <cellStyle name="Comma [0] TBD-_Equip Adj Vs Highlander &amp; Explorer 6 93" xfId="32513"/>
    <cellStyle name="Comma [0] TBD_Equip Adj Vs Highlander &amp; Explorer 6 94" xfId="32514"/>
    <cellStyle name="Comma [0] TBD-_Equip Adj Vs Highlander &amp; Explorer 6 94" xfId="32515"/>
    <cellStyle name="Comma [0] TBD_Equip Adj Vs Highlander &amp; Explorer 6 95" xfId="32516"/>
    <cellStyle name="Comma [0] TBD-_Equip Adj Vs Highlander &amp; Explorer 6 95" xfId="32517"/>
    <cellStyle name="Comma [0] TBD_Equip Adj Vs Highlander &amp; Explorer 6 96" xfId="32518"/>
    <cellStyle name="Comma [0] TBD-_Equip Adj Vs Highlander &amp; Explorer 6 96" xfId="32519"/>
    <cellStyle name="Comma [0] TBD_Equip Adj Vs Highlander &amp; Explorer 6 97" xfId="32520"/>
    <cellStyle name="Comma [0] TBD-_Equip Adj Vs Highlander &amp; Explorer 6 97" xfId="32521"/>
    <cellStyle name="Comma [0] TBD_Equip Adj Vs Highlander &amp; Explorer 6 98" xfId="32522"/>
    <cellStyle name="Comma [0] TBD-_Equip Adj Vs Highlander &amp; Explorer 6 98" xfId="32523"/>
    <cellStyle name="Comma [0] TBD_Equip Adj Vs Highlander &amp; Explorer 6 99" xfId="32524"/>
    <cellStyle name="Comma [0] TBD-_Equip Adj Vs Highlander &amp; Explorer 6 99" xfId="32525"/>
    <cellStyle name="Comma [0] TBD_Equip Adj Vs Highlander &amp; Explorer 7" xfId="32526"/>
    <cellStyle name="Comma [0] TBD-_Equip Adj Vs Highlander &amp; Explorer 7" xfId="32527"/>
    <cellStyle name="Comma [0] TBD_Equip Adj Vs Highlander &amp; Explorer 7 10" xfId="32528"/>
    <cellStyle name="Comma [0] TBD-_Equip Adj Vs Highlander &amp; Explorer 7 10" xfId="32529"/>
    <cellStyle name="Comma [0] TBD_Equip Adj Vs Highlander &amp; Explorer 7 100" xfId="32530"/>
    <cellStyle name="Comma [0] TBD-_Equip Adj Vs Highlander &amp; Explorer 7 100" xfId="32531"/>
    <cellStyle name="Comma [0] TBD_Equip Adj Vs Highlander &amp; Explorer 7 101" xfId="32532"/>
    <cellStyle name="Comma [0] TBD-_Equip Adj Vs Highlander &amp; Explorer 7 101" xfId="32533"/>
    <cellStyle name="Comma [0] TBD_Equip Adj Vs Highlander &amp; Explorer 7 102" xfId="32534"/>
    <cellStyle name="Comma [0] TBD-_Equip Adj Vs Highlander &amp; Explorer 7 102" xfId="32535"/>
    <cellStyle name="Comma [0] TBD_Equip Adj Vs Highlander &amp; Explorer 7 103" xfId="32536"/>
    <cellStyle name="Comma [0] TBD-_Equip Adj Vs Highlander &amp; Explorer 7 103" xfId="32537"/>
    <cellStyle name="Comma [0] TBD_Equip Adj Vs Highlander &amp; Explorer 7 104" xfId="32538"/>
    <cellStyle name="Comma [0] TBD-_Equip Adj Vs Highlander &amp; Explorer 7 104" xfId="32539"/>
    <cellStyle name="Comma [0] TBD_Equip Adj Vs Highlander &amp; Explorer 7 105" xfId="32540"/>
    <cellStyle name="Comma [0] TBD-_Equip Adj Vs Highlander &amp; Explorer 7 105" xfId="32541"/>
    <cellStyle name="Comma [0] TBD_Equip Adj Vs Highlander &amp; Explorer 7 106" xfId="32542"/>
    <cellStyle name="Comma [0] TBD-_Equip Adj Vs Highlander &amp; Explorer 7 106" xfId="32543"/>
    <cellStyle name="Comma [0] TBD_Equip Adj Vs Highlander &amp; Explorer 7 107" xfId="32544"/>
    <cellStyle name="Comma [0] TBD-_Equip Adj Vs Highlander &amp; Explorer 7 107" xfId="32545"/>
    <cellStyle name="Comma [0] TBD_Equip Adj Vs Highlander &amp; Explorer 7 108" xfId="32546"/>
    <cellStyle name="Comma [0] TBD-_Equip Adj Vs Highlander &amp; Explorer 7 108" xfId="32547"/>
    <cellStyle name="Comma [0] TBD_Equip Adj Vs Highlander &amp; Explorer 7 109" xfId="32548"/>
    <cellStyle name="Comma [0] TBD-_Equip Adj Vs Highlander &amp; Explorer 7 109" xfId="32549"/>
    <cellStyle name="Comma [0] TBD_Equip Adj Vs Highlander &amp; Explorer 7 11" xfId="32550"/>
    <cellStyle name="Comma [0] TBD-_Equip Adj Vs Highlander &amp; Explorer 7 11" xfId="32551"/>
    <cellStyle name="Comma [0] TBD_Equip Adj Vs Highlander &amp; Explorer 7 110" xfId="32552"/>
    <cellStyle name="Comma [0] TBD-_Equip Adj Vs Highlander &amp; Explorer 7 110" xfId="32553"/>
    <cellStyle name="Comma [0] TBD_Equip Adj Vs Highlander &amp; Explorer 7 111" xfId="32554"/>
    <cellStyle name="Comma [0] TBD-_Equip Adj Vs Highlander &amp; Explorer 7 111" xfId="32555"/>
    <cellStyle name="Comma [0] TBD_Equip Adj Vs Highlander &amp; Explorer 7 112" xfId="32556"/>
    <cellStyle name="Comma [0] TBD-_Equip Adj Vs Highlander &amp; Explorer 7 112" xfId="32557"/>
    <cellStyle name="Comma [0] TBD_Equip Adj Vs Highlander &amp; Explorer 7 113" xfId="32558"/>
    <cellStyle name="Comma [0] TBD-_Equip Adj Vs Highlander &amp; Explorer 7 113" xfId="32559"/>
    <cellStyle name="Comma [0] TBD_Equip Adj Vs Highlander &amp; Explorer 7 114" xfId="32560"/>
    <cellStyle name="Comma [0] TBD-_Equip Adj Vs Highlander &amp; Explorer 7 114" xfId="32561"/>
    <cellStyle name="Comma [0] TBD_Equip Adj Vs Highlander &amp; Explorer 7 115" xfId="32562"/>
    <cellStyle name="Comma [0] TBD-_Equip Adj Vs Highlander &amp; Explorer 7 115" xfId="32563"/>
    <cellStyle name="Comma [0] TBD_Equip Adj Vs Highlander &amp; Explorer 7 116" xfId="32564"/>
    <cellStyle name="Comma [0] TBD-_Equip Adj Vs Highlander &amp; Explorer 7 116" xfId="32565"/>
    <cellStyle name="Comma [0] TBD_Equip Adj Vs Highlander &amp; Explorer 7 117" xfId="32566"/>
    <cellStyle name="Comma [0] TBD-_Equip Adj Vs Highlander &amp; Explorer 7 117" xfId="32567"/>
    <cellStyle name="Comma [0] TBD_Equip Adj Vs Highlander &amp; Explorer 7 118" xfId="32568"/>
    <cellStyle name="Comma [0] TBD-_Equip Adj Vs Highlander &amp; Explorer 7 118" xfId="32569"/>
    <cellStyle name="Comma [0] TBD_Equip Adj Vs Highlander &amp; Explorer 7 119" xfId="32570"/>
    <cellStyle name="Comma [0] TBD-_Equip Adj Vs Highlander &amp; Explorer 7 119" xfId="32571"/>
    <cellStyle name="Comma [0] TBD_Equip Adj Vs Highlander &amp; Explorer 7 12" xfId="32572"/>
    <cellStyle name="Comma [0] TBD-_Equip Adj Vs Highlander &amp; Explorer 7 12" xfId="32573"/>
    <cellStyle name="Comma [0] TBD_Equip Adj Vs Highlander &amp; Explorer 7 120" xfId="32574"/>
    <cellStyle name="Comma [0] TBD-_Equip Adj Vs Highlander &amp; Explorer 7 120" xfId="32575"/>
    <cellStyle name="Comma [0] TBD_Equip Adj Vs Highlander &amp; Explorer 7 121" xfId="32576"/>
    <cellStyle name="Comma [0] TBD-_Equip Adj Vs Highlander &amp; Explorer 7 121" xfId="32577"/>
    <cellStyle name="Comma [0] TBD_Equip Adj Vs Highlander &amp; Explorer 7 122" xfId="32578"/>
    <cellStyle name="Comma [0] TBD-_Equip Adj Vs Highlander &amp; Explorer 7 122" xfId="32579"/>
    <cellStyle name="Comma [0] TBD_Equip Adj Vs Highlander &amp; Explorer 7 123" xfId="32580"/>
    <cellStyle name="Comma [0] TBD-_Equip Adj Vs Highlander &amp; Explorer 7 123" xfId="32581"/>
    <cellStyle name="Comma [0] TBD_Equip Adj Vs Highlander &amp; Explorer 7 124" xfId="32582"/>
    <cellStyle name="Comma [0] TBD-_Equip Adj Vs Highlander &amp; Explorer 7 124" xfId="32583"/>
    <cellStyle name="Comma [0] TBD_Equip Adj Vs Highlander &amp; Explorer 7 125" xfId="32584"/>
    <cellStyle name="Comma [0] TBD-_Equip Adj Vs Highlander &amp; Explorer 7 125" xfId="32585"/>
    <cellStyle name="Comma [0] TBD_Equip Adj Vs Highlander &amp; Explorer 7 126" xfId="32586"/>
    <cellStyle name="Comma [0] TBD-_Equip Adj Vs Highlander &amp; Explorer 7 126" xfId="32587"/>
    <cellStyle name="Comma [0] TBD_Equip Adj Vs Highlander &amp; Explorer 7 127" xfId="32588"/>
    <cellStyle name="Comma [0] TBD-_Equip Adj Vs Highlander &amp; Explorer 7 127" xfId="32589"/>
    <cellStyle name="Comma [0] TBD_Equip Adj Vs Highlander &amp; Explorer 7 128" xfId="32590"/>
    <cellStyle name="Comma [0] TBD-_Equip Adj Vs Highlander &amp; Explorer 7 128" xfId="32591"/>
    <cellStyle name="Comma [0] TBD_Equip Adj Vs Highlander &amp; Explorer 7 129" xfId="32592"/>
    <cellStyle name="Comma [0] TBD-_Equip Adj Vs Highlander &amp; Explorer 7 129" xfId="32593"/>
    <cellStyle name="Comma [0] TBD_Equip Adj Vs Highlander &amp; Explorer 7 13" xfId="32594"/>
    <cellStyle name="Comma [0] TBD-_Equip Adj Vs Highlander &amp; Explorer 7 13" xfId="32595"/>
    <cellStyle name="Comma [0] TBD_Equip Adj Vs Highlander &amp; Explorer 7 130" xfId="32596"/>
    <cellStyle name="Comma [0] TBD-_Equip Adj Vs Highlander &amp; Explorer 7 130" xfId="32597"/>
    <cellStyle name="Comma [0] TBD_Equip Adj Vs Highlander &amp; Explorer 7 131" xfId="32598"/>
    <cellStyle name="Comma [0] TBD-_Equip Adj Vs Highlander &amp; Explorer 7 131" xfId="32599"/>
    <cellStyle name="Comma [0] TBD_Equip Adj Vs Highlander &amp; Explorer 7 132" xfId="32600"/>
    <cellStyle name="Comma [0] TBD-_Equip Adj Vs Highlander &amp; Explorer 7 132" xfId="32601"/>
    <cellStyle name="Comma [0] TBD_Equip Adj Vs Highlander &amp; Explorer 7 133" xfId="32602"/>
    <cellStyle name="Comma [0] TBD-_Equip Adj Vs Highlander &amp; Explorer 7 133" xfId="32603"/>
    <cellStyle name="Comma [0] TBD_Equip Adj Vs Highlander &amp; Explorer 7 134" xfId="32604"/>
    <cellStyle name="Comma [0] TBD-_Equip Adj Vs Highlander &amp; Explorer 7 134" xfId="32605"/>
    <cellStyle name="Comma [0] TBD_Equip Adj Vs Highlander &amp; Explorer 7 135" xfId="32606"/>
    <cellStyle name="Comma [0] TBD-_Equip Adj Vs Highlander &amp; Explorer 7 135" xfId="32607"/>
    <cellStyle name="Comma [0] TBD_Equip Adj Vs Highlander &amp; Explorer 7 136" xfId="32608"/>
    <cellStyle name="Comma [0] TBD-_Equip Adj Vs Highlander &amp; Explorer 7 136" xfId="32609"/>
    <cellStyle name="Comma [0] TBD_Equip Adj Vs Highlander &amp; Explorer 7 137" xfId="32610"/>
    <cellStyle name="Comma [0] TBD-_Equip Adj Vs Highlander &amp; Explorer 7 137" xfId="32611"/>
    <cellStyle name="Comma [0] TBD_Equip Adj Vs Highlander &amp; Explorer 7 138" xfId="32612"/>
    <cellStyle name="Comma [0] TBD-_Equip Adj Vs Highlander &amp; Explorer 7 138" xfId="32613"/>
    <cellStyle name="Comma [0] TBD_Equip Adj Vs Highlander &amp; Explorer 7 139" xfId="32614"/>
    <cellStyle name="Comma [0] TBD-_Equip Adj Vs Highlander &amp; Explorer 7 139" xfId="32615"/>
    <cellStyle name="Comma [0] TBD_Equip Adj Vs Highlander &amp; Explorer 7 14" xfId="32616"/>
    <cellStyle name="Comma [0] TBD-_Equip Adj Vs Highlander &amp; Explorer 7 14" xfId="32617"/>
    <cellStyle name="Comma [0] TBD_Equip Adj Vs Highlander &amp; Explorer 7 140" xfId="32618"/>
    <cellStyle name="Comma [0] TBD-_Equip Adj Vs Highlander &amp; Explorer 7 140" xfId="32619"/>
    <cellStyle name="Comma [0] TBD_Equip Adj Vs Highlander &amp; Explorer 7 141" xfId="32620"/>
    <cellStyle name="Comma [0] TBD-_Equip Adj Vs Highlander &amp; Explorer 7 141" xfId="32621"/>
    <cellStyle name="Comma [0] TBD_Equip Adj Vs Highlander &amp; Explorer 7 142" xfId="32622"/>
    <cellStyle name="Comma [0] TBD-_Equip Adj Vs Highlander &amp; Explorer 7 142" xfId="32623"/>
    <cellStyle name="Comma [0] TBD_Equip Adj Vs Highlander &amp; Explorer 7 143" xfId="32624"/>
    <cellStyle name="Comma [0] TBD-_Equip Adj Vs Highlander &amp; Explorer 7 143" xfId="32625"/>
    <cellStyle name="Comma [0] TBD_Equip Adj Vs Highlander &amp; Explorer 7 144" xfId="32626"/>
    <cellStyle name="Comma [0] TBD-_Equip Adj Vs Highlander &amp; Explorer 7 144" xfId="32627"/>
    <cellStyle name="Comma [0] TBD_Equip Adj Vs Highlander &amp; Explorer 7 145" xfId="32628"/>
    <cellStyle name="Comma [0] TBD-_Equip Adj Vs Highlander &amp; Explorer 7 145" xfId="32629"/>
    <cellStyle name="Comma [0] TBD_Equip Adj Vs Highlander &amp; Explorer 7 146" xfId="32630"/>
    <cellStyle name="Comma [0] TBD-_Equip Adj Vs Highlander &amp; Explorer 7 146" xfId="32631"/>
    <cellStyle name="Comma [0] TBD_Equip Adj Vs Highlander &amp; Explorer 7 147" xfId="32632"/>
    <cellStyle name="Comma [0] TBD-_Equip Adj Vs Highlander &amp; Explorer 7 147" xfId="32633"/>
    <cellStyle name="Comma [0] TBD_Equip Adj Vs Highlander &amp; Explorer 7 148" xfId="32634"/>
    <cellStyle name="Comma [0] TBD-_Equip Adj Vs Highlander &amp; Explorer 7 148" xfId="32635"/>
    <cellStyle name="Comma [0] TBD_Equip Adj Vs Highlander &amp; Explorer 7 149" xfId="32636"/>
    <cellStyle name="Comma [0] TBD-_Equip Adj Vs Highlander &amp; Explorer 7 149" xfId="32637"/>
    <cellStyle name="Comma [0] TBD_Equip Adj Vs Highlander &amp; Explorer 7 15" xfId="32638"/>
    <cellStyle name="Comma [0] TBD-_Equip Adj Vs Highlander &amp; Explorer 7 15" xfId="32639"/>
    <cellStyle name="Comma [0] TBD_Equip Adj Vs Highlander &amp; Explorer 7 150" xfId="32640"/>
    <cellStyle name="Comma [0] TBD-_Equip Adj Vs Highlander &amp; Explorer 7 150" xfId="32641"/>
    <cellStyle name="Comma [0] TBD_Equip Adj Vs Highlander &amp; Explorer 7 151" xfId="32642"/>
    <cellStyle name="Comma [0] TBD-_Equip Adj Vs Highlander &amp; Explorer 7 151" xfId="32643"/>
    <cellStyle name="Comma [0] TBD_Equip Adj Vs Highlander &amp; Explorer 7 152" xfId="32644"/>
    <cellStyle name="Comma [0] TBD-_Equip Adj Vs Highlander &amp; Explorer 7 152" xfId="32645"/>
    <cellStyle name="Comma [0] TBD_Equip Adj Vs Highlander &amp; Explorer 7 153" xfId="32646"/>
    <cellStyle name="Comma [0] TBD-_Equip Adj Vs Highlander &amp; Explorer 7 153" xfId="32647"/>
    <cellStyle name="Comma [0] TBD_Equip Adj Vs Highlander &amp; Explorer 7 154" xfId="32648"/>
    <cellStyle name="Comma [0] TBD-_Equip Adj Vs Highlander &amp; Explorer 7 154" xfId="32649"/>
    <cellStyle name="Comma [0] TBD_Equip Adj Vs Highlander &amp; Explorer 7 16" xfId="32650"/>
    <cellStyle name="Comma [0] TBD-_Equip Adj Vs Highlander &amp; Explorer 7 16" xfId="32651"/>
    <cellStyle name="Comma [0] TBD_Equip Adj Vs Highlander &amp; Explorer 7 17" xfId="32652"/>
    <cellStyle name="Comma [0] TBD-_Equip Adj Vs Highlander &amp; Explorer 7 17" xfId="32653"/>
    <cellStyle name="Comma [0] TBD_Equip Adj Vs Highlander &amp; Explorer 7 18" xfId="32654"/>
    <cellStyle name="Comma [0] TBD-_Equip Adj Vs Highlander &amp; Explorer 7 18" xfId="32655"/>
    <cellStyle name="Comma [0] TBD_Equip Adj Vs Highlander &amp; Explorer 7 19" xfId="32656"/>
    <cellStyle name="Comma [0] TBD-_Equip Adj Vs Highlander &amp; Explorer 7 19" xfId="32657"/>
    <cellStyle name="Comma [0] TBD_Equip Adj Vs Highlander &amp; Explorer 7 2" xfId="32658"/>
    <cellStyle name="Comma [0] TBD-_Equip Adj Vs Highlander &amp; Explorer 7 2" xfId="32659"/>
    <cellStyle name="Comma [0] TBD_Equip Adj Vs Highlander &amp; Explorer 7 20" xfId="32660"/>
    <cellStyle name="Comma [0] TBD-_Equip Adj Vs Highlander &amp; Explorer 7 20" xfId="32661"/>
    <cellStyle name="Comma [0] TBD_Equip Adj Vs Highlander &amp; Explorer 7 21" xfId="32662"/>
    <cellStyle name="Comma [0] TBD-_Equip Adj Vs Highlander &amp; Explorer 7 21" xfId="32663"/>
    <cellStyle name="Comma [0] TBD_Equip Adj Vs Highlander &amp; Explorer 7 22" xfId="32664"/>
    <cellStyle name="Comma [0] TBD-_Equip Adj Vs Highlander &amp; Explorer 7 22" xfId="32665"/>
    <cellStyle name="Comma [0] TBD_Equip Adj Vs Highlander &amp; Explorer 7 23" xfId="32666"/>
    <cellStyle name="Comma [0] TBD-_Equip Adj Vs Highlander &amp; Explorer 7 23" xfId="32667"/>
    <cellStyle name="Comma [0] TBD_Equip Adj Vs Highlander &amp; Explorer 7 24" xfId="32668"/>
    <cellStyle name="Comma [0] TBD-_Equip Adj Vs Highlander &amp; Explorer 7 24" xfId="32669"/>
    <cellStyle name="Comma [0] TBD_Equip Adj Vs Highlander &amp; Explorer 7 25" xfId="32670"/>
    <cellStyle name="Comma [0] TBD-_Equip Adj Vs Highlander &amp; Explorer 7 25" xfId="32671"/>
    <cellStyle name="Comma [0] TBD_Equip Adj Vs Highlander &amp; Explorer 7 26" xfId="32672"/>
    <cellStyle name="Comma [0] TBD-_Equip Adj Vs Highlander &amp; Explorer 7 26" xfId="32673"/>
    <cellStyle name="Comma [0] TBD_Equip Adj Vs Highlander &amp; Explorer 7 27" xfId="32674"/>
    <cellStyle name="Comma [0] TBD-_Equip Adj Vs Highlander &amp; Explorer 7 27" xfId="32675"/>
    <cellStyle name="Comma [0] TBD_Equip Adj Vs Highlander &amp; Explorer 7 28" xfId="32676"/>
    <cellStyle name="Comma [0] TBD-_Equip Adj Vs Highlander &amp; Explorer 7 28" xfId="32677"/>
    <cellStyle name="Comma [0] TBD_Equip Adj Vs Highlander &amp; Explorer 7 29" xfId="32678"/>
    <cellStyle name="Comma [0] TBD-_Equip Adj Vs Highlander &amp; Explorer 7 29" xfId="32679"/>
    <cellStyle name="Comma [0] TBD_Equip Adj Vs Highlander &amp; Explorer 7 3" xfId="32680"/>
    <cellStyle name="Comma [0] TBD-_Equip Adj Vs Highlander &amp; Explorer 7 3" xfId="32681"/>
    <cellStyle name="Comma [0] TBD_Equip Adj Vs Highlander &amp; Explorer 7 30" xfId="32682"/>
    <cellStyle name="Comma [0] TBD-_Equip Adj Vs Highlander &amp; Explorer 7 30" xfId="32683"/>
    <cellStyle name="Comma [0] TBD_Equip Adj Vs Highlander &amp; Explorer 7 31" xfId="32684"/>
    <cellStyle name="Comma [0] TBD-_Equip Adj Vs Highlander &amp; Explorer 7 31" xfId="32685"/>
    <cellStyle name="Comma [0] TBD_Equip Adj Vs Highlander &amp; Explorer 7 32" xfId="32686"/>
    <cellStyle name="Comma [0] TBD-_Equip Adj Vs Highlander &amp; Explorer 7 32" xfId="32687"/>
    <cellStyle name="Comma [0] TBD_Equip Adj Vs Highlander &amp; Explorer 7 33" xfId="32688"/>
    <cellStyle name="Comma [0] TBD-_Equip Adj Vs Highlander &amp; Explorer 7 33" xfId="32689"/>
    <cellStyle name="Comma [0] TBD_Equip Adj Vs Highlander &amp; Explorer 7 34" xfId="32690"/>
    <cellStyle name="Comma [0] TBD-_Equip Adj Vs Highlander &amp; Explorer 7 34" xfId="32691"/>
    <cellStyle name="Comma [0] TBD_Equip Adj Vs Highlander &amp; Explorer 7 35" xfId="32692"/>
    <cellStyle name="Comma [0] TBD-_Equip Adj Vs Highlander &amp; Explorer 7 35" xfId="32693"/>
    <cellStyle name="Comma [0] TBD_Equip Adj Vs Highlander &amp; Explorer 7 36" xfId="32694"/>
    <cellStyle name="Comma [0] TBD-_Equip Adj Vs Highlander &amp; Explorer 7 36" xfId="32695"/>
    <cellStyle name="Comma [0] TBD_Equip Adj Vs Highlander &amp; Explorer 7 37" xfId="32696"/>
    <cellStyle name="Comma [0] TBD-_Equip Adj Vs Highlander &amp; Explorer 7 37" xfId="32697"/>
    <cellStyle name="Comma [0] TBD_Equip Adj Vs Highlander &amp; Explorer 7 38" xfId="32698"/>
    <cellStyle name="Comma [0] TBD-_Equip Adj Vs Highlander &amp; Explorer 7 38" xfId="32699"/>
    <cellStyle name="Comma [0] TBD_Equip Adj Vs Highlander &amp; Explorer 7 39" xfId="32700"/>
    <cellStyle name="Comma [0] TBD-_Equip Adj Vs Highlander &amp; Explorer 7 39" xfId="32701"/>
    <cellStyle name="Comma [0] TBD_Equip Adj Vs Highlander &amp; Explorer 7 4" xfId="32702"/>
    <cellStyle name="Comma [0] TBD-_Equip Adj Vs Highlander &amp; Explorer 7 4" xfId="32703"/>
    <cellStyle name="Comma [0] TBD_Equip Adj Vs Highlander &amp; Explorer 7 40" xfId="32704"/>
    <cellStyle name="Comma [0] TBD-_Equip Adj Vs Highlander &amp; Explorer 7 40" xfId="32705"/>
    <cellStyle name="Comma [0] TBD_Equip Adj Vs Highlander &amp; Explorer 7 41" xfId="32706"/>
    <cellStyle name="Comma [0] TBD-_Equip Adj Vs Highlander &amp; Explorer 7 41" xfId="32707"/>
    <cellStyle name="Comma [0] TBD_Equip Adj Vs Highlander &amp; Explorer 7 42" xfId="32708"/>
    <cellStyle name="Comma [0] TBD-_Equip Adj Vs Highlander &amp; Explorer 7 42" xfId="32709"/>
    <cellStyle name="Comma [0] TBD_Equip Adj Vs Highlander &amp; Explorer 7 43" xfId="32710"/>
    <cellStyle name="Comma [0] TBD-_Equip Adj Vs Highlander &amp; Explorer 7 43" xfId="32711"/>
    <cellStyle name="Comma [0] TBD_Equip Adj Vs Highlander &amp; Explorer 7 44" xfId="32712"/>
    <cellStyle name="Comma [0] TBD-_Equip Adj Vs Highlander &amp; Explorer 7 44" xfId="32713"/>
    <cellStyle name="Comma [0] TBD_Equip Adj Vs Highlander &amp; Explorer 7 45" xfId="32714"/>
    <cellStyle name="Comma [0] TBD-_Equip Adj Vs Highlander &amp; Explorer 7 45" xfId="32715"/>
    <cellStyle name="Comma [0] TBD_Equip Adj Vs Highlander &amp; Explorer 7 46" xfId="32716"/>
    <cellStyle name="Comma [0] TBD-_Equip Adj Vs Highlander &amp; Explorer 7 46" xfId="32717"/>
    <cellStyle name="Comma [0] TBD_Equip Adj Vs Highlander &amp; Explorer 7 47" xfId="32718"/>
    <cellStyle name="Comma [0] TBD-_Equip Adj Vs Highlander &amp; Explorer 7 47" xfId="32719"/>
    <cellStyle name="Comma [0] TBD_Equip Adj Vs Highlander &amp; Explorer 7 48" xfId="32720"/>
    <cellStyle name="Comma [0] TBD-_Equip Adj Vs Highlander &amp; Explorer 7 48" xfId="32721"/>
    <cellStyle name="Comma [0] TBD_Equip Adj Vs Highlander &amp; Explorer 7 49" xfId="32722"/>
    <cellStyle name="Comma [0] TBD-_Equip Adj Vs Highlander &amp; Explorer 7 49" xfId="32723"/>
    <cellStyle name="Comma [0] TBD_Equip Adj Vs Highlander &amp; Explorer 7 5" xfId="32724"/>
    <cellStyle name="Comma [0] TBD-_Equip Adj Vs Highlander &amp; Explorer 7 5" xfId="32725"/>
    <cellStyle name="Comma [0] TBD_Equip Adj Vs Highlander &amp; Explorer 7 50" xfId="32726"/>
    <cellStyle name="Comma [0] TBD-_Equip Adj Vs Highlander &amp; Explorer 7 50" xfId="32727"/>
    <cellStyle name="Comma [0] TBD_Equip Adj Vs Highlander &amp; Explorer 7 51" xfId="32728"/>
    <cellStyle name="Comma [0] TBD-_Equip Adj Vs Highlander &amp; Explorer 7 51" xfId="32729"/>
    <cellStyle name="Comma [0] TBD_Equip Adj Vs Highlander &amp; Explorer 7 52" xfId="32730"/>
    <cellStyle name="Comma [0] TBD-_Equip Adj Vs Highlander &amp; Explorer 7 52" xfId="32731"/>
    <cellStyle name="Comma [0] TBD_Equip Adj Vs Highlander &amp; Explorer 7 53" xfId="32732"/>
    <cellStyle name="Comma [0] TBD-_Equip Adj Vs Highlander &amp; Explorer 7 53" xfId="32733"/>
    <cellStyle name="Comma [0] TBD_Equip Adj Vs Highlander &amp; Explorer 7 54" xfId="32734"/>
    <cellStyle name="Comma [0] TBD-_Equip Adj Vs Highlander &amp; Explorer 7 54" xfId="32735"/>
    <cellStyle name="Comma [0] TBD_Equip Adj Vs Highlander &amp; Explorer 7 55" xfId="32736"/>
    <cellStyle name="Comma [0] TBD-_Equip Adj Vs Highlander &amp; Explorer 7 55" xfId="32737"/>
    <cellStyle name="Comma [0] TBD_Equip Adj Vs Highlander &amp; Explorer 7 56" xfId="32738"/>
    <cellStyle name="Comma [0] TBD-_Equip Adj Vs Highlander &amp; Explorer 7 56" xfId="32739"/>
    <cellStyle name="Comma [0] TBD_Equip Adj Vs Highlander &amp; Explorer 7 57" xfId="32740"/>
    <cellStyle name="Comma [0] TBD-_Equip Adj Vs Highlander &amp; Explorer 7 57" xfId="32741"/>
    <cellStyle name="Comma [0] TBD_Equip Adj Vs Highlander &amp; Explorer 7 58" xfId="32742"/>
    <cellStyle name="Comma [0] TBD-_Equip Adj Vs Highlander &amp; Explorer 7 58" xfId="32743"/>
    <cellStyle name="Comma [0] TBD_Equip Adj Vs Highlander &amp; Explorer 7 59" xfId="32744"/>
    <cellStyle name="Comma [0] TBD-_Equip Adj Vs Highlander &amp; Explorer 7 59" xfId="32745"/>
    <cellStyle name="Comma [0] TBD_Equip Adj Vs Highlander &amp; Explorer 7 6" xfId="32746"/>
    <cellStyle name="Comma [0] TBD-_Equip Adj Vs Highlander &amp; Explorer 7 6" xfId="32747"/>
    <cellStyle name="Comma [0] TBD_Equip Adj Vs Highlander &amp; Explorer 7 60" xfId="32748"/>
    <cellStyle name="Comma [0] TBD-_Equip Adj Vs Highlander &amp; Explorer 7 60" xfId="32749"/>
    <cellStyle name="Comma [0] TBD_Equip Adj Vs Highlander &amp; Explorer 7 61" xfId="32750"/>
    <cellStyle name="Comma [0] TBD-_Equip Adj Vs Highlander &amp; Explorer 7 61" xfId="32751"/>
    <cellStyle name="Comma [0] TBD_Equip Adj Vs Highlander &amp; Explorer 7 62" xfId="32752"/>
    <cellStyle name="Comma [0] TBD-_Equip Adj Vs Highlander &amp; Explorer 7 62" xfId="32753"/>
    <cellStyle name="Comma [0] TBD_Equip Adj Vs Highlander &amp; Explorer 7 63" xfId="32754"/>
    <cellStyle name="Comma [0] TBD-_Equip Adj Vs Highlander &amp; Explorer 7 63" xfId="32755"/>
    <cellStyle name="Comma [0] TBD_Equip Adj Vs Highlander &amp; Explorer 7 64" xfId="32756"/>
    <cellStyle name="Comma [0] TBD-_Equip Adj Vs Highlander &amp; Explorer 7 64" xfId="32757"/>
    <cellStyle name="Comma [0] TBD_Equip Adj Vs Highlander &amp; Explorer 7 65" xfId="32758"/>
    <cellStyle name="Comma [0] TBD-_Equip Adj Vs Highlander &amp; Explorer 7 65" xfId="32759"/>
    <cellStyle name="Comma [0] TBD_Equip Adj Vs Highlander &amp; Explorer 7 66" xfId="32760"/>
    <cellStyle name="Comma [0] TBD-_Equip Adj Vs Highlander &amp; Explorer 7 66" xfId="32761"/>
    <cellStyle name="Comma [0] TBD_Equip Adj Vs Highlander &amp; Explorer 7 67" xfId="32762"/>
    <cellStyle name="Comma [0] TBD-_Equip Adj Vs Highlander &amp; Explorer 7 67" xfId="32763"/>
    <cellStyle name="Comma [0] TBD_Equip Adj Vs Highlander &amp; Explorer 7 68" xfId="32764"/>
    <cellStyle name="Comma [0] TBD-_Equip Adj Vs Highlander &amp; Explorer 7 68" xfId="32765"/>
    <cellStyle name="Comma [0] TBD_Equip Adj Vs Highlander &amp; Explorer 7 69" xfId="32766"/>
    <cellStyle name="Comma [0] TBD-_Equip Adj Vs Highlander &amp; Explorer 7 69" xfId="32767"/>
    <cellStyle name="Comma [0] TBD_Equip Adj Vs Highlander &amp; Explorer 7 7" xfId="32768"/>
    <cellStyle name="Comma [0] TBD-_Equip Adj Vs Highlander &amp; Explorer 7 7" xfId="32769"/>
    <cellStyle name="Comma [0] TBD_Equip Adj Vs Highlander &amp; Explorer 7 70" xfId="32770"/>
    <cellStyle name="Comma [0] TBD-_Equip Adj Vs Highlander &amp; Explorer 7 70" xfId="32771"/>
    <cellStyle name="Comma [0] TBD_Equip Adj Vs Highlander &amp; Explorer 7 71" xfId="32772"/>
    <cellStyle name="Comma [0] TBD-_Equip Adj Vs Highlander &amp; Explorer 7 71" xfId="32773"/>
    <cellStyle name="Comma [0] TBD_Equip Adj Vs Highlander &amp; Explorer 7 72" xfId="32774"/>
    <cellStyle name="Comma [0] TBD-_Equip Adj Vs Highlander &amp; Explorer 7 72" xfId="32775"/>
    <cellStyle name="Comma [0] TBD_Equip Adj Vs Highlander &amp; Explorer 7 73" xfId="32776"/>
    <cellStyle name="Comma [0] TBD-_Equip Adj Vs Highlander &amp; Explorer 7 73" xfId="32777"/>
    <cellStyle name="Comma [0] TBD_Equip Adj Vs Highlander &amp; Explorer 7 74" xfId="32778"/>
    <cellStyle name="Comma [0] TBD-_Equip Adj Vs Highlander &amp; Explorer 7 74" xfId="32779"/>
    <cellStyle name="Comma [0] TBD_Equip Adj Vs Highlander &amp; Explorer 7 75" xfId="32780"/>
    <cellStyle name="Comma [0] TBD-_Equip Adj Vs Highlander &amp; Explorer 7 75" xfId="32781"/>
    <cellStyle name="Comma [0] TBD_Equip Adj Vs Highlander &amp; Explorer 7 76" xfId="32782"/>
    <cellStyle name="Comma [0] TBD-_Equip Adj Vs Highlander &amp; Explorer 7 76" xfId="32783"/>
    <cellStyle name="Comma [0] TBD_Equip Adj Vs Highlander &amp; Explorer 7 77" xfId="32784"/>
    <cellStyle name="Comma [0] TBD-_Equip Adj Vs Highlander &amp; Explorer 7 77" xfId="32785"/>
    <cellStyle name="Comma [0] TBD_Equip Adj Vs Highlander &amp; Explorer 7 78" xfId="32786"/>
    <cellStyle name="Comma [0] TBD-_Equip Adj Vs Highlander &amp; Explorer 7 78" xfId="32787"/>
    <cellStyle name="Comma [0] TBD_Equip Adj Vs Highlander &amp; Explorer 7 79" xfId="32788"/>
    <cellStyle name="Comma [0] TBD-_Equip Adj Vs Highlander &amp; Explorer 7 79" xfId="32789"/>
    <cellStyle name="Comma [0] TBD_Equip Adj Vs Highlander &amp; Explorer 7 8" xfId="32790"/>
    <cellStyle name="Comma [0] TBD-_Equip Adj Vs Highlander &amp; Explorer 7 8" xfId="32791"/>
    <cellStyle name="Comma [0] TBD_Equip Adj Vs Highlander &amp; Explorer 7 80" xfId="32792"/>
    <cellStyle name="Comma [0] TBD-_Equip Adj Vs Highlander &amp; Explorer 7 80" xfId="32793"/>
    <cellStyle name="Comma [0] TBD_Equip Adj Vs Highlander &amp; Explorer 7 81" xfId="32794"/>
    <cellStyle name="Comma [0] TBD-_Equip Adj Vs Highlander &amp; Explorer 7 81" xfId="32795"/>
    <cellStyle name="Comma [0] TBD_Equip Adj Vs Highlander &amp; Explorer 7 82" xfId="32796"/>
    <cellStyle name="Comma [0] TBD-_Equip Adj Vs Highlander &amp; Explorer 7 82" xfId="32797"/>
    <cellStyle name="Comma [0] TBD_Equip Adj Vs Highlander &amp; Explorer 7 83" xfId="32798"/>
    <cellStyle name="Comma [0] TBD-_Equip Adj Vs Highlander &amp; Explorer 7 83" xfId="32799"/>
    <cellStyle name="Comma [0] TBD_Equip Adj Vs Highlander &amp; Explorer 7 84" xfId="32800"/>
    <cellStyle name="Comma [0] TBD-_Equip Adj Vs Highlander &amp; Explorer 7 84" xfId="32801"/>
    <cellStyle name="Comma [0] TBD_Equip Adj Vs Highlander &amp; Explorer 7 85" xfId="32802"/>
    <cellStyle name="Comma [0] TBD-_Equip Adj Vs Highlander &amp; Explorer 7 85" xfId="32803"/>
    <cellStyle name="Comma [0] TBD_Equip Adj Vs Highlander &amp; Explorer 7 86" xfId="32804"/>
    <cellStyle name="Comma [0] TBD-_Equip Adj Vs Highlander &amp; Explorer 7 86" xfId="32805"/>
    <cellStyle name="Comma [0] TBD_Equip Adj Vs Highlander &amp; Explorer 7 87" xfId="32806"/>
    <cellStyle name="Comma [0] TBD-_Equip Adj Vs Highlander &amp; Explorer 7 87" xfId="32807"/>
    <cellStyle name="Comma [0] TBD_Equip Adj Vs Highlander &amp; Explorer 7 88" xfId="32808"/>
    <cellStyle name="Comma [0] TBD-_Equip Adj Vs Highlander &amp; Explorer 7 88" xfId="32809"/>
    <cellStyle name="Comma [0] TBD_Equip Adj Vs Highlander &amp; Explorer 7 89" xfId="32810"/>
    <cellStyle name="Comma [0] TBD-_Equip Adj Vs Highlander &amp; Explorer 7 89" xfId="32811"/>
    <cellStyle name="Comma [0] TBD_Equip Adj Vs Highlander &amp; Explorer 7 9" xfId="32812"/>
    <cellStyle name="Comma [0] TBD-_Equip Adj Vs Highlander &amp; Explorer 7 9" xfId="32813"/>
    <cellStyle name="Comma [0] TBD_Equip Adj Vs Highlander &amp; Explorer 7 90" xfId="32814"/>
    <cellStyle name="Comma [0] TBD-_Equip Adj Vs Highlander &amp; Explorer 7 90" xfId="32815"/>
    <cellStyle name="Comma [0] TBD_Equip Adj Vs Highlander &amp; Explorer 7 91" xfId="32816"/>
    <cellStyle name="Comma [0] TBD-_Equip Adj Vs Highlander &amp; Explorer 7 91" xfId="32817"/>
    <cellStyle name="Comma [0] TBD_Equip Adj Vs Highlander &amp; Explorer 7 92" xfId="32818"/>
    <cellStyle name="Comma [0] TBD-_Equip Adj Vs Highlander &amp; Explorer 7 92" xfId="32819"/>
    <cellStyle name="Comma [0] TBD_Equip Adj Vs Highlander &amp; Explorer 7 93" xfId="32820"/>
    <cellStyle name="Comma [0] TBD-_Equip Adj Vs Highlander &amp; Explorer 7 93" xfId="32821"/>
    <cellStyle name="Comma [0] TBD_Equip Adj Vs Highlander &amp; Explorer 7 94" xfId="32822"/>
    <cellStyle name="Comma [0] TBD-_Equip Adj Vs Highlander &amp; Explorer 7 94" xfId="32823"/>
    <cellStyle name="Comma [0] TBD_Equip Adj Vs Highlander &amp; Explorer 7 95" xfId="32824"/>
    <cellStyle name="Comma [0] TBD-_Equip Adj Vs Highlander &amp; Explorer 7 95" xfId="32825"/>
    <cellStyle name="Comma [0] TBD_Equip Adj Vs Highlander &amp; Explorer 7 96" xfId="32826"/>
    <cellStyle name="Comma [0] TBD-_Equip Adj Vs Highlander &amp; Explorer 7 96" xfId="32827"/>
    <cellStyle name="Comma [0] TBD_Equip Adj Vs Highlander &amp; Explorer 7 97" xfId="32828"/>
    <cellStyle name="Comma [0] TBD-_Equip Adj Vs Highlander &amp; Explorer 7 97" xfId="32829"/>
    <cellStyle name="Comma [0] TBD_Equip Adj Vs Highlander &amp; Explorer 7 98" xfId="32830"/>
    <cellStyle name="Comma [0] TBD-_Equip Adj Vs Highlander &amp; Explorer 7 98" xfId="32831"/>
    <cellStyle name="Comma [0] TBD_Equip Adj Vs Highlander &amp; Explorer 7 99" xfId="32832"/>
    <cellStyle name="Comma [0] TBD-_Equip Adj Vs Highlander &amp; Explorer 7 99" xfId="32833"/>
    <cellStyle name="Comma [0] TBD_Equip Adj Vs Highlander &amp; Explorer 8" xfId="32834"/>
    <cellStyle name="Comma [0] TBD-_Equip Adj Vs Highlander &amp; Explorer 8" xfId="32835"/>
    <cellStyle name="Comma [0] TBD_Equip Adj Vs Highlander &amp; Explorer 8 10" xfId="32836"/>
    <cellStyle name="Comma [0] TBD-_Equip Adj Vs Highlander &amp; Explorer 8 10" xfId="32837"/>
    <cellStyle name="Comma [0] TBD_Equip Adj Vs Highlander &amp; Explorer 8 100" xfId="32838"/>
    <cellStyle name="Comma [0] TBD-_Equip Adj Vs Highlander &amp; Explorer 8 100" xfId="32839"/>
    <cellStyle name="Comma [0] TBD_Equip Adj Vs Highlander &amp; Explorer 8 101" xfId="32840"/>
    <cellStyle name="Comma [0] TBD-_Equip Adj Vs Highlander &amp; Explorer 8 101" xfId="32841"/>
    <cellStyle name="Comma [0] TBD_Equip Adj Vs Highlander &amp; Explorer 8 102" xfId="32842"/>
    <cellStyle name="Comma [0] TBD-_Equip Adj Vs Highlander &amp; Explorer 8 102" xfId="32843"/>
    <cellStyle name="Comma [0] TBD_Equip Adj Vs Highlander &amp; Explorer 8 103" xfId="32844"/>
    <cellStyle name="Comma [0] TBD-_Equip Adj Vs Highlander &amp; Explorer 8 103" xfId="32845"/>
    <cellStyle name="Comma [0] TBD_Equip Adj Vs Highlander &amp; Explorer 8 104" xfId="32846"/>
    <cellStyle name="Comma [0] TBD-_Equip Adj Vs Highlander &amp; Explorer 8 104" xfId="32847"/>
    <cellStyle name="Comma [0] TBD_Equip Adj Vs Highlander &amp; Explorer 8 105" xfId="32848"/>
    <cellStyle name="Comma [0] TBD-_Equip Adj Vs Highlander &amp; Explorer 8 105" xfId="32849"/>
    <cellStyle name="Comma [0] TBD_Equip Adj Vs Highlander &amp; Explorer 8 106" xfId="32850"/>
    <cellStyle name="Comma [0] TBD-_Equip Adj Vs Highlander &amp; Explorer 8 106" xfId="32851"/>
    <cellStyle name="Comma [0] TBD_Equip Adj Vs Highlander &amp; Explorer 8 107" xfId="32852"/>
    <cellStyle name="Comma [0] TBD-_Equip Adj Vs Highlander &amp; Explorer 8 107" xfId="32853"/>
    <cellStyle name="Comma [0] TBD_Equip Adj Vs Highlander &amp; Explorer 8 108" xfId="32854"/>
    <cellStyle name="Comma [0] TBD-_Equip Adj Vs Highlander &amp; Explorer 8 108" xfId="32855"/>
    <cellStyle name="Comma [0] TBD_Equip Adj Vs Highlander &amp; Explorer 8 109" xfId="32856"/>
    <cellStyle name="Comma [0] TBD-_Equip Adj Vs Highlander &amp; Explorer 8 109" xfId="32857"/>
    <cellStyle name="Comma [0] TBD_Equip Adj Vs Highlander &amp; Explorer 8 11" xfId="32858"/>
    <cellStyle name="Comma [0] TBD-_Equip Adj Vs Highlander &amp; Explorer 8 11" xfId="32859"/>
    <cellStyle name="Comma [0] TBD_Equip Adj Vs Highlander &amp; Explorer 8 110" xfId="32860"/>
    <cellStyle name="Comma [0] TBD-_Equip Adj Vs Highlander &amp; Explorer 8 110" xfId="32861"/>
    <cellStyle name="Comma [0] TBD_Equip Adj Vs Highlander &amp; Explorer 8 111" xfId="32862"/>
    <cellStyle name="Comma [0] TBD-_Equip Adj Vs Highlander &amp; Explorer 8 111" xfId="32863"/>
    <cellStyle name="Comma [0] TBD_Equip Adj Vs Highlander &amp; Explorer 8 112" xfId="32864"/>
    <cellStyle name="Comma [0] TBD-_Equip Adj Vs Highlander &amp; Explorer 8 112" xfId="32865"/>
    <cellStyle name="Comma [0] TBD_Equip Adj Vs Highlander &amp; Explorer 8 113" xfId="32866"/>
    <cellStyle name="Comma [0] TBD-_Equip Adj Vs Highlander &amp; Explorer 8 113" xfId="32867"/>
    <cellStyle name="Comma [0] TBD_Equip Adj Vs Highlander &amp; Explorer 8 114" xfId="32868"/>
    <cellStyle name="Comma [0] TBD-_Equip Adj Vs Highlander &amp; Explorer 8 114" xfId="32869"/>
    <cellStyle name="Comma [0] TBD_Equip Adj Vs Highlander &amp; Explorer 8 115" xfId="32870"/>
    <cellStyle name="Comma [0] TBD-_Equip Adj Vs Highlander &amp; Explorer 8 115" xfId="32871"/>
    <cellStyle name="Comma [0] TBD_Equip Adj Vs Highlander &amp; Explorer 8 116" xfId="32872"/>
    <cellStyle name="Comma [0] TBD-_Equip Adj Vs Highlander &amp; Explorer 8 116" xfId="32873"/>
    <cellStyle name="Comma [0] TBD_Equip Adj Vs Highlander &amp; Explorer 8 117" xfId="32874"/>
    <cellStyle name="Comma [0] TBD-_Equip Adj Vs Highlander &amp; Explorer 8 117" xfId="32875"/>
    <cellStyle name="Comma [0] TBD_Equip Adj Vs Highlander &amp; Explorer 8 118" xfId="32876"/>
    <cellStyle name="Comma [0] TBD-_Equip Adj Vs Highlander &amp; Explorer 8 118" xfId="32877"/>
    <cellStyle name="Comma [0] TBD_Equip Adj Vs Highlander &amp; Explorer 8 119" xfId="32878"/>
    <cellStyle name="Comma [0] TBD-_Equip Adj Vs Highlander &amp; Explorer 8 119" xfId="32879"/>
    <cellStyle name="Comma [0] TBD_Equip Adj Vs Highlander &amp; Explorer 8 12" xfId="32880"/>
    <cellStyle name="Comma [0] TBD-_Equip Adj Vs Highlander &amp; Explorer 8 12" xfId="32881"/>
    <cellStyle name="Comma [0] TBD_Equip Adj Vs Highlander &amp; Explorer 8 120" xfId="32882"/>
    <cellStyle name="Comma [0] TBD-_Equip Adj Vs Highlander &amp; Explorer 8 120" xfId="32883"/>
    <cellStyle name="Comma [0] TBD_Equip Adj Vs Highlander &amp; Explorer 8 121" xfId="32884"/>
    <cellStyle name="Comma [0] TBD-_Equip Adj Vs Highlander &amp; Explorer 8 121" xfId="32885"/>
    <cellStyle name="Comma [0] TBD_Equip Adj Vs Highlander &amp; Explorer 8 122" xfId="32886"/>
    <cellStyle name="Comma [0] TBD-_Equip Adj Vs Highlander &amp; Explorer 8 122" xfId="32887"/>
    <cellStyle name="Comma [0] TBD_Equip Adj Vs Highlander &amp; Explorer 8 123" xfId="32888"/>
    <cellStyle name="Comma [0] TBD-_Equip Adj Vs Highlander &amp; Explorer 8 123" xfId="32889"/>
    <cellStyle name="Comma [0] TBD_Equip Adj Vs Highlander &amp; Explorer 8 124" xfId="32890"/>
    <cellStyle name="Comma [0] TBD-_Equip Adj Vs Highlander &amp; Explorer 8 124" xfId="32891"/>
    <cellStyle name="Comma [0] TBD_Equip Adj Vs Highlander &amp; Explorer 8 125" xfId="32892"/>
    <cellStyle name="Comma [0] TBD-_Equip Adj Vs Highlander &amp; Explorer 8 125" xfId="32893"/>
    <cellStyle name="Comma [0] TBD_Equip Adj Vs Highlander &amp; Explorer 8 126" xfId="32894"/>
    <cellStyle name="Comma [0] TBD-_Equip Adj Vs Highlander &amp; Explorer 8 126" xfId="32895"/>
    <cellStyle name="Comma [0] TBD_Equip Adj Vs Highlander &amp; Explorer 8 127" xfId="32896"/>
    <cellStyle name="Comma [0] TBD-_Equip Adj Vs Highlander &amp; Explorer 8 127" xfId="32897"/>
    <cellStyle name="Comma [0] TBD_Equip Adj Vs Highlander &amp; Explorer 8 128" xfId="32898"/>
    <cellStyle name="Comma [0] TBD-_Equip Adj Vs Highlander &amp; Explorer 8 128" xfId="32899"/>
    <cellStyle name="Comma [0] TBD_Equip Adj Vs Highlander &amp; Explorer 8 129" xfId="32900"/>
    <cellStyle name="Comma [0] TBD-_Equip Adj Vs Highlander &amp; Explorer 8 129" xfId="32901"/>
    <cellStyle name="Comma [0] TBD_Equip Adj Vs Highlander &amp; Explorer 8 13" xfId="32902"/>
    <cellStyle name="Comma [0] TBD-_Equip Adj Vs Highlander &amp; Explorer 8 13" xfId="32903"/>
    <cellStyle name="Comma [0] TBD_Equip Adj Vs Highlander &amp; Explorer 8 130" xfId="32904"/>
    <cellStyle name="Comma [0] TBD-_Equip Adj Vs Highlander &amp; Explorer 8 130" xfId="32905"/>
    <cellStyle name="Comma [0] TBD_Equip Adj Vs Highlander &amp; Explorer 8 131" xfId="32906"/>
    <cellStyle name="Comma [0] TBD-_Equip Adj Vs Highlander &amp; Explorer 8 131" xfId="32907"/>
    <cellStyle name="Comma [0] TBD_Equip Adj Vs Highlander &amp; Explorer 8 132" xfId="32908"/>
    <cellStyle name="Comma [0] TBD-_Equip Adj Vs Highlander &amp; Explorer 8 132" xfId="32909"/>
    <cellStyle name="Comma [0] TBD_Equip Adj Vs Highlander &amp; Explorer 8 133" xfId="32910"/>
    <cellStyle name="Comma [0] TBD-_Equip Adj Vs Highlander &amp; Explorer 8 133" xfId="32911"/>
    <cellStyle name="Comma [0] TBD_Equip Adj Vs Highlander &amp; Explorer 8 134" xfId="32912"/>
    <cellStyle name="Comma [0] TBD-_Equip Adj Vs Highlander &amp; Explorer 8 134" xfId="32913"/>
    <cellStyle name="Comma [0] TBD_Equip Adj Vs Highlander &amp; Explorer 8 135" xfId="32914"/>
    <cellStyle name="Comma [0] TBD-_Equip Adj Vs Highlander &amp; Explorer 8 135" xfId="32915"/>
    <cellStyle name="Comma [0] TBD_Equip Adj Vs Highlander &amp; Explorer 8 136" xfId="32916"/>
    <cellStyle name="Comma [0] TBD-_Equip Adj Vs Highlander &amp; Explorer 8 136" xfId="32917"/>
    <cellStyle name="Comma [0] TBD_Equip Adj Vs Highlander &amp; Explorer 8 137" xfId="32918"/>
    <cellStyle name="Comma [0] TBD-_Equip Adj Vs Highlander &amp; Explorer 8 137" xfId="32919"/>
    <cellStyle name="Comma [0] TBD_Equip Adj Vs Highlander &amp; Explorer 8 138" xfId="32920"/>
    <cellStyle name="Comma [0] TBD-_Equip Adj Vs Highlander &amp; Explorer 8 138" xfId="32921"/>
    <cellStyle name="Comma [0] TBD_Equip Adj Vs Highlander &amp; Explorer 8 139" xfId="32922"/>
    <cellStyle name="Comma [0] TBD-_Equip Adj Vs Highlander &amp; Explorer 8 139" xfId="32923"/>
    <cellStyle name="Comma [0] TBD_Equip Adj Vs Highlander &amp; Explorer 8 14" xfId="32924"/>
    <cellStyle name="Comma [0] TBD-_Equip Adj Vs Highlander &amp; Explorer 8 14" xfId="32925"/>
    <cellStyle name="Comma [0] TBD_Equip Adj Vs Highlander &amp; Explorer 8 140" xfId="32926"/>
    <cellStyle name="Comma [0] TBD-_Equip Adj Vs Highlander &amp; Explorer 8 140" xfId="32927"/>
    <cellStyle name="Comma [0] TBD_Equip Adj Vs Highlander &amp; Explorer 8 141" xfId="32928"/>
    <cellStyle name="Comma [0] TBD-_Equip Adj Vs Highlander &amp; Explorer 8 141" xfId="32929"/>
    <cellStyle name="Comma [0] TBD_Equip Adj Vs Highlander &amp; Explorer 8 142" xfId="32930"/>
    <cellStyle name="Comma [0] TBD-_Equip Adj Vs Highlander &amp; Explorer 8 142" xfId="32931"/>
    <cellStyle name="Comma [0] TBD_Equip Adj Vs Highlander &amp; Explorer 8 143" xfId="32932"/>
    <cellStyle name="Comma [0] TBD-_Equip Adj Vs Highlander &amp; Explorer 8 143" xfId="32933"/>
    <cellStyle name="Comma [0] TBD_Equip Adj Vs Highlander &amp; Explorer 8 144" xfId="32934"/>
    <cellStyle name="Comma [0] TBD-_Equip Adj Vs Highlander &amp; Explorer 8 144" xfId="32935"/>
    <cellStyle name="Comma [0] TBD_Equip Adj Vs Highlander &amp; Explorer 8 145" xfId="32936"/>
    <cellStyle name="Comma [0] TBD-_Equip Adj Vs Highlander &amp; Explorer 8 145" xfId="32937"/>
    <cellStyle name="Comma [0] TBD_Equip Adj Vs Highlander &amp; Explorer 8 146" xfId="32938"/>
    <cellStyle name="Comma [0] TBD-_Equip Adj Vs Highlander &amp; Explorer 8 146" xfId="32939"/>
    <cellStyle name="Comma [0] TBD_Equip Adj Vs Highlander &amp; Explorer 8 147" xfId="32940"/>
    <cellStyle name="Comma [0] TBD-_Equip Adj Vs Highlander &amp; Explorer 8 147" xfId="32941"/>
    <cellStyle name="Comma [0] TBD_Equip Adj Vs Highlander &amp; Explorer 8 148" xfId="32942"/>
    <cellStyle name="Comma [0] TBD-_Equip Adj Vs Highlander &amp; Explorer 8 148" xfId="32943"/>
    <cellStyle name="Comma [0] TBD_Equip Adj Vs Highlander &amp; Explorer 8 149" xfId="32944"/>
    <cellStyle name="Comma [0] TBD-_Equip Adj Vs Highlander &amp; Explorer 8 149" xfId="32945"/>
    <cellStyle name="Comma [0] TBD_Equip Adj Vs Highlander &amp; Explorer 8 15" xfId="32946"/>
    <cellStyle name="Comma [0] TBD-_Equip Adj Vs Highlander &amp; Explorer 8 15" xfId="32947"/>
    <cellStyle name="Comma [0] TBD_Equip Adj Vs Highlander &amp; Explorer 8 150" xfId="32948"/>
    <cellStyle name="Comma [0] TBD-_Equip Adj Vs Highlander &amp; Explorer 8 150" xfId="32949"/>
    <cellStyle name="Comma [0] TBD_Equip Adj Vs Highlander &amp; Explorer 8 151" xfId="32950"/>
    <cellStyle name="Comma [0] TBD-_Equip Adj Vs Highlander &amp; Explorer 8 151" xfId="32951"/>
    <cellStyle name="Comma [0] TBD_Equip Adj Vs Highlander &amp; Explorer 8 152" xfId="32952"/>
    <cellStyle name="Comma [0] TBD-_Equip Adj Vs Highlander &amp; Explorer 8 152" xfId="32953"/>
    <cellStyle name="Comma [0] TBD_Equip Adj Vs Highlander &amp; Explorer 8 153" xfId="32954"/>
    <cellStyle name="Comma [0] TBD-_Equip Adj Vs Highlander &amp; Explorer 8 153" xfId="32955"/>
    <cellStyle name="Comma [0] TBD_Equip Adj Vs Highlander &amp; Explorer 8 154" xfId="32956"/>
    <cellStyle name="Comma [0] TBD-_Equip Adj Vs Highlander &amp; Explorer 8 154" xfId="32957"/>
    <cellStyle name="Comma [0] TBD_Equip Adj Vs Highlander &amp; Explorer 8 16" xfId="32958"/>
    <cellStyle name="Comma [0] TBD-_Equip Adj Vs Highlander &amp; Explorer 8 16" xfId="32959"/>
    <cellStyle name="Comma [0] TBD_Equip Adj Vs Highlander &amp; Explorer 8 17" xfId="32960"/>
    <cellStyle name="Comma [0] TBD-_Equip Adj Vs Highlander &amp; Explorer 8 17" xfId="32961"/>
    <cellStyle name="Comma [0] TBD_Equip Adj Vs Highlander &amp; Explorer 8 18" xfId="32962"/>
    <cellStyle name="Comma [0] TBD-_Equip Adj Vs Highlander &amp; Explorer 8 18" xfId="32963"/>
    <cellStyle name="Comma [0] TBD_Equip Adj Vs Highlander &amp; Explorer 8 19" xfId="32964"/>
    <cellStyle name="Comma [0] TBD-_Equip Adj Vs Highlander &amp; Explorer 8 19" xfId="32965"/>
    <cellStyle name="Comma [0] TBD_Equip Adj Vs Highlander &amp; Explorer 8 2" xfId="32966"/>
    <cellStyle name="Comma [0] TBD-_Equip Adj Vs Highlander &amp; Explorer 8 2" xfId="32967"/>
    <cellStyle name="Comma [0] TBD_Equip Adj Vs Highlander &amp; Explorer 8 20" xfId="32968"/>
    <cellStyle name="Comma [0] TBD-_Equip Adj Vs Highlander &amp; Explorer 8 20" xfId="32969"/>
    <cellStyle name="Comma [0] TBD_Equip Adj Vs Highlander &amp; Explorer 8 21" xfId="32970"/>
    <cellStyle name="Comma [0] TBD-_Equip Adj Vs Highlander &amp; Explorer 8 21" xfId="32971"/>
    <cellStyle name="Comma [0] TBD_Equip Adj Vs Highlander &amp; Explorer 8 22" xfId="32972"/>
    <cellStyle name="Comma [0] TBD-_Equip Adj Vs Highlander &amp; Explorer 8 22" xfId="32973"/>
    <cellStyle name="Comma [0] TBD_Equip Adj Vs Highlander &amp; Explorer 8 23" xfId="32974"/>
    <cellStyle name="Comma [0] TBD-_Equip Adj Vs Highlander &amp; Explorer 8 23" xfId="32975"/>
    <cellStyle name="Comma [0] TBD_Equip Adj Vs Highlander &amp; Explorer 8 24" xfId="32976"/>
    <cellStyle name="Comma [0] TBD-_Equip Adj Vs Highlander &amp; Explorer 8 24" xfId="32977"/>
    <cellStyle name="Comma [0] TBD_Equip Adj Vs Highlander &amp; Explorer 8 25" xfId="32978"/>
    <cellStyle name="Comma [0] TBD-_Equip Adj Vs Highlander &amp; Explorer 8 25" xfId="32979"/>
    <cellStyle name="Comma [0] TBD_Equip Adj Vs Highlander &amp; Explorer 8 26" xfId="32980"/>
    <cellStyle name="Comma [0] TBD-_Equip Adj Vs Highlander &amp; Explorer 8 26" xfId="32981"/>
    <cellStyle name="Comma [0] TBD_Equip Adj Vs Highlander &amp; Explorer 8 27" xfId="32982"/>
    <cellStyle name="Comma [0] TBD-_Equip Adj Vs Highlander &amp; Explorer 8 27" xfId="32983"/>
    <cellStyle name="Comma [0] TBD_Equip Adj Vs Highlander &amp; Explorer 8 28" xfId="32984"/>
    <cellStyle name="Comma [0] TBD-_Equip Adj Vs Highlander &amp; Explorer 8 28" xfId="32985"/>
    <cellStyle name="Comma [0] TBD_Equip Adj Vs Highlander &amp; Explorer 8 29" xfId="32986"/>
    <cellStyle name="Comma [0] TBD-_Equip Adj Vs Highlander &amp; Explorer 8 29" xfId="32987"/>
    <cellStyle name="Comma [0] TBD_Equip Adj Vs Highlander &amp; Explorer 8 3" xfId="32988"/>
    <cellStyle name="Comma [0] TBD-_Equip Adj Vs Highlander &amp; Explorer 8 3" xfId="32989"/>
    <cellStyle name="Comma [0] TBD_Equip Adj Vs Highlander &amp; Explorer 8 30" xfId="32990"/>
    <cellStyle name="Comma [0] TBD-_Equip Adj Vs Highlander &amp; Explorer 8 30" xfId="32991"/>
    <cellStyle name="Comma [0] TBD_Equip Adj Vs Highlander &amp; Explorer 8 31" xfId="32992"/>
    <cellStyle name="Comma [0] TBD-_Equip Adj Vs Highlander &amp; Explorer 8 31" xfId="32993"/>
    <cellStyle name="Comma [0] TBD_Equip Adj Vs Highlander &amp; Explorer 8 32" xfId="32994"/>
    <cellStyle name="Comma [0] TBD-_Equip Adj Vs Highlander &amp; Explorer 8 32" xfId="32995"/>
    <cellStyle name="Comma [0] TBD_Equip Adj Vs Highlander &amp; Explorer 8 33" xfId="32996"/>
    <cellStyle name="Comma [0] TBD-_Equip Adj Vs Highlander &amp; Explorer 8 33" xfId="32997"/>
    <cellStyle name="Comma [0] TBD_Equip Adj Vs Highlander &amp; Explorer 8 34" xfId="32998"/>
    <cellStyle name="Comma [0] TBD-_Equip Adj Vs Highlander &amp; Explorer 8 34" xfId="32999"/>
    <cellStyle name="Comma [0] TBD_Equip Adj Vs Highlander &amp; Explorer 8 35" xfId="33000"/>
    <cellStyle name="Comma [0] TBD-_Equip Adj Vs Highlander &amp; Explorer 8 35" xfId="33001"/>
    <cellStyle name="Comma [0] TBD_Equip Adj Vs Highlander &amp; Explorer 8 36" xfId="33002"/>
    <cellStyle name="Comma [0] TBD-_Equip Adj Vs Highlander &amp; Explorer 8 36" xfId="33003"/>
    <cellStyle name="Comma [0] TBD_Equip Adj Vs Highlander &amp; Explorer 8 37" xfId="33004"/>
    <cellStyle name="Comma [0] TBD-_Equip Adj Vs Highlander &amp; Explorer 8 37" xfId="33005"/>
    <cellStyle name="Comma [0] TBD_Equip Adj Vs Highlander &amp; Explorer 8 38" xfId="33006"/>
    <cellStyle name="Comma [0] TBD-_Equip Adj Vs Highlander &amp; Explorer 8 38" xfId="33007"/>
    <cellStyle name="Comma [0] TBD_Equip Adj Vs Highlander &amp; Explorer 8 39" xfId="33008"/>
    <cellStyle name="Comma [0] TBD-_Equip Adj Vs Highlander &amp; Explorer 8 39" xfId="33009"/>
    <cellStyle name="Comma [0] TBD_Equip Adj Vs Highlander &amp; Explorer 8 4" xfId="33010"/>
    <cellStyle name="Comma [0] TBD-_Equip Adj Vs Highlander &amp; Explorer 8 4" xfId="33011"/>
    <cellStyle name="Comma [0] TBD_Equip Adj Vs Highlander &amp; Explorer 8 40" xfId="33012"/>
    <cellStyle name="Comma [0] TBD-_Equip Adj Vs Highlander &amp; Explorer 8 40" xfId="33013"/>
    <cellStyle name="Comma [0] TBD_Equip Adj Vs Highlander &amp; Explorer 8 41" xfId="33014"/>
    <cellStyle name="Comma [0] TBD-_Equip Adj Vs Highlander &amp; Explorer 8 41" xfId="33015"/>
    <cellStyle name="Comma [0] TBD_Equip Adj Vs Highlander &amp; Explorer 8 42" xfId="33016"/>
    <cellStyle name="Comma [0] TBD-_Equip Adj Vs Highlander &amp; Explorer 8 42" xfId="33017"/>
    <cellStyle name="Comma [0] TBD_Equip Adj Vs Highlander &amp; Explorer 8 43" xfId="33018"/>
    <cellStyle name="Comma [0] TBD-_Equip Adj Vs Highlander &amp; Explorer 8 43" xfId="33019"/>
    <cellStyle name="Comma [0] TBD_Equip Adj Vs Highlander &amp; Explorer 8 44" xfId="33020"/>
    <cellStyle name="Comma [0] TBD-_Equip Adj Vs Highlander &amp; Explorer 8 44" xfId="33021"/>
    <cellStyle name="Comma [0] TBD_Equip Adj Vs Highlander &amp; Explorer 8 45" xfId="33022"/>
    <cellStyle name="Comma [0] TBD-_Equip Adj Vs Highlander &amp; Explorer 8 45" xfId="33023"/>
    <cellStyle name="Comma [0] TBD_Equip Adj Vs Highlander &amp; Explorer 8 46" xfId="33024"/>
    <cellStyle name="Comma [0] TBD-_Equip Adj Vs Highlander &amp; Explorer 8 46" xfId="33025"/>
    <cellStyle name="Comma [0] TBD_Equip Adj Vs Highlander &amp; Explorer 8 47" xfId="33026"/>
    <cellStyle name="Comma [0] TBD-_Equip Adj Vs Highlander &amp; Explorer 8 47" xfId="33027"/>
    <cellStyle name="Comma [0] TBD_Equip Adj Vs Highlander &amp; Explorer 8 48" xfId="33028"/>
    <cellStyle name="Comma [0] TBD-_Equip Adj Vs Highlander &amp; Explorer 8 48" xfId="33029"/>
    <cellStyle name="Comma [0] TBD_Equip Adj Vs Highlander &amp; Explorer 8 49" xfId="33030"/>
    <cellStyle name="Comma [0] TBD-_Equip Adj Vs Highlander &amp; Explorer 8 49" xfId="33031"/>
    <cellStyle name="Comma [0] TBD_Equip Adj Vs Highlander &amp; Explorer 8 5" xfId="33032"/>
    <cellStyle name="Comma [0] TBD-_Equip Adj Vs Highlander &amp; Explorer 8 5" xfId="33033"/>
    <cellStyle name="Comma [0] TBD_Equip Adj Vs Highlander &amp; Explorer 8 50" xfId="33034"/>
    <cellStyle name="Comma [0] TBD-_Equip Adj Vs Highlander &amp; Explorer 8 50" xfId="33035"/>
    <cellStyle name="Comma [0] TBD_Equip Adj Vs Highlander &amp; Explorer 8 51" xfId="33036"/>
    <cellStyle name="Comma [0] TBD-_Equip Adj Vs Highlander &amp; Explorer 8 51" xfId="33037"/>
    <cellStyle name="Comma [0] TBD_Equip Adj Vs Highlander &amp; Explorer 8 52" xfId="33038"/>
    <cellStyle name="Comma [0] TBD-_Equip Adj Vs Highlander &amp; Explorer 8 52" xfId="33039"/>
    <cellStyle name="Comma [0] TBD_Equip Adj Vs Highlander &amp; Explorer 8 53" xfId="33040"/>
    <cellStyle name="Comma [0] TBD-_Equip Adj Vs Highlander &amp; Explorer 8 53" xfId="33041"/>
    <cellStyle name="Comma [0] TBD_Equip Adj Vs Highlander &amp; Explorer 8 54" xfId="33042"/>
    <cellStyle name="Comma [0] TBD-_Equip Adj Vs Highlander &amp; Explorer 8 54" xfId="33043"/>
    <cellStyle name="Comma [0] TBD_Equip Adj Vs Highlander &amp; Explorer 8 55" xfId="33044"/>
    <cellStyle name="Comma [0] TBD-_Equip Adj Vs Highlander &amp; Explorer 8 55" xfId="33045"/>
    <cellStyle name="Comma [0] TBD_Equip Adj Vs Highlander &amp; Explorer 8 56" xfId="33046"/>
    <cellStyle name="Comma [0] TBD-_Equip Adj Vs Highlander &amp; Explorer 8 56" xfId="33047"/>
    <cellStyle name="Comma [0] TBD_Equip Adj Vs Highlander &amp; Explorer 8 57" xfId="33048"/>
    <cellStyle name="Comma [0] TBD-_Equip Adj Vs Highlander &amp; Explorer 8 57" xfId="33049"/>
    <cellStyle name="Comma [0] TBD_Equip Adj Vs Highlander &amp; Explorer 8 58" xfId="33050"/>
    <cellStyle name="Comma [0] TBD-_Equip Adj Vs Highlander &amp; Explorer 8 58" xfId="33051"/>
    <cellStyle name="Comma [0] TBD_Equip Adj Vs Highlander &amp; Explorer 8 59" xfId="33052"/>
    <cellStyle name="Comma [0] TBD-_Equip Adj Vs Highlander &amp; Explorer 8 59" xfId="33053"/>
    <cellStyle name="Comma [0] TBD_Equip Adj Vs Highlander &amp; Explorer 8 6" xfId="33054"/>
    <cellStyle name="Comma [0] TBD-_Equip Adj Vs Highlander &amp; Explorer 8 6" xfId="33055"/>
    <cellStyle name="Comma [0] TBD_Equip Adj Vs Highlander &amp; Explorer 8 60" xfId="33056"/>
    <cellStyle name="Comma [0] TBD-_Equip Adj Vs Highlander &amp; Explorer 8 60" xfId="33057"/>
    <cellStyle name="Comma [0] TBD_Equip Adj Vs Highlander &amp; Explorer 8 61" xfId="33058"/>
    <cellStyle name="Comma [0] TBD-_Equip Adj Vs Highlander &amp; Explorer 8 61" xfId="33059"/>
    <cellStyle name="Comma [0] TBD_Equip Adj Vs Highlander &amp; Explorer 8 62" xfId="33060"/>
    <cellStyle name="Comma [0] TBD-_Equip Adj Vs Highlander &amp; Explorer 8 62" xfId="33061"/>
    <cellStyle name="Comma [0] TBD_Equip Adj Vs Highlander &amp; Explorer 8 63" xfId="33062"/>
    <cellStyle name="Comma [0] TBD-_Equip Adj Vs Highlander &amp; Explorer 8 63" xfId="33063"/>
    <cellStyle name="Comma [0] TBD_Equip Adj Vs Highlander &amp; Explorer 8 64" xfId="33064"/>
    <cellStyle name="Comma [0] TBD-_Equip Adj Vs Highlander &amp; Explorer 8 64" xfId="33065"/>
    <cellStyle name="Comma [0] TBD_Equip Adj Vs Highlander &amp; Explorer 8 65" xfId="33066"/>
    <cellStyle name="Comma [0] TBD-_Equip Adj Vs Highlander &amp; Explorer 8 65" xfId="33067"/>
    <cellStyle name="Comma [0] TBD_Equip Adj Vs Highlander &amp; Explorer 8 66" xfId="33068"/>
    <cellStyle name="Comma [0] TBD-_Equip Adj Vs Highlander &amp; Explorer 8 66" xfId="33069"/>
    <cellStyle name="Comma [0] TBD_Equip Adj Vs Highlander &amp; Explorer 8 67" xfId="33070"/>
    <cellStyle name="Comma [0] TBD-_Equip Adj Vs Highlander &amp; Explorer 8 67" xfId="33071"/>
    <cellStyle name="Comma [0] TBD_Equip Adj Vs Highlander &amp; Explorer 8 68" xfId="33072"/>
    <cellStyle name="Comma [0] TBD-_Equip Adj Vs Highlander &amp; Explorer 8 68" xfId="33073"/>
    <cellStyle name="Comma [0] TBD_Equip Adj Vs Highlander &amp; Explorer 8 69" xfId="33074"/>
    <cellStyle name="Comma [0] TBD-_Equip Adj Vs Highlander &amp; Explorer 8 69" xfId="33075"/>
    <cellStyle name="Comma [0] TBD_Equip Adj Vs Highlander &amp; Explorer 8 7" xfId="33076"/>
    <cellStyle name="Comma [0] TBD-_Equip Adj Vs Highlander &amp; Explorer 8 7" xfId="33077"/>
    <cellStyle name="Comma [0] TBD_Equip Adj Vs Highlander &amp; Explorer 8 70" xfId="33078"/>
    <cellStyle name="Comma [0] TBD-_Equip Adj Vs Highlander &amp; Explorer 8 70" xfId="33079"/>
    <cellStyle name="Comma [0] TBD_Equip Adj Vs Highlander &amp; Explorer 8 71" xfId="33080"/>
    <cellStyle name="Comma [0] TBD-_Equip Adj Vs Highlander &amp; Explorer 8 71" xfId="33081"/>
    <cellStyle name="Comma [0] TBD_Equip Adj Vs Highlander &amp; Explorer 8 72" xfId="33082"/>
    <cellStyle name="Comma [0] TBD-_Equip Adj Vs Highlander &amp; Explorer 8 72" xfId="33083"/>
    <cellStyle name="Comma [0] TBD_Equip Adj Vs Highlander &amp; Explorer 8 73" xfId="33084"/>
    <cellStyle name="Comma [0] TBD-_Equip Adj Vs Highlander &amp; Explorer 8 73" xfId="33085"/>
    <cellStyle name="Comma [0] TBD_Equip Adj Vs Highlander &amp; Explorer 8 74" xfId="33086"/>
    <cellStyle name="Comma [0] TBD-_Equip Adj Vs Highlander &amp; Explorer 8 74" xfId="33087"/>
    <cellStyle name="Comma [0] TBD_Equip Adj Vs Highlander &amp; Explorer 8 75" xfId="33088"/>
    <cellStyle name="Comma [0] TBD-_Equip Adj Vs Highlander &amp; Explorer 8 75" xfId="33089"/>
    <cellStyle name="Comma [0] TBD_Equip Adj Vs Highlander &amp; Explorer 8 76" xfId="33090"/>
    <cellStyle name="Comma [0] TBD-_Equip Adj Vs Highlander &amp; Explorer 8 76" xfId="33091"/>
    <cellStyle name="Comma [0] TBD_Equip Adj Vs Highlander &amp; Explorer 8 77" xfId="33092"/>
    <cellStyle name="Comma [0] TBD-_Equip Adj Vs Highlander &amp; Explorer 8 77" xfId="33093"/>
    <cellStyle name="Comma [0] TBD_Equip Adj Vs Highlander &amp; Explorer 8 78" xfId="33094"/>
    <cellStyle name="Comma [0] TBD-_Equip Adj Vs Highlander &amp; Explorer 8 78" xfId="33095"/>
    <cellStyle name="Comma [0] TBD_Equip Adj Vs Highlander &amp; Explorer 8 79" xfId="33096"/>
    <cellStyle name="Comma [0] TBD-_Equip Adj Vs Highlander &amp; Explorer 8 79" xfId="33097"/>
    <cellStyle name="Comma [0] TBD_Equip Adj Vs Highlander &amp; Explorer 8 8" xfId="33098"/>
    <cellStyle name="Comma [0] TBD-_Equip Adj Vs Highlander &amp; Explorer 8 8" xfId="33099"/>
    <cellStyle name="Comma [0] TBD_Equip Adj Vs Highlander &amp; Explorer 8 80" xfId="33100"/>
    <cellStyle name="Comma [0] TBD-_Equip Adj Vs Highlander &amp; Explorer 8 80" xfId="33101"/>
    <cellStyle name="Comma [0] TBD_Equip Adj Vs Highlander &amp; Explorer 8 81" xfId="33102"/>
    <cellStyle name="Comma [0] TBD-_Equip Adj Vs Highlander &amp; Explorer 8 81" xfId="33103"/>
    <cellStyle name="Comma [0] TBD_Equip Adj Vs Highlander &amp; Explorer 8 82" xfId="33104"/>
    <cellStyle name="Comma [0] TBD-_Equip Adj Vs Highlander &amp; Explorer 8 82" xfId="33105"/>
    <cellStyle name="Comma [0] TBD_Equip Adj Vs Highlander &amp; Explorer 8 83" xfId="33106"/>
    <cellStyle name="Comma [0] TBD-_Equip Adj Vs Highlander &amp; Explorer 8 83" xfId="33107"/>
    <cellStyle name="Comma [0] TBD_Equip Adj Vs Highlander &amp; Explorer 8 84" xfId="33108"/>
    <cellStyle name="Comma [0] TBD-_Equip Adj Vs Highlander &amp; Explorer 8 84" xfId="33109"/>
    <cellStyle name="Comma [0] TBD_Equip Adj Vs Highlander &amp; Explorer 8 85" xfId="33110"/>
    <cellStyle name="Comma [0] TBD-_Equip Adj Vs Highlander &amp; Explorer 8 85" xfId="33111"/>
    <cellStyle name="Comma [0] TBD_Equip Adj Vs Highlander &amp; Explorer 8 86" xfId="33112"/>
    <cellStyle name="Comma [0] TBD-_Equip Adj Vs Highlander &amp; Explorer 8 86" xfId="33113"/>
    <cellStyle name="Comma [0] TBD_Equip Adj Vs Highlander &amp; Explorer 8 87" xfId="33114"/>
    <cellStyle name="Comma [0] TBD-_Equip Adj Vs Highlander &amp; Explorer 8 87" xfId="33115"/>
    <cellStyle name="Comma [0] TBD_Equip Adj Vs Highlander &amp; Explorer 8 88" xfId="33116"/>
    <cellStyle name="Comma [0] TBD-_Equip Adj Vs Highlander &amp; Explorer 8 88" xfId="33117"/>
    <cellStyle name="Comma [0] TBD_Equip Adj Vs Highlander &amp; Explorer 8 89" xfId="33118"/>
    <cellStyle name="Comma [0] TBD-_Equip Adj Vs Highlander &amp; Explorer 8 89" xfId="33119"/>
    <cellStyle name="Comma [0] TBD_Equip Adj Vs Highlander &amp; Explorer 8 9" xfId="33120"/>
    <cellStyle name="Comma [0] TBD-_Equip Adj Vs Highlander &amp; Explorer 8 9" xfId="33121"/>
    <cellStyle name="Comma [0] TBD_Equip Adj Vs Highlander &amp; Explorer 8 90" xfId="33122"/>
    <cellStyle name="Comma [0] TBD-_Equip Adj Vs Highlander &amp; Explorer 8 90" xfId="33123"/>
    <cellStyle name="Comma [0] TBD_Equip Adj Vs Highlander &amp; Explorer 8 91" xfId="33124"/>
    <cellStyle name="Comma [0] TBD-_Equip Adj Vs Highlander &amp; Explorer 8 91" xfId="33125"/>
    <cellStyle name="Comma [0] TBD_Equip Adj Vs Highlander &amp; Explorer 8 92" xfId="33126"/>
    <cellStyle name="Comma [0] TBD-_Equip Adj Vs Highlander &amp; Explorer 8 92" xfId="33127"/>
    <cellStyle name="Comma [0] TBD_Equip Adj Vs Highlander &amp; Explorer 8 93" xfId="33128"/>
    <cellStyle name="Comma [0] TBD-_Equip Adj Vs Highlander &amp; Explorer 8 93" xfId="33129"/>
    <cellStyle name="Comma [0] TBD_Equip Adj Vs Highlander &amp; Explorer 8 94" xfId="33130"/>
    <cellStyle name="Comma [0] TBD-_Equip Adj Vs Highlander &amp; Explorer 8 94" xfId="33131"/>
    <cellStyle name="Comma [0] TBD_Equip Adj Vs Highlander &amp; Explorer 8 95" xfId="33132"/>
    <cellStyle name="Comma [0] TBD-_Equip Adj Vs Highlander &amp; Explorer 8 95" xfId="33133"/>
    <cellStyle name="Comma [0] TBD_Equip Adj Vs Highlander &amp; Explorer 8 96" xfId="33134"/>
    <cellStyle name="Comma [0] TBD-_Equip Adj Vs Highlander &amp; Explorer 8 96" xfId="33135"/>
    <cellStyle name="Comma [0] TBD_Equip Adj Vs Highlander &amp; Explorer 8 97" xfId="33136"/>
    <cellStyle name="Comma [0] TBD-_Equip Adj Vs Highlander &amp; Explorer 8 97" xfId="33137"/>
    <cellStyle name="Comma [0] TBD_Equip Adj Vs Highlander &amp; Explorer 8 98" xfId="33138"/>
    <cellStyle name="Comma [0] TBD-_Equip Adj Vs Highlander &amp; Explorer 8 98" xfId="33139"/>
    <cellStyle name="Comma [0] TBD_Equip Adj Vs Highlander &amp; Explorer 8 99" xfId="33140"/>
    <cellStyle name="Comma [0] TBD-_Equip Adj Vs Highlander &amp; Explorer 8 99" xfId="33141"/>
    <cellStyle name="Comma [0] TBD_Equip Adj Vs Highlander &amp; Explorer 9" xfId="33142"/>
    <cellStyle name="Comma [0] TBD-_Equip Adj Vs Highlander &amp; Explorer 9" xfId="33143"/>
    <cellStyle name="Comma [0] TBD_Equip Adj Vs Highlander &amp; Explorer 9 10" xfId="33144"/>
    <cellStyle name="Comma [0] TBD-_Equip Adj Vs Highlander &amp; Explorer 9 10" xfId="33145"/>
    <cellStyle name="Comma [0] TBD_Equip Adj Vs Highlander &amp; Explorer 9 100" xfId="33146"/>
    <cellStyle name="Comma [0] TBD-_Equip Adj Vs Highlander &amp; Explorer 9 100" xfId="33147"/>
    <cellStyle name="Comma [0] TBD_Equip Adj Vs Highlander &amp; Explorer 9 101" xfId="33148"/>
    <cellStyle name="Comma [0] TBD-_Equip Adj Vs Highlander &amp; Explorer 9 101" xfId="33149"/>
    <cellStyle name="Comma [0] TBD_Equip Adj Vs Highlander &amp; Explorer 9 102" xfId="33150"/>
    <cellStyle name="Comma [0] TBD-_Equip Adj Vs Highlander &amp; Explorer 9 102" xfId="33151"/>
    <cellStyle name="Comma [0] TBD_Equip Adj Vs Highlander &amp; Explorer 9 103" xfId="33152"/>
    <cellStyle name="Comma [0] TBD-_Equip Adj Vs Highlander &amp; Explorer 9 103" xfId="33153"/>
    <cellStyle name="Comma [0] TBD_Equip Adj Vs Highlander &amp; Explorer 9 104" xfId="33154"/>
    <cellStyle name="Comma [0] TBD-_Equip Adj Vs Highlander &amp; Explorer 9 104" xfId="33155"/>
    <cellStyle name="Comma [0] TBD_Equip Adj Vs Highlander &amp; Explorer 9 105" xfId="33156"/>
    <cellStyle name="Comma [0] TBD-_Equip Adj Vs Highlander &amp; Explorer 9 105" xfId="33157"/>
    <cellStyle name="Comma [0] TBD_Equip Adj Vs Highlander &amp; Explorer 9 106" xfId="33158"/>
    <cellStyle name="Comma [0] TBD-_Equip Adj Vs Highlander &amp; Explorer 9 106" xfId="33159"/>
    <cellStyle name="Comma [0] TBD_Equip Adj Vs Highlander &amp; Explorer 9 107" xfId="33160"/>
    <cellStyle name="Comma [0] TBD-_Equip Adj Vs Highlander &amp; Explorer 9 107" xfId="33161"/>
    <cellStyle name="Comma [0] TBD_Equip Adj Vs Highlander &amp; Explorer 9 108" xfId="33162"/>
    <cellStyle name="Comma [0] TBD-_Equip Adj Vs Highlander &amp; Explorer 9 108" xfId="33163"/>
    <cellStyle name="Comma [0] TBD_Equip Adj Vs Highlander &amp; Explorer 9 109" xfId="33164"/>
    <cellStyle name="Comma [0] TBD-_Equip Adj Vs Highlander &amp; Explorer 9 109" xfId="33165"/>
    <cellStyle name="Comma [0] TBD_Equip Adj Vs Highlander &amp; Explorer 9 11" xfId="33166"/>
    <cellStyle name="Comma [0] TBD-_Equip Adj Vs Highlander &amp; Explorer 9 11" xfId="33167"/>
    <cellStyle name="Comma [0] TBD_Equip Adj Vs Highlander &amp; Explorer 9 110" xfId="33168"/>
    <cellStyle name="Comma [0] TBD-_Equip Adj Vs Highlander &amp; Explorer 9 110" xfId="33169"/>
    <cellStyle name="Comma [0] TBD_Equip Adj Vs Highlander &amp; Explorer 9 111" xfId="33170"/>
    <cellStyle name="Comma [0] TBD-_Equip Adj Vs Highlander &amp; Explorer 9 111" xfId="33171"/>
    <cellStyle name="Comma [0] TBD_Equip Adj Vs Highlander &amp; Explorer 9 112" xfId="33172"/>
    <cellStyle name="Comma [0] TBD-_Equip Adj Vs Highlander &amp; Explorer 9 112" xfId="33173"/>
    <cellStyle name="Comma [0] TBD_Equip Adj Vs Highlander &amp; Explorer 9 113" xfId="33174"/>
    <cellStyle name="Comma [0] TBD-_Equip Adj Vs Highlander &amp; Explorer 9 113" xfId="33175"/>
    <cellStyle name="Comma [0] TBD_Equip Adj Vs Highlander &amp; Explorer 9 114" xfId="33176"/>
    <cellStyle name="Comma [0] TBD-_Equip Adj Vs Highlander &amp; Explorer 9 114" xfId="33177"/>
    <cellStyle name="Comma [0] TBD_Equip Adj Vs Highlander &amp; Explorer 9 115" xfId="33178"/>
    <cellStyle name="Comma [0] TBD-_Equip Adj Vs Highlander &amp; Explorer 9 115" xfId="33179"/>
    <cellStyle name="Comma [0] TBD_Equip Adj Vs Highlander &amp; Explorer 9 116" xfId="33180"/>
    <cellStyle name="Comma [0] TBD-_Equip Adj Vs Highlander &amp; Explorer 9 116" xfId="33181"/>
    <cellStyle name="Comma [0] TBD_Equip Adj Vs Highlander &amp; Explorer 9 117" xfId="33182"/>
    <cellStyle name="Comma [0] TBD-_Equip Adj Vs Highlander &amp; Explorer 9 117" xfId="33183"/>
    <cellStyle name="Comma [0] TBD_Equip Adj Vs Highlander &amp; Explorer 9 118" xfId="33184"/>
    <cellStyle name="Comma [0] TBD-_Equip Adj Vs Highlander &amp; Explorer 9 118" xfId="33185"/>
    <cellStyle name="Comma [0] TBD_Equip Adj Vs Highlander &amp; Explorer 9 119" xfId="33186"/>
    <cellStyle name="Comma [0] TBD-_Equip Adj Vs Highlander &amp; Explorer 9 119" xfId="33187"/>
    <cellStyle name="Comma [0] TBD_Equip Adj Vs Highlander &amp; Explorer 9 12" xfId="33188"/>
    <cellStyle name="Comma [0] TBD-_Equip Adj Vs Highlander &amp; Explorer 9 12" xfId="33189"/>
    <cellStyle name="Comma [0] TBD_Equip Adj Vs Highlander &amp; Explorer 9 120" xfId="33190"/>
    <cellStyle name="Comma [0] TBD-_Equip Adj Vs Highlander &amp; Explorer 9 120" xfId="33191"/>
    <cellStyle name="Comma [0] TBD_Equip Adj Vs Highlander &amp; Explorer 9 121" xfId="33192"/>
    <cellStyle name="Comma [0] TBD-_Equip Adj Vs Highlander &amp; Explorer 9 121" xfId="33193"/>
    <cellStyle name="Comma [0] TBD_Equip Adj Vs Highlander &amp; Explorer 9 122" xfId="33194"/>
    <cellStyle name="Comma [0] TBD-_Equip Adj Vs Highlander &amp; Explorer 9 122" xfId="33195"/>
    <cellStyle name="Comma [0] TBD_Equip Adj Vs Highlander &amp; Explorer 9 123" xfId="33196"/>
    <cellStyle name="Comma [0] TBD-_Equip Adj Vs Highlander &amp; Explorer 9 123" xfId="33197"/>
    <cellStyle name="Comma [0] TBD_Equip Adj Vs Highlander &amp; Explorer 9 124" xfId="33198"/>
    <cellStyle name="Comma [0] TBD-_Equip Adj Vs Highlander &amp; Explorer 9 124" xfId="33199"/>
    <cellStyle name="Comma [0] TBD_Equip Adj Vs Highlander &amp; Explorer 9 125" xfId="33200"/>
    <cellStyle name="Comma [0] TBD-_Equip Adj Vs Highlander &amp; Explorer 9 125" xfId="33201"/>
    <cellStyle name="Comma [0] TBD_Equip Adj Vs Highlander &amp; Explorer 9 126" xfId="33202"/>
    <cellStyle name="Comma [0] TBD-_Equip Adj Vs Highlander &amp; Explorer 9 126" xfId="33203"/>
    <cellStyle name="Comma [0] TBD_Equip Adj Vs Highlander &amp; Explorer 9 127" xfId="33204"/>
    <cellStyle name="Comma [0] TBD-_Equip Adj Vs Highlander &amp; Explorer 9 127" xfId="33205"/>
    <cellStyle name="Comma [0] TBD_Equip Adj Vs Highlander &amp; Explorer 9 128" xfId="33206"/>
    <cellStyle name="Comma [0] TBD-_Equip Adj Vs Highlander &amp; Explorer 9 128" xfId="33207"/>
    <cellStyle name="Comma [0] TBD_Equip Adj Vs Highlander &amp; Explorer 9 129" xfId="33208"/>
    <cellStyle name="Comma [0] TBD-_Equip Adj Vs Highlander &amp; Explorer 9 129" xfId="33209"/>
    <cellStyle name="Comma [0] TBD_Equip Adj Vs Highlander &amp; Explorer 9 13" xfId="33210"/>
    <cellStyle name="Comma [0] TBD-_Equip Adj Vs Highlander &amp; Explorer 9 13" xfId="33211"/>
    <cellStyle name="Comma [0] TBD_Equip Adj Vs Highlander &amp; Explorer 9 130" xfId="33212"/>
    <cellStyle name="Comma [0] TBD-_Equip Adj Vs Highlander &amp; Explorer 9 130" xfId="33213"/>
    <cellStyle name="Comma [0] TBD_Equip Adj Vs Highlander &amp; Explorer 9 131" xfId="33214"/>
    <cellStyle name="Comma [0] TBD-_Equip Adj Vs Highlander &amp; Explorer 9 131" xfId="33215"/>
    <cellStyle name="Comma [0] TBD_Equip Adj Vs Highlander &amp; Explorer 9 132" xfId="33216"/>
    <cellStyle name="Comma [0] TBD-_Equip Adj Vs Highlander &amp; Explorer 9 132" xfId="33217"/>
    <cellStyle name="Comma [0] TBD_Equip Adj Vs Highlander &amp; Explorer 9 133" xfId="33218"/>
    <cellStyle name="Comma [0] TBD-_Equip Adj Vs Highlander &amp; Explorer 9 133" xfId="33219"/>
    <cellStyle name="Comma [0] TBD_Equip Adj Vs Highlander &amp; Explorer 9 134" xfId="33220"/>
    <cellStyle name="Comma [0] TBD-_Equip Adj Vs Highlander &amp; Explorer 9 134" xfId="33221"/>
    <cellStyle name="Comma [0] TBD_Equip Adj Vs Highlander &amp; Explorer 9 135" xfId="33222"/>
    <cellStyle name="Comma [0] TBD-_Equip Adj Vs Highlander &amp; Explorer 9 135" xfId="33223"/>
    <cellStyle name="Comma [0] TBD_Equip Adj Vs Highlander &amp; Explorer 9 136" xfId="33224"/>
    <cellStyle name="Comma [0] TBD-_Equip Adj Vs Highlander &amp; Explorer 9 136" xfId="33225"/>
    <cellStyle name="Comma [0] TBD_Equip Adj Vs Highlander &amp; Explorer 9 137" xfId="33226"/>
    <cellStyle name="Comma [0] TBD-_Equip Adj Vs Highlander &amp; Explorer 9 137" xfId="33227"/>
    <cellStyle name="Comma [0] TBD_Equip Adj Vs Highlander &amp; Explorer 9 138" xfId="33228"/>
    <cellStyle name="Comma [0] TBD-_Equip Adj Vs Highlander &amp; Explorer 9 138" xfId="33229"/>
    <cellStyle name="Comma [0] TBD_Equip Adj Vs Highlander &amp; Explorer 9 139" xfId="33230"/>
    <cellStyle name="Comma [0] TBD-_Equip Adj Vs Highlander &amp; Explorer 9 139" xfId="33231"/>
    <cellStyle name="Comma [0] TBD_Equip Adj Vs Highlander &amp; Explorer 9 14" xfId="33232"/>
    <cellStyle name="Comma [0] TBD-_Equip Adj Vs Highlander &amp; Explorer 9 14" xfId="33233"/>
    <cellStyle name="Comma [0] TBD_Equip Adj Vs Highlander &amp; Explorer 9 140" xfId="33234"/>
    <cellStyle name="Comma [0] TBD-_Equip Adj Vs Highlander &amp; Explorer 9 140" xfId="33235"/>
    <cellStyle name="Comma [0] TBD_Equip Adj Vs Highlander &amp; Explorer 9 141" xfId="33236"/>
    <cellStyle name="Comma [0] TBD-_Equip Adj Vs Highlander &amp; Explorer 9 141" xfId="33237"/>
    <cellStyle name="Comma [0] TBD_Equip Adj Vs Highlander &amp; Explorer 9 142" xfId="33238"/>
    <cellStyle name="Comma [0] TBD-_Equip Adj Vs Highlander &amp; Explorer 9 142" xfId="33239"/>
    <cellStyle name="Comma [0] TBD_Equip Adj Vs Highlander &amp; Explorer 9 143" xfId="33240"/>
    <cellStyle name="Comma [0] TBD-_Equip Adj Vs Highlander &amp; Explorer 9 143" xfId="33241"/>
    <cellStyle name="Comma [0] TBD_Equip Adj Vs Highlander &amp; Explorer 9 144" xfId="33242"/>
    <cellStyle name="Comma [0] TBD-_Equip Adj Vs Highlander &amp; Explorer 9 144" xfId="33243"/>
    <cellStyle name="Comma [0] TBD_Equip Adj Vs Highlander &amp; Explorer 9 145" xfId="33244"/>
    <cellStyle name="Comma [0] TBD-_Equip Adj Vs Highlander &amp; Explorer 9 145" xfId="33245"/>
    <cellStyle name="Comma [0] TBD_Equip Adj Vs Highlander &amp; Explorer 9 146" xfId="33246"/>
    <cellStyle name="Comma [0] TBD-_Equip Adj Vs Highlander &amp; Explorer 9 146" xfId="33247"/>
    <cellStyle name="Comma [0] TBD_Equip Adj Vs Highlander &amp; Explorer 9 147" xfId="33248"/>
    <cellStyle name="Comma [0] TBD-_Equip Adj Vs Highlander &amp; Explorer 9 147" xfId="33249"/>
    <cellStyle name="Comma [0] TBD_Equip Adj Vs Highlander &amp; Explorer 9 148" xfId="33250"/>
    <cellStyle name="Comma [0] TBD-_Equip Adj Vs Highlander &amp; Explorer 9 148" xfId="33251"/>
    <cellStyle name="Comma [0] TBD_Equip Adj Vs Highlander &amp; Explorer 9 149" xfId="33252"/>
    <cellStyle name="Comma [0] TBD-_Equip Adj Vs Highlander &amp; Explorer 9 149" xfId="33253"/>
    <cellStyle name="Comma [0] TBD_Equip Adj Vs Highlander &amp; Explorer 9 15" xfId="33254"/>
    <cellStyle name="Comma [0] TBD-_Equip Adj Vs Highlander &amp; Explorer 9 15" xfId="33255"/>
    <cellStyle name="Comma [0] TBD_Equip Adj Vs Highlander &amp; Explorer 9 150" xfId="33256"/>
    <cellStyle name="Comma [0] TBD-_Equip Adj Vs Highlander &amp; Explorer 9 150" xfId="33257"/>
    <cellStyle name="Comma [0] TBD_Equip Adj Vs Highlander &amp; Explorer 9 151" xfId="33258"/>
    <cellStyle name="Comma [0] TBD-_Equip Adj Vs Highlander &amp; Explorer 9 151" xfId="33259"/>
    <cellStyle name="Comma [0] TBD_Equip Adj Vs Highlander &amp; Explorer 9 152" xfId="33260"/>
    <cellStyle name="Comma [0] TBD-_Equip Adj Vs Highlander &amp; Explorer 9 152" xfId="33261"/>
    <cellStyle name="Comma [0] TBD_Equip Adj Vs Highlander &amp; Explorer 9 153" xfId="33262"/>
    <cellStyle name="Comma [0] TBD-_Equip Adj Vs Highlander &amp; Explorer 9 153" xfId="33263"/>
    <cellStyle name="Comma [0] TBD_Equip Adj Vs Highlander &amp; Explorer 9 154" xfId="33264"/>
    <cellStyle name="Comma [0] TBD-_Equip Adj Vs Highlander &amp; Explorer 9 154" xfId="33265"/>
    <cellStyle name="Comma [0] TBD_Equip Adj Vs Highlander &amp; Explorer 9 16" xfId="33266"/>
    <cellStyle name="Comma [0] TBD-_Equip Adj Vs Highlander &amp; Explorer 9 16" xfId="33267"/>
    <cellStyle name="Comma [0] TBD_Equip Adj Vs Highlander &amp; Explorer 9 17" xfId="33268"/>
    <cellStyle name="Comma [0] TBD-_Equip Adj Vs Highlander &amp; Explorer 9 17" xfId="33269"/>
    <cellStyle name="Comma [0] TBD_Equip Adj Vs Highlander &amp; Explorer 9 18" xfId="33270"/>
    <cellStyle name="Comma [0] TBD-_Equip Adj Vs Highlander &amp; Explorer 9 18" xfId="33271"/>
    <cellStyle name="Comma [0] TBD_Equip Adj Vs Highlander &amp; Explorer 9 19" xfId="33272"/>
    <cellStyle name="Comma [0] TBD-_Equip Adj Vs Highlander &amp; Explorer 9 19" xfId="33273"/>
    <cellStyle name="Comma [0] TBD_Equip Adj Vs Highlander &amp; Explorer 9 2" xfId="33274"/>
    <cellStyle name="Comma [0] TBD-_Equip Adj Vs Highlander &amp; Explorer 9 2" xfId="33275"/>
    <cellStyle name="Comma [0] TBD_Equip Adj Vs Highlander &amp; Explorer 9 20" xfId="33276"/>
    <cellStyle name="Comma [0] TBD-_Equip Adj Vs Highlander &amp; Explorer 9 20" xfId="33277"/>
    <cellStyle name="Comma [0] TBD_Equip Adj Vs Highlander &amp; Explorer 9 21" xfId="33278"/>
    <cellStyle name="Comma [0] TBD-_Equip Adj Vs Highlander &amp; Explorer 9 21" xfId="33279"/>
    <cellStyle name="Comma [0] TBD_Equip Adj Vs Highlander &amp; Explorer 9 22" xfId="33280"/>
    <cellStyle name="Comma [0] TBD-_Equip Adj Vs Highlander &amp; Explorer 9 22" xfId="33281"/>
    <cellStyle name="Comma [0] TBD_Equip Adj Vs Highlander &amp; Explorer 9 23" xfId="33282"/>
    <cellStyle name="Comma [0] TBD-_Equip Adj Vs Highlander &amp; Explorer 9 23" xfId="33283"/>
    <cellStyle name="Comma [0] TBD_Equip Adj Vs Highlander &amp; Explorer 9 24" xfId="33284"/>
    <cellStyle name="Comma [0] TBD-_Equip Adj Vs Highlander &amp; Explorer 9 24" xfId="33285"/>
    <cellStyle name="Comma [0] TBD_Equip Adj Vs Highlander &amp; Explorer 9 25" xfId="33286"/>
    <cellStyle name="Comma [0] TBD-_Equip Adj Vs Highlander &amp; Explorer 9 25" xfId="33287"/>
    <cellStyle name="Comma [0] TBD_Equip Adj Vs Highlander &amp; Explorer 9 26" xfId="33288"/>
    <cellStyle name="Comma [0] TBD-_Equip Adj Vs Highlander &amp; Explorer 9 26" xfId="33289"/>
    <cellStyle name="Comma [0] TBD_Equip Adj Vs Highlander &amp; Explorer 9 27" xfId="33290"/>
    <cellStyle name="Comma [0] TBD-_Equip Adj Vs Highlander &amp; Explorer 9 27" xfId="33291"/>
    <cellStyle name="Comma [0] TBD_Equip Adj Vs Highlander &amp; Explorer 9 28" xfId="33292"/>
    <cellStyle name="Comma [0] TBD-_Equip Adj Vs Highlander &amp; Explorer 9 28" xfId="33293"/>
    <cellStyle name="Comma [0] TBD_Equip Adj Vs Highlander &amp; Explorer 9 29" xfId="33294"/>
    <cellStyle name="Comma [0] TBD-_Equip Adj Vs Highlander &amp; Explorer 9 29" xfId="33295"/>
    <cellStyle name="Comma [0] TBD_Equip Adj Vs Highlander &amp; Explorer 9 3" xfId="33296"/>
    <cellStyle name="Comma [0] TBD-_Equip Adj Vs Highlander &amp; Explorer 9 3" xfId="33297"/>
    <cellStyle name="Comma [0] TBD_Equip Adj Vs Highlander &amp; Explorer 9 30" xfId="33298"/>
    <cellStyle name="Comma [0] TBD-_Equip Adj Vs Highlander &amp; Explorer 9 30" xfId="33299"/>
    <cellStyle name="Comma [0] TBD_Equip Adj Vs Highlander &amp; Explorer 9 31" xfId="33300"/>
    <cellStyle name="Comma [0] TBD-_Equip Adj Vs Highlander &amp; Explorer 9 31" xfId="33301"/>
    <cellStyle name="Comma [0] TBD_Equip Adj Vs Highlander &amp; Explorer 9 32" xfId="33302"/>
    <cellStyle name="Comma [0] TBD-_Equip Adj Vs Highlander &amp; Explorer 9 32" xfId="33303"/>
    <cellStyle name="Comma [0] TBD_Equip Adj Vs Highlander &amp; Explorer 9 33" xfId="33304"/>
    <cellStyle name="Comma [0] TBD-_Equip Adj Vs Highlander &amp; Explorer 9 33" xfId="33305"/>
    <cellStyle name="Comma [0] TBD_Equip Adj Vs Highlander &amp; Explorer 9 34" xfId="33306"/>
    <cellStyle name="Comma [0] TBD-_Equip Adj Vs Highlander &amp; Explorer 9 34" xfId="33307"/>
    <cellStyle name="Comma [0] TBD_Equip Adj Vs Highlander &amp; Explorer 9 35" xfId="33308"/>
    <cellStyle name="Comma [0] TBD-_Equip Adj Vs Highlander &amp; Explorer 9 35" xfId="33309"/>
    <cellStyle name="Comma [0] TBD_Equip Adj Vs Highlander &amp; Explorer 9 36" xfId="33310"/>
    <cellStyle name="Comma [0] TBD-_Equip Adj Vs Highlander &amp; Explorer 9 36" xfId="33311"/>
    <cellStyle name="Comma [0] TBD_Equip Adj Vs Highlander &amp; Explorer 9 37" xfId="33312"/>
    <cellStyle name="Comma [0] TBD-_Equip Adj Vs Highlander &amp; Explorer 9 37" xfId="33313"/>
    <cellStyle name="Comma [0] TBD_Equip Adj Vs Highlander &amp; Explorer 9 38" xfId="33314"/>
    <cellStyle name="Comma [0] TBD-_Equip Adj Vs Highlander &amp; Explorer 9 38" xfId="33315"/>
    <cellStyle name="Comma [0] TBD_Equip Adj Vs Highlander &amp; Explorer 9 39" xfId="33316"/>
    <cellStyle name="Comma [0] TBD-_Equip Adj Vs Highlander &amp; Explorer 9 39" xfId="33317"/>
    <cellStyle name="Comma [0] TBD_Equip Adj Vs Highlander &amp; Explorer 9 4" xfId="33318"/>
    <cellStyle name="Comma [0] TBD-_Equip Adj Vs Highlander &amp; Explorer 9 4" xfId="33319"/>
    <cellStyle name="Comma [0] TBD_Equip Adj Vs Highlander &amp; Explorer 9 40" xfId="33320"/>
    <cellStyle name="Comma [0] TBD-_Equip Adj Vs Highlander &amp; Explorer 9 40" xfId="33321"/>
    <cellStyle name="Comma [0] TBD_Equip Adj Vs Highlander &amp; Explorer 9 41" xfId="33322"/>
    <cellStyle name="Comma [0] TBD-_Equip Adj Vs Highlander &amp; Explorer 9 41" xfId="33323"/>
    <cellStyle name="Comma [0] TBD_Equip Adj Vs Highlander &amp; Explorer 9 42" xfId="33324"/>
    <cellStyle name="Comma [0] TBD-_Equip Adj Vs Highlander &amp; Explorer 9 42" xfId="33325"/>
    <cellStyle name="Comma [0] TBD_Equip Adj Vs Highlander &amp; Explorer 9 43" xfId="33326"/>
    <cellStyle name="Comma [0] TBD-_Equip Adj Vs Highlander &amp; Explorer 9 43" xfId="33327"/>
    <cellStyle name="Comma [0] TBD_Equip Adj Vs Highlander &amp; Explorer 9 44" xfId="33328"/>
    <cellStyle name="Comma [0] TBD-_Equip Adj Vs Highlander &amp; Explorer 9 44" xfId="33329"/>
    <cellStyle name="Comma [0] TBD_Equip Adj Vs Highlander &amp; Explorer 9 45" xfId="33330"/>
    <cellStyle name="Comma [0] TBD-_Equip Adj Vs Highlander &amp; Explorer 9 45" xfId="33331"/>
    <cellStyle name="Comma [0] TBD_Equip Adj Vs Highlander &amp; Explorer 9 46" xfId="33332"/>
    <cellStyle name="Comma [0] TBD-_Equip Adj Vs Highlander &amp; Explorer 9 46" xfId="33333"/>
    <cellStyle name="Comma [0] TBD_Equip Adj Vs Highlander &amp; Explorer 9 47" xfId="33334"/>
    <cellStyle name="Comma [0] TBD-_Equip Adj Vs Highlander &amp; Explorer 9 47" xfId="33335"/>
    <cellStyle name="Comma [0] TBD_Equip Adj Vs Highlander &amp; Explorer 9 48" xfId="33336"/>
    <cellStyle name="Comma [0] TBD-_Equip Adj Vs Highlander &amp; Explorer 9 48" xfId="33337"/>
    <cellStyle name="Comma [0] TBD_Equip Adj Vs Highlander &amp; Explorer 9 49" xfId="33338"/>
    <cellStyle name="Comma [0] TBD-_Equip Adj Vs Highlander &amp; Explorer 9 49" xfId="33339"/>
    <cellStyle name="Comma [0] TBD_Equip Adj Vs Highlander &amp; Explorer 9 5" xfId="33340"/>
    <cellStyle name="Comma [0] TBD-_Equip Adj Vs Highlander &amp; Explorer 9 5" xfId="33341"/>
    <cellStyle name="Comma [0] TBD_Equip Adj Vs Highlander &amp; Explorer 9 50" xfId="33342"/>
    <cellStyle name="Comma [0] TBD-_Equip Adj Vs Highlander &amp; Explorer 9 50" xfId="33343"/>
    <cellStyle name="Comma [0] TBD_Equip Adj Vs Highlander &amp; Explorer 9 51" xfId="33344"/>
    <cellStyle name="Comma [0] TBD-_Equip Adj Vs Highlander &amp; Explorer 9 51" xfId="33345"/>
    <cellStyle name="Comma [0] TBD_Equip Adj Vs Highlander &amp; Explorer 9 52" xfId="33346"/>
    <cellStyle name="Comma [0] TBD-_Equip Adj Vs Highlander &amp; Explorer 9 52" xfId="33347"/>
    <cellStyle name="Comma [0] TBD_Equip Adj Vs Highlander &amp; Explorer 9 53" xfId="33348"/>
    <cellStyle name="Comma [0] TBD-_Equip Adj Vs Highlander &amp; Explorer 9 53" xfId="33349"/>
    <cellStyle name="Comma [0] TBD_Equip Adj Vs Highlander &amp; Explorer 9 54" xfId="33350"/>
    <cellStyle name="Comma [0] TBD-_Equip Adj Vs Highlander &amp; Explorer 9 54" xfId="33351"/>
    <cellStyle name="Comma [0] TBD_Equip Adj Vs Highlander &amp; Explorer 9 55" xfId="33352"/>
    <cellStyle name="Comma [0] TBD-_Equip Adj Vs Highlander &amp; Explorer 9 55" xfId="33353"/>
    <cellStyle name="Comma [0] TBD_Equip Adj Vs Highlander &amp; Explorer 9 56" xfId="33354"/>
    <cellStyle name="Comma [0] TBD-_Equip Adj Vs Highlander &amp; Explorer 9 56" xfId="33355"/>
    <cellStyle name="Comma [0] TBD_Equip Adj Vs Highlander &amp; Explorer 9 57" xfId="33356"/>
    <cellStyle name="Comma [0] TBD-_Equip Adj Vs Highlander &amp; Explorer 9 57" xfId="33357"/>
    <cellStyle name="Comma [0] TBD_Equip Adj Vs Highlander &amp; Explorer 9 58" xfId="33358"/>
    <cellStyle name="Comma [0] TBD-_Equip Adj Vs Highlander &amp; Explorer 9 58" xfId="33359"/>
    <cellStyle name="Comma [0] TBD_Equip Adj Vs Highlander &amp; Explorer 9 59" xfId="33360"/>
    <cellStyle name="Comma [0] TBD-_Equip Adj Vs Highlander &amp; Explorer 9 59" xfId="33361"/>
    <cellStyle name="Comma [0] TBD_Equip Adj Vs Highlander &amp; Explorer 9 6" xfId="33362"/>
    <cellStyle name="Comma [0] TBD-_Equip Adj Vs Highlander &amp; Explorer 9 6" xfId="33363"/>
    <cellStyle name="Comma [0] TBD_Equip Adj Vs Highlander &amp; Explorer 9 60" xfId="33364"/>
    <cellStyle name="Comma [0] TBD-_Equip Adj Vs Highlander &amp; Explorer 9 60" xfId="33365"/>
    <cellStyle name="Comma [0] TBD_Equip Adj Vs Highlander &amp; Explorer 9 61" xfId="33366"/>
    <cellStyle name="Comma [0] TBD-_Equip Adj Vs Highlander &amp; Explorer 9 61" xfId="33367"/>
    <cellStyle name="Comma [0] TBD_Equip Adj Vs Highlander &amp; Explorer 9 62" xfId="33368"/>
    <cellStyle name="Comma [0] TBD-_Equip Adj Vs Highlander &amp; Explorer 9 62" xfId="33369"/>
    <cellStyle name="Comma [0] TBD_Equip Adj Vs Highlander &amp; Explorer 9 63" xfId="33370"/>
    <cellStyle name="Comma [0] TBD-_Equip Adj Vs Highlander &amp; Explorer 9 63" xfId="33371"/>
    <cellStyle name="Comma [0] TBD_Equip Adj Vs Highlander &amp; Explorer 9 64" xfId="33372"/>
    <cellStyle name="Comma [0] TBD-_Equip Adj Vs Highlander &amp; Explorer 9 64" xfId="33373"/>
    <cellStyle name="Comma [0] TBD_Equip Adj Vs Highlander &amp; Explorer 9 65" xfId="33374"/>
    <cellStyle name="Comma [0] TBD-_Equip Adj Vs Highlander &amp; Explorer 9 65" xfId="33375"/>
    <cellStyle name="Comma [0] TBD_Equip Adj Vs Highlander &amp; Explorer 9 66" xfId="33376"/>
    <cellStyle name="Comma [0] TBD-_Equip Adj Vs Highlander &amp; Explorer 9 66" xfId="33377"/>
    <cellStyle name="Comma [0] TBD_Equip Adj Vs Highlander &amp; Explorer 9 67" xfId="33378"/>
    <cellStyle name="Comma [0] TBD-_Equip Adj Vs Highlander &amp; Explorer 9 67" xfId="33379"/>
    <cellStyle name="Comma [0] TBD_Equip Adj Vs Highlander &amp; Explorer 9 68" xfId="33380"/>
    <cellStyle name="Comma [0] TBD-_Equip Adj Vs Highlander &amp; Explorer 9 68" xfId="33381"/>
    <cellStyle name="Comma [0] TBD_Equip Adj Vs Highlander &amp; Explorer 9 69" xfId="33382"/>
    <cellStyle name="Comma [0] TBD-_Equip Adj Vs Highlander &amp; Explorer 9 69" xfId="33383"/>
    <cellStyle name="Comma [0] TBD_Equip Adj Vs Highlander &amp; Explorer 9 7" xfId="33384"/>
    <cellStyle name="Comma [0] TBD-_Equip Adj Vs Highlander &amp; Explorer 9 7" xfId="33385"/>
    <cellStyle name="Comma [0] TBD_Equip Adj Vs Highlander &amp; Explorer 9 70" xfId="33386"/>
    <cellStyle name="Comma [0] TBD-_Equip Adj Vs Highlander &amp; Explorer 9 70" xfId="33387"/>
    <cellStyle name="Comma [0] TBD_Equip Adj Vs Highlander &amp; Explorer 9 71" xfId="33388"/>
    <cellStyle name="Comma [0] TBD-_Equip Adj Vs Highlander &amp; Explorer 9 71" xfId="33389"/>
    <cellStyle name="Comma [0] TBD_Equip Adj Vs Highlander &amp; Explorer 9 72" xfId="33390"/>
    <cellStyle name="Comma [0] TBD-_Equip Adj Vs Highlander &amp; Explorer 9 72" xfId="33391"/>
    <cellStyle name="Comma [0] TBD_Equip Adj Vs Highlander &amp; Explorer 9 73" xfId="33392"/>
    <cellStyle name="Comma [0] TBD-_Equip Adj Vs Highlander &amp; Explorer 9 73" xfId="33393"/>
    <cellStyle name="Comma [0] TBD_Equip Adj Vs Highlander &amp; Explorer 9 74" xfId="33394"/>
    <cellStyle name="Comma [0] TBD-_Equip Adj Vs Highlander &amp; Explorer 9 74" xfId="33395"/>
    <cellStyle name="Comma [0] TBD_Equip Adj Vs Highlander &amp; Explorer 9 75" xfId="33396"/>
    <cellStyle name="Comma [0] TBD-_Equip Adj Vs Highlander &amp; Explorer 9 75" xfId="33397"/>
    <cellStyle name="Comma [0] TBD_Equip Adj Vs Highlander &amp; Explorer 9 76" xfId="33398"/>
    <cellStyle name="Comma [0] TBD-_Equip Adj Vs Highlander &amp; Explorer 9 76" xfId="33399"/>
    <cellStyle name="Comma [0] TBD_Equip Adj Vs Highlander &amp; Explorer 9 77" xfId="33400"/>
    <cellStyle name="Comma [0] TBD-_Equip Adj Vs Highlander &amp; Explorer 9 77" xfId="33401"/>
    <cellStyle name="Comma [0] TBD_Equip Adj Vs Highlander &amp; Explorer 9 78" xfId="33402"/>
    <cellStyle name="Comma [0] TBD-_Equip Adj Vs Highlander &amp; Explorer 9 78" xfId="33403"/>
    <cellStyle name="Comma [0] TBD_Equip Adj Vs Highlander &amp; Explorer 9 79" xfId="33404"/>
    <cellStyle name="Comma [0] TBD-_Equip Adj Vs Highlander &amp; Explorer 9 79" xfId="33405"/>
    <cellStyle name="Comma [0] TBD_Equip Adj Vs Highlander &amp; Explorer 9 8" xfId="33406"/>
    <cellStyle name="Comma [0] TBD-_Equip Adj Vs Highlander &amp; Explorer 9 8" xfId="33407"/>
    <cellStyle name="Comma [0] TBD_Equip Adj Vs Highlander &amp; Explorer 9 80" xfId="33408"/>
    <cellStyle name="Comma [0] TBD-_Equip Adj Vs Highlander &amp; Explorer 9 80" xfId="33409"/>
    <cellStyle name="Comma [0] TBD_Equip Adj Vs Highlander &amp; Explorer 9 81" xfId="33410"/>
    <cellStyle name="Comma [0] TBD-_Equip Adj Vs Highlander &amp; Explorer 9 81" xfId="33411"/>
    <cellStyle name="Comma [0] TBD_Equip Adj Vs Highlander &amp; Explorer 9 82" xfId="33412"/>
    <cellStyle name="Comma [0] TBD-_Equip Adj Vs Highlander &amp; Explorer 9 82" xfId="33413"/>
    <cellStyle name="Comma [0] TBD_Equip Adj Vs Highlander &amp; Explorer 9 83" xfId="33414"/>
    <cellStyle name="Comma [0] TBD-_Equip Adj Vs Highlander &amp; Explorer 9 83" xfId="33415"/>
    <cellStyle name="Comma [0] TBD_Equip Adj Vs Highlander &amp; Explorer 9 84" xfId="33416"/>
    <cellStyle name="Comma [0] TBD-_Equip Adj Vs Highlander &amp; Explorer 9 84" xfId="33417"/>
    <cellStyle name="Comma [0] TBD_Equip Adj Vs Highlander &amp; Explorer 9 85" xfId="33418"/>
    <cellStyle name="Comma [0] TBD-_Equip Adj Vs Highlander &amp; Explorer 9 85" xfId="33419"/>
    <cellStyle name="Comma [0] TBD_Equip Adj Vs Highlander &amp; Explorer 9 86" xfId="33420"/>
    <cellStyle name="Comma [0] TBD-_Equip Adj Vs Highlander &amp; Explorer 9 86" xfId="33421"/>
    <cellStyle name="Comma [0] TBD_Equip Adj Vs Highlander &amp; Explorer 9 87" xfId="33422"/>
    <cellStyle name="Comma [0] TBD-_Equip Adj Vs Highlander &amp; Explorer 9 87" xfId="33423"/>
    <cellStyle name="Comma [0] TBD_Equip Adj Vs Highlander &amp; Explorer 9 88" xfId="33424"/>
    <cellStyle name="Comma [0] TBD-_Equip Adj Vs Highlander &amp; Explorer 9 88" xfId="33425"/>
    <cellStyle name="Comma [0] TBD_Equip Adj Vs Highlander &amp; Explorer 9 89" xfId="33426"/>
    <cellStyle name="Comma [0] TBD-_Equip Adj Vs Highlander &amp; Explorer 9 89" xfId="33427"/>
    <cellStyle name="Comma [0] TBD_Equip Adj Vs Highlander &amp; Explorer 9 9" xfId="33428"/>
    <cellStyle name="Comma [0] TBD-_Equip Adj Vs Highlander &amp; Explorer 9 9" xfId="33429"/>
    <cellStyle name="Comma [0] TBD_Equip Adj Vs Highlander &amp; Explorer 9 90" xfId="33430"/>
    <cellStyle name="Comma [0] TBD-_Equip Adj Vs Highlander &amp; Explorer 9 90" xfId="33431"/>
    <cellStyle name="Comma [0] TBD_Equip Adj Vs Highlander &amp; Explorer 9 91" xfId="33432"/>
    <cellStyle name="Comma [0] TBD-_Equip Adj Vs Highlander &amp; Explorer 9 91" xfId="33433"/>
    <cellStyle name="Comma [0] TBD_Equip Adj Vs Highlander &amp; Explorer 9 92" xfId="33434"/>
    <cellStyle name="Comma [0] TBD-_Equip Adj Vs Highlander &amp; Explorer 9 92" xfId="33435"/>
    <cellStyle name="Comma [0] TBD_Equip Adj Vs Highlander &amp; Explorer 9 93" xfId="33436"/>
    <cellStyle name="Comma [0] TBD-_Equip Adj Vs Highlander &amp; Explorer 9 93" xfId="33437"/>
    <cellStyle name="Comma [0] TBD_Equip Adj Vs Highlander &amp; Explorer 9 94" xfId="33438"/>
    <cellStyle name="Comma [0] TBD-_Equip Adj Vs Highlander &amp; Explorer 9 94" xfId="33439"/>
    <cellStyle name="Comma [0] TBD_Equip Adj Vs Highlander &amp; Explorer 9 95" xfId="33440"/>
    <cellStyle name="Comma [0] TBD-_Equip Adj Vs Highlander &amp; Explorer 9 95" xfId="33441"/>
    <cellStyle name="Comma [0] TBD_Equip Adj Vs Highlander &amp; Explorer 9 96" xfId="33442"/>
    <cellStyle name="Comma [0] TBD-_Equip Adj Vs Highlander &amp; Explorer 9 96" xfId="33443"/>
    <cellStyle name="Comma [0] TBD_Equip Adj Vs Highlander &amp; Explorer 9 97" xfId="33444"/>
    <cellStyle name="Comma [0] TBD-_Equip Adj Vs Highlander &amp; Explorer 9 97" xfId="33445"/>
    <cellStyle name="Comma [0] TBD_Equip Adj Vs Highlander &amp; Explorer 9 98" xfId="33446"/>
    <cellStyle name="Comma [0] TBD-_Equip Adj Vs Highlander &amp; Explorer 9 98" xfId="33447"/>
    <cellStyle name="Comma [0] TBD_Equip Adj Vs Highlander &amp; Explorer 9 99" xfId="33448"/>
    <cellStyle name="Comma [0] TBD-_Equip Adj Vs Highlander &amp; Explorer 9 99" xfId="33449"/>
    <cellStyle name="Comma [0] TBD_Europe Region" xfId="33450"/>
    <cellStyle name="Comma [0] TBD-_Europe Region" xfId="33451"/>
    <cellStyle name="Comma [0] TBD_Europe Region 2" xfId="33452"/>
    <cellStyle name="Comma [0] TBD-_Europe Region 2" xfId="33453"/>
    <cellStyle name="Comma [0] TBD_Expedition 2006MY Price Strategy_FINAL" xfId="33454"/>
    <cellStyle name="Comma [0] TBD-_Expedition 2006MY Price Strategy_FINAL" xfId="33455"/>
    <cellStyle name="Comma [0] TBD_Expedition 2006MY Price Strategy_FINAL 2" xfId="33456"/>
    <cellStyle name="Comma [0] TBD-_Expedition 2006MY Price Strategy_FINAL 2" xfId="33457"/>
    <cellStyle name="Comma [0] TBD_Family Cluster Targets2" xfId="33458"/>
    <cellStyle name="Comma [0] TBD-_Family Cluster Targets2" xfId="33459"/>
    <cellStyle name="Comma [0] TBD_Family Cluster Targets2 10" xfId="33460"/>
    <cellStyle name="Comma [0] TBD-_Family Cluster Targets2 10" xfId="33461"/>
    <cellStyle name="Comma [0] TBD_Family Cluster Targets2 10 10" xfId="33462"/>
    <cellStyle name="Comma [0] TBD-_Family Cluster Targets2 10 10" xfId="33463"/>
    <cellStyle name="Comma [0] TBD_Family Cluster Targets2 10 100" xfId="33464"/>
    <cellStyle name="Comma [0] TBD-_Family Cluster Targets2 10 100" xfId="33465"/>
    <cellStyle name="Comma [0] TBD_Family Cluster Targets2 10 101" xfId="33466"/>
    <cellStyle name="Comma [0] TBD-_Family Cluster Targets2 10 101" xfId="33467"/>
    <cellStyle name="Comma [0] TBD_Family Cluster Targets2 10 102" xfId="33468"/>
    <cellStyle name="Comma [0] TBD-_Family Cluster Targets2 10 102" xfId="33469"/>
    <cellStyle name="Comma [0] TBD_Family Cluster Targets2 10 103" xfId="33470"/>
    <cellStyle name="Comma [0] TBD-_Family Cluster Targets2 10 103" xfId="33471"/>
    <cellStyle name="Comma [0] TBD_Family Cluster Targets2 10 104" xfId="33472"/>
    <cellStyle name="Comma [0] TBD-_Family Cluster Targets2 10 104" xfId="33473"/>
    <cellStyle name="Comma [0] TBD_Family Cluster Targets2 10 105" xfId="33474"/>
    <cellStyle name="Comma [0] TBD-_Family Cluster Targets2 10 105" xfId="33475"/>
    <cellStyle name="Comma [0] TBD_Family Cluster Targets2 10 106" xfId="33476"/>
    <cellStyle name="Comma [0] TBD-_Family Cluster Targets2 10 106" xfId="33477"/>
    <cellStyle name="Comma [0] TBD_Family Cluster Targets2 10 107" xfId="33478"/>
    <cellStyle name="Comma [0] TBD-_Family Cluster Targets2 10 107" xfId="33479"/>
    <cellStyle name="Comma [0] TBD_Family Cluster Targets2 10 108" xfId="33480"/>
    <cellStyle name="Comma [0] TBD-_Family Cluster Targets2 10 108" xfId="33481"/>
    <cellStyle name="Comma [0] TBD_Family Cluster Targets2 10 109" xfId="33482"/>
    <cellStyle name="Comma [0] TBD-_Family Cluster Targets2 10 109" xfId="33483"/>
    <cellStyle name="Comma [0] TBD_Family Cluster Targets2 10 11" xfId="33484"/>
    <cellStyle name="Comma [0] TBD-_Family Cluster Targets2 10 11" xfId="33485"/>
    <cellStyle name="Comma [0] TBD_Family Cluster Targets2 10 110" xfId="33486"/>
    <cellStyle name="Comma [0] TBD-_Family Cluster Targets2 10 110" xfId="33487"/>
    <cellStyle name="Comma [0] TBD_Family Cluster Targets2 10 111" xfId="33488"/>
    <cellStyle name="Comma [0] TBD-_Family Cluster Targets2 10 111" xfId="33489"/>
    <cellStyle name="Comma [0] TBD_Family Cluster Targets2 10 112" xfId="33490"/>
    <cellStyle name="Comma [0] TBD-_Family Cluster Targets2 10 112" xfId="33491"/>
    <cellStyle name="Comma [0] TBD_Family Cluster Targets2 10 113" xfId="33492"/>
    <cellStyle name="Comma [0] TBD-_Family Cluster Targets2 10 113" xfId="33493"/>
    <cellStyle name="Comma [0] TBD_Family Cluster Targets2 10 114" xfId="33494"/>
    <cellStyle name="Comma [0] TBD-_Family Cluster Targets2 10 114" xfId="33495"/>
    <cellStyle name="Comma [0] TBD_Family Cluster Targets2 10 115" xfId="33496"/>
    <cellStyle name="Comma [0] TBD-_Family Cluster Targets2 10 115" xfId="33497"/>
    <cellStyle name="Comma [0] TBD_Family Cluster Targets2 10 116" xfId="33498"/>
    <cellStyle name="Comma [0] TBD-_Family Cluster Targets2 10 116" xfId="33499"/>
    <cellStyle name="Comma [0] TBD_Family Cluster Targets2 10 117" xfId="33500"/>
    <cellStyle name="Comma [0] TBD-_Family Cluster Targets2 10 117" xfId="33501"/>
    <cellStyle name="Comma [0] TBD_Family Cluster Targets2 10 118" xfId="33502"/>
    <cellStyle name="Comma [0] TBD-_Family Cluster Targets2 10 118" xfId="33503"/>
    <cellStyle name="Comma [0] TBD_Family Cluster Targets2 10 119" xfId="33504"/>
    <cellStyle name="Comma [0] TBD-_Family Cluster Targets2 10 119" xfId="33505"/>
    <cellStyle name="Comma [0] TBD_Family Cluster Targets2 10 12" xfId="33506"/>
    <cellStyle name="Comma [0] TBD-_Family Cluster Targets2 10 12" xfId="33507"/>
    <cellStyle name="Comma [0] TBD_Family Cluster Targets2 10 120" xfId="33508"/>
    <cellStyle name="Comma [0] TBD-_Family Cluster Targets2 10 120" xfId="33509"/>
    <cellStyle name="Comma [0] TBD_Family Cluster Targets2 10 121" xfId="33510"/>
    <cellStyle name="Comma [0] TBD-_Family Cluster Targets2 10 121" xfId="33511"/>
    <cellStyle name="Comma [0] TBD_Family Cluster Targets2 10 122" xfId="33512"/>
    <cellStyle name="Comma [0] TBD-_Family Cluster Targets2 10 122" xfId="33513"/>
    <cellStyle name="Comma [0] TBD_Family Cluster Targets2 10 123" xfId="33514"/>
    <cellStyle name="Comma [0] TBD-_Family Cluster Targets2 10 123" xfId="33515"/>
    <cellStyle name="Comma [0] TBD_Family Cluster Targets2 10 124" xfId="33516"/>
    <cellStyle name="Comma [0] TBD-_Family Cluster Targets2 10 124" xfId="33517"/>
    <cellStyle name="Comma [0] TBD_Family Cluster Targets2 10 125" xfId="33518"/>
    <cellStyle name="Comma [0] TBD-_Family Cluster Targets2 10 125" xfId="33519"/>
    <cellStyle name="Comma [0] TBD_Family Cluster Targets2 10 126" xfId="33520"/>
    <cellStyle name="Comma [0] TBD-_Family Cluster Targets2 10 126" xfId="33521"/>
    <cellStyle name="Comma [0] TBD_Family Cluster Targets2 10 127" xfId="33522"/>
    <cellStyle name="Comma [0] TBD-_Family Cluster Targets2 10 127" xfId="33523"/>
    <cellStyle name="Comma [0] TBD_Family Cluster Targets2 10 128" xfId="33524"/>
    <cellStyle name="Comma [0] TBD-_Family Cluster Targets2 10 128" xfId="33525"/>
    <cellStyle name="Comma [0] TBD_Family Cluster Targets2 10 129" xfId="33526"/>
    <cellStyle name="Comma [0] TBD-_Family Cluster Targets2 10 129" xfId="33527"/>
    <cellStyle name="Comma [0] TBD_Family Cluster Targets2 10 13" xfId="33528"/>
    <cellStyle name="Comma [0] TBD-_Family Cluster Targets2 10 13" xfId="33529"/>
    <cellStyle name="Comma [0] TBD_Family Cluster Targets2 10 130" xfId="33530"/>
    <cellStyle name="Comma [0] TBD-_Family Cluster Targets2 10 130" xfId="33531"/>
    <cellStyle name="Comma [0] TBD_Family Cluster Targets2 10 131" xfId="33532"/>
    <cellStyle name="Comma [0] TBD-_Family Cluster Targets2 10 131" xfId="33533"/>
    <cellStyle name="Comma [0] TBD_Family Cluster Targets2 10 132" xfId="33534"/>
    <cellStyle name="Comma [0] TBD-_Family Cluster Targets2 10 132" xfId="33535"/>
    <cellStyle name="Comma [0] TBD_Family Cluster Targets2 10 133" xfId="33536"/>
    <cellStyle name="Comma [0] TBD-_Family Cluster Targets2 10 133" xfId="33537"/>
    <cellStyle name="Comma [0] TBD_Family Cluster Targets2 10 134" xfId="33538"/>
    <cellStyle name="Comma [0] TBD-_Family Cluster Targets2 10 134" xfId="33539"/>
    <cellStyle name="Comma [0] TBD_Family Cluster Targets2 10 135" xfId="33540"/>
    <cellStyle name="Comma [0] TBD-_Family Cluster Targets2 10 135" xfId="33541"/>
    <cellStyle name="Comma [0] TBD_Family Cluster Targets2 10 136" xfId="33542"/>
    <cellStyle name="Comma [0] TBD-_Family Cluster Targets2 10 136" xfId="33543"/>
    <cellStyle name="Comma [0] TBD_Family Cluster Targets2 10 137" xfId="33544"/>
    <cellStyle name="Comma [0] TBD-_Family Cluster Targets2 10 137" xfId="33545"/>
    <cellStyle name="Comma [0] TBD_Family Cluster Targets2 10 138" xfId="33546"/>
    <cellStyle name="Comma [0] TBD-_Family Cluster Targets2 10 138" xfId="33547"/>
    <cellStyle name="Comma [0] TBD_Family Cluster Targets2 10 139" xfId="33548"/>
    <cellStyle name="Comma [0] TBD-_Family Cluster Targets2 10 139" xfId="33549"/>
    <cellStyle name="Comma [0] TBD_Family Cluster Targets2 10 14" xfId="33550"/>
    <cellStyle name="Comma [0] TBD-_Family Cluster Targets2 10 14" xfId="33551"/>
    <cellStyle name="Comma [0] TBD_Family Cluster Targets2 10 140" xfId="33552"/>
    <cellStyle name="Comma [0] TBD-_Family Cluster Targets2 10 140" xfId="33553"/>
    <cellStyle name="Comma [0] TBD_Family Cluster Targets2 10 141" xfId="33554"/>
    <cellStyle name="Comma [0] TBD-_Family Cluster Targets2 10 141" xfId="33555"/>
    <cellStyle name="Comma [0] TBD_Family Cluster Targets2 10 142" xfId="33556"/>
    <cellStyle name="Comma [0] TBD-_Family Cluster Targets2 10 142" xfId="33557"/>
    <cellStyle name="Comma [0] TBD_Family Cluster Targets2 10 143" xfId="33558"/>
    <cellStyle name="Comma [0] TBD-_Family Cluster Targets2 10 143" xfId="33559"/>
    <cellStyle name="Comma [0] TBD_Family Cluster Targets2 10 144" xfId="33560"/>
    <cellStyle name="Comma [0] TBD-_Family Cluster Targets2 10 144" xfId="33561"/>
    <cellStyle name="Comma [0] TBD_Family Cluster Targets2 10 145" xfId="33562"/>
    <cellStyle name="Comma [0] TBD-_Family Cluster Targets2 10 145" xfId="33563"/>
    <cellStyle name="Comma [0] TBD_Family Cluster Targets2 10 146" xfId="33564"/>
    <cellStyle name="Comma [0] TBD-_Family Cluster Targets2 10 146" xfId="33565"/>
    <cellStyle name="Comma [0] TBD_Family Cluster Targets2 10 147" xfId="33566"/>
    <cellStyle name="Comma [0] TBD-_Family Cluster Targets2 10 147" xfId="33567"/>
    <cellStyle name="Comma [0] TBD_Family Cluster Targets2 10 148" xfId="33568"/>
    <cellStyle name="Comma [0] TBD-_Family Cluster Targets2 10 148" xfId="33569"/>
    <cellStyle name="Comma [0] TBD_Family Cluster Targets2 10 149" xfId="33570"/>
    <cellStyle name="Comma [0] TBD-_Family Cluster Targets2 10 149" xfId="33571"/>
    <cellStyle name="Comma [0] TBD_Family Cluster Targets2 10 15" xfId="33572"/>
    <cellStyle name="Comma [0] TBD-_Family Cluster Targets2 10 15" xfId="33573"/>
    <cellStyle name="Comma [0] TBD_Family Cluster Targets2 10 150" xfId="33574"/>
    <cellStyle name="Comma [0] TBD-_Family Cluster Targets2 10 150" xfId="33575"/>
    <cellStyle name="Comma [0] TBD_Family Cluster Targets2 10 151" xfId="33576"/>
    <cellStyle name="Comma [0] TBD-_Family Cluster Targets2 10 151" xfId="33577"/>
    <cellStyle name="Comma [0] TBD_Family Cluster Targets2 10 152" xfId="33578"/>
    <cellStyle name="Comma [0] TBD-_Family Cluster Targets2 10 152" xfId="33579"/>
    <cellStyle name="Comma [0] TBD_Family Cluster Targets2 10 153" xfId="33580"/>
    <cellStyle name="Comma [0] TBD-_Family Cluster Targets2 10 153" xfId="33581"/>
    <cellStyle name="Comma [0] TBD_Family Cluster Targets2 10 16" xfId="33582"/>
    <cellStyle name="Comma [0] TBD-_Family Cluster Targets2 10 16" xfId="33583"/>
    <cellStyle name="Comma [0] TBD_Family Cluster Targets2 10 17" xfId="33584"/>
    <cellStyle name="Comma [0] TBD-_Family Cluster Targets2 10 17" xfId="33585"/>
    <cellStyle name="Comma [0] TBD_Family Cluster Targets2 10 18" xfId="33586"/>
    <cellStyle name="Comma [0] TBD-_Family Cluster Targets2 10 18" xfId="33587"/>
    <cellStyle name="Comma [0] TBD_Family Cluster Targets2 10 19" xfId="33588"/>
    <cellStyle name="Comma [0] TBD-_Family Cluster Targets2 10 19" xfId="33589"/>
    <cellStyle name="Comma [0] TBD_Family Cluster Targets2 10 2" xfId="33590"/>
    <cellStyle name="Comma [0] TBD-_Family Cluster Targets2 10 2" xfId="33591"/>
    <cellStyle name="Comma [0] TBD_Family Cluster Targets2 10 20" xfId="33592"/>
    <cellStyle name="Comma [0] TBD-_Family Cluster Targets2 10 20" xfId="33593"/>
    <cellStyle name="Comma [0] TBD_Family Cluster Targets2 10 21" xfId="33594"/>
    <cellStyle name="Comma [0] TBD-_Family Cluster Targets2 10 21" xfId="33595"/>
    <cellStyle name="Comma [0] TBD_Family Cluster Targets2 10 22" xfId="33596"/>
    <cellStyle name="Comma [0] TBD-_Family Cluster Targets2 10 22" xfId="33597"/>
    <cellStyle name="Comma [0] TBD_Family Cluster Targets2 10 23" xfId="33598"/>
    <cellStyle name="Comma [0] TBD-_Family Cluster Targets2 10 23" xfId="33599"/>
    <cellStyle name="Comma [0] TBD_Family Cluster Targets2 10 24" xfId="33600"/>
    <cellStyle name="Comma [0] TBD-_Family Cluster Targets2 10 24" xfId="33601"/>
    <cellStyle name="Comma [0] TBD_Family Cluster Targets2 10 25" xfId="33602"/>
    <cellStyle name="Comma [0] TBD-_Family Cluster Targets2 10 25" xfId="33603"/>
    <cellStyle name="Comma [0] TBD_Family Cluster Targets2 10 26" xfId="33604"/>
    <cellStyle name="Comma [0] TBD-_Family Cluster Targets2 10 26" xfId="33605"/>
    <cellStyle name="Comma [0] TBD_Family Cluster Targets2 10 27" xfId="33606"/>
    <cellStyle name="Comma [0] TBD-_Family Cluster Targets2 10 27" xfId="33607"/>
    <cellStyle name="Comma [0] TBD_Family Cluster Targets2 10 28" xfId="33608"/>
    <cellStyle name="Comma [0] TBD-_Family Cluster Targets2 10 28" xfId="33609"/>
    <cellStyle name="Comma [0] TBD_Family Cluster Targets2 10 29" xfId="33610"/>
    <cellStyle name="Comma [0] TBD-_Family Cluster Targets2 10 29" xfId="33611"/>
    <cellStyle name="Comma [0] TBD_Family Cluster Targets2 10 3" xfId="33612"/>
    <cellStyle name="Comma [0] TBD-_Family Cluster Targets2 10 3" xfId="33613"/>
    <cellStyle name="Comma [0] TBD_Family Cluster Targets2 10 30" xfId="33614"/>
    <cellStyle name="Comma [0] TBD-_Family Cluster Targets2 10 30" xfId="33615"/>
    <cellStyle name="Comma [0] TBD_Family Cluster Targets2 10 31" xfId="33616"/>
    <cellStyle name="Comma [0] TBD-_Family Cluster Targets2 10 31" xfId="33617"/>
    <cellStyle name="Comma [0] TBD_Family Cluster Targets2 10 32" xfId="33618"/>
    <cellStyle name="Comma [0] TBD-_Family Cluster Targets2 10 32" xfId="33619"/>
    <cellStyle name="Comma [0] TBD_Family Cluster Targets2 10 33" xfId="33620"/>
    <cellStyle name="Comma [0] TBD-_Family Cluster Targets2 10 33" xfId="33621"/>
    <cellStyle name="Comma [0] TBD_Family Cluster Targets2 10 34" xfId="33622"/>
    <cellStyle name="Comma [0] TBD-_Family Cluster Targets2 10 34" xfId="33623"/>
    <cellStyle name="Comma [0] TBD_Family Cluster Targets2 10 35" xfId="33624"/>
    <cellStyle name="Comma [0] TBD-_Family Cluster Targets2 10 35" xfId="33625"/>
    <cellStyle name="Comma [0] TBD_Family Cluster Targets2 10 36" xfId="33626"/>
    <cellStyle name="Comma [0] TBD-_Family Cluster Targets2 10 36" xfId="33627"/>
    <cellStyle name="Comma [0] TBD_Family Cluster Targets2 10 37" xfId="33628"/>
    <cellStyle name="Comma [0] TBD-_Family Cluster Targets2 10 37" xfId="33629"/>
    <cellStyle name="Comma [0] TBD_Family Cluster Targets2 10 38" xfId="33630"/>
    <cellStyle name="Comma [0] TBD-_Family Cluster Targets2 10 38" xfId="33631"/>
    <cellStyle name="Comma [0] TBD_Family Cluster Targets2 10 39" xfId="33632"/>
    <cellStyle name="Comma [0] TBD-_Family Cluster Targets2 10 39" xfId="33633"/>
    <cellStyle name="Comma [0] TBD_Family Cluster Targets2 10 4" xfId="33634"/>
    <cellStyle name="Comma [0] TBD-_Family Cluster Targets2 10 4" xfId="33635"/>
    <cellStyle name="Comma [0] TBD_Family Cluster Targets2 10 40" xfId="33636"/>
    <cellStyle name="Comma [0] TBD-_Family Cluster Targets2 10 40" xfId="33637"/>
    <cellStyle name="Comma [0] TBD_Family Cluster Targets2 10 41" xfId="33638"/>
    <cellStyle name="Comma [0] TBD-_Family Cluster Targets2 10 41" xfId="33639"/>
    <cellStyle name="Comma [0] TBD_Family Cluster Targets2 10 42" xfId="33640"/>
    <cellStyle name="Comma [0] TBD-_Family Cluster Targets2 10 42" xfId="33641"/>
    <cellStyle name="Comma [0] TBD_Family Cluster Targets2 10 43" xfId="33642"/>
    <cellStyle name="Comma [0] TBD-_Family Cluster Targets2 10 43" xfId="33643"/>
    <cellStyle name="Comma [0] TBD_Family Cluster Targets2 10 44" xfId="33644"/>
    <cellStyle name="Comma [0] TBD-_Family Cluster Targets2 10 44" xfId="33645"/>
    <cellStyle name="Comma [0] TBD_Family Cluster Targets2 10 45" xfId="33646"/>
    <cellStyle name="Comma [0] TBD-_Family Cluster Targets2 10 45" xfId="33647"/>
    <cellStyle name="Comma [0] TBD_Family Cluster Targets2 10 46" xfId="33648"/>
    <cellStyle name="Comma [0] TBD-_Family Cluster Targets2 10 46" xfId="33649"/>
    <cellStyle name="Comma [0] TBD_Family Cluster Targets2 10 47" xfId="33650"/>
    <cellStyle name="Comma [0] TBD-_Family Cluster Targets2 10 47" xfId="33651"/>
    <cellStyle name="Comma [0] TBD_Family Cluster Targets2 10 48" xfId="33652"/>
    <cellStyle name="Comma [0] TBD-_Family Cluster Targets2 10 48" xfId="33653"/>
    <cellStyle name="Comma [0] TBD_Family Cluster Targets2 10 49" xfId="33654"/>
    <cellStyle name="Comma [0] TBD-_Family Cluster Targets2 10 49" xfId="33655"/>
    <cellStyle name="Comma [0] TBD_Family Cluster Targets2 10 5" xfId="33656"/>
    <cellStyle name="Comma [0] TBD-_Family Cluster Targets2 10 5" xfId="33657"/>
    <cellStyle name="Comma [0] TBD_Family Cluster Targets2 10 50" xfId="33658"/>
    <cellStyle name="Comma [0] TBD-_Family Cluster Targets2 10 50" xfId="33659"/>
    <cellStyle name="Comma [0] TBD_Family Cluster Targets2 10 51" xfId="33660"/>
    <cellStyle name="Comma [0] TBD-_Family Cluster Targets2 10 51" xfId="33661"/>
    <cellStyle name="Comma [0] TBD_Family Cluster Targets2 10 52" xfId="33662"/>
    <cellStyle name="Comma [0] TBD-_Family Cluster Targets2 10 52" xfId="33663"/>
    <cellStyle name="Comma [0] TBD_Family Cluster Targets2 10 53" xfId="33664"/>
    <cellStyle name="Comma [0] TBD-_Family Cluster Targets2 10 53" xfId="33665"/>
    <cellStyle name="Comma [0] TBD_Family Cluster Targets2 10 54" xfId="33666"/>
    <cellStyle name="Comma [0] TBD-_Family Cluster Targets2 10 54" xfId="33667"/>
    <cellStyle name="Comma [0] TBD_Family Cluster Targets2 10 55" xfId="33668"/>
    <cellStyle name="Comma [0] TBD-_Family Cluster Targets2 10 55" xfId="33669"/>
    <cellStyle name="Comma [0] TBD_Family Cluster Targets2 10 56" xfId="33670"/>
    <cellStyle name="Comma [0] TBD-_Family Cluster Targets2 10 56" xfId="33671"/>
    <cellStyle name="Comma [0] TBD_Family Cluster Targets2 10 57" xfId="33672"/>
    <cellStyle name="Comma [0] TBD-_Family Cluster Targets2 10 57" xfId="33673"/>
    <cellStyle name="Comma [0] TBD_Family Cluster Targets2 10 58" xfId="33674"/>
    <cellStyle name="Comma [0] TBD-_Family Cluster Targets2 10 58" xfId="33675"/>
    <cellStyle name="Comma [0] TBD_Family Cluster Targets2 10 59" xfId="33676"/>
    <cellStyle name="Comma [0] TBD-_Family Cluster Targets2 10 59" xfId="33677"/>
    <cellStyle name="Comma [0] TBD_Family Cluster Targets2 10 6" xfId="33678"/>
    <cellStyle name="Comma [0] TBD-_Family Cluster Targets2 10 6" xfId="33679"/>
    <cellStyle name="Comma [0] TBD_Family Cluster Targets2 10 60" xfId="33680"/>
    <cellStyle name="Comma [0] TBD-_Family Cluster Targets2 10 60" xfId="33681"/>
    <cellStyle name="Comma [0] TBD_Family Cluster Targets2 10 61" xfId="33682"/>
    <cellStyle name="Comma [0] TBD-_Family Cluster Targets2 10 61" xfId="33683"/>
    <cellStyle name="Comma [0] TBD_Family Cluster Targets2 10 62" xfId="33684"/>
    <cellStyle name="Comma [0] TBD-_Family Cluster Targets2 10 62" xfId="33685"/>
    <cellStyle name="Comma [0] TBD_Family Cluster Targets2 10 63" xfId="33686"/>
    <cellStyle name="Comma [0] TBD-_Family Cluster Targets2 10 63" xfId="33687"/>
    <cellStyle name="Comma [0] TBD_Family Cluster Targets2 10 64" xfId="33688"/>
    <cellStyle name="Comma [0] TBD-_Family Cluster Targets2 10 64" xfId="33689"/>
    <cellStyle name="Comma [0] TBD_Family Cluster Targets2 10 65" xfId="33690"/>
    <cellStyle name="Comma [0] TBD-_Family Cluster Targets2 10 65" xfId="33691"/>
    <cellStyle name="Comma [0] TBD_Family Cluster Targets2 10 66" xfId="33692"/>
    <cellStyle name="Comma [0] TBD-_Family Cluster Targets2 10 66" xfId="33693"/>
    <cellStyle name="Comma [0] TBD_Family Cluster Targets2 10 67" xfId="33694"/>
    <cellStyle name="Comma [0] TBD-_Family Cluster Targets2 10 67" xfId="33695"/>
    <cellStyle name="Comma [0] TBD_Family Cluster Targets2 10 68" xfId="33696"/>
    <cellStyle name="Comma [0] TBD-_Family Cluster Targets2 10 68" xfId="33697"/>
    <cellStyle name="Comma [0] TBD_Family Cluster Targets2 10 69" xfId="33698"/>
    <cellStyle name="Comma [0] TBD-_Family Cluster Targets2 10 69" xfId="33699"/>
    <cellStyle name="Comma [0] TBD_Family Cluster Targets2 10 7" xfId="33700"/>
    <cellStyle name="Comma [0] TBD-_Family Cluster Targets2 10 7" xfId="33701"/>
    <cellStyle name="Comma [0] TBD_Family Cluster Targets2 10 70" xfId="33702"/>
    <cellStyle name="Comma [0] TBD-_Family Cluster Targets2 10 70" xfId="33703"/>
    <cellStyle name="Comma [0] TBD_Family Cluster Targets2 10 71" xfId="33704"/>
    <cellStyle name="Comma [0] TBD-_Family Cluster Targets2 10 71" xfId="33705"/>
    <cellStyle name="Comma [0] TBD_Family Cluster Targets2 10 72" xfId="33706"/>
    <cellStyle name="Comma [0] TBD-_Family Cluster Targets2 10 72" xfId="33707"/>
    <cellStyle name="Comma [0] TBD_Family Cluster Targets2 10 73" xfId="33708"/>
    <cellStyle name="Comma [0] TBD-_Family Cluster Targets2 10 73" xfId="33709"/>
    <cellStyle name="Comma [0] TBD_Family Cluster Targets2 10 74" xfId="33710"/>
    <cellStyle name="Comma [0] TBD-_Family Cluster Targets2 10 74" xfId="33711"/>
    <cellStyle name="Comma [0] TBD_Family Cluster Targets2 10 75" xfId="33712"/>
    <cellStyle name="Comma [0] TBD-_Family Cluster Targets2 10 75" xfId="33713"/>
    <cellStyle name="Comma [0] TBD_Family Cluster Targets2 10 76" xfId="33714"/>
    <cellStyle name="Comma [0] TBD-_Family Cluster Targets2 10 76" xfId="33715"/>
    <cellStyle name="Comma [0] TBD_Family Cluster Targets2 10 77" xfId="33716"/>
    <cellStyle name="Comma [0] TBD-_Family Cluster Targets2 10 77" xfId="33717"/>
    <cellStyle name="Comma [0] TBD_Family Cluster Targets2 10 78" xfId="33718"/>
    <cellStyle name="Comma [0] TBD-_Family Cluster Targets2 10 78" xfId="33719"/>
    <cellStyle name="Comma [0] TBD_Family Cluster Targets2 10 79" xfId="33720"/>
    <cellStyle name="Comma [0] TBD-_Family Cluster Targets2 10 79" xfId="33721"/>
    <cellStyle name="Comma [0] TBD_Family Cluster Targets2 10 8" xfId="33722"/>
    <cellStyle name="Comma [0] TBD-_Family Cluster Targets2 10 8" xfId="33723"/>
    <cellStyle name="Comma [0] TBD_Family Cluster Targets2 10 80" xfId="33724"/>
    <cellStyle name="Comma [0] TBD-_Family Cluster Targets2 10 80" xfId="33725"/>
    <cellStyle name="Comma [0] TBD_Family Cluster Targets2 10 81" xfId="33726"/>
    <cellStyle name="Comma [0] TBD-_Family Cluster Targets2 10 81" xfId="33727"/>
    <cellStyle name="Comma [0] TBD_Family Cluster Targets2 10 82" xfId="33728"/>
    <cellStyle name="Comma [0] TBD-_Family Cluster Targets2 10 82" xfId="33729"/>
    <cellStyle name="Comma [0] TBD_Family Cluster Targets2 10 83" xfId="33730"/>
    <cellStyle name="Comma [0] TBD-_Family Cluster Targets2 10 83" xfId="33731"/>
    <cellStyle name="Comma [0] TBD_Family Cluster Targets2 10 84" xfId="33732"/>
    <cellStyle name="Comma [0] TBD-_Family Cluster Targets2 10 84" xfId="33733"/>
    <cellStyle name="Comma [0] TBD_Family Cluster Targets2 10 85" xfId="33734"/>
    <cellStyle name="Comma [0] TBD-_Family Cluster Targets2 10 85" xfId="33735"/>
    <cellStyle name="Comma [0] TBD_Family Cluster Targets2 10 86" xfId="33736"/>
    <cellStyle name="Comma [0] TBD-_Family Cluster Targets2 10 86" xfId="33737"/>
    <cellStyle name="Comma [0] TBD_Family Cluster Targets2 10 87" xfId="33738"/>
    <cellStyle name="Comma [0] TBD-_Family Cluster Targets2 10 87" xfId="33739"/>
    <cellStyle name="Comma [0] TBD_Family Cluster Targets2 10 88" xfId="33740"/>
    <cellStyle name="Comma [0] TBD-_Family Cluster Targets2 10 88" xfId="33741"/>
    <cellStyle name="Comma [0] TBD_Family Cluster Targets2 10 89" xfId="33742"/>
    <cellStyle name="Comma [0] TBD-_Family Cluster Targets2 10 89" xfId="33743"/>
    <cellStyle name="Comma [0] TBD_Family Cluster Targets2 10 9" xfId="33744"/>
    <cellStyle name="Comma [0] TBD-_Family Cluster Targets2 10 9" xfId="33745"/>
    <cellStyle name="Comma [0] TBD_Family Cluster Targets2 10 90" xfId="33746"/>
    <cellStyle name="Comma [0] TBD-_Family Cluster Targets2 10 90" xfId="33747"/>
    <cellStyle name="Comma [0] TBD_Family Cluster Targets2 10 91" xfId="33748"/>
    <cellStyle name="Comma [0] TBD-_Family Cluster Targets2 10 91" xfId="33749"/>
    <cellStyle name="Comma [0] TBD_Family Cluster Targets2 10 92" xfId="33750"/>
    <cellStyle name="Comma [0] TBD-_Family Cluster Targets2 10 92" xfId="33751"/>
    <cellStyle name="Comma [0] TBD_Family Cluster Targets2 10 93" xfId="33752"/>
    <cellStyle name="Comma [0] TBD-_Family Cluster Targets2 10 93" xfId="33753"/>
    <cellStyle name="Comma [0] TBD_Family Cluster Targets2 10 94" xfId="33754"/>
    <cellStyle name="Comma [0] TBD-_Family Cluster Targets2 10 94" xfId="33755"/>
    <cellStyle name="Comma [0] TBD_Family Cluster Targets2 10 95" xfId="33756"/>
    <cellStyle name="Comma [0] TBD-_Family Cluster Targets2 10 95" xfId="33757"/>
    <cellStyle name="Comma [0] TBD_Family Cluster Targets2 10 96" xfId="33758"/>
    <cellStyle name="Comma [0] TBD-_Family Cluster Targets2 10 96" xfId="33759"/>
    <cellStyle name="Comma [0] TBD_Family Cluster Targets2 10 97" xfId="33760"/>
    <cellStyle name="Comma [0] TBD-_Family Cluster Targets2 10 97" xfId="33761"/>
    <cellStyle name="Comma [0] TBD_Family Cluster Targets2 10 98" xfId="33762"/>
    <cellStyle name="Comma [0] TBD-_Family Cluster Targets2 10 98" xfId="33763"/>
    <cellStyle name="Comma [0] TBD_Family Cluster Targets2 10 99" xfId="33764"/>
    <cellStyle name="Comma [0] TBD-_Family Cluster Targets2 10 99" xfId="33765"/>
    <cellStyle name="Comma [0] TBD_Family Cluster Targets2 11" xfId="33766"/>
    <cellStyle name="Comma [0] TBD-_Family Cluster Targets2 11" xfId="33767"/>
    <cellStyle name="Comma [0] TBD_Family Cluster Targets2 11 10" xfId="33768"/>
    <cellStyle name="Comma [0] TBD-_Family Cluster Targets2 11 10" xfId="33769"/>
    <cellStyle name="Comma [0] TBD_Family Cluster Targets2 11 100" xfId="33770"/>
    <cellStyle name="Comma [0] TBD-_Family Cluster Targets2 11 100" xfId="33771"/>
    <cellStyle name="Comma [0] TBD_Family Cluster Targets2 11 101" xfId="33772"/>
    <cellStyle name="Comma [0] TBD-_Family Cluster Targets2 11 101" xfId="33773"/>
    <cellStyle name="Comma [0] TBD_Family Cluster Targets2 11 102" xfId="33774"/>
    <cellStyle name="Comma [0] TBD-_Family Cluster Targets2 11 102" xfId="33775"/>
    <cellStyle name="Comma [0] TBD_Family Cluster Targets2 11 103" xfId="33776"/>
    <cellStyle name="Comma [0] TBD-_Family Cluster Targets2 11 103" xfId="33777"/>
    <cellStyle name="Comma [0] TBD_Family Cluster Targets2 11 104" xfId="33778"/>
    <cellStyle name="Comma [0] TBD-_Family Cluster Targets2 11 104" xfId="33779"/>
    <cellStyle name="Comma [0] TBD_Family Cluster Targets2 11 105" xfId="33780"/>
    <cellStyle name="Comma [0] TBD-_Family Cluster Targets2 11 105" xfId="33781"/>
    <cellStyle name="Comma [0] TBD_Family Cluster Targets2 11 106" xfId="33782"/>
    <cellStyle name="Comma [0] TBD-_Family Cluster Targets2 11 106" xfId="33783"/>
    <cellStyle name="Comma [0] TBD_Family Cluster Targets2 11 107" xfId="33784"/>
    <cellStyle name="Comma [0] TBD-_Family Cluster Targets2 11 107" xfId="33785"/>
    <cellStyle name="Comma [0] TBD_Family Cluster Targets2 11 108" xfId="33786"/>
    <cellStyle name="Comma [0] TBD-_Family Cluster Targets2 11 108" xfId="33787"/>
    <cellStyle name="Comma [0] TBD_Family Cluster Targets2 11 109" xfId="33788"/>
    <cellStyle name="Comma [0] TBD-_Family Cluster Targets2 11 109" xfId="33789"/>
    <cellStyle name="Comma [0] TBD_Family Cluster Targets2 11 11" xfId="33790"/>
    <cellStyle name="Comma [0] TBD-_Family Cluster Targets2 11 11" xfId="33791"/>
    <cellStyle name="Comma [0] TBD_Family Cluster Targets2 11 110" xfId="33792"/>
    <cellStyle name="Comma [0] TBD-_Family Cluster Targets2 11 110" xfId="33793"/>
    <cellStyle name="Comma [0] TBD_Family Cluster Targets2 11 111" xfId="33794"/>
    <cellStyle name="Comma [0] TBD-_Family Cluster Targets2 11 111" xfId="33795"/>
    <cellStyle name="Comma [0] TBD_Family Cluster Targets2 11 112" xfId="33796"/>
    <cellStyle name="Comma [0] TBD-_Family Cluster Targets2 11 112" xfId="33797"/>
    <cellStyle name="Comma [0] TBD_Family Cluster Targets2 11 113" xfId="33798"/>
    <cellStyle name="Comma [0] TBD-_Family Cluster Targets2 11 113" xfId="33799"/>
    <cellStyle name="Comma [0] TBD_Family Cluster Targets2 11 114" xfId="33800"/>
    <cellStyle name="Comma [0] TBD-_Family Cluster Targets2 11 114" xfId="33801"/>
    <cellStyle name="Comma [0] TBD_Family Cluster Targets2 11 115" xfId="33802"/>
    <cellStyle name="Comma [0] TBD-_Family Cluster Targets2 11 115" xfId="33803"/>
    <cellStyle name="Comma [0] TBD_Family Cluster Targets2 11 116" xfId="33804"/>
    <cellStyle name="Comma [0] TBD-_Family Cluster Targets2 11 116" xfId="33805"/>
    <cellStyle name="Comma [0] TBD_Family Cluster Targets2 11 117" xfId="33806"/>
    <cellStyle name="Comma [0] TBD-_Family Cluster Targets2 11 117" xfId="33807"/>
    <cellStyle name="Comma [0] TBD_Family Cluster Targets2 11 118" xfId="33808"/>
    <cellStyle name="Comma [0] TBD-_Family Cluster Targets2 11 118" xfId="33809"/>
    <cellStyle name="Comma [0] TBD_Family Cluster Targets2 11 119" xfId="33810"/>
    <cellStyle name="Comma [0] TBD-_Family Cluster Targets2 11 119" xfId="33811"/>
    <cellStyle name="Comma [0] TBD_Family Cluster Targets2 11 12" xfId="33812"/>
    <cellStyle name="Comma [0] TBD-_Family Cluster Targets2 11 12" xfId="33813"/>
    <cellStyle name="Comma [0] TBD_Family Cluster Targets2 11 120" xfId="33814"/>
    <cellStyle name="Comma [0] TBD-_Family Cluster Targets2 11 120" xfId="33815"/>
    <cellStyle name="Comma [0] TBD_Family Cluster Targets2 11 121" xfId="33816"/>
    <cellStyle name="Comma [0] TBD-_Family Cluster Targets2 11 121" xfId="33817"/>
    <cellStyle name="Comma [0] TBD_Family Cluster Targets2 11 122" xfId="33818"/>
    <cellStyle name="Comma [0] TBD-_Family Cluster Targets2 11 122" xfId="33819"/>
    <cellStyle name="Comma [0] TBD_Family Cluster Targets2 11 123" xfId="33820"/>
    <cellStyle name="Comma [0] TBD-_Family Cluster Targets2 11 123" xfId="33821"/>
    <cellStyle name="Comma [0] TBD_Family Cluster Targets2 11 124" xfId="33822"/>
    <cellStyle name="Comma [0] TBD-_Family Cluster Targets2 11 124" xfId="33823"/>
    <cellStyle name="Comma [0] TBD_Family Cluster Targets2 11 125" xfId="33824"/>
    <cellStyle name="Comma [0] TBD-_Family Cluster Targets2 11 125" xfId="33825"/>
    <cellStyle name="Comma [0] TBD_Family Cluster Targets2 11 126" xfId="33826"/>
    <cellStyle name="Comma [0] TBD-_Family Cluster Targets2 11 126" xfId="33827"/>
    <cellStyle name="Comma [0] TBD_Family Cluster Targets2 11 127" xfId="33828"/>
    <cellStyle name="Comma [0] TBD-_Family Cluster Targets2 11 127" xfId="33829"/>
    <cellStyle name="Comma [0] TBD_Family Cluster Targets2 11 128" xfId="33830"/>
    <cellStyle name="Comma [0] TBD-_Family Cluster Targets2 11 128" xfId="33831"/>
    <cellStyle name="Comma [0] TBD_Family Cluster Targets2 11 129" xfId="33832"/>
    <cellStyle name="Comma [0] TBD-_Family Cluster Targets2 11 129" xfId="33833"/>
    <cellStyle name="Comma [0] TBD_Family Cluster Targets2 11 13" xfId="33834"/>
    <cellStyle name="Comma [0] TBD-_Family Cluster Targets2 11 13" xfId="33835"/>
    <cellStyle name="Comma [0] TBD_Family Cluster Targets2 11 130" xfId="33836"/>
    <cellStyle name="Comma [0] TBD-_Family Cluster Targets2 11 130" xfId="33837"/>
    <cellStyle name="Comma [0] TBD_Family Cluster Targets2 11 131" xfId="33838"/>
    <cellStyle name="Comma [0] TBD-_Family Cluster Targets2 11 131" xfId="33839"/>
    <cellStyle name="Comma [0] TBD_Family Cluster Targets2 11 132" xfId="33840"/>
    <cellStyle name="Comma [0] TBD-_Family Cluster Targets2 11 132" xfId="33841"/>
    <cellStyle name="Comma [0] TBD_Family Cluster Targets2 11 133" xfId="33842"/>
    <cellStyle name="Comma [0] TBD-_Family Cluster Targets2 11 133" xfId="33843"/>
    <cellStyle name="Comma [0] TBD_Family Cluster Targets2 11 134" xfId="33844"/>
    <cellStyle name="Comma [0] TBD-_Family Cluster Targets2 11 134" xfId="33845"/>
    <cellStyle name="Comma [0] TBD_Family Cluster Targets2 11 135" xfId="33846"/>
    <cellStyle name="Comma [0] TBD-_Family Cluster Targets2 11 135" xfId="33847"/>
    <cellStyle name="Comma [0] TBD_Family Cluster Targets2 11 136" xfId="33848"/>
    <cellStyle name="Comma [0] TBD-_Family Cluster Targets2 11 136" xfId="33849"/>
    <cellStyle name="Comma [0] TBD_Family Cluster Targets2 11 137" xfId="33850"/>
    <cellStyle name="Comma [0] TBD-_Family Cluster Targets2 11 137" xfId="33851"/>
    <cellStyle name="Comma [0] TBD_Family Cluster Targets2 11 138" xfId="33852"/>
    <cellStyle name="Comma [0] TBD-_Family Cluster Targets2 11 138" xfId="33853"/>
    <cellStyle name="Comma [0] TBD_Family Cluster Targets2 11 139" xfId="33854"/>
    <cellStyle name="Comma [0] TBD-_Family Cluster Targets2 11 139" xfId="33855"/>
    <cellStyle name="Comma [0] TBD_Family Cluster Targets2 11 14" xfId="33856"/>
    <cellStyle name="Comma [0] TBD-_Family Cluster Targets2 11 14" xfId="33857"/>
    <cellStyle name="Comma [0] TBD_Family Cluster Targets2 11 140" xfId="33858"/>
    <cellStyle name="Comma [0] TBD-_Family Cluster Targets2 11 140" xfId="33859"/>
    <cellStyle name="Comma [0] TBD_Family Cluster Targets2 11 141" xfId="33860"/>
    <cellStyle name="Comma [0] TBD-_Family Cluster Targets2 11 141" xfId="33861"/>
    <cellStyle name="Comma [0] TBD_Family Cluster Targets2 11 142" xfId="33862"/>
    <cellStyle name="Comma [0] TBD-_Family Cluster Targets2 11 142" xfId="33863"/>
    <cellStyle name="Comma [0] TBD_Family Cluster Targets2 11 143" xfId="33864"/>
    <cellStyle name="Comma [0] TBD-_Family Cluster Targets2 11 143" xfId="33865"/>
    <cellStyle name="Comma [0] TBD_Family Cluster Targets2 11 144" xfId="33866"/>
    <cellStyle name="Comma [0] TBD-_Family Cluster Targets2 11 144" xfId="33867"/>
    <cellStyle name="Comma [0] TBD_Family Cluster Targets2 11 145" xfId="33868"/>
    <cellStyle name="Comma [0] TBD-_Family Cluster Targets2 11 145" xfId="33869"/>
    <cellStyle name="Comma [0] TBD_Family Cluster Targets2 11 146" xfId="33870"/>
    <cellStyle name="Comma [0] TBD-_Family Cluster Targets2 11 146" xfId="33871"/>
    <cellStyle name="Comma [0] TBD_Family Cluster Targets2 11 147" xfId="33872"/>
    <cellStyle name="Comma [0] TBD-_Family Cluster Targets2 11 147" xfId="33873"/>
    <cellStyle name="Comma [0] TBD_Family Cluster Targets2 11 148" xfId="33874"/>
    <cellStyle name="Comma [0] TBD-_Family Cluster Targets2 11 148" xfId="33875"/>
    <cellStyle name="Comma [0] TBD_Family Cluster Targets2 11 149" xfId="33876"/>
    <cellStyle name="Comma [0] TBD-_Family Cluster Targets2 11 149" xfId="33877"/>
    <cellStyle name="Comma [0] TBD_Family Cluster Targets2 11 15" xfId="33878"/>
    <cellStyle name="Comma [0] TBD-_Family Cluster Targets2 11 15" xfId="33879"/>
    <cellStyle name="Comma [0] TBD_Family Cluster Targets2 11 150" xfId="33880"/>
    <cellStyle name="Comma [0] TBD-_Family Cluster Targets2 11 150" xfId="33881"/>
    <cellStyle name="Comma [0] TBD_Family Cluster Targets2 11 151" xfId="33882"/>
    <cellStyle name="Comma [0] TBD-_Family Cluster Targets2 11 151" xfId="33883"/>
    <cellStyle name="Comma [0] TBD_Family Cluster Targets2 11 152" xfId="33884"/>
    <cellStyle name="Comma [0] TBD-_Family Cluster Targets2 11 152" xfId="33885"/>
    <cellStyle name="Comma [0] TBD_Family Cluster Targets2 11 153" xfId="33886"/>
    <cellStyle name="Comma [0] TBD-_Family Cluster Targets2 11 153" xfId="33887"/>
    <cellStyle name="Comma [0] TBD_Family Cluster Targets2 11 16" xfId="33888"/>
    <cellStyle name="Comma [0] TBD-_Family Cluster Targets2 11 16" xfId="33889"/>
    <cellStyle name="Comma [0] TBD_Family Cluster Targets2 11 17" xfId="33890"/>
    <cellStyle name="Comma [0] TBD-_Family Cluster Targets2 11 17" xfId="33891"/>
    <cellStyle name="Comma [0] TBD_Family Cluster Targets2 11 18" xfId="33892"/>
    <cellStyle name="Comma [0] TBD-_Family Cluster Targets2 11 18" xfId="33893"/>
    <cellStyle name="Comma [0] TBD_Family Cluster Targets2 11 19" xfId="33894"/>
    <cellStyle name="Comma [0] TBD-_Family Cluster Targets2 11 19" xfId="33895"/>
    <cellStyle name="Comma [0] TBD_Family Cluster Targets2 11 2" xfId="33896"/>
    <cellStyle name="Comma [0] TBD-_Family Cluster Targets2 11 2" xfId="33897"/>
    <cellStyle name="Comma [0] TBD_Family Cluster Targets2 11 20" xfId="33898"/>
    <cellStyle name="Comma [0] TBD-_Family Cluster Targets2 11 20" xfId="33899"/>
    <cellStyle name="Comma [0] TBD_Family Cluster Targets2 11 21" xfId="33900"/>
    <cellStyle name="Comma [0] TBD-_Family Cluster Targets2 11 21" xfId="33901"/>
    <cellStyle name="Comma [0] TBD_Family Cluster Targets2 11 22" xfId="33902"/>
    <cellStyle name="Comma [0] TBD-_Family Cluster Targets2 11 22" xfId="33903"/>
    <cellStyle name="Comma [0] TBD_Family Cluster Targets2 11 23" xfId="33904"/>
    <cellStyle name="Comma [0] TBD-_Family Cluster Targets2 11 23" xfId="33905"/>
    <cellStyle name="Comma [0] TBD_Family Cluster Targets2 11 24" xfId="33906"/>
    <cellStyle name="Comma [0] TBD-_Family Cluster Targets2 11 24" xfId="33907"/>
    <cellStyle name="Comma [0] TBD_Family Cluster Targets2 11 25" xfId="33908"/>
    <cellStyle name="Comma [0] TBD-_Family Cluster Targets2 11 25" xfId="33909"/>
    <cellStyle name="Comma [0] TBD_Family Cluster Targets2 11 26" xfId="33910"/>
    <cellStyle name="Comma [0] TBD-_Family Cluster Targets2 11 26" xfId="33911"/>
    <cellStyle name="Comma [0] TBD_Family Cluster Targets2 11 27" xfId="33912"/>
    <cellStyle name="Comma [0] TBD-_Family Cluster Targets2 11 27" xfId="33913"/>
    <cellStyle name="Comma [0] TBD_Family Cluster Targets2 11 28" xfId="33914"/>
    <cellStyle name="Comma [0] TBD-_Family Cluster Targets2 11 28" xfId="33915"/>
    <cellStyle name="Comma [0] TBD_Family Cluster Targets2 11 29" xfId="33916"/>
    <cellStyle name="Comma [0] TBD-_Family Cluster Targets2 11 29" xfId="33917"/>
    <cellStyle name="Comma [0] TBD_Family Cluster Targets2 11 3" xfId="33918"/>
    <cellStyle name="Comma [0] TBD-_Family Cluster Targets2 11 3" xfId="33919"/>
    <cellStyle name="Comma [0] TBD_Family Cluster Targets2 11 30" xfId="33920"/>
    <cellStyle name="Comma [0] TBD-_Family Cluster Targets2 11 30" xfId="33921"/>
    <cellStyle name="Comma [0] TBD_Family Cluster Targets2 11 31" xfId="33922"/>
    <cellStyle name="Comma [0] TBD-_Family Cluster Targets2 11 31" xfId="33923"/>
    <cellStyle name="Comma [0] TBD_Family Cluster Targets2 11 32" xfId="33924"/>
    <cellStyle name="Comma [0] TBD-_Family Cluster Targets2 11 32" xfId="33925"/>
    <cellStyle name="Comma [0] TBD_Family Cluster Targets2 11 33" xfId="33926"/>
    <cellStyle name="Comma [0] TBD-_Family Cluster Targets2 11 33" xfId="33927"/>
    <cellStyle name="Comma [0] TBD_Family Cluster Targets2 11 34" xfId="33928"/>
    <cellStyle name="Comma [0] TBD-_Family Cluster Targets2 11 34" xfId="33929"/>
    <cellStyle name="Comma [0] TBD_Family Cluster Targets2 11 35" xfId="33930"/>
    <cellStyle name="Comma [0] TBD-_Family Cluster Targets2 11 35" xfId="33931"/>
    <cellStyle name="Comma [0] TBD_Family Cluster Targets2 11 36" xfId="33932"/>
    <cellStyle name="Comma [0] TBD-_Family Cluster Targets2 11 36" xfId="33933"/>
    <cellStyle name="Comma [0] TBD_Family Cluster Targets2 11 37" xfId="33934"/>
    <cellStyle name="Comma [0] TBD-_Family Cluster Targets2 11 37" xfId="33935"/>
    <cellStyle name="Comma [0] TBD_Family Cluster Targets2 11 38" xfId="33936"/>
    <cellStyle name="Comma [0] TBD-_Family Cluster Targets2 11 38" xfId="33937"/>
    <cellStyle name="Comma [0] TBD_Family Cluster Targets2 11 39" xfId="33938"/>
    <cellStyle name="Comma [0] TBD-_Family Cluster Targets2 11 39" xfId="33939"/>
    <cellStyle name="Comma [0] TBD_Family Cluster Targets2 11 4" xfId="33940"/>
    <cellStyle name="Comma [0] TBD-_Family Cluster Targets2 11 4" xfId="33941"/>
    <cellStyle name="Comma [0] TBD_Family Cluster Targets2 11 40" xfId="33942"/>
    <cellStyle name="Comma [0] TBD-_Family Cluster Targets2 11 40" xfId="33943"/>
    <cellStyle name="Comma [0] TBD_Family Cluster Targets2 11 41" xfId="33944"/>
    <cellStyle name="Comma [0] TBD-_Family Cluster Targets2 11 41" xfId="33945"/>
    <cellStyle name="Comma [0] TBD_Family Cluster Targets2 11 42" xfId="33946"/>
    <cellStyle name="Comma [0] TBD-_Family Cluster Targets2 11 42" xfId="33947"/>
    <cellStyle name="Comma [0] TBD_Family Cluster Targets2 11 43" xfId="33948"/>
    <cellStyle name="Comma [0] TBD-_Family Cluster Targets2 11 43" xfId="33949"/>
    <cellStyle name="Comma [0] TBD_Family Cluster Targets2 11 44" xfId="33950"/>
    <cellStyle name="Comma [0] TBD-_Family Cluster Targets2 11 44" xfId="33951"/>
    <cellStyle name="Comma [0] TBD_Family Cluster Targets2 11 45" xfId="33952"/>
    <cellStyle name="Comma [0] TBD-_Family Cluster Targets2 11 45" xfId="33953"/>
    <cellStyle name="Comma [0] TBD_Family Cluster Targets2 11 46" xfId="33954"/>
    <cellStyle name="Comma [0] TBD-_Family Cluster Targets2 11 46" xfId="33955"/>
    <cellStyle name="Comma [0] TBD_Family Cluster Targets2 11 47" xfId="33956"/>
    <cellStyle name="Comma [0] TBD-_Family Cluster Targets2 11 47" xfId="33957"/>
    <cellStyle name="Comma [0] TBD_Family Cluster Targets2 11 48" xfId="33958"/>
    <cellStyle name="Comma [0] TBD-_Family Cluster Targets2 11 48" xfId="33959"/>
    <cellStyle name="Comma [0] TBD_Family Cluster Targets2 11 49" xfId="33960"/>
    <cellStyle name="Comma [0] TBD-_Family Cluster Targets2 11 49" xfId="33961"/>
    <cellStyle name="Comma [0] TBD_Family Cluster Targets2 11 5" xfId="33962"/>
    <cellStyle name="Comma [0] TBD-_Family Cluster Targets2 11 5" xfId="33963"/>
    <cellStyle name="Comma [0] TBD_Family Cluster Targets2 11 50" xfId="33964"/>
    <cellStyle name="Comma [0] TBD-_Family Cluster Targets2 11 50" xfId="33965"/>
    <cellStyle name="Comma [0] TBD_Family Cluster Targets2 11 51" xfId="33966"/>
    <cellStyle name="Comma [0] TBD-_Family Cluster Targets2 11 51" xfId="33967"/>
    <cellStyle name="Comma [0] TBD_Family Cluster Targets2 11 52" xfId="33968"/>
    <cellStyle name="Comma [0] TBD-_Family Cluster Targets2 11 52" xfId="33969"/>
    <cellStyle name="Comma [0] TBD_Family Cluster Targets2 11 53" xfId="33970"/>
    <cellStyle name="Comma [0] TBD-_Family Cluster Targets2 11 53" xfId="33971"/>
    <cellStyle name="Comma [0] TBD_Family Cluster Targets2 11 54" xfId="33972"/>
    <cellStyle name="Comma [0] TBD-_Family Cluster Targets2 11 54" xfId="33973"/>
    <cellStyle name="Comma [0] TBD_Family Cluster Targets2 11 55" xfId="33974"/>
    <cellStyle name="Comma [0] TBD-_Family Cluster Targets2 11 55" xfId="33975"/>
    <cellStyle name="Comma [0] TBD_Family Cluster Targets2 11 56" xfId="33976"/>
    <cellStyle name="Comma [0] TBD-_Family Cluster Targets2 11 56" xfId="33977"/>
    <cellStyle name="Comma [0] TBD_Family Cluster Targets2 11 57" xfId="33978"/>
    <cellStyle name="Comma [0] TBD-_Family Cluster Targets2 11 57" xfId="33979"/>
    <cellStyle name="Comma [0] TBD_Family Cluster Targets2 11 58" xfId="33980"/>
    <cellStyle name="Comma [0] TBD-_Family Cluster Targets2 11 58" xfId="33981"/>
    <cellStyle name="Comma [0] TBD_Family Cluster Targets2 11 59" xfId="33982"/>
    <cellStyle name="Comma [0] TBD-_Family Cluster Targets2 11 59" xfId="33983"/>
    <cellStyle name="Comma [0] TBD_Family Cluster Targets2 11 6" xfId="33984"/>
    <cellStyle name="Comma [0] TBD-_Family Cluster Targets2 11 6" xfId="33985"/>
    <cellStyle name="Comma [0] TBD_Family Cluster Targets2 11 60" xfId="33986"/>
    <cellStyle name="Comma [0] TBD-_Family Cluster Targets2 11 60" xfId="33987"/>
    <cellStyle name="Comma [0] TBD_Family Cluster Targets2 11 61" xfId="33988"/>
    <cellStyle name="Comma [0] TBD-_Family Cluster Targets2 11 61" xfId="33989"/>
    <cellStyle name="Comma [0] TBD_Family Cluster Targets2 11 62" xfId="33990"/>
    <cellStyle name="Comma [0] TBD-_Family Cluster Targets2 11 62" xfId="33991"/>
    <cellStyle name="Comma [0] TBD_Family Cluster Targets2 11 63" xfId="33992"/>
    <cellStyle name="Comma [0] TBD-_Family Cluster Targets2 11 63" xfId="33993"/>
    <cellStyle name="Comma [0] TBD_Family Cluster Targets2 11 64" xfId="33994"/>
    <cellStyle name="Comma [0] TBD-_Family Cluster Targets2 11 64" xfId="33995"/>
    <cellStyle name="Comma [0] TBD_Family Cluster Targets2 11 65" xfId="33996"/>
    <cellStyle name="Comma [0] TBD-_Family Cluster Targets2 11 65" xfId="33997"/>
    <cellStyle name="Comma [0] TBD_Family Cluster Targets2 11 66" xfId="33998"/>
    <cellStyle name="Comma [0] TBD-_Family Cluster Targets2 11 66" xfId="33999"/>
    <cellStyle name="Comma [0] TBD_Family Cluster Targets2 11 67" xfId="34000"/>
    <cellStyle name="Comma [0] TBD-_Family Cluster Targets2 11 67" xfId="34001"/>
    <cellStyle name="Comma [0] TBD_Family Cluster Targets2 11 68" xfId="34002"/>
    <cellStyle name="Comma [0] TBD-_Family Cluster Targets2 11 68" xfId="34003"/>
    <cellStyle name="Comma [0] TBD_Family Cluster Targets2 11 69" xfId="34004"/>
    <cellStyle name="Comma [0] TBD-_Family Cluster Targets2 11 69" xfId="34005"/>
    <cellStyle name="Comma [0] TBD_Family Cluster Targets2 11 7" xfId="34006"/>
    <cellStyle name="Comma [0] TBD-_Family Cluster Targets2 11 7" xfId="34007"/>
    <cellStyle name="Comma [0] TBD_Family Cluster Targets2 11 70" xfId="34008"/>
    <cellStyle name="Comma [0] TBD-_Family Cluster Targets2 11 70" xfId="34009"/>
    <cellStyle name="Comma [0] TBD_Family Cluster Targets2 11 71" xfId="34010"/>
    <cellStyle name="Comma [0] TBD-_Family Cluster Targets2 11 71" xfId="34011"/>
    <cellStyle name="Comma [0] TBD_Family Cluster Targets2 11 72" xfId="34012"/>
    <cellStyle name="Comma [0] TBD-_Family Cluster Targets2 11 72" xfId="34013"/>
    <cellStyle name="Comma [0] TBD_Family Cluster Targets2 11 73" xfId="34014"/>
    <cellStyle name="Comma [0] TBD-_Family Cluster Targets2 11 73" xfId="34015"/>
    <cellStyle name="Comma [0] TBD_Family Cluster Targets2 11 74" xfId="34016"/>
    <cellStyle name="Comma [0] TBD-_Family Cluster Targets2 11 74" xfId="34017"/>
    <cellStyle name="Comma [0] TBD_Family Cluster Targets2 11 75" xfId="34018"/>
    <cellStyle name="Comma [0] TBD-_Family Cluster Targets2 11 75" xfId="34019"/>
    <cellStyle name="Comma [0] TBD_Family Cluster Targets2 11 76" xfId="34020"/>
    <cellStyle name="Comma [0] TBD-_Family Cluster Targets2 11 76" xfId="34021"/>
    <cellStyle name="Comma [0] TBD_Family Cluster Targets2 11 77" xfId="34022"/>
    <cellStyle name="Comma [0] TBD-_Family Cluster Targets2 11 77" xfId="34023"/>
    <cellStyle name="Comma [0] TBD_Family Cluster Targets2 11 78" xfId="34024"/>
    <cellStyle name="Comma [0] TBD-_Family Cluster Targets2 11 78" xfId="34025"/>
    <cellStyle name="Comma [0] TBD_Family Cluster Targets2 11 79" xfId="34026"/>
    <cellStyle name="Comma [0] TBD-_Family Cluster Targets2 11 79" xfId="34027"/>
    <cellStyle name="Comma [0] TBD_Family Cluster Targets2 11 8" xfId="34028"/>
    <cellStyle name="Comma [0] TBD-_Family Cluster Targets2 11 8" xfId="34029"/>
    <cellStyle name="Comma [0] TBD_Family Cluster Targets2 11 80" xfId="34030"/>
    <cellStyle name="Comma [0] TBD-_Family Cluster Targets2 11 80" xfId="34031"/>
    <cellStyle name="Comma [0] TBD_Family Cluster Targets2 11 81" xfId="34032"/>
    <cellStyle name="Comma [0] TBD-_Family Cluster Targets2 11 81" xfId="34033"/>
    <cellStyle name="Comma [0] TBD_Family Cluster Targets2 11 82" xfId="34034"/>
    <cellStyle name="Comma [0] TBD-_Family Cluster Targets2 11 82" xfId="34035"/>
    <cellStyle name="Comma [0] TBD_Family Cluster Targets2 11 83" xfId="34036"/>
    <cellStyle name="Comma [0] TBD-_Family Cluster Targets2 11 83" xfId="34037"/>
    <cellStyle name="Comma [0] TBD_Family Cluster Targets2 11 84" xfId="34038"/>
    <cellStyle name="Comma [0] TBD-_Family Cluster Targets2 11 84" xfId="34039"/>
    <cellStyle name="Comma [0] TBD_Family Cluster Targets2 11 85" xfId="34040"/>
    <cellStyle name="Comma [0] TBD-_Family Cluster Targets2 11 85" xfId="34041"/>
    <cellStyle name="Comma [0] TBD_Family Cluster Targets2 11 86" xfId="34042"/>
    <cellStyle name="Comma [0] TBD-_Family Cluster Targets2 11 86" xfId="34043"/>
    <cellStyle name="Comma [0] TBD_Family Cluster Targets2 11 87" xfId="34044"/>
    <cellStyle name="Comma [0] TBD-_Family Cluster Targets2 11 87" xfId="34045"/>
    <cellStyle name="Comma [0] TBD_Family Cluster Targets2 11 88" xfId="34046"/>
    <cellStyle name="Comma [0] TBD-_Family Cluster Targets2 11 88" xfId="34047"/>
    <cellStyle name="Comma [0] TBD_Family Cluster Targets2 11 89" xfId="34048"/>
    <cellStyle name="Comma [0] TBD-_Family Cluster Targets2 11 89" xfId="34049"/>
    <cellStyle name="Comma [0] TBD_Family Cluster Targets2 11 9" xfId="34050"/>
    <cellStyle name="Comma [0] TBD-_Family Cluster Targets2 11 9" xfId="34051"/>
    <cellStyle name="Comma [0] TBD_Family Cluster Targets2 11 90" xfId="34052"/>
    <cellStyle name="Comma [0] TBD-_Family Cluster Targets2 11 90" xfId="34053"/>
    <cellStyle name="Comma [0] TBD_Family Cluster Targets2 11 91" xfId="34054"/>
    <cellStyle name="Comma [0] TBD-_Family Cluster Targets2 11 91" xfId="34055"/>
    <cellStyle name="Comma [0] TBD_Family Cluster Targets2 11 92" xfId="34056"/>
    <cellStyle name="Comma [0] TBD-_Family Cluster Targets2 11 92" xfId="34057"/>
    <cellStyle name="Comma [0] TBD_Family Cluster Targets2 11 93" xfId="34058"/>
    <cellStyle name="Comma [0] TBD-_Family Cluster Targets2 11 93" xfId="34059"/>
    <cellStyle name="Comma [0] TBD_Family Cluster Targets2 11 94" xfId="34060"/>
    <cellStyle name="Comma [0] TBD-_Family Cluster Targets2 11 94" xfId="34061"/>
    <cellStyle name="Comma [0] TBD_Family Cluster Targets2 11 95" xfId="34062"/>
    <cellStyle name="Comma [0] TBD-_Family Cluster Targets2 11 95" xfId="34063"/>
    <cellStyle name="Comma [0] TBD_Family Cluster Targets2 11 96" xfId="34064"/>
    <cellStyle name="Comma [0] TBD-_Family Cluster Targets2 11 96" xfId="34065"/>
    <cellStyle name="Comma [0] TBD_Family Cluster Targets2 11 97" xfId="34066"/>
    <cellStyle name="Comma [0] TBD-_Family Cluster Targets2 11 97" xfId="34067"/>
    <cellStyle name="Comma [0] TBD_Family Cluster Targets2 11 98" xfId="34068"/>
    <cellStyle name="Comma [0] TBD-_Family Cluster Targets2 11 98" xfId="34069"/>
    <cellStyle name="Comma [0] TBD_Family Cluster Targets2 11 99" xfId="34070"/>
    <cellStyle name="Comma [0] TBD-_Family Cluster Targets2 11 99" xfId="34071"/>
    <cellStyle name="Comma [0] TBD_Family Cluster Targets2 12" xfId="34072"/>
    <cellStyle name="Comma [0] TBD-_Family Cluster Targets2 12" xfId="34073"/>
    <cellStyle name="Comma [0] TBD_Family Cluster Targets2 12 10" xfId="34074"/>
    <cellStyle name="Comma [0] TBD-_Family Cluster Targets2 12 10" xfId="34075"/>
    <cellStyle name="Comma [0] TBD_Family Cluster Targets2 12 100" xfId="34076"/>
    <cellStyle name="Comma [0] TBD-_Family Cluster Targets2 12 100" xfId="34077"/>
    <cellStyle name="Comma [0] TBD_Family Cluster Targets2 12 101" xfId="34078"/>
    <cellStyle name="Comma [0] TBD-_Family Cluster Targets2 12 101" xfId="34079"/>
    <cellStyle name="Comma [0] TBD_Family Cluster Targets2 12 102" xfId="34080"/>
    <cellStyle name="Comma [0] TBD-_Family Cluster Targets2 12 102" xfId="34081"/>
    <cellStyle name="Comma [0] TBD_Family Cluster Targets2 12 103" xfId="34082"/>
    <cellStyle name="Comma [0] TBD-_Family Cluster Targets2 12 103" xfId="34083"/>
    <cellStyle name="Comma [0] TBD_Family Cluster Targets2 12 104" xfId="34084"/>
    <cellStyle name="Comma [0] TBD-_Family Cluster Targets2 12 104" xfId="34085"/>
    <cellStyle name="Comma [0] TBD_Family Cluster Targets2 12 105" xfId="34086"/>
    <cellStyle name="Comma [0] TBD-_Family Cluster Targets2 12 105" xfId="34087"/>
    <cellStyle name="Comma [0] TBD_Family Cluster Targets2 12 106" xfId="34088"/>
    <cellStyle name="Comma [0] TBD-_Family Cluster Targets2 12 106" xfId="34089"/>
    <cellStyle name="Comma [0] TBD_Family Cluster Targets2 12 107" xfId="34090"/>
    <cellStyle name="Comma [0] TBD-_Family Cluster Targets2 12 107" xfId="34091"/>
    <cellStyle name="Comma [0] TBD_Family Cluster Targets2 12 108" xfId="34092"/>
    <cellStyle name="Comma [0] TBD-_Family Cluster Targets2 12 108" xfId="34093"/>
    <cellStyle name="Comma [0] TBD_Family Cluster Targets2 12 109" xfId="34094"/>
    <cellStyle name="Comma [0] TBD-_Family Cluster Targets2 12 109" xfId="34095"/>
    <cellStyle name="Comma [0] TBD_Family Cluster Targets2 12 11" xfId="34096"/>
    <cellStyle name="Comma [0] TBD-_Family Cluster Targets2 12 11" xfId="34097"/>
    <cellStyle name="Comma [0] TBD_Family Cluster Targets2 12 110" xfId="34098"/>
    <cellStyle name="Comma [0] TBD-_Family Cluster Targets2 12 110" xfId="34099"/>
    <cellStyle name="Comma [0] TBD_Family Cluster Targets2 12 111" xfId="34100"/>
    <cellStyle name="Comma [0] TBD-_Family Cluster Targets2 12 111" xfId="34101"/>
    <cellStyle name="Comma [0] TBD_Family Cluster Targets2 12 112" xfId="34102"/>
    <cellStyle name="Comma [0] TBD-_Family Cluster Targets2 12 112" xfId="34103"/>
    <cellStyle name="Comma [0] TBD_Family Cluster Targets2 12 113" xfId="34104"/>
    <cellStyle name="Comma [0] TBD-_Family Cluster Targets2 12 113" xfId="34105"/>
    <cellStyle name="Comma [0] TBD_Family Cluster Targets2 12 114" xfId="34106"/>
    <cellStyle name="Comma [0] TBD-_Family Cluster Targets2 12 114" xfId="34107"/>
    <cellStyle name="Comma [0] TBD_Family Cluster Targets2 12 115" xfId="34108"/>
    <cellStyle name="Comma [0] TBD-_Family Cluster Targets2 12 115" xfId="34109"/>
    <cellStyle name="Comma [0] TBD_Family Cluster Targets2 12 116" xfId="34110"/>
    <cellStyle name="Comma [0] TBD-_Family Cluster Targets2 12 116" xfId="34111"/>
    <cellStyle name="Comma [0] TBD_Family Cluster Targets2 12 117" xfId="34112"/>
    <cellStyle name="Comma [0] TBD-_Family Cluster Targets2 12 117" xfId="34113"/>
    <cellStyle name="Comma [0] TBD_Family Cluster Targets2 12 118" xfId="34114"/>
    <cellStyle name="Comma [0] TBD-_Family Cluster Targets2 12 118" xfId="34115"/>
    <cellStyle name="Comma [0] TBD_Family Cluster Targets2 12 119" xfId="34116"/>
    <cellStyle name="Comma [0] TBD-_Family Cluster Targets2 12 119" xfId="34117"/>
    <cellStyle name="Comma [0] TBD_Family Cluster Targets2 12 12" xfId="34118"/>
    <cellStyle name="Comma [0] TBD-_Family Cluster Targets2 12 12" xfId="34119"/>
    <cellStyle name="Comma [0] TBD_Family Cluster Targets2 12 120" xfId="34120"/>
    <cellStyle name="Comma [0] TBD-_Family Cluster Targets2 12 120" xfId="34121"/>
    <cellStyle name="Comma [0] TBD_Family Cluster Targets2 12 121" xfId="34122"/>
    <cellStyle name="Comma [0] TBD-_Family Cluster Targets2 12 121" xfId="34123"/>
    <cellStyle name="Comma [0] TBD_Family Cluster Targets2 12 122" xfId="34124"/>
    <cellStyle name="Comma [0] TBD-_Family Cluster Targets2 12 122" xfId="34125"/>
    <cellStyle name="Comma [0] TBD_Family Cluster Targets2 12 123" xfId="34126"/>
    <cellStyle name="Comma [0] TBD-_Family Cluster Targets2 12 123" xfId="34127"/>
    <cellStyle name="Comma [0] TBD_Family Cluster Targets2 12 124" xfId="34128"/>
    <cellStyle name="Comma [0] TBD-_Family Cluster Targets2 12 124" xfId="34129"/>
    <cellStyle name="Comma [0] TBD_Family Cluster Targets2 12 125" xfId="34130"/>
    <cellStyle name="Comma [0] TBD-_Family Cluster Targets2 12 125" xfId="34131"/>
    <cellStyle name="Comma [0] TBD_Family Cluster Targets2 12 126" xfId="34132"/>
    <cellStyle name="Comma [0] TBD-_Family Cluster Targets2 12 126" xfId="34133"/>
    <cellStyle name="Comma [0] TBD_Family Cluster Targets2 12 127" xfId="34134"/>
    <cellStyle name="Comma [0] TBD-_Family Cluster Targets2 12 127" xfId="34135"/>
    <cellStyle name="Comma [0] TBD_Family Cluster Targets2 12 128" xfId="34136"/>
    <cellStyle name="Comma [0] TBD-_Family Cluster Targets2 12 128" xfId="34137"/>
    <cellStyle name="Comma [0] TBD_Family Cluster Targets2 12 129" xfId="34138"/>
    <cellStyle name="Comma [0] TBD-_Family Cluster Targets2 12 129" xfId="34139"/>
    <cellStyle name="Comma [0] TBD_Family Cluster Targets2 12 13" xfId="34140"/>
    <cellStyle name="Comma [0] TBD-_Family Cluster Targets2 12 13" xfId="34141"/>
    <cellStyle name="Comma [0] TBD_Family Cluster Targets2 12 130" xfId="34142"/>
    <cellStyle name="Comma [0] TBD-_Family Cluster Targets2 12 130" xfId="34143"/>
    <cellStyle name="Comma [0] TBD_Family Cluster Targets2 12 131" xfId="34144"/>
    <cellStyle name="Comma [0] TBD-_Family Cluster Targets2 12 131" xfId="34145"/>
    <cellStyle name="Comma [0] TBD_Family Cluster Targets2 12 132" xfId="34146"/>
    <cellStyle name="Comma [0] TBD-_Family Cluster Targets2 12 132" xfId="34147"/>
    <cellStyle name="Comma [0] TBD_Family Cluster Targets2 12 133" xfId="34148"/>
    <cellStyle name="Comma [0] TBD-_Family Cluster Targets2 12 133" xfId="34149"/>
    <cellStyle name="Comma [0] TBD_Family Cluster Targets2 12 134" xfId="34150"/>
    <cellStyle name="Comma [0] TBD-_Family Cluster Targets2 12 134" xfId="34151"/>
    <cellStyle name="Comma [0] TBD_Family Cluster Targets2 12 135" xfId="34152"/>
    <cellStyle name="Comma [0] TBD-_Family Cluster Targets2 12 135" xfId="34153"/>
    <cellStyle name="Comma [0] TBD_Family Cluster Targets2 12 136" xfId="34154"/>
    <cellStyle name="Comma [0] TBD-_Family Cluster Targets2 12 136" xfId="34155"/>
    <cellStyle name="Comma [0] TBD_Family Cluster Targets2 12 137" xfId="34156"/>
    <cellStyle name="Comma [0] TBD-_Family Cluster Targets2 12 137" xfId="34157"/>
    <cellStyle name="Comma [0] TBD_Family Cluster Targets2 12 138" xfId="34158"/>
    <cellStyle name="Comma [0] TBD-_Family Cluster Targets2 12 138" xfId="34159"/>
    <cellStyle name="Comma [0] TBD_Family Cluster Targets2 12 139" xfId="34160"/>
    <cellStyle name="Comma [0] TBD-_Family Cluster Targets2 12 139" xfId="34161"/>
    <cellStyle name="Comma [0] TBD_Family Cluster Targets2 12 14" xfId="34162"/>
    <cellStyle name="Comma [0] TBD-_Family Cluster Targets2 12 14" xfId="34163"/>
    <cellStyle name="Comma [0] TBD_Family Cluster Targets2 12 140" xfId="34164"/>
    <cellStyle name="Comma [0] TBD-_Family Cluster Targets2 12 140" xfId="34165"/>
    <cellStyle name="Comma [0] TBD_Family Cluster Targets2 12 141" xfId="34166"/>
    <cellStyle name="Comma [0] TBD-_Family Cluster Targets2 12 141" xfId="34167"/>
    <cellStyle name="Comma [0] TBD_Family Cluster Targets2 12 142" xfId="34168"/>
    <cellStyle name="Comma [0] TBD-_Family Cluster Targets2 12 142" xfId="34169"/>
    <cellStyle name="Comma [0] TBD_Family Cluster Targets2 12 143" xfId="34170"/>
    <cellStyle name="Comma [0] TBD-_Family Cluster Targets2 12 143" xfId="34171"/>
    <cellStyle name="Comma [0] TBD_Family Cluster Targets2 12 144" xfId="34172"/>
    <cellStyle name="Comma [0] TBD-_Family Cluster Targets2 12 144" xfId="34173"/>
    <cellStyle name="Comma [0] TBD_Family Cluster Targets2 12 145" xfId="34174"/>
    <cellStyle name="Comma [0] TBD-_Family Cluster Targets2 12 145" xfId="34175"/>
    <cellStyle name="Comma [0] TBD_Family Cluster Targets2 12 146" xfId="34176"/>
    <cellStyle name="Comma [0] TBD-_Family Cluster Targets2 12 146" xfId="34177"/>
    <cellStyle name="Comma [0] TBD_Family Cluster Targets2 12 147" xfId="34178"/>
    <cellStyle name="Comma [0] TBD-_Family Cluster Targets2 12 147" xfId="34179"/>
    <cellStyle name="Comma [0] TBD_Family Cluster Targets2 12 148" xfId="34180"/>
    <cellStyle name="Comma [0] TBD-_Family Cluster Targets2 12 148" xfId="34181"/>
    <cellStyle name="Comma [0] TBD_Family Cluster Targets2 12 149" xfId="34182"/>
    <cellStyle name="Comma [0] TBD-_Family Cluster Targets2 12 149" xfId="34183"/>
    <cellStyle name="Comma [0] TBD_Family Cluster Targets2 12 15" xfId="34184"/>
    <cellStyle name="Comma [0] TBD-_Family Cluster Targets2 12 15" xfId="34185"/>
    <cellStyle name="Comma [0] TBD_Family Cluster Targets2 12 150" xfId="34186"/>
    <cellStyle name="Comma [0] TBD-_Family Cluster Targets2 12 150" xfId="34187"/>
    <cellStyle name="Comma [0] TBD_Family Cluster Targets2 12 151" xfId="34188"/>
    <cellStyle name="Comma [0] TBD-_Family Cluster Targets2 12 151" xfId="34189"/>
    <cellStyle name="Comma [0] TBD_Family Cluster Targets2 12 152" xfId="34190"/>
    <cellStyle name="Comma [0] TBD-_Family Cluster Targets2 12 152" xfId="34191"/>
    <cellStyle name="Comma [0] TBD_Family Cluster Targets2 12 153" xfId="34192"/>
    <cellStyle name="Comma [0] TBD-_Family Cluster Targets2 12 153" xfId="34193"/>
    <cellStyle name="Comma [0] TBD_Family Cluster Targets2 12 16" xfId="34194"/>
    <cellStyle name="Comma [0] TBD-_Family Cluster Targets2 12 16" xfId="34195"/>
    <cellStyle name="Comma [0] TBD_Family Cluster Targets2 12 17" xfId="34196"/>
    <cellStyle name="Comma [0] TBD-_Family Cluster Targets2 12 17" xfId="34197"/>
    <cellStyle name="Comma [0] TBD_Family Cluster Targets2 12 18" xfId="34198"/>
    <cellStyle name="Comma [0] TBD-_Family Cluster Targets2 12 18" xfId="34199"/>
    <cellStyle name="Comma [0] TBD_Family Cluster Targets2 12 19" xfId="34200"/>
    <cellStyle name="Comma [0] TBD-_Family Cluster Targets2 12 19" xfId="34201"/>
    <cellStyle name="Comma [0] TBD_Family Cluster Targets2 12 2" xfId="34202"/>
    <cellStyle name="Comma [0] TBD-_Family Cluster Targets2 12 2" xfId="34203"/>
    <cellStyle name="Comma [0] TBD_Family Cluster Targets2 12 20" xfId="34204"/>
    <cellStyle name="Comma [0] TBD-_Family Cluster Targets2 12 20" xfId="34205"/>
    <cellStyle name="Comma [0] TBD_Family Cluster Targets2 12 21" xfId="34206"/>
    <cellStyle name="Comma [0] TBD-_Family Cluster Targets2 12 21" xfId="34207"/>
    <cellStyle name="Comma [0] TBD_Family Cluster Targets2 12 22" xfId="34208"/>
    <cellStyle name="Comma [0] TBD-_Family Cluster Targets2 12 22" xfId="34209"/>
    <cellStyle name="Comma [0] TBD_Family Cluster Targets2 12 23" xfId="34210"/>
    <cellStyle name="Comma [0] TBD-_Family Cluster Targets2 12 23" xfId="34211"/>
    <cellStyle name="Comma [0] TBD_Family Cluster Targets2 12 24" xfId="34212"/>
    <cellStyle name="Comma [0] TBD-_Family Cluster Targets2 12 24" xfId="34213"/>
    <cellStyle name="Comma [0] TBD_Family Cluster Targets2 12 25" xfId="34214"/>
    <cellStyle name="Comma [0] TBD-_Family Cluster Targets2 12 25" xfId="34215"/>
    <cellStyle name="Comma [0] TBD_Family Cluster Targets2 12 26" xfId="34216"/>
    <cellStyle name="Comma [0] TBD-_Family Cluster Targets2 12 26" xfId="34217"/>
    <cellStyle name="Comma [0] TBD_Family Cluster Targets2 12 27" xfId="34218"/>
    <cellStyle name="Comma [0] TBD-_Family Cluster Targets2 12 27" xfId="34219"/>
    <cellStyle name="Comma [0] TBD_Family Cluster Targets2 12 28" xfId="34220"/>
    <cellStyle name="Comma [0] TBD-_Family Cluster Targets2 12 28" xfId="34221"/>
    <cellStyle name="Comma [0] TBD_Family Cluster Targets2 12 29" xfId="34222"/>
    <cellStyle name="Comma [0] TBD-_Family Cluster Targets2 12 29" xfId="34223"/>
    <cellStyle name="Comma [0] TBD_Family Cluster Targets2 12 3" xfId="34224"/>
    <cellStyle name="Comma [0] TBD-_Family Cluster Targets2 12 3" xfId="34225"/>
    <cellStyle name="Comma [0] TBD_Family Cluster Targets2 12 30" xfId="34226"/>
    <cellStyle name="Comma [0] TBD-_Family Cluster Targets2 12 30" xfId="34227"/>
    <cellStyle name="Comma [0] TBD_Family Cluster Targets2 12 31" xfId="34228"/>
    <cellStyle name="Comma [0] TBD-_Family Cluster Targets2 12 31" xfId="34229"/>
    <cellStyle name="Comma [0] TBD_Family Cluster Targets2 12 32" xfId="34230"/>
    <cellStyle name="Comma [0] TBD-_Family Cluster Targets2 12 32" xfId="34231"/>
    <cellStyle name="Comma [0] TBD_Family Cluster Targets2 12 33" xfId="34232"/>
    <cellStyle name="Comma [0] TBD-_Family Cluster Targets2 12 33" xfId="34233"/>
    <cellStyle name="Comma [0] TBD_Family Cluster Targets2 12 34" xfId="34234"/>
    <cellStyle name="Comma [0] TBD-_Family Cluster Targets2 12 34" xfId="34235"/>
    <cellStyle name="Comma [0] TBD_Family Cluster Targets2 12 35" xfId="34236"/>
    <cellStyle name="Comma [0] TBD-_Family Cluster Targets2 12 35" xfId="34237"/>
    <cellStyle name="Comma [0] TBD_Family Cluster Targets2 12 36" xfId="34238"/>
    <cellStyle name="Comma [0] TBD-_Family Cluster Targets2 12 36" xfId="34239"/>
    <cellStyle name="Comma [0] TBD_Family Cluster Targets2 12 37" xfId="34240"/>
    <cellStyle name="Comma [0] TBD-_Family Cluster Targets2 12 37" xfId="34241"/>
    <cellStyle name="Comma [0] TBD_Family Cluster Targets2 12 38" xfId="34242"/>
    <cellStyle name="Comma [0] TBD-_Family Cluster Targets2 12 38" xfId="34243"/>
    <cellStyle name="Comma [0] TBD_Family Cluster Targets2 12 39" xfId="34244"/>
    <cellStyle name="Comma [0] TBD-_Family Cluster Targets2 12 39" xfId="34245"/>
    <cellStyle name="Comma [0] TBD_Family Cluster Targets2 12 4" xfId="34246"/>
    <cellStyle name="Comma [0] TBD-_Family Cluster Targets2 12 4" xfId="34247"/>
    <cellStyle name="Comma [0] TBD_Family Cluster Targets2 12 40" xfId="34248"/>
    <cellStyle name="Comma [0] TBD-_Family Cluster Targets2 12 40" xfId="34249"/>
    <cellStyle name="Comma [0] TBD_Family Cluster Targets2 12 41" xfId="34250"/>
    <cellStyle name="Comma [0] TBD-_Family Cluster Targets2 12 41" xfId="34251"/>
    <cellStyle name="Comma [0] TBD_Family Cluster Targets2 12 42" xfId="34252"/>
    <cellStyle name="Comma [0] TBD-_Family Cluster Targets2 12 42" xfId="34253"/>
    <cellStyle name="Comma [0] TBD_Family Cluster Targets2 12 43" xfId="34254"/>
    <cellStyle name="Comma [0] TBD-_Family Cluster Targets2 12 43" xfId="34255"/>
    <cellStyle name="Comma [0] TBD_Family Cluster Targets2 12 44" xfId="34256"/>
    <cellStyle name="Comma [0] TBD-_Family Cluster Targets2 12 44" xfId="34257"/>
    <cellStyle name="Comma [0] TBD_Family Cluster Targets2 12 45" xfId="34258"/>
    <cellStyle name="Comma [0] TBD-_Family Cluster Targets2 12 45" xfId="34259"/>
    <cellStyle name="Comma [0] TBD_Family Cluster Targets2 12 46" xfId="34260"/>
    <cellStyle name="Comma [0] TBD-_Family Cluster Targets2 12 46" xfId="34261"/>
    <cellStyle name="Comma [0] TBD_Family Cluster Targets2 12 47" xfId="34262"/>
    <cellStyle name="Comma [0] TBD-_Family Cluster Targets2 12 47" xfId="34263"/>
    <cellStyle name="Comma [0] TBD_Family Cluster Targets2 12 48" xfId="34264"/>
    <cellStyle name="Comma [0] TBD-_Family Cluster Targets2 12 48" xfId="34265"/>
    <cellStyle name="Comma [0] TBD_Family Cluster Targets2 12 49" xfId="34266"/>
    <cellStyle name="Comma [0] TBD-_Family Cluster Targets2 12 49" xfId="34267"/>
    <cellStyle name="Comma [0] TBD_Family Cluster Targets2 12 5" xfId="34268"/>
    <cellStyle name="Comma [0] TBD-_Family Cluster Targets2 12 5" xfId="34269"/>
    <cellStyle name="Comma [0] TBD_Family Cluster Targets2 12 50" xfId="34270"/>
    <cellStyle name="Comma [0] TBD-_Family Cluster Targets2 12 50" xfId="34271"/>
    <cellStyle name="Comma [0] TBD_Family Cluster Targets2 12 51" xfId="34272"/>
    <cellStyle name="Comma [0] TBD-_Family Cluster Targets2 12 51" xfId="34273"/>
    <cellStyle name="Comma [0] TBD_Family Cluster Targets2 12 52" xfId="34274"/>
    <cellStyle name="Comma [0] TBD-_Family Cluster Targets2 12 52" xfId="34275"/>
    <cellStyle name="Comma [0] TBD_Family Cluster Targets2 12 53" xfId="34276"/>
    <cellStyle name="Comma [0] TBD-_Family Cluster Targets2 12 53" xfId="34277"/>
    <cellStyle name="Comma [0] TBD_Family Cluster Targets2 12 54" xfId="34278"/>
    <cellStyle name="Comma [0] TBD-_Family Cluster Targets2 12 54" xfId="34279"/>
    <cellStyle name="Comma [0] TBD_Family Cluster Targets2 12 55" xfId="34280"/>
    <cellStyle name="Comma [0] TBD-_Family Cluster Targets2 12 55" xfId="34281"/>
    <cellStyle name="Comma [0] TBD_Family Cluster Targets2 12 56" xfId="34282"/>
    <cellStyle name="Comma [0] TBD-_Family Cluster Targets2 12 56" xfId="34283"/>
    <cellStyle name="Comma [0] TBD_Family Cluster Targets2 12 57" xfId="34284"/>
    <cellStyle name="Comma [0] TBD-_Family Cluster Targets2 12 57" xfId="34285"/>
    <cellStyle name="Comma [0] TBD_Family Cluster Targets2 12 58" xfId="34286"/>
    <cellStyle name="Comma [0] TBD-_Family Cluster Targets2 12 58" xfId="34287"/>
    <cellStyle name="Comma [0] TBD_Family Cluster Targets2 12 59" xfId="34288"/>
    <cellStyle name="Comma [0] TBD-_Family Cluster Targets2 12 59" xfId="34289"/>
    <cellStyle name="Comma [0] TBD_Family Cluster Targets2 12 6" xfId="34290"/>
    <cellStyle name="Comma [0] TBD-_Family Cluster Targets2 12 6" xfId="34291"/>
    <cellStyle name="Comma [0] TBD_Family Cluster Targets2 12 60" xfId="34292"/>
    <cellStyle name="Comma [0] TBD-_Family Cluster Targets2 12 60" xfId="34293"/>
    <cellStyle name="Comma [0] TBD_Family Cluster Targets2 12 61" xfId="34294"/>
    <cellStyle name="Comma [0] TBD-_Family Cluster Targets2 12 61" xfId="34295"/>
    <cellStyle name="Comma [0] TBD_Family Cluster Targets2 12 62" xfId="34296"/>
    <cellStyle name="Comma [0] TBD-_Family Cluster Targets2 12 62" xfId="34297"/>
    <cellStyle name="Comma [0] TBD_Family Cluster Targets2 12 63" xfId="34298"/>
    <cellStyle name="Comma [0] TBD-_Family Cluster Targets2 12 63" xfId="34299"/>
    <cellStyle name="Comma [0] TBD_Family Cluster Targets2 12 64" xfId="34300"/>
    <cellStyle name="Comma [0] TBD-_Family Cluster Targets2 12 64" xfId="34301"/>
    <cellStyle name="Comma [0] TBD_Family Cluster Targets2 12 65" xfId="34302"/>
    <cellStyle name="Comma [0] TBD-_Family Cluster Targets2 12 65" xfId="34303"/>
    <cellStyle name="Comma [0] TBD_Family Cluster Targets2 12 66" xfId="34304"/>
    <cellStyle name="Comma [0] TBD-_Family Cluster Targets2 12 66" xfId="34305"/>
    <cellStyle name="Comma [0] TBD_Family Cluster Targets2 12 67" xfId="34306"/>
    <cellStyle name="Comma [0] TBD-_Family Cluster Targets2 12 67" xfId="34307"/>
    <cellStyle name="Comma [0] TBD_Family Cluster Targets2 12 68" xfId="34308"/>
    <cellStyle name="Comma [0] TBD-_Family Cluster Targets2 12 68" xfId="34309"/>
    <cellStyle name="Comma [0] TBD_Family Cluster Targets2 12 69" xfId="34310"/>
    <cellStyle name="Comma [0] TBD-_Family Cluster Targets2 12 69" xfId="34311"/>
    <cellStyle name="Comma [0] TBD_Family Cluster Targets2 12 7" xfId="34312"/>
    <cellStyle name="Comma [0] TBD-_Family Cluster Targets2 12 7" xfId="34313"/>
    <cellStyle name="Comma [0] TBD_Family Cluster Targets2 12 70" xfId="34314"/>
    <cellStyle name="Comma [0] TBD-_Family Cluster Targets2 12 70" xfId="34315"/>
    <cellStyle name="Comma [0] TBD_Family Cluster Targets2 12 71" xfId="34316"/>
    <cellStyle name="Comma [0] TBD-_Family Cluster Targets2 12 71" xfId="34317"/>
    <cellStyle name="Comma [0] TBD_Family Cluster Targets2 12 72" xfId="34318"/>
    <cellStyle name="Comma [0] TBD-_Family Cluster Targets2 12 72" xfId="34319"/>
    <cellStyle name="Comma [0] TBD_Family Cluster Targets2 12 73" xfId="34320"/>
    <cellStyle name="Comma [0] TBD-_Family Cluster Targets2 12 73" xfId="34321"/>
    <cellStyle name="Comma [0] TBD_Family Cluster Targets2 12 74" xfId="34322"/>
    <cellStyle name="Comma [0] TBD-_Family Cluster Targets2 12 74" xfId="34323"/>
    <cellStyle name="Comma [0] TBD_Family Cluster Targets2 12 75" xfId="34324"/>
    <cellStyle name="Comma [0] TBD-_Family Cluster Targets2 12 75" xfId="34325"/>
    <cellStyle name="Comma [0] TBD_Family Cluster Targets2 12 76" xfId="34326"/>
    <cellStyle name="Comma [0] TBD-_Family Cluster Targets2 12 76" xfId="34327"/>
    <cellStyle name="Comma [0] TBD_Family Cluster Targets2 12 77" xfId="34328"/>
    <cellStyle name="Comma [0] TBD-_Family Cluster Targets2 12 77" xfId="34329"/>
    <cellStyle name="Comma [0] TBD_Family Cluster Targets2 12 78" xfId="34330"/>
    <cellStyle name="Comma [0] TBD-_Family Cluster Targets2 12 78" xfId="34331"/>
    <cellStyle name="Comma [0] TBD_Family Cluster Targets2 12 79" xfId="34332"/>
    <cellStyle name="Comma [0] TBD-_Family Cluster Targets2 12 79" xfId="34333"/>
    <cellStyle name="Comma [0] TBD_Family Cluster Targets2 12 8" xfId="34334"/>
    <cellStyle name="Comma [0] TBD-_Family Cluster Targets2 12 8" xfId="34335"/>
    <cellStyle name="Comma [0] TBD_Family Cluster Targets2 12 80" xfId="34336"/>
    <cellStyle name="Comma [0] TBD-_Family Cluster Targets2 12 80" xfId="34337"/>
    <cellStyle name="Comma [0] TBD_Family Cluster Targets2 12 81" xfId="34338"/>
    <cellStyle name="Comma [0] TBD-_Family Cluster Targets2 12 81" xfId="34339"/>
    <cellStyle name="Comma [0] TBD_Family Cluster Targets2 12 82" xfId="34340"/>
    <cellStyle name="Comma [0] TBD-_Family Cluster Targets2 12 82" xfId="34341"/>
    <cellStyle name="Comma [0] TBD_Family Cluster Targets2 12 83" xfId="34342"/>
    <cellStyle name="Comma [0] TBD-_Family Cluster Targets2 12 83" xfId="34343"/>
    <cellStyle name="Comma [0] TBD_Family Cluster Targets2 12 84" xfId="34344"/>
    <cellStyle name="Comma [0] TBD-_Family Cluster Targets2 12 84" xfId="34345"/>
    <cellStyle name="Comma [0] TBD_Family Cluster Targets2 12 85" xfId="34346"/>
    <cellStyle name="Comma [0] TBD-_Family Cluster Targets2 12 85" xfId="34347"/>
    <cellStyle name="Comma [0] TBD_Family Cluster Targets2 12 86" xfId="34348"/>
    <cellStyle name="Comma [0] TBD-_Family Cluster Targets2 12 86" xfId="34349"/>
    <cellStyle name="Comma [0] TBD_Family Cluster Targets2 12 87" xfId="34350"/>
    <cellStyle name="Comma [0] TBD-_Family Cluster Targets2 12 87" xfId="34351"/>
    <cellStyle name="Comma [0] TBD_Family Cluster Targets2 12 88" xfId="34352"/>
    <cellStyle name="Comma [0] TBD-_Family Cluster Targets2 12 88" xfId="34353"/>
    <cellStyle name="Comma [0] TBD_Family Cluster Targets2 12 89" xfId="34354"/>
    <cellStyle name="Comma [0] TBD-_Family Cluster Targets2 12 89" xfId="34355"/>
    <cellStyle name="Comma [0] TBD_Family Cluster Targets2 12 9" xfId="34356"/>
    <cellStyle name="Comma [0] TBD-_Family Cluster Targets2 12 9" xfId="34357"/>
    <cellStyle name="Comma [0] TBD_Family Cluster Targets2 12 90" xfId="34358"/>
    <cellStyle name="Comma [0] TBD-_Family Cluster Targets2 12 90" xfId="34359"/>
    <cellStyle name="Comma [0] TBD_Family Cluster Targets2 12 91" xfId="34360"/>
    <cellStyle name="Comma [0] TBD-_Family Cluster Targets2 12 91" xfId="34361"/>
    <cellStyle name="Comma [0] TBD_Family Cluster Targets2 12 92" xfId="34362"/>
    <cellStyle name="Comma [0] TBD-_Family Cluster Targets2 12 92" xfId="34363"/>
    <cellStyle name="Comma [0] TBD_Family Cluster Targets2 12 93" xfId="34364"/>
    <cellStyle name="Comma [0] TBD-_Family Cluster Targets2 12 93" xfId="34365"/>
    <cellStyle name="Comma [0] TBD_Family Cluster Targets2 12 94" xfId="34366"/>
    <cellStyle name="Comma [0] TBD-_Family Cluster Targets2 12 94" xfId="34367"/>
    <cellStyle name="Comma [0] TBD_Family Cluster Targets2 12 95" xfId="34368"/>
    <cellStyle name="Comma [0] TBD-_Family Cluster Targets2 12 95" xfId="34369"/>
    <cellStyle name="Comma [0] TBD_Family Cluster Targets2 12 96" xfId="34370"/>
    <cellStyle name="Comma [0] TBD-_Family Cluster Targets2 12 96" xfId="34371"/>
    <cellStyle name="Comma [0] TBD_Family Cluster Targets2 12 97" xfId="34372"/>
    <cellStyle name="Comma [0] TBD-_Family Cluster Targets2 12 97" xfId="34373"/>
    <cellStyle name="Comma [0] TBD_Family Cluster Targets2 12 98" xfId="34374"/>
    <cellStyle name="Comma [0] TBD-_Family Cluster Targets2 12 98" xfId="34375"/>
    <cellStyle name="Comma [0] TBD_Family Cluster Targets2 12 99" xfId="34376"/>
    <cellStyle name="Comma [0] TBD-_Family Cluster Targets2 12 99" xfId="34377"/>
    <cellStyle name="Comma [0] TBD_Family Cluster Targets2 13" xfId="34378"/>
    <cellStyle name="Comma [0] TBD-_Family Cluster Targets2 13" xfId="34379"/>
    <cellStyle name="Comma [0] TBD_Family Cluster Targets2 13 10" xfId="34380"/>
    <cellStyle name="Comma [0] TBD-_Family Cluster Targets2 13 10" xfId="34381"/>
    <cellStyle name="Comma [0] TBD_Family Cluster Targets2 13 100" xfId="34382"/>
    <cellStyle name="Comma [0] TBD-_Family Cluster Targets2 13 100" xfId="34383"/>
    <cellStyle name="Comma [0] TBD_Family Cluster Targets2 13 101" xfId="34384"/>
    <cellStyle name="Comma [0] TBD-_Family Cluster Targets2 13 101" xfId="34385"/>
    <cellStyle name="Comma [0] TBD_Family Cluster Targets2 13 102" xfId="34386"/>
    <cellStyle name="Comma [0] TBD-_Family Cluster Targets2 13 102" xfId="34387"/>
    <cellStyle name="Comma [0] TBD_Family Cluster Targets2 13 103" xfId="34388"/>
    <cellStyle name="Comma [0] TBD-_Family Cluster Targets2 13 103" xfId="34389"/>
    <cellStyle name="Comma [0] TBD_Family Cluster Targets2 13 104" xfId="34390"/>
    <cellStyle name="Comma [0] TBD-_Family Cluster Targets2 13 104" xfId="34391"/>
    <cellStyle name="Comma [0] TBD_Family Cluster Targets2 13 105" xfId="34392"/>
    <cellStyle name="Comma [0] TBD-_Family Cluster Targets2 13 105" xfId="34393"/>
    <cellStyle name="Comma [0] TBD_Family Cluster Targets2 13 106" xfId="34394"/>
    <cellStyle name="Comma [0] TBD-_Family Cluster Targets2 13 106" xfId="34395"/>
    <cellStyle name="Comma [0] TBD_Family Cluster Targets2 13 107" xfId="34396"/>
    <cellStyle name="Comma [0] TBD-_Family Cluster Targets2 13 107" xfId="34397"/>
    <cellStyle name="Comma [0] TBD_Family Cluster Targets2 13 108" xfId="34398"/>
    <cellStyle name="Comma [0] TBD-_Family Cluster Targets2 13 108" xfId="34399"/>
    <cellStyle name="Comma [0] TBD_Family Cluster Targets2 13 109" xfId="34400"/>
    <cellStyle name="Comma [0] TBD-_Family Cluster Targets2 13 109" xfId="34401"/>
    <cellStyle name="Comma [0] TBD_Family Cluster Targets2 13 11" xfId="34402"/>
    <cellStyle name="Comma [0] TBD-_Family Cluster Targets2 13 11" xfId="34403"/>
    <cellStyle name="Comma [0] TBD_Family Cluster Targets2 13 110" xfId="34404"/>
    <cellStyle name="Comma [0] TBD-_Family Cluster Targets2 13 110" xfId="34405"/>
    <cellStyle name="Comma [0] TBD_Family Cluster Targets2 13 111" xfId="34406"/>
    <cellStyle name="Comma [0] TBD-_Family Cluster Targets2 13 111" xfId="34407"/>
    <cellStyle name="Comma [0] TBD_Family Cluster Targets2 13 112" xfId="34408"/>
    <cellStyle name="Comma [0] TBD-_Family Cluster Targets2 13 112" xfId="34409"/>
    <cellStyle name="Comma [0] TBD_Family Cluster Targets2 13 113" xfId="34410"/>
    <cellStyle name="Comma [0] TBD-_Family Cluster Targets2 13 113" xfId="34411"/>
    <cellStyle name="Comma [0] TBD_Family Cluster Targets2 13 114" xfId="34412"/>
    <cellStyle name="Comma [0] TBD-_Family Cluster Targets2 13 114" xfId="34413"/>
    <cellStyle name="Comma [0] TBD_Family Cluster Targets2 13 115" xfId="34414"/>
    <cellStyle name="Comma [0] TBD-_Family Cluster Targets2 13 115" xfId="34415"/>
    <cellStyle name="Comma [0] TBD_Family Cluster Targets2 13 116" xfId="34416"/>
    <cellStyle name="Comma [0] TBD-_Family Cluster Targets2 13 116" xfId="34417"/>
    <cellStyle name="Comma [0] TBD_Family Cluster Targets2 13 117" xfId="34418"/>
    <cellStyle name="Comma [0] TBD-_Family Cluster Targets2 13 117" xfId="34419"/>
    <cellStyle name="Comma [0] TBD_Family Cluster Targets2 13 118" xfId="34420"/>
    <cellStyle name="Comma [0] TBD-_Family Cluster Targets2 13 118" xfId="34421"/>
    <cellStyle name="Comma [0] TBD_Family Cluster Targets2 13 119" xfId="34422"/>
    <cellStyle name="Comma [0] TBD-_Family Cluster Targets2 13 119" xfId="34423"/>
    <cellStyle name="Comma [0] TBD_Family Cluster Targets2 13 12" xfId="34424"/>
    <cellStyle name="Comma [0] TBD-_Family Cluster Targets2 13 12" xfId="34425"/>
    <cellStyle name="Comma [0] TBD_Family Cluster Targets2 13 120" xfId="34426"/>
    <cellStyle name="Comma [0] TBD-_Family Cluster Targets2 13 120" xfId="34427"/>
    <cellStyle name="Comma [0] TBD_Family Cluster Targets2 13 121" xfId="34428"/>
    <cellStyle name="Comma [0] TBD-_Family Cluster Targets2 13 121" xfId="34429"/>
    <cellStyle name="Comma [0] TBD_Family Cluster Targets2 13 122" xfId="34430"/>
    <cellStyle name="Comma [0] TBD-_Family Cluster Targets2 13 122" xfId="34431"/>
    <cellStyle name="Comma [0] TBD_Family Cluster Targets2 13 123" xfId="34432"/>
    <cellStyle name="Comma [0] TBD-_Family Cluster Targets2 13 123" xfId="34433"/>
    <cellStyle name="Comma [0] TBD_Family Cluster Targets2 13 124" xfId="34434"/>
    <cellStyle name="Comma [0] TBD-_Family Cluster Targets2 13 124" xfId="34435"/>
    <cellStyle name="Comma [0] TBD_Family Cluster Targets2 13 125" xfId="34436"/>
    <cellStyle name="Comma [0] TBD-_Family Cluster Targets2 13 125" xfId="34437"/>
    <cellStyle name="Comma [0] TBD_Family Cluster Targets2 13 126" xfId="34438"/>
    <cellStyle name="Comma [0] TBD-_Family Cluster Targets2 13 126" xfId="34439"/>
    <cellStyle name="Comma [0] TBD_Family Cluster Targets2 13 127" xfId="34440"/>
    <cellStyle name="Comma [0] TBD-_Family Cluster Targets2 13 127" xfId="34441"/>
    <cellStyle name="Comma [0] TBD_Family Cluster Targets2 13 128" xfId="34442"/>
    <cellStyle name="Comma [0] TBD-_Family Cluster Targets2 13 128" xfId="34443"/>
    <cellStyle name="Comma [0] TBD_Family Cluster Targets2 13 129" xfId="34444"/>
    <cellStyle name="Comma [0] TBD-_Family Cluster Targets2 13 129" xfId="34445"/>
    <cellStyle name="Comma [0] TBD_Family Cluster Targets2 13 13" xfId="34446"/>
    <cellStyle name="Comma [0] TBD-_Family Cluster Targets2 13 13" xfId="34447"/>
    <cellStyle name="Comma [0] TBD_Family Cluster Targets2 13 130" xfId="34448"/>
    <cellStyle name="Comma [0] TBD-_Family Cluster Targets2 13 130" xfId="34449"/>
    <cellStyle name="Comma [0] TBD_Family Cluster Targets2 13 131" xfId="34450"/>
    <cellStyle name="Comma [0] TBD-_Family Cluster Targets2 13 131" xfId="34451"/>
    <cellStyle name="Comma [0] TBD_Family Cluster Targets2 13 132" xfId="34452"/>
    <cellStyle name="Comma [0] TBD-_Family Cluster Targets2 13 132" xfId="34453"/>
    <cellStyle name="Comma [0] TBD_Family Cluster Targets2 13 133" xfId="34454"/>
    <cellStyle name="Comma [0] TBD-_Family Cluster Targets2 13 133" xfId="34455"/>
    <cellStyle name="Comma [0] TBD_Family Cluster Targets2 13 134" xfId="34456"/>
    <cellStyle name="Comma [0] TBD-_Family Cluster Targets2 13 134" xfId="34457"/>
    <cellStyle name="Comma [0] TBD_Family Cluster Targets2 13 135" xfId="34458"/>
    <cellStyle name="Comma [0] TBD-_Family Cluster Targets2 13 135" xfId="34459"/>
    <cellStyle name="Comma [0] TBD_Family Cluster Targets2 13 136" xfId="34460"/>
    <cellStyle name="Comma [0] TBD-_Family Cluster Targets2 13 136" xfId="34461"/>
    <cellStyle name="Comma [0] TBD_Family Cluster Targets2 13 137" xfId="34462"/>
    <cellStyle name="Comma [0] TBD-_Family Cluster Targets2 13 137" xfId="34463"/>
    <cellStyle name="Comma [0] TBD_Family Cluster Targets2 13 138" xfId="34464"/>
    <cellStyle name="Comma [0] TBD-_Family Cluster Targets2 13 138" xfId="34465"/>
    <cellStyle name="Comma [0] TBD_Family Cluster Targets2 13 139" xfId="34466"/>
    <cellStyle name="Comma [0] TBD-_Family Cluster Targets2 13 139" xfId="34467"/>
    <cellStyle name="Comma [0] TBD_Family Cluster Targets2 13 14" xfId="34468"/>
    <cellStyle name="Comma [0] TBD-_Family Cluster Targets2 13 14" xfId="34469"/>
    <cellStyle name="Comma [0] TBD_Family Cluster Targets2 13 140" xfId="34470"/>
    <cellStyle name="Comma [0] TBD-_Family Cluster Targets2 13 140" xfId="34471"/>
    <cellStyle name="Comma [0] TBD_Family Cluster Targets2 13 141" xfId="34472"/>
    <cellStyle name="Comma [0] TBD-_Family Cluster Targets2 13 141" xfId="34473"/>
    <cellStyle name="Comma [0] TBD_Family Cluster Targets2 13 142" xfId="34474"/>
    <cellStyle name="Comma [0] TBD-_Family Cluster Targets2 13 142" xfId="34475"/>
    <cellStyle name="Comma [0] TBD_Family Cluster Targets2 13 143" xfId="34476"/>
    <cellStyle name="Comma [0] TBD-_Family Cluster Targets2 13 143" xfId="34477"/>
    <cellStyle name="Comma [0] TBD_Family Cluster Targets2 13 144" xfId="34478"/>
    <cellStyle name="Comma [0] TBD-_Family Cluster Targets2 13 144" xfId="34479"/>
    <cellStyle name="Comma [0] TBD_Family Cluster Targets2 13 145" xfId="34480"/>
    <cellStyle name="Comma [0] TBD-_Family Cluster Targets2 13 145" xfId="34481"/>
    <cellStyle name="Comma [0] TBD_Family Cluster Targets2 13 146" xfId="34482"/>
    <cellStyle name="Comma [0] TBD-_Family Cluster Targets2 13 146" xfId="34483"/>
    <cellStyle name="Comma [0] TBD_Family Cluster Targets2 13 147" xfId="34484"/>
    <cellStyle name="Comma [0] TBD-_Family Cluster Targets2 13 147" xfId="34485"/>
    <cellStyle name="Comma [0] TBD_Family Cluster Targets2 13 148" xfId="34486"/>
    <cellStyle name="Comma [0] TBD-_Family Cluster Targets2 13 148" xfId="34487"/>
    <cellStyle name="Comma [0] TBD_Family Cluster Targets2 13 149" xfId="34488"/>
    <cellStyle name="Comma [0] TBD-_Family Cluster Targets2 13 149" xfId="34489"/>
    <cellStyle name="Comma [0] TBD_Family Cluster Targets2 13 15" xfId="34490"/>
    <cellStyle name="Comma [0] TBD-_Family Cluster Targets2 13 15" xfId="34491"/>
    <cellStyle name="Comma [0] TBD_Family Cluster Targets2 13 150" xfId="34492"/>
    <cellStyle name="Comma [0] TBD-_Family Cluster Targets2 13 150" xfId="34493"/>
    <cellStyle name="Comma [0] TBD_Family Cluster Targets2 13 151" xfId="34494"/>
    <cellStyle name="Comma [0] TBD-_Family Cluster Targets2 13 151" xfId="34495"/>
    <cellStyle name="Comma [0] TBD_Family Cluster Targets2 13 152" xfId="34496"/>
    <cellStyle name="Comma [0] TBD-_Family Cluster Targets2 13 152" xfId="34497"/>
    <cellStyle name="Comma [0] TBD_Family Cluster Targets2 13 153" xfId="34498"/>
    <cellStyle name="Comma [0] TBD-_Family Cluster Targets2 13 153" xfId="34499"/>
    <cellStyle name="Comma [0] TBD_Family Cluster Targets2 13 16" xfId="34500"/>
    <cellStyle name="Comma [0] TBD-_Family Cluster Targets2 13 16" xfId="34501"/>
    <cellStyle name="Comma [0] TBD_Family Cluster Targets2 13 17" xfId="34502"/>
    <cellStyle name="Comma [0] TBD-_Family Cluster Targets2 13 17" xfId="34503"/>
    <cellStyle name="Comma [0] TBD_Family Cluster Targets2 13 18" xfId="34504"/>
    <cellStyle name="Comma [0] TBD-_Family Cluster Targets2 13 18" xfId="34505"/>
    <cellStyle name="Comma [0] TBD_Family Cluster Targets2 13 19" xfId="34506"/>
    <cellStyle name="Comma [0] TBD-_Family Cluster Targets2 13 19" xfId="34507"/>
    <cellStyle name="Comma [0] TBD_Family Cluster Targets2 13 2" xfId="34508"/>
    <cellStyle name="Comma [0] TBD-_Family Cluster Targets2 13 2" xfId="34509"/>
    <cellStyle name="Comma [0] TBD_Family Cluster Targets2 13 20" xfId="34510"/>
    <cellStyle name="Comma [0] TBD-_Family Cluster Targets2 13 20" xfId="34511"/>
    <cellStyle name="Comma [0] TBD_Family Cluster Targets2 13 21" xfId="34512"/>
    <cellStyle name="Comma [0] TBD-_Family Cluster Targets2 13 21" xfId="34513"/>
    <cellStyle name="Comma [0] TBD_Family Cluster Targets2 13 22" xfId="34514"/>
    <cellStyle name="Comma [0] TBD-_Family Cluster Targets2 13 22" xfId="34515"/>
    <cellStyle name="Comma [0] TBD_Family Cluster Targets2 13 23" xfId="34516"/>
    <cellStyle name="Comma [0] TBD-_Family Cluster Targets2 13 23" xfId="34517"/>
    <cellStyle name="Comma [0] TBD_Family Cluster Targets2 13 24" xfId="34518"/>
    <cellStyle name="Comma [0] TBD-_Family Cluster Targets2 13 24" xfId="34519"/>
    <cellStyle name="Comma [0] TBD_Family Cluster Targets2 13 25" xfId="34520"/>
    <cellStyle name="Comma [0] TBD-_Family Cluster Targets2 13 25" xfId="34521"/>
    <cellStyle name="Comma [0] TBD_Family Cluster Targets2 13 26" xfId="34522"/>
    <cellStyle name="Comma [0] TBD-_Family Cluster Targets2 13 26" xfId="34523"/>
    <cellStyle name="Comma [0] TBD_Family Cluster Targets2 13 27" xfId="34524"/>
    <cellStyle name="Comma [0] TBD-_Family Cluster Targets2 13 27" xfId="34525"/>
    <cellStyle name="Comma [0] TBD_Family Cluster Targets2 13 28" xfId="34526"/>
    <cellStyle name="Comma [0] TBD-_Family Cluster Targets2 13 28" xfId="34527"/>
    <cellStyle name="Comma [0] TBD_Family Cluster Targets2 13 29" xfId="34528"/>
    <cellStyle name="Comma [0] TBD-_Family Cluster Targets2 13 29" xfId="34529"/>
    <cellStyle name="Comma [0] TBD_Family Cluster Targets2 13 3" xfId="34530"/>
    <cellStyle name="Comma [0] TBD-_Family Cluster Targets2 13 3" xfId="34531"/>
    <cellStyle name="Comma [0] TBD_Family Cluster Targets2 13 30" xfId="34532"/>
    <cellStyle name="Comma [0] TBD-_Family Cluster Targets2 13 30" xfId="34533"/>
    <cellStyle name="Comma [0] TBD_Family Cluster Targets2 13 31" xfId="34534"/>
    <cellStyle name="Comma [0] TBD-_Family Cluster Targets2 13 31" xfId="34535"/>
    <cellStyle name="Comma [0] TBD_Family Cluster Targets2 13 32" xfId="34536"/>
    <cellStyle name="Comma [0] TBD-_Family Cluster Targets2 13 32" xfId="34537"/>
    <cellStyle name="Comma [0] TBD_Family Cluster Targets2 13 33" xfId="34538"/>
    <cellStyle name="Comma [0] TBD-_Family Cluster Targets2 13 33" xfId="34539"/>
    <cellStyle name="Comma [0] TBD_Family Cluster Targets2 13 34" xfId="34540"/>
    <cellStyle name="Comma [0] TBD-_Family Cluster Targets2 13 34" xfId="34541"/>
    <cellStyle name="Comma [0] TBD_Family Cluster Targets2 13 35" xfId="34542"/>
    <cellStyle name="Comma [0] TBD-_Family Cluster Targets2 13 35" xfId="34543"/>
    <cellStyle name="Comma [0] TBD_Family Cluster Targets2 13 36" xfId="34544"/>
    <cellStyle name="Comma [0] TBD-_Family Cluster Targets2 13 36" xfId="34545"/>
    <cellStyle name="Comma [0] TBD_Family Cluster Targets2 13 37" xfId="34546"/>
    <cellStyle name="Comma [0] TBD-_Family Cluster Targets2 13 37" xfId="34547"/>
    <cellStyle name="Comma [0] TBD_Family Cluster Targets2 13 38" xfId="34548"/>
    <cellStyle name="Comma [0] TBD-_Family Cluster Targets2 13 38" xfId="34549"/>
    <cellStyle name="Comma [0] TBD_Family Cluster Targets2 13 39" xfId="34550"/>
    <cellStyle name="Comma [0] TBD-_Family Cluster Targets2 13 39" xfId="34551"/>
    <cellStyle name="Comma [0] TBD_Family Cluster Targets2 13 4" xfId="34552"/>
    <cellStyle name="Comma [0] TBD-_Family Cluster Targets2 13 4" xfId="34553"/>
    <cellStyle name="Comma [0] TBD_Family Cluster Targets2 13 40" xfId="34554"/>
    <cellStyle name="Comma [0] TBD-_Family Cluster Targets2 13 40" xfId="34555"/>
    <cellStyle name="Comma [0] TBD_Family Cluster Targets2 13 41" xfId="34556"/>
    <cellStyle name="Comma [0] TBD-_Family Cluster Targets2 13 41" xfId="34557"/>
    <cellStyle name="Comma [0] TBD_Family Cluster Targets2 13 42" xfId="34558"/>
    <cellStyle name="Comma [0] TBD-_Family Cluster Targets2 13 42" xfId="34559"/>
    <cellStyle name="Comma [0] TBD_Family Cluster Targets2 13 43" xfId="34560"/>
    <cellStyle name="Comma [0] TBD-_Family Cluster Targets2 13 43" xfId="34561"/>
    <cellStyle name="Comma [0] TBD_Family Cluster Targets2 13 44" xfId="34562"/>
    <cellStyle name="Comma [0] TBD-_Family Cluster Targets2 13 44" xfId="34563"/>
    <cellStyle name="Comma [0] TBD_Family Cluster Targets2 13 45" xfId="34564"/>
    <cellStyle name="Comma [0] TBD-_Family Cluster Targets2 13 45" xfId="34565"/>
    <cellStyle name="Comma [0] TBD_Family Cluster Targets2 13 46" xfId="34566"/>
    <cellStyle name="Comma [0] TBD-_Family Cluster Targets2 13 46" xfId="34567"/>
    <cellStyle name="Comma [0] TBD_Family Cluster Targets2 13 47" xfId="34568"/>
    <cellStyle name="Comma [0] TBD-_Family Cluster Targets2 13 47" xfId="34569"/>
    <cellStyle name="Comma [0] TBD_Family Cluster Targets2 13 48" xfId="34570"/>
    <cellStyle name="Comma [0] TBD-_Family Cluster Targets2 13 48" xfId="34571"/>
    <cellStyle name="Comma [0] TBD_Family Cluster Targets2 13 49" xfId="34572"/>
    <cellStyle name="Comma [0] TBD-_Family Cluster Targets2 13 49" xfId="34573"/>
    <cellStyle name="Comma [0] TBD_Family Cluster Targets2 13 5" xfId="34574"/>
    <cellStyle name="Comma [0] TBD-_Family Cluster Targets2 13 5" xfId="34575"/>
    <cellStyle name="Comma [0] TBD_Family Cluster Targets2 13 50" xfId="34576"/>
    <cellStyle name="Comma [0] TBD-_Family Cluster Targets2 13 50" xfId="34577"/>
    <cellStyle name="Comma [0] TBD_Family Cluster Targets2 13 51" xfId="34578"/>
    <cellStyle name="Comma [0] TBD-_Family Cluster Targets2 13 51" xfId="34579"/>
    <cellStyle name="Comma [0] TBD_Family Cluster Targets2 13 52" xfId="34580"/>
    <cellStyle name="Comma [0] TBD-_Family Cluster Targets2 13 52" xfId="34581"/>
    <cellStyle name="Comma [0] TBD_Family Cluster Targets2 13 53" xfId="34582"/>
    <cellStyle name="Comma [0] TBD-_Family Cluster Targets2 13 53" xfId="34583"/>
    <cellStyle name="Comma [0] TBD_Family Cluster Targets2 13 54" xfId="34584"/>
    <cellStyle name="Comma [0] TBD-_Family Cluster Targets2 13 54" xfId="34585"/>
    <cellStyle name="Comma [0] TBD_Family Cluster Targets2 13 55" xfId="34586"/>
    <cellStyle name="Comma [0] TBD-_Family Cluster Targets2 13 55" xfId="34587"/>
    <cellStyle name="Comma [0] TBD_Family Cluster Targets2 13 56" xfId="34588"/>
    <cellStyle name="Comma [0] TBD-_Family Cluster Targets2 13 56" xfId="34589"/>
    <cellStyle name="Comma [0] TBD_Family Cluster Targets2 13 57" xfId="34590"/>
    <cellStyle name="Comma [0] TBD-_Family Cluster Targets2 13 57" xfId="34591"/>
    <cellStyle name="Comma [0] TBD_Family Cluster Targets2 13 58" xfId="34592"/>
    <cellStyle name="Comma [0] TBD-_Family Cluster Targets2 13 58" xfId="34593"/>
    <cellStyle name="Comma [0] TBD_Family Cluster Targets2 13 59" xfId="34594"/>
    <cellStyle name="Comma [0] TBD-_Family Cluster Targets2 13 59" xfId="34595"/>
    <cellStyle name="Comma [0] TBD_Family Cluster Targets2 13 6" xfId="34596"/>
    <cellStyle name="Comma [0] TBD-_Family Cluster Targets2 13 6" xfId="34597"/>
    <cellStyle name="Comma [0] TBD_Family Cluster Targets2 13 60" xfId="34598"/>
    <cellStyle name="Comma [0] TBD-_Family Cluster Targets2 13 60" xfId="34599"/>
    <cellStyle name="Comma [0] TBD_Family Cluster Targets2 13 61" xfId="34600"/>
    <cellStyle name="Comma [0] TBD-_Family Cluster Targets2 13 61" xfId="34601"/>
    <cellStyle name="Comma [0] TBD_Family Cluster Targets2 13 62" xfId="34602"/>
    <cellStyle name="Comma [0] TBD-_Family Cluster Targets2 13 62" xfId="34603"/>
    <cellStyle name="Comma [0] TBD_Family Cluster Targets2 13 63" xfId="34604"/>
    <cellStyle name="Comma [0] TBD-_Family Cluster Targets2 13 63" xfId="34605"/>
    <cellStyle name="Comma [0] TBD_Family Cluster Targets2 13 64" xfId="34606"/>
    <cellStyle name="Comma [0] TBD-_Family Cluster Targets2 13 64" xfId="34607"/>
    <cellStyle name="Comma [0] TBD_Family Cluster Targets2 13 65" xfId="34608"/>
    <cellStyle name="Comma [0] TBD-_Family Cluster Targets2 13 65" xfId="34609"/>
    <cellStyle name="Comma [0] TBD_Family Cluster Targets2 13 66" xfId="34610"/>
    <cellStyle name="Comma [0] TBD-_Family Cluster Targets2 13 66" xfId="34611"/>
    <cellStyle name="Comma [0] TBD_Family Cluster Targets2 13 67" xfId="34612"/>
    <cellStyle name="Comma [0] TBD-_Family Cluster Targets2 13 67" xfId="34613"/>
    <cellStyle name="Comma [0] TBD_Family Cluster Targets2 13 68" xfId="34614"/>
    <cellStyle name="Comma [0] TBD-_Family Cluster Targets2 13 68" xfId="34615"/>
    <cellStyle name="Comma [0] TBD_Family Cluster Targets2 13 69" xfId="34616"/>
    <cellStyle name="Comma [0] TBD-_Family Cluster Targets2 13 69" xfId="34617"/>
    <cellStyle name="Comma [0] TBD_Family Cluster Targets2 13 7" xfId="34618"/>
    <cellStyle name="Comma [0] TBD-_Family Cluster Targets2 13 7" xfId="34619"/>
    <cellStyle name="Comma [0] TBD_Family Cluster Targets2 13 70" xfId="34620"/>
    <cellStyle name="Comma [0] TBD-_Family Cluster Targets2 13 70" xfId="34621"/>
    <cellStyle name="Comma [0] TBD_Family Cluster Targets2 13 71" xfId="34622"/>
    <cellStyle name="Comma [0] TBD-_Family Cluster Targets2 13 71" xfId="34623"/>
    <cellStyle name="Comma [0] TBD_Family Cluster Targets2 13 72" xfId="34624"/>
    <cellStyle name="Comma [0] TBD-_Family Cluster Targets2 13 72" xfId="34625"/>
    <cellStyle name="Comma [0] TBD_Family Cluster Targets2 13 73" xfId="34626"/>
    <cellStyle name="Comma [0] TBD-_Family Cluster Targets2 13 73" xfId="34627"/>
    <cellStyle name="Comma [0] TBD_Family Cluster Targets2 13 74" xfId="34628"/>
    <cellStyle name="Comma [0] TBD-_Family Cluster Targets2 13 74" xfId="34629"/>
    <cellStyle name="Comma [0] TBD_Family Cluster Targets2 13 75" xfId="34630"/>
    <cellStyle name="Comma [0] TBD-_Family Cluster Targets2 13 75" xfId="34631"/>
    <cellStyle name="Comma [0] TBD_Family Cluster Targets2 13 76" xfId="34632"/>
    <cellStyle name="Comma [0] TBD-_Family Cluster Targets2 13 76" xfId="34633"/>
    <cellStyle name="Comma [0] TBD_Family Cluster Targets2 13 77" xfId="34634"/>
    <cellStyle name="Comma [0] TBD-_Family Cluster Targets2 13 77" xfId="34635"/>
    <cellStyle name="Comma [0] TBD_Family Cluster Targets2 13 78" xfId="34636"/>
    <cellStyle name="Comma [0] TBD-_Family Cluster Targets2 13 78" xfId="34637"/>
    <cellStyle name="Comma [0] TBD_Family Cluster Targets2 13 79" xfId="34638"/>
    <cellStyle name="Comma [0] TBD-_Family Cluster Targets2 13 79" xfId="34639"/>
    <cellStyle name="Comma [0] TBD_Family Cluster Targets2 13 8" xfId="34640"/>
    <cellStyle name="Comma [0] TBD-_Family Cluster Targets2 13 8" xfId="34641"/>
    <cellStyle name="Comma [0] TBD_Family Cluster Targets2 13 80" xfId="34642"/>
    <cellStyle name="Comma [0] TBD-_Family Cluster Targets2 13 80" xfId="34643"/>
    <cellStyle name="Comma [0] TBD_Family Cluster Targets2 13 81" xfId="34644"/>
    <cellStyle name="Comma [0] TBD-_Family Cluster Targets2 13 81" xfId="34645"/>
    <cellStyle name="Comma [0] TBD_Family Cluster Targets2 13 82" xfId="34646"/>
    <cellStyle name="Comma [0] TBD-_Family Cluster Targets2 13 82" xfId="34647"/>
    <cellStyle name="Comma [0] TBD_Family Cluster Targets2 13 83" xfId="34648"/>
    <cellStyle name="Comma [0] TBD-_Family Cluster Targets2 13 83" xfId="34649"/>
    <cellStyle name="Comma [0] TBD_Family Cluster Targets2 13 84" xfId="34650"/>
    <cellStyle name="Comma [0] TBD-_Family Cluster Targets2 13 84" xfId="34651"/>
    <cellStyle name="Comma [0] TBD_Family Cluster Targets2 13 85" xfId="34652"/>
    <cellStyle name="Comma [0] TBD-_Family Cluster Targets2 13 85" xfId="34653"/>
    <cellStyle name="Comma [0] TBD_Family Cluster Targets2 13 86" xfId="34654"/>
    <cellStyle name="Comma [0] TBD-_Family Cluster Targets2 13 86" xfId="34655"/>
    <cellStyle name="Comma [0] TBD_Family Cluster Targets2 13 87" xfId="34656"/>
    <cellStyle name="Comma [0] TBD-_Family Cluster Targets2 13 87" xfId="34657"/>
    <cellStyle name="Comma [0] TBD_Family Cluster Targets2 13 88" xfId="34658"/>
    <cellStyle name="Comma [0] TBD-_Family Cluster Targets2 13 88" xfId="34659"/>
    <cellStyle name="Comma [0] TBD_Family Cluster Targets2 13 89" xfId="34660"/>
    <cellStyle name="Comma [0] TBD-_Family Cluster Targets2 13 89" xfId="34661"/>
    <cellStyle name="Comma [0] TBD_Family Cluster Targets2 13 9" xfId="34662"/>
    <cellStyle name="Comma [0] TBD-_Family Cluster Targets2 13 9" xfId="34663"/>
    <cellStyle name="Comma [0] TBD_Family Cluster Targets2 13 90" xfId="34664"/>
    <cellStyle name="Comma [0] TBD-_Family Cluster Targets2 13 90" xfId="34665"/>
    <cellStyle name="Comma [0] TBD_Family Cluster Targets2 13 91" xfId="34666"/>
    <cellStyle name="Comma [0] TBD-_Family Cluster Targets2 13 91" xfId="34667"/>
    <cellStyle name="Comma [0] TBD_Family Cluster Targets2 13 92" xfId="34668"/>
    <cellStyle name="Comma [0] TBD-_Family Cluster Targets2 13 92" xfId="34669"/>
    <cellStyle name="Comma [0] TBD_Family Cluster Targets2 13 93" xfId="34670"/>
    <cellStyle name="Comma [0] TBD-_Family Cluster Targets2 13 93" xfId="34671"/>
    <cellStyle name="Comma [0] TBD_Family Cluster Targets2 13 94" xfId="34672"/>
    <cellStyle name="Comma [0] TBD-_Family Cluster Targets2 13 94" xfId="34673"/>
    <cellStyle name="Comma [0] TBD_Family Cluster Targets2 13 95" xfId="34674"/>
    <cellStyle name="Comma [0] TBD-_Family Cluster Targets2 13 95" xfId="34675"/>
    <cellStyle name="Comma [0] TBD_Family Cluster Targets2 13 96" xfId="34676"/>
    <cellStyle name="Comma [0] TBD-_Family Cluster Targets2 13 96" xfId="34677"/>
    <cellStyle name="Comma [0] TBD_Family Cluster Targets2 13 97" xfId="34678"/>
    <cellStyle name="Comma [0] TBD-_Family Cluster Targets2 13 97" xfId="34679"/>
    <cellStyle name="Comma [0] TBD_Family Cluster Targets2 13 98" xfId="34680"/>
    <cellStyle name="Comma [0] TBD-_Family Cluster Targets2 13 98" xfId="34681"/>
    <cellStyle name="Comma [0] TBD_Family Cluster Targets2 13 99" xfId="34682"/>
    <cellStyle name="Comma [0] TBD-_Family Cluster Targets2 13 99" xfId="34683"/>
    <cellStyle name="Comma [0] TBD_Family Cluster Targets2 14" xfId="34684"/>
    <cellStyle name="Comma [0] TBD-_Family Cluster Targets2 14" xfId="34685"/>
    <cellStyle name="Comma [0] TBD_Family Cluster Targets2 14 10" xfId="34686"/>
    <cellStyle name="Comma [0] TBD-_Family Cluster Targets2 14 10" xfId="34687"/>
    <cellStyle name="Comma [0] TBD_Family Cluster Targets2 14 100" xfId="34688"/>
    <cellStyle name="Comma [0] TBD-_Family Cluster Targets2 14 100" xfId="34689"/>
    <cellStyle name="Comma [0] TBD_Family Cluster Targets2 14 101" xfId="34690"/>
    <cellStyle name="Comma [0] TBD-_Family Cluster Targets2 14 101" xfId="34691"/>
    <cellStyle name="Comma [0] TBD_Family Cluster Targets2 14 102" xfId="34692"/>
    <cellStyle name="Comma [0] TBD-_Family Cluster Targets2 14 102" xfId="34693"/>
    <cellStyle name="Comma [0] TBD_Family Cluster Targets2 14 103" xfId="34694"/>
    <cellStyle name="Comma [0] TBD-_Family Cluster Targets2 14 103" xfId="34695"/>
    <cellStyle name="Comma [0] TBD_Family Cluster Targets2 14 104" xfId="34696"/>
    <cellStyle name="Comma [0] TBD-_Family Cluster Targets2 14 104" xfId="34697"/>
    <cellStyle name="Comma [0] TBD_Family Cluster Targets2 14 105" xfId="34698"/>
    <cellStyle name="Comma [0] TBD-_Family Cluster Targets2 14 105" xfId="34699"/>
    <cellStyle name="Comma [0] TBD_Family Cluster Targets2 14 106" xfId="34700"/>
    <cellStyle name="Comma [0] TBD-_Family Cluster Targets2 14 106" xfId="34701"/>
    <cellStyle name="Comma [0] TBD_Family Cluster Targets2 14 107" xfId="34702"/>
    <cellStyle name="Comma [0] TBD-_Family Cluster Targets2 14 107" xfId="34703"/>
    <cellStyle name="Comma [0] TBD_Family Cluster Targets2 14 108" xfId="34704"/>
    <cellStyle name="Comma [0] TBD-_Family Cluster Targets2 14 108" xfId="34705"/>
    <cellStyle name="Comma [0] TBD_Family Cluster Targets2 14 109" xfId="34706"/>
    <cellStyle name="Comma [0] TBD-_Family Cluster Targets2 14 109" xfId="34707"/>
    <cellStyle name="Comma [0] TBD_Family Cluster Targets2 14 11" xfId="34708"/>
    <cellStyle name="Comma [0] TBD-_Family Cluster Targets2 14 11" xfId="34709"/>
    <cellStyle name="Comma [0] TBD_Family Cluster Targets2 14 110" xfId="34710"/>
    <cellStyle name="Comma [0] TBD-_Family Cluster Targets2 14 110" xfId="34711"/>
    <cellStyle name="Comma [0] TBD_Family Cluster Targets2 14 111" xfId="34712"/>
    <cellStyle name="Comma [0] TBD-_Family Cluster Targets2 14 111" xfId="34713"/>
    <cellStyle name="Comma [0] TBD_Family Cluster Targets2 14 112" xfId="34714"/>
    <cellStyle name="Comma [0] TBD-_Family Cluster Targets2 14 112" xfId="34715"/>
    <cellStyle name="Comma [0] TBD_Family Cluster Targets2 14 113" xfId="34716"/>
    <cellStyle name="Comma [0] TBD-_Family Cluster Targets2 14 113" xfId="34717"/>
    <cellStyle name="Comma [0] TBD_Family Cluster Targets2 14 114" xfId="34718"/>
    <cellStyle name="Comma [0] TBD-_Family Cluster Targets2 14 114" xfId="34719"/>
    <cellStyle name="Comma [0] TBD_Family Cluster Targets2 14 115" xfId="34720"/>
    <cellStyle name="Comma [0] TBD-_Family Cluster Targets2 14 115" xfId="34721"/>
    <cellStyle name="Comma [0] TBD_Family Cluster Targets2 14 116" xfId="34722"/>
    <cellStyle name="Comma [0] TBD-_Family Cluster Targets2 14 116" xfId="34723"/>
    <cellStyle name="Comma [0] TBD_Family Cluster Targets2 14 117" xfId="34724"/>
    <cellStyle name="Comma [0] TBD-_Family Cluster Targets2 14 117" xfId="34725"/>
    <cellStyle name="Comma [0] TBD_Family Cluster Targets2 14 118" xfId="34726"/>
    <cellStyle name="Comma [0] TBD-_Family Cluster Targets2 14 118" xfId="34727"/>
    <cellStyle name="Comma [0] TBD_Family Cluster Targets2 14 119" xfId="34728"/>
    <cellStyle name="Comma [0] TBD-_Family Cluster Targets2 14 119" xfId="34729"/>
    <cellStyle name="Comma [0] TBD_Family Cluster Targets2 14 12" xfId="34730"/>
    <cellStyle name="Comma [0] TBD-_Family Cluster Targets2 14 12" xfId="34731"/>
    <cellStyle name="Comma [0] TBD_Family Cluster Targets2 14 120" xfId="34732"/>
    <cellStyle name="Comma [0] TBD-_Family Cluster Targets2 14 120" xfId="34733"/>
    <cellStyle name="Comma [0] TBD_Family Cluster Targets2 14 121" xfId="34734"/>
    <cellStyle name="Comma [0] TBD-_Family Cluster Targets2 14 121" xfId="34735"/>
    <cellStyle name="Comma [0] TBD_Family Cluster Targets2 14 122" xfId="34736"/>
    <cellStyle name="Comma [0] TBD-_Family Cluster Targets2 14 122" xfId="34737"/>
    <cellStyle name="Comma [0] TBD_Family Cluster Targets2 14 123" xfId="34738"/>
    <cellStyle name="Comma [0] TBD-_Family Cluster Targets2 14 123" xfId="34739"/>
    <cellStyle name="Comma [0] TBD_Family Cluster Targets2 14 124" xfId="34740"/>
    <cellStyle name="Comma [0] TBD-_Family Cluster Targets2 14 124" xfId="34741"/>
    <cellStyle name="Comma [0] TBD_Family Cluster Targets2 14 125" xfId="34742"/>
    <cellStyle name="Comma [0] TBD-_Family Cluster Targets2 14 125" xfId="34743"/>
    <cellStyle name="Comma [0] TBD_Family Cluster Targets2 14 126" xfId="34744"/>
    <cellStyle name="Comma [0] TBD-_Family Cluster Targets2 14 126" xfId="34745"/>
    <cellStyle name="Comma [0] TBD_Family Cluster Targets2 14 127" xfId="34746"/>
    <cellStyle name="Comma [0] TBD-_Family Cluster Targets2 14 127" xfId="34747"/>
    <cellStyle name="Comma [0] TBD_Family Cluster Targets2 14 128" xfId="34748"/>
    <cellStyle name="Comma [0] TBD-_Family Cluster Targets2 14 128" xfId="34749"/>
    <cellStyle name="Comma [0] TBD_Family Cluster Targets2 14 129" xfId="34750"/>
    <cellStyle name="Comma [0] TBD-_Family Cluster Targets2 14 129" xfId="34751"/>
    <cellStyle name="Comma [0] TBD_Family Cluster Targets2 14 13" xfId="34752"/>
    <cellStyle name="Comma [0] TBD-_Family Cluster Targets2 14 13" xfId="34753"/>
    <cellStyle name="Comma [0] TBD_Family Cluster Targets2 14 130" xfId="34754"/>
    <cellStyle name="Comma [0] TBD-_Family Cluster Targets2 14 130" xfId="34755"/>
    <cellStyle name="Comma [0] TBD_Family Cluster Targets2 14 131" xfId="34756"/>
    <cellStyle name="Comma [0] TBD-_Family Cluster Targets2 14 131" xfId="34757"/>
    <cellStyle name="Comma [0] TBD_Family Cluster Targets2 14 132" xfId="34758"/>
    <cellStyle name="Comma [0] TBD-_Family Cluster Targets2 14 132" xfId="34759"/>
    <cellStyle name="Comma [0] TBD_Family Cluster Targets2 14 133" xfId="34760"/>
    <cellStyle name="Comma [0] TBD-_Family Cluster Targets2 14 133" xfId="34761"/>
    <cellStyle name="Comma [0] TBD_Family Cluster Targets2 14 134" xfId="34762"/>
    <cellStyle name="Comma [0] TBD-_Family Cluster Targets2 14 134" xfId="34763"/>
    <cellStyle name="Comma [0] TBD_Family Cluster Targets2 14 135" xfId="34764"/>
    <cellStyle name="Comma [0] TBD-_Family Cluster Targets2 14 135" xfId="34765"/>
    <cellStyle name="Comma [0] TBD_Family Cluster Targets2 14 136" xfId="34766"/>
    <cellStyle name="Comma [0] TBD-_Family Cluster Targets2 14 136" xfId="34767"/>
    <cellStyle name="Comma [0] TBD_Family Cluster Targets2 14 137" xfId="34768"/>
    <cellStyle name="Comma [0] TBD-_Family Cluster Targets2 14 137" xfId="34769"/>
    <cellStyle name="Comma [0] TBD_Family Cluster Targets2 14 138" xfId="34770"/>
    <cellStyle name="Comma [0] TBD-_Family Cluster Targets2 14 138" xfId="34771"/>
    <cellStyle name="Comma [0] TBD_Family Cluster Targets2 14 139" xfId="34772"/>
    <cellStyle name="Comma [0] TBD-_Family Cluster Targets2 14 139" xfId="34773"/>
    <cellStyle name="Comma [0] TBD_Family Cluster Targets2 14 14" xfId="34774"/>
    <cellStyle name="Comma [0] TBD-_Family Cluster Targets2 14 14" xfId="34775"/>
    <cellStyle name="Comma [0] TBD_Family Cluster Targets2 14 140" xfId="34776"/>
    <cellStyle name="Comma [0] TBD-_Family Cluster Targets2 14 140" xfId="34777"/>
    <cellStyle name="Comma [0] TBD_Family Cluster Targets2 14 141" xfId="34778"/>
    <cellStyle name="Comma [0] TBD-_Family Cluster Targets2 14 141" xfId="34779"/>
    <cellStyle name="Comma [0] TBD_Family Cluster Targets2 14 142" xfId="34780"/>
    <cellStyle name="Comma [0] TBD-_Family Cluster Targets2 14 142" xfId="34781"/>
    <cellStyle name="Comma [0] TBD_Family Cluster Targets2 14 143" xfId="34782"/>
    <cellStyle name="Comma [0] TBD-_Family Cluster Targets2 14 143" xfId="34783"/>
    <cellStyle name="Comma [0] TBD_Family Cluster Targets2 14 144" xfId="34784"/>
    <cellStyle name="Comma [0] TBD-_Family Cluster Targets2 14 144" xfId="34785"/>
    <cellStyle name="Comma [0] TBD_Family Cluster Targets2 14 145" xfId="34786"/>
    <cellStyle name="Comma [0] TBD-_Family Cluster Targets2 14 145" xfId="34787"/>
    <cellStyle name="Comma [0] TBD_Family Cluster Targets2 14 146" xfId="34788"/>
    <cellStyle name="Comma [0] TBD-_Family Cluster Targets2 14 146" xfId="34789"/>
    <cellStyle name="Comma [0] TBD_Family Cluster Targets2 14 147" xfId="34790"/>
    <cellStyle name="Comma [0] TBD-_Family Cluster Targets2 14 147" xfId="34791"/>
    <cellStyle name="Comma [0] TBD_Family Cluster Targets2 14 148" xfId="34792"/>
    <cellStyle name="Comma [0] TBD-_Family Cluster Targets2 14 148" xfId="34793"/>
    <cellStyle name="Comma [0] TBD_Family Cluster Targets2 14 149" xfId="34794"/>
    <cellStyle name="Comma [0] TBD-_Family Cluster Targets2 14 149" xfId="34795"/>
    <cellStyle name="Comma [0] TBD_Family Cluster Targets2 14 15" xfId="34796"/>
    <cellStyle name="Comma [0] TBD-_Family Cluster Targets2 14 15" xfId="34797"/>
    <cellStyle name="Comma [0] TBD_Family Cluster Targets2 14 150" xfId="34798"/>
    <cellStyle name="Comma [0] TBD-_Family Cluster Targets2 14 150" xfId="34799"/>
    <cellStyle name="Comma [0] TBD_Family Cluster Targets2 14 151" xfId="34800"/>
    <cellStyle name="Comma [0] TBD-_Family Cluster Targets2 14 151" xfId="34801"/>
    <cellStyle name="Comma [0] TBD_Family Cluster Targets2 14 152" xfId="34802"/>
    <cellStyle name="Comma [0] TBD-_Family Cluster Targets2 14 152" xfId="34803"/>
    <cellStyle name="Comma [0] TBD_Family Cluster Targets2 14 153" xfId="34804"/>
    <cellStyle name="Comma [0] TBD-_Family Cluster Targets2 14 153" xfId="34805"/>
    <cellStyle name="Comma [0] TBD_Family Cluster Targets2 14 16" xfId="34806"/>
    <cellStyle name="Comma [0] TBD-_Family Cluster Targets2 14 16" xfId="34807"/>
    <cellStyle name="Comma [0] TBD_Family Cluster Targets2 14 17" xfId="34808"/>
    <cellStyle name="Comma [0] TBD-_Family Cluster Targets2 14 17" xfId="34809"/>
    <cellStyle name="Comma [0] TBD_Family Cluster Targets2 14 18" xfId="34810"/>
    <cellStyle name="Comma [0] TBD-_Family Cluster Targets2 14 18" xfId="34811"/>
    <cellStyle name="Comma [0] TBD_Family Cluster Targets2 14 19" xfId="34812"/>
    <cellStyle name="Comma [0] TBD-_Family Cluster Targets2 14 19" xfId="34813"/>
    <cellStyle name="Comma [0] TBD_Family Cluster Targets2 14 2" xfId="34814"/>
    <cellStyle name="Comma [0] TBD-_Family Cluster Targets2 14 2" xfId="34815"/>
    <cellStyle name="Comma [0] TBD_Family Cluster Targets2 14 20" xfId="34816"/>
    <cellStyle name="Comma [0] TBD-_Family Cluster Targets2 14 20" xfId="34817"/>
    <cellStyle name="Comma [0] TBD_Family Cluster Targets2 14 21" xfId="34818"/>
    <cellStyle name="Comma [0] TBD-_Family Cluster Targets2 14 21" xfId="34819"/>
    <cellStyle name="Comma [0] TBD_Family Cluster Targets2 14 22" xfId="34820"/>
    <cellStyle name="Comma [0] TBD-_Family Cluster Targets2 14 22" xfId="34821"/>
    <cellStyle name="Comma [0] TBD_Family Cluster Targets2 14 23" xfId="34822"/>
    <cellStyle name="Comma [0] TBD-_Family Cluster Targets2 14 23" xfId="34823"/>
    <cellStyle name="Comma [0] TBD_Family Cluster Targets2 14 24" xfId="34824"/>
    <cellStyle name="Comma [0] TBD-_Family Cluster Targets2 14 24" xfId="34825"/>
    <cellStyle name="Comma [0] TBD_Family Cluster Targets2 14 25" xfId="34826"/>
    <cellStyle name="Comma [0] TBD-_Family Cluster Targets2 14 25" xfId="34827"/>
    <cellStyle name="Comma [0] TBD_Family Cluster Targets2 14 26" xfId="34828"/>
    <cellStyle name="Comma [0] TBD-_Family Cluster Targets2 14 26" xfId="34829"/>
    <cellStyle name="Comma [0] TBD_Family Cluster Targets2 14 27" xfId="34830"/>
    <cellStyle name="Comma [0] TBD-_Family Cluster Targets2 14 27" xfId="34831"/>
    <cellStyle name="Comma [0] TBD_Family Cluster Targets2 14 28" xfId="34832"/>
    <cellStyle name="Comma [0] TBD-_Family Cluster Targets2 14 28" xfId="34833"/>
    <cellStyle name="Comma [0] TBD_Family Cluster Targets2 14 29" xfId="34834"/>
    <cellStyle name="Comma [0] TBD-_Family Cluster Targets2 14 29" xfId="34835"/>
    <cellStyle name="Comma [0] TBD_Family Cluster Targets2 14 3" xfId="34836"/>
    <cellStyle name="Comma [0] TBD-_Family Cluster Targets2 14 3" xfId="34837"/>
    <cellStyle name="Comma [0] TBD_Family Cluster Targets2 14 30" xfId="34838"/>
    <cellStyle name="Comma [0] TBD-_Family Cluster Targets2 14 30" xfId="34839"/>
    <cellStyle name="Comma [0] TBD_Family Cluster Targets2 14 31" xfId="34840"/>
    <cellStyle name="Comma [0] TBD-_Family Cluster Targets2 14 31" xfId="34841"/>
    <cellStyle name="Comma [0] TBD_Family Cluster Targets2 14 32" xfId="34842"/>
    <cellStyle name="Comma [0] TBD-_Family Cluster Targets2 14 32" xfId="34843"/>
    <cellStyle name="Comma [0] TBD_Family Cluster Targets2 14 33" xfId="34844"/>
    <cellStyle name="Comma [0] TBD-_Family Cluster Targets2 14 33" xfId="34845"/>
    <cellStyle name="Comma [0] TBD_Family Cluster Targets2 14 34" xfId="34846"/>
    <cellStyle name="Comma [0] TBD-_Family Cluster Targets2 14 34" xfId="34847"/>
    <cellStyle name="Comma [0] TBD_Family Cluster Targets2 14 35" xfId="34848"/>
    <cellStyle name="Comma [0] TBD-_Family Cluster Targets2 14 35" xfId="34849"/>
    <cellStyle name="Comma [0] TBD_Family Cluster Targets2 14 36" xfId="34850"/>
    <cellStyle name="Comma [0] TBD-_Family Cluster Targets2 14 36" xfId="34851"/>
    <cellStyle name="Comma [0] TBD_Family Cluster Targets2 14 37" xfId="34852"/>
    <cellStyle name="Comma [0] TBD-_Family Cluster Targets2 14 37" xfId="34853"/>
    <cellStyle name="Comma [0] TBD_Family Cluster Targets2 14 38" xfId="34854"/>
    <cellStyle name="Comma [0] TBD-_Family Cluster Targets2 14 38" xfId="34855"/>
    <cellStyle name="Comma [0] TBD_Family Cluster Targets2 14 39" xfId="34856"/>
    <cellStyle name="Comma [0] TBD-_Family Cluster Targets2 14 39" xfId="34857"/>
    <cellStyle name="Comma [0] TBD_Family Cluster Targets2 14 4" xfId="34858"/>
    <cellStyle name="Comma [0] TBD-_Family Cluster Targets2 14 4" xfId="34859"/>
    <cellStyle name="Comma [0] TBD_Family Cluster Targets2 14 40" xfId="34860"/>
    <cellStyle name="Comma [0] TBD-_Family Cluster Targets2 14 40" xfId="34861"/>
    <cellStyle name="Comma [0] TBD_Family Cluster Targets2 14 41" xfId="34862"/>
    <cellStyle name="Comma [0] TBD-_Family Cluster Targets2 14 41" xfId="34863"/>
    <cellStyle name="Comma [0] TBD_Family Cluster Targets2 14 42" xfId="34864"/>
    <cellStyle name="Comma [0] TBD-_Family Cluster Targets2 14 42" xfId="34865"/>
    <cellStyle name="Comma [0] TBD_Family Cluster Targets2 14 43" xfId="34866"/>
    <cellStyle name="Comma [0] TBD-_Family Cluster Targets2 14 43" xfId="34867"/>
    <cellStyle name="Comma [0] TBD_Family Cluster Targets2 14 44" xfId="34868"/>
    <cellStyle name="Comma [0] TBD-_Family Cluster Targets2 14 44" xfId="34869"/>
    <cellStyle name="Comma [0] TBD_Family Cluster Targets2 14 45" xfId="34870"/>
    <cellStyle name="Comma [0] TBD-_Family Cluster Targets2 14 45" xfId="34871"/>
    <cellStyle name="Comma [0] TBD_Family Cluster Targets2 14 46" xfId="34872"/>
    <cellStyle name="Comma [0] TBD-_Family Cluster Targets2 14 46" xfId="34873"/>
    <cellStyle name="Comma [0] TBD_Family Cluster Targets2 14 47" xfId="34874"/>
    <cellStyle name="Comma [0] TBD-_Family Cluster Targets2 14 47" xfId="34875"/>
    <cellStyle name="Comma [0] TBD_Family Cluster Targets2 14 48" xfId="34876"/>
    <cellStyle name="Comma [0] TBD-_Family Cluster Targets2 14 48" xfId="34877"/>
    <cellStyle name="Comma [0] TBD_Family Cluster Targets2 14 49" xfId="34878"/>
    <cellStyle name="Comma [0] TBD-_Family Cluster Targets2 14 49" xfId="34879"/>
    <cellStyle name="Comma [0] TBD_Family Cluster Targets2 14 5" xfId="34880"/>
    <cellStyle name="Comma [0] TBD-_Family Cluster Targets2 14 5" xfId="34881"/>
    <cellStyle name="Comma [0] TBD_Family Cluster Targets2 14 50" xfId="34882"/>
    <cellStyle name="Comma [0] TBD-_Family Cluster Targets2 14 50" xfId="34883"/>
    <cellStyle name="Comma [0] TBD_Family Cluster Targets2 14 51" xfId="34884"/>
    <cellStyle name="Comma [0] TBD-_Family Cluster Targets2 14 51" xfId="34885"/>
    <cellStyle name="Comma [0] TBD_Family Cluster Targets2 14 52" xfId="34886"/>
    <cellStyle name="Comma [0] TBD-_Family Cluster Targets2 14 52" xfId="34887"/>
    <cellStyle name="Comma [0] TBD_Family Cluster Targets2 14 53" xfId="34888"/>
    <cellStyle name="Comma [0] TBD-_Family Cluster Targets2 14 53" xfId="34889"/>
    <cellStyle name="Comma [0] TBD_Family Cluster Targets2 14 54" xfId="34890"/>
    <cellStyle name="Comma [0] TBD-_Family Cluster Targets2 14 54" xfId="34891"/>
    <cellStyle name="Comma [0] TBD_Family Cluster Targets2 14 55" xfId="34892"/>
    <cellStyle name="Comma [0] TBD-_Family Cluster Targets2 14 55" xfId="34893"/>
    <cellStyle name="Comma [0] TBD_Family Cluster Targets2 14 56" xfId="34894"/>
    <cellStyle name="Comma [0] TBD-_Family Cluster Targets2 14 56" xfId="34895"/>
    <cellStyle name="Comma [0] TBD_Family Cluster Targets2 14 57" xfId="34896"/>
    <cellStyle name="Comma [0] TBD-_Family Cluster Targets2 14 57" xfId="34897"/>
    <cellStyle name="Comma [0] TBD_Family Cluster Targets2 14 58" xfId="34898"/>
    <cellStyle name="Comma [0] TBD-_Family Cluster Targets2 14 58" xfId="34899"/>
    <cellStyle name="Comma [0] TBD_Family Cluster Targets2 14 59" xfId="34900"/>
    <cellStyle name="Comma [0] TBD-_Family Cluster Targets2 14 59" xfId="34901"/>
    <cellStyle name="Comma [0] TBD_Family Cluster Targets2 14 6" xfId="34902"/>
    <cellStyle name="Comma [0] TBD-_Family Cluster Targets2 14 6" xfId="34903"/>
    <cellStyle name="Comma [0] TBD_Family Cluster Targets2 14 60" xfId="34904"/>
    <cellStyle name="Comma [0] TBD-_Family Cluster Targets2 14 60" xfId="34905"/>
    <cellStyle name="Comma [0] TBD_Family Cluster Targets2 14 61" xfId="34906"/>
    <cellStyle name="Comma [0] TBD-_Family Cluster Targets2 14 61" xfId="34907"/>
    <cellStyle name="Comma [0] TBD_Family Cluster Targets2 14 62" xfId="34908"/>
    <cellStyle name="Comma [0] TBD-_Family Cluster Targets2 14 62" xfId="34909"/>
    <cellStyle name="Comma [0] TBD_Family Cluster Targets2 14 63" xfId="34910"/>
    <cellStyle name="Comma [0] TBD-_Family Cluster Targets2 14 63" xfId="34911"/>
    <cellStyle name="Comma [0] TBD_Family Cluster Targets2 14 64" xfId="34912"/>
    <cellStyle name="Comma [0] TBD-_Family Cluster Targets2 14 64" xfId="34913"/>
    <cellStyle name="Comma [0] TBD_Family Cluster Targets2 14 65" xfId="34914"/>
    <cellStyle name="Comma [0] TBD-_Family Cluster Targets2 14 65" xfId="34915"/>
    <cellStyle name="Comma [0] TBD_Family Cluster Targets2 14 66" xfId="34916"/>
    <cellStyle name="Comma [0] TBD-_Family Cluster Targets2 14 66" xfId="34917"/>
    <cellStyle name="Comma [0] TBD_Family Cluster Targets2 14 67" xfId="34918"/>
    <cellStyle name="Comma [0] TBD-_Family Cluster Targets2 14 67" xfId="34919"/>
    <cellStyle name="Comma [0] TBD_Family Cluster Targets2 14 68" xfId="34920"/>
    <cellStyle name="Comma [0] TBD-_Family Cluster Targets2 14 68" xfId="34921"/>
    <cellStyle name="Comma [0] TBD_Family Cluster Targets2 14 69" xfId="34922"/>
    <cellStyle name="Comma [0] TBD-_Family Cluster Targets2 14 69" xfId="34923"/>
    <cellStyle name="Comma [0] TBD_Family Cluster Targets2 14 7" xfId="34924"/>
    <cellStyle name="Comma [0] TBD-_Family Cluster Targets2 14 7" xfId="34925"/>
    <cellStyle name="Comma [0] TBD_Family Cluster Targets2 14 70" xfId="34926"/>
    <cellStyle name="Comma [0] TBD-_Family Cluster Targets2 14 70" xfId="34927"/>
    <cellStyle name="Comma [0] TBD_Family Cluster Targets2 14 71" xfId="34928"/>
    <cellStyle name="Comma [0] TBD-_Family Cluster Targets2 14 71" xfId="34929"/>
    <cellStyle name="Comma [0] TBD_Family Cluster Targets2 14 72" xfId="34930"/>
    <cellStyle name="Comma [0] TBD-_Family Cluster Targets2 14 72" xfId="34931"/>
    <cellStyle name="Comma [0] TBD_Family Cluster Targets2 14 73" xfId="34932"/>
    <cellStyle name="Comma [0] TBD-_Family Cluster Targets2 14 73" xfId="34933"/>
    <cellStyle name="Comma [0] TBD_Family Cluster Targets2 14 74" xfId="34934"/>
    <cellStyle name="Comma [0] TBD-_Family Cluster Targets2 14 74" xfId="34935"/>
    <cellStyle name="Comma [0] TBD_Family Cluster Targets2 14 75" xfId="34936"/>
    <cellStyle name="Comma [0] TBD-_Family Cluster Targets2 14 75" xfId="34937"/>
    <cellStyle name="Comma [0] TBD_Family Cluster Targets2 14 76" xfId="34938"/>
    <cellStyle name="Comma [0] TBD-_Family Cluster Targets2 14 76" xfId="34939"/>
    <cellStyle name="Comma [0] TBD_Family Cluster Targets2 14 77" xfId="34940"/>
    <cellStyle name="Comma [0] TBD-_Family Cluster Targets2 14 77" xfId="34941"/>
    <cellStyle name="Comma [0] TBD_Family Cluster Targets2 14 78" xfId="34942"/>
    <cellStyle name="Comma [0] TBD-_Family Cluster Targets2 14 78" xfId="34943"/>
    <cellStyle name="Comma [0] TBD_Family Cluster Targets2 14 79" xfId="34944"/>
    <cellStyle name="Comma [0] TBD-_Family Cluster Targets2 14 79" xfId="34945"/>
    <cellStyle name="Comma [0] TBD_Family Cluster Targets2 14 8" xfId="34946"/>
    <cellStyle name="Comma [0] TBD-_Family Cluster Targets2 14 8" xfId="34947"/>
    <cellStyle name="Comma [0] TBD_Family Cluster Targets2 14 80" xfId="34948"/>
    <cellStyle name="Comma [0] TBD-_Family Cluster Targets2 14 80" xfId="34949"/>
    <cellStyle name="Comma [0] TBD_Family Cluster Targets2 14 81" xfId="34950"/>
    <cellStyle name="Comma [0] TBD-_Family Cluster Targets2 14 81" xfId="34951"/>
    <cellStyle name="Comma [0] TBD_Family Cluster Targets2 14 82" xfId="34952"/>
    <cellStyle name="Comma [0] TBD-_Family Cluster Targets2 14 82" xfId="34953"/>
    <cellStyle name="Comma [0] TBD_Family Cluster Targets2 14 83" xfId="34954"/>
    <cellStyle name="Comma [0] TBD-_Family Cluster Targets2 14 83" xfId="34955"/>
    <cellStyle name="Comma [0] TBD_Family Cluster Targets2 14 84" xfId="34956"/>
    <cellStyle name="Comma [0] TBD-_Family Cluster Targets2 14 84" xfId="34957"/>
    <cellStyle name="Comma [0] TBD_Family Cluster Targets2 14 85" xfId="34958"/>
    <cellStyle name="Comma [0] TBD-_Family Cluster Targets2 14 85" xfId="34959"/>
    <cellStyle name="Comma [0] TBD_Family Cluster Targets2 14 86" xfId="34960"/>
    <cellStyle name="Comma [0] TBD-_Family Cluster Targets2 14 86" xfId="34961"/>
    <cellStyle name="Comma [0] TBD_Family Cluster Targets2 14 87" xfId="34962"/>
    <cellStyle name="Comma [0] TBD-_Family Cluster Targets2 14 87" xfId="34963"/>
    <cellStyle name="Comma [0] TBD_Family Cluster Targets2 14 88" xfId="34964"/>
    <cellStyle name="Comma [0] TBD-_Family Cluster Targets2 14 88" xfId="34965"/>
    <cellStyle name="Comma [0] TBD_Family Cluster Targets2 14 89" xfId="34966"/>
    <cellStyle name="Comma [0] TBD-_Family Cluster Targets2 14 89" xfId="34967"/>
    <cellStyle name="Comma [0] TBD_Family Cluster Targets2 14 9" xfId="34968"/>
    <cellStyle name="Comma [0] TBD-_Family Cluster Targets2 14 9" xfId="34969"/>
    <cellStyle name="Comma [0] TBD_Family Cluster Targets2 14 90" xfId="34970"/>
    <cellStyle name="Comma [0] TBD-_Family Cluster Targets2 14 90" xfId="34971"/>
    <cellStyle name="Comma [0] TBD_Family Cluster Targets2 14 91" xfId="34972"/>
    <cellStyle name="Comma [0] TBD-_Family Cluster Targets2 14 91" xfId="34973"/>
    <cellStyle name="Comma [0] TBD_Family Cluster Targets2 14 92" xfId="34974"/>
    <cellStyle name="Comma [0] TBD-_Family Cluster Targets2 14 92" xfId="34975"/>
    <cellStyle name="Comma [0] TBD_Family Cluster Targets2 14 93" xfId="34976"/>
    <cellStyle name="Comma [0] TBD-_Family Cluster Targets2 14 93" xfId="34977"/>
    <cellStyle name="Comma [0] TBD_Family Cluster Targets2 14 94" xfId="34978"/>
    <cellStyle name="Comma [0] TBD-_Family Cluster Targets2 14 94" xfId="34979"/>
    <cellStyle name="Comma [0] TBD_Family Cluster Targets2 14 95" xfId="34980"/>
    <cellStyle name="Comma [0] TBD-_Family Cluster Targets2 14 95" xfId="34981"/>
    <cellStyle name="Comma [0] TBD_Family Cluster Targets2 14 96" xfId="34982"/>
    <cellStyle name="Comma [0] TBD-_Family Cluster Targets2 14 96" xfId="34983"/>
    <cellStyle name="Comma [0] TBD_Family Cluster Targets2 14 97" xfId="34984"/>
    <cellStyle name="Comma [0] TBD-_Family Cluster Targets2 14 97" xfId="34985"/>
    <cellStyle name="Comma [0] TBD_Family Cluster Targets2 14 98" xfId="34986"/>
    <cellStyle name="Comma [0] TBD-_Family Cluster Targets2 14 98" xfId="34987"/>
    <cellStyle name="Comma [0] TBD_Family Cluster Targets2 14 99" xfId="34988"/>
    <cellStyle name="Comma [0] TBD-_Family Cluster Targets2 14 99" xfId="34989"/>
    <cellStyle name="Comma [0] TBD_Family Cluster Targets2 2" xfId="34990"/>
    <cellStyle name="Comma [0] TBD-_Family Cluster Targets2 2" xfId="34991"/>
    <cellStyle name="Comma [0] TBD_Family Cluster Targets2 2 10" xfId="34992"/>
    <cellStyle name="Comma [0] TBD-_Family Cluster Targets2 2 10" xfId="34993"/>
    <cellStyle name="Comma [0] TBD_Family Cluster Targets2 2 100" xfId="34994"/>
    <cellStyle name="Comma [0] TBD-_Family Cluster Targets2 2 100" xfId="34995"/>
    <cellStyle name="Comma [0] TBD_Family Cluster Targets2 2 101" xfId="34996"/>
    <cellStyle name="Comma [0] TBD-_Family Cluster Targets2 2 101" xfId="34997"/>
    <cellStyle name="Comma [0] TBD_Family Cluster Targets2 2 102" xfId="34998"/>
    <cellStyle name="Comma [0] TBD-_Family Cluster Targets2 2 102" xfId="34999"/>
    <cellStyle name="Comma [0] TBD_Family Cluster Targets2 2 103" xfId="35000"/>
    <cellStyle name="Comma [0] TBD-_Family Cluster Targets2 2 103" xfId="35001"/>
    <cellStyle name="Comma [0] TBD_Family Cluster Targets2 2 104" xfId="35002"/>
    <cellStyle name="Comma [0] TBD-_Family Cluster Targets2 2 104" xfId="35003"/>
    <cellStyle name="Comma [0] TBD_Family Cluster Targets2 2 105" xfId="35004"/>
    <cellStyle name="Comma [0] TBD-_Family Cluster Targets2 2 105" xfId="35005"/>
    <cellStyle name="Comma [0] TBD_Family Cluster Targets2 2 106" xfId="35006"/>
    <cellStyle name="Comma [0] TBD-_Family Cluster Targets2 2 106" xfId="35007"/>
    <cellStyle name="Comma [0] TBD_Family Cluster Targets2 2 107" xfId="35008"/>
    <cellStyle name="Comma [0] TBD-_Family Cluster Targets2 2 107" xfId="35009"/>
    <cellStyle name="Comma [0] TBD_Family Cluster Targets2 2 108" xfId="35010"/>
    <cellStyle name="Comma [0] TBD-_Family Cluster Targets2 2 108" xfId="35011"/>
    <cellStyle name="Comma [0] TBD_Family Cluster Targets2 2 109" xfId="35012"/>
    <cellStyle name="Comma [0] TBD-_Family Cluster Targets2 2 109" xfId="35013"/>
    <cellStyle name="Comma [0] TBD_Family Cluster Targets2 2 11" xfId="35014"/>
    <cellStyle name="Comma [0] TBD-_Family Cluster Targets2 2 11" xfId="35015"/>
    <cellStyle name="Comma [0] TBD_Family Cluster Targets2 2 110" xfId="35016"/>
    <cellStyle name="Comma [0] TBD-_Family Cluster Targets2 2 110" xfId="35017"/>
    <cellStyle name="Comma [0] TBD_Family Cluster Targets2 2 111" xfId="35018"/>
    <cellStyle name="Comma [0] TBD-_Family Cluster Targets2 2 111" xfId="35019"/>
    <cellStyle name="Comma [0] TBD_Family Cluster Targets2 2 112" xfId="35020"/>
    <cellStyle name="Comma [0] TBD-_Family Cluster Targets2 2 112" xfId="35021"/>
    <cellStyle name="Comma [0] TBD_Family Cluster Targets2 2 113" xfId="35022"/>
    <cellStyle name="Comma [0] TBD-_Family Cluster Targets2 2 113" xfId="35023"/>
    <cellStyle name="Comma [0] TBD_Family Cluster Targets2 2 114" xfId="35024"/>
    <cellStyle name="Comma [0] TBD-_Family Cluster Targets2 2 114" xfId="35025"/>
    <cellStyle name="Comma [0] TBD_Family Cluster Targets2 2 115" xfId="35026"/>
    <cellStyle name="Comma [0] TBD-_Family Cluster Targets2 2 115" xfId="35027"/>
    <cellStyle name="Comma [0] TBD_Family Cluster Targets2 2 116" xfId="35028"/>
    <cellStyle name="Comma [0] TBD-_Family Cluster Targets2 2 116" xfId="35029"/>
    <cellStyle name="Comma [0] TBD_Family Cluster Targets2 2 117" xfId="35030"/>
    <cellStyle name="Comma [0] TBD-_Family Cluster Targets2 2 117" xfId="35031"/>
    <cellStyle name="Comma [0] TBD_Family Cluster Targets2 2 118" xfId="35032"/>
    <cellStyle name="Comma [0] TBD-_Family Cluster Targets2 2 118" xfId="35033"/>
    <cellStyle name="Comma [0] TBD_Family Cluster Targets2 2 119" xfId="35034"/>
    <cellStyle name="Comma [0] TBD-_Family Cluster Targets2 2 119" xfId="35035"/>
    <cellStyle name="Comma [0] TBD_Family Cluster Targets2 2 12" xfId="35036"/>
    <cellStyle name="Comma [0] TBD-_Family Cluster Targets2 2 12" xfId="35037"/>
    <cellStyle name="Comma [0] TBD_Family Cluster Targets2 2 120" xfId="35038"/>
    <cellStyle name="Comma [0] TBD-_Family Cluster Targets2 2 120" xfId="35039"/>
    <cellStyle name="Comma [0] TBD_Family Cluster Targets2 2 121" xfId="35040"/>
    <cellStyle name="Comma [0] TBD-_Family Cluster Targets2 2 121" xfId="35041"/>
    <cellStyle name="Comma [0] TBD_Family Cluster Targets2 2 122" xfId="35042"/>
    <cellStyle name="Comma [0] TBD-_Family Cluster Targets2 2 122" xfId="35043"/>
    <cellStyle name="Comma [0] TBD_Family Cluster Targets2 2 123" xfId="35044"/>
    <cellStyle name="Comma [0] TBD-_Family Cluster Targets2 2 123" xfId="35045"/>
    <cellStyle name="Comma [0] TBD_Family Cluster Targets2 2 124" xfId="35046"/>
    <cellStyle name="Comma [0] TBD-_Family Cluster Targets2 2 124" xfId="35047"/>
    <cellStyle name="Comma [0] TBD_Family Cluster Targets2 2 125" xfId="35048"/>
    <cellStyle name="Comma [0] TBD-_Family Cluster Targets2 2 125" xfId="35049"/>
    <cellStyle name="Comma [0] TBD_Family Cluster Targets2 2 126" xfId="35050"/>
    <cellStyle name="Comma [0] TBD-_Family Cluster Targets2 2 126" xfId="35051"/>
    <cellStyle name="Comma [0] TBD_Family Cluster Targets2 2 127" xfId="35052"/>
    <cellStyle name="Comma [0] TBD-_Family Cluster Targets2 2 127" xfId="35053"/>
    <cellStyle name="Comma [0] TBD_Family Cluster Targets2 2 128" xfId="35054"/>
    <cellStyle name="Comma [0] TBD-_Family Cluster Targets2 2 128" xfId="35055"/>
    <cellStyle name="Comma [0] TBD_Family Cluster Targets2 2 129" xfId="35056"/>
    <cellStyle name="Comma [0] TBD-_Family Cluster Targets2 2 129" xfId="35057"/>
    <cellStyle name="Comma [0] TBD_Family Cluster Targets2 2 13" xfId="35058"/>
    <cellStyle name="Comma [0] TBD-_Family Cluster Targets2 2 13" xfId="35059"/>
    <cellStyle name="Comma [0] TBD_Family Cluster Targets2 2 130" xfId="35060"/>
    <cellStyle name="Comma [0] TBD-_Family Cluster Targets2 2 130" xfId="35061"/>
    <cellStyle name="Comma [0] TBD_Family Cluster Targets2 2 131" xfId="35062"/>
    <cellStyle name="Comma [0] TBD-_Family Cluster Targets2 2 131" xfId="35063"/>
    <cellStyle name="Comma [0] TBD_Family Cluster Targets2 2 132" xfId="35064"/>
    <cellStyle name="Comma [0] TBD-_Family Cluster Targets2 2 132" xfId="35065"/>
    <cellStyle name="Comma [0] TBD_Family Cluster Targets2 2 133" xfId="35066"/>
    <cellStyle name="Comma [0] TBD-_Family Cluster Targets2 2 133" xfId="35067"/>
    <cellStyle name="Comma [0] TBD_Family Cluster Targets2 2 134" xfId="35068"/>
    <cellStyle name="Comma [0] TBD-_Family Cluster Targets2 2 134" xfId="35069"/>
    <cellStyle name="Comma [0] TBD_Family Cluster Targets2 2 135" xfId="35070"/>
    <cellStyle name="Comma [0] TBD-_Family Cluster Targets2 2 135" xfId="35071"/>
    <cellStyle name="Comma [0] TBD_Family Cluster Targets2 2 136" xfId="35072"/>
    <cellStyle name="Comma [0] TBD-_Family Cluster Targets2 2 136" xfId="35073"/>
    <cellStyle name="Comma [0] TBD_Family Cluster Targets2 2 137" xfId="35074"/>
    <cellStyle name="Comma [0] TBD-_Family Cluster Targets2 2 137" xfId="35075"/>
    <cellStyle name="Comma [0] TBD_Family Cluster Targets2 2 138" xfId="35076"/>
    <cellStyle name="Comma [0] TBD-_Family Cluster Targets2 2 138" xfId="35077"/>
    <cellStyle name="Comma [0] TBD_Family Cluster Targets2 2 139" xfId="35078"/>
    <cellStyle name="Comma [0] TBD-_Family Cluster Targets2 2 139" xfId="35079"/>
    <cellStyle name="Comma [0] TBD_Family Cluster Targets2 2 14" xfId="35080"/>
    <cellStyle name="Comma [0] TBD-_Family Cluster Targets2 2 14" xfId="35081"/>
    <cellStyle name="Comma [0] TBD_Family Cluster Targets2 2 140" xfId="35082"/>
    <cellStyle name="Comma [0] TBD-_Family Cluster Targets2 2 140" xfId="35083"/>
    <cellStyle name="Comma [0] TBD_Family Cluster Targets2 2 141" xfId="35084"/>
    <cellStyle name="Comma [0] TBD-_Family Cluster Targets2 2 141" xfId="35085"/>
    <cellStyle name="Comma [0] TBD_Family Cluster Targets2 2 142" xfId="35086"/>
    <cellStyle name="Comma [0] TBD-_Family Cluster Targets2 2 142" xfId="35087"/>
    <cellStyle name="Comma [0] TBD_Family Cluster Targets2 2 143" xfId="35088"/>
    <cellStyle name="Comma [0] TBD-_Family Cluster Targets2 2 143" xfId="35089"/>
    <cellStyle name="Comma [0] TBD_Family Cluster Targets2 2 144" xfId="35090"/>
    <cellStyle name="Comma [0] TBD-_Family Cluster Targets2 2 144" xfId="35091"/>
    <cellStyle name="Comma [0] TBD_Family Cluster Targets2 2 145" xfId="35092"/>
    <cellStyle name="Comma [0] TBD-_Family Cluster Targets2 2 145" xfId="35093"/>
    <cellStyle name="Comma [0] TBD_Family Cluster Targets2 2 146" xfId="35094"/>
    <cellStyle name="Comma [0] TBD-_Family Cluster Targets2 2 146" xfId="35095"/>
    <cellStyle name="Comma [0] TBD_Family Cluster Targets2 2 147" xfId="35096"/>
    <cellStyle name="Comma [0] TBD-_Family Cluster Targets2 2 147" xfId="35097"/>
    <cellStyle name="Comma [0] TBD_Family Cluster Targets2 2 148" xfId="35098"/>
    <cellStyle name="Comma [0] TBD-_Family Cluster Targets2 2 148" xfId="35099"/>
    <cellStyle name="Comma [0] TBD_Family Cluster Targets2 2 149" xfId="35100"/>
    <cellStyle name="Comma [0] TBD-_Family Cluster Targets2 2 149" xfId="35101"/>
    <cellStyle name="Comma [0] TBD_Family Cluster Targets2 2 15" xfId="35102"/>
    <cellStyle name="Comma [0] TBD-_Family Cluster Targets2 2 15" xfId="35103"/>
    <cellStyle name="Comma [0] TBD_Family Cluster Targets2 2 150" xfId="35104"/>
    <cellStyle name="Comma [0] TBD-_Family Cluster Targets2 2 150" xfId="35105"/>
    <cellStyle name="Comma [0] TBD_Family Cluster Targets2 2 151" xfId="35106"/>
    <cellStyle name="Comma [0] TBD-_Family Cluster Targets2 2 151" xfId="35107"/>
    <cellStyle name="Comma [0] TBD_Family Cluster Targets2 2 152" xfId="35108"/>
    <cellStyle name="Comma [0] TBD-_Family Cluster Targets2 2 152" xfId="35109"/>
    <cellStyle name="Comma [0] TBD_Family Cluster Targets2 2 153" xfId="35110"/>
    <cellStyle name="Comma [0] TBD-_Family Cluster Targets2 2 153" xfId="35111"/>
    <cellStyle name="Comma [0] TBD_Family Cluster Targets2 2 16" xfId="35112"/>
    <cellStyle name="Comma [0] TBD-_Family Cluster Targets2 2 16" xfId="35113"/>
    <cellStyle name="Comma [0] TBD_Family Cluster Targets2 2 17" xfId="35114"/>
    <cellStyle name="Comma [0] TBD-_Family Cluster Targets2 2 17" xfId="35115"/>
    <cellStyle name="Comma [0] TBD_Family Cluster Targets2 2 18" xfId="35116"/>
    <cellStyle name="Comma [0] TBD-_Family Cluster Targets2 2 18" xfId="35117"/>
    <cellStyle name="Comma [0] TBD_Family Cluster Targets2 2 19" xfId="35118"/>
    <cellStyle name="Comma [0] TBD-_Family Cluster Targets2 2 19" xfId="35119"/>
    <cellStyle name="Comma [0] TBD_Family Cluster Targets2 2 2" xfId="35120"/>
    <cellStyle name="Comma [0] TBD-_Family Cluster Targets2 2 2" xfId="35121"/>
    <cellStyle name="Comma [0] TBD_Family Cluster Targets2 2 20" xfId="35122"/>
    <cellStyle name="Comma [0] TBD-_Family Cluster Targets2 2 20" xfId="35123"/>
    <cellStyle name="Comma [0] TBD_Family Cluster Targets2 2 21" xfId="35124"/>
    <cellStyle name="Comma [0] TBD-_Family Cluster Targets2 2 21" xfId="35125"/>
    <cellStyle name="Comma [0] TBD_Family Cluster Targets2 2 22" xfId="35126"/>
    <cellStyle name="Comma [0] TBD-_Family Cluster Targets2 2 22" xfId="35127"/>
    <cellStyle name="Comma [0] TBD_Family Cluster Targets2 2 23" xfId="35128"/>
    <cellStyle name="Comma [0] TBD-_Family Cluster Targets2 2 23" xfId="35129"/>
    <cellStyle name="Comma [0] TBD_Family Cluster Targets2 2 24" xfId="35130"/>
    <cellStyle name="Comma [0] TBD-_Family Cluster Targets2 2 24" xfId="35131"/>
    <cellStyle name="Comma [0] TBD_Family Cluster Targets2 2 25" xfId="35132"/>
    <cellStyle name="Comma [0] TBD-_Family Cluster Targets2 2 25" xfId="35133"/>
    <cellStyle name="Comma [0] TBD_Family Cluster Targets2 2 26" xfId="35134"/>
    <cellStyle name="Comma [0] TBD-_Family Cluster Targets2 2 26" xfId="35135"/>
    <cellStyle name="Comma [0] TBD_Family Cluster Targets2 2 27" xfId="35136"/>
    <cellStyle name="Comma [0] TBD-_Family Cluster Targets2 2 27" xfId="35137"/>
    <cellStyle name="Comma [0] TBD_Family Cluster Targets2 2 28" xfId="35138"/>
    <cellStyle name="Comma [0] TBD-_Family Cluster Targets2 2 28" xfId="35139"/>
    <cellStyle name="Comma [0] TBD_Family Cluster Targets2 2 29" xfId="35140"/>
    <cellStyle name="Comma [0] TBD-_Family Cluster Targets2 2 29" xfId="35141"/>
    <cellStyle name="Comma [0] TBD_Family Cluster Targets2 2 3" xfId="35142"/>
    <cellStyle name="Comma [0] TBD-_Family Cluster Targets2 2 3" xfId="35143"/>
    <cellStyle name="Comma [0] TBD_Family Cluster Targets2 2 30" xfId="35144"/>
    <cellStyle name="Comma [0] TBD-_Family Cluster Targets2 2 30" xfId="35145"/>
    <cellStyle name="Comma [0] TBD_Family Cluster Targets2 2 31" xfId="35146"/>
    <cellStyle name="Comma [0] TBD-_Family Cluster Targets2 2 31" xfId="35147"/>
    <cellStyle name="Comma [0] TBD_Family Cluster Targets2 2 32" xfId="35148"/>
    <cellStyle name="Comma [0] TBD-_Family Cluster Targets2 2 32" xfId="35149"/>
    <cellStyle name="Comma [0] TBD_Family Cluster Targets2 2 33" xfId="35150"/>
    <cellStyle name="Comma [0] TBD-_Family Cluster Targets2 2 33" xfId="35151"/>
    <cellStyle name="Comma [0] TBD_Family Cluster Targets2 2 34" xfId="35152"/>
    <cellStyle name="Comma [0] TBD-_Family Cluster Targets2 2 34" xfId="35153"/>
    <cellStyle name="Comma [0] TBD_Family Cluster Targets2 2 35" xfId="35154"/>
    <cellStyle name="Comma [0] TBD-_Family Cluster Targets2 2 35" xfId="35155"/>
    <cellStyle name="Comma [0] TBD_Family Cluster Targets2 2 36" xfId="35156"/>
    <cellStyle name="Comma [0] TBD-_Family Cluster Targets2 2 36" xfId="35157"/>
    <cellStyle name="Comma [0] TBD_Family Cluster Targets2 2 37" xfId="35158"/>
    <cellStyle name="Comma [0] TBD-_Family Cluster Targets2 2 37" xfId="35159"/>
    <cellStyle name="Comma [0] TBD_Family Cluster Targets2 2 38" xfId="35160"/>
    <cellStyle name="Comma [0] TBD-_Family Cluster Targets2 2 38" xfId="35161"/>
    <cellStyle name="Comma [0] TBD_Family Cluster Targets2 2 39" xfId="35162"/>
    <cellStyle name="Comma [0] TBD-_Family Cluster Targets2 2 39" xfId="35163"/>
    <cellStyle name="Comma [0] TBD_Family Cluster Targets2 2 4" xfId="35164"/>
    <cellStyle name="Comma [0] TBD-_Family Cluster Targets2 2 4" xfId="35165"/>
    <cellStyle name="Comma [0] TBD_Family Cluster Targets2 2 40" xfId="35166"/>
    <cellStyle name="Comma [0] TBD-_Family Cluster Targets2 2 40" xfId="35167"/>
    <cellStyle name="Comma [0] TBD_Family Cluster Targets2 2 41" xfId="35168"/>
    <cellStyle name="Comma [0] TBD-_Family Cluster Targets2 2 41" xfId="35169"/>
    <cellStyle name="Comma [0] TBD_Family Cluster Targets2 2 42" xfId="35170"/>
    <cellStyle name="Comma [0] TBD-_Family Cluster Targets2 2 42" xfId="35171"/>
    <cellStyle name="Comma [0] TBD_Family Cluster Targets2 2 43" xfId="35172"/>
    <cellStyle name="Comma [0] TBD-_Family Cluster Targets2 2 43" xfId="35173"/>
    <cellStyle name="Comma [0] TBD_Family Cluster Targets2 2 44" xfId="35174"/>
    <cellStyle name="Comma [0] TBD-_Family Cluster Targets2 2 44" xfId="35175"/>
    <cellStyle name="Comma [0] TBD_Family Cluster Targets2 2 45" xfId="35176"/>
    <cellStyle name="Comma [0] TBD-_Family Cluster Targets2 2 45" xfId="35177"/>
    <cellStyle name="Comma [0] TBD_Family Cluster Targets2 2 46" xfId="35178"/>
    <cellStyle name="Comma [0] TBD-_Family Cluster Targets2 2 46" xfId="35179"/>
    <cellStyle name="Comma [0] TBD_Family Cluster Targets2 2 47" xfId="35180"/>
    <cellStyle name="Comma [0] TBD-_Family Cluster Targets2 2 47" xfId="35181"/>
    <cellStyle name="Comma [0] TBD_Family Cluster Targets2 2 48" xfId="35182"/>
    <cellStyle name="Comma [0] TBD-_Family Cluster Targets2 2 48" xfId="35183"/>
    <cellStyle name="Comma [0] TBD_Family Cluster Targets2 2 49" xfId="35184"/>
    <cellStyle name="Comma [0] TBD-_Family Cluster Targets2 2 49" xfId="35185"/>
    <cellStyle name="Comma [0] TBD_Family Cluster Targets2 2 5" xfId="35186"/>
    <cellStyle name="Comma [0] TBD-_Family Cluster Targets2 2 5" xfId="35187"/>
    <cellStyle name="Comma [0] TBD_Family Cluster Targets2 2 50" xfId="35188"/>
    <cellStyle name="Comma [0] TBD-_Family Cluster Targets2 2 50" xfId="35189"/>
    <cellStyle name="Comma [0] TBD_Family Cluster Targets2 2 51" xfId="35190"/>
    <cellStyle name="Comma [0] TBD-_Family Cluster Targets2 2 51" xfId="35191"/>
    <cellStyle name="Comma [0] TBD_Family Cluster Targets2 2 52" xfId="35192"/>
    <cellStyle name="Comma [0] TBD-_Family Cluster Targets2 2 52" xfId="35193"/>
    <cellStyle name="Comma [0] TBD_Family Cluster Targets2 2 53" xfId="35194"/>
    <cellStyle name="Comma [0] TBD-_Family Cluster Targets2 2 53" xfId="35195"/>
    <cellStyle name="Comma [0] TBD_Family Cluster Targets2 2 54" xfId="35196"/>
    <cellStyle name="Comma [0] TBD-_Family Cluster Targets2 2 54" xfId="35197"/>
    <cellStyle name="Comma [0] TBD_Family Cluster Targets2 2 55" xfId="35198"/>
    <cellStyle name="Comma [0] TBD-_Family Cluster Targets2 2 55" xfId="35199"/>
    <cellStyle name="Comma [0] TBD_Family Cluster Targets2 2 56" xfId="35200"/>
    <cellStyle name="Comma [0] TBD-_Family Cluster Targets2 2 56" xfId="35201"/>
    <cellStyle name="Comma [0] TBD_Family Cluster Targets2 2 57" xfId="35202"/>
    <cellStyle name="Comma [0] TBD-_Family Cluster Targets2 2 57" xfId="35203"/>
    <cellStyle name="Comma [0] TBD_Family Cluster Targets2 2 58" xfId="35204"/>
    <cellStyle name="Comma [0] TBD-_Family Cluster Targets2 2 58" xfId="35205"/>
    <cellStyle name="Comma [0] TBD_Family Cluster Targets2 2 59" xfId="35206"/>
    <cellStyle name="Comma [0] TBD-_Family Cluster Targets2 2 59" xfId="35207"/>
    <cellStyle name="Comma [0] TBD_Family Cluster Targets2 2 6" xfId="35208"/>
    <cellStyle name="Comma [0] TBD-_Family Cluster Targets2 2 6" xfId="35209"/>
    <cellStyle name="Comma [0] TBD_Family Cluster Targets2 2 60" xfId="35210"/>
    <cellStyle name="Comma [0] TBD-_Family Cluster Targets2 2 60" xfId="35211"/>
    <cellStyle name="Comma [0] TBD_Family Cluster Targets2 2 61" xfId="35212"/>
    <cellStyle name="Comma [0] TBD-_Family Cluster Targets2 2 61" xfId="35213"/>
    <cellStyle name="Comma [0] TBD_Family Cluster Targets2 2 62" xfId="35214"/>
    <cellStyle name="Comma [0] TBD-_Family Cluster Targets2 2 62" xfId="35215"/>
    <cellStyle name="Comma [0] TBD_Family Cluster Targets2 2 63" xfId="35216"/>
    <cellStyle name="Comma [0] TBD-_Family Cluster Targets2 2 63" xfId="35217"/>
    <cellStyle name="Comma [0] TBD_Family Cluster Targets2 2 64" xfId="35218"/>
    <cellStyle name="Comma [0] TBD-_Family Cluster Targets2 2 64" xfId="35219"/>
    <cellStyle name="Comma [0] TBD_Family Cluster Targets2 2 65" xfId="35220"/>
    <cellStyle name="Comma [0] TBD-_Family Cluster Targets2 2 65" xfId="35221"/>
    <cellStyle name="Comma [0] TBD_Family Cluster Targets2 2 66" xfId="35222"/>
    <cellStyle name="Comma [0] TBD-_Family Cluster Targets2 2 66" xfId="35223"/>
    <cellStyle name="Comma [0] TBD_Family Cluster Targets2 2 67" xfId="35224"/>
    <cellStyle name="Comma [0] TBD-_Family Cluster Targets2 2 67" xfId="35225"/>
    <cellStyle name="Comma [0] TBD_Family Cluster Targets2 2 68" xfId="35226"/>
    <cellStyle name="Comma [0] TBD-_Family Cluster Targets2 2 68" xfId="35227"/>
    <cellStyle name="Comma [0] TBD_Family Cluster Targets2 2 69" xfId="35228"/>
    <cellStyle name="Comma [0] TBD-_Family Cluster Targets2 2 69" xfId="35229"/>
    <cellStyle name="Comma [0] TBD_Family Cluster Targets2 2 7" xfId="35230"/>
    <cellStyle name="Comma [0] TBD-_Family Cluster Targets2 2 7" xfId="35231"/>
    <cellStyle name="Comma [0] TBD_Family Cluster Targets2 2 70" xfId="35232"/>
    <cellStyle name="Comma [0] TBD-_Family Cluster Targets2 2 70" xfId="35233"/>
    <cellStyle name="Comma [0] TBD_Family Cluster Targets2 2 71" xfId="35234"/>
    <cellStyle name="Comma [0] TBD-_Family Cluster Targets2 2 71" xfId="35235"/>
    <cellStyle name="Comma [0] TBD_Family Cluster Targets2 2 72" xfId="35236"/>
    <cellStyle name="Comma [0] TBD-_Family Cluster Targets2 2 72" xfId="35237"/>
    <cellStyle name="Comma [0] TBD_Family Cluster Targets2 2 73" xfId="35238"/>
    <cellStyle name="Comma [0] TBD-_Family Cluster Targets2 2 73" xfId="35239"/>
    <cellStyle name="Comma [0] TBD_Family Cluster Targets2 2 74" xfId="35240"/>
    <cellStyle name="Comma [0] TBD-_Family Cluster Targets2 2 74" xfId="35241"/>
    <cellStyle name="Comma [0] TBD_Family Cluster Targets2 2 75" xfId="35242"/>
    <cellStyle name="Comma [0] TBD-_Family Cluster Targets2 2 75" xfId="35243"/>
    <cellStyle name="Comma [0] TBD_Family Cluster Targets2 2 76" xfId="35244"/>
    <cellStyle name="Comma [0] TBD-_Family Cluster Targets2 2 76" xfId="35245"/>
    <cellStyle name="Comma [0] TBD_Family Cluster Targets2 2 77" xfId="35246"/>
    <cellStyle name="Comma [0] TBD-_Family Cluster Targets2 2 77" xfId="35247"/>
    <cellStyle name="Comma [0] TBD_Family Cluster Targets2 2 78" xfId="35248"/>
    <cellStyle name="Comma [0] TBD-_Family Cluster Targets2 2 78" xfId="35249"/>
    <cellStyle name="Comma [0] TBD_Family Cluster Targets2 2 79" xfId="35250"/>
    <cellStyle name="Comma [0] TBD-_Family Cluster Targets2 2 79" xfId="35251"/>
    <cellStyle name="Comma [0] TBD_Family Cluster Targets2 2 8" xfId="35252"/>
    <cellStyle name="Comma [0] TBD-_Family Cluster Targets2 2 8" xfId="35253"/>
    <cellStyle name="Comma [0] TBD_Family Cluster Targets2 2 80" xfId="35254"/>
    <cellStyle name="Comma [0] TBD-_Family Cluster Targets2 2 80" xfId="35255"/>
    <cellStyle name="Comma [0] TBD_Family Cluster Targets2 2 81" xfId="35256"/>
    <cellStyle name="Comma [0] TBD-_Family Cluster Targets2 2 81" xfId="35257"/>
    <cellStyle name="Comma [0] TBD_Family Cluster Targets2 2 82" xfId="35258"/>
    <cellStyle name="Comma [0] TBD-_Family Cluster Targets2 2 82" xfId="35259"/>
    <cellStyle name="Comma [0] TBD_Family Cluster Targets2 2 83" xfId="35260"/>
    <cellStyle name="Comma [0] TBD-_Family Cluster Targets2 2 83" xfId="35261"/>
    <cellStyle name="Comma [0] TBD_Family Cluster Targets2 2 84" xfId="35262"/>
    <cellStyle name="Comma [0] TBD-_Family Cluster Targets2 2 84" xfId="35263"/>
    <cellStyle name="Comma [0] TBD_Family Cluster Targets2 2 85" xfId="35264"/>
    <cellStyle name="Comma [0] TBD-_Family Cluster Targets2 2 85" xfId="35265"/>
    <cellStyle name="Comma [0] TBD_Family Cluster Targets2 2 86" xfId="35266"/>
    <cellStyle name="Comma [0] TBD-_Family Cluster Targets2 2 86" xfId="35267"/>
    <cellStyle name="Comma [0] TBD_Family Cluster Targets2 2 87" xfId="35268"/>
    <cellStyle name="Comma [0] TBD-_Family Cluster Targets2 2 87" xfId="35269"/>
    <cellStyle name="Comma [0] TBD_Family Cluster Targets2 2 88" xfId="35270"/>
    <cellStyle name="Comma [0] TBD-_Family Cluster Targets2 2 88" xfId="35271"/>
    <cellStyle name="Comma [0] TBD_Family Cluster Targets2 2 89" xfId="35272"/>
    <cellStyle name="Comma [0] TBD-_Family Cluster Targets2 2 89" xfId="35273"/>
    <cellStyle name="Comma [0] TBD_Family Cluster Targets2 2 9" xfId="35274"/>
    <cellStyle name="Comma [0] TBD-_Family Cluster Targets2 2 9" xfId="35275"/>
    <cellStyle name="Comma [0] TBD_Family Cluster Targets2 2 90" xfId="35276"/>
    <cellStyle name="Comma [0] TBD-_Family Cluster Targets2 2 90" xfId="35277"/>
    <cellStyle name="Comma [0] TBD_Family Cluster Targets2 2 91" xfId="35278"/>
    <cellStyle name="Comma [0] TBD-_Family Cluster Targets2 2 91" xfId="35279"/>
    <cellStyle name="Comma [0] TBD_Family Cluster Targets2 2 92" xfId="35280"/>
    <cellStyle name="Comma [0] TBD-_Family Cluster Targets2 2 92" xfId="35281"/>
    <cellStyle name="Comma [0] TBD_Family Cluster Targets2 2 93" xfId="35282"/>
    <cellStyle name="Comma [0] TBD-_Family Cluster Targets2 2 93" xfId="35283"/>
    <cellStyle name="Comma [0] TBD_Family Cluster Targets2 2 94" xfId="35284"/>
    <cellStyle name="Comma [0] TBD-_Family Cluster Targets2 2 94" xfId="35285"/>
    <cellStyle name="Comma [0] TBD_Family Cluster Targets2 2 95" xfId="35286"/>
    <cellStyle name="Comma [0] TBD-_Family Cluster Targets2 2 95" xfId="35287"/>
    <cellStyle name="Comma [0] TBD_Family Cluster Targets2 2 96" xfId="35288"/>
    <cellStyle name="Comma [0] TBD-_Family Cluster Targets2 2 96" xfId="35289"/>
    <cellStyle name="Comma [0] TBD_Family Cluster Targets2 2 97" xfId="35290"/>
    <cellStyle name="Comma [0] TBD-_Family Cluster Targets2 2 97" xfId="35291"/>
    <cellStyle name="Comma [0] TBD_Family Cluster Targets2 2 98" xfId="35292"/>
    <cellStyle name="Comma [0] TBD-_Family Cluster Targets2 2 98" xfId="35293"/>
    <cellStyle name="Comma [0] TBD_Family Cluster Targets2 2 99" xfId="35294"/>
    <cellStyle name="Comma [0] TBD-_Family Cluster Targets2 2 99" xfId="35295"/>
    <cellStyle name="Comma [0] TBD_Family Cluster Targets2 3" xfId="35296"/>
    <cellStyle name="Comma [0] TBD-_Family Cluster Targets2 3" xfId="35297"/>
    <cellStyle name="Comma [0] TBD_Family Cluster Targets2 3 10" xfId="35298"/>
    <cellStyle name="Comma [0] TBD-_Family Cluster Targets2 3 10" xfId="35299"/>
    <cellStyle name="Comma [0] TBD_Family Cluster Targets2 3 100" xfId="35300"/>
    <cellStyle name="Comma [0] TBD-_Family Cluster Targets2 3 100" xfId="35301"/>
    <cellStyle name="Comma [0] TBD_Family Cluster Targets2 3 101" xfId="35302"/>
    <cellStyle name="Comma [0] TBD-_Family Cluster Targets2 3 101" xfId="35303"/>
    <cellStyle name="Comma [0] TBD_Family Cluster Targets2 3 102" xfId="35304"/>
    <cellStyle name="Comma [0] TBD-_Family Cluster Targets2 3 102" xfId="35305"/>
    <cellStyle name="Comma [0] TBD_Family Cluster Targets2 3 103" xfId="35306"/>
    <cellStyle name="Comma [0] TBD-_Family Cluster Targets2 3 103" xfId="35307"/>
    <cellStyle name="Comma [0] TBD_Family Cluster Targets2 3 104" xfId="35308"/>
    <cellStyle name="Comma [0] TBD-_Family Cluster Targets2 3 104" xfId="35309"/>
    <cellStyle name="Comma [0] TBD_Family Cluster Targets2 3 105" xfId="35310"/>
    <cellStyle name="Comma [0] TBD-_Family Cluster Targets2 3 105" xfId="35311"/>
    <cellStyle name="Comma [0] TBD_Family Cluster Targets2 3 106" xfId="35312"/>
    <cellStyle name="Comma [0] TBD-_Family Cluster Targets2 3 106" xfId="35313"/>
    <cellStyle name="Comma [0] TBD_Family Cluster Targets2 3 107" xfId="35314"/>
    <cellStyle name="Comma [0] TBD-_Family Cluster Targets2 3 107" xfId="35315"/>
    <cellStyle name="Comma [0] TBD_Family Cluster Targets2 3 108" xfId="35316"/>
    <cellStyle name="Comma [0] TBD-_Family Cluster Targets2 3 108" xfId="35317"/>
    <cellStyle name="Comma [0] TBD_Family Cluster Targets2 3 109" xfId="35318"/>
    <cellStyle name="Comma [0] TBD-_Family Cluster Targets2 3 109" xfId="35319"/>
    <cellStyle name="Comma [0] TBD_Family Cluster Targets2 3 11" xfId="35320"/>
    <cellStyle name="Comma [0] TBD-_Family Cluster Targets2 3 11" xfId="35321"/>
    <cellStyle name="Comma [0] TBD_Family Cluster Targets2 3 110" xfId="35322"/>
    <cellStyle name="Comma [0] TBD-_Family Cluster Targets2 3 110" xfId="35323"/>
    <cellStyle name="Comma [0] TBD_Family Cluster Targets2 3 111" xfId="35324"/>
    <cellStyle name="Comma [0] TBD-_Family Cluster Targets2 3 111" xfId="35325"/>
    <cellStyle name="Comma [0] TBD_Family Cluster Targets2 3 112" xfId="35326"/>
    <cellStyle name="Comma [0] TBD-_Family Cluster Targets2 3 112" xfId="35327"/>
    <cellStyle name="Comma [0] TBD_Family Cluster Targets2 3 113" xfId="35328"/>
    <cellStyle name="Comma [0] TBD-_Family Cluster Targets2 3 113" xfId="35329"/>
    <cellStyle name="Comma [0] TBD_Family Cluster Targets2 3 114" xfId="35330"/>
    <cellStyle name="Comma [0] TBD-_Family Cluster Targets2 3 114" xfId="35331"/>
    <cellStyle name="Comma [0] TBD_Family Cluster Targets2 3 115" xfId="35332"/>
    <cellStyle name="Comma [0] TBD-_Family Cluster Targets2 3 115" xfId="35333"/>
    <cellStyle name="Comma [0] TBD_Family Cluster Targets2 3 116" xfId="35334"/>
    <cellStyle name="Comma [0] TBD-_Family Cluster Targets2 3 116" xfId="35335"/>
    <cellStyle name="Comma [0] TBD_Family Cluster Targets2 3 117" xfId="35336"/>
    <cellStyle name="Comma [0] TBD-_Family Cluster Targets2 3 117" xfId="35337"/>
    <cellStyle name="Comma [0] TBD_Family Cluster Targets2 3 118" xfId="35338"/>
    <cellStyle name="Comma [0] TBD-_Family Cluster Targets2 3 118" xfId="35339"/>
    <cellStyle name="Comma [0] TBD_Family Cluster Targets2 3 119" xfId="35340"/>
    <cellStyle name="Comma [0] TBD-_Family Cluster Targets2 3 119" xfId="35341"/>
    <cellStyle name="Comma [0] TBD_Family Cluster Targets2 3 12" xfId="35342"/>
    <cellStyle name="Comma [0] TBD-_Family Cluster Targets2 3 12" xfId="35343"/>
    <cellStyle name="Comma [0] TBD_Family Cluster Targets2 3 120" xfId="35344"/>
    <cellStyle name="Comma [0] TBD-_Family Cluster Targets2 3 120" xfId="35345"/>
    <cellStyle name="Comma [0] TBD_Family Cluster Targets2 3 121" xfId="35346"/>
    <cellStyle name="Comma [0] TBD-_Family Cluster Targets2 3 121" xfId="35347"/>
    <cellStyle name="Comma [0] TBD_Family Cluster Targets2 3 122" xfId="35348"/>
    <cellStyle name="Comma [0] TBD-_Family Cluster Targets2 3 122" xfId="35349"/>
    <cellStyle name="Comma [0] TBD_Family Cluster Targets2 3 123" xfId="35350"/>
    <cellStyle name="Comma [0] TBD-_Family Cluster Targets2 3 123" xfId="35351"/>
    <cellStyle name="Comma [0] TBD_Family Cluster Targets2 3 124" xfId="35352"/>
    <cellStyle name="Comma [0] TBD-_Family Cluster Targets2 3 124" xfId="35353"/>
    <cellStyle name="Comma [0] TBD_Family Cluster Targets2 3 125" xfId="35354"/>
    <cellStyle name="Comma [0] TBD-_Family Cluster Targets2 3 125" xfId="35355"/>
    <cellStyle name="Comma [0] TBD_Family Cluster Targets2 3 126" xfId="35356"/>
    <cellStyle name="Comma [0] TBD-_Family Cluster Targets2 3 126" xfId="35357"/>
    <cellStyle name="Comma [0] TBD_Family Cluster Targets2 3 127" xfId="35358"/>
    <cellStyle name="Comma [0] TBD-_Family Cluster Targets2 3 127" xfId="35359"/>
    <cellStyle name="Comma [0] TBD_Family Cluster Targets2 3 128" xfId="35360"/>
    <cellStyle name="Comma [0] TBD-_Family Cluster Targets2 3 128" xfId="35361"/>
    <cellStyle name="Comma [0] TBD_Family Cluster Targets2 3 129" xfId="35362"/>
    <cellStyle name="Comma [0] TBD-_Family Cluster Targets2 3 129" xfId="35363"/>
    <cellStyle name="Comma [0] TBD_Family Cluster Targets2 3 13" xfId="35364"/>
    <cellStyle name="Comma [0] TBD-_Family Cluster Targets2 3 13" xfId="35365"/>
    <cellStyle name="Comma [0] TBD_Family Cluster Targets2 3 130" xfId="35366"/>
    <cellStyle name="Comma [0] TBD-_Family Cluster Targets2 3 130" xfId="35367"/>
    <cellStyle name="Comma [0] TBD_Family Cluster Targets2 3 131" xfId="35368"/>
    <cellStyle name="Comma [0] TBD-_Family Cluster Targets2 3 131" xfId="35369"/>
    <cellStyle name="Comma [0] TBD_Family Cluster Targets2 3 132" xfId="35370"/>
    <cellStyle name="Comma [0] TBD-_Family Cluster Targets2 3 132" xfId="35371"/>
    <cellStyle name="Comma [0] TBD_Family Cluster Targets2 3 133" xfId="35372"/>
    <cellStyle name="Comma [0] TBD-_Family Cluster Targets2 3 133" xfId="35373"/>
    <cellStyle name="Comma [0] TBD_Family Cluster Targets2 3 134" xfId="35374"/>
    <cellStyle name="Comma [0] TBD-_Family Cluster Targets2 3 134" xfId="35375"/>
    <cellStyle name="Comma [0] TBD_Family Cluster Targets2 3 135" xfId="35376"/>
    <cellStyle name="Comma [0] TBD-_Family Cluster Targets2 3 135" xfId="35377"/>
    <cellStyle name="Comma [0] TBD_Family Cluster Targets2 3 136" xfId="35378"/>
    <cellStyle name="Comma [0] TBD-_Family Cluster Targets2 3 136" xfId="35379"/>
    <cellStyle name="Comma [0] TBD_Family Cluster Targets2 3 137" xfId="35380"/>
    <cellStyle name="Comma [0] TBD-_Family Cluster Targets2 3 137" xfId="35381"/>
    <cellStyle name="Comma [0] TBD_Family Cluster Targets2 3 138" xfId="35382"/>
    <cellStyle name="Comma [0] TBD-_Family Cluster Targets2 3 138" xfId="35383"/>
    <cellStyle name="Comma [0] TBD_Family Cluster Targets2 3 139" xfId="35384"/>
    <cellStyle name="Comma [0] TBD-_Family Cluster Targets2 3 139" xfId="35385"/>
    <cellStyle name="Comma [0] TBD_Family Cluster Targets2 3 14" xfId="35386"/>
    <cellStyle name="Comma [0] TBD-_Family Cluster Targets2 3 14" xfId="35387"/>
    <cellStyle name="Comma [0] TBD_Family Cluster Targets2 3 140" xfId="35388"/>
    <cellStyle name="Comma [0] TBD-_Family Cluster Targets2 3 140" xfId="35389"/>
    <cellStyle name="Comma [0] TBD_Family Cluster Targets2 3 141" xfId="35390"/>
    <cellStyle name="Comma [0] TBD-_Family Cluster Targets2 3 141" xfId="35391"/>
    <cellStyle name="Comma [0] TBD_Family Cluster Targets2 3 142" xfId="35392"/>
    <cellStyle name="Comma [0] TBD-_Family Cluster Targets2 3 142" xfId="35393"/>
    <cellStyle name="Comma [0] TBD_Family Cluster Targets2 3 143" xfId="35394"/>
    <cellStyle name="Comma [0] TBD-_Family Cluster Targets2 3 143" xfId="35395"/>
    <cellStyle name="Comma [0] TBD_Family Cluster Targets2 3 144" xfId="35396"/>
    <cellStyle name="Comma [0] TBD-_Family Cluster Targets2 3 144" xfId="35397"/>
    <cellStyle name="Comma [0] TBD_Family Cluster Targets2 3 145" xfId="35398"/>
    <cellStyle name="Comma [0] TBD-_Family Cluster Targets2 3 145" xfId="35399"/>
    <cellStyle name="Comma [0] TBD_Family Cluster Targets2 3 146" xfId="35400"/>
    <cellStyle name="Comma [0] TBD-_Family Cluster Targets2 3 146" xfId="35401"/>
    <cellStyle name="Comma [0] TBD_Family Cluster Targets2 3 147" xfId="35402"/>
    <cellStyle name="Comma [0] TBD-_Family Cluster Targets2 3 147" xfId="35403"/>
    <cellStyle name="Comma [0] TBD_Family Cluster Targets2 3 148" xfId="35404"/>
    <cellStyle name="Comma [0] TBD-_Family Cluster Targets2 3 148" xfId="35405"/>
    <cellStyle name="Comma [0] TBD_Family Cluster Targets2 3 149" xfId="35406"/>
    <cellStyle name="Comma [0] TBD-_Family Cluster Targets2 3 149" xfId="35407"/>
    <cellStyle name="Comma [0] TBD_Family Cluster Targets2 3 15" xfId="35408"/>
    <cellStyle name="Comma [0] TBD-_Family Cluster Targets2 3 15" xfId="35409"/>
    <cellStyle name="Comma [0] TBD_Family Cluster Targets2 3 150" xfId="35410"/>
    <cellStyle name="Comma [0] TBD-_Family Cluster Targets2 3 150" xfId="35411"/>
    <cellStyle name="Comma [0] TBD_Family Cluster Targets2 3 151" xfId="35412"/>
    <cellStyle name="Comma [0] TBD-_Family Cluster Targets2 3 151" xfId="35413"/>
    <cellStyle name="Comma [0] TBD_Family Cluster Targets2 3 152" xfId="35414"/>
    <cellStyle name="Comma [0] TBD-_Family Cluster Targets2 3 152" xfId="35415"/>
    <cellStyle name="Comma [0] TBD_Family Cluster Targets2 3 153" xfId="35416"/>
    <cellStyle name="Comma [0] TBD-_Family Cluster Targets2 3 153" xfId="35417"/>
    <cellStyle name="Comma [0] TBD_Family Cluster Targets2 3 16" xfId="35418"/>
    <cellStyle name="Comma [0] TBD-_Family Cluster Targets2 3 16" xfId="35419"/>
    <cellStyle name="Comma [0] TBD_Family Cluster Targets2 3 17" xfId="35420"/>
    <cellStyle name="Comma [0] TBD-_Family Cluster Targets2 3 17" xfId="35421"/>
    <cellStyle name="Comma [0] TBD_Family Cluster Targets2 3 18" xfId="35422"/>
    <cellStyle name="Comma [0] TBD-_Family Cluster Targets2 3 18" xfId="35423"/>
    <cellStyle name="Comma [0] TBD_Family Cluster Targets2 3 19" xfId="35424"/>
    <cellStyle name="Comma [0] TBD-_Family Cluster Targets2 3 19" xfId="35425"/>
    <cellStyle name="Comma [0] TBD_Family Cluster Targets2 3 2" xfId="35426"/>
    <cellStyle name="Comma [0] TBD-_Family Cluster Targets2 3 2" xfId="35427"/>
    <cellStyle name="Comma [0] TBD_Family Cluster Targets2 3 20" xfId="35428"/>
    <cellStyle name="Comma [0] TBD-_Family Cluster Targets2 3 20" xfId="35429"/>
    <cellStyle name="Comma [0] TBD_Family Cluster Targets2 3 21" xfId="35430"/>
    <cellStyle name="Comma [0] TBD-_Family Cluster Targets2 3 21" xfId="35431"/>
    <cellStyle name="Comma [0] TBD_Family Cluster Targets2 3 22" xfId="35432"/>
    <cellStyle name="Comma [0] TBD-_Family Cluster Targets2 3 22" xfId="35433"/>
    <cellStyle name="Comma [0] TBD_Family Cluster Targets2 3 23" xfId="35434"/>
    <cellStyle name="Comma [0] TBD-_Family Cluster Targets2 3 23" xfId="35435"/>
    <cellStyle name="Comma [0] TBD_Family Cluster Targets2 3 24" xfId="35436"/>
    <cellStyle name="Comma [0] TBD-_Family Cluster Targets2 3 24" xfId="35437"/>
    <cellStyle name="Comma [0] TBD_Family Cluster Targets2 3 25" xfId="35438"/>
    <cellStyle name="Comma [0] TBD-_Family Cluster Targets2 3 25" xfId="35439"/>
    <cellStyle name="Comma [0] TBD_Family Cluster Targets2 3 26" xfId="35440"/>
    <cellStyle name="Comma [0] TBD-_Family Cluster Targets2 3 26" xfId="35441"/>
    <cellStyle name="Comma [0] TBD_Family Cluster Targets2 3 27" xfId="35442"/>
    <cellStyle name="Comma [0] TBD-_Family Cluster Targets2 3 27" xfId="35443"/>
    <cellStyle name="Comma [0] TBD_Family Cluster Targets2 3 28" xfId="35444"/>
    <cellStyle name="Comma [0] TBD-_Family Cluster Targets2 3 28" xfId="35445"/>
    <cellStyle name="Comma [0] TBD_Family Cluster Targets2 3 29" xfId="35446"/>
    <cellStyle name="Comma [0] TBD-_Family Cluster Targets2 3 29" xfId="35447"/>
    <cellStyle name="Comma [0] TBD_Family Cluster Targets2 3 3" xfId="35448"/>
    <cellStyle name="Comma [0] TBD-_Family Cluster Targets2 3 3" xfId="35449"/>
    <cellStyle name="Comma [0] TBD_Family Cluster Targets2 3 30" xfId="35450"/>
    <cellStyle name="Comma [0] TBD-_Family Cluster Targets2 3 30" xfId="35451"/>
    <cellStyle name="Comma [0] TBD_Family Cluster Targets2 3 31" xfId="35452"/>
    <cellStyle name="Comma [0] TBD-_Family Cluster Targets2 3 31" xfId="35453"/>
    <cellStyle name="Comma [0] TBD_Family Cluster Targets2 3 32" xfId="35454"/>
    <cellStyle name="Comma [0] TBD-_Family Cluster Targets2 3 32" xfId="35455"/>
    <cellStyle name="Comma [0] TBD_Family Cluster Targets2 3 33" xfId="35456"/>
    <cellStyle name="Comma [0] TBD-_Family Cluster Targets2 3 33" xfId="35457"/>
    <cellStyle name="Comma [0] TBD_Family Cluster Targets2 3 34" xfId="35458"/>
    <cellStyle name="Comma [0] TBD-_Family Cluster Targets2 3 34" xfId="35459"/>
    <cellStyle name="Comma [0] TBD_Family Cluster Targets2 3 35" xfId="35460"/>
    <cellStyle name="Comma [0] TBD-_Family Cluster Targets2 3 35" xfId="35461"/>
    <cellStyle name="Comma [0] TBD_Family Cluster Targets2 3 36" xfId="35462"/>
    <cellStyle name="Comma [0] TBD-_Family Cluster Targets2 3 36" xfId="35463"/>
    <cellStyle name="Comma [0] TBD_Family Cluster Targets2 3 37" xfId="35464"/>
    <cellStyle name="Comma [0] TBD-_Family Cluster Targets2 3 37" xfId="35465"/>
    <cellStyle name="Comma [0] TBD_Family Cluster Targets2 3 38" xfId="35466"/>
    <cellStyle name="Comma [0] TBD-_Family Cluster Targets2 3 38" xfId="35467"/>
    <cellStyle name="Comma [0] TBD_Family Cluster Targets2 3 39" xfId="35468"/>
    <cellStyle name="Comma [0] TBD-_Family Cluster Targets2 3 39" xfId="35469"/>
    <cellStyle name="Comma [0] TBD_Family Cluster Targets2 3 4" xfId="35470"/>
    <cellStyle name="Comma [0] TBD-_Family Cluster Targets2 3 4" xfId="35471"/>
    <cellStyle name="Comma [0] TBD_Family Cluster Targets2 3 40" xfId="35472"/>
    <cellStyle name="Comma [0] TBD-_Family Cluster Targets2 3 40" xfId="35473"/>
    <cellStyle name="Comma [0] TBD_Family Cluster Targets2 3 41" xfId="35474"/>
    <cellStyle name="Comma [0] TBD-_Family Cluster Targets2 3 41" xfId="35475"/>
    <cellStyle name="Comma [0] TBD_Family Cluster Targets2 3 42" xfId="35476"/>
    <cellStyle name="Comma [0] TBD-_Family Cluster Targets2 3 42" xfId="35477"/>
    <cellStyle name="Comma [0] TBD_Family Cluster Targets2 3 43" xfId="35478"/>
    <cellStyle name="Comma [0] TBD-_Family Cluster Targets2 3 43" xfId="35479"/>
    <cellStyle name="Comma [0] TBD_Family Cluster Targets2 3 44" xfId="35480"/>
    <cellStyle name="Comma [0] TBD-_Family Cluster Targets2 3 44" xfId="35481"/>
    <cellStyle name="Comma [0] TBD_Family Cluster Targets2 3 45" xfId="35482"/>
    <cellStyle name="Comma [0] TBD-_Family Cluster Targets2 3 45" xfId="35483"/>
    <cellStyle name="Comma [0] TBD_Family Cluster Targets2 3 46" xfId="35484"/>
    <cellStyle name="Comma [0] TBD-_Family Cluster Targets2 3 46" xfId="35485"/>
    <cellStyle name="Comma [0] TBD_Family Cluster Targets2 3 47" xfId="35486"/>
    <cellStyle name="Comma [0] TBD-_Family Cluster Targets2 3 47" xfId="35487"/>
    <cellStyle name="Comma [0] TBD_Family Cluster Targets2 3 48" xfId="35488"/>
    <cellStyle name="Comma [0] TBD-_Family Cluster Targets2 3 48" xfId="35489"/>
    <cellStyle name="Comma [0] TBD_Family Cluster Targets2 3 49" xfId="35490"/>
    <cellStyle name="Comma [0] TBD-_Family Cluster Targets2 3 49" xfId="35491"/>
    <cellStyle name="Comma [0] TBD_Family Cluster Targets2 3 5" xfId="35492"/>
    <cellStyle name="Comma [0] TBD-_Family Cluster Targets2 3 5" xfId="35493"/>
    <cellStyle name="Comma [0] TBD_Family Cluster Targets2 3 50" xfId="35494"/>
    <cellStyle name="Comma [0] TBD-_Family Cluster Targets2 3 50" xfId="35495"/>
    <cellStyle name="Comma [0] TBD_Family Cluster Targets2 3 51" xfId="35496"/>
    <cellStyle name="Comma [0] TBD-_Family Cluster Targets2 3 51" xfId="35497"/>
    <cellStyle name="Comma [0] TBD_Family Cluster Targets2 3 52" xfId="35498"/>
    <cellStyle name="Comma [0] TBD-_Family Cluster Targets2 3 52" xfId="35499"/>
    <cellStyle name="Comma [0] TBD_Family Cluster Targets2 3 53" xfId="35500"/>
    <cellStyle name="Comma [0] TBD-_Family Cluster Targets2 3 53" xfId="35501"/>
    <cellStyle name="Comma [0] TBD_Family Cluster Targets2 3 54" xfId="35502"/>
    <cellStyle name="Comma [0] TBD-_Family Cluster Targets2 3 54" xfId="35503"/>
    <cellStyle name="Comma [0] TBD_Family Cluster Targets2 3 55" xfId="35504"/>
    <cellStyle name="Comma [0] TBD-_Family Cluster Targets2 3 55" xfId="35505"/>
    <cellStyle name="Comma [0] TBD_Family Cluster Targets2 3 56" xfId="35506"/>
    <cellStyle name="Comma [0] TBD-_Family Cluster Targets2 3 56" xfId="35507"/>
    <cellStyle name="Comma [0] TBD_Family Cluster Targets2 3 57" xfId="35508"/>
    <cellStyle name="Comma [0] TBD-_Family Cluster Targets2 3 57" xfId="35509"/>
    <cellStyle name="Comma [0] TBD_Family Cluster Targets2 3 58" xfId="35510"/>
    <cellStyle name="Comma [0] TBD-_Family Cluster Targets2 3 58" xfId="35511"/>
    <cellStyle name="Comma [0] TBD_Family Cluster Targets2 3 59" xfId="35512"/>
    <cellStyle name="Comma [0] TBD-_Family Cluster Targets2 3 59" xfId="35513"/>
    <cellStyle name="Comma [0] TBD_Family Cluster Targets2 3 6" xfId="35514"/>
    <cellStyle name="Comma [0] TBD-_Family Cluster Targets2 3 6" xfId="35515"/>
    <cellStyle name="Comma [0] TBD_Family Cluster Targets2 3 60" xfId="35516"/>
    <cellStyle name="Comma [0] TBD-_Family Cluster Targets2 3 60" xfId="35517"/>
    <cellStyle name="Comma [0] TBD_Family Cluster Targets2 3 61" xfId="35518"/>
    <cellStyle name="Comma [0] TBD-_Family Cluster Targets2 3 61" xfId="35519"/>
    <cellStyle name="Comma [0] TBD_Family Cluster Targets2 3 62" xfId="35520"/>
    <cellStyle name="Comma [0] TBD-_Family Cluster Targets2 3 62" xfId="35521"/>
    <cellStyle name="Comma [0] TBD_Family Cluster Targets2 3 63" xfId="35522"/>
    <cellStyle name="Comma [0] TBD-_Family Cluster Targets2 3 63" xfId="35523"/>
    <cellStyle name="Comma [0] TBD_Family Cluster Targets2 3 64" xfId="35524"/>
    <cellStyle name="Comma [0] TBD-_Family Cluster Targets2 3 64" xfId="35525"/>
    <cellStyle name="Comma [0] TBD_Family Cluster Targets2 3 65" xfId="35526"/>
    <cellStyle name="Comma [0] TBD-_Family Cluster Targets2 3 65" xfId="35527"/>
    <cellStyle name="Comma [0] TBD_Family Cluster Targets2 3 66" xfId="35528"/>
    <cellStyle name="Comma [0] TBD-_Family Cluster Targets2 3 66" xfId="35529"/>
    <cellStyle name="Comma [0] TBD_Family Cluster Targets2 3 67" xfId="35530"/>
    <cellStyle name="Comma [0] TBD-_Family Cluster Targets2 3 67" xfId="35531"/>
    <cellStyle name="Comma [0] TBD_Family Cluster Targets2 3 68" xfId="35532"/>
    <cellStyle name="Comma [0] TBD-_Family Cluster Targets2 3 68" xfId="35533"/>
    <cellStyle name="Comma [0] TBD_Family Cluster Targets2 3 69" xfId="35534"/>
    <cellStyle name="Comma [0] TBD-_Family Cluster Targets2 3 69" xfId="35535"/>
    <cellStyle name="Comma [0] TBD_Family Cluster Targets2 3 7" xfId="35536"/>
    <cellStyle name="Comma [0] TBD-_Family Cluster Targets2 3 7" xfId="35537"/>
    <cellStyle name="Comma [0] TBD_Family Cluster Targets2 3 70" xfId="35538"/>
    <cellStyle name="Comma [0] TBD-_Family Cluster Targets2 3 70" xfId="35539"/>
    <cellStyle name="Comma [0] TBD_Family Cluster Targets2 3 71" xfId="35540"/>
    <cellStyle name="Comma [0] TBD-_Family Cluster Targets2 3 71" xfId="35541"/>
    <cellStyle name="Comma [0] TBD_Family Cluster Targets2 3 72" xfId="35542"/>
    <cellStyle name="Comma [0] TBD-_Family Cluster Targets2 3 72" xfId="35543"/>
    <cellStyle name="Comma [0] TBD_Family Cluster Targets2 3 73" xfId="35544"/>
    <cellStyle name="Comma [0] TBD-_Family Cluster Targets2 3 73" xfId="35545"/>
    <cellStyle name="Comma [0] TBD_Family Cluster Targets2 3 74" xfId="35546"/>
    <cellStyle name="Comma [0] TBD-_Family Cluster Targets2 3 74" xfId="35547"/>
    <cellStyle name="Comma [0] TBD_Family Cluster Targets2 3 75" xfId="35548"/>
    <cellStyle name="Comma [0] TBD-_Family Cluster Targets2 3 75" xfId="35549"/>
    <cellStyle name="Comma [0] TBD_Family Cluster Targets2 3 76" xfId="35550"/>
    <cellStyle name="Comma [0] TBD-_Family Cluster Targets2 3 76" xfId="35551"/>
    <cellStyle name="Comma [0] TBD_Family Cluster Targets2 3 77" xfId="35552"/>
    <cellStyle name="Comma [0] TBD-_Family Cluster Targets2 3 77" xfId="35553"/>
    <cellStyle name="Comma [0] TBD_Family Cluster Targets2 3 78" xfId="35554"/>
    <cellStyle name="Comma [0] TBD-_Family Cluster Targets2 3 78" xfId="35555"/>
    <cellStyle name="Comma [0] TBD_Family Cluster Targets2 3 79" xfId="35556"/>
    <cellStyle name="Comma [0] TBD-_Family Cluster Targets2 3 79" xfId="35557"/>
    <cellStyle name="Comma [0] TBD_Family Cluster Targets2 3 8" xfId="35558"/>
    <cellStyle name="Comma [0] TBD-_Family Cluster Targets2 3 8" xfId="35559"/>
    <cellStyle name="Comma [0] TBD_Family Cluster Targets2 3 80" xfId="35560"/>
    <cellStyle name="Comma [0] TBD-_Family Cluster Targets2 3 80" xfId="35561"/>
    <cellStyle name="Comma [0] TBD_Family Cluster Targets2 3 81" xfId="35562"/>
    <cellStyle name="Comma [0] TBD-_Family Cluster Targets2 3 81" xfId="35563"/>
    <cellStyle name="Comma [0] TBD_Family Cluster Targets2 3 82" xfId="35564"/>
    <cellStyle name="Comma [0] TBD-_Family Cluster Targets2 3 82" xfId="35565"/>
    <cellStyle name="Comma [0] TBD_Family Cluster Targets2 3 83" xfId="35566"/>
    <cellStyle name="Comma [0] TBD-_Family Cluster Targets2 3 83" xfId="35567"/>
    <cellStyle name="Comma [0] TBD_Family Cluster Targets2 3 84" xfId="35568"/>
    <cellStyle name="Comma [0] TBD-_Family Cluster Targets2 3 84" xfId="35569"/>
    <cellStyle name="Comma [0] TBD_Family Cluster Targets2 3 85" xfId="35570"/>
    <cellStyle name="Comma [0] TBD-_Family Cluster Targets2 3 85" xfId="35571"/>
    <cellStyle name="Comma [0] TBD_Family Cluster Targets2 3 86" xfId="35572"/>
    <cellStyle name="Comma [0] TBD-_Family Cluster Targets2 3 86" xfId="35573"/>
    <cellStyle name="Comma [0] TBD_Family Cluster Targets2 3 87" xfId="35574"/>
    <cellStyle name="Comma [0] TBD-_Family Cluster Targets2 3 87" xfId="35575"/>
    <cellStyle name="Comma [0] TBD_Family Cluster Targets2 3 88" xfId="35576"/>
    <cellStyle name="Comma [0] TBD-_Family Cluster Targets2 3 88" xfId="35577"/>
    <cellStyle name="Comma [0] TBD_Family Cluster Targets2 3 89" xfId="35578"/>
    <cellStyle name="Comma [0] TBD-_Family Cluster Targets2 3 89" xfId="35579"/>
    <cellStyle name="Comma [0] TBD_Family Cluster Targets2 3 9" xfId="35580"/>
    <cellStyle name="Comma [0] TBD-_Family Cluster Targets2 3 9" xfId="35581"/>
    <cellStyle name="Comma [0] TBD_Family Cluster Targets2 3 90" xfId="35582"/>
    <cellStyle name="Comma [0] TBD-_Family Cluster Targets2 3 90" xfId="35583"/>
    <cellStyle name="Comma [0] TBD_Family Cluster Targets2 3 91" xfId="35584"/>
    <cellStyle name="Comma [0] TBD-_Family Cluster Targets2 3 91" xfId="35585"/>
    <cellStyle name="Comma [0] TBD_Family Cluster Targets2 3 92" xfId="35586"/>
    <cellStyle name="Comma [0] TBD-_Family Cluster Targets2 3 92" xfId="35587"/>
    <cellStyle name="Comma [0] TBD_Family Cluster Targets2 3 93" xfId="35588"/>
    <cellStyle name="Comma [0] TBD-_Family Cluster Targets2 3 93" xfId="35589"/>
    <cellStyle name="Comma [0] TBD_Family Cluster Targets2 3 94" xfId="35590"/>
    <cellStyle name="Comma [0] TBD-_Family Cluster Targets2 3 94" xfId="35591"/>
    <cellStyle name="Comma [0] TBD_Family Cluster Targets2 3 95" xfId="35592"/>
    <cellStyle name="Comma [0] TBD-_Family Cluster Targets2 3 95" xfId="35593"/>
    <cellStyle name="Comma [0] TBD_Family Cluster Targets2 3 96" xfId="35594"/>
    <cellStyle name="Comma [0] TBD-_Family Cluster Targets2 3 96" xfId="35595"/>
    <cellStyle name="Comma [0] TBD_Family Cluster Targets2 3 97" xfId="35596"/>
    <cellStyle name="Comma [0] TBD-_Family Cluster Targets2 3 97" xfId="35597"/>
    <cellStyle name="Comma [0] TBD_Family Cluster Targets2 3 98" xfId="35598"/>
    <cellStyle name="Comma [0] TBD-_Family Cluster Targets2 3 98" xfId="35599"/>
    <cellStyle name="Comma [0] TBD_Family Cluster Targets2 3 99" xfId="35600"/>
    <cellStyle name="Comma [0] TBD-_Family Cluster Targets2 3 99" xfId="35601"/>
    <cellStyle name="Comma [0] TBD_Family Cluster Targets2 4" xfId="35602"/>
    <cellStyle name="Comma [0] TBD-_Family Cluster Targets2 4" xfId="35603"/>
    <cellStyle name="Comma [0] TBD_Family Cluster Targets2 4 10" xfId="35604"/>
    <cellStyle name="Comma [0] TBD-_Family Cluster Targets2 4 10" xfId="35605"/>
    <cellStyle name="Comma [0] TBD_Family Cluster Targets2 4 100" xfId="35606"/>
    <cellStyle name="Comma [0] TBD-_Family Cluster Targets2 4 100" xfId="35607"/>
    <cellStyle name="Comma [0] TBD_Family Cluster Targets2 4 101" xfId="35608"/>
    <cellStyle name="Comma [0] TBD-_Family Cluster Targets2 4 101" xfId="35609"/>
    <cellStyle name="Comma [0] TBD_Family Cluster Targets2 4 102" xfId="35610"/>
    <cellStyle name="Comma [0] TBD-_Family Cluster Targets2 4 102" xfId="35611"/>
    <cellStyle name="Comma [0] TBD_Family Cluster Targets2 4 103" xfId="35612"/>
    <cellStyle name="Comma [0] TBD-_Family Cluster Targets2 4 103" xfId="35613"/>
    <cellStyle name="Comma [0] TBD_Family Cluster Targets2 4 104" xfId="35614"/>
    <cellStyle name="Comma [0] TBD-_Family Cluster Targets2 4 104" xfId="35615"/>
    <cellStyle name="Comma [0] TBD_Family Cluster Targets2 4 105" xfId="35616"/>
    <cellStyle name="Comma [0] TBD-_Family Cluster Targets2 4 105" xfId="35617"/>
    <cellStyle name="Comma [0] TBD_Family Cluster Targets2 4 106" xfId="35618"/>
    <cellStyle name="Comma [0] TBD-_Family Cluster Targets2 4 106" xfId="35619"/>
    <cellStyle name="Comma [0] TBD_Family Cluster Targets2 4 107" xfId="35620"/>
    <cellStyle name="Comma [0] TBD-_Family Cluster Targets2 4 107" xfId="35621"/>
    <cellStyle name="Comma [0] TBD_Family Cluster Targets2 4 108" xfId="35622"/>
    <cellStyle name="Comma [0] TBD-_Family Cluster Targets2 4 108" xfId="35623"/>
    <cellStyle name="Comma [0] TBD_Family Cluster Targets2 4 109" xfId="35624"/>
    <cellStyle name="Comma [0] TBD-_Family Cluster Targets2 4 109" xfId="35625"/>
    <cellStyle name="Comma [0] TBD_Family Cluster Targets2 4 11" xfId="35626"/>
    <cellStyle name="Comma [0] TBD-_Family Cluster Targets2 4 11" xfId="35627"/>
    <cellStyle name="Comma [0] TBD_Family Cluster Targets2 4 110" xfId="35628"/>
    <cellStyle name="Comma [0] TBD-_Family Cluster Targets2 4 110" xfId="35629"/>
    <cellStyle name="Comma [0] TBD_Family Cluster Targets2 4 111" xfId="35630"/>
    <cellStyle name="Comma [0] TBD-_Family Cluster Targets2 4 111" xfId="35631"/>
    <cellStyle name="Comma [0] TBD_Family Cluster Targets2 4 112" xfId="35632"/>
    <cellStyle name="Comma [0] TBD-_Family Cluster Targets2 4 112" xfId="35633"/>
    <cellStyle name="Comma [0] TBD_Family Cluster Targets2 4 113" xfId="35634"/>
    <cellStyle name="Comma [0] TBD-_Family Cluster Targets2 4 113" xfId="35635"/>
    <cellStyle name="Comma [0] TBD_Family Cluster Targets2 4 114" xfId="35636"/>
    <cellStyle name="Comma [0] TBD-_Family Cluster Targets2 4 114" xfId="35637"/>
    <cellStyle name="Comma [0] TBD_Family Cluster Targets2 4 115" xfId="35638"/>
    <cellStyle name="Comma [0] TBD-_Family Cluster Targets2 4 115" xfId="35639"/>
    <cellStyle name="Comma [0] TBD_Family Cluster Targets2 4 116" xfId="35640"/>
    <cellStyle name="Comma [0] TBD-_Family Cluster Targets2 4 116" xfId="35641"/>
    <cellStyle name="Comma [0] TBD_Family Cluster Targets2 4 117" xfId="35642"/>
    <cellStyle name="Comma [0] TBD-_Family Cluster Targets2 4 117" xfId="35643"/>
    <cellStyle name="Comma [0] TBD_Family Cluster Targets2 4 118" xfId="35644"/>
    <cellStyle name="Comma [0] TBD-_Family Cluster Targets2 4 118" xfId="35645"/>
    <cellStyle name="Comma [0] TBD_Family Cluster Targets2 4 119" xfId="35646"/>
    <cellStyle name="Comma [0] TBD-_Family Cluster Targets2 4 119" xfId="35647"/>
    <cellStyle name="Comma [0] TBD_Family Cluster Targets2 4 12" xfId="35648"/>
    <cellStyle name="Comma [0] TBD-_Family Cluster Targets2 4 12" xfId="35649"/>
    <cellStyle name="Comma [0] TBD_Family Cluster Targets2 4 120" xfId="35650"/>
    <cellStyle name="Comma [0] TBD-_Family Cluster Targets2 4 120" xfId="35651"/>
    <cellStyle name="Comma [0] TBD_Family Cluster Targets2 4 121" xfId="35652"/>
    <cellStyle name="Comma [0] TBD-_Family Cluster Targets2 4 121" xfId="35653"/>
    <cellStyle name="Comma [0] TBD_Family Cluster Targets2 4 122" xfId="35654"/>
    <cellStyle name="Comma [0] TBD-_Family Cluster Targets2 4 122" xfId="35655"/>
    <cellStyle name="Comma [0] TBD_Family Cluster Targets2 4 123" xfId="35656"/>
    <cellStyle name="Comma [0] TBD-_Family Cluster Targets2 4 123" xfId="35657"/>
    <cellStyle name="Comma [0] TBD_Family Cluster Targets2 4 124" xfId="35658"/>
    <cellStyle name="Comma [0] TBD-_Family Cluster Targets2 4 124" xfId="35659"/>
    <cellStyle name="Comma [0] TBD_Family Cluster Targets2 4 125" xfId="35660"/>
    <cellStyle name="Comma [0] TBD-_Family Cluster Targets2 4 125" xfId="35661"/>
    <cellStyle name="Comma [0] TBD_Family Cluster Targets2 4 126" xfId="35662"/>
    <cellStyle name="Comma [0] TBD-_Family Cluster Targets2 4 126" xfId="35663"/>
    <cellStyle name="Comma [0] TBD_Family Cluster Targets2 4 127" xfId="35664"/>
    <cellStyle name="Comma [0] TBD-_Family Cluster Targets2 4 127" xfId="35665"/>
    <cellStyle name="Comma [0] TBD_Family Cluster Targets2 4 128" xfId="35666"/>
    <cellStyle name="Comma [0] TBD-_Family Cluster Targets2 4 128" xfId="35667"/>
    <cellStyle name="Comma [0] TBD_Family Cluster Targets2 4 129" xfId="35668"/>
    <cellStyle name="Comma [0] TBD-_Family Cluster Targets2 4 129" xfId="35669"/>
    <cellStyle name="Comma [0] TBD_Family Cluster Targets2 4 13" xfId="35670"/>
    <cellStyle name="Comma [0] TBD-_Family Cluster Targets2 4 13" xfId="35671"/>
    <cellStyle name="Comma [0] TBD_Family Cluster Targets2 4 130" xfId="35672"/>
    <cellStyle name="Comma [0] TBD-_Family Cluster Targets2 4 130" xfId="35673"/>
    <cellStyle name="Comma [0] TBD_Family Cluster Targets2 4 131" xfId="35674"/>
    <cellStyle name="Comma [0] TBD-_Family Cluster Targets2 4 131" xfId="35675"/>
    <cellStyle name="Comma [0] TBD_Family Cluster Targets2 4 132" xfId="35676"/>
    <cellStyle name="Comma [0] TBD-_Family Cluster Targets2 4 132" xfId="35677"/>
    <cellStyle name="Comma [0] TBD_Family Cluster Targets2 4 133" xfId="35678"/>
    <cellStyle name="Comma [0] TBD-_Family Cluster Targets2 4 133" xfId="35679"/>
    <cellStyle name="Comma [0] TBD_Family Cluster Targets2 4 134" xfId="35680"/>
    <cellStyle name="Comma [0] TBD-_Family Cluster Targets2 4 134" xfId="35681"/>
    <cellStyle name="Comma [0] TBD_Family Cluster Targets2 4 135" xfId="35682"/>
    <cellStyle name="Comma [0] TBD-_Family Cluster Targets2 4 135" xfId="35683"/>
    <cellStyle name="Comma [0] TBD_Family Cluster Targets2 4 136" xfId="35684"/>
    <cellStyle name="Comma [0] TBD-_Family Cluster Targets2 4 136" xfId="35685"/>
    <cellStyle name="Comma [0] TBD_Family Cluster Targets2 4 137" xfId="35686"/>
    <cellStyle name="Comma [0] TBD-_Family Cluster Targets2 4 137" xfId="35687"/>
    <cellStyle name="Comma [0] TBD_Family Cluster Targets2 4 138" xfId="35688"/>
    <cellStyle name="Comma [0] TBD-_Family Cluster Targets2 4 138" xfId="35689"/>
    <cellStyle name="Comma [0] TBD_Family Cluster Targets2 4 139" xfId="35690"/>
    <cellStyle name="Comma [0] TBD-_Family Cluster Targets2 4 139" xfId="35691"/>
    <cellStyle name="Comma [0] TBD_Family Cluster Targets2 4 14" xfId="35692"/>
    <cellStyle name="Comma [0] TBD-_Family Cluster Targets2 4 14" xfId="35693"/>
    <cellStyle name="Comma [0] TBD_Family Cluster Targets2 4 140" xfId="35694"/>
    <cellStyle name="Comma [0] TBD-_Family Cluster Targets2 4 140" xfId="35695"/>
    <cellStyle name="Comma [0] TBD_Family Cluster Targets2 4 141" xfId="35696"/>
    <cellStyle name="Comma [0] TBD-_Family Cluster Targets2 4 141" xfId="35697"/>
    <cellStyle name="Comma [0] TBD_Family Cluster Targets2 4 142" xfId="35698"/>
    <cellStyle name="Comma [0] TBD-_Family Cluster Targets2 4 142" xfId="35699"/>
    <cellStyle name="Comma [0] TBD_Family Cluster Targets2 4 143" xfId="35700"/>
    <cellStyle name="Comma [0] TBD-_Family Cluster Targets2 4 143" xfId="35701"/>
    <cellStyle name="Comma [0] TBD_Family Cluster Targets2 4 144" xfId="35702"/>
    <cellStyle name="Comma [0] TBD-_Family Cluster Targets2 4 144" xfId="35703"/>
    <cellStyle name="Comma [0] TBD_Family Cluster Targets2 4 145" xfId="35704"/>
    <cellStyle name="Comma [0] TBD-_Family Cluster Targets2 4 145" xfId="35705"/>
    <cellStyle name="Comma [0] TBD_Family Cluster Targets2 4 146" xfId="35706"/>
    <cellStyle name="Comma [0] TBD-_Family Cluster Targets2 4 146" xfId="35707"/>
    <cellStyle name="Comma [0] TBD_Family Cluster Targets2 4 147" xfId="35708"/>
    <cellStyle name="Comma [0] TBD-_Family Cluster Targets2 4 147" xfId="35709"/>
    <cellStyle name="Comma [0] TBD_Family Cluster Targets2 4 148" xfId="35710"/>
    <cellStyle name="Comma [0] TBD-_Family Cluster Targets2 4 148" xfId="35711"/>
    <cellStyle name="Comma [0] TBD_Family Cluster Targets2 4 149" xfId="35712"/>
    <cellStyle name="Comma [0] TBD-_Family Cluster Targets2 4 149" xfId="35713"/>
    <cellStyle name="Comma [0] TBD_Family Cluster Targets2 4 15" xfId="35714"/>
    <cellStyle name="Comma [0] TBD-_Family Cluster Targets2 4 15" xfId="35715"/>
    <cellStyle name="Comma [0] TBD_Family Cluster Targets2 4 150" xfId="35716"/>
    <cellStyle name="Comma [0] TBD-_Family Cluster Targets2 4 150" xfId="35717"/>
    <cellStyle name="Comma [0] TBD_Family Cluster Targets2 4 151" xfId="35718"/>
    <cellStyle name="Comma [0] TBD-_Family Cluster Targets2 4 151" xfId="35719"/>
    <cellStyle name="Comma [0] TBD_Family Cluster Targets2 4 152" xfId="35720"/>
    <cellStyle name="Comma [0] TBD-_Family Cluster Targets2 4 152" xfId="35721"/>
    <cellStyle name="Comma [0] TBD_Family Cluster Targets2 4 153" xfId="35722"/>
    <cellStyle name="Comma [0] TBD-_Family Cluster Targets2 4 153" xfId="35723"/>
    <cellStyle name="Comma [0] TBD_Family Cluster Targets2 4 16" xfId="35724"/>
    <cellStyle name="Comma [0] TBD-_Family Cluster Targets2 4 16" xfId="35725"/>
    <cellStyle name="Comma [0] TBD_Family Cluster Targets2 4 17" xfId="35726"/>
    <cellStyle name="Comma [0] TBD-_Family Cluster Targets2 4 17" xfId="35727"/>
    <cellStyle name="Comma [0] TBD_Family Cluster Targets2 4 18" xfId="35728"/>
    <cellStyle name="Comma [0] TBD-_Family Cluster Targets2 4 18" xfId="35729"/>
    <cellStyle name="Comma [0] TBD_Family Cluster Targets2 4 19" xfId="35730"/>
    <cellStyle name="Comma [0] TBD-_Family Cluster Targets2 4 19" xfId="35731"/>
    <cellStyle name="Comma [0] TBD_Family Cluster Targets2 4 2" xfId="35732"/>
    <cellStyle name="Comma [0] TBD-_Family Cluster Targets2 4 2" xfId="35733"/>
    <cellStyle name="Comma [0] TBD_Family Cluster Targets2 4 20" xfId="35734"/>
    <cellStyle name="Comma [0] TBD-_Family Cluster Targets2 4 20" xfId="35735"/>
    <cellStyle name="Comma [0] TBD_Family Cluster Targets2 4 21" xfId="35736"/>
    <cellStyle name="Comma [0] TBD-_Family Cluster Targets2 4 21" xfId="35737"/>
    <cellStyle name="Comma [0] TBD_Family Cluster Targets2 4 22" xfId="35738"/>
    <cellStyle name="Comma [0] TBD-_Family Cluster Targets2 4 22" xfId="35739"/>
    <cellStyle name="Comma [0] TBD_Family Cluster Targets2 4 23" xfId="35740"/>
    <cellStyle name="Comma [0] TBD-_Family Cluster Targets2 4 23" xfId="35741"/>
    <cellStyle name="Comma [0] TBD_Family Cluster Targets2 4 24" xfId="35742"/>
    <cellStyle name="Comma [0] TBD-_Family Cluster Targets2 4 24" xfId="35743"/>
    <cellStyle name="Comma [0] TBD_Family Cluster Targets2 4 25" xfId="35744"/>
    <cellStyle name="Comma [0] TBD-_Family Cluster Targets2 4 25" xfId="35745"/>
    <cellStyle name="Comma [0] TBD_Family Cluster Targets2 4 26" xfId="35746"/>
    <cellStyle name="Comma [0] TBD-_Family Cluster Targets2 4 26" xfId="35747"/>
    <cellStyle name="Comma [0] TBD_Family Cluster Targets2 4 27" xfId="35748"/>
    <cellStyle name="Comma [0] TBD-_Family Cluster Targets2 4 27" xfId="35749"/>
    <cellStyle name="Comma [0] TBD_Family Cluster Targets2 4 28" xfId="35750"/>
    <cellStyle name="Comma [0] TBD-_Family Cluster Targets2 4 28" xfId="35751"/>
    <cellStyle name="Comma [0] TBD_Family Cluster Targets2 4 29" xfId="35752"/>
    <cellStyle name="Comma [0] TBD-_Family Cluster Targets2 4 29" xfId="35753"/>
    <cellStyle name="Comma [0] TBD_Family Cluster Targets2 4 3" xfId="35754"/>
    <cellStyle name="Comma [0] TBD-_Family Cluster Targets2 4 3" xfId="35755"/>
    <cellStyle name="Comma [0] TBD_Family Cluster Targets2 4 30" xfId="35756"/>
    <cellStyle name="Comma [0] TBD-_Family Cluster Targets2 4 30" xfId="35757"/>
    <cellStyle name="Comma [0] TBD_Family Cluster Targets2 4 31" xfId="35758"/>
    <cellStyle name="Comma [0] TBD-_Family Cluster Targets2 4 31" xfId="35759"/>
    <cellStyle name="Comma [0] TBD_Family Cluster Targets2 4 32" xfId="35760"/>
    <cellStyle name="Comma [0] TBD-_Family Cluster Targets2 4 32" xfId="35761"/>
    <cellStyle name="Comma [0] TBD_Family Cluster Targets2 4 33" xfId="35762"/>
    <cellStyle name="Comma [0] TBD-_Family Cluster Targets2 4 33" xfId="35763"/>
    <cellStyle name="Comma [0] TBD_Family Cluster Targets2 4 34" xfId="35764"/>
    <cellStyle name="Comma [0] TBD-_Family Cluster Targets2 4 34" xfId="35765"/>
    <cellStyle name="Comma [0] TBD_Family Cluster Targets2 4 35" xfId="35766"/>
    <cellStyle name="Comma [0] TBD-_Family Cluster Targets2 4 35" xfId="35767"/>
    <cellStyle name="Comma [0] TBD_Family Cluster Targets2 4 36" xfId="35768"/>
    <cellStyle name="Comma [0] TBD-_Family Cluster Targets2 4 36" xfId="35769"/>
    <cellStyle name="Comma [0] TBD_Family Cluster Targets2 4 37" xfId="35770"/>
    <cellStyle name="Comma [0] TBD-_Family Cluster Targets2 4 37" xfId="35771"/>
    <cellStyle name="Comma [0] TBD_Family Cluster Targets2 4 38" xfId="35772"/>
    <cellStyle name="Comma [0] TBD-_Family Cluster Targets2 4 38" xfId="35773"/>
    <cellStyle name="Comma [0] TBD_Family Cluster Targets2 4 39" xfId="35774"/>
    <cellStyle name="Comma [0] TBD-_Family Cluster Targets2 4 39" xfId="35775"/>
    <cellStyle name="Comma [0] TBD_Family Cluster Targets2 4 4" xfId="35776"/>
    <cellStyle name="Comma [0] TBD-_Family Cluster Targets2 4 4" xfId="35777"/>
    <cellStyle name="Comma [0] TBD_Family Cluster Targets2 4 40" xfId="35778"/>
    <cellStyle name="Comma [0] TBD-_Family Cluster Targets2 4 40" xfId="35779"/>
    <cellStyle name="Comma [0] TBD_Family Cluster Targets2 4 41" xfId="35780"/>
    <cellStyle name="Comma [0] TBD-_Family Cluster Targets2 4 41" xfId="35781"/>
    <cellStyle name="Comma [0] TBD_Family Cluster Targets2 4 42" xfId="35782"/>
    <cellStyle name="Comma [0] TBD-_Family Cluster Targets2 4 42" xfId="35783"/>
    <cellStyle name="Comma [0] TBD_Family Cluster Targets2 4 43" xfId="35784"/>
    <cellStyle name="Comma [0] TBD-_Family Cluster Targets2 4 43" xfId="35785"/>
    <cellStyle name="Comma [0] TBD_Family Cluster Targets2 4 44" xfId="35786"/>
    <cellStyle name="Comma [0] TBD-_Family Cluster Targets2 4 44" xfId="35787"/>
    <cellStyle name="Comma [0] TBD_Family Cluster Targets2 4 45" xfId="35788"/>
    <cellStyle name="Comma [0] TBD-_Family Cluster Targets2 4 45" xfId="35789"/>
    <cellStyle name="Comma [0] TBD_Family Cluster Targets2 4 46" xfId="35790"/>
    <cellStyle name="Comma [0] TBD-_Family Cluster Targets2 4 46" xfId="35791"/>
    <cellStyle name="Comma [0] TBD_Family Cluster Targets2 4 47" xfId="35792"/>
    <cellStyle name="Comma [0] TBD-_Family Cluster Targets2 4 47" xfId="35793"/>
    <cellStyle name="Comma [0] TBD_Family Cluster Targets2 4 48" xfId="35794"/>
    <cellStyle name="Comma [0] TBD-_Family Cluster Targets2 4 48" xfId="35795"/>
    <cellStyle name="Comma [0] TBD_Family Cluster Targets2 4 49" xfId="35796"/>
    <cellStyle name="Comma [0] TBD-_Family Cluster Targets2 4 49" xfId="35797"/>
    <cellStyle name="Comma [0] TBD_Family Cluster Targets2 4 5" xfId="35798"/>
    <cellStyle name="Comma [0] TBD-_Family Cluster Targets2 4 5" xfId="35799"/>
    <cellStyle name="Comma [0] TBD_Family Cluster Targets2 4 50" xfId="35800"/>
    <cellStyle name="Comma [0] TBD-_Family Cluster Targets2 4 50" xfId="35801"/>
    <cellStyle name="Comma [0] TBD_Family Cluster Targets2 4 51" xfId="35802"/>
    <cellStyle name="Comma [0] TBD-_Family Cluster Targets2 4 51" xfId="35803"/>
    <cellStyle name="Comma [0] TBD_Family Cluster Targets2 4 52" xfId="35804"/>
    <cellStyle name="Comma [0] TBD-_Family Cluster Targets2 4 52" xfId="35805"/>
    <cellStyle name="Comma [0] TBD_Family Cluster Targets2 4 53" xfId="35806"/>
    <cellStyle name="Comma [0] TBD-_Family Cluster Targets2 4 53" xfId="35807"/>
    <cellStyle name="Comma [0] TBD_Family Cluster Targets2 4 54" xfId="35808"/>
    <cellStyle name="Comma [0] TBD-_Family Cluster Targets2 4 54" xfId="35809"/>
    <cellStyle name="Comma [0] TBD_Family Cluster Targets2 4 55" xfId="35810"/>
    <cellStyle name="Comma [0] TBD-_Family Cluster Targets2 4 55" xfId="35811"/>
    <cellStyle name="Comma [0] TBD_Family Cluster Targets2 4 56" xfId="35812"/>
    <cellStyle name="Comma [0] TBD-_Family Cluster Targets2 4 56" xfId="35813"/>
    <cellStyle name="Comma [0] TBD_Family Cluster Targets2 4 57" xfId="35814"/>
    <cellStyle name="Comma [0] TBD-_Family Cluster Targets2 4 57" xfId="35815"/>
    <cellStyle name="Comma [0] TBD_Family Cluster Targets2 4 58" xfId="35816"/>
    <cellStyle name="Comma [0] TBD-_Family Cluster Targets2 4 58" xfId="35817"/>
    <cellStyle name="Comma [0] TBD_Family Cluster Targets2 4 59" xfId="35818"/>
    <cellStyle name="Comma [0] TBD-_Family Cluster Targets2 4 59" xfId="35819"/>
    <cellStyle name="Comma [0] TBD_Family Cluster Targets2 4 6" xfId="35820"/>
    <cellStyle name="Comma [0] TBD-_Family Cluster Targets2 4 6" xfId="35821"/>
    <cellStyle name="Comma [0] TBD_Family Cluster Targets2 4 60" xfId="35822"/>
    <cellStyle name="Comma [0] TBD-_Family Cluster Targets2 4 60" xfId="35823"/>
    <cellStyle name="Comma [0] TBD_Family Cluster Targets2 4 61" xfId="35824"/>
    <cellStyle name="Comma [0] TBD-_Family Cluster Targets2 4 61" xfId="35825"/>
    <cellStyle name="Comma [0] TBD_Family Cluster Targets2 4 62" xfId="35826"/>
    <cellStyle name="Comma [0] TBD-_Family Cluster Targets2 4 62" xfId="35827"/>
    <cellStyle name="Comma [0] TBD_Family Cluster Targets2 4 63" xfId="35828"/>
    <cellStyle name="Comma [0] TBD-_Family Cluster Targets2 4 63" xfId="35829"/>
    <cellStyle name="Comma [0] TBD_Family Cluster Targets2 4 64" xfId="35830"/>
    <cellStyle name="Comma [0] TBD-_Family Cluster Targets2 4 64" xfId="35831"/>
    <cellStyle name="Comma [0] TBD_Family Cluster Targets2 4 65" xfId="35832"/>
    <cellStyle name="Comma [0] TBD-_Family Cluster Targets2 4 65" xfId="35833"/>
    <cellStyle name="Comma [0] TBD_Family Cluster Targets2 4 66" xfId="35834"/>
    <cellStyle name="Comma [0] TBD-_Family Cluster Targets2 4 66" xfId="35835"/>
    <cellStyle name="Comma [0] TBD_Family Cluster Targets2 4 67" xfId="35836"/>
    <cellStyle name="Comma [0] TBD-_Family Cluster Targets2 4 67" xfId="35837"/>
    <cellStyle name="Comma [0] TBD_Family Cluster Targets2 4 68" xfId="35838"/>
    <cellStyle name="Comma [0] TBD-_Family Cluster Targets2 4 68" xfId="35839"/>
    <cellStyle name="Comma [0] TBD_Family Cluster Targets2 4 69" xfId="35840"/>
    <cellStyle name="Comma [0] TBD-_Family Cluster Targets2 4 69" xfId="35841"/>
    <cellStyle name="Comma [0] TBD_Family Cluster Targets2 4 7" xfId="35842"/>
    <cellStyle name="Comma [0] TBD-_Family Cluster Targets2 4 7" xfId="35843"/>
    <cellStyle name="Comma [0] TBD_Family Cluster Targets2 4 70" xfId="35844"/>
    <cellStyle name="Comma [0] TBD-_Family Cluster Targets2 4 70" xfId="35845"/>
    <cellStyle name="Comma [0] TBD_Family Cluster Targets2 4 71" xfId="35846"/>
    <cellStyle name="Comma [0] TBD-_Family Cluster Targets2 4 71" xfId="35847"/>
    <cellStyle name="Comma [0] TBD_Family Cluster Targets2 4 72" xfId="35848"/>
    <cellStyle name="Comma [0] TBD-_Family Cluster Targets2 4 72" xfId="35849"/>
    <cellStyle name="Comma [0] TBD_Family Cluster Targets2 4 73" xfId="35850"/>
    <cellStyle name="Comma [0] TBD-_Family Cluster Targets2 4 73" xfId="35851"/>
    <cellStyle name="Comma [0] TBD_Family Cluster Targets2 4 74" xfId="35852"/>
    <cellStyle name="Comma [0] TBD-_Family Cluster Targets2 4 74" xfId="35853"/>
    <cellStyle name="Comma [0] TBD_Family Cluster Targets2 4 75" xfId="35854"/>
    <cellStyle name="Comma [0] TBD-_Family Cluster Targets2 4 75" xfId="35855"/>
    <cellStyle name="Comma [0] TBD_Family Cluster Targets2 4 76" xfId="35856"/>
    <cellStyle name="Comma [0] TBD-_Family Cluster Targets2 4 76" xfId="35857"/>
    <cellStyle name="Comma [0] TBD_Family Cluster Targets2 4 77" xfId="35858"/>
    <cellStyle name="Comma [0] TBD-_Family Cluster Targets2 4 77" xfId="35859"/>
    <cellStyle name="Comma [0] TBD_Family Cluster Targets2 4 78" xfId="35860"/>
    <cellStyle name="Comma [0] TBD-_Family Cluster Targets2 4 78" xfId="35861"/>
    <cellStyle name="Comma [0] TBD_Family Cluster Targets2 4 79" xfId="35862"/>
    <cellStyle name="Comma [0] TBD-_Family Cluster Targets2 4 79" xfId="35863"/>
    <cellStyle name="Comma [0] TBD_Family Cluster Targets2 4 8" xfId="35864"/>
    <cellStyle name="Comma [0] TBD-_Family Cluster Targets2 4 8" xfId="35865"/>
    <cellStyle name="Comma [0] TBD_Family Cluster Targets2 4 80" xfId="35866"/>
    <cellStyle name="Comma [0] TBD-_Family Cluster Targets2 4 80" xfId="35867"/>
    <cellStyle name="Comma [0] TBD_Family Cluster Targets2 4 81" xfId="35868"/>
    <cellStyle name="Comma [0] TBD-_Family Cluster Targets2 4 81" xfId="35869"/>
    <cellStyle name="Comma [0] TBD_Family Cluster Targets2 4 82" xfId="35870"/>
    <cellStyle name="Comma [0] TBD-_Family Cluster Targets2 4 82" xfId="35871"/>
    <cellStyle name="Comma [0] TBD_Family Cluster Targets2 4 83" xfId="35872"/>
    <cellStyle name="Comma [0] TBD-_Family Cluster Targets2 4 83" xfId="35873"/>
    <cellStyle name="Comma [0] TBD_Family Cluster Targets2 4 84" xfId="35874"/>
    <cellStyle name="Comma [0] TBD-_Family Cluster Targets2 4 84" xfId="35875"/>
    <cellStyle name="Comma [0] TBD_Family Cluster Targets2 4 85" xfId="35876"/>
    <cellStyle name="Comma [0] TBD-_Family Cluster Targets2 4 85" xfId="35877"/>
    <cellStyle name="Comma [0] TBD_Family Cluster Targets2 4 86" xfId="35878"/>
    <cellStyle name="Comma [0] TBD-_Family Cluster Targets2 4 86" xfId="35879"/>
    <cellStyle name="Comma [0] TBD_Family Cluster Targets2 4 87" xfId="35880"/>
    <cellStyle name="Comma [0] TBD-_Family Cluster Targets2 4 87" xfId="35881"/>
    <cellStyle name="Comma [0] TBD_Family Cluster Targets2 4 88" xfId="35882"/>
    <cellStyle name="Comma [0] TBD-_Family Cluster Targets2 4 88" xfId="35883"/>
    <cellStyle name="Comma [0] TBD_Family Cluster Targets2 4 89" xfId="35884"/>
    <cellStyle name="Comma [0] TBD-_Family Cluster Targets2 4 89" xfId="35885"/>
    <cellStyle name="Comma [0] TBD_Family Cluster Targets2 4 9" xfId="35886"/>
    <cellStyle name="Comma [0] TBD-_Family Cluster Targets2 4 9" xfId="35887"/>
    <cellStyle name="Comma [0] TBD_Family Cluster Targets2 4 90" xfId="35888"/>
    <cellStyle name="Comma [0] TBD-_Family Cluster Targets2 4 90" xfId="35889"/>
    <cellStyle name="Comma [0] TBD_Family Cluster Targets2 4 91" xfId="35890"/>
    <cellStyle name="Comma [0] TBD-_Family Cluster Targets2 4 91" xfId="35891"/>
    <cellStyle name="Comma [0] TBD_Family Cluster Targets2 4 92" xfId="35892"/>
    <cellStyle name="Comma [0] TBD-_Family Cluster Targets2 4 92" xfId="35893"/>
    <cellStyle name="Comma [0] TBD_Family Cluster Targets2 4 93" xfId="35894"/>
    <cellStyle name="Comma [0] TBD-_Family Cluster Targets2 4 93" xfId="35895"/>
    <cellStyle name="Comma [0] TBD_Family Cluster Targets2 4 94" xfId="35896"/>
    <cellStyle name="Comma [0] TBD-_Family Cluster Targets2 4 94" xfId="35897"/>
    <cellStyle name="Comma [0] TBD_Family Cluster Targets2 4 95" xfId="35898"/>
    <cellStyle name="Comma [0] TBD-_Family Cluster Targets2 4 95" xfId="35899"/>
    <cellStyle name="Comma [0] TBD_Family Cluster Targets2 4 96" xfId="35900"/>
    <cellStyle name="Comma [0] TBD-_Family Cluster Targets2 4 96" xfId="35901"/>
    <cellStyle name="Comma [0] TBD_Family Cluster Targets2 4 97" xfId="35902"/>
    <cellStyle name="Comma [0] TBD-_Family Cluster Targets2 4 97" xfId="35903"/>
    <cellStyle name="Comma [0] TBD_Family Cluster Targets2 4 98" xfId="35904"/>
    <cellStyle name="Comma [0] TBD-_Family Cluster Targets2 4 98" xfId="35905"/>
    <cellStyle name="Comma [0] TBD_Family Cluster Targets2 4 99" xfId="35906"/>
    <cellStyle name="Comma [0] TBD-_Family Cluster Targets2 4 99" xfId="35907"/>
    <cellStyle name="Comma [0] TBD_Family Cluster Targets2 5" xfId="35908"/>
    <cellStyle name="Comma [0] TBD-_Family Cluster Targets2 5" xfId="35909"/>
    <cellStyle name="Comma [0] TBD_Family Cluster Targets2 5 10" xfId="35910"/>
    <cellStyle name="Comma [0] TBD-_Family Cluster Targets2 5 10" xfId="35911"/>
    <cellStyle name="Comma [0] TBD_Family Cluster Targets2 5 100" xfId="35912"/>
    <cellStyle name="Comma [0] TBD-_Family Cluster Targets2 5 100" xfId="35913"/>
    <cellStyle name="Comma [0] TBD_Family Cluster Targets2 5 101" xfId="35914"/>
    <cellStyle name="Comma [0] TBD-_Family Cluster Targets2 5 101" xfId="35915"/>
    <cellStyle name="Comma [0] TBD_Family Cluster Targets2 5 102" xfId="35916"/>
    <cellStyle name="Comma [0] TBD-_Family Cluster Targets2 5 102" xfId="35917"/>
    <cellStyle name="Comma [0] TBD_Family Cluster Targets2 5 103" xfId="35918"/>
    <cellStyle name="Comma [0] TBD-_Family Cluster Targets2 5 103" xfId="35919"/>
    <cellStyle name="Comma [0] TBD_Family Cluster Targets2 5 104" xfId="35920"/>
    <cellStyle name="Comma [0] TBD-_Family Cluster Targets2 5 104" xfId="35921"/>
    <cellStyle name="Comma [0] TBD_Family Cluster Targets2 5 105" xfId="35922"/>
    <cellStyle name="Comma [0] TBD-_Family Cluster Targets2 5 105" xfId="35923"/>
    <cellStyle name="Comma [0] TBD_Family Cluster Targets2 5 106" xfId="35924"/>
    <cellStyle name="Comma [0] TBD-_Family Cluster Targets2 5 106" xfId="35925"/>
    <cellStyle name="Comma [0] TBD_Family Cluster Targets2 5 107" xfId="35926"/>
    <cellStyle name="Comma [0] TBD-_Family Cluster Targets2 5 107" xfId="35927"/>
    <cellStyle name="Comma [0] TBD_Family Cluster Targets2 5 108" xfId="35928"/>
    <cellStyle name="Comma [0] TBD-_Family Cluster Targets2 5 108" xfId="35929"/>
    <cellStyle name="Comma [0] TBD_Family Cluster Targets2 5 109" xfId="35930"/>
    <cellStyle name="Comma [0] TBD-_Family Cluster Targets2 5 109" xfId="35931"/>
    <cellStyle name="Comma [0] TBD_Family Cluster Targets2 5 11" xfId="35932"/>
    <cellStyle name="Comma [0] TBD-_Family Cluster Targets2 5 11" xfId="35933"/>
    <cellStyle name="Comma [0] TBD_Family Cluster Targets2 5 110" xfId="35934"/>
    <cellStyle name="Comma [0] TBD-_Family Cluster Targets2 5 110" xfId="35935"/>
    <cellStyle name="Comma [0] TBD_Family Cluster Targets2 5 111" xfId="35936"/>
    <cellStyle name="Comma [0] TBD-_Family Cluster Targets2 5 111" xfId="35937"/>
    <cellStyle name="Comma [0] TBD_Family Cluster Targets2 5 112" xfId="35938"/>
    <cellStyle name="Comma [0] TBD-_Family Cluster Targets2 5 112" xfId="35939"/>
    <cellStyle name="Comma [0] TBD_Family Cluster Targets2 5 113" xfId="35940"/>
    <cellStyle name="Comma [0] TBD-_Family Cluster Targets2 5 113" xfId="35941"/>
    <cellStyle name="Comma [0] TBD_Family Cluster Targets2 5 114" xfId="35942"/>
    <cellStyle name="Comma [0] TBD-_Family Cluster Targets2 5 114" xfId="35943"/>
    <cellStyle name="Comma [0] TBD_Family Cluster Targets2 5 115" xfId="35944"/>
    <cellStyle name="Comma [0] TBD-_Family Cluster Targets2 5 115" xfId="35945"/>
    <cellStyle name="Comma [0] TBD_Family Cluster Targets2 5 116" xfId="35946"/>
    <cellStyle name="Comma [0] TBD-_Family Cluster Targets2 5 116" xfId="35947"/>
    <cellStyle name="Comma [0] TBD_Family Cluster Targets2 5 117" xfId="35948"/>
    <cellStyle name="Comma [0] TBD-_Family Cluster Targets2 5 117" xfId="35949"/>
    <cellStyle name="Comma [0] TBD_Family Cluster Targets2 5 118" xfId="35950"/>
    <cellStyle name="Comma [0] TBD-_Family Cluster Targets2 5 118" xfId="35951"/>
    <cellStyle name="Comma [0] TBD_Family Cluster Targets2 5 119" xfId="35952"/>
    <cellStyle name="Comma [0] TBD-_Family Cluster Targets2 5 119" xfId="35953"/>
    <cellStyle name="Comma [0] TBD_Family Cluster Targets2 5 12" xfId="35954"/>
    <cellStyle name="Comma [0] TBD-_Family Cluster Targets2 5 12" xfId="35955"/>
    <cellStyle name="Comma [0] TBD_Family Cluster Targets2 5 120" xfId="35956"/>
    <cellStyle name="Comma [0] TBD-_Family Cluster Targets2 5 120" xfId="35957"/>
    <cellStyle name="Comma [0] TBD_Family Cluster Targets2 5 121" xfId="35958"/>
    <cellStyle name="Comma [0] TBD-_Family Cluster Targets2 5 121" xfId="35959"/>
    <cellStyle name="Comma [0] TBD_Family Cluster Targets2 5 122" xfId="35960"/>
    <cellStyle name="Comma [0] TBD-_Family Cluster Targets2 5 122" xfId="35961"/>
    <cellStyle name="Comma [0] TBD_Family Cluster Targets2 5 123" xfId="35962"/>
    <cellStyle name="Comma [0] TBD-_Family Cluster Targets2 5 123" xfId="35963"/>
    <cellStyle name="Comma [0] TBD_Family Cluster Targets2 5 124" xfId="35964"/>
    <cellStyle name="Comma [0] TBD-_Family Cluster Targets2 5 124" xfId="35965"/>
    <cellStyle name="Comma [0] TBD_Family Cluster Targets2 5 125" xfId="35966"/>
    <cellStyle name="Comma [0] TBD-_Family Cluster Targets2 5 125" xfId="35967"/>
    <cellStyle name="Comma [0] TBD_Family Cluster Targets2 5 126" xfId="35968"/>
    <cellStyle name="Comma [0] TBD-_Family Cluster Targets2 5 126" xfId="35969"/>
    <cellStyle name="Comma [0] TBD_Family Cluster Targets2 5 127" xfId="35970"/>
    <cellStyle name="Comma [0] TBD-_Family Cluster Targets2 5 127" xfId="35971"/>
    <cellStyle name="Comma [0] TBD_Family Cluster Targets2 5 128" xfId="35972"/>
    <cellStyle name="Comma [0] TBD-_Family Cluster Targets2 5 128" xfId="35973"/>
    <cellStyle name="Comma [0] TBD_Family Cluster Targets2 5 129" xfId="35974"/>
    <cellStyle name="Comma [0] TBD-_Family Cluster Targets2 5 129" xfId="35975"/>
    <cellStyle name="Comma [0] TBD_Family Cluster Targets2 5 13" xfId="35976"/>
    <cellStyle name="Comma [0] TBD-_Family Cluster Targets2 5 13" xfId="35977"/>
    <cellStyle name="Comma [0] TBD_Family Cluster Targets2 5 130" xfId="35978"/>
    <cellStyle name="Comma [0] TBD-_Family Cluster Targets2 5 130" xfId="35979"/>
    <cellStyle name="Comma [0] TBD_Family Cluster Targets2 5 131" xfId="35980"/>
    <cellStyle name="Comma [0] TBD-_Family Cluster Targets2 5 131" xfId="35981"/>
    <cellStyle name="Comma [0] TBD_Family Cluster Targets2 5 132" xfId="35982"/>
    <cellStyle name="Comma [0] TBD-_Family Cluster Targets2 5 132" xfId="35983"/>
    <cellStyle name="Comma [0] TBD_Family Cluster Targets2 5 133" xfId="35984"/>
    <cellStyle name="Comma [0] TBD-_Family Cluster Targets2 5 133" xfId="35985"/>
    <cellStyle name="Comma [0] TBD_Family Cluster Targets2 5 134" xfId="35986"/>
    <cellStyle name="Comma [0] TBD-_Family Cluster Targets2 5 134" xfId="35987"/>
    <cellStyle name="Comma [0] TBD_Family Cluster Targets2 5 135" xfId="35988"/>
    <cellStyle name="Comma [0] TBD-_Family Cluster Targets2 5 135" xfId="35989"/>
    <cellStyle name="Comma [0] TBD_Family Cluster Targets2 5 136" xfId="35990"/>
    <cellStyle name="Comma [0] TBD-_Family Cluster Targets2 5 136" xfId="35991"/>
    <cellStyle name="Comma [0] TBD_Family Cluster Targets2 5 137" xfId="35992"/>
    <cellStyle name="Comma [0] TBD-_Family Cluster Targets2 5 137" xfId="35993"/>
    <cellStyle name="Comma [0] TBD_Family Cluster Targets2 5 138" xfId="35994"/>
    <cellStyle name="Comma [0] TBD-_Family Cluster Targets2 5 138" xfId="35995"/>
    <cellStyle name="Comma [0] TBD_Family Cluster Targets2 5 139" xfId="35996"/>
    <cellStyle name="Comma [0] TBD-_Family Cluster Targets2 5 139" xfId="35997"/>
    <cellStyle name="Comma [0] TBD_Family Cluster Targets2 5 14" xfId="35998"/>
    <cellStyle name="Comma [0] TBD-_Family Cluster Targets2 5 14" xfId="35999"/>
    <cellStyle name="Comma [0] TBD_Family Cluster Targets2 5 140" xfId="36000"/>
    <cellStyle name="Comma [0] TBD-_Family Cluster Targets2 5 140" xfId="36001"/>
    <cellStyle name="Comma [0] TBD_Family Cluster Targets2 5 141" xfId="36002"/>
    <cellStyle name="Comma [0] TBD-_Family Cluster Targets2 5 141" xfId="36003"/>
    <cellStyle name="Comma [0] TBD_Family Cluster Targets2 5 142" xfId="36004"/>
    <cellStyle name="Comma [0] TBD-_Family Cluster Targets2 5 142" xfId="36005"/>
    <cellStyle name="Comma [0] TBD_Family Cluster Targets2 5 143" xfId="36006"/>
    <cellStyle name="Comma [0] TBD-_Family Cluster Targets2 5 143" xfId="36007"/>
    <cellStyle name="Comma [0] TBD_Family Cluster Targets2 5 144" xfId="36008"/>
    <cellStyle name="Comma [0] TBD-_Family Cluster Targets2 5 144" xfId="36009"/>
    <cellStyle name="Comma [0] TBD_Family Cluster Targets2 5 145" xfId="36010"/>
    <cellStyle name="Comma [0] TBD-_Family Cluster Targets2 5 145" xfId="36011"/>
    <cellStyle name="Comma [0] TBD_Family Cluster Targets2 5 146" xfId="36012"/>
    <cellStyle name="Comma [0] TBD-_Family Cluster Targets2 5 146" xfId="36013"/>
    <cellStyle name="Comma [0] TBD_Family Cluster Targets2 5 147" xfId="36014"/>
    <cellStyle name="Comma [0] TBD-_Family Cluster Targets2 5 147" xfId="36015"/>
    <cellStyle name="Comma [0] TBD_Family Cluster Targets2 5 148" xfId="36016"/>
    <cellStyle name="Comma [0] TBD-_Family Cluster Targets2 5 148" xfId="36017"/>
    <cellStyle name="Comma [0] TBD_Family Cluster Targets2 5 149" xfId="36018"/>
    <cellStyle name="Comma [0] TBD-_Family Cluster Targets2 5 149" xfId="36019"/>
    <cellStyle name="Comma [0] TBD_Family Cluster Targets2 5 15" xfId="36020"/>
    <cellStyle name="Comma [0] TBD-_Family Cluster Targets2 5 15" xfId="36021"/>
    <cellStyle name="Comma [0] TBD_Family Cluster Targets2 5 150" xfId="36022"/>
    <cellStyle name="Comma [0] TBD-_Family Cluster Targets2 5 150" xfId="36023"/>
    <cellStyle name="Comma [0] TBD_Family Cluster Targets2 5 151" xfId="36024"/>
    <cellStyle name="Comma [0] TBD-_Family Cluster Targets2 5 151" xfId="36025"/>
    <cellStyle name="Comma [0] TBD_Family Cluster Targets2 5 152" xfId="36026"/>
    <cellStyle name="Comma [0] TBD-_Family Cluster Targets2 5 152" xfId="36027"/>
    <cellStyle name="Comma [0] TBD_Family Cluster Targets2 5 153" xfId="36028"/>
    <cellStyle name="Comma [0] TBD-_Family Cluster Targets2 5 153" xfId="36029"/>
    <cellStyle name="Comma [0] TBD_Family Cluster Targets2 5 16" xfId="36030"/>
    <cellStyle name="Comma [0] TBD-_Family Cluster Targets2 5 16" xfId="36031"/>
    <cellStyle name="Comma [0] TBD_Family Cluster Targets2 5 17" xfId="36032"/>
    <cellStyle name="Comma [0] TBD-_Family Cluster Targets2 5 17" xfId="36033"/>
    <cellStyle name="Comma [0] TBD_Family Cluster Targets2 5 18" xfId="36034"/>
    <cellStyle name="Comma [0] TBD-_Family Cluster Targets2 5 18" xfId="36035"/>
    <cellStyle name="Comma [0] TBD_Family Cluster Targets2 5 19" xfId="36036"/>
    <cellStyle name="Comma [0] TBD-_Family Cluster Targets2 5 19" xfId="36037"/>
    <cellStyle name="Comma [0] TBD_Family Cluster Targets2 5 2" xfId="36038"/>
    <cellStyle name="Comma [0] TBD-_Family Cluster Targets2 5 2" xfId="36039"/>
    <cellStyle name="Comma [0] TBD_Family Cluster Targets2 5 20" xfId="36040"/>
    <cellStyle name="Comma [0] TBD-_Family Cluster Targets2 5 20" xfId="36041"/>
    <cellStyle name="Comma [0] TBD_Family Cluster Targets2 5 21" xfId="36042"/>
    <cellStyle name="Comma [0] TBD-_Family Cluster Targets2 5 21" xfId="36043"/>
    <cellStyle name="Comma [0] TBD_Family Cluster Targets2 5 22" xfId="36044"/>
    <cellStyle name="Comma [0] TBD-_Family Cluster Targets2 5 22" xfId="36045"/>
    <cellStyle name="Comma [0] TBD_Family Cluster Targets2 5 23" xfId="36046"/>
    <cellStyle name="Comma [0] TBD-_Family Cluster Targets2 5 23" xfId="36047"/>
    <cellStyle name="Comma [0] TBD_Family Cluster Targets2 5 24" xfId="36048"/>
    <cellStyle name="Comma [0] TBD-_Family Cluster Targets2 5 24" xfId="36049"/>
    <cellStyle name="Comma [0] TBD_Family Cluster Targets2 5 25" xfId="36050"/>
    <cellStyle name="Comma [0] TBD-_Family Cluster Targets2 5 25" xfId="36051"/>
    <cellStyle name="Comma [0] TBD_Family Cluster Targets2 5 26" xfId="36052"/>
    <cellStyle name="Comma [0] TBD-_Family Cluster Targets2 5 26" xfId="36053"/>
    <cellStyle name="Comma [0] TBD_Family Cluster Targets2 5 27" xfId="36054"/>
    <cellStyle name="Comma [0] TBD-_Family Cluster Targets2 5 27" xfId="36055"/>
    <cellStyle name="Comma [0] TBD_Family Cluster Targets2 5 28" xfId="36056"/>
    <cellStyle name="Comma [0] TBD-_Family Cluster Targets2 5 28" xfId="36057"/>
    <cellStyle name="Comma [0] TBD_Family Cluster Targets2 5 29" xfId="36058"/>
    <cellStyle name="Comma [0] TBD-_Family Cluster Targets2 5 29" xfId="36059"/>
    <cellStyle name="Comma [0] TBD_Family Cluster Targets2 5 3" xfId="36060"/>
    <cellStyle name="Comma [0] TBD-_Family Cluster Targets2 5 3" xfId="36061"/>
    <cellStyle name="Comma [0] TBD_Family Cluster Targets2 5 30" xfId="36062"/>
    <cellStyle name="Comma [0] TBD-_Family Cluster Targets2 5 30" xfId="36063"/>
    <cellStyle name="Comma [0] TBD_Family Cluster Targets2 5 31" xfId="36064"/>
    <cellStyle name="Comma [0] TBD-_Family Cluster Targets2 5 31" xfId="36065"/>
    <cellStyle name="Comma [0] TBD_Family Cluster Targets2 5 32" xfId="36066"/>
    <cellStyle name="Comma [0] TBD-_Family Cluster Targets2 5 32" xfId="36067"/>
    <cellStyle name="Comma [0] TBD_Family Cluster Targets2 5 33" xfId="36068"/>
    <cellStyle name="Comma [0] TBD-_Family Cluster Targets2 5 33" xfId="36069"/>
    <cellStyle name="Comma [0] TBD_Family Cluster Targets2 5 34" xfId="36070"/>
    <cellStyle name="Comma [0] TBD-_Family Cluster Targets2 5 34" xfId="36071"/>
    <cellStyle name="Comma [0] TBD_Family Cluster Targets2 5 35" xfId="36072"/>
    <cellStyle name="Comma [0] TBD-_Family Cluster Targets2 5 35" xfId="36073"/>
    <cellStyle name="Comma [0] TBD_Family Cluster Targets2 5 36" xfId="36074"/>
    <cellStyle name="Comma [0] TBD-_Family Cluster Targets2 5 36" xfId="36075"/>
    <cellStyle name="Comma [0] TBD_Family Cluster Targets2 5 37" xfId="36076"/>
    <cellStyle name="Comma [0] TBD-_Family Cluster Targets2 5 37" xfId="36077"/>
    <cellStyle name="Comma [0] TBD_Family Cluster Targets2 5 38" xfId="36078"/>
    <cellStyle name="Comma [0] TBD-_Family Cluster Targets2 5 38" xfId="36079"/>
    <cellStyle name="Comma [0] TBD_Family Cluster Targets2 5 39" xfId="36080"/>
    <cellStyle name="Comma [0] TBD-_Family Cluster Targets2 5 39" xfId="36081"/>
    <cellStyle name="Comma [0] TBD_Family Cluster Targets2 5 4" xfId="36082"/>
    <cellStyle name="Comma [0] TBD-_Family Cluster Targets2 5 4" xfId="36083"/>
    <cellStyle name="Comma [0] TBD_Family Cluster Targets2 5 40" xfId="36084"/>
    <cellStyle name="Comma [0] TBD-_Family Cluster Targets2 5 40" xfId="36085"/>
    <cellStyle name="Comma [0] TBD_Family Cluster Targets2 5 41" xfId="36086"/>
    <cellStyle name="Comma [0] TBD-_Family Cluster Targets2 5 41" xfId="36087"/>
    <cellStyle name="Comma [0] TBD_Family Cluster Targets2 5 42" xfId="36088"/>
    <cellStyle name="Comma [0] TBD-_Family Cluster Targets2 5 42" xfId="36089"/>
    <cellStyle name="Comma [0] TBD_Family Cluster Targets2 5 43" xfId="36090"/>
    <cellStyle name="Comma [0] TBD-_Family Cluster Targets2 5 43" xfId="36091"/>
    <cellStyle name="Comma [0] TBD_Family Cluster Targets2 5 44" xfId="36092"/>
    <cellStyle name="Comma [0] TBD-_Family Cluster Targets2 5 44" xfId="36093"/>
    <cellStyle name="Comma [0] TBD_Family Cluster Targets2 5 45" xfId="36094"/>
    <cellStyle name="Comma [0] TBD-_Family Cluster Targets2 5 45" xfId="36095"/>
    <cellStyle name="Comma [0] TBD_Family Cluster Targets2 5 46" xfId="36096"/>
    <cellStyle name="Comma [0] TBD-_Family Cluster Targets2 5 46" xfId="36097"/>
    <cellStyle name="Comma [0] TBD_Family Cluster Targets2 5 47" xfId="36098"/>
    <cellStyle name="Comma [0] TBD-_Family Cluster Targets2 5 47" xfId="36099"/>
    <cellStyle name="Comma [0] TBD_Family Cluster Targets2 5 48" xfId="36100"/>
    <cellStyle name="Comma [0] TBD-_Family Cluster Targets2 5 48" xfId="36101"/>
    <cellStyle name="Comma [0] TBD_Family Cluster Targets2 5 49" xfId="36102"/>
    <cellStyle name="Comma [0] TBD-_Family Cluster Targets2 5 49" xfId="36103"/>
    <cellStyle name="Comma [0] TBD_Family Cluster Targets2 5 5" xfId="36104"/>
    <cellStyle name="Comma [0] TBD-_Family Cluster Targets2 5 5" xfId="36105"/>
    <cellStyle name="Comma [0] TBD_Family Cluster Targets2 5 50" xfId="36106"/>
    <cellStyle name="Comma [0] TBD-_Family Cluster Targets2 5 50" xfId="36107"/>
    <cellStyle name="Comma [0] TBD_Family Cluster Targets2 5 51" xfId="36108"/>
    <cellStyle name="Comma [0] TBD-_Family Cluster Targets2 5 51" xfId="36109"/>
    <cellStyle name="Comma [0] TBD_Family Cluster Targets2 5 52" xfId="36110"/>
    <cellStyle name="Comma [0] TBD-_Family Cluster Targets2 5 52" xfId="36111"/>
    <cellStyle name="Comma [0] TBD_Family Cluster Targets2 5 53" xfId="36112"/>
    <cellStyle name="Comma [0] TBD-_Family Cluster Targets2 5 53" xfId="36113"/>
    <cellStyle name="Comma [0] TBD_Family Cluster Targets2 5 54" xfId="36114"/>
    <cellStyle name="Comma [0] TBD-_Family Cluster Targets2 5 54" xfId="36115"/>
    <cellStyle name="Comma [0] TBD_Family Cluster Targets2 5 55" xfId="36116"/>
    <cellStyle name="Comma [0] TBD-_Family Cluster Targets2 5 55" xfId="36117"/>
    <cellStyle name="Comma [0] TBD_Family Cluster Targets2 5 56" xfId="36118"/>
    <cellStyle name="Comma [0] TBD-_Family Cluster Targets2 5 56" xfId="36119"/>
    <cellStyle name="Comma [0] TBD_Family Cluster Targets2 5 57" xfId="36120"/>
    <cellStyle name="Comma [0] TBD-_Family Cluster Targets2 5 57" xfId="36121"/>
    <cellStyle name="Comma [0] TBD_Family Cluster Targets2 5 58" xfId="36122"/>
    <cellStyle name="Comma [0] TBD-_Family Cluster Targets2 5 58" xfId="36123"/>
    <cellStyle name="Comma [0] TBD_Family Cluster Targets2 5 59" xfId="36124"/>
    <cellStyle name="Comma [0] TBD-_Family Cluster Targets2 5 59" xfId="36125"/>
    <cellStyle name="Comma [0] TBD_Family Cluster Targets2 5 6" xfId="36126"/>
    <cellStyle name="Comma [0] TBD-_Family Cluster Targets2 5 6" xfId="36127"/>
    <cellStyle name="Comma [0] TBD_Family Cluster Targets2 5 60" xfId="36128"/>
    <cellStyle name="Comma [0] TBD-_Family Cluster Targets2 5 60" xfId="36129"/>
    <cellStyle name="Comma [0] TBD_Family Cluster Targets2 5 61" xfId="36130"/>
    <cellStyle name="Comma [0] TBD-_Family Cluster Targets2 5 61" xfId="36131"/>
    <cellStyle name="Comma [0] TBD_Family Cluster Targets2 5 62" xfId="36132"/>
    <cellStyle name="Comma [0] TBD-_Family Cluster Targets2 5 62" xfId="36133"/>
    <cellStyle name="Comma [0] TBD_Family Cluster Targets2 5 63" xfId="36134"/>
    <cellStyle name="Comma [0] TBD-_Family Cluster Targets2 5 63" xfId="36135"/>
    <cellStyle name="Comma [0] TBD_Family Cluster Targets2 5 64" xfId="36136"/>
    <cellStyle name="Comma [0] TBD-_Family Cluster Targets2 5 64" xfId="36137"/>
    <cellStyle name="Comma [0] TBD_Family Cluster Targets2 5 65" xfId="36138"/>
    <cellStyle name="Comma [0] TBD-_Family Cluster Targets2 5 65" xfId="36139"/>
    <cellStyle name="Comma [0] TBD_Family Cluster Targets2 5 66" xfId="36140"/>
    <cellStyle name="Comma [0] TBD-_Family Cluster Targets2 5 66" xfId="36141"/>
    <cellStyle name="Comma [0] TBD_Family Cluster Targets2 5 67" xfId="36142"/>
    <cellStyle name="Comma [0] TBD-_Family Cluster Targets2 5 67" xfId="36143"/>
    <cellStyle name="Comma [0] TBD_Family Cluster Targets2 5 68" xfId="36144"/>
    <cellStyle name="Comma [0] TBD-_Family Cluster Targets2 5 68" xfId="36145"/>
    <cellStyle name="Comma [0] TBD_Family Cluster Targets2 5 69" xfId="36146"/>
    <cellStyle name="Comma [0] TBD-_Family Cluster Targets2 5 69" xfId="36147"/>
    <cellStyle name="Comma [0] TBD_Family Cluster Targets2 5 7" xfId="36148"/>
    <cellStyle name="Comma [0] TBD-_Family Cluster Targets2 5 7" xfId="36149"/>
    <cellStyle name="Comma [0] TBD_Family Cluster Targets2 5 70" xfId="36150"/>
    <cellStyle name="Comma [0] TBD-_Family Cluster Targets2 5 70" xfId="36151"/>
    <cellStyle name="Comma [0] TBD_Family Cluster Targets2 5 71" xfId="36152"/>
    <cellStyle name="Comma [0] TBD-_Family Cluster Targets2 5 71" xfId="36153"/>
    <cellStyle name="Comma [0] TBD_Family Cluster Targets2 5 72" xfId="36154"/>
    <cellStyle name="Comma [0] TBD-_Family Cluster Targets2 5 72" xfId="36155"/>
    <cellStyle name="Comma [0] TBD_Family Cluster Targets2 5 73" xfId="36156"/>
    <cellStyle name="Comma [0] TBD-_Family Cluster Targets2 5 73" xfId="36157"/>
    <cellStyle name="Comma [0] TBD_Family Cluster Targets2 5 74" xfId="36158"/>
    <cellStyle name="Comma [0] TBD-_Family Cluster Targets2 5 74" xfId="36159"/>
    <cellStyle name="Comma [0] TBD_Family Cluster Targets2 5 75" xfId="36160"/>
    <cellStyle name="Comma [0] TBD-_Family Cluster Targets2 5 75" xfId="36161"/>
    <cellStyle name="Comma [0] TBD_Family Cluster Targets2 5 76" xfId="36162"/>
    <cellStyle name="Comma [0] TBD-_Family Cluster Targets2 5 76" xfId="36163"/>
    <cellStyle name="Comma [0] TBD_Family Cluster Targets2 5 77" xfId="36164"/>
    <cellStyle name="Comma [0] TBD-_Family Cluster Targets2 5 77" xfId="36165"/>
    <cellStyle name="Comma [0] TBD_Family Cluster Targets2 5 78" xfId="36166"/>
    <cellStyle name="Comma [0] TBD-_Family Cluster Targets2 5 78" xfId="36167"/>
    <cellStyle name="Comma [0] TBD_Family Cluster Targets2 5 79" xfId="36168"/>
    <cellStyle name="Comma [0] TBD-_Family Cluster Targets2 5 79" xfId="36169"/>
    <cellStyle name="Comma [0] TBD_Family Cluster Targets2 5 8" xfId="36170"/>
    <cellStyle name="Comma [0] TBD-_Family Cluster Targets2 5 8" xfId="36171"/>
    <cellStyle name="Comma [0] TBD_Family Cluster Targets2 5 80" xfId="36172"/>
    <cellStyle name="Comma [0] TBD-_Family Cluster Targets2 5 80" xfId="36173"/>
    <cellStyle name="Comma [0] TBD_Family Cluster Targets2 5 81" xfId="36174"/>
    <cellStyle name="Comma [0] TBD-_Family Cluster Targets2 5 81" xfId="36175"/>
    <cellStyle name="Comma [0] TBD_Family Cluster Targets2 5 82" xfId="36176"/>
    <cellStyle name="Comma [0] TBD-_Family Cluster Targets2 5 82" xfId="36177"/>
    <cellStyle name="Comma [0] TBD_Family Cluster Targets2 5 83" xfId="36178"/>
    <cellStyle name="Comma [0] TBD-_Family Cluster Targets2 5 83" xfId="36179"/>
    <cellStyle name="Comma [0] TBD_Family Cluster Targets2 5 84" xfId="36180"/>
    <cellStyle name="Comma [0] TBD-_Family Cluster Targets2 5 84" xfId="36181"/>
    <cellStyle name="Comma [0] TBD_Family Cluster Targets2 5 85" xfId="36182"/>
    <cellStyle name="Comma [0] TBD-_Family Cluster Targets2 5 85" xfId="36183"/>
    <cellStyle name="Comma [0] TBD_Family Cluster Targets2 5 86" xfId="36184"/>
    <cellStyle name="Comma [0] TBD-_Family Cluster Targets2 5 86" xfId="36185"/>
    <cellStyle name="Comma [0] TBD_Family Cluster Targets2 5 87" xfId="36186"/>
    <cellStyle name="Comma [0] TBD-_Family Cluster Targets2 5 87" xfId="36187"/>
    <cellStyle name="Comma [0] TBD_Family Cluster Targets2 5 88" xfId="36188"/>
    <cellStyle name="Comma [0] TBD-_Family Cluster Targets2 5 88" xfId="36189"/>
    <cellStyle name="Comma [0] TBD_Family Cluster Targets2 5 89" xfId="36190"/>
    <cellStyle name="Comma [0] TBD-_Family Cluster Targets2 5 89" xfId="36191"/>
    <cellStyle name="Comma [0] TBD_Family Cluster Targets2 5 9" xfId="36192"/>
    <cellStyle name="Comma [0] TBD-_Family Cluster Targets2 5 9" xfId="36193"/>
    <cellStyle name="Comma [0] TBD_Family Cluster Targets2 5 90" xfId="36194"/>
    <cellStyle name="Comma [0] TBD-_Family Cluster Targets2 5 90" xfId="36195"/>
    <cellStyle name="Comma [0] TBD_Family Cluster Targets2 5 91" xfId="36196"/>
    <cellStyle name="Comma [0] TBD-_Family Cluster Targets2 5 91" xfId="36197"/>
    <cellStyle name="Comma [0] TBD_Family Cluster Targets2 5 92" xfId="36198"/>
    <cellStyle name="Comma [0] TBD-_Family Cluster Targets2 5 92" xfId="36199"/>
    <cellStyle name="Comma [0] TBD_Family Cluster Targets2 5 93" xfId="36200"/>
    <cellStyle name="Comma [0] TBD-_Family Cluster Targets2 5 93" xfId="36201"/>
    <cellStyle name="Comma [0] TBD_Family Cluster Targets2 5 94" xfId="36202"/>
    <cellStyle name="Comma [0] TBD-_Family Cluster Targets2 5 94" xfId="36203"/>
    <cellStyle name="Comma [0] TBD_Family Cluster Targets2 5 95" xfId="36204"/>
    <cellStyle name="Comma [0] TBD-_Family Cluster Targets2 5 95" xfId="36205"/>
    <cellStyle name="Comma [0] TBD_Family Cluster Targets2 5 96" xfId="36206"/>
    <cellStyle name="Comma [0] TBD-_Family Cluster Targets2 5 96" xfId="36207"/>
    <cellStyle name="Comma [0] TBD_Family Cluster Targets2 5 97" xfId="36208"/>
    <cellStyle name="Comma [0] TBD-_Family Cluster Targets2 5 97" xfId="36209"/>
    <cellStyle name="Comma [0] TBD_Family Cluster Targets2 5 98" xfId="36210"/>
    <cellStyle name="Comma [0] TBD-_Family Cluster Targets2 5 98" xfId="36211"/>
    <cellStyle name="Comma [0] TBD_Family Cluster Targets2 5 99" xfId="36212"/>
    <cellStyle name="Comma [0] TBD-_Family Cluster Targets2 5 99" xfId="36213"/>
    <cellStyle name="Comma [0] TBD_Family Cluster Targets2 6" xfId="36214"/>
    <cellStyle name="Comma [0] TBD-_Family Cluster Targets2 6" xfId="36215"/>
    <cellStyle name="Comma [0] TBD_Family Cluster Targets2 6 10" xfId="36216"/>
    <cellStyle name="Comma [0] TBD-_Family Cluster Targets2 6 10" xfId="36217"/>
    <cellStyle name="Comma [0] TBD_Family Cluster Targets2 6 100" xfId="36218"/>
    <cellStyle name="Comma [0] TBD-_Family Cluster Targets2 6 100" xfId="36219"/>
    <cellStyle name="Comma [0] TBD_Family Cluster Targets2 6 101" xfId="36220"/>
    <cellStyle name="Comma [0] TBD-_Family Cluster Targets2 6 101" xfId="36221"/>
    <cellStyle name="Comma [0] TBD_Family Cluster Targets2 6 102" xfId="36222"/>
    <cellStyle name="Comma [0] TBD-_Family Cluster Targets2 6 102" xfId="36223"/>
    <cellStyle name="Comma [0] TBD_Family Cluster Targets2 6 103" xfId="36224"/>
    <cellStyle name="Comma [0] TBD-_Family Cluster Targets2 6 103" xfId="36225"/>
    <cellStyle name="Comma [0] TBD_Family Cluster Targets2 6 104" xfId="36226"/>
    <cellStyle name="Comma [0] TBD-_Family Cluster Targets2 6 104" xfId="36227"/>
    <cellStyle name="Comma [0] TBD_Family Cluster Targets2 6 105" xfId="36228"/>
    <cellStyle name="Comma [0] TBD-_Family Cluster Targets2 6 105" xfId="36229"/>
    <cellStyle name="Comma [0] TBD_Family Cluster Targets2 6 106" xfId="36230"/>
    <cellStyle name="Comma [0] TBD-_Family Cluster Targets2 6 106" xfId="36231"/>
    <cellStyle name="Comma [0] TBD_Family Cluster Targets2 6 107" xfId="36232"/>
    <cellStyle name="Comma [0] TBD-_Family Cluster Targets2 6 107" xfId="36233"/>
    <cellStyle name="Comma [0] TBD_Family Cluster Targets2 6 108" xfId="36234"/>
    <cellStyle name="Comma [0] TBD-_Family Cluster Targets2 6 108" xfId="36235"/>
    <cellStyle name="Comma [0] TBD_Family Cluster Targets2 6 109" xfId="36236"/>
    <cellStyle name="Comma [0] TBD-_Family Cluster Targets2 6 109" xfId="36237"/>
    <cellStyle name="Comma [0] TBD_Family Cluster Targets2 6 11" xfId="36238"/>
    <cellStyle name="Comma [0] TBD-_Family Cluster Targets2 6 11" xfId="36239"/>
    <cellStyle name="Comma [0] TBD_Family Cluster Targets2 6 110" xfId="36240"/>
    <cellStyle name="Comma [0] TBD-_Family Cluster Targets2 6 110" xfId="36241"/>
    <cellStyle name="Comma [0] TBD_Family Cluster Targets2 6 111" xfId="36242"/>
    <cellStyle name="Comma [0] TBD-_Family Cluster Targets2 6 111" xfId="36243"/>
    <cellStyle name="Comma [0] TBD_Family Cluster Targets2 6 112" xfId="36244"/>
    <cellStyle name="Comma [0] TBD-_Family Cluster Targets2 6 112" xfId="36245"/>
    <cellStyle name="Comma [0] TBD_Family Cluster Targets2 6 113" xfId="36246"/>
    <cellStyle name="Comma [0] TBD-_Family Cluster Targets2 6 113" xfId="36247"/>
    <cellStyle name="Comma [0] TBD_Family Cluster Targets2 6 114" xfId="36248"/>
    <cellStyle name="Comma [0] TBD-_Family Cluster Targets2 6 114" xfId="36249"/>
    <cellStyle name="Comma [0] TBD_Family Cluster Targets2 6 115" xfId="36250"/>
    <cellStyle name="Comma [0] TBD-_Family Cluster Targets2 6 115" xfId="36251"/>
    <cellStyle name="Comma [0] TBD_Family Cluster Targets2 6 116" xfId="36252"/>
    <cellStyle name="Comma [0] TBD-_Family Cluster Targets2 6 116" xfId="36253"/>
    <cellStyle name="Comma [0] TBD_Family Cluster Targets2 6 117" xfId="36254"/>
    <cellStyle name="Comma [0] TBD-_Family Cluster Targets2 6 117" xfId="36255"/>
    <cellStyle name="Comma [0] TBD_Family Cluster Targets2 6 118" xfId="36256"/>
    <cellStyle name="Comma [0] TBD-_Family Cluster Targets2 6 118" xfId="36257"/>
    <cellStyle name="Comma [0] TBD_Family Cluster Targets2 6 119" xfId="36258"/>
    <cellStyle name="Comma [0] TBD-_Family Cluster Targets2 6 119" xfId="36259"/>
    <cellStyle name="Comma [0] TBD_Family Cluster Targets2 6 12" xfId="36260"/>
    <cellStyle name="Comma [0] TBD-_Family Cluster Targets2 6 12" xfId="36261"/>
    <cellStyle name="Comma [0] TBD_Family Cluster Targets2 6 120" xfId="36262"/>
    <cellStyle name="Comma [0] TBD-_Family Cluster Targets2 6 120" xfId="36263"/>
    <cellStyle name="Comma [0] TBD_Family Cluster Targets2 6 121" xfId="36264"/>
    <cellStyle name="Comma [0] TBD-_Family Cluster Targets2 6 121" xfId="36265"/>
    <cellStyle name="Comma [0] TBD_Family Cluster Targets2 6 122" xfId="36266"/>
    <cellStyle name="Comma [0] TBD-_Family Cluster Targets2 6 122" xfId="36267"/>
    <cellStyle name="Comma [0] TBD_Family Cluster Targets2 6 123" xfId="36268"/>
    <cellStyle name="Comma [0] TBD-_Family Cluster Targets2 6 123" xfId="36269"/>
    <cellStyle name="Comma [0] TBD_Family Cluster Targets2 6 124" xfId="36270"/>
    <cellStyle name="Comma [0] TBD-_Family Cluster Targets2 6 124" xfId="36271"/>
    <cellStyle name="Comma [0] TBD_Family Cluster Targets2 6 125" xfId="36272"/>
    <cellStyle name="Comma [0] TBD-_Family Cluster Targets2 6 125" xfId="36273"/>
    <cellStyle name="Comma [0] TBD_Family Cluster Targets2 6 126" xfId="36274"/>
    <cellStyle name="Comma [0] TBD-_Family Cluster Targets2 6 126" xfId="36275"/>
    <cellStyle name="Comma [0] TBD_Family Cluster Targets2 6 127" xfId="36276"/>
    <cellStyle name="Comma [0] TBD-_Family Cluster Targets2 6 127" xfId="36277"/>
    <cellStyle name="Comma [0] TBD_Family Cluster Targets2 6 128" xfId="36278"/>
    <cellStyle name="Comma [0] TBD-_Family Cluster Targets2 6 128" xfId="36279"/>
    <cellStyle name="Comma [0] TBD_Family Cluster Targets2 6 129" xfId="36280"/>
    <cellStyle name="Comma [0] TBD-_Family Cluster Targets2 6 129" xfId="36281"/>
    <cellStyle name="Comma [0] TBD_Family Cluster Targets2 6 13" xfId="36282"/>
    <cellStyle name="Comma [0] TBD-_Family Cluster Targets2 6 13" xfId="36283"/>
    <cellStyle name="Comma [0] TBD_Family Cluster Targets2 6 130" xfId="36284"/>
    <cellStyle name="Comma [0] TBD-_Family Cluster Targets2 6 130" xfId="36285"/>
    <cellStyle name="Comma [0] TBD_Family Cluster Targets2 6 131" xfId="36286"/>
    <cellStyle name="Comma [0] TBD-_Family Cluster Targets2 6 131" xfId="36287"/>
    <cellStyle name="Comma [0] TBD_Family Cluster Targets2 6 132" xfId="36288"/>
    <cellStyle name="Comma [0] TBD-_Family Cluster Targets2 6 132" xfId="36289"/>
    <cellStyle name="Comma [0] TBD_Family Cluster Targets2 6 133" xfId="36290"/>
    <cellStyle name="Comma [0] TBD-_Family Cluster Targets2 6 133" xfId="36291"/>
    <cellStyle name="Comma [0] TBD_Family Cluster Targets2 6 134" xfId="36292"/>
    <cellStyle name="Comma [0] TBD-_Family Cluster Targets2 6 134" xfId="36293"/>
    <cellStyle name="Comma [0] TBD_Family Cluster Targets2 6 135" xfId="36294"/>
    <cellStyle name="Comma [0] TBD-_Family Cluster Targets2 6 135" xfId="36295"/>
    <cellStyle name="Comma [0] TBD_Family Cluster Targets2 6 136" xfId="36296"/>
    <cellStyle name="Comma [0] TBD-_Family Cluster Targets2 6 136" xfId="36297"/>
    <cellStyle name="Comma [0] TBD_Family Cluster Targets2 6 137" xfId="36298"/>
    <cellStyle name="Comma [0] TBD-_Family Cluster Targets2 6 137" xfId="36299"/>
    <cellStyle name="Comma [0] TBD_Family Cluster Targets2 6 138" xfId="36300"/>
    <cellStyle name="Comma [0] TBD-_Family Cluster Targets2 6 138" xfId="36301"/>
    <cellStyle name="Comma [0] TBD_Family Cluster Targets2 6 139" xfId="36302"/>
    <cellStyle name="Comma [0] TBD-_Family Cluster Targets2 6 139" xfId="36303"/>
    <cellStyle name="Comma [0] TBD_Family Cluster Targets2 6 14" xfId="36304"/>
    <cellStyle name="Comma [0] TBD-_Family Cluster Targets2 6 14" xfId="36305"/>
    <cellStyle name="Comma [0] TBD_Family Cluster Targets2 6 140" xfId="36306"/>
    <cellStyle name="Comma [0] TBD-_Family Cluster Targets2 6 140" xfId="36307"/>
    <cellStyle name="Comma [0] TBD_Family Cluster Targets2 6 141" xfId="36308"/>
    <cellStyle name="Comma [0] TBD-_Family Cluster Targets2 6 141" xfId="36309"/>
    <cellStyle name="Comma [0] TBD_Family Cluster Targets2 6 142" xfId="36310"/>
    <cellStyle name="Comma [0] TBD-_Family Cluster Targets2 6 142" xfId="36311"/>
    <cellStyle name="Comma [0] TBD_Family Cluster Targets2 6 143" xfId="36312"/>
    <cellStyle name="Comma [0] TBD-_Family Cluster Targets2 6 143" xfId="36313"/>
    <cellStyle name="Comma [0] TBD_Family Cluster Targets2 6 144" xfId="36314"/>
    <cellStyle name="Comma [0] TBD-_Family Cluster Targets2 6 144" xfId="36315"/>
    <cellStyle name="Comma [0] TBD_Family Cluster Targets2 6 145" xfId="36316"/>
    <cellStyle name="Comma [0] TBD-_Family Cluster Targets2 6 145" xfId="36317"/>
    <cellStyle name="Comma [0] TBD_Family Cluster Targets2 6 146" xfId="36318"/>
    <cellStyle name="Comma [0] TBD-_Family Cluster Targets2 6 146" xfId="36319"/>
    <cellStyle name="Comma [0] TBD_Family Cluster Targets2 6 147" xfId="36320"/>
    <cellStyle name="Comma [0] TBD-_Family Cluster Targets2 6 147" xfId="36321"/>
    <cellStyle name="Comma [0] TBD_Family Cluster Targets2 6 148" xfId="36322"/>
    <cellStyle name="Comma [0] TBD-_Family Cluster Targets2 6 148" xfId="36323"/>
    <cellStyle name="Comma [0] TBD_Family Cluster Targets2 6 149" xfId="36324"/>
    <cellStyle name="Comma [0] TBD-_Family Cluster Targets2 6 149" xfId="36325"/>
    <cellStyle name="Comma [0] TBD_Family Cluster Targets2 6 15" xfId="36326"/>
    <cellStyle name="Comma [0] TBD-_Family Cluster Targets2 6 15" xfId="36327"/>
    <cellStyle name="Comma [0] TBD_Family Cluster Targets2 6 150" xfId="36328"/>
    <cellStyle name="Comma [0] TBD-_Family Cluster Targets2 6 150" xfId="36329"/>
    <cellStyle name="Comma [0] TBD_Family Cluster Targets2 6 151" xfId="36330"/>
    <cellStyle name="Comma [0] TBD-_Family Cluster Targets2 6 151" xfId="36331"/>
    <cellStyle name="Comma [0] TBD_Family Cluster Targets2 6 152" xfId="36332"/>
    <cellStyle name="Comma [0] TBD-_Family Cluster Targets2 6 152" xfId="36333"/>
    <cellStyle name="Comma [0] TBD_Family Cluster Targets2 6 153" xfId="36334"/>
    <cellStyle name="Comma [0] TBD-_Family Cluster Targets2 6 153" xfId="36335"/>
    <cellStyle name="Comma [0] TBD_Family Cluster Targets2 6 16" xfId="36336"/>
    <cellStyle name="Comma [0] TBD-_Family Cluster Targets2 6 16" xfId="36337"/>
    <cellStyle name="Comma [0] TBD_Family Cluster Targets2 6 17" xfId="36338"/>
    <cellStyle name="Comma [0] TBD-_Family Cluster Targets2 6 17" xfId="36339"/>
    <cellStyle name="Comma [0] TBD_Family Cluster Targets2 6 18" xfId="36340"/>
    <cellStyle name="Comma [0] TBD-_Family Cluster Targets2 6 18" xfId="36341"/>
    <cellStyle name="Comma [0] TBD_Family Cluster Targets2 6 19" xfId="36342"/>
    <cellStyle name="Comma [0] TBD-_Family Cluster Targets2 6 19" xfId="36343"/>
    <cellStyle name="Comma [0] TBD_Family Cluster Targets2 6 2" xfId="36344"/>
    <cellStyle name="Comma [0] TBD-_Family Cluster Targets2 6 2" xfId="36345"/>
    <cellStyle name="Comma [0] TBD_Family Cluster Targets2 6 20" xfId="36346"/>
    <cellStyle name="Comma [0] TBD-_Family Cluster Targets2 6 20" xfId="36347"/>
    <cellStyle name="Comma [0] TBD_Family Cluster Targets2 6 21" xfId="36348"/>
    <cellStyle name="Comma [0] TBD-_Family Cluster Targets2 6 21" xfId="36349"/>
    <cellStyle name="Comma [0] TBD_Family Cluster Targets2 6 22" xfId="36350"/>
    <cellStyle name="Comma [0] TBD-_Family Cluster Targets2 6 22" xfId="36351"/>
    <cellStyle name="Comma [0] TBD_Family Cluster Targets2 6 23" xfId="36352"/>
    <cellStyle name="Comma [0] TBD-_Family Cluster Targets2 6 23" xfId="36353"/>
    <cellStyle name="Comma [0] TBD_Family Cluster Targets2 6 24" xfId="36354"/>
    <cellStyle name="Comma [0] TBD-_Family Cluster Targets2 6 24" xfId="36355"/>
    <cellStyle name="Comma [0] TBD_Family Cluster Targets2 6 25" xfId="36356"/>
    <cellStyle name="Comma [0] TBD-_Family Cluster Targets2 6 25" xfId="36357"/>
    <cellStyle name="Comma [0] TBD_Family Cluster Targets2 6 26" xfId="36358"/>
    <cellStyle name="Comma [0] TBD-_Family Cluster Targets2 6 26" xfId="36359"/>
    <cellStyle name="Comma [0] TBD_Family Cluster Targets2 6 27" xfId="36360"/>
    <cellStyle name="Comma [0] TBD-_Family Cluster Targets2 6 27" xfId="36361"/>
    <cellStyle name="Comma [0] TBD_Family Cluster Targets2 6 28" xfId="36362"/>
    <cellStyle name="Comma [0] TBD-_Family Cluster Targets2 6 28" xfId="36363"/>
    <cellStyle name="Comma [0] TBD_Family Cluster Targets2 6 29" xfId="36364"/>
    <cellStyle name="Comma [0] TBD-_Family Cluster Targets2 6 29" xfId="36365"/>
    <cellStyle name="Comma [0] TBD_Family Cluster Targets2 6 3" xfId="36366"/>
    <cellStyle name="Comma [0] TBD-_Family Cluster Targets2 6 3" xfId="36367"/>
    <cellStyle name="Comma [0] TBD_Family Cluster Targets2 6 30" xfId="36368"/>
    <cellStyle name="Comma [0] TBD-_Family Cluster Targets2 6 30" xfId="36369"/>
    <cellStyle name="Comma [0] TBD_Family Cluster Targets2 6 31" xfId="36370"/>
    <cellStyle name="Comma [0] TBD-_Family Cluster Targets2 6 31" xfId="36371"/>
    <cellStyle name="Comma [0] TBD_Family Cluster Targets2 6 32" xfId="36372"/>
    <cellStyle name="Comma [0] TBD-_Family Cluster Targets2 6 32" xfId="36373"/>
    <cellStyle name="Comma [0] TBD_Family Cluster Targets2 6 33" xfId="36374"/>
    <cellStyle name="Comma [0] TBD-_Family Cluster Targets2 6 33" xfId="36375"/>
    <cellStyle name="Comma [0] TBD_Family Cluster Targets2 6 34" xfId="36376"/>
    <cellStyle name="Comma [0] TBD-_Family Cluster Targets2 6 34" xfId="36377"/>
    <cellStyle name="Comma [0] TBD_Family Cluster Targets2 6 35" xfId="36378"/>
    <cellStyle name="Comma [0] TBD-_Family Cluster Targets2 6 35" xfId="36379"/>
    <cellStyle name="Comma [0] TBD_Family Cluster Targets2 6 36" xfId="36380"/>
    <cellStyle name="Comma [0] TBD-_Family Cluster Targets2 6 36" xfId="36381"/>
    <cellStyle name="Comma [0] TBD_Family Cluster Targets2 6 37" xfId="36382"/>
    <cellStyle name="Comma [0] TBD-_Family Cluster Targets2 6 37" xfId="36383"/>
    <cellStyle name="Comma [0] TBD_Family Cluster Targets2 6 38" xfId="36384"/>
    <cellStyle name="Comma [0] TBD-_Family Cluster Targets2 6 38" xfId="36385"/>
    <cellStyle name="Comma [0] TBD_Family Cluster Targets2 6 39" xfId="36386"/>
    <cellStyle name="Comma [0] TBD-_Family Cluster Targets2 6 39" xfId="36387"/>
    <cellStyle name="Comma [0] TBD_Family Cluster Targets2 6 4" xfId="36388"/>
    <cellStyle name="Comma [0] TBD-_Family Cluster Targets2 6 4" xfId="36389"/>
    <cellStyle name="Comma [0] TBD_Family Cluster Targets2 6 40" xfId="36390"/>
    <cellStyle name="Comma [0] TBD-_Family Cluster Targets2 6 40" xfId="36391"/>
    <cellStyle name="Comma [0] TBD_Family Cluster Targets2 6 41" xfId="36392"/>
    <cellStyle name="Comma [0] TBD-_Family Cluster Targets2 6 41" xfId="36393"/>
    <cellStyle name="Comma [0] TBD_Family Cluster Targets2 6 42" xfId="36394"/>
    <cellStyle name="Comma [0] TBD-_Family Cluster Targets2 6 42" xfId="36395"/>
    <cellStyle name="Comma [0] TBD_Family Cluster Targets2 6 43" xfId="36396"/>
    <cellStyle name="Comma [0] TBD-_Family Cluster Targets2 6 43" xfId="36397"/>
    <cellStyle name="Comma [0] TBD_Family Cluster Targets2 6 44" xfId="36398"/>
    <cellStyle name="Comma [0] TBD-_Family Cluster Targets2 6 44" xfId="36399"/>
    <cellStyle name="Comma [0] TBD_Family Cluster Targets2 6 45" xfId="36400"/>
    <cellStyle name="Comma [0] TBD-_Family Cluster Targets2 6 45" xfId="36401"/>
    <cellStyle name="Comma [0] TBD_Family Cluster Targets2 6 46" xfId="36402"/>
    <cellStyle name="Comma [0] TBD-_Family Cluster Targets2 6 46" xfId="36403"/>
    <cellStyle name="Comma [0] TBD_Family Cluster Targets2 6 47" xfId="36404"/>
    <cellStyle name="Comma [0] TBD-_Family Cluster Targets2 6 47" xfId="36405"/>
    <cellStyle name="Comma [0] TBD_Family Cluster Targets2 6 48" xfId="36406"/>
    <cellStyle name="Comma [0] TBD-_Family Cluster Targets2 6 48" xfId="36407"/>
    <cellStyle name="Comma [0] TBD_Family Cluster Targets2 6 49" xfId="36408"/>
    <cellStyle name="Comma [0] TBD-_Family Cluster Targets2 6 49" xfId="36409"/>
    <cellStyle name="Comma [0] TBD_Family Cluster Targets2 6 5" xfId="36410"/>
    <cellStyle name="Comma [0] TBD-_Family Cluster Targets2 6 5" xfId="36411"/>
    <cellStyle name="Comma [0] TBD_Family Cluster Targets2 6 50" xfId="36412"/>
    <cellStyle name="Comma [0] TBD-_Family Cluster Targets2 6 50" xfId="36413"/>
    <cellStyle name="Comma [0] TBD_Family Cluster Targets2 6 51" xfId="36414"/>
    <cellStyle name="Comma [0] TBD-_Family Cluster Targets2 6 51" xfId="36415"/>
    <cellStyle name="Comma [0] TBD_Family Cluster Targets2 6 52" xfId="36416"/>
    <cellStyle name="Comma [0] TBD-_Family Cluster Targets2 6 52" xfId="36417"/>
    <cellStyle name="Comma [0] TBD_Family Cluster Targets2 6 53" xfId="36418"/>
    <cellStyle name="Comma [0] TBD-_Family Cluster Targets2 6 53" xfId="36419"/>
    <cellStyle name="Comma [0] TBD_Family Cluster Targets2 6 54" xfId="36420"/>
    <cellStyle name="Comma [0] TBD-_Family Cluster Targets2 6 54" xfId="36421"/>
    <cellStyle name="Comma [0] TBD_Family Cluster Targets2 6 55" xfId="36422"/>
    <cellStyle name="Comma [0] TBD-_Family Cluster Targets2 6 55" xfId="36423"/>
    <cellStyle name="Comma [0] TBD_Family Cluster Targets2 6 56" xfId="36424"/>
    <cellStyle name="Comma [0] TBD-_Family Cluster Targets2 6 56" xfId="36425"/>
    <cellStyle name="Comma [0] TBD_Family Cluster Targets2 6 57" xfId="36426"/>
    <cellStyle name="Comma [0] TBD-_Family Cluster Targets2 6 57" xfId="36427"/>
    <cellStyle name="Comma [0] TBD_Family Cluster Targets2 6 58" xfId="36428"/>
    <cellStyle name="Comma [0] TBD-_Family Cluster Targets2 6 58" xfId="36429"/>
    <cellStyle name="Comma [0] TBD_Family Cluster Targets2 6 59" xfId="36430"/>
    <cellStyle name="Comma [0] TBD-_Family Cluster Targets2 6 59" xfId="36431"/>
    <cellStyle name="Comma [0] TBD_Family Cluster Targets2 6 6" xfId="36432"/>
    <cellStyle name="Comma [0] TBD-_Family Cluster Targets2 6 6" xfId="36433"/>
    <cellStyle name="Comma [0] TBD_Family Cluster Targets2 6 60" xfId="36434"/>
    <cellStyle name="Comma [0] TBD-_Family Cluster Targets2 6 60" xfId="36435"/>
    <cellStyle name="Comma [0] TBD_Family Cluster Targets2 6 61" xfId="36436"/>
    <cellStyle name="Comma [0] TBD-_Family Cluster Targets2 6 61" xfId="36437"/>
    <cellStyle name="Comma [0] TBD_Family Cluster Targets2 6 62" xfId="36438"/>
    <cellStyle name="Comma [0] TBD-_Family Cluster Targets2 6 62" xfId="36439"/>
    <cellStyle name="Comma [0] TBD_Family Cluster Targets2 6 63" xfId="36440"/>
    <cellStyle name="Comma [0] TBD-_Family Cluster Targets2 6 63" xfId="36441"/>
    <cellStyle name="Comma [0] TBD_Family Cluster Targets2 6 64" xfId="36442"/>
    <cellStyle name="Comma [0] TBD-_Family Cluster Targets2 6 64" xfId="36443"/>
    <cellStyle name="Comma [0] TBD_Family Cluster Targets2 6 65" xfId="36444"/>
    <cellStyle name="Comma [0] TBD-_Family Cluster Targets2 6 65" xfId="36445"/>
    <cellStyle name="Comma [0] TBD_Family Cluster Targets2 6 66" xfId="36446"/>
    <cellStyle name="Comma [0] TBD-_Family Cluster Targets2 6 66" xfId="36447"/>
    <cellStyle name="Comma [0] TBD_Family Cluster Targets2 6 67" xfId="36448"/>
    <cellStyle name="Comma [0] TBD-_Family Cluster Targets2 6 67" xfId="36449"/>
    <cellStyle name="Comma [0] TBD_Family Cluster Targets2 6 68" xfId="36450"/>
    <cellStyle name="Comma [0] TBD-_Family Cluster Targets2 6 68" xfId="36451"/>
    <cellStyle name="Comma [0] TBD_Family Cluster Targets2 6 69" xfId="36452"/>
    <cellStyle name="Comma [0] TBD-_Family Cluster Targets2 6 69" xfId="36453"/>
    <cellStyle name="Comma [0] TBD_Family Cluster Targets2 6 7" xfId="36454"/>
    <cellStyle name="Comma [0] TBD-_Family Cluster Targets2 6 7" xfId="36455"/>
    <cellStyle name="Comma [0] TBD_Family Cluster Targets2 6 70" xfId="36456"/>
    <cellStyle name="Comma [0] TBD-_Family Cluster Targets2 6 70" xfId="36457"/>
    <cellStyle name="Comma [0] TBD_Family Cluster Targets2 6 71" xfId="36458"/>
    <cellStyle name="Comma [0] TBD-_Family Cluster Targets2 6 71" xfId="36459"/>
    <cellStyle name="Comma [0] TBD_Family Cluster Targets2 6 72" xfId="36460"/>
    <cellStyle name="Comma [0] TBD-_Family Cluster Targets2 6 72" xfId="36461"/>
    <cellStyle name="Comma [0] TBD_Family Cluster Targets2 6 73" xfId="36462"/>
    <cellStyle name="Comma [0] TBD-_Family Cluster Targets2 6 73" xfId="36463"/>
    <cellStyle name="Comma [0] TBD_Family Cluster Targets2 6 74" xfId="36464"/>
    <cellStyle name="Comma [0] TBD-_Family Cluster Targets2 6 74" xfId="36465"/>
    <cellStyle name="Comma [0] TBD_Family Cluster Targets2 6 75" xfId="36466"/>
    <cellStyle name="Comma [0] TBD-_Family Cluster Targets2 6 75" xfId="36467"/>
    <cellStyle name="Comma [0] TBD_Family Cluster Targets2 6 76" xfId="36468"/>
    <cellStyle name="Comma [0] TBD-_Family Cluster Targets2 6 76" xfId="36469"/>
    <cellStyle name="Comma [0] TBD_Family Cluster Targets2 6 77" xfId="36470"/>
    <cellStyle name="Comma [0] TBD-_Family Cluster Targets2 6 77" xfId="36471"/>
    <cellStyle name="Comma [0] TBD_Family Cluster Targets2 6 78" xfId="36472"/>
    <cellStyle name="Comma [0] TBD-_Family Cluster Targets2 6 78" xfId="36473"/>
    <cellStyle name="Comma [0] TBD_Family Cluster Targets2 6 79" xfId="36474"/>
    <cellStyle name="Comma [0] TBD-_Family Cluster Targets2 6 79" xfId="36475"/>
    <cellStyle name="Comma [0] TBD_Family Cluster Targets2 6 8" xfId="36476"/>
    <cellStyle name="Comma [0] TBD-_Family Cluster Targets2 6 8" xfId="36477"/>
    <cellStyle name="Comma [0] TBD_Family Cluster Targets2 6 80" xfId="36478"/>
    <cellStyle name="Comma [0] TBD-_Family Cluster Targets2 6 80" xfId="36479"/>
    <cellStyle name="Comma [0] TBD_Family Cluster Targets2 6 81" xfId="36480"/>
    <cellStyle name="Comma [0] TBD-_Family Cluster Targets2 6 81" xfId="36481"/>
    <cellStyle name="Comma [0] TBD_Family Cluster Targets2 6 82" xfId="36482"/>
    <cellStyle name="Comma [0] TBD-_Family Cluster Targets2 6 82" xfId="36483"/>
    <cellStyle name="Comma [0] TBD_Family Cluster Targets2 6 83" xfId="36484"/>
    <cellStyle name="Comma [0] TBD-_Family Cluster Targets2 6 83" xfId="36485"/>
    <cellStyle name="Comma [0] TBD_Family Cluster Targets2 6 84" xfId="36486"/>
    <cellStyle name="Comma [0] TBD-_Family Cluster Targets2 6 84" xfId="36487"/>
    <cellStyle name="Comma [0] TBD_Family Cluster Targets2 6 85" xfId="36488"/>
    <cellStyle name="Comma [0] TBD-_Family Cluster Targets2 6 85" xfId="36489"/>
    <cellStyle name="Comma [0] TBD_Family Cluster Targets2 6 86" xfId="36490"/>
    <cellStyle name="Comma [0] TBD-_Family Cluster Targets2 6 86" xfId="36491"/>
    <cellStyle name="Comma [0] TBD_Family Cluster Targets2 6 87" xfId="36492"/>
    <cellStyle name="Comma [0] TBD-_Family Cluster Targets2 6 87" xfId="36493"/>
    <cellStyle name="Comma [0] TBD_Family Cluster Targets2 6 88" xfId="36494"/>
    <cellStyle name="Comma [0] TBD-_Family Cluster Targets2 6 88" xfId="36495"/>
    <cellStyle name="Comma [0] TBD_Family Cluster Targets2 6 89" xfId="36496"/>
    <cellStyle name="Comma [0] TBD-_Family Cluster Targets2 6 89" xfId="36497"/>
    <cellStyle name="Comma [0] TBD_Family Cluster Targets2 6 9" xfId="36498"/>
    <cellStyle name="Comma [0] TBD-_Family Cluster Targets2 6 9" xfId="36499"/>
    <cellStyle name="Comma [0] TBD_Family Cluster Targets2 6 90" xfId="36500"/>
    <cellStyle name="Comma [0] TBD-_Family Cluster Targets2 6 90" xfId="36501"/>
    <cellStyle name="Comma [0] TBD_Family Cluster Targets2 6 91" xfId="36502"/>
    <cellStyle name="Comma [0] TBD-_Family Cluster Targets2 6 91" xfId="36503"/>
    <cellStyle name="Comma [0] TBD_Family Cluster Targets2 6 92" xfId="36504"/>
    <cellStyle name="Comma [0] TBD-_Family Cluster Targets2 6 92" xfId="36505"/>
    <cellStyle name="Comma [0] TBD_Family Cluster Targets2 6 93" xfId="36506"/>
    <cellStyle name="Comma [0] TBD-_Family Cluster Targets2 6 93" xfId="36507"/>
    <cellStyle name="Comma [0] TBD_Family Cluster Targets2 6 94" xfId="36508"/>
    <cellStyle name="Comma [0] TBD-_Family Cluster Targets2 6 94" xfId="36509"/>
    <cellStyle name="Comma [0] TBD_Family Cluster Targets2 6 95" xfId="36510"/>
    <cellStyle name="Comma [0] TBD-_Family Cluster Targets2 6 95" xfId="36511"/>
    <cellStyle name="Comma [0] TBD_Family Cluster Targets2 6 96" xfId="36512"/>
    <cellStyle name="Comma [0] TBD-_Family Cluster Targets2 6 96" xfId="36513"/>
    <cellStyle name="Comma [0] TBD_Family Cluster Targets2 6 97" xfId="36514"/>
    <cellStyle name="Comma [0] TBD-_Family Cluster Targets2 6 97" xfId="36515"/>
    <cellStyle name="Comma [0] TBD_Family Cluster Targets2 6 98" xfId="36516"/>
    <cellStyle name="Comma [0] TBD-_Family Cluster Targets2 6 98" xfId="36517"/>
    <cellStyle name="Comma [0] TBD_Family Cluster Targets2 6 99" xfId="36518"/>
    <cellStyle name="Comma [0] TBD-_Family Cluster Targets2 6 99" xfId="36519"/>
    <cellStyle name="Comma [0] TBD_Family Cluster Targets2 7" xfId="36520"/>
    <cellStyle name="Comma [0] TBD-_Family Cluster Targets2 7" xfId="36521"/>
    <cellStyle name="Comma [0] TBD_Family Cluster Targets2 7 10" xfId="36522"/>
    <cellStyle name="Comma [0] TBD-_Family Cluster Targets2 7 10" xfId="36523"/>
    <cellStyle name="Comma [0] TBD_Family Cluster Targets2 7 100" xfId="36524"/>
    <cellStyle name="Comma [0] TBD-_Family Cluster Targets2 7 100" xfId="36525"/>
    <cellStyle name="Comma [0] TBD_Family Cluster Targets2 7 101" xfId="36526"/>
    <cellStyle name="Comma [0] TBD-_Family Cluster Targets2 7 101" xfId="36527"/>
    <cellStyle name="Comma [0] TBD_Family Cluster Targets2 7 102" xfId="36528"/>
    <cellStyle name="Comma [0] TBD-_Family Cluster Targets2 7 102" xfId="36529"/>
    <cellStyle name="Comma [0] TBD_Family Cluster Targets2 7 103" xfId="36530"/>
    <cellStyle name="Comma [0] TBD-_Family Cluster Targets2 7 103" xfId="36531"/>
    <cellStyle name="Comma [0] TBD_Family Cluster Targets2 7 104" xfId="36532"/>
    <cellStyle name="Comma [0] TBD-_Family Cluster Targets2 7 104" xfId="36533"/>
    <cellStyle name="Comma [0] TBD_Family Cluster Targets2 7 105" xfId="36534"/>
    <cellStyle name="Comma [0] TBD-_Family Cluster Targets2 7 105" xfId="36535"/>
    <cellStyle name="Comma [0] TBD_Family Cluster Targets2 7 106" xfId="36536"/>
    <cellStyle name="Comma [0] TBD-_Family Cluster Targets2 7 106" xfId="36537"/>
    <cellStyle name="Comma [0] TBD_Family Cluster Targets2 7 107" xfId="36538"/>
    <cellStyle name="Comma [0] TBD-_Family Cluster Targets2 7 107" xfId="36539"/>
    <cellStyle name="Comma [0] TBD_Family Cluster Targets2 7 108" xfId="36540"/>
    <cellStyle name="Comma [0] TBD-_Family Cluster Targets2 7 108" xfId="36541"/>
    <cellStyle name="Comma [0] TBD_Family Cluster Targets2 7 109" xfId="36542"/>
    <cellStyle name="Comma [0] TBD-_Family Cluster Targets2 7 109" xfId="36543"/>
    <cellStyle name="Comma [0] TBD_Family Cluster Targets2 7 11" xfId="36544"/>
    <cellStyle name="Comma [0] TBD-_Family Cluster Targets2 7 11" xfId="36545"/>
    <cellStyle name="Comma [0] TBD_Family Cluster Targets2 7 110" xfId="36546"/>
    <cellStyle name="Comma [0] TBD-_Family Cluster Targets2 7 110" xfId="36547"/>
    <cellStyle name="Comma [0] TBD_Family Cluster Targets2 7 111" xfId="36548"/>
    <cellStyle name="Comma [0] TBD-_Family Cluster Targets2 7 111" xfId="36549"/>
    <cellStyle name="Comma [0] TBD_Family Cluster Targets2 7 112" xfId="36550"/>
    <cellStyle name="Comma [0] TBD-_Family Cluster Targets2 7 112" xfId="36551"/>
    <cellStyle name="Comma [0] TBD_Family Cluster Targets2 7 113" xfId="36552"/>
    <cellStyle name="Comma [0] TBD-_Family Cluster Targets2 7 113" xfId="36553"/>
    <cellStyle name="Comma [0] TBD_Family Cluster Targets2 7 114" xfId="36554"/>
    <cellStyle name="Comma [0] TBD-_Family Cluster Targets2 7 114" xfId="36555"/>
    <cellStyle name="Comma [0] TBD_Family Cluster Targets2 7 115" xfId="36556"/>
    <cellStyle name="Comma [0] TBD-_Family Cluster Targets2 7 115" xfId="36557"/>
    <cellStyle name="Comma [0] TBD_Family Cluster Targets2 7 116" xfId="36558"/>
    <cellStyle name="Comma [0] TBD-_Family Cluster Targets2 7 116" xfId="36559"/>
    <cellStyle name="Comma [0] TBD_Family Cluster Targets2 7 117" xfId="36560"/>
    <cellStyle name="Comma [0] TBD-_Family Cluster Targets2 7 117" xfId="36561"/>
    <cellStyle name="Comma [0] TBD_Family Cluster Targets2 7 118" xfId="36562"/>
    <cellStyle name="Comma [0] TBD-_Family Cluster Targets2 7 118" xfId="36563"/>
    <cellStyle name="Comma [0] TBD_Family Cluster Targets2 7 119" xfId="36564"/>
    <cellStyle name="Comma [0] TBD-_Family Cluster Targets2 7 119" xfId="36565"/>
    <cellStyle name="Comma [0] TBD_Family Cluster Targets2 7 12" xfId="36566"/>
    <cellStyle name="Comma [0] TBD-_Family Cluster Targets2 7 12" xfId="36567"/>
    <cellStyle name="Comma [0] TBD_Family Cluster Targets2 7 120" xfId="36568"/>
    <cellStyle name="Comma [0] TBD-_Family Cluster Targets2 7 120" xfId="36569"/>
    <cellStyle name="Comma [0] TBD_Family Cluster Targets2 7 121" xfId="36570"/>
    <cellStyle name="Comma [0] TBD-_Family Cluster Targets2 7 121" xfId="36571"/>
    <cellStyle name="Comma [0] TBD_Family Cluster Targets2 7 122" xfId="36572"/>
    <cellStyle name="Comma [0] TBD-_Family Cluster Targets2 7 122" xfId="36573"/>
    <cellStyle name="Comma [0] TBD_Family Cluster Targets2 7 123" xfId="36574"/>
    <cellStyle name="Comma [0] TBD-_Family Cluster Targets2 7 123" xfId="36575"/>
    <cellStyle name="Comma [0] TBD_Family Cluster Targets2 7 124" xfId="36576"/>
    <cellStyle name="Comma [0] TBD-_Family Cluster Targets2 7 124" xfId="36577"/>
    <cellStyle name="Comma [0] TBD_Family Cluster Targets2 7 125" xfId="36578"/>
    <cellStyle name="Comma [0] TBD-_Family Cluster Targets2 7 125" xfId="36579"/>
    <cellStyle name="Comma [0] TBD_Family Cluster Targets2 7 126" xfId="36580"/>
    <cellStyle name="Comma [0] TBD-_Family Cluster Targets2 7 126" xfId="36581"/>
    <cellStyle name="Comma [0] TBD_Family Cluster Targets2 7 127" xfId="36582"/>
    <cellStyle name="Comma [0] TBD-_Family Cluster Targets2 7 127" xfId="36583"/>
    <cellStyle name="Comma [0] TBD_Family Cluster Targets2 7 128" xfId="36584"/>
    <cellStyle name="Comma [0] TBD-_Family Cluster Targets2 7 128" xfId="36585"/>
    <cellStyle name="Comma [0] TBD_Family Cluster Targets2 7 129" xfId="36586"/>
    <cellStyle name="Comma [0] TBD-_Family Cluster Targets2 7 129" xfId="36587"/>
    <cellStyle name="Comma [0] TBD_Family Cluster Targets2 7 13" xfId="36588"/>
    <cellStyle name="Comma [0] TBD-_Family Cluster Targets2 7 13" xfId="36589"/>
    <cellStyle name="Comma [0] TBD_Family Cluster Targets2 7 130" xfId="36590"/>
    <cellStyle name="Comma [0] TBD-_Family Cluster Targets2 7 130" xfId="36591"/>
    <cellStyle name="Comma [0] TBD_Family Cluster Targets2 7 131" xfId="36592"/>
    <cellStyle name="Comma [0] TBD-_Family Cluster Targets2 7 131" xfId="36593"/>
    <cellStyle name="Comma [0] TBD_Family Cluster Targets2 7 132" xfId="36594"/>
    <cellStyle name="Comma [0] TBD-_Family Cluster Targets2 7 132" xfId="36595"/>
    <cellStyle name="Comma [0] TBD_Family Cluster Targets2 7 133" xfId="36596"/>
    <cellStyle name="Comma [0] TBD-_Family Cluster Targets2 7 133" xfId="36597"/>
    <cellStyle name="Comma [0] TBD_Family Cluster Targets2 7 134" xfId="36598"/>
    <cellStyle name="Comma [0] TBD-_Family Cluster Targets2 7 134" xfId="36599"/>
    <cellStyle name="Comma [0] TBD_Family Cluster Targets2 7 135" xfId="36600"/>
    <cellStyle name="Comma [0] TBD-_Family Cluster Targets2 7 135" xfId="36601"/>
    <cellStyle name="Comma [0] TBD_Family Cluster Targets2 7 136" xfId="36602"/>
    <cellStyle name="Comma [0] TBD-_Family Cluster Targets2 7 136" xfId="36603"/>
    <cellStyle name="Comma [0] TBD_Family Cluster Targets2 7 137" xfId="36604"/>
    <cellStyle name="Comma [0] TBD-_Family Cluster Targets2 7 137" xfId="36605"/>
    <cellStyle name="Comma [0] TBD_Family Cluster Targets2 7 138" xfId="36606"/>
    <cellStyle name="Comma [0] TBD-_Family Cluster Targets2 7 138" xfId="36607"/>
    <cellStyle name="Comma [0] TBD_Family Cluster Targets2 7 139" xfId="36608"/>
    <cellStyle name="Comma [0] TBD-_Family Cluster Targets2 7 139" xfId="36609"/>
    <cellStyle name="Comma [0] TBD_Family Cluster Targets2 7 14" xfId="36610"/>
    <cellStyle name="Comma [0] TBD-_Family Cluster Targets2 7 14" xfId="36611"/>
    <cellStyle name="Comma [0] TBD_Family Cluster Targets2 7 140" xfId="36612"/>
    <cellStyle name="Comma [0] TBD-_Family Cluster Targets2 7 140" xfId="36613"/>
    <cellStyle name="Comma [0] TBD_Family Cluster Targets2 7 141" xfId="36614"/>
    <cellStyle name="Comma [0] TBD-_Family Cluster Targets2 7 141" xfId="36615"/>
    <cellStyle name="Comma [0] TBD_Family Cluster Targets2 7 142" xfId="36616"/>
    <cellStyle name="Comma [0] TBD-_Family Cluster Targets2 7 142" xfId="36617"/>
    <cellStyle name="Comma [0] TBD_Family Cluster Targets2 7 143" xfId="36618"/>
    <cellStyle name="Comma [0] TBD-_Family Cluster Targets2 7 143" xfId="36619"/>
    <cellStyle name="Comma [0] TBD_Family Cluster Targets2 7 144" xfId="36620"/>
    <cellStyle name="Comma [0] TBD-_Family Cluster Targets2 7 144" xfId="36621"/>
    <cellStyle name="Comma [0] TBD_Family Cluster Targets2 7 145" xfId="36622"/>
    <cellStyle name="Comma [0] TBD-_Family Cluster Targets2 7 145" xfId="36623"/>
    <cellStyle name="Comma [0] TBD_Family Cluster Targets2 7 146" xfId="36624"/>
    <cellStyle name="Comma [0] TBD-_Family Cluster Targets2 7 146" xfId="36625"/>
    <cellStyle name="Comma [0] TBD_Family Cluster Targets2 7 147" xfId="36626"/>
    <cellStyle name="Comma [0] TBD-_Family Cluster Targets2 7 147" xfId="36627"/>
    <cellStyle name="Comma [0] TBD_Family Cluster Targets2 7 148" xfId="36628"/>
    <cellStyle name="Comma [0] TBD-_Family Cluster Targets2 7 148" xfId="36629"/>
    <cellStyle name="Comma [0] TBD_Family Cluster Targets2 7 149" xfId="36630"/>
    <cellStyle name="Comma [0] TBD-_Family Cluster Targets2 7 149" xfId="36631"/>
    <cellStyle name="Comma [0] TBD_Family Cluster Targets2 7 15" xfId="36632"/>
    <cellStyle name="Comma [0] TBD-_Family Cluster Targets2 7 15" xfId="36633"/>
    <cellStyle name="Comma [0] TBD_Family Cluster Targets2 7 150" xfId="36634"/>
    <cellStyle name="Comma [0] TBD-_Family Cluster Targets2 7 150" xfId="36635"/>
    <cellStyle name="Comma [0] TBD_Family Cluster Targets2 7 151" xfId="36636"/>
    <cellStyle name="Comma [0] TBD-_Family Cluster Targets2 7 151" xfId="36637"/>
    <cellStyle name="Comma [0] TBD_Family Cluster Targets2 7 152" xfId="36638"/>
    <cellStyle name="Comma [0] TBD-_Family Cluster Targets2 7 152" xfId="36639"/>
    <cellStyle name="Comma [0] TBD_Family Cluster Targets2 7 153" xfId="36640"/>
    <cellStyle name="Comma [0] TBD-_Family Cluster Targets2 7 153" xfId="36641"/>
    <cellStyle name="Comma [0] TBD_Family Cluster Targets2 7 16" xfId="36642"/>
    <cellStyle name="Comma [0] TBD-_Family Cluster Targets2 7 16" xfId="36643"/>
    <cellStyle name="Comma [0] TBD_Family Cluster Targets2 7 17" xfId="36644"/>
    <cellStyle name="Comma [0] TBD-_Family Cluster Targets2 7 17" xfId="36645"/>
    <cellStyle name="Comma [0] TBD_Family Cluster Targets2 7 18" xfId="36646"/>
    <cellStyle name="Comma [0] TBD-_Family Cluster Targets2 7 18" xfId="36647"/>
    <cellStyle name="Comma [0] TBD_Family Cluster Targets2 7 19" xfId="36648"/>
    <cellStyle name="Comma [0] TBD-_Family Cluster Targets2 7 19" xfId="36649"/>
    <cellStyle name="Comma [0] TBD_Family Cluster Targets2 7 2" xfId="36650"/>
    <cellStyle name="Comma [0] TBD-_Family Cluster Targets2 7 2" xfId="36651"/>
    <cellStyle name="Comma [0] TBD_Family Cluster Targets2 7 20" xfId="36652"/>
    <cellStyle name="Comma [0] TBD-_Family Cluster Targets2 7 20" xfId="36653"/>
    <cellStyle name="Comma [0] TBD_Family Cluster Targets2 7 21" xfId="36654"/>
    <cellStyle name="Comma [0] TBD-_Family Cluster Targets2 7 21" xfId="36655"/>
    <cellStyle name="Comma [0] TBD_Family Cluster Targets2 7 22" xfId="36656"/>
    <cellStyle name="Comma [0] TBD-_Family Cluster Targets2 7 22" xfId="36657"/>
    <cellStyle name="Comma [0] TBD_Family Cluster Targets2 7 23" xfId="36658"/>
    <cellStyle name="Comma [0] TBD-_Family Cluster Targets2 7 23" xfId="36659"/>
    <cellStyle name="Comma [0] TBD_Family Cluster Targets2 7 24" xfId="36660"/>
    <cellStyle name="Comma [0] TBD-_Family Cluster Targets2 7 24" xfId="36661"/>
    <cellStyle name="Comma [0] TBD_Family Cluster Targets2 7 25" xfId="36662"/>
    <cellStyle name="Comma [0] TBD-_Family Cluster Targets2 7 25" xfId="36663"/>
    <cellStyle name="Comma [0] TBD_Family Cluster Targets2 7 26" xfId="36664"/>
    <cellStyle name="Comma [0] TBD-_Family Cluster Targets2 7 26" xfId="36665"/>
    <cellStyle name="Comma [0] TBD_Family Cluster Targets2 7 27" xfId="36666"/>
    <cellStyle name="Comma [0] TBD-_Family Cluster Targets2 7 27" xfId="36667"/>
    <cellStyle name="Comma [0] TBD_Family Cluster Targets2 7 28" xfId="36668"/>
    <cellStyle name="Comma [0] TBD-_Family Cluster Targets2 7 28" xfId="36669"/>
    <cellStyle name="Comma [0] TBD_Family Cluster Targets2 7 29" xfId="36670"/>
    <cellStyle name="Comma [0] TBD-_Family Cluster Targets2 7 29" xfId="36671"/>
    <cellStyle name="Comma [0] TBD_Family Cluster Targets2 7 3" xfId="36672"/>
    <cellStyle name="Comma [0] TBD-_Family Cluster Targets2 7 3" xfId="36673"/>
    <cellStyle name="Comma [0] TBD_Family Cluster Targets2 7 30" xfId="36674"/>
    <cellStyle name="Comma [0] TBD-_Family Cluster Targets2 7 30" xfId="36675"/>
    <cellStyle name="Comma [0] TBD_Family Cluster Targets2 7 31" xfId="36676"/>
    <cellStyle name="Comma [0] TBD-_Family Cluster Targets2 7 31" xfId="36677"/>
    <cellStyle name="Comma [0] TBD_Family Cluster Targets2 7 32" xfId="36678"/>
    <cellStyle name="Comma [0] TBD-_Family Cluster Targets2 7 32" xfId="36679"/>
    <cellStyle name="Comma [0] TBD_Family Cluster Targets2 7 33" xfId="36680"/>
    <cellStyle name="Comma [0] TBD-_Family Cluster Targets2 7 33" xfId="36681"/>
    <cellStyle name="Comma [0] TBD_Family Cluster Targets2 7 34" xfId="36682"/>
    <cellStyle name="Comma [0] TBD-_Family Cluster Targets2 7 34" xfId="36683"/>
    <cellStyle name="Comma [0] TBD_Family Cluster Targets2 7 35" xfId="36684"/>
    <cellStyle name="Comma [0] TBD-_Family Cluster Targets2 7 35" xfId="36685"/>
    <cellStyle name="Comma [0] TBD_Family Cluster Targets2 7 36" xfId="36686"/>
    <cellStyle name="Comma [0] TBD-_Family Cluster Targets2 7 36" xfId="36687"/>
    <cellStyle name="Comma [0] TBD_Family Cluster Targets2 7 37" xfId="36688"/>
    <cellStyle name="Comma [0] TBD-_Family Cluster Targets2 7 37" xfId="36689"/>
    <cellStyle name="Comma [0] TBD_Family Cluster Targets2 7 38" xfId="36690"/>
    <cellStyle name="Comma [0] TBD-_Family Cluster Targets2 7 38" xfId="36691"/>
    <cellStyle name="Comma [0] TBD_Family Cluster Targets2 7 39" xfId="36692"/>
    <cellStyle name="Comma [0] TBD-_Family Cluster Targets2 7 39" xfId="36693"/>
    <cellStyle name="Comma [0] TBD_Family Cluster Targets2 7 4" xfId="36694"/>
    <cellStyle name="Comma [0] TBD-_Family Cluster Targets2 7 4" xfId="36695"/>
    <cellStyle name="Comma [0] TBD_Family Cluster Targets2 7 40" xfId="36696"/>
    <cellStyle name="Comma [0] TBD-_Family Cluster Targets2 7 40" xfId="36697"/>
    <cellStyle name="Comma [0] TBD_Family Cluster Targets2 7 41" xfId="36698"/>
    <cellStyle name="Comma [0] TBD-_Family Cluster Targets2 7 41" xfId="36699"/>
    <cellStyle name="Comma [0] TBD_Family Cluster Targets2 7 42" xfId="36700"/>
    <cellStyle name="Comma [0] TBD-_Family Cluster Targets2 7 42" xfId="36701"/>
    <cellStyle name="Comma [0] TBD_Family Cluster Targets2 7 43" xfId="36702"/>
    <cellStyle name="Comma [0] TBD-_Family Cluster Targets2 7 43" xfId="36703"/>
    <cellStyle name="Comma [0] TBD_Family Cluster Targets2 7 44" xfId="36704"/>
    <cellStyle name="Comma [0] TBD-_Family Cluster Targets2 7 44" xfId="36705"/>
    <cellStyle name="Comma [0] TBD_Family Cluster Targets2 7 45" xfId="36706"/>
    <cellStyle name="Comma [0] TBD-_Family Cluster Targets2 7 45" xfId="36707"/>
    <cellStyle name="Comma [0] TBD_Family Cluster Targets2 7 46" xfId="36708"/>
    <cellStyle name="Comma [0] TBD-_Family Cluster Targets2 7 46" xfId="36709"/>
    <cellStyle name="Comma [0] TBD_Family Cluster Targets2 7 47" xfId="36710"/>
    <cellStyle name="Comma [0] TBD-_Family Cluster Targets2 7 47" xfId="36711"/>
    <cellStyle name="Comma [0] TBD_Family Cluster Targets2 7 48" xfId="36712"/>
    <cellStyle name="Comma [0] TBD-_Family Cluster Targets2 7 48" xfId="36713"/>
    <cellStyle name="Comma [0] TBD_Family Cluster Targets2 7 49" xfId="36714"/>
    <cellStyle name="Comma [0] TBD-_Family Cluster Targets2 7 49" xfId="36715"/>
    <cellStyle name="Comma [0] TBD_Family Cluster Targets2 7 5" xfId="36716"/>
    <cellStyle name="Comma [0] TBD-_Family Cluster Targets2 7 5" xfId="36717"/>
    <cellStyle name="Comma [0] TBD_Family Cluster Targets2 7 50" xfId="36718"/>
    <cellStyle name="Comma [0] TBD-_Family Cluster Targets2 7 50" xfId="36719"/>
    <cellStyle name="Comma [0] TBD_Family Cluster Targets2 7 51" xfId="36720"/>
    <cellStyle name="Comma [0] TBD-_Family Cluster Targets2 7 51" xfId="36721"/>
    <cellStyle name="Comma [0] TBD_Family Cluster Targets2 7 52" xfId="36722"/>
    <cellStyle name="Comma [0] TBD-_Family Cluster Targets2 7 52" xfId="36723"/>
    <cellStyle name="Comma [0] TBD_Family Cluster Targets2 7 53" xfId="36724"/>
    <cellStyle name="Comma [0] TBD-_Family Cluster Targets2 7 53" xfId="36725"/>
    <cellStyle name="Comma [0] TBD_Family Cluster Targets2 7 54" xfId="36726"/>
    <cellStyle name="Comma [0] TBD-_Family Cluster Targets2 7 54" xfId="36727"/>
    <cellStyle name="Comma [0] TBD_Family Cluster Targets2 7 55" xfId="36728"/>
    <cellStyle name="Comma [0] TBD-_Family Cluster Targets2 7 55" xfId="36729"/>
    <cellStyle name="Comma [0] TBD_Family Cluster Targets2 7 56" xfId="36730"/>
    <cellStyle name="Comma [0] TBD-_Family Cluster Targets2 7 56" xfId="36731"/>
    <cellStyle name="Comma [0] TBD_Family Cluster Targets2 7 57" xfId="36732"/>
    <cellStyle name="Comma [0] TBD-_Family Cluster Targets2 7 57" xfId="36733"/>
    <cellStyle name="Comma [0] TBD_Family Cluster Targets2 7 58" xfId="36734"/>
    <cellStyle name="Comma [0] TBD-_Family Cluster Targets2 7 58" xfId="36735"/>
    <cellStyle name="Comma [0] TBD_Family Cluster Targets2 7 59" xfId="36736"/>
    <cellStyle name="Comma [0] TBD-_Family Cluster Targets2 7 59" xfId="36737"/>
    <cellStyle name="Comma [0] TBD_Family Cluster Targets2 7 6" xfId="36738"/>
    <cellStyle name="Comma [0] TBD-_Family Cluster Targets2 7 6" xfId="36739"/>
    <cellStyle name="Comma [0] TBD_Family Cluster Targets2 7 60" xfId="36740"/>
    <cellStyle name="Comma [0] TBD-_Family Cluster Targets2 7 60" xfId="36741"/>
    <cellStyle name="Comma [0] TBD_Family Cluster Targets2 7 61" xfId="36742"/>
    <cellStyle name="Comma [0] TBD-_Family Cluster Targets2 7 61" xfId="36743"/>
    <cellStyle name="Comma [0] TBD_Family Cluster Targets2 7 62" xfId="36744"/>
    <cellStyle name="Comma [0] TBD-_Family Cluster Targets2 7 62" xfId="36745"/>
    <cellStyle name="Comma [0] TBD_Family Cluster Targets2 7 63" xfId="36746"/>
    <cellStyle name="Comma [0] TBD-_Family Cluster Targets2 7 63" xfId="36747"/>
    <cellStyle name="Comma [0] TBD_Family Cluster Targets2 7 64" xfId="36748"/>
    <cellStyle name="Comma [0] TBD-_Family Cluster Targets2 7 64" xfId="36749"/>
    <cellStyle name="Comma [0] TBD_Family Cluster Targets2 7 65" xfId="36750"/>
    <cellStyle name="Comma [0] TBD-_Family Cluster Targets2 7 65" xfId="36751"/>
    <cellStyle name="Comma [0] TBD_Family Cluster Targets2 7 66" xfId="36752"/>
    <cellStyle name="Comma [0] TBD-_Family Cluster Targets2 7 66" xfId="36753"/>
    <cellStyle name="Comma [0] TBD_Family Cluster Targets2 7 67" xfId="36754"/>
    <cellStyle name="Comma [0] TBD-_Family Cluster Targets2 7 67" xfId="36755"/>
    <cellStyle name="Comma [0] TBD_Family Cluster Targets2 7 68" xfId="36756"/>
    <cellStyle name="Comma [0] TBD-_Family Cluster Targets2 7 68" xfId="36757"/>
    <cellStyle name="Comma [0] TBD_Family Cluster Targets2 7 69" xfId="36758"/>
    <cellStyle name="Comma [0] TBD-_Family Cluster Targets2 7 69" xfId="36759"/>
    <cellStyle name="Comma [0] TBD_Family Cluster Targets2 7 7" xfId="36760"/>
    <cellStyle name="Comma [0] TBD-_Family Cluster Targets2 7 7" xfId="36761"/>
    <cellStyle name="Comma [0] TBD_Family Cluster Targets2 7 70" xfId="36762"/>
    <cellStyle name="Comma [0] TBD-_Family Cluster Targets2 7 70" xfId="36763"/>
    <cellStyle name="Comma [0] TBD_Family Cluster Targets2 7 71" xfId="36764"/>
    <cellStyle name="Comma [0] TBD-_Family Cluster Targets2 7 71" xfId="36765"/>
    <cellStyle name="Comma [0] TBD_Family Cluster Targets2 7 72" xfId="36766"/>
    <cellStyle name="Comma [0] TBD-_Family Cluster Targets2 7 72" xfId="36767"/>
    <cellStyle name="Comma [0] TBD_Family Cluster Targets2 7 73" xfId="36768"/>
    <cellStyle name="Comma [0] TBD-_Family Cluster Targets2 7 73" xfId="36769"/>
    <cellStyle name="Comma [0] TBD_Family Cluster Targets2 7 74" xfId="36770"/>
    <cellStyle name="Comma [0] TBD-_Family Cluster Targets2 7 74" xfId="36771"/>
    <cellStyle name="Comma [0] TBD_Family Cluster Targets2 7 75" xfId="36772"/>
    <cellStyle name="Comma [0] TBD-_Family Cluster Targets2 7 75" xfId="36773"/>
    <cellStyle name="Comma [0] TBD_Family Cluster Targets2 7 76" xfId="36774"/>
    <cellStyle name="Comma [0] TBD-_Family Cluster Targets2 7 76" xfId="36775"/>
    <cellStyle name="Comma [0] TBD_Family Cluster Targets2 7 77" xfId="36776"/>
    <cellStyle name="Comma [0] TBD-_Family Cluster Targets2 7 77" xfId="36777"/>
    <cellStyle name="Comma [0] TBD_Family Cluster Targets2 7 78" xfId="36778"/>
    <cellStyle name="Comma [0] TBD-_Family Cluster Targets2 7 78" xfId="36779"/>
    <cellStyle name="Comma [0] TBD_Family Cluster Targets2 7 79" xfId="36780"/>
    <cellStyle name="Comma [0] TBD-_Family Cluster Targets2 7 79" xfId="36781"/>
    <cellStyle name="Comma [0] TBD_Family Cluster Targets2 7 8" xfId="36782"/>
    <cellStyle name="Comma [0] TBD-_Family Cluster Targets2 7 8" xfId="36783"/>
    <cellStyle name="Comma [0] TBD_Family Cluster Targets2 7 80" xfId="36784"/>
    <cellStyle name="Comma [0] TBD-_Family Cluster Targets2 7 80" xfId="36785"/>
    <cellStyle name="Comma [0] TBD_Family Cluster Targets2 7 81" xfId="36786"/>
    <cellStyle name="Comma [0] TBD-_Family Cluster Targets2 7 81" xfId="36787"/>
    <cellStyle name="Comma [0] TBD_Family Cluster Targets2 7 82" xfId="36788"/>
    <cellStyle name="Comma [0] TBD-_Family Cluster Targets2 7 82" xfId="36789"/>
    <cellStyle name="Comma [0] TBD_Family Cluster Targets2 7 83" xfId="36790"/>
    <cellStyle name="Comma [0] TBD-_Family Cluster Targets2 7 83" xfId="36791"/>
    <cellStyle name="Comma [0] TBD_Family Cluster Targets2 7 84" xfId="36792"/>
    <cellStyle name="Comma [0] TBD-_Family Cluster Targets2 7 84" xfId="36793"/>
    <cellStyle name="Comma [0] TBD_Family Cluster Targets2 7 85" xfId="36794"/>
    <cellStyle name="Comma [0] TBD-_Family Cluster Targets2 7 85" xfId="36795"/>
    <cellStyle name="Comma [0] TBD_Family Cluster Targets2 7 86" xfId="36796"/>
    <cellStyle name="Comma [0] TBD-_Family Cluster Targets2 7 86" xfId="36797"/>
    <cellStyle name="Comma [0] TBD_Family Cluster Targets2 7 87" xfId="36798"/>
    <cellStyle name="Comma [0] TBD-_Family Cluster Targets2 7 87" xfId="36799"/>
    <cellStyle name="Comma [0] TBD_Family Cluster Targets2 7 88" xfId="36800"/>
    <cellStyle name="Comma [0] TBD-_Family Cluster Targets2 7 88" xfId="36801"/>
    <cellStyle name="Comma [0] TBD_Family Cluster Targets2 7 89" xfId="36802"/>
    <cellStyle name="Comma [0] TBD-_Family Cluster Targets2 7 89" xfId="36803"/>
    <cellStyle name="Comma [0] TBD_Family Cluster Targets2 7 9" xfId="36804"/>
    <cellStyle name="Comma [0] TBD-_Family Cluster Targets2 7 9" xfId="36805"/>
    <cellStyle name="Comma [0] TBD_Family Cluster Targets2 7 90" xfId="36806"/>
    <cellStyle name="Comma [0] TBD-_Family Cluster Targets2 7 90" xfId="36807"/>
    <cellStyle name="Comma [0] TBD_Family Cluster Targets2 7 91" xfId="36808"/>
    <cellStyle name="Comma [0] TBD-_Family Cluster Targets2 7 91" xfId="36809"/>
    <cellStyle name="Comma [0] TBD_Family Cluster Targets2 7 92" xfId="36810"/>
    <cellStyle name="Comma [0] TBD-_Family Cluster Targets2 7 92" xfId="36811"/>
    <cellStyle name="Comma [0] TBD_Family Cluster Targets2 7 93" xfId="36812"/>
    <cellStyle name="Comma [0] TBD-_Family Cluster Targets2 7 93" xfId="36813"/>
    <cellStyle name="Comma [0] TBD_Family Cluster Targets2 7 94" xfId="36814"/>
    <cellStyle name="Comma [0] TBD-_Family Cluster Targets2 7 94" xfId="36815"/>
    <cellStyle name="Comma [0] TBD_Family Cluster Targets2 7 95" xfId="36816"/>
    <cellStyle name="Comma [0] TBD-_Family Cluster Targets2 7 95" xfId="36817"/>
    <cellStyle name="Comma [0] TBD_Family Cluster Targets2 7 96" xfId="36818"/>
    <cellStyle name="Comma [0] TBD-_Family Cluster Targets2 7 96" xfId="36819"/>
    <cellStyle name="Comma [0] TBD_Family Cluster Targets2 7 97" xfId="36820"/>
    <cellStyle name="Comma [0] TBD-_Family Cluster Targets2 7 97" xfId="36821"/>
    <cellStyle name="Comma [0] TBD_Family Cluster Targets2 7 98" xfId="36822"/>
    <cellStyle name="Comma [0] TBD-_Family Cluster Targets2 7 98" xfId="36823"/>
    <cellStyle name="Comma [0] TBD_Family Cluster Targets2 7 99" xfId="36824"/>
    <cellStyle name="Comma [0] TBD-_Family Cluster Targets2 7 99" xfId="36825"/>
    <cellStyle name="Comma [0] TBD_Family Cluster Targets2 8" xfId="36826"/>
    <cellStyle name="Comma [0] TBD-_Family Cluster Targets2 8" xfId="36827"/>
    <cellStyle name="Comma [0] TBD_Family Cluster Targets2 8 10" xfId="36828"/>
    <cellStyle name="Comma [0] TBD-_Family Cluster Targets2 8 10" xfId="36829"/>
    <cellStyle name="Comma [0] TBD_Family Cluster Targets2 8 100" xfId="36830"/>
    <cellStyle name="Comma [0] TBD-_Family Cluster Targets2 8 100" xfId="36831"/>
    <cellStyle name="Comma [0] TBD_Family Cluster Targets2 8 101" xfId="36832"/>
    <cellStyle name="Comma [0] TBD-_Family Cluster Targets2 8 101" xfId="36833"/>
    <cellStyle name="Comma [0] TBD_Family Cluster Targets2 8 102" xfId="36834"/>
    <cellStyle name="Comma [0] TBD-_Family Cluster Targets2 8 102" xfId="36835"/>
    <cellStyle name="Comma [0] TBD_Family Cluster Targets2 8 103" xfId="36836"/>
    <cellStyle name="Comma [0] TBD-_Family Cluster Targets2 8 103" xfId="36837"/>
    <cellStyle name="Comma [0] TBD_Family Cluster Targets2 8 104" xfId="36838"/>
    <cellStyle name="Comma [0] TBD-_Family Cluster Targets2 8 104" xfId="36839"/>
    <cellStyle name="Comma [0] TBD_Family Cluster Targets2 8 105" xfId="36840"/>
    <cellStyle name="Comma [0] TBD-_Family Cluster Targets2 8 105" xfId="36841"/>
    <cellStyle name="Comma [0] TBD_Family Cluster Targets2 8 106" xfId="36842"/>
    <cellStyle name="Comma [0] TBD-_Family Cluster Targets2 8 106" xfId="36843"/>
    <cellStyle name="Comma [0] TBD_Family Cluster Targets2 8 107" xfId="36844"/>
    <cellStyle name="Comma [0] TBD-_Family Cluster Targets2 8 107" xfId="36845"/>
    <cellStyle name="Comma [0] TBD_Family Cluster Targets2 8 108" xfId="36846"/>
    <cellStyle name="Comma [0] TBD-_Family Cluster Targets2 8 108" xfId="36847"/>
    <cellStyle name="Comma [0] TBD_Family Cluster Targets2 8 109" xfId="36848"/>
    <cellStyle name="Comma [0] TBD-_Family Cluster Targets2 8 109" xfId="36849"/>
    <cellStyle name="Comma [0] TBD_Family Cluster Targets2 8 11" xfId="36850"/>
    <cellStyle name="Comma [0] TBD-_Family Cluster Targets2 8 11" xfId="36851"/>
    <cellStyle name="Comma [0] TBD_Family Cluster Targets2 8 110" xfId="36852"/>
    <cellStyle name="Comma [0] TBD-_Family Cluster Targets2 8 110" xfId="36853"/>
    <cellStyle name="Comma [0] TBD_Family Cluster Targets2 8 111" xfId="36854"/>
    <cellStyle name="Comma [0] TBD-_Family Cluster Targets2 8 111" xfId="36855"/>
    <cellStyle name="Comma [0] TBD_Family Cluster Targets2 8 112" xfId="36856"/>
    <cellStyle name="Comma [0] TBD-_Family Cluster Targets2 8 112" xfId="36857"/>
    <cellStyle name="Comma [0] TBD_Family Cluster Targets2 8 113" xfId="36858"/>
    <cellStyle name="Comma [0] TBD-_Family Cluster Targets2 8 113" xfId="36859"/>
    <cellStyle name="Comma [0] TBD_Family Cluster Targets2 8 114" xfId="36860"/>
    <cellStyle name="Comma [0] TBD-_Family Cluster Targets2 8 114" xfId="36861"/>
    <cellStyle name="Comma [0] TBD_Family Cluster Targets2 8 115" xfId="36862"/>
    <cellStyle name="Comma [0] TBD-_Family Cluster Targets2 8 115" xfId="36863"/>
    <cellStyle name="Comma [0] TBD_Family Cluster Targets2 8 116" xfId="36864"/>
    <cellStyle name="Comma [0] TBD-_Family Cluster Targets2 8 116" xfId="36865"/>
    <cellStyle name="Comma [0] TBD_Family Cluster Targets2 8 117" xfId="36866"/>
    <cellStyle name="Comma [0] TBD-_Family Cluster Targets2 8 117" xfId="36867"/>
    <cellStyle name="Comma [0] TBD_Family Cluster Targets2 8 118" xfId="36868"/>
    <cellStyle name="Comma [0] TBD-_Family Cluster Targets2 8 118" xfId="36869"/>
    <cellStyle name="Comma [0] TBD_Family Cluster Targets2 8 119" xfId="36870"/>
    <cellStyle name="Comma [0] TBD-_Family Cluster Targets2 8 119" xfId="36871"/>
    <cellStyle name="Comma [0] TBD_Family Cluster Targets2 8 12" xfId="36872"/>
    <cellStyle name="Comma [0] TBD-_Family Cluster Targets2 8 12" xfId="36873"/>
    <cellStyle name="Comma [0] TBD_Family Cluster Targets2 8 120" xfId="36874"/>
    <cellStyle name="Comma [0] TBD-_Family Cluster Targets2 8 120" xfId="36875"/>
    <cellStyle name="Comma [0] TBD_Family Cluster Targets2 8 121" xfId="36876"/>
    <cellStyle name="Comma [0] TBD-_Family Cluster Targets2 8 121" xfId="36877"/>
    <cellStyle name="Comma [0] TBD_Family Cluster Targets2 8 122" xfId="36878"/>
    <cellStyle name="Comma [0] TBD-_Family Cluster Targets2 8 122" xfId="36879"/>
    <cellStyle name="Comma [0] TBD_Family Cluster Targets2 8 123" xfId="36880"/>
    <cellStyle name="Comma [0] TBD-_Family Cluster Targets2 8 123" xfId="36881"/>
    <cellStyle name="Comma [0] TBD_Family Cluster Targets2 8 124" xfId="36882"/>
    <cellStyle name="Comma [0] TBD-_Family Cluster Targets2 8 124" xfId="36883"/>
    <cellStyle name="Comma [0] TBD_Family Cluster Targets2 8 125" xfId="36884"/>
    <cellStyle name="Comma [0] TBD-_Family Cluster Targets2 8 125" xfId="36885"/>
    <cellStyle name="Comma [0] TBD_Family Cluster Targets2 8 126" xfId="36886"/>
    <cellStyle name="Comma [0] TBD-_Family Cluster Targets2 8 126" xfId="36887"/>
    <cellStyle name="Comma [0] TBD_Family Cluster Targets2 8 127" xfId="36888"/>
    <cellStyle name="Comma [0] TBD-_Family Cluster Targets2 8 127" xfId="36889"/>
    <cellStyle name="Comma [0] TBD_Family Cluster Targets2 8 128" xfId="36890"/>
    <cellStyle name="Comma [0] TBD-_Family Cluster Targets2 8 128" xfId="36891"/>
    <cellStyle name="Comma [0] TBD_Family Cluster Targets2 8 129" xfId="36892"/>
    <cellStyle name="Comma [0] TBD-_Family Cluster Targets2 8 129" xfId="36893"/>
    <cellStyle name="Comma [0] TBD_Family Cluster Targets2 8 13" xfId="36894"/>
    <cellStyle name="Comma [0] TBD-_Family Cluster Targets2 8 13" xfId="36895"/>
    <cellStyle name="Comma [0] TBD_Family Cluster Targets2 8 130" xfId="36896"/>
    <cellStyle name="Comma [0] TBD-_Family Cluster Targets2 8 130" xfId="36897"/>
    <cellStyle name="Comma [0] TBD_Family Cluster Targets2 8 131" xfId="36898"/>
    <cellStyle name="Comma [0] TBD-_Family Cluster Targets2 8 131" xfId="36899"/>
    <cellStyle name="Comma [0] TBD_Family Cluster Targets2 8 132" xfId="36900"/>
    <cellStyle name="Comma [0] TBD-_Family Cluster Targets2 8 132" xfId="36901"/>
    <cellStyle name="Comma [0] TBD_Family Cluster Targets2 8 133" xfId="36902"/>
    <cellStyle name="Comma [0] TBD-_Family Cluster Targets2 8 133" xfId="36903"/>
    <cellStyle name="Comma [0] TBD_Family Cluster Targets2 8 134" xfId="36904"/>
    <cellStyle name="Comma [0] TBD-_Family Cluster Targets2 8 134" xfId="36905"/>
    <cellStyle name="Comma [0] TBD_Family Cluster Targets2 8 135" xfId="36906"/>
    <cellStyle name="Comma [0] TBD-_Family Cluster Targets2 8 135" xfId="36907"/>
    <cellStyle name="Comma [0] TBD_Family Cluster Targets2 8 136" xfId="36908"/>
    <cellStyle name="Comma [0] TBD-_Family Cluster Targets2 8 136" xfId="36909"/>
    <cellStyle name="Comma [0] TBD_Family Cluster Targets2 8 137" xfId="36910"/>
    <cellStyle name="Comma [0] TBD-_Family Cluster Targets2 8 137" xfId="36911"/>
    <cellStyle name="Comma [0] TBD_Family Cluster Targets2 8 138" xfId="36912"/>
    <cellStyle name="Comma [0] TBD-_Family Cluster Targets2 8 138" xfId="36913"/>
    <cellStyle name="Comma [0] TBD_Family Cluster Targets2 8 139" xfId="36914"/>
    <cellStyle name="Comma [0] TBD-_Family Cluster Targets2 8 139" xfId="36915"/>
    <cellStyle name="Comma [0] TBD_Family Cluster Targets2 8 14" xfId="36916"/>
    <cellStyle name="Comma [0] TBD-_Family Cluster Targets2 8 14" xfId="36917"/>
    <cellStyle name="Comma [0] TBD_Family Cluster Targets2 8 140" xfId="36918"/>
    <cellStyle name="Comma [0] TBD-_Family Cluster Targets2 8 140" xfId="36919"/>
    <cellStyle name="Comma [0] TBD_Family Cluster Targets2 8 141" xfId="36920"/>
    <cellStyle name="Comma [0] TBD-_Family Cluster Targets2 8 141" xfId="36921"/>
    <cellStyle name="Comma [0] TBD_Family Cluster Targets2 8 142" xfId="36922"/>
    <cellStyle name="Comma [0] TBD-_Family Cluster Targets2 8 142" xfId="36923"/>
    <cellStyle name="Comma [0] TBD_Family Cluster Targets2 8 143" xfId="36924"/>
    <cellStyle name="Comma [0] TBD-_Family Cluster Targets2 8 143" xfId="36925"/>
    <cellStyle name="Comma [0] TBD_Family Cluster Targets2 8 144" xfId="36926"/>
    <cellStyle name="Comma [0] TBD-_Family Cluster Targets2 8 144" xfId="36927"/>
    <cellStyle name="Comma [0] TBD_Family Cluster Targets2 8 145" xfId="36928"/>
    <cellStyle name="Comma [0] TBD-_Family Cluster Targets2 8 145" xfId="36929"/>
    <cellStyle name="Comma [0] TBD_Family Cluster Targets2 8 146" xfId="36930"/>
    <cellStyle name="Comma [0] TBD-_Family Cluster Targets2 8 146" xfId="36931"/>
    <cellStyle name="Comma [0] TBD_Family Cluster Targets2 8 147" xfId="36932"/>
    <cellStyle name="Comma [0] TBD-_Family Cluster Targets2 8 147" xfId="36933"/>
    <cellStyle name="Comma [0] TBD_Family Cluster Targets2 8 148" xfId="36934"/>
    <cellStyle name="Comma [0] TBD-_Family Cluster Targets2 8 148" xfId="36935"/>
    <cellStyle name="Comma [0] TBD_Family Cluster Targets2 8 149" xfId="36936"/>
    <cellStyle name="Comma [0] TBD-_Family Cluster Targets2 8 149" xfId="36937"/>
    <cellStyle name="Comma [0] TBD_Family Cluster Targets2 8 15" xfId="36938"/>
    <cellStyle name="Comma [0] TBD-_Family Cluster Targets2 8 15" xfId="36939"/>
    <cellStyle name="Comma [0] TBD_Family Cluster Targets2 8 150" xfId="36940"/>
    <cellStyle name="Comma [0] TBD-_Family Cluster Targets2 8 150" xfId="36941"/>
    <cellStyle name="Comma [0] TBD_Family Cluster Targets2 8 151" xfId="36942"/>
    <cellStyle name="Comma [0] TBD-_Family Cluster Targets2 8 151" xfId="36943"/>
    <cellStyle name="Comma [0] TBD_Family Cluster Targets2 8 152" xfId="36944"/>
    <cellStyle name="Comma [0] TBD-_Family Cluster Targets2 8 152" xfId="36945"/>
    <cellStyle name="Comma [0] TBD_Family Cluster Targets2 8 153" xfId="36946"/>
    <cellStyle name="Comma [0] TBD-_Family Cluster Targets2 8 153" xfId="36947"/>
    <cellStyle name="Comma [0] TBD_Family Cluster Targets2 8 16" xfId="36948"/>
    <cellStyle name="Comma [0] TBD-_Family Cluster Targets2 8 16" xfId="36949"/>
    <cellStyle name="Comma [0] TBD_Family Cluster Targets2 8 17" xfId="36950"/>
    <cellStyle name="Comma [0] TBD-_Family Cluster Targets2 8 17" xfId="36951"/>
    <cellStyle name="Comma [0] TBD_Family Cluster Targets2 8 18" xfId="36952"/>
    <cellStyle name="Comma [0] TBD-_Family Cluster Targets2 8 18" xfId="36953"/>
    <cellStyle name="Comma [0] TBD_Family Cluster Targets2 8 19" xfId="36954"/>
    <cellStyle name="Comma [0] TBD-_Family Cluster Targets2 8 19" xfId="36955"/>
    <cellStyle name="Comma [0] TBD_Family Cluster Targets2 8 2" xfId="36956"/>
    <cellStyle name="Comma [0] TBD-_Family Cluster Targets2 8 2" xfId="36957"/>
    <cellStyle name="Comma [0] TBD_Family Cluster Targets2 8 20" xfId="36958"/>
    <cellStyle name="Comma [0] TBD-_Family Cluster Targets2 8 20" xfId="36959"/>
    <cellStyle name="Comma [0] TBD_Family Cluster Targets2 8 21" xfId="36960"/>
    <cellStyle name="Comma [0] TBD-_Family Cluster Targets2 8 21" xfId="36961"/>
    <cellStyle name="Comma [0] TBD_Family Cluster Targets2 8 22" xfId="36962"/>
    <cellStyle name="Comma [0] TBD-_Family Cluster Targets2 8 22" xfId="36963"/>
    <cellStyle name="Comma [0] TBD_Family Cluster Targets2 8 23" xfId="36964"/>
    <cellStyle name="Comma [0] TBD-_Family Cluster Targets2 8 23" xfId="36965"/>
    <cellStyle name="Comma [0] TBD_Family Cluster Targets2 8 24" xfId="36966"/>
    <cellStyle name="Comma [0] TBD-_Family Cluster Targets2 8 24" xfId="36967"/>
    <cellStyle name="Comma [0] TBD_Family Cluster Targets2 8 25" xfId="36968"/>
    <cellStyle name="Comma [0] TBD-_Family Cluster Targets2 8 25" xfId="36969"/>
    <cellStyle name="Comma [0] TBD_Family Cluster Targets2 8 26" xfId="36970"/>
    <cellStyle name="Comma [0] TBD-_Family Cluster Targets2 8 26" xfId="36971"/>
    <cellStyle name="Comma [0] TBD_Family Cluster Targets2 8 27" xfId="36972"/>
    <cellStyle name="Comma [0] TBD-_Family Cluster Targets2 8 27" xfId="36973"/>
    <cellStyle name="Comma [0] TBD_Family Cluster Targets2 8 28" xfId="36974"/>
    <cellStyle name="Comma [0] TBD-_Family Cluster Targets2 8 28" xfId="36975"/>
    <cellStyle name="Comma [0] TBD_Family Cluster Targets2 8 29" xfId="36976"/>
    <cellStyle name="Comma [0] TBD-_Family Cluster Targets2 8 29" xfId="36977"/>
    <cellStyle name="Comma [0] TBD_Family Cluster Targets2 8 3" xfId="36978"/>
    <cellStyle name="Comma [0] TBD-_Family Cluster Targets2 8 3" xfId="36979"/>
    <cellStyle name="Comma [0] TBD_Family Cluster Targets2 8 30" xfId="36980"/>
    <cellStyle name="Comma [0] TBD-_Family Cluster Targets2 8 30" xfId="36981"/>
    <cellStyle name="Comma [0] TBD_Family Cluster Targets2 8 31" xfId="36982"/>
    <cellStyle name="Comma [0] TBD-_Family Cluster Targets2 8 31" xfId="36983"/>
    <cellStyle name="Comma [0] TBD_Family Cluster Targets2 8 32" xfId="36984"/>
    <cellStyle name="Comma [0] TBD-_Family Cluster Targets2 8 32" xfId="36985"/>
    <cellStyle name="Comma [0] TBD_Family Cluster Targets2 8 33" xfId="36986"/>
    <cellStyle name="Comma [0] TBD-_Family Cluster Targets2 8 33" xfId="36987"/>
    <cellStyle name="Comma [0] TBD_Family Cluster Targets2 8 34" xfId="36988"/>
    <cellStyle name="Comma [0] TBD-_Family Cluster Targets2 8 34" xfId="36989"/>
    <cellStyle name="Comma [0] TBD_Family Cluster Targets2 8 35" xfId="36990"/>
    <cellStyle name="Comma [0] TBD-_Family Cluster Targets2 8 35" xfId="36991"/>
    <cellStyle name="Comma [0] TBD_Family Cluster Targets2 8 36" xfId="36992"/>
    <cellStyle name="Comma [0] TBD-_Family Cluster Targets2 8 36" xfId="36993"/>
    <cellStyle name="Comma [0] TBD_Family Cluster Targets2 8 37" xfId="36994"/>
    <cellStyle name="Comma [0] TBD-_Family Cluster Targets2 8 37" xfId="36995"/>
    <cellStyle name="Comma [0] TBD_Family Cluster Targets2 8 38" xfId="36996"/>
    <cellStyle name="Comma [0] TBD-_Family Cluster Targets2 8 38" xfId="36997"/>
    <cellStyle name="Comma [0] TBD_Family Cluster Targets2 8 39" xfId="36998"/>
    <cellStyle name="Comma [0] TBD-_Family Cluster Targets2 8 39" xfId="36999"/>
    <cellStyle name="Comma [0] TBD_Family Cluster Targets2 8 4" xfId="37000"/>
    <cellStyle name="Comma [0] TBD-_Family Cluster Targets2 8 4" xfId="37001"/>
    <cellStyle name="Comma [0] TBD_Family Cluster Targets2 8 40" xfId="37002"/>
    <cellStyle name="Comma [0] TBD-_Family Cluster Targets2 8 40" xfId="37003"/>
    <cellStyle name="Comma [0] TBD_Family Cluster Targets2 8 41" xfId="37004"/>
    <cellStyle name="Comma [0] TBD-_Family Cluster Targets2 8 41" xfId="37005"/>
    <cellStyle name="Comma [0] TBD_Family Cluster Targets2 8 42" xfId="37006"/>
    <cellStyle name="Comma [0] TBD-_Family Cluster Targets2 8 42" xfId="37007"/>
    <cellStyle name="Comma [0] TBD_Family Cluster Targets2 8 43" xfId="37008"/>
    <cellStyle name="Comma [0] TBD-_Family Cluster Targets2 8 43" xfId="37009"/>
    <cellStyle name="Comma [0] TBD_Family Cluster Targets2 8 44" xfId="37010"/>
    <cellStyle name="Comma [0] TBD-_Family Cluster Targets2 8 44" xfId="37011"/>
    <cellStyle name="Comma [0] TBD_Family Cluster Targets2 8 45" xfId="37012"/>
    <cellStyle name="Comma [0] TBD-_Family Cluster Targets2 8 45" xfId="37013"/>
    <cellStyle name="Comma [0] TBD_Family Cluster Targets2 8 46" xfId="37014"/>
    <cellStyle name="Comma [0] TBD-_Family Cluster Targets2 8 46" xfId="37015"/>
    <cellStyle name="Comma [0] TBD_Family Cluster Targets2 8 47" xfId="37016"/>
    <cellStyle name="Comma [0] TBD-_Family Cluster Targets2 8 47" xfId="37017"/>
    <cellStyle name="Comma [0] TBD_Family Cluster Targets2 8 48" xfId="37018"/>
    <cellStyle name="Comma [0] TBD-_Family Cluster Targets2 8 48" xfId="37019"/>
    <cellStyle name="Comma [0] TBD_Family Cluster Targets2 8 49" xfId="37020"/>
    <cellStyle name="Comma [0] TBD-_Family Cluster Targets2 8 49" xfId="37021"/>
    <cellStyle name="Comma [0] TBD_Family Cluster Targets2 8 5" xfId="37022"/>
    <cellStyle name="Comma [0] TBD-_Family Cluster Targets2 8 5" xfId="37023"/>
    <cellStyle name="Comma [0] TBD_Family Cluster Targets2 8 50" xfId="37024"/>
    <cellStyle name="Comma [0] TBD-_Family Cluster Targets2 8 50" xfId="37025"/>
    <cellStyle name="Comma [0] TBD_Family Cluster Targets2 8 51" xfId="37026"/>
    <cellStyle name="Comma [0] TBD-_Family Cluster Targets2 8 51" xfId="37027"/>
    <cellStyle name="Comma [0] TBD_Family Cluster Targets2 8 52" xfId="37028"/>
    <cellStyle name="Comma [0] TBD-_Family Cluster Targets2 8 52" xfId="37029"/>
    <cellStyle name="Comma [0] TBD_Family Cluster Targets2 8 53" xfId="37030"/>
    <cellStyle name="Comma [0] TBD-_Family Cluster Targets2 8 53" xfId="37031"/>
    <cellStyle name="Comma [0] TBD_Family Cluster Targets2 8 54" xfId="37032"/>
    <cellStyle name="Comma [0] TBD-_Family Cluster Targets2 8 54" xfId="37033"/>
    <cellStyle name="Comma [0] TBD_Family Cluster Targets2 8 55" xfId="37034"/>
    <cellStyle name="Comma [0] TBD-_Family Cluster Targets2 8 55" xfId="37035"/>
    <cellStyle name="Comma [0] TBD_Family Cluster Targets2 8 56" xfId="37036"/>
    <cellStyle name="Comma [0] TBD-_Family Cluster Targets2 8 56" xfId="37037"/>
    <cellStyle name="Comma [0] TBD_Family Cluster Targets2 8 57" xfId="37038"/>
    <cellStyle name="Comma [0] TBD-_Family Cluster Targets2 8 57" xfId="37039"/>
    <cellStyle name="Comma [0] TBD_Family Cluster Targets2 8 58" xfId="37040"/>
    <cellStyle name="Comma [0] TBD-_Family Cluster Targets2 8 58" xfId="37041"/>
    <cellStyle name="Comma [0] TBD_Family Cluster Targets2 8 59" xfId="37042"/>
    <cellStyle name="Comma [0] TBD-_Family Cluster Targets2 8 59" xfId="37043"/>
    <cellStyle name="Comma [0] TBD_Family Cluster Targets2 8 6" xfId="37044"/>
    <cellStyle name="Comma [0] TBD-_Family Cluster Targets2 8 6" xfId="37045"/>
    <cellStyle name="Comma [0] TBD_Family Cluster Targets2 8 60" xfId="37046"/>
    <cellStyle name="Comma [0] TBD-_Family Cluster Targets2 8 60" xfId="37047"/>
    <cellStyle name="Comma [0] TBD_Family Cluster Targets2 8 61" xfId="37048"/>
    <cellStyle name="Comma [0] TBD-_Family Cluster Targets2 8 61" xfId="37049"/>
    <cellStyle name="Comma [0] TBD_Family Cluster Targets2 8 62" xfId="37050"/>
    <cellStyle name="Comma [0] TBD-_Family Cluster Targets2 8 62" xfId="37051"/>
    <cellStyle name="Comma [0] TBD_Family Cluster Targets2 8 63" xfId="37052"/>
    <cellStyle name="Comma [0] TBD-_Family Cluster Targets2 8 63" xfId="37053"/>
    <cellStyle name="Comma [0] TBD_Family Cluster Targets2 8 64" xfId="37054"/>
    <cellStyle name="Comma [0] TBD-_Family Cluster Targets2 8 64" xfId="37055"/>
    <cellStyle name="Comma [0] TBD_Family Cluster Targets2 8 65" xfId="37056"/>
    <cellStyle name="Comma [0] TBD-_Family Cluster Targets2 8 65" xfId="37057"/>
    <cellStyle name="Comma [0] TBD_Family Cluster Targets2 8 66" xfId="37058"/>
    <cellStyle name="Comma [0] TBD-_Family Cluster Targets2 8 66" xfId="37059"/>
    <cellStyle name="Comma [0] TBD_Family Cluster Targets2 8 67" xfId="37060"/>
    <cellStyle name="Comma [0] TBD-_Family Cluster Targets2 8 67" xfId="37061"/>
    <cellStyle name="Comma [0] TBD_Family Cluster Targets2 8 68" xfId="37062"/>
    <cellStyle name="Comma [0] TBD-_Family Cluster Targets2 8 68" xfId="37063"/>
    <cellStyle name="Comma [0] TBD_Family Cluster Targets2 8 69" xfId="37064"/>
    <cellStyle name="Comma [0] TBD-_Family Cluster Targets2 8 69" xfId="37065"/>
    <cellStyle name="Comma [0] TBD_Family Cluster Targets2 8 7" xfId="37066"/>
    <cellStyle name="Comma [0] TBD-_Family Cluster Targets2 8 7" xfId="37067"/>
    <cellStyle name="Comma [0] TBD_Family Cluster Targets2 8 70" xfId="37068"/>
    <cellStyle name="Comma [0] TBD-_Family Cluster Targets2 8 70" xfId="37069"/>
    <cellStyle name="Comma [0] TBD_Family Cluster Targets2 8 71" xfId="37070"/>
    <cellStyle name="Comma [0] TBD-_Family Cluster Targets2 8 71" xfId="37071"/>
    <cellStyle name="Comma [0] TBD_Family Cluster Targets2 8 72" xfId="37072"/>
    <cellStyle name="Comma [0] TBD-_Family Cluster Targets2 8 72" xfId="37073"/>
    <cellStyle name="Comma [0] TBD_Family Cluster Targets2 8 73" xfId="37074"/>
    <cellStyle name="Comma [0] TBD-_Family Cluster Targets2 8 73" xfId="37075"/>
    <cellStyle name="Comma [0] TBD_Family Cluster Targets2 8 74" xfId="37076"/>
    <cellStyle name="Comma [0] TBD-_Family Cluster Targets2 8 74" xfId="37077"/>
    <cellStyle name="Comma [0] TBD_Family Cluster Targets2 8 75" xfId="37078"/>
    <cellStyle name="Comma [0] TBD-_Family Cluster Targets2 8 75" xfId="37079"/>
    <cellStyle name="Comma [0] TBD_Family Cluster Targets2 8 76" xfId="37080"/>
    <cellStyle name="Comma [0] TBD-_Family Cluster Targets2 8 76" xfId="37081"/>
    <cellStyle name="Comma [0] TBD_Family Cluster Targets2 8 77" xfId="37082"/>
    <cellStyle name="Comma [0] TBD-_Family Cluster Targets2 8 77" xfId="37083"/>
    <cellStyle name="Comma [0] TBD_Family Cluster Targets2 8 78" xfId="37084"/>
    <cellStyle name="Comma [0] TBD-_Family Cluster Targets2 8 78" xfId="37085"/>
    <cellStyle name="Comma [0] TBD_Family Cluster Targets2 8 79" xfId="37086"/>
    <cellStyle name="Comma [0] TBD-_Family Cluster Targets2 8 79" xfId="37087"/>
    <cellStyle name="Comma [0] TBD_Family Cluster Targets2 8 8" xfId="37088"/>
    <cellStyle name="Comma [0] TBD-_Family Cluster Targets2 8 8" xfId="37089"/>
    <cellStyle name="Comma [0] TBD_Family Cluster Targets2 8 80" xfId="37090"/>
    <cellStyle name="Comma [0] TBD-_Family Cluster Targets2 8 80" xfId="37091"/>
    <cellStyle name="Comma [0] TBD_Family Cluster Targets2 8 81" xfId="37092"/>
    <cellStyle name="Comma [0] TBD-_Family Cluster Targets2 8 81" xfId="37093"/>
    <cellStyle name="Comma [0] TBD_Family Cluster Targets2 8 82" xfId="37094"/>
    <cellStyle name="Comma [0] TBD-_Family Cluster Targets2 8 82" xfId="37095"/>
    <cellStyle name="Comma [0] TBD_Family Cluster Targets2 8 83" xfId="37096"/>
    <cellStyle name="Comma [0] TBD-_Family Cluster Targets2 8 83" xfId="37097"/>
    <cellStyle name="Comma [0] TBD_Family Cluster Targets2 8 84" xfId="37098"/>
    <cellStyle name="Comma [0] TBD-_Family Cluster Targets2 8 84" xfId="37099"/>
    <cellStyle name="Comma [0] TBD_Family Cluster Targets2 8 85" xfId="37100"/>
    <cellStyle name="Comma [0] TBD-_Family Cluster Targets2 8 85" xfId="37101"/>
    <cellStyle name="Comma [0] TBD_Family Cluster Targets2 8 86" xfId="37102"/>
    <cellStyle name="Comma [0] TBD-_Family Cluster Targets2 8 86" xfId="37103"/>
    <cellStyle name="Comma [0] TBD_Family Cluster Targets2 8 87" xfId="37104"/>
    <cellStyle name="Comma [0] TBD-_Family Cluster Targets2 8 87" xfId="37105"/>
    <cellStyle name="Comma [0] TBD_Family Cluster Targets2 8 88" xfId="37106"/>
    <cellStyle name="Comma [0] TBD-_Family Cluster Targets2 8 88" xfId="37107"/>
    <cellStyle name="Comma [0] TBD_Family Cluster Targets2 8 89" xfId="37108"/>
    <cellStyle name="Comma [0] TBD-_Family Cluster Targets2 8 89" xfId="37109"/>
    <cellStyle name="Comma [0] TBD_Family Cluster Targets2 8 9" xfId="37110"/>
    <cellStyle name="Comma [0] TBD-_Family Cluster Targets2 8 9" xfId="37111"/>
    <cellStyle name="Comma [0] TBD_Family Cluster Targets2 8 90" xfId="37112"/>
    <cellStyle name="Comma [0] TBD-_Family Cluster Targets2 8 90" xfId="37113"/>
    <cellStyle name="Comma [0] TBD_Family Cluster Targets2 8 91" xfId="37114"/>
    <cellStyle name="Comma [0] TBD-_Family Cluster Targets2 8 91" xfId="37115"/>
    <cellStyle name="Comma [0] TBD_Family Cluster Targets2 8 92" xfId="37116"/>
    <cellStyle name="Comma [0] TBD-_Family Cluster Targets2 8 92" xfId="37117"/>
    <cellStyle name="Comma [0] TBD_Family Cluster Targets2 8 93" xfId="37118"/>
    <cellStyle name="Comma [0] TBD-_Family Cluster Targets2 8 93" xfId="37119"/>
    <cellStyle name="Comma [0] TBD_Family Cluster Targets2 8 94" xfId="37120"/>
    <cellStyle name="Comma [0] TBD-_Family Cluster Targets2 8 94" xfId="37121"/>
    <cellStyle name="Comma [0] TBD_Family Cluster Targets2 8 95" xfId="37122"/>
    <cellStyle name="Comma [0] TBD-_Family Cluster Targets2 8 95" xfId="37123"/>
    <cellStyle name="Comma [0] TBD_Family Cluster Targets2 8 96" xfId="37124"/>
    <cellStyle name="Comma [0] TBD-_Family Cluster Targets2 8 96" xfId="37125"/>
    <cellStyle name="Comma [0] TBD_Family Cluster Targets2 8 97" xfId="37126"/>
    <cellStyle name="Comma [0] TBD-_Family Cluster Targets2 8 97" xfId="37127"/>
    <cellStyle name="Comma [0] TBD_Family Cluster Targets2 8 98" xfId="37128"/>
    <cellStyle name="Comma [0] TBD-_Family Cluster Targets2 8 98" xfId="37129"/>
    <cellStyle name="Comma [0] TBD_Family Cluster Targets2 8 99" xfId="37130"/>
    <cellStyle name="Comma [0] TBD-_Family Cluster Targets2 8 99" xfId="37131"/>
    <cellStyle name="Comma [0] TBD_Family Cluster Targets2 9" xfId="37132"/>
    <cellStyle name="Comma [0] TBD-_Family Cluster Targets2 9" xfId="37133"/>
    <cellStyle name="Comma [0] TBD_Family Cluster Targets2 9 10" xfId="37134"/>
    <cellStyle name="Comma [0] TBD-_Family Cluster Targets2 9 10" xfId="37135"/>
    <cellStyle name="Comma [0] TBD_Family Cluster Targets2 9 100" xfId="37136"/>
    <cellStyle name="Comma [0] TBD-_Family Cluster Targets2 9 100" xfId="37137"/>
    <cellStyle name="Comma [0] TBD_Family Cluster Targets2 9 101" xfId="37138"/>
    <cellStyle name="Comma [0] TBD-_Family Cluster Targets2 9 101" xfId="37139"/>
    <cellStyle name="Comma [0] TBD_Family Cluster Targets2 9 102" xfId="37140"/>
    <cellStyle name="Comma [0] TBD-_Family Cluster Targets2 9 102" xfId="37141"/>
    <cellStyle name="Comma [0] TBD_Family Cluster Targets2 9 103" xfId="37142"/>
    <cellStyle name="Comma [0] TBD-_Family Cluster Targets2 9 103" xfId="37143"/>
    <cellStyle name="Comma [0] TBD_Family Cluster Targets2 9 104" xfId="37144"/>
    <cellStyle name="Comma [0] TBD-_Family Cluster Targets2 9 104" xfId="37145"/>
    <cellStyle name="Comma [0] TBD_Family Cluster Targets2 9 105" xfId="37146"/>
    <cellStyle name="Comma [0] TBD-_Family Cluster Targets2 9 105" xfId="37147"/>
    <cellStyle name="Comma [0] TBD_Family Cluster Targets2 9 106" xfId="37148"/>
    <cellStyle name="Comma [0] TBD-_Family Cluster Targets2 9 106" xfId="37149"/>
    <cellStyle name="Comma [0] TBD_Family Cluster Targets2 9 107" xfId="37150"/>
    <cellStyle name="Comma [0] TBD-_Family Cluster Targets2 9 107" xfId="37151"/>
    <cellStyle name="Comma [0] TBD_Family Cluster Targets2 9 108" xfId="37152"/>
    <cellStyle name="Comma [0] TBD-_Family Cluster Targets2 9 108" xfId="37153"/>
    <cellStyle name="Comma [0] TBD_Family Cluster Targets2 9 109" xfId="37154"/>
    <cellStyle name="Comma [0] TBD-_Family Cluster Targets2 9 109" xfId="37155"/>
    <cellStyle name="Comma [0] TBD_Family Cluster Targets2 9 11" xfId="37156"/>
    <cellStyle name="Comma [0] TBD-_Family Cluster Targets2 9 11" xfId="37157"/>
    <cellStyle name="Comma [0] TBD_Family Cluster Targets2 9 110" xfId="37158"/>
    <cellStyle name="Comma [0] TBD-_Family Cluster Targets2 9 110" xfId="37159"/>
    <cellStyle name="Comma [0] TBD_Family Cluster Targets2 9 111" xfId="37160"/>
    <cellStyle name="Comma [0] TBD-_Family Cluster Targets2 9 111" xfId="37161"/>
    <cellStyle name="Comma [0] TBD_Family Cluster Targets2 9 112" xfId="37162"/>
    <cellStyle name="Comma [0] TBD-_Family Cluster Targets2 9 112" xfId="37163"/>
    <cellStyle name="Comma [0] TBD_Family Cluster Targets2 9 113" xfId="37164"/>
    <cellStyle name="Comma [0] TBD-_Family Cluster Targets2 9 113" xfId="37165"/>
    <cellStyle name="Comma [0] TBD_Family Cluster Targets2 9 114" xfId="37166"/>
    <cellStyle name="Comma [0] TBD-_Family Cluster Targets2 9 114" xfId="37167"/>
    <cellStyle name="Comma [0] TBD_Family Cluster Targets2 9 115" xfId="37168"/>
    <cellStyle name="Comma [0] TBD-_Family Cluster Targets2 9 115" xfId="37169"/>
    <cellStyle name="Comma [0] TBD_Family Cluster Targets2 9 116" xfId="37170"/>
    <cellStyle name="Comma [0] TBD-_Family Cluster Targets2 9 116" xfId="37171"/>
    <cellStyle name="Comma [0] TBD_Family Cluster Targets2 9 117" xfId="37172"/>
    <cellStyle name="Comma [0] TBD-_Family Cluster Targets2 9 117" xfId="37173"/>
    <cellStyle name="Comma [0] TBD_Family Cluster Targets2 9 118" xfId="37174"/>
    <cellStyle name="Comma [0] TBD-_Family Cluster Targets2 9 118" xfId="37175"/>
    <cellStyle name="Comma [0] TBD_Family Cluster Targets2 9 119" xfId="37176"/>
    <cellStyle name="Comma [0] TBD-_Family Cluster Targets2 9 119" xfId="37177"/>
    <cellStyle name="Comma [0] TBD_Family Cluster Targets2 9 12" xfId="37178"/>
    <cellStyle name="Comma [0] TBD-_Family Cluster Targets2 9 12" xfId="37179"/>
    <cellStyle name="Comma [0] TBD_Family Cluster Targets2 9 120" xfId="37180"/>
    <cellStyle name="Comma [0] TBD-_Family Cluster Targets2 9 120" xfId="37181"/>
    <cellStyle name="Comma [0] TBD_Family Cluster Targets2 9 121" xfId="37182"/>
    <cellStyle name="Comma [0] TBD-_Family Cluster Targets2 9 121" xfId="37183"/>
    <cellStyle name="Comma [0] TBD_Family Cluster Targets2 9 122" xfId="37184"/>
    <cellStyle name="Comma [0] TBD-_Family Cluster Targets2 9 122" xfId="37185"/>
    <cellStyle name="Comma [0] TBD_Family Cluster Targets2 9 123" xfId="37186"/>
    <cellStyle name="Comma [0] TBD-_Family Cluster Targets2 9 123" xfId="37187"/>
    <cellStyle name="Comma [0] TBD_Family Cluster Targets2 9 124" xfId="37188"/>
    <cellStyle name="Comma [0] TBD-_Family Cluster Targets2 9 124" xfId="37189"/>
    <cellStyle name="Comma [0] TBD_Family Cluster Targets2 9 125" xfId="37190"/>
    <cellStyle name="Comma [0] TBD-_Family Cluster Targets2 9 125" xfId="37191"/>
    <cellStyle name="Comma [0] TBD_Family Cluster Targets2 9 126" xfId="37192"/>
    <cellStyle name="Comma [0] TBD-_Family Cluster Targets2 9 126" xfId="37193"/>
    <cellStyle name="Comma [0] TBD_Family Cluster Targets2 9 127" xfId="37194"/>
    <cellStyle name="Comma [0] TBD-_Family Cluster Targets2 9 127" xfId="37195"/>
    <cellStyle name="Comma [0] TBD_Family Cluster Targets2 9 128" xfId="37196"/>
    <cellStyle name="Comma [0] TBD-_Family Cluster Targets2 9 128" xfId="37197"/>
    <cellStyle name="Comma [0] TBD_Family Cluster Targets2 9 129" xfId="37198"/>
    <cellStyle name="Comma [0] TBD-_Family Cluster Targets2 9 129" xfId="37199"/>
    <cellStyle name="Comma [0] TBD_Family Cluster Targets2 9 13" xfId="37200"/>
    <cellStyle name="Comma [0] TBD-_Family Cluster Targets2 9 13" xfId="37201"/>
    <cellStyle name="Comma [0] TBD_Family Cluster Targets2 9 130" xfId="37202"/>
    <cellStyle name="Comma [0] TBD-_Family Cluster Targets2 9 130" xfId="37203"/>
    <cellStyle name="Comma [0] TBD_Family Cluster Targets2 9 131" xfId="37204"/>
    <cellStyle name="Comma [0] TBD-_Family Cluster Targets2 9 131" xfId="37205"/>
    <cellStyle name="Comma [0] TBD_Family Cluster Targets2 9 132" xfId="37206"/>
    <cellStyle name="Comma [0] TBD-_Family Cluster Targets2 9 132" xfId="37207"/>
    <cellStyle name="Comma [0] TBD_Family Cluster Targets2 9 133" xfId="37208"/>
    <cellStyle name="Comma [0] TBD-_Family Cluster Targets2 9 133" xfId="37209"/>
    <cellStyle name="Comma [0] TBD_Family Cluster Targets2 9 134" xfId="37210"/>
    <cellStyle name="Comma [0] TBD-_Family Cluster Targets2 9 134" xfId="37211"/>
    <cellStyle name="Comma [0] TBD_Family Cluster Targets2 9 135" xfId="37212"/>
    <cellStyle name="Comma [0] TBD-_Family Cluster Targets2 9 135" xfId="37213"/>
    <cellStyle name="Comma [0] TBD_Family Cluster Targets2 9 136" xfId="37214"/>
    <cellStyle name="Comma [0] TBD-_Family Cluster Targets2 9 136" xfId="37215"/>
    <cellStyle name="Comma [0] TBD_Family Cluster Targets2 9 137" xfId="37216"/>
    <cellStyle name="Comma [0] TBD-_Family Cluster Targets2 9 137" xfId="37217"/>
    <cellStyle name="Comma [0] TBD_Family Cluster Targets2 9 138" xfId="37218"/>
    <cellStyle name="Comma [0] TBD-_Family Cluster Targets2 9 138" xfId="37219"/>
    <cellStyle name="Comma [0] TBD_Family Cluster Targets2 9 139" xfId="37220"/>
    <cellStyle name="Comma [0] TBD-_Family Cluster Targets2 9 139" xfId="37221"/>
    <cellStyle name="Comma [0] TBD_Family Cluster Targets2 9 14" xfId="37222"/>
    <cellStyle name="Comma [0] TBD-_Family Cluster Targets2 9 14" xfId="37223"/>
    <cellStyle name="Comma [0] TBD_Family Cluster Targets2 9 140" xfId="37224"/>
    <cellStyle name="Comma [0] TBD-_Family Cluster Targets2 9 140" xfId="37225"/>
    <cellStyle name="Comma [0] TBD_Family Cluster Targets2 9 141" xfId="37226"/>
    <cellStyle name="Comma [0] TBD-_Family Cluster Targets2 9 141" xfId="37227"/>
    <cellStyle name="Comma [0] TBD_Family Cluster Targets2 9 142" xfId="37228"/>
    <cellStyle name="Comma [0] TBD-_Family Cluster Targets2 9 142" xfId="37229"/>
    <cellStyle name="Comma [0] TBD_Family Cluster Targets2 9 143" xfId="37230"/>
    <cellStyle name="Comma [0] TBD-_Family Cluster Targets2 9 143" xfId="37231"/>
    <cellStyle name="Comma [0] TBD_Family Cluster Targets2 9 144" xfId="37232"/>
    <cellStyle name="Comma [0] TBD-_Family Cluster Targets2 9 144" xfId="37233"/>
    <cellStyle name="Comma [0] TBD_Family Cluster Targets2 9 145" xfId="37234"/>
    <cellStyle name="Comma [0] TBD-_Family Cluster Targets2 9 145" xfId="37235"/>
    <cellStyle name="Comma [0] TBD_Family Cluster Targets2 9 146" xfId="37236"/>
    <cellStyle name="Comma [0] TBD-_Family Cluster Targets2 9 146" xfId="37237"/>
    <cellStyle name="Comma [0] TBD_Family Cluster Targets2 9 147" xfId="37238"/>
    <cellStyle name="Comma [0] TBD-_Family Cluster Targets2 9 147" xfId="37239"/>
    <cellStyle name="Comma [0] TBD_Family Cluster Targets2 9 148" xfId="37240"/>
    <cellStyle name="Comma [0] TBD-_Family Cluster Targets2 9 148" xfId="37241"/>
    <cellStyle name="Comma [0] TBD_Family Cluster Targets2 9 149" xfId="37242"/>
    <cellStyle name="Comma [0] TBD-_Family Cluster Targets2 9 149" xfId="37243"/>
    <cellStyle name="Comma [0] TBD_Family Cluster Targets2 9 15" xfId="37244"/>
    <cellStyle name="Comma [0] TBD-_Family Cluster Targets2 9 15" xfId="37245"/>
    <cellStyle name="Comma [0] TBD_Family Cluster Targets2 9 150" xfId="37246"/>
    <cellStyle name="Comma [0] TBD-_Family Cluster Targets2 9 150" xfId="37247"/>
    <cellStyle name="Comma [0] TBD_Family Cluster Targets2 9 151" xfId="37248"/>
    <cellStyle name="Comma [0] TBD-_Family Cluster Targets2 9 151" xfId="37249"/>
    <cellStyle name="Comma [0] TBD_Family Cluster Targets2 9 152" xfId="37250"/>
    <cellStyle name="Comma [0] TBD-_Family Cluster Targets2 9 152" xfId="37251"/>
    <cellStyle name="Comma [0] TBD_Family Cluster Targets2 9 153" xfId="37252"/>
    <cellStyle name="Comma [0] TBD-_Family Cluster Targets2 9 153" xfId="37253"/>
    <cellStyle name="Comma [0] TBD_Family Cluster Targets2 9 16" xfId="37254"/>
    <cellStyle name="Comma [0] TBD-_Family Cluster Targets2 9 16" xfId="37255"/>
    <cellStyle name="Comma [0] TBD_Family Cluster Targets2 9 17" xfId="37256"/>
    <cellStyle name="Comma [0] TBD-_Family Cluster Targets2 9 17" xfId="37257"/>
    <cellStyle name="Comma [0] TBD_Family Cluster Targets2 9 18" xfId="37258"/>
    <cellStyle name="Comma [0] TBD-_Family Cluster Targets2 9 18" xfId="37259"/>
    <cellStyle name="Comma [0] TBD_Family Cluster Targets2 9 19" xfId="37260"/>
    <cellStyle name="Comma [0] TBD-_Family Cluster Targets2 9 19" xfId="37261"/>
    <cellStyle name="Comma [0] TBD_Family Cluster Targets2 9 2" xfId="37262"/>
    <cellStyle name="Comma [0] TBD-_Family Cluster Targets2 9 2" xfId="37263"/>
    <cellStyle name="Comma [0] TBD_Family Cluster Targets2 9 20" xfId="37264"/>
    <cellStyle name="Comma [0] TBD-_Family Cluster Targets2 9 20" xfId="37265"/>
    <cellStyle name="Comma [0] TBD_Family Cluster Targets2 9 21" xfId="37266"/>
    <cellStyle name="Comma [0] TBD-_Family Cluster Targets2 9 21" xfId="37267"/>
    <cellStyle name="Comma [0] TBD_Family Cluster Targets2 9 22" xfId="37268"/>
    <cellStyle name="Comma [0] TBD-_Family Cluster Targets2 9 22" xfId="37269"/>
    <cellStyle name="Comma [0] TBD_Family Cluster Targets2 9 23" xfId="37270"/>
    <cellStyle name="Comma [0] TBD-_Family Cluster Targets2 9 23" xfId="37271"/>
    <cellStyle name="Comma [0] TBD_Family Cluster Targets2 9 24" xfId="37272"/>
    <cellStyle name="Comma [0] TBD-_Family Cluster Targets2 9 24" xfId="37273"/>
    <cellStyle name="Comma [0] TBD_Family Cluster Targets2 9 25" xfId="37274"/>
    <cellStyle name="Comma [0] TBD-_Family Cluster Targets2 9 25" xfId="37275"/>
    <cellStyle name="Comma [0] TBD_Family Cluster Targets2 9 26" xfId="37276"/>
    <cellStyle name="Comma [0] TBD-_Family Cluster Targets2 9 26" xfId="37277"/>
    <cellStyle name="Comma [0] TBD_Family Cluster Targets2 9 27" xfId="37278"/>
    <cellStyle name="Comma [0] TBD-_Family Cluster Targets2 9 27" xfId="37279"/>
    <cellStyle name="Comma [0] TBD_Family Cluster Targets2 9 28" xfId="37280"/>
    <cellStyle name="Comma [0] TBD-_Family Cluster Targets2 9 28" xfId="37281"/>
    <cellStyle name="Comma [0] TBD_Family Cluster Targets2 9 29" xfId="37282"/>
    <cellStyle name="Comma [0] TBD-_Family Cluster Targets2 9 29" xfId="37283"/>
    <cellStyle name="Comma [0] TBD_Family Cluster Targets2 9 3" xfId="37284"/>
    <cellStyle name="Comma [0] TBD-_Family Cluster Targets2 9 3" xfId="37285"/>
    <cellStyle name="Comma [0] TBD_Family Cluster Targets2 9 30" xfId="37286"/>
    <cellStyle name="Comma [0] TBD-_Family Cluster Targets2 9 30" xfId="37287"/>
    <cellStyle name="Comma [0] TBD_Family Cluster Targets2 9 31" xfId="37288"/>
    <cellStyle name="Comma [0] TBD-_Family Cluster Targets2 9 31" xfId="37289"/>
    <cellStyle name="Comma [0] TBD_Family Cluster Targets2 9 32" xfId="37290"/>
    <cellStyle name="Comma [0] TBD-_Family Cluster Targets2 9 32" xfId="37291"/>
    <cellStyle name="Comma [0] TBD_Family Cluster Targets2 9 33" xfId="37292"/>
    <cellStyle name="Comma [0] TBD-_Family Cluster Targets2 9 33" xfId="37293"/>
    <cellStyle name="Comma [0] TBD_Family Cluster Targets2 9 34" xfId="37294"/>
    <cellStyle name="Comma [0] TBD-_Family Cluster Targets2 9 34" xfId="37295"/>
    <cellStyle name="Comma [0] TBD_Family Cluster Targets2 9 35" xfId="37296"/>
    <cellStyle name="Comma [0] TBD-_Family Cluster Targets2 9 35" xfId="37297"/>
    <cellStyle name="Comma [0] TBD_Family Cluster Targets2 9 36" xfId="37298"/>
    <cellStyle name="Comma [0] TBD-_Family Cluster Targets2 9 36" xfId="37299"/>
    <cellStyle name="Comma [0] TBD_Family Cluster Targets2 9 37" xfId="37300"/>
    <cellStyle name="Comma [0] TBD-_Family Cluster Targets2 9 37" xfId="37301"/>
    <cellStyle name="Comma [0] TBD_Family Cluster Targets2 9 38" xfId="37302"/>
    <cellStyle name="Comma [0] TBD-_Family Cluster Targets2 9 38" xfId="37303"/>
    <cellStyle name="Comma [0] TBD_Family Cluster Targets2 9 39" xfId="37304"/>
    <cellStyle name="Comma [0] TBD-_Family Cluster Targets2 9 39" xfId="37305"/>
    <cellStyle name="Comma [0] TBD_Family Cluster Targets2 9 4" xfId="37306"/>
    <cellStyle name="Comma [0] TBD-_Family Cluster Targets2 9 4" xfId="37307"/>
    <cellStyle name="Comma [0] TBD_Family Cluster Targets2 9 40" xfId="37308"/>
    <cellStyle name="Comma [0] TBD-_Family Cluster Targets2 9 40" xfId="37309"/>
    <cellStyle name="Comma [0] TBD_Family Cluster Targets2 9 41" xfId="37310"/>
    <cellStyle name="Comma [0] TBD-_Family Cluster Targets2 9 41" xfId="37311"/>
    <cellStyle name="Comma [0] TBD_Family Cluster Targets2 9 42" xfId="37312"/>
    <cellStyle name="Comma [0] TBD-_Family Cluster Targets2 9 42" xfId="37313"/>
    <cellStyle name="Comma [0] TBD_Family Cluster Targets2 9 43" xfId="37314"/>
    <cellStyle name="Comma [0] TBD-_Family Cluster Targets2 9 43" xfId="37315"/>
    <cellStyle name="Comma [0] TBD_Family Cluster Targets2 9 44" xfId="37316"/>
    <cellStyle name="Comma [0] TBD-_Family Cluster Targets2 9 44" xfId="37317"/>
    <cellStyle name="Comma [0] TBD_Family Cluster Targets2 9 45" xfId="37318"/>
    <cellStyle name="Comma [0] TBD-_Family Cluster Targets2 9 45" xfId="37319"/>
    <cellStyle name="Comma [0] TBD_Family Cluster Targets2 9 46" xfId="37320"/>
    <cellStyle name="Comma [0] TBD-_Family Cluster Targets2 9 46" xfId="37321"/>
    <cellStyle name="Comma [0] TBD_Family Cluster Targets2 9 47" xfId="37322"/>
    <cellStyle name="Comma [0] TBD-_Family Cluster Targets2 9 47" xfId="37323"/>
    <cellStyle name="Comma [0] TBD_Family Cluster Targets2 9 48" xfId="37324"/>
    <cellStyle name="Comma [0] TBD-_Family Cluster Targets2 9 48" xfId="37325"/>
    <cellStyle name="Comma [0] TBD_Family Cluster Targets2 9 49" xfId="37326"/>
    <cellStyle name="Comma [0] TBD-_Family Cluster Targets2 9 49" xfId="37327"/>
    <cellStyle name="Comma [0] TBD_Family Cluster Targets2 9 5" xfId="37328"/>
    <cellStyle name="Comma [0] TBD-_Family Cluster Targets2 9 5" xfId="37329"/>
    <cellStyle name="Comma [0] TBD_Family Cluster Targets2 9 50" xfId="37330"/>
    <cellStyle name="Comma [0] TBD-_Family Cluster Targets2 9 50" xfId="37331"/>
    <cellStyle name="Comma [0] TBD_Family Cluster Targets2 9 51" xfId="37332"/>
    <cellStyle name="Comma [0] TBD-_Family Cluster Targets2 9 51" xfId="37333"/>
    <cellStyle name="Comma [0] TBD_Family Cluster Targets2 9 52" xfId="37334"/>
    <cellStyle name="Comma [0] TBD-_Family Cluster Targets2 9 52" xfId="37335"/>
    <cellStyle name="Comma [0] TBD_Family Cluster Targets2 9 53" xfId="37336"/>
    <cellStyle name="Comma [0] TBD-_Family Cluster Targets2 9 53" xfId="37337"/>
    <cellStyle name="Comma [0] TBD_Family Cluster Targets2 9 54" xfId="37338"/>
    <cellStyle name="Comma [0] TBD-_Family Cluster Targets2 9 54" xfId="37339"/>
    <cellStyle name="Comma [0] TBD_Family Cluster Targets2 9 55" xfId="37340"/>
    <cellStyle name="Comma [0] TBD-_Family Cluster Targets2 9 55" xfId="37341"/>
    <cellStyle name="Comma [0] TBD_Family Cluster Targets2 9 56" xfId="37342"/>
    <cellStyle name="Comma [0] TBD-_Family Cluster Targets2 9 56" xfId="37343"/>
    <cellStyle name="Comma [0] TBD_Family Cluster Targets2 9 57" xfId="37344"/>
    <cellStyle name="Comma [0] TBD-_Family Cluster Targets2 9 57" xfId="37345"/>
    <cellStyle name="Comma [0] TBD_Family Cluster Targets2 9 58" xfId="37346"/>
    <cellStyle name="Comma [0] TBD-_Family Cluster Targets2 9 58" xfId="37347"/>
    <cellStyle name="Comma [0] TBD_Family Cluster Targets2 9 59" xfId="37348"/>
    <cellStyle name="Comma [0] TBD-_Family Cluster Targets2 9 59" xfId="37349"/>
    <cellStyle name="Comma [0] TBD_Family Cluster Targets2 9 6" xfId="37350"/>
    <cellStyle name="Comma [0] TBD-_Family Cluster Targets2 9 6" xfId="37351"/>
    <cellStyle name="Comma [0] TBD_Family Cluster Targets2 9 60" xfId="37352"/>
    <cellStyle name="Comma [0] TBD-_Family Cluster Targets2 9 60" xfId="37353"/>
    <cellStyle name="Comma [0] TBD_Family Cluster Targets2 9 61" xfId="37354"/>
    <cellStyle name="Comma [0] TBD-_Family Cluster Targets2 9 61" xfId="37355"/>
    <cellStyle name="Comma [0] TBD_Family Cluster Targets2 9 62" xfId="37356"/>
    <cellStyle name="Comma [0] TBD-_Family Cluster Targets2 9 62" xfId="37357"/>
    <cellStyle name="Comma [0] TBD_Family Cluster Targets2 9 63" xfId="37358"/>
    <cellStyle name="Comma [0] TBD-_Family Cluster Targets2 9 63" xfId="37359"/>
    <cellStyle name="Comma [0] TBD_Family Cluster Targets2 9 64" xfId="37360"/>
    <cellStyle name="Comma [0] TBD-_Family Cluster Targets2 9 64" xfId="37361"/>
    <cellStyle name="Comma [0] TBD_Family Cluster Targets2 9 65" xfId="37362"/>
    <cellStyle name="Comma [0] TBD-_Family Cluster Targets2 9 65" xfId="37363"/>
    <cellStyle name="Comma [0] TBD_Family Cluster Targets2 9 66" xfId="37364"/>
    <cellStyle name="Comma [0] TBD-_Family Cluster Targets2 9 66" xfId="37365"/>
    <cellStyle name="Comma [0] TBD_Family Cluster Targets2 9 67" xfId="37366"/>
    <cellStyle name="Comma [0] TBD-_Family Cluster Targets2 9 67" xfId="37367"/>
    <cellStyle name="Comma [0] TBD_Family Cluster Targets2 9 68" xfId="37368"/>
    <cellStyle name="Comma [0] TBD-_Family Cluster Targets2 9 68" xfId="37369"/>
    <cellStyle name="Comma [0] TBD_Family Cluster Targets2 9 69" xfId="37370"/>
    <cellStyle name="Comma [0] TBD-_Family Cluster Targets2 9 69" xfId="37371"/>
    <cellStyle name="Comma [0] TBD_Family Cluster Targets2 9 7" xfId="37372"/>
    <cellStyle name="Comma [0] TBD-_Family Cluster Targets2 9 7" xfId="37373"/>
    <cellStyle name="Comma [0] TBD_Family Cluster Targets2 9 70" xfId="37374"/>
    <cellStyle name="Comma [0] TBD-_Family Cluster Targets2 9 70" xfId="37375"/>
    <cellStyle name="Comma [0] TBD_Family Cluster Targets2 9 71" xfId="37376"/>
    <cellStyle name="Comma [0] TBD-_Family Cluster Targets2 9 71" xfId="37377"/>
    <cellStyle name="Comma [0] TBD_Family Cluster Targets2 9 72" xfId="37378"/>
    <cellStyle name="Comma [0] TBD-_Family Cluster Targets2 9 72" xfId="37379"/>
    <cellStyle name="Comma [0] TBD_Family Cluster Targets2 9 73" xfId="37380"/>
    <cellStyle name="Comma [0] TBD-_Family Cluster Targets2 9 73" xfId="37381"/>
    <cellStyle name="Comma [0] TBD_Family Cluster Targets2 9 74" xfId="37382"/>
    <cellStyle name="Comma [0] TBD-_Family Cluster Targets2 9 74" xfId="37383"/>
    <cellStyle name="Comma [0] TBD_Family Cluster Targets2 9 75" xfId="37384"/>
    <cellStyle name="Comma [0] TBD-_Family Cluster Targets2 9 75" xfId="37385"/>
    <cellStyle name="Comma [0] TBD_Family Cluster Targets2 9 76" xfId="37386"/>
    <cellStyle name="Comma [0] TBD-_Family Cluster Targets2 9 76" xfId="37387"/>
    <cellStyle name="Comma [0] TBD_Family Cluster Targets2 9 77" xfId="37388"/>
    <cellStyle name="Comma [0] TBD-_Family Cluster Targets2 9 77" xfId="37389"/>
    <cellStyle name="Comma [0] TBD_Family Cluster Targets2 9 78" xfId="37390"/>
    <cellStyle name="Comma [0] TBD-_Family Cluster Targets2 9 78" xfId="37391"/>
    <cellStyle name="Comma [0] TBD_Family Cluster Targets2 9 79" xfId="37392"/>
    <cellStyle name="Comma [0] TBD-_Family Cluster Targets2 9 79" xfId="37393"/>
    <cellStyle name="Comma [0] TBD_Family Cluster Targets2 9 8" xfId="37394"/>
    <cellStyle name="Comma [0] TBD-_Family Cluster Targets2 9 8" xfId="37395"/>
    <cellStyle name="Comma [0] TBD_Family Cluster Targets2 9 80" xfId="37396"/>
    <cellStyle name="Comma [0] TBD-_Family Cluster Targets2 9 80" xfId="37397"/>
    <cellStyle name="Comma [0] TBD_Family Cluster Targets2 9 81" xfId="37398"/>
    <cellStyle name="Comma [0] TBD-_Family Cluster Targets2 9 81" xfId="37399"/>
    <cellStyle name="Comma [0] TBD_Family Cluster Targets2 9 82" xfId="37400"/>
    <cellStyle name="Comma [0] TBD-_Family Cluster Targets2 9 82" xfId="37401"/>
    <cellStyle name="Comma [0] TBD_Family Cluster Targets2 9 83" xfId="37402"/>
    <cellStyle name="Comma [0] TBD-_Family Cluster Targets2 9 83" xfId="37403"/>
    <cellStyle name="Comma [0] TBD_Family Cluster Targets2 9 84" xfId="37404"/>
    <cellStyle name="Comma [0] TBD-_Family Cluster Targets2 9 84" xfId="37405"/>
    <cellStyle name="Comma [0] TBD_Family Cluster Targets2 9 85" xfId="37406"/>
    <cellStyle name="Comma [0] TBD-_Family Cluster Targets2 9 85" xfId="37407"/>
    <cellStyle name="Comma [0] TBD_Family Cluster Targets2 9 86" xfId="37408"/>
    <cellStyle name="Comma [0] TBD-_Family Cluster Targets2 9 86" xfId="37409"/>
    <cellStyle name="Comma [0] TBD_Family Cluster Targets2 9 87" xfId="37410"/>
    <cellStyle name="Comma [0] TBD-_Family Cluster Targets2 9 87" xfId="37411"/>
    <cellStyle name="Comma [0] TBD_Family Cluster Targets2 9 88" xfId="37412"/>
    <cellStyle name="Comma [0] TBD-_Family Cluster Targets2 9 88" xfId="37413"/>
    <cellStyle name="Comma [0] TBD_Family Cluster Targets2 9 89" xfId="37414"/>
    <cellStyle name="Comma [0] TBD-_Family Cluster Targets2 9 89" xfId="37415"/>
    <cellStyle name="Comma [0] TBD_Family Cluster Targets2 9 9" xfId="37416"/>
    <cellStyle name="Comma [0] TBD-_Family Cluster Targets2 9 9" xfId="37417"/>
    <cellStyle name="Comma [0] TBD_Family Cluster Targets2 9 90" xfId="37418"/>
    <cellStyle name="Comma [0] TBD-_Family Cluster Targets2 9 90" xfId="37419"/>
    <cellStyle name="Comma [0] TBD_Family Cluster Targets2 9 91" xfId="37420"/>
    <cellStyle name="Comma [0] TBD-_Family Cluster Targets2 9 91" xfId="37421"/>
    <cellStyle name="Comma [0] TBD_Family Cluster Targets2 9 92" xfId="37422"/>
    <cellStyle name="Comma [0] TBD-_Family Cluster Targets2 9 92" xfId="37423"/>
    <cellStyle name="Comma [0] TBD_Family Cluster Targets2 9 93" xfId="37424"/>
    <cellStyle name="Comma [0] TBD-_Family Cluster Targets2 9 93" xfId="37425"/>
    <cellStyle name="Comma [0] TBD_Family Cluster Targets2 9 94" xfId="37426"/>
    <cellStyle name="Comma [0] TBD-_Family Cluster Targets2 9 94" xfId="37427"/>
    <cellStyle name="Comma [0] TBD_Family Cluster Targets2 9 95" xfId="37428"/>
    <cellStyle name="Comma [0] TBD-_Family Cluster Targets2 9 95" xfId="37429"/>
    <cellStyle name="Comma [0] TBD_Family Cluster Targets2 9 96" xfId="37430"/>
    <cellStyle name="Comma [0] TBD-_Family Cluster Targets2 9 96" xfId="37431"/>
    <cellStyle name="Comma [0] TBD_Family Cluster Targets2 9 97" xfId="37432"/>
    <cellStyle name="Comma [0] TBD-_Family Cluster Targets2 9 97" xfId="37433"/>
    <cellStyle name="Comma [0] TBD_Family Cluster Targets2 9 98" xfId="37434"/>
    <cellStyle name="Comma [0] TBD-_Family Cluster Targets2 9 98" xfId="37435"/>
    <cellStyle name="Comma [0] TBD_Family Cluster Targets2 9 99" xfId="37436"/>
    <cellStyle name="Comma [0] TBD-_Family Cluster Targets2 9 99" xfId="37437"/>
    <cellStyle name="Comma [0] TBD_Feb 3 2006 IACM Status" xfId="37438"/>
    <cellStyle name="Comma [0] TBD-_Feb 3 2006 IACM Status" xfId="37439"/>
    <cellStyle name="Comma [0] TBD_Feb 3 2006 IACM Status 2" xfId="37440"/>
    <cellStyle name="Comma [0] TBD-_Feb 3 2006 IACM Status 2" xfId="37441"/>
    <cellStyle name="Comma [0] TBD_Feb 3 2006 IACM Status 2 2" xfId="37442"/>
    <cellStyle name="Comma [0] TBD-_Feb 3 2006 IACM Status 2 2" xfId="37443"/>
    <cellStyle name="Comma [0] TBD_Feb 3 2006 IACM Status 3" xfId="37444"/>
    <cellStyle name="Comma [0] TBD-_Feb 3 2006 IACM Status 3" xfId="37445"/>
    <cellStyle name="Comma [0] TBD_Feb 3 2006 IACM Status 3 2" xfId="37446"/>
    <cellStyle name="Comma [0] TBD-_Feb 3 2006 IACM Status 3 2" xfId="37447"/>
    <cellStyle name="Comma [0] TBD_Feb 3 2006 IACM Status 4" xfId="37448"/>
    <cellStyle name="Comma [0] TBD-_Feb 3 2006 IACM Status 4" xfId="37449"/>
    <cellStyle name="Comma [0] TBD_Feb 3 2006 IACM Status 5" xfId="37450"/>
    <cellStyle name="Comma [0] TBD-_Feb 3 2006 IACM Status 5" xfId="37451"/>
    <cellStyle name="Comma [0] TBD_Feb 3 2006 IACM Status 6" xfId="37452"/>
    <cellStyle name="Comma [0] TBD-_Feb 3 2006 IACM Status 6" xfId="37453"/>
    <cellStyle name="Comma [0] TBD_Feb 3 2006 IACM Status 7" xfId="37454"/>
    <cellStyle name="Comma [0] TBD-_Feb 3 2006 IACM Status 7" xfId="37455"/>
    <cellStyle name="Comma [0] TBD_Feb 3 2006 IACM Status 8" xfId="37456"/>
    <cellStyle name="Comma [0] TBD-_Feb 3 2006 IACM Status 8" xfId="37457"/>
    <cellStyle name="Comma [0] TBD_Feb 3 2006 IACM Status 9" xfId="37458"/>
    <cellStyle name="Comma [0] TBD-_Feb 3 2006 IACM Status 9" xfId="37459"/>
    <cellStyle name="Comma [0] TBD_FINAL Super Duty Diesel Summary" xfId="37460"/>
    <cellStyle name="Comma [0] TBD-_FINAL Super Duty Diesel Summary" xfId="37461"/>
    <cellStyle name="Comma [0] TBD_FINAL Super Duty Diesel Summary 2" xfId="37462"/>
    <cellStyle name="Comma [0] TBD-_FINAL Super Duty Diesel Summary 2" xfId="37463"/>
    <cellStyle name="Comma [0] TBD_FINAL Super Duty Diesel Summary 2 2" xfId="37464"/>
    <cellStyle name="Comma [0] TBD-_FINAL Super Duty Diesel Summary 2 2" xfId="37465"/>
    <cellStyle name="Comma [0] TBD_FINAL Super Duty Diesel Summary 3" xfId="37466"/>
    <cellStyle name="Comma [0] TBD-_FINAL Super Duty Diesel Summary 3" xfId="37467"/>
    <cellStyle name="Comma [0] TBD_FINAL Super Duty Diesel Summary 3 2" xfId="37468"/>
    <cellStyle name="Comma [0] TBD-_FINAL Super Duty Diesel Summary 3 2" xfId="37469"/>
    <cellStyle name="Comma [0] TBD_FINAL Super Duty Diesel Summary 4" xfId="37470"/>
    <cellStyle name="Comma [0] TBD-_FINAL Super Duty Diesel Summary 4" xfId="37471"/>
    <cellStyle name="Comma [0] TBD_FINAL Super Duty Diesel Summary 5" xfId="37472"/>
    <cellStyle name="Comma [0] TBD-_FINAL Super Duty Diesel Summary 5" xfId="37473"/>
    <cellStyle name="Comma [0] TBD_FINAL Super Duty Diesel Summary 6" xfId="37474"/>
    <cellStyle name="Comma [0] TBD-_FINAL Super Duty Diesel Summary 6" xfId="37475"/>
    <cellStyle name="Comma [0] TBD_FINAL Super Duty Diesel Summary 7" xfId="37476"/>
    <cellStyle name="Comma [0] TBD-_FINAL Super Duty Diesel Summary 7" xfId="37477"/>
    <cellStyle name="Comma [0] TBD_FINAL Super Duty Diesel Summary 8" xfId="37478"/>
    <cellStyle name="Comma [0] TBD-_FINAL Super Duty Diesel Summary 8" xfId="37479"/>
    <cellStyle name="Comma [0] TBD_FINAL Super Duty Diesel Summary 9" xfId="37480"/>
    <cellStyle name="Comma [0] TBD-_FINAL Super Duty Diesel Summary 9" xfId="37481"/>
    <cellStyle name="Comma [0] TBD_Flash Report 012005" xfId="37482"/>
    <cellStyle name="Comma [0] TBD-_Flash Report 012005" xfId="37483"/>
    <cellStyle name="Comma [0] TBD_Flash Report 012005 2" xfId="37484"/>
    <cellStyle name="Comma [0] TBD-_Flash Report 012005 2" xfId="37485"/>
    <cellStyle name="Comma [0] TBD_Flash Report 012005 2 2" xfId="37486"/>
    <cellStyle name="Comma [0] TBD-_Flash Report 012005 2 2" xfId="37487"/>
    <cellStyle name="Comma [0] TBD_Flash Report 012005 3" xfId="37488"/>
    <cellStyle name="Comma [0] TBD-_Flash Report 012005 3" xfId="37489"/>
    <cellStyle name="Comma [0] TBD_Flash Report 012005 3 2" xfId="37490"/>
    <cellStyle name="Comma [0] TBD-_Flash Report 012005 3 2" xfId="37491"/>
    <cellStyle name="Comma [0] TBD_Flash Report 012005 4" xfId="37492"/>
    <cellStyle name="Comma [0] TBD-_Flash Report 012005 4" xfId="37493"/>
    <cellStyle name="Comma [0] TBD_Flash Report 012005 5" xfId="37494"/>
    <cellStyle name="Comma [0] TBD-_Flash Report 012005 5" xfId="37495"/>
    <cellStyle name="Comma [0] TBD_Flash Report 012005 6" xfId="37496"/>
    <cellStyle name="Comma [0] TBD-_Flash Report 012005 6" xfId="37497"/>
    <cellStyle name="Comma [0] TBD_Flash Report 012005 7" xfId="37498"/>
    <cellStyle name="Comma [0] TBD-_Flash Report 012005 7" xfId="37499"/>
    <cellStyle name="Comma [0] TBD_Flash Report 012005 8" xfId="37500"/>
    <cellStyle name="Comma [0] TBD-_Flash Report 012005 8" xfId="37501"/>
    <cellStyle name="Comma [0] TBD_Flash Report 012005 9" xfId="37502"/>
    <cellStyle name="Comma [0] TBD-_Flash Report 012005 9" xfId="37503"/>
    <cellStyle name="Comma [0] TBD_Global 8+4 YOYbprI-I" xfId="37504"/>
    <cellStyle name="Comma [0] TBD-_Global 8+4 YOYbprI-I" xfId="37505"/>
    <cellStyle name="Comma [0] TBD_Global 8+4 YOYbprI-I 2" xfId="37506"/>
    <cellStyle name="Comma [0] TBD-_Global 8+4 YOYbprI-I 2" xfId="37507"/>
    <cellStyle name="Comma [0] TBD_Global Steel and Raw Materials.2006.Sept OCCE" xfId="37508"/>
    <cellStyle name="Comma [0] TBD-_Global Steel and Raw Materials.2006.Sept OCCE" xfId="37509"/>
    <cellStyle name="Comma [0] TBD_Global Steel and Raw Materials.2006.Sept OCCE 2" xfId="37510"/>
    <cellStyle name="Comma [0] TBD-_Global Steel and Raw Materials.2006.Sept OCCE 2" xfId="37511"/>
    <cellStyle name="Comma [0] TBD_GM Pwr Pack Spiders -- John-Doug Backup V2 Incl. Proposal" xfId="37512"/>
    <cellStyle name="Comma [0] TBD-_GM Pwr Pack Spiders -- John-Doug Backup V2 Incl. Proposal" xfId="37513"/>
    <cellStyle name="Comma [0] TBD_GM Pwr Pack Spiders -- John-Doug Backup V2 Incl. Proposal 2" xfId="37514"/>
    <cellStyle name="Comma [0] TBD-_GM Pwr Pack Spiders -- John-Doug Backup V2 Incl. Proposal 2" xfId="37515"/>
    <cellStyle name="Comma [0] TBD_hurricane segtracks" xfId="37516"/>
    <cellStyle name="Comma [0] TBD-_hurricane segtracks" xfId="37517"/>
    <cellStyle name="Comma [0] TBD_hurricane segtracks 2" xfId="37518"/>
    <cellStyle name="Comma [0] TBD-_hurricane segtracks 2" xfId="37519"/>
    <cellStyle name="Comma [0] TBD_Inventory 1-pager" xfId="37520"/>
    <cellStyle name="Comma [0] TBD-_Inventory 1-pager" xfId="37521"/>
    <cellStyle name="Comma [0] TBD_Inventory 1-pager 2" xfId="37522"/>
    <cellStyle name="Comma [0] TBD-_Inventory 1-pager 2" xfId="37523"/>
    <cellStyle name="Comma [0] TBD_Inventory at 210" xfId="37524"/>
    <cellStyle name="Comma [0] TBD-_Inventory at 210" xfId="37525"/>
    <cellStyle name="Comma [0] TBD_Inventory at 210 2" xfId="37526"/>
    <cellStyle name="Comma [0] TBD-_Inventory at 210 2" xfId="37527"/>
    <cellStyle name="Comma [0] TBD_Inventory at 4+8" xfId="37528"/>
    <cellStyle name="Comma [0] TBD-_Inventory at 4+8" xfId="37529"/>
    <cellStyle name="Comma [0] TBD_Inventory at 4+8 2" xfId="37530"/>
    <cellStyle name="Comma [0] TBD-_Inventory at 4+8 2" xfId="37531"/>
    <cellStyle name="Comma [0] TBD_Issue to Issue PRD" xfId="37532"/>
    <cellStyle name="Comma [0] TBD-_Issue to Issue PRD" xfId="37533"/>
    <cellStyle name="Comma [0] TBD_Issue to Issue PRD 2" xfId="37534"/>
    <cellStyle name="Comma [0] TBD-_Issue to Issue PRD 2" xfId="37535"/>
    <cellStyle name="Comma [0] TBD_J&amp;LR 6+6 QoQ" xfId="37536"/>
    <cellStyle name="Comma [0] TBD-_J&amp;LR 6+6 QoQ" xfId="37537"/>
    <cellStyle name="Comma [0] TBD_J&amp;LR 6+6 QoQ 2" xfId="37538"/>
    <cellStyle name="Comma [0] TBD-_J&amp;LR 6+6 QoQ 2" xfId="37539"/>
    <cellStyle name="Comma [0] TBD_JDC Review 3-17-05" xfId="37540"/>
    <cellStyle name="Comma [0] TBD-_JDC Review 3-17-05" xfId="37541"/>
    <cellStyle name="Comma [0] TBD_JDC Review 3-17-05 2" xfId="37542"/>
    <cellStyle name="Comma [0] TBD-_JDC Review 3-17-05 2" xfId="37543"/>
    <cellStyle name="Comma [0] TBD_JDC Review 3-17-05 2 2" xfId="37544"/>
    <cellStyle name="Comma [0] TBD-_JDC Review 3-17-05 2 2" xfId="37545"/>
    <cellStyle name="Comma [0] TBD_JDC Review 3-17-05 3" xfId="37546"/>
    <cellStyle name="Comma [0] TBD-_JDC Review 3-17-05 3" xfId="37547"/>
    <cellStyle name="Comma [0] TBD_JDC Review 3-17-05 3 2" xfId="37548"/>
    <cellStyle name="Comma [0] TBD-_JDC Review 3-17-05 3 2" xfId="37549"/>
    <cellStyle name="Comma [0] TBD_JDC Review 3-17-05 4" xfId="37550"/>
    <cellStyle name="Comma [0] TBD-_JDC Review 3-17-05 4" xfId="37551"/>
    <cellStyle name="Comma [0] TBD_JDC Review 3-17-05 5" xfId="37552"/>
    <cellStyle name="Comma [0] TBD-_JDC Review 3-17-05 5" xfId="37553"/>
    <cellStyle name="Comma [0] TBD_JDC Review 3-17-05 6" xfId="37554"/>
    <cellStyle name="Comma [0] TBD-_JDC Review 3-17-05 6" xfId="37555"/>
    <cellStyle name="Comma [0] TBD_JDC Review 3-17-05 7" xfId="37556"/>
    <cellStyle name="Comma [0] TBD-_JDC Review 3-17-05 7" xfId="37557"/>
    <cellStyle name="Comma [0] TBD_JDC Review 3-17-05 8" xfId="37558"/>
    <cellStyle name="Comma [0] TBD-_JDC Review 3-17-05 8" xfId="37559"/>
    <cellStyle name="Comma [0] TBD_JDC Review 3-17-05 9" xfId="37560"/>
    <cellStyle name="Comma [0] TBD-_JDC Review 3-17-05 9" xfId="37561"/>
    <cellStyle name="Comma [0] TBD_JLR 0+12 Forecast v11c part2" xfId="37562"/>
    <cellStyle name="Comma [0] TBD-_JLR 0+12 Forecast v11c part2" xfId="37563"/>
    <cellStyle name="Comma [0] TBD_JLR 0+12 Forecast v11c part2 2" xfId="37564"/>
    <cellStyle name="Comma [0] TBD-_JLR 0+12 Forecast v11c part2 2" xfId="37565"/>
    <cellStyle name="Comma [0] TBD_JLR 0+12 Forecast v11c part2 2 2" xfId="37566"/>
    <cellStyle name="Comma [0] TBD-_JLR 0+12 Forecast v11c part2 2 2" xfId="37567"/>
    <cellStyle name="Comma [0] TBD_JLR 0+12 Forecast v11c part2 3" xfId="37568"/>
    <cellStyle name="Comma [0] TBD-_JLR 0+12 Forecast v11c part2 3" xfId="37569"/>
    <cellStyle name="Comma [0] TBD_JLR 0+12 Forecast v11c part2 3 2" xfId="37570"/>
    <cellStyle name="Comma [0] TBD-_JLR 0+12 Forecast v11c part2 3 2" xfId="37571"/>
    <cellStyle name="Comma [0] TBD_JLR 0+12 Forecast v11c part2 4" xfId="37572"/>
    <cellStyle name="Comma [0] TBD-_JLR 0+12 Forecast v11c part2 4" xfId="37573"/>
    <cellStyle name="Comma [0] TBD_JLR 0+12 Forecast v11c part2 5" xfId="37574"/>
    <cellStyle name="Comma [0] TBD-_JLR 0+12 Forecast v11c part2 5" xfId="37575"/>
    <cellStyle name="Comma [0] TBD_JLR 0+12 Forecast v11c part2 6" xfId="37576"/>
    <cellStyle name="Comma [0] TBD-_JLR 0+12 Forecast v11c part2 6" xfId="37577"/>
    <cellStyle name="Comma [0] TBD_JLR 0+12 Forecast v11c part2 7" xfId="37578"/>
    <cellStyle name="Comma [0] TBD-_JLR 0+12 Forecast v11c part2 7" xfId="37579"/>
    <cellStyle name="Comma [0] TBD_JLR 0+12 Forecast v11c part2 8" xfId="37580"/>
    <cellStyle name="Comma [0] TBD-_JLR 0+12 Forecast v11c part2 8" xfId="37581"/>
    <cellStyle name="Comma [0] TBD_JLR 0+12 Forecast v11c part2 9" xfId="37582"/>
    <cellStyle name="Comma [0] TBD-_JLR 0+12 Forecast v11c part2 9" xfId="37583"/>
    <cellStyle name="Comma [0] TBD_labor_status - v2" xfId="37584"/>
    <cellStyle name="Comma [0] TBD-_labor_status - v2" xfId="37585"/>
    <cellStyle name="Comma [0] TBD_Market Equation Reconciliation - 2005BP Status vs PA - Expedition Navigator - MC Review" xfId="37586"/>
    <cellStyle name="Comma [0] TBD-_Market Equation Reconciliation - 2005BP Status vs PA - Expedition Navigator - MC Review" xfId="37587"/>
    <cellStyle name="Comma [0] TBD_Market Equation Reconciliation - 2005BP Status vs PA - Expedition Navigator - MC Review 2" xfId="37588"/>
    <cellStyle name="Comma [0] TBD-_Market Equation Reconciliation - 2005BP Status vs PA - Expedition Navigator - MC Review 2" xfId="37589"/>
    <cellStyle name="Comma [0] TBD_Market Equation Reconciliation - 2005BP Status vs PA - Expedition Navigator - MC Review 2 2" xfId="37590"/>
    <cellStyle name="Comma [0] TBD-_Market Equation Reconciliation - 2005BP Status vs PA - Expedition Navigator - MC Review 2 2" xfId="37591"/>
    <cellStyle name="Comma [0] TBD_Market Equation Reconciliation - 2005BP Status vs PA - Expedition Navigator - MC Review 3" xfId="37592"/>
    <cellStyle name="Comma [0] TBD-_Market Equation Reconciliation - 2005BP Status vs PA - Expedition Navigator - MC Review 3" xfId="37593"/>
    <cellStyle name="Comma [0] TBD_Market Equation Reconciliation - 2005BP Status vs PA - Expedition Navigator - MC Review 3 2" xfId="37594"/>
    <cellStyle name="Comma [0] TBD-_Market Equation Reconciliation - 2005BP Status vs PA - Expedition Navigator - MC Review 3 2" xfId="37595"/>
    <cellStyle name="Comma [0] TBD_Market Equation Reconciliation - 2005BP Status vs PA - Expedition Navigator - MC Review 4" xfId="37596"/>
    <cellStyle name="Comma [0] TBD-_Market Equation Reconciliation - 2005BP Status vs PA - Expedition Navigator - MC Review 4" xfId="37597"/>
    <cellStyle name="Comma [0] TBD_Market Equation Reconciliation - 2005BP Status vs PA - Expedition Navigator - MC Review 5" xfId="37598"/>
    <cellStyle name="Comma [0] TBD-_Market Equation Reconciliation - 2005BP Status vs PA - Expedition Navigator - MC Review 5" xfId="37599"/>
    <cellStyle name="Comma [0] TBD_Market Equation Reconciliation - 2005BP Status vs PA - Expedition Navigator - MC Review 6" xfId="37600"/>
    <cellStyle name="Comma [0] TBD-_Market Equation Reconciliation - 2005BP Status vs PA - Expedition Navigator - MC Review 6" xfId="37601"/>
    <cellStyle name="Comma [0] TBD_Market Equation Reconciliation - 2005BP Status vs PA - Expedition Navigator - MC Review 7" xfId="37602"/>
    <cellStyle name="Comma [0] TBD-_Market Equation Reconciliation - 2005BP Status vs PA - Expedition Navigator - MC Review 7" xfId="37603"/>
    <cellStyle name="Comma [0] TBD_Market Equation Reconciliation - 2005BP Status vs PA - Expedition Navigator - MC Review 8" xfId="37604"/>
    <cellStyle name="Comma [0] TBD-_Market Equation Reconciliation - 2005BP Status vs PA - Expedition Navigator - MC Review 8" xfId="37605"/>
    <cellStyle name="Comma [0] TBD_Market Equation Reconciliation - 2005BP Status vs PA - Expedition Navigator - MC Review 9" xfId="37606"/>
    <cellStyle name="Comma [0] TBD-_Market Equation Reconciliation - 2005BP Status vs PA - Expedition Navigator - MC Review 9" xfId="37607"/>
    <cellStyle name="Comma [0] TBD_milspullahead-07" xfId="37608"/>
    <cellStyle name="Comma [0] TBD-_milspullahead-07" xfId="37609"/>
    <cellStyle name="Comma [0] TBD_milspullahead-07 2" xfId="37610"/>
    <cellStyle name="Comma [0] TBD-_milspullahead-07 2" xfId="37611"/>
    <cellStyle name="Comma [0] TBD_Mix Master File" xfId="37612"/>
    <cellStyle name="Comma [0] TBD-_Mix Master File" xfId="37613"/>
    <cellStyle name="Comma [0] TBD_Mix Master File 2" xfId="37614"/>
    <cellStyle name="Comma [0] TBD-_Mix Master File 2" xfId="37615"/>
    <cellStyle name="Comma [0] TBD_Mountaineer Trim Spider 10.27.04 REVISED 11.03.04 MTG W PG" xfId="37616"/>
    <cellStyle name="Comma [0] TBD-_Mountaineer Trim Spider 10.27.04 REVISED 11.03.04 MTG W PG" xfId="37617"/>
    <cellStyle name="Comma [0] TBD_Mountaineer Trim Spider 10.27.04 REVISED 11.03.04 MTG W PG 2" xfId="37618"/>
    <cellStyle name="Comma [0] TBD-_Mountaineer Trim Spider 10.27.04 REVISED 11.03.04 MTG W PG 2" xfId="37619"/>
    <cellStyle name="Comma [0] TBD_Mountaineer Trim Spider 10.27.04 REVISED 11.03.04 MTG W PG 2 2" xfId="37620"/>
    <cellStyle name="Comma [0] TBD-_Mountaineer Trim Spider 10.27.04 REVISED 11.03.04 MTG W PG 2 2" xfId="37621"/>
    <cellStyle name="Comma [0] TBD_Mountaineer Trim Spider 10.27.04 REVISED 11.03.04 MTG W PG 3" xfId="37622"/>
    <cellStyle name="Comma [0] TBD-_Mountaineer Trim Spider 10.27.04 REVISED 11.03.04 MTG W PG 3" xfId="37623"/>
    <cellStyle name="Comma [0] TBD_Mountaineer Trim Spider 10.27.04 REVISED 11.03.04 MTG W PG 3 2" xfId="37624"/>
    <cellStyle name="Comma [0] TBD-_Mountaineer Trim Spider 10.27.04 REVISED 11.03.04 MTG W PG 3 2" xfId="37625"/>
    <cellStyle name="Comma [0] TBD_Mountaineer Trim Spider 10.27.04 REVISED 11.03.04 MTG W PG 4" xfId="37626"/>
    <cellStyle name="Comma [0] TBD-_Mountaineer Trim Spider 10.27.04 REVISED 11.03.04 MTG W PG 4" xfId="37627"/>
    <cellStyle name="Comma [0] TBD_Mountaineer Trim Spider 10.27.04 REVISED 11.03.04 MTG W PG 5" xfId="37628"/>
    <cellStyle name="Comma [0] TBD-_Mountaineer Trim Spider 10.27.04 REVISED 11.03.04 MTG W PG 5" xfId="37629"/>
    <cellStyle name="Comma [0] TBD_Mountaineer Trim Spider 10.27.04 REVISED 11.03.04 MTG W PG 6" xfId="37630"/>
    <cellStyle name="Comma [0] TBD-_Mountaineer Trim Spider 10.27.04 REVISED 11.03.04 MTG W PG 6" xfId="37631"/>
    <cellStyle name="Comma [0] TBD_Mountaineer Trim Spider 10.27.04 REVISED 11.03.04 MTG W PG 7" xfId="37632"/>
    <cellStyle name="Comma [0] TBD-_Mountaineer Trim Spider 10.27.04 REVISED 11.03.04 MTG W PG 7" xfId="37633"/>
    <cellStyle name="Comma [0] TBD_Mountaineer Trim Spider 10.27.04 REVISED 11.03.04 MTG W PG 8" xfId="37634"/>
    <cellStyle name="Comma [0] TBD-_Mountaineer Trim Spider 10.27.04 REVISED 11.03.04 MTG W PG 8" xfId="37635"/>
    <cellStyle name="Comma [0] TBD_Mountaineer Trim Spider 10.27.04 REVISED 11.03.04 MTG W PG 9" xfId="37636"/>
    <cellStyle name="Comma [0] TBD-_Mountaineer Trim Spider 10.27.04 REVISED 11.03.04 MTG W PG 9" xfId="37637"/>
    <cellStyle name="Comma [0] TBD_MP Formats" xfId="37638"/>
    <cellStyle name="Comma [0] TBD-_MP Formats" xfId="37639"/>
    <cellStyle name="Comma [0] TBD_MP Formats 2" xfId="37640"/>
    <cellStyle name="Comma [0] TBD-_MP Formats 2" xfId="37641"/>
    <cellStyle name="Comma [0] TBD_MP Formats 2 2" xfId="37642"/>
    <cellStyle name="Comma [0] TBD-_MP Formats 2 2" xfId="37643"/>
    <cellStyle name="Comma [0] TBD_MP Formats 3" xfId="37644"/>
    <cellStyle name="Comma [0] TBD-_MP Formats 3" xfId="37645"/>
    <cellStyle name="Comma [0] TBD_MP Formats 3 2" xfId="37646"/>
    <cellStyle name="Comma [0] TBD-_MP Formats 3 2" xfId="37647"/>
    <cellStyle name="Comma [0] TBD_MP Formats 4" xfId="37648"/>
    <cellStyle name="Comma [0] TBD-_MP Formats 4" xfId="37649"/>
    <cellStyle name="Comma [0] TBD_MP Formats 5" xfId="37650"/>
    <cellStyle name="Comma [0] TBD-_MP Formats 5" xfId="37651"/>
    <cellStyle name="Comma [0] TBD_MP Formats 6" xfId="37652"/>
    <cellStyle name="Comma [0] TBD-_MP Formats 6" xfId="37653"/>
    <cellStyle name="Comma [0] TBD_MP Formats 7" xfId="37654"/>
    <cellStyle name="Comma [0] TBD-_MP Formats 7" xfId="37655"/>
    <cellStyle name="Comma [0] TBD_MP Formats 8" xfId="37656"/>
    <cellStyle name="Comma [0] TBD-_MP Formats 8" xfId="37657"/>
    <cellStyle name="Comma [0] TBD_MP Formats 9" xfId="37658"/>
    <cellStyle name="Comma [0] TBD-_MP Formats 9" xfId="37659"/>
    <cellStyle name="Comma [0] TBD_NA CBG Roadmaps 2006 (Sept SBG)_Task Update_v5" xfId="37660"/>
    <cellStyle name="Comma [0] TBD-_NA CBG Roadmaps 2006 (Sept SBG)_Task Update_v5" xfId="37661"/>
    <cellStyle name="Comma [0] TBD_NA CBG Roadmaps 2006 (Sept SBG)_Task Update_v5 2" xfId="37662"/>
    <cellStyle name="Comma [0] TBD-_NA CBG Roadmaps 2006 (Sept SBG)_Task Update_v5 2" xfId="37663"/>
    <cellStyle name="Comma [0] TBD_Navigator 2006MY Price Strategy_FINAL" xfId="37664"/>
    <cellStyle name="Comma [0] TBD-_Navigator 2006MY Price Strategy_FINAL" xfId="37665"/>
    <cellStyle name="Comma [0] TBD_Navigator 2006MY Price Strategy_FINAL 2" xfId="37666"/>
    <cellStyle name="Comma [0] TBD-_Navigator 2006MY Price Strategy_FINAL 2" xfId="37667"/>
    <cellStyle name="Comma [0] TBD_Nov 11 Deep Dive Workplan" xfId="37668"/>
    <cellStyle name="Comma [0] TBD-_Nov 11 Deep Dive Workplan" xfId="37669"/>
    <cellStyle name="Comma [0] TBD_Nov 11 Deep Dive Workplan 2" xfId="37670"/>
    <cellStyle name="Comma [0] TBD-_Nov 11 Deep Dive Workplan 2" xfId="37671"/>
    <cellStyle name="Comma [0] TBD_October 2005 PBR" xfId="37672"/>
    <cellStyle name="Comma [0] TBD-_October 2005 PBR" xfId="37673"/>
    <cellStyle name="Comma [0] TBD_October 2005 PBR 2" xfId="37674"/>
    <cellStyle name="Comma [0] TBD-_October 2005 PBR 2" xfId="37675"/>
    <cellStyle name="Comma [0] TBD_October 2005 PBR 2 2" xfId="37676"/>
    <cellStyle name="Comma [0] TBD-_October 2005 PBR 2 2" xfId="37677"/>
    <cellStyle name="Comma [0] TBD_October 2005 PBR 3" xfId="37678"/>
    <cellStyle name="Comma [0] TBD-_October 2005 PBR 3" xfId="37679"/>
    <cellStyle name="Comma [0] TBD_October 2005 PBR 3 2" xfId="37680"/>
    <cellStyle name="Comma [0] TBD-_October 2005 PBR 3 2" xfId="37681"/>
    <cellStyle name="Comma [0] TBD_October 2005 PBR 4" xfId="37682"/>
    <cellStyle name="Comma [0] TBD-_October 2005 PBR 4" xfId="37683"/>
    <cellStyle name="Comma [0] TBD_October 2005 PBR 5" xfId="37684"/>
    <cellStyle name="Comma [0] TBD-_October 2005 PBR 5" xfId="37685"/>
    <cellStyle name="Comma [0] TBD_October 2005 PBR 6" xfId="37686"/>
    <cellStyle name="Comma [0] TBD-_October 2005 PBR 6" xfId="37687"/>
    <cellStyle name="Comma [0] TBD_October 2005 PBR 7" xfId="37688"/>
    <cellStyle name="Comma [0] TBD-_October 2005 PBR 7" xfId="37689"/>
    <cellStyle name="Comma [0] TBD_October 2005 PBR 8" xfId="37690"/>
    <cellStyle name="Comma [0] TBD-_October 2005 PBR 8" xfId="37691"/>
    <cellStyle name="Comma [0] TBD_October 2005 PBR 9" xfId="37692"/>
    <cellStyle name="Comma [0] TBD-_October 2005 PBR 9" xfId="37693"/>
    <cellStyle name="Comma [0] TBD_PAG August 14 Status" xfId="37694"/>
    <cellStyle name="Comma [0] TBD-_PAG August 14 Status" xfId="37695"/>
    <cellStyle name="Comma [0] TBD_PAG August 14 Status 2" xfId="37696"/>
    <cellStyle name="Comma [0] TBD-_PAG August 14 Status 2" xfId="37697"/>
    <cellStyle name="Comma [0] TBD_PAG August 14 Status 2 2" xfId="37698"/>
    <cellStyle name="Comma [0] TBD-_PAG August 14 Status 2 2" xfId="37699"/>
    <cellStyle name="Comma [0] TBD_PAG August 14 Status 3" xfId="37700"/>
    <cellStyle name="Comma [0] TBD-_PAG August 14 Status 3" xfId="37701"/>
    <cellStyle name="Comma [0] TBD_PAG August 14 Status 3 2" xfId="37702"/>
    <cellStyle name="Comma [0] TBD-_PAG August 14 Status 3 2" xfId="37703"/>
    <cellStyle name="Comma [0] TBD_PAG August 14 Status 4" xfId="37704"/>
    <cellStyle name="Comma [0] TBD-_PAG August 14 Status 4" xfId="37705"/>
    <cellStyle name="Comma [0] TBD_PAG August 14 Status 5" xfId="37706"/>
    <cellStyle name="Comma [0] TBD-_PAG August 14 Status 5" xfId="37707"/>
    <cellStyle name="Comma [0] TBD_PAG August 14 Status 6" xfId="37708"/>
    <cellStyle name="Comma [0] TBD-_PAG August 14 Status 6" xfId="37709"/>
    <cellStyle name="Comma [0] TBD_PAG August 14 Status 7" xfId="37710"/>
    <cellStyle name="Comma [0] TBD-_PAG August 14 Status 7" xfId="37711"/>
    <cellStyle name="Comma [0] TBD_PAG August 14 Status 8" xfId="37712"/>
    <cellStyle name="Comma [0] TBD-_PAG August 14 Status 8" xfId="37713"/>
    <cellStyle name="Comma [0] TBD_PAG August 14 Status 9" xfId="37714"/>
    <cellStyle name="Comma [0] TBD-_PAG August 14 Status 9" xfId="37715"/>
    <cellStyle name="Comma [0] TBD_PAG Budget consol vs 10+2" xfId="37716"/>
    <cellStyle name="Comma [0] TBD-_PAG Budget consol vs 10+2" xfId="37717"/>
    <cellStyle name="Comma [0] TBD_PAG Budget consol vs 10+2 2" xfId="37718"/>
    <cellStyle name="Comma [0] TBD-_PAG Budget consol vs 10+2 2" xfId="37719"/>
    <cellStyle name="Comma [0] TBD_PAG Budget consol vs 10+2 2 2" xfId="37720"/>
    <cellStyle name="Comma [0] TBD-_PAG Budget consol vs 10+2 2 2" xfId="37721"/>
    <cellStyle name="Comma [0] TBD_PAG Budget consol vs 10+2 3" xfId="37722"/>
    <cellStyle name="Comma [0] TBD-_PAG Budget consol vs 10+2 3" xfId="37723"/>
    <cellStyle name="Comma [0] TBD_PAG Budget consol vs 10+2 3 2" xfId="37724"/>
    <cellStyle name="Comma [0] TBD-_PAG Budget consol vs 10+2 3 2" xfId="37725"/>
    <cellStyle name="Comma [0] TBD_PAG Budget consol vs 10+2 4" xfId="37726"/>
    <cellStyle name="Comma [0] TBD-_PAG Budget consol vs 10+2 4" xfId="37727"/>
    <cellStyle name="Comma [0] TBD_PAG Budget consol vs 10+2 5" xfId="37728"/>
    <cellStyle name="Comma [0] TBD-_PAG Budget consol vs 10+2 5" xfId="37729"/>
    <cellStyle name="Comma [0] TBD_PAG Budget consol vs 10+2 6" xfId="37730"/>
    <cellStyle name="Comma [0] TBD-_PAG Budget consol vs 10+2 6" xfId="37731"/>
    <cellStyle name="Comma [0] TBD_PAG Budget consol vs 10+2 7" xfId="37732"/>
    <cellStyle name="Comma [0] TBD-_PAG Budget consol vs 10+2 7" xfId="37733"/>
    <cellStyle name="Comma [0] TBD_PAG Budget consol vs 10+2 8" xfId="37734"/>
    <cellStyle name="Comma [0] TBD-_PAG Budget consol vs 10+2 8" xfId="37735"/>
    <cellStyle name="Comma [0] TBD_PAG Budget consol vs 10+2 9" xfId="37736"/>
    <cellStyle name="Comma [0] TBD-_PAG Budget consol vs 10+2 9" xfId="37737"/>
    <cellStyle name="Comma [0] TBD_PAG Budget consol vs 11+1" xfId="37738"/>
    <cellStyle name="Comma [0] TBD-_PAG Budget consol vs 11+1" xfId="37739"/>
    <cellStyle name="Comma [0] TBD_PAG Budget consol vs 11+1 2" xfId="37740"/>
    <cellStyle name="Comma [0] TBD-_PAG Budget consol vs 11+1 2" xfId="37741"/>
    <cellStyle name="Comma [0] TBD_PAG Budget consol vs 11+1 2 2" xfId="37742"/>
    <cellStyle name="Comma [0] TBD-_PAG Budget consol vs 11+1 2 2" xfId="37743"/>
    <cellStyle name="Comma [0] TBD_PAG Budget consol vs 11+1 3" xfId="37744"/>
    <cellStyle name="Comma [0] TBD-_PAG Budget consol vs 11+1 3" xfId="37745"/>
    <cellStyle name="Comma [0] TBD_PAG Budget consol vs 11+1 3 2" xfId="37746"/>
    <cellStyle name="Comma [0] TBD-_PAG Budget consol vs 11+1 3 2" xfId="37747"/>
    <cellStyle name="Comma [0] TBD_PAG Budget consol vs 11+1 4" xfId="37748"/>
    <cellStyle name="Comma [0] TBD-_PAG Budget consol vs 11+1 4" xfId="37749"/>
    <cellStyle name="Comma [0] TBD_PAG Budget consol vs 11+1 5" xfId="37750"/>
    <cellStyle name="Comma [0] TBD-_PAG Budget consol vs 11+1 5" xfId="37751"/>
    <cellStyle name="Comma [0] TBD_PAG Budget consol vs 11+1 6" xfId="37752"/>
    <cellStyle name="Comma [0] TBD-_PAG Budget consol vs 11+1 6" xfId="37753"/>
    <cellStyle name="Comma [0] TBD_PAG Budget consol vs 11+1 7" xfId="37754"/>
    <cellStyle name="Comma [0] TBD-_PAG Budget consol vs 11+1 7" xfId="37755"/>
    <cellStyle name="Comma [0] TBD_PAG Budget consol vs 11+1 8" xfId="37756"/>
    <cellStyle name="Comma [0] TBD-_PAG Budget consol vs 11+1 8" xfId="37757"/>
    <cellStyle name="Comma [0] TBD_PAG Budget consol vs 11+1 9" xfId="37758"/>
    <cellStyle name="Comma [0] TBD-_PAG Budget consol vs 11+1 9" xfId="37759"/>
    <cellStyle name="Comma [0] TBD_PAG Calendarised 2004 Budet - Derek backup" xfId="37760"/>
    <cellStyle name="Comma [0] TBD-_PAG Calendarised 2004 Budet - Derek backup" xfId="37761"/>
    <cellStyle name="Comma [0] TBD_PAG Calendarised 2004 Budet - Derek backup 2" xfId="37762"/>
    <cellStyle name="Comma [0] TBD-_PAG Calendarised 2004 Budet - Derek backup 2" xfId="37763"/>
    <cellStyle name="Comma [0] TBD_PAG Calendarised 2004 Budet - Derek backup 2 2" xfId="37764"/>
    <cellStyle name="Comma [0] TBD-_PAG Calendarised 2004 Budet - Derek backup 2 2" xfId="37765"/>
    <cellStyle name="Comma [0] TBD_PAG Calendarised 2004 Budet - Derek backup 3" xfId="37766"/>
    <cellStyle name="Comma [0] TBD-_PAG Calendarised 2004 Budet - Derek backup 3" xfId="37767"/>
    <cellStyle name="Comma [0] TBD_PAG Calendarised 2004 Budet - Derek backup 3 2" xfId="37768"/>
    <cellStyle name="Comma [0] TBD-_PAG Calendarised 2004 Budet - Derek backup 3 2" xfId="37769"/>
    <cellStyle name="Comma [0] TBD_PAG Calendarised 2004 Budet - Derek backup 4" xfId="37770"/>
    <cellStyle name="Comma [0] TBD-_PAG Calendarised 2004 Budet - Derek backup 4" xfId="37771"/>
    <cellStyle name="Comma [0] TBD_PAG Calendarised 2004 Budet - Derek backup 5" xfId="37772"/>
    <cellStyle name="Comma [0] TBD-_PAG Calendarised 2004 Budet - Derek backup 5" xfId="37773"/>
    <cellStyle name="Comma [0] TBD_PAG Calendarised 2004 Budet - Derek backup 6" xfId="37774"/>
    <cellStyle name="Comma [0] TBD-_PAG Calendarised 2004 Budet - Derek backup 6" xfId="37775"/>
    <cellStyle name="Comma [0] TBD_PAG Calendarised 2004 Budet - Derek backup 7" xfId="37776"/>
    <cellStyle name="Comma [0] TBD-_PAG Calendarised 2004 Budet - Derek backup 7" xfId="37777"/>
    <cellStyle name="Comma [0] TBD_PAG Calendarised 2004 Budet - Derek backup 8" xfId="37778"/>
    <cellStyle name="Comma [0] TBD-_PAG Calendarised 2004 Budet - Derek backup 8" xfId="37779"/>
    <cellStyle name="Comma [0] TBD_PAG Calendarised 2004 Budet - Derek backup 9" xfId="37780"/>
    <cellStyle name="Comma [0] TBD-_PAG Calendarised 2004 Budet - Derek backup 9" xfId="37781"/>
    <cellStyle name="Comma [0] TBD_PAG Calendarised 2004 Budet - Derek backupUpdateJan15 - new risksCostPerfUpdate" xfId="37782"/>
    <cellStyle name="Comma [0] TBD-_PAG Calendarised 2004 Budet - Derek backupUpdateJan15 - new risksCostPerfUpdate" xfId="37783"/>
    <cellStyle name="Comma [0] TBD_PAG Calendarised 2004 Budet - Derek backupUpdateJan15 - new risksCostPerfUpdate 2" xfId="37784"/>
    <cellStyle name="Comma [0] TBD-_PAG Calendarised 2004 Budet - Derek backupUpdateJan15 - new risksCostPerfUpdate 2" xfId="37785"/>
    <cellStyle name="Comma [0] TBD_PAG Calendarised 2004 Budet - Derek backupUpdateJan15 - new risksCostPerfUpdate 2 2" xfId="37786"/>
    <cellStyle name="Comma [0] TBD-_PAG Calendarised 2004 Budet - Derek backupUpdateJan15 - new risksCostPerfUpdate 2 2" xfId="37787"/>
    <cellStyle name="Comma [0] TBD_PAG Calendarised 2004 Budet - Derek backupUpdateJan15 - new risksCostPerfUpdate 3" xfId="37788"/>
    <cellStyle name="Comma [0] TBD-_PAG Calendarised 2004 Budet - Derek backupUpdateJan15 - new risksCostPerfUpdate 3" xfId="37789"/>
    <cellStyle name="Comma [0] TBD_PAG Calendarised 2004 Budet - Derek backupUpdateJan15 - new risksCostPerfUpdate 3 2" xfId="37790"/>
    <cellStyle name="Comma [0] TBD-_PAG Calendarised 2004 Budet - Derek backupUpdateJan15 - new risksCostPerfUpdate 3 2" xfId="37791"/>
    <cellStyle name="Comma [0] TBD_PAG Calendarised 2004 Budet - Derek backupUpdateJan15 - new risksCostPerfUpdate 4" xfId="37792"/>
    <cellStyle name="Comma [0] TBD-_PAG Calendarised 2004 Budet - Derek backupUpdateJan15 - new risksCostPerfUpdate 4" xfId="37793"/>
    <cellStyle name="Comma [0] TBD_PAG Calendarised 2004 Budet - Derek backupUpdateJan15 - new risksCostPerfUpdate 5" xfId="37794"/>
    <cellStyle name="Comma [0] TBD-_PAG Calendarised 2004 Budet - Derek backupUpdateJan15 - new risksCostPerfUpdate 5" xfId="37795"/>
    <cellStyle name="Comma [0] TBD_PAG Calendarised 2004 Budet - Derek backupUpdateJan15 - new risksCostPerfUpdate 6" xfId="37796"/>
    <cellStyle name="Comma [0] TBD-_PAG Calendarised 2004 Budet - Derek backupUpdateJan15 - new risksCostPerfUpdate 6" xfId="37797"/>
    <cellStyle name="Comma [0] TBD_PAG Calendarised 2004 Budet - Derek backupUpdateJan15 - new risksCostPerfUpdate 7" xfId="37798"/>
    <cellStyle name="Comma [0] TBD-_PAG Calendarised 2004 Budet - Derek backupUpdateJan15 - new risksCostPerfUpdate 7" xfId="37799"/>
    <cellStyle name="Comma [0] TBD_PAG Calendarised 2004 Budet - Derek backupUpdateJan15 - new risksCostPerfUpdate 8" xfId="37800"/>
    <cellStyle name="Comma [0] TBD-_PAG Calendarised 2004 Budet - Derek backupUpdateJan15 - new risksCostPerfUpdate 8" xfId="37801"/>
    <cellStyle name="Comma [0] TBD_PAG Calendarised 2004 Budet - Derek backupUpdateJan15 - new risksCostPerfUpdate 9" xfId="37802"/>
    <cellStyle name="Comma [0] TBD-_PAG Calendarised 2004 Budet - Derek backupUpdateJan15 - new risksCostPerfUpdate 9" xfId="37803"/>
    <cellStyle name="Comma [0] TBD_PAG consol 10+2 v3" xfId="37804"/>
    <cellStyle name="Comma [0] TBD-_PAG consol 10+2 v3" xfId="37805"/>
    <cellStyle name="Comma [0] TBD_PAG consol 10+2 v3 2" xfId="37806"/>
    <cellStyle name="Comma [0] TBD-_PAG consol 10+2 v3 2" xfId="37807"/>
    <cellStyle name="Comma [0] TBD_PAG consol 10+2 v3 2 2" xfId="37808"/>
    <cellStyle name="Comma [0] TBD-_PAG consol 10+2 v3 2 2" xfId="37809"/>
    <cellStyle name="Comma [0] TBD_PAG consol 10+2 v3 3" xfId="37810"/>
    <cellStyle name="Comma [0] TBD-_PAG consol 10+2 v3 3" xfId="37811"/>
    <cellStyle name="Comma [0] TBD_PAG consol 10+2 v3 3 2" xfId="37812"/>
    <cellStyle name="Comma [0] TBD-_PAG consol 10+2 v3 3 2" xfId="37813"/>
    <cellStyle name="Comma [0] TBD_PAG consol 10+2 v3 4" xfId="37814"/>
    <cellStyle name="Comma [0] TBD-_PAG consol 10+2 v3 4" xfId="37815"/>
    <cellStyle name="Comma [0] TBD_PAG consol 10+2 v3 5" xfId="37816"/>
    <cellStyle name="Comma [0] TBD-_PAG consol 10+2 v3 5" xfId="37817"/>
    <cellStyle name="Comma [0] TBD_PAG consol 10+2 v3 6" xfId="37818"/>
    <cellStyle name="Comma [0] TBD-_PAG consol 10+2 v3 6" xfId="37819"/>
    <cellStyle name="Comma [0] TBD_PAG consol 10+2 v3 7" xfId="37820"/>
    <cellStyle name="Comma [0] TBD-_PAG consol 10+2 v3 7" xfId="37821"/>
    <cellStyle name="Comma [0] TBD_PAG consol 10+2 v3 8" xfId="37822"/>
    <cellStyle name="Comma [0] TBD-_PAG consol 10+2 v3 8" xfId="37823"/>
    <cellStyle name="Comma [0] TBD_PAG consol 10+2 v3 9" xfId="37824"/>
    <cellStyle name="Comma [0] TBD-_PAG consol 10+2 v3 9" xfId="37825"/>
    <cellStyle name="Comma [0] TBD_PAG YoY Summary by Qtr &amp; Brand" xfId="37826"/>
    <cellStyle name="Comma [0] TBD-_PAG YoY Summary by Qtr &amp; Brand" xfId="37827"/>
    <cellStyle name="Comma [0] TBD_PAG YoY Summary by Qtr &amp; Brand 2" xfId="37828"/>
    <cellStyle name="Comma [0] TBD-_PAG YoY Summary by Qtr &amp; Brand 2" xfId="37829"/>
    <cellStyle name="Comma [0] TBD_Page 2f (2)" xfId="37830"/>
    <cellStyle name="Comma [0] TBD-_Page 2f (2)" xfId="37831"/>
    <cellStyle name="Comma [0] TBD_Page 2f (2) 2" xfId="37832"/>
    <cellStyle name="Comma [0] TBD-_Page 2f (2) 2" xfId="37833"/>
    <cellStyle name="Comma [0] TBD_Page 2f (2) 3" xfId="37834"/>
    <cellStyle name="Comma [0] TBD-_Page 2f (2) 3" xfId="37835"/>
    <cellStyle name="Comma [0] TBD_profit summary" xfId="37836"/>
    <cellStyle name="Comma [0] TBD-_profit summary" xfId="37837"/>
    <cellStyle name="Comma [0] TBD_profit summary 10" xfId="37838"/>
    <cellStyle name="Comma [0] TBD-_profit summary 10" xfId="37839"/>
    <cellStyle name="Comma [0] TBD_profit summary 10 10" xfId="37840"/>
    <cellStyle name="Comma [0] TBD-_profit summary 10 10" xfId="37841"/>
    <cellStyle name="Comma [0] TBD_profit summary 10 100" xfId="37842"/>
    <cellStyle name="Comma [0] TBD-_profit summary 10 100" xfId="37843"/>
    <cellStyle name="Comma [0] TBD_profit summary 10 101" xfId="37844"/>
    <cellStyle name="Comma [0] TBD-_profit summary 10 101" xfId="37845"/>
    <cellStyle name="Comma [0] TBD_profit summary 10 102" xfId="37846"/>
    <cellStyle name="Comma [0] TBD-_profit summary 10 102" xfId="37847"/>
    <cellStyle name="Comma [0] TBD_profit summary 10 103" xfId="37848"/>
    <cellStyle name="Comma [0] TBD-_profit summary 10 103" xfId="37849"/>
    <cellStyle name="Comma [0] TBD_profit summary 10 104" xfId="37850"/>
    <cellStyle name="Comma [0] TBD-_profit summary 10 104" xfId="37851"/>
    <cellStyle name="Comma [0] TBD_profit summary 10 105" xfId="37852"/>
    <cellStyle name="Comma [0] TBD-_profit summary 10 105" xfId="37853"/>
    <cellStyle name="Comma [0] TBD_profit summary 10 106" xfId="37854"/>
    <cellStyle name="Comma [0] TBD-_profit summary 10 106" xfId="37855"/>
    <cellStyle name="Comma [0] TBD_profit summary 10 107" xfId="37856"/>
    <cellStyle name="Comma [0] TBD-_profit summary 10 107" xfId="37857"/>
    <cellStyle name="Comma [0] TBD_profit summary 10 108" xfId="37858"/>
    <cellStyle name="Comma [0] TBD-_profit summary 10 108" xfId="37859"/>
    <cellStyle name="Comma [0] TBD_profit summary 10 109" xfId="37860"/>
    <cellStyle name="Comma [0] TBD-_profit summary 10 109" xfId="37861"/>
    <cellStyle name="Comma [0] TBD_profit summary 10 11" xfId="37862"/>
    <cellStyle name="Comma [0] TBD-_profit summary 10 11" xfId="37863"/>
    <cellStyle name="Comma [0] TBD_profit summary 10 110" xfId="37864"/>
    <cellStyle name="Comma [0] TBD-_profit summary 10 110" xfId="37865"/>
    <cellStyle name="Comma [0] TBD_profit summary 10 111" xfId="37866"/>
    <cellStyle name="Comma [0] TBD-_profit summary 10 111" xfId="37867"/>
    <cellStyle name="Comma [0] TBD_profit summary 10 112" xfId="37868"/>
    <cellStyle name="Comma [0] TBD-_profit summary 10 112" xfId="37869"/>
    <cellStyle name="Comma [0] TBD_profit summary 10 113" xfId="37870"/>
    <cellStyle name="Comma [0] TBD-_profit summary 10 113" xfId="37871"/>
    <cellStyle name="Comma [0] TBD_profit summary 10 114" xfId="37872"/>
    <cellStyle name="Comma [0] TBD-_profit summary 10 114" xfId="37873"/>
    <cellStyle name="Comma [0] TBD_profit summary 10 115" xfId="37874"/>
    <cellStyle name="Comma [0] TBD-_profit summary 10 115" xfId="37875"/>
    <cellStyle name="Comma [0] TBD_profit summary 10 116" xfId="37876"/>
    <cellStyle name="Comma [0] TBD-_profit summary 10 116" xfId="37877"/>
    <cellStyle name="Comma [0] TBD_profit summary 10 117" xfId="37878"/>
    <cellStyle name="Comma [0] TBD-_profit summary 10 117" xfId="37879"/>
    <cellStyle name="Comma [0] TBD_profit summary 10 118" xfId="37880"/>
    <cellStyle name="Comma [0] TBD-_profit summary 10 118" xfId="37881"/>
    <cellStyle name="Comma [0] TBD_profit summary 10 119" xfId="37882"/>
    <cellStyle name="Comma [0] TBD-_profit summary 10 119" xfId="37883"/>
    <cellStyle name="Comma [0] TBD_profit summary 10 12" xfId="37884"/>
    <cellStyle name="Comma [0] TBD-_profit summary 10 12" xfId="37885"/>
    <cellStyle name="Comma [0] TBD_profit summary 10 120" xfId="37886"/>
    <cellStyle name="Comma [0] TBD-_profit summary 10 120" xfId="37887"/>
    <cellStyle name="Comma [0] TBD_profit summary 10 121" xfId="37888"/>
    <cellStyle name="Comma [0] TBD-_profit summary 10 121" xfId="37889"/>
    <cellStyle name="Comma [0] TBD_profit summary 10 122" xfId="37890"/>
    <cellStyle name="Comma [0] TBD-_profit summary 10 122" xfId="37891"/>
    <cellStyle name="Comma [0] TBD_profit summary 10 123" xfId="37892"/>
    <cellStyle name="Comma [0] TBD-_profit summary 10 123" xfId="37893"/>
    <cellStyle name="Comma [0] TBD_profit summary 10 124" xfId="37894"/>
    <cellStyle name="Comma [0] TBD-_profit summary 10 124" xfId="37895"/>
    <cellStyle name="Comma [0] TBD_profit summary 10 125" xfId="37896"/>
    <cellStyle name="Comma [0] TBD-_profit summary 10 125" xfId="37897"/>
    <cellStyle name="Comma [0] TBD_profit summary 10 126" xfId="37898"/>
    <cellStyle name="Comma [0] TBD-_profit summary 10 126" xfId="37899"/>
    <cellStyle name="Comma [0] TBD_profit summary 10 127" xfId="37900"/>
    <cellStyle name="Comma [0] TBD-_profit summary 10 127" xfId="37901"/>
    <cellStyle name="Comma [0] TBD_profit summary 10 128" xfId="37902"/>
    <cellStyle name="Comma [0] TBD-_profit summary 10 128" xfId="37903"/>
    <cellStyle name="Comma [0] TBD_profit summary 10 129" xfId="37904"/>
    <cellStyle name="Comma [0] TBD-_profit summary 10 129" xfId="37905"/>
    <cellStyle name="Comma [0] TBD_profit summary 10 13" xfId="37906"/>
    <cellStyle name="Comma [0] TBD-_profit summary 10 13" xfId="37907"/>
    <cellStyle name="Comma [0] TBD_profit summary 10 130" xfId="37908"/>
    <cellStyle name="Comma [0] TBD-_profit summary 10 130" xfId="37909"/>
    <cellStyle name="Comma [0] TBD_profit summary 10 131" xfId="37910"/>
    <cellStyle name="Comma [0] TBD-_profit summary 10 131" xfId="37911"/>
    <cellStyle name="Comma [0] TBD_profit summary 10 132" xfId="37912"/>
    <cellStyle name="Comma [0] TBD-_profit summary 10 132" xfId="37913"/>
    <cellStyle name="Comma [0] TBD_profit summary 10 133" xfId="37914"/>
    <cellStyle name="Comma [0] TBD-_profit summary 10 133" xfId="37915"/>
    <cellStyle name="Comma [0] TBD_profit summary 10 134" xfId="37916"/>
    <cellStyle name="Comma [0] TBD-_profit summary 10 134" xfId="37917"/>
    <cellStyle name="Comma [0] TBD_profit summary 10 135" xfId="37918"/>
    <cellStyle name="Comma [0] TBD-_profit summary 10 135" xfId="37919"/>
    <cellStyle name="Comma [0] TBD_profit summary 10 136" xfId="37920"/>
    <cellStyle name="Comma [0] TBD-_profit summary 10 136" xfId="37921"/>
    <cellStyle name="Comma [0] TBD_profit summary 10 137" xfId="37922"/>
    <cellStyle name="Comma [0] TBD-_profit summary 10 137" xfId="37923"/>
    <cellStyle name="Comma [0] TBD_profit summary 10 138" xfId="37924"/>
    <cellStyle name="Comma [0] TBD-_profit summary 10 138" xfId="37925"/>
    <cellStyle name="Comma [0] TBD_profit summary 10 139" xfId="37926"/>
    <cellStyle name="Comma [0] TBD-_profit summary 10 139" xfId="37927"/>
    <cellStyle name="Comma [0] TBD_profit summary 10 14" xfId="37928"/>
    <cellStyle name="Comma [0] TBD-_profit summary 10 14" xfId="37929"/>
    <cellStyle name="Comma [0] TBD_profit summary 10 140" xfId="37930"/>
    <cellStyle name="Comma [0] TBD-_profit summary 10 140" xfId="37931"/>
    <cellStyle name="Comma [0] TBD_profit summary 10 141" xfId="37932"/>
    <cellStyle name="Comma [0] TBD-_profit summary 10 141" xfId="37933"/>
    <cellStyle name="Comma [0] TBD_profit summary 10 142" xfId="37934"/>
    <cellStyle name="Comma [0] TBD-_profit summary 10 142" xfId="37935"/>
    <cellStyle name="Comma [0] TBD_profit summary 10 143" xfId="37936"/>
    <cellStyle name="Comma [0] TBD-_profit summary 10 143" xfId="37937"/>
    <cellStyle name="Comma [0] TBD_profit summary 10 144" xfId="37938"/>
    <cellStyle name="Comma [0] TBD-_profit summary 10 144" xfId="37939"/>
    <cellStyle name="Comma [0] TBD_profit summary 10 145" xfId="37940"/>
    <cellStyle name="Comma [0] TBD-_profit summary 10 145" xfId="37941"/>
    <cellStyle name="Comma [0] TBD_profit summary 10 146" xfId="37942"/>
    <cellStyle name="Comma [0] TBD-_profit summary 10 146" xfId="37943"/>
    <cellStyle name="Comma [0] TBD_profit summary 10 147" xfId="37944"/>
    <cellStyle name="Comma [0] TBD-_profit summary 10 147" xfId="37945"/>
    <cellStyle name="Comma [0] TBD_profit summary 10 148" xfId="37946"/>
    <cellStyle name="Comma [0] TBD-_profit summary 10 148" xfId="37947"/>
    <cellStyle name="Comma [0] TBD_profit summary 10 149" xfId="37948"/>
    <cellStyle name="Comma [0] TBD-_profit summary 10 149" xfId="37949"/>
    <cellStyle name="Comma [0] TBD_profit summary 10 15" xfId="37950"/>
    <cellStyle name="Comma [0] TBD-_profit summary 10 15" xfId="37951"/>
    <cellStyle name="Comma [0] TBD_profit summary 10 150" xfId="37952"/>
    <cellStyle name="Comma [0] TBD-_profit summary 10 150" xfId="37953"/>
    <cellStyle name="Comma [0] TBD_profit summary 10 151" xfId="37954"/>
    <cellStyle name="Comma [0] TBD-_profit summary 10 151" xfId="37955"/>
    <cellStyle name="Comma [0] TBD_profit summary 10 152" xfId="37956"/>
    <cellStyle name="Comma [0] TBD-_profit summary 10 152" xfId="37957"/>
    <cellStyle name="Comma [0] TBD_profit summary 10 153" xfId="37958"/>
    <cellStyle name="Comma [0] TBD-_profit summary 10 153" xfId="37959"/>
    <cellStyle name="Comma [0] TBD_profit summary 10 16" xfId="37960"/>
    <cellStyle name="Comma [0] TBD-_profit summary 10 16" xfId="37961"/>
    <cellStyle name="Comma [0] TBD_profit summary 10 17" xfId="37962"/>
    <cellStyle name="Comma [0] TBD-_profit summary 10 17" xfId="37963"/>
    <cellStyle name="Comma [0] TBD_profit summary 10 18" xfId="37964"/>
    <cellStyle name="Comma [0] TBD-_profit summary 10 18" xfId="37965"/>
    <cellStyle name="Comma [0] TBD_profit summary 10 19" xfId="37966"/>
    <cellStyle name="Comma [0] TBD-_profit summary 10 19" xfId="37967"/>
    <cellStyle name="Comma [0] TBD_profit summary 10 2" xfId="37968"/>
    <cellStyle name="Comma [0] TBD-_profit summary 10 2" xfId="37969"/>
    <cellStyle name="Comma [0] TBD_profit summary 10 20" xfId="37970"/>
    <cellStyle name="Comma [0] TBD-_profit summary 10 20" xfId="37971"/>
    <cellStyle name="Comma [0] TBD_profit summary 10 21" xfId="37972"/>
    <cellStyle name="Comma [0] TBD-_profit summary 10 21" xfId="37973"/>
    <cellStyle name="Comma [0] TBD_profit summary 10 22" xfId="37974"/>
    <cellStyle name="Comma [0] TBD-_profit summary 10 22" xfId="37975"/>
    <cellStyle name="Comma [0] TBD_profit summary 10 23" xfId="37976"/>
    <cellStyle name="Comma [0] TBD-_profit summary 10 23" xfId="37977"/>
    <cellStyle name="Comma [0] TBD_profit summary 10 24" xfId="37978"/>
    <cellStyle name="Comma [0] TBD-_profit summary 10 24" xfId="37979"/>
    <cellStyle name="Comma [0] TBD_profit summary 10 25" xfId="37980"/>
    <cellStyle name="Comma [0] TBD-_profit summary 10 25" xfId="37981"/>
    <cellStyle name="Comma [0] TBD_profit summary 10 26" xfId="37982"/>
    <cellStyle name="Comma [0] TBD-_profit summary 10 26" xfId="37983"/>
    <cellStyle name="Comma [0] TBD_profit summary 10 27" xfId="37984"/>
    <cellStyle name="Comma [0] TBD-_profit summary 10 27" xfId="37985"/>
    <cellStyle name="Comma [0] TBD_profit summary 10 28" xfId="37986"/>
    <cellStyle name="Comma [0] TBD-_profit summary 10 28" xfId="37987"/>
    <cellStyle name="Comma [0] TBD_profit summary 10 29" xfId="37988"/>
    <cellStyle name="Comma [0] TBD-_profit summary 10 29" xfId="37989"/>
    <cellStyle name="Comma [0] TBD_profit summary 10 3" xfId="37990"/>
    <cellStyle name="Comma [0] TBD-_profit summary 10 3" xfId="37991"/>
    <cellStyle name="Comma [0] TBD_profit summary 10 30" xfId="37992"/>
    <cellStyle name="Comma [0] TBD-_profit summary 10 30" xfId="37993"/>
    <cellStyle name="Comma [0] TBD_profit summary 10 31" xfId="37994"/>
    <cellStyle name="Comma [0] TBD-_profit summary 10 31" xfId="37995"/>
    <cellStyle name="Comma [0] TBD_profit summary 10 32" xfId="37996"/>
    <cellStyle name="Comma [0] TBD-_profit summary 10 32" xfId="37997"/>
    <cellStyle name="Comma [0] TBD_profit summary 10 33" xfId="37998"/>
    <cellStyle name="Comma [0] TBD-_profit summary 10 33" xfId="37999"/>
    <cellStyle name="Comma [0] TBD_profit summary 10 34" xfId="38000"/>
    <cellStyle name="Comma [0] TBD-_profit summary 10 34" xfId="38001"/>
    <cellStyle name="Comma [0] TBD_profit summary 10 35" xfId="38002"/>
    <cellStyle name="Comma [0] TBD-_profit summary 10 35" xfId="38003"/>
    <cellStyle name="Comma [0] TBD_profit summary 10 36" xfId="38004"/>
    <cellStyle name="Comma [0] TBD-_profit summary 10 36" xfId="38005"/>
    <cellStyle name="Comma [0] TBD_profit summary 10 37" xfId="38006"/>
    <cellStyle name="Comma [0] TBD-_profit summary 10 37" xfId="38007"/>
    <cellStyle name="Comma [0] TBD_profit summary 10 38" xfId="38008"/>
    <cellStyle name="Comma [0] TBD-_profit summary 10 38" xfId="38009"/>
    <cellStyle name="Comma [0] TBD_profit summary 10 39" xfId="38010"/>
    <cellStyle name="Comma [0] TBD-_profit summary 10 39" xfId="38011"/>
    <cellStyle name="Comma [0] TBD_profit summary 10 4" xfId="38012"/>
    <cellStyle name="Comma [0] TBD-_profit summary 10 4" xfId="38013"/>
    <cellStyle name="Comma [0] TBD_profit summary 10 40" xfId="38014"/>
    <cellStyle name="Comma [0] TBD-_profit summary 10 40" xfId="38015"/>
    <cellStyle name="Comma [0] TBD_profit summary 10 41" xfId="38016"/>
    <cellStyle name="Comma [0] TBD-_profit summary 10 41" xfId="38017"/>
    <cellStyle name="Comma [0] TBD_profit summary 10 42" xfId="38018"/>
    <cellStyle name="Comma [0] TBD-_profit summary 10 42" xfId="38019"/>
    <cellStyle name="Comma [0] TBD_profit summary 10 43" xfId="38020"/>
    <cellStyle name="Comma [0] TBD-_profit summary 10 43" xfId="38021"/>
    <cellStyle name="Comma [0] TBD_profit summary 10 44" xfId="38022"/>
    <cellStyle name="Comma [0] TBD-_profit summary 10 44" xfId="38023"/>
    <cellStyle name="Comma [0] TBD_profit summary 10 45" xfId="38024"/>
    <cellStyle name="Comma [0] TBD-_profit summary 10 45" xfId="38025"/>
    <cellStyle name="Comma [0] TBD_profit summary 10 46" xfId="38026"/>
    <cellStyle name="Comma [0] TBD-_profit summary 10 46" xfId="38027"/>
    <cellStyle name="Comma [0] TBD_profit summary 10 47" xfId="38028"/>
    <cellStyle name="Comma [0] TBD-_profit summary 10 47" xfId="38029"/>
    <cellStyle name="Comma [0] TBD_profit summary 10 48" xfId="38030"/>
    <cellStyle name="Comma [0] TBD-_profit summary 10 48" xfId="38031"/>
    <cellStyle name="Comma [0] TBD_profit summary 10 49" xfId="38032"/>
    <cellStyle name="Comma [0] TBD-_profit summary 10 49" xfId="38033"/>
    <cellStyle name="Comma [0] TBD_profit summary 10 5" xfId="38034"/>
    <cellStyle name="Comma [0] TBD-_profit summary 10 5" xfId="38035"/>
    <cellStyle name="Comma [0] TBD_profit summary 10 50" xfId="38036"/>
    <cellStyle name="Comma [0] TBD-_profit summary 10 50" xfId="38037"/>
    <cellStyle name="Comma [0] TBD_profit summary 10 51" xfId="38038"/>
    <cellStyle name="Comma [0] TBD-_profit summary 10 51" xfId="38039"/>
    <cellStyle name="Comma [0] TBD_profit summary 10 52" xfId="38040"/>
    <cellStyle name="Comma [0] TBD-_profit summary 10 52" xfId="38041"/>
    <cellStyle name="Comma [0] TBD_profit summary 10 53" xfId="38042"/>
    <cellStyle name="Comma [0] TBD-_profit summary 10 53" xfId="38043"/>
    <cellStyle name="Comma [0] TBD_profit summary 10 54" xfId="38044"/>
    <cellStyle name="Comma [0] TBD-_profit summary 10 54" xfId="38045"/>
    <cellStyle name="Comma [0] TBD_profit summary 10 55" xfId="38046"/>
    <cellStyle name="Comma [0] TBD-_profit summary 10 55" xfId="38047"/>
    <cellStyle name="Comma [0] TBD_profit summary 10 56" xfId="38048"/>
    <cellStyle name="Comma [0] TBD-_profit summary 10 56" xfId="38049"/>
    <cellStyle name="Comma [0] TBD_profit summary 10 57" xfId="38050"/>
    <cellStyle name="Comma [0] TBD-_profit summary 10 57" xfId="38051"/>
    <cellStyle name="Comma [0] TBD_profit summary 10 58" xfId="38052"/>
    <cellStyle name="Comma [0] TBD-_profit summary 10 58" xfId="38053"/>
    <cellStyle name="Comma [0] TBD_profit summary 10 59" xfId="38054"/>
    <cellStyle name="Comma [0] TBD-_profit summary 10 59" xfId="38055"/>
    <cellStyle name="Comma [0] TBD_profit summary 10 6" xfId="38056"/>
    <cellStyle name="Comma [0] TBD-_profit summary 10 6" xfId="38057"/>
    <cellStyle name="Comma [0] TBD_profit summary 10 60" xfId="38058"/>
    <cellStyle name="Comma [0] TBD-_profit summary 10 60" xfId="38059"/>
    <cellStyle name="Comma [0] TBD_profit summary 10 61" xfId="38060"/>
    <cellStyle name="Comma [0] TBD-_profit summary 10 61" xfId="38061"/>
    <cellStyle name="Comma [0] TBD_profit summary 10 62" xfId="38062"/>
    <cellStyle name="Comma [0] TBD-_profit summary 10 62" xfId="38063"/>
    <cellStyle name="Comma [0] TBD_profit summary 10 63" xfId="38064"/>
    <cellStyle name="Comma [0] TBD-_profit summary 10 63" xfId="38065"/>
    <cellStyle name="Comma [0] TBD_profit summary 10 64" xfId="38066"/>
    <cellStyle name="Comma [0] TBD-_profit summary 10 64" xfId="38067"/>
    <cellStyle name="Comma [0] TBD_profit summary 10 65" xfId="38068"/>
    <cellStyle name="Comma [0] TBD-_profit summary 10 65" xfId="38069"/>
    <cellStyle name="Comma [0] TBD_profit summary 10 66" xfId="38070"/>
    <cellStyle name="Comma [0] TBD-_profit summary 10 66" xfId="38071"/>
    <cellStyle name="Comma [0] TBD_profit summary 10 67" xfId="38072"/>
    <cellStyle name="Comma [0] TBD-_profit summary 10 67" xfId="38073"/>
    <cellStyle name="Comma [0] TBD_profit summary 10 68" xfId="38074"/>
    <cellStyle name="Comma [0] TBD-_profit summary 10 68" xfId="38075"/>
    <cellStyle name="Comma [0] TBD_profit summary 10 69" xfId="38076"/>
    <cellStyle name="Comma [0] TBD-_profit summary 10 69" xfId="38077"/>
    <cellStyle name="Comma [0] TBD_profit summary 10 7" xfId="38078"/>
    <cellStyle name="Comma [0] TBD-_profit summary 10 7" xfId="38079"/>
    <cellStyle name="Comma [0] TBD_profit summary 10 70" xfId="38080"/>
    <cellStyle name="Comma [0] TBD-_profit summary 10 70" xfId="38081"/>
    <cellStyle name="Comma [0] TBD_profit summary 10 71" xfId="38082"/>
    <cellStyle name="Comma [0] TBD-_profit summary 10 71" xfId="38083"/>
    <cellStyle name="Comma [0] TBD_profit summary 10 72" xfId="38084"/>
    <cellStyle name="Comma [0] TBD-_profit summary 10 72" xfId="38085"/>
    <cellStyle name="Comma [0] TBD_profit summary 10 73" xfId="38086"/>
    <cellStyle name="Comma [0] TBD-_profit summary 10 73" xfId="38087"/>
    <cellStyle name="Comma [0] TBD_profit summary 10 74" xfId="38088"/>
    <cellStyle name="Comma [0] TBD-_profit summary 10 74" xfId="38089"/>
    <cellStyle name="Comma [0] TBD_profit summary 10 75" xfId="38090"/>
    <cellStyle name="Comma [0] TBD-_profit summary 10 75" xfId="38091"/>
    <cellStyle name="Comma [0] TBD_profit summary 10 76" xfId="38092"/>
    <cellStyle name="Comma [0] TBD-_profit summary 10 76" xfId="38093"/>
    <cellStyle name="Comma [0] TBD_profit summary 10 77" xfId="38094"/>
    <cellStyle name="Comma [0] TBD-_profit summary 10 77" xfId="38095"/>
    <cellStyle name="Comma [0] TBD_profit summary 10 78" xfId="38096"/>
    <cellStyle name="Comma [0] TBD-_profit summary 10 78" xfId="38097"/>
    <cellStyle name="Comma [0] TBD_profit summary 10 79" xfId="38098"/>
    <cellStyle name="Comma [0] TBD-_profit summary 10 79" xfId="38099"/>
    <cellStyle name="Comma [0] TBD_profit summary 10 8" xfId="38100"/>
    <cellStyle name="Comma [0] TBD-_profit summary 10 8" xfId="38101"/>
    <cellStyle name="Comma [0] TBD_profit summary 10 80" xfId="38102"/>
    <cellStyle name="Comma [0] TBD-_profit summary 10 80" xfId="38103"/>
    <cellStyle name="Comma [0] TBD_profit summary 10 81" xfId="38104"/>
    <cellStyle name="Comma [0] TBD-_profit summary 10 81" xfId="38105"/>
    <cellStyle name="Comma [0] TBD_profit summary 10 82" xfId="38106"/>
    <cellStyle name="Comma [0] TBD-_profit summary 10 82" xfId="38107"/>
    <cellStyle name="Comma [0] TBD_profit summary 10 83" xfId="38108"/>
    <cellStyle name="Comma [0] TBD-_profit summary 10 83" xfId="38109"/>
    <cellStyle name="Comma [0] TBD_profit summary 10 84" xfId="38110"/>
    <cellStyle name="Comma [0] TBD-_profit summary 10 84" xfId="38111"/>
    <cellStyle name="Comma [0] TBD_profit summary 10 85" xfId="38112"/>
    <cellStyle name="Comma [0] TBD-_profit summary 10 85" xfId="38113"/>
    <cellStyle name="Comma [0] TBD_profit summary 10 86" xfId="38114"/>
    <cellStyle name="Comma [0] TBD-_profit summary 10 86" xfId="38115"/>
    <cellStyle name="Comma [0] TBD_profit summary 10 87" xfId="38116"/>
    <cellStyle name="Comma [0] TBD-_profit summary 10 87" xfId="38117"/>
    <cellStyle name="Comma [0] TBD_profit summary 10 88" xfId="38118"/>
    <cellStyle name="Comma [0] TBD-_profit summary 10 88" xfId="38119"/>
    <cellStyle name="Comma [0] TBD_profit summary 10 89" xfId="38120"/>
    <cellStyle name="Comma [0] TBD-_profit summary 10 89" xfId="38121"/>
    <cellStyle name="Comma [0] TBD_profit summary 10 9" xfId="38122"/>
    <cellStyle name="Comma [0] TBD-_profit summary 10 9" xfId="38123"/>
    <cellStyle name="Comma [0] TBD_profit summary 10 90" xfId="38124"/>
    <cellStyle name="Comma [0] TBD-_profit summary 10 90" xfId="38125"/>
    <cellStyle name="Comma [0] TBD_profit summary 10 91" xfId="38126"/>
    <cellStyle name="Comma [0] TBD-_profit summary 10 91" xfId="38127"/>
    <cellStyle name="Comma [0] TBD_profit summary 10 92" xfId="38128"/>
    <cellStyle name="Comma [0] TBD-_profit summary 10 92" xfId="38129"/>
    <cellStyle name="Comma [0] TBD_profit summary 10 93" xfId="38130"/>
    <cellStyle name="Comma [0] TBD-_profit summary 10 93" xfId="38131"/>
    <cellStyle name="Comma [0] TBD_profit summary 10 94" xfId="38132"/>
    <cellStyle name="Comma [0] TBD-_profit summary 10 94" xfId="38133"/>
    <cellStyle name="Comma [0] TBD_profit summary 10 95" xfId="38134"/>
    <cellStyle name="Comma [0] TBD-_profit summary 10 95" xfId="38135"/>
    <cellStyle name="Comma [0] TBD_profit summary 10 96" xfId="38136"/>
    <cellStyle name="Comma [0] TBD-_profit summary 10 96" xfId="38137"/>
    <cellStyle name="Comma [0] TBD_profit summary 10 97" xfId="38138"/>
    <cellStyle name="Comma [0] TBD-_profit summary 10 97" xfId="38139"/>
    <cellStyle name="Comma [0] TBD_profit summary 10 98" xfId="38140"/>
    <cellStyle name="Comma [0] TBD-_profit summary 10 98" xfId="38141"/>
    <cellStyle name="Comma [0] TBD_profit summary 10 99" xfId="38142"/>
    <cellStyle name="Comma [0] TBD-_profit summary 10 99" xfId="38143"/>
    <cellStyle name="Comma [0] TBD_profit summary 11" xfId="38144"/>
    <cellStyle name="Comma [0] TBD-_profit summary 11" xfId="38145"/>
    <cellStyle name="Comma [0] TBD_profit summary 11 10" xfId="38146"/>
    <cellStyle name="Comma [0] TBD-_profit summary 11 10" xfId="38147"/>
    <cellStyle name="Comma [0] TBD_profit summary 11 100" xfId="38148"/>
    <cellStyle name="Comma [0] TBD-_profit summary 11 100" xfId="38149"/>
    <cellStyle name="Comma [0] TBD_profit summary 11 101" xfId="38150"/>
    <cellStyle name="Comma [0] TBD-_profit summary 11 101" xfId="38151"/>
    <cellStyle name="Comma [0] TBD_profit summary 11 102" xfId="38152"/>
    <cellStyle name="Comma [0] TBD-_profit summary 11 102" xfId="38153"/>
    <cellStyle name="Comma [0] TBD_profit summary 11 103" xfId="38154"/>
    <cellStyle name="Comma [0] TBD-_profit summary 11 103" xfId="38155"/>
    <cellStyle name="Comma [0] TBD_profit summary 11 104" xfId="38156"/>
    <cellStyle name="Comma [0] TBD-_profit summary 11 104" xfId="38157"/>
    <cellStyle name="Comma [0] TBD_profit summary 11 105" xfId="38158"/>
    <cellStyle name="Comma [0] TBD-_profit summary 11 105" xfId="38159"/>
    <cellStyle name="Comma [0] TBD_profit summary 11 106" xfId="38160"/>
    <cellStyle name="Comma [0] TBD-_profit summary 11 106" xfId="38161"/>
    <cellStyle name="Comma [0] TBD_profit summary 11 107" xfId="38162"/>
    <cellStyle name="Comma [0] TBD-_profit summary 11 107" xfId="38163"/>
    <cellStyle name="Comma [0] TBD_profit summary 11 108" xfId="38164"/>
    <cellStyle name="Comma [0] TBD-_profit summary 11 108" xfId="38165"/>
    <cellStyle name="Comma [0] TBD_profit summary 11 109" xfId="38166"/>
    <cellStyle name="Comma [0] TBD-_profit summary 11 109" xfId="38167"/>
    <cellStyle name="Comma [0] TBD_profit summary 11 11" xfId="38168"/>
    <cellStyle name="Comma [0] TBD-_profit summary 11 11" xfId="38169"/>
    <cellStyle name="Comma [0] TBD_profit summary 11 110" xfId="38170"/>
    <cellStyle name="Comma [0] TBD-_profit summary 11 110" xfId="38171"/>
    <cellStyle name="Comma [0] TBD_profit summary 11 111" xfId="38172"/>
    <cellStyle name="Comma [0] TBD-_profit summary 11 111" xfId="38173"/>
    <cellStyle name="Comma [0] TBD_profit summary 11 112" xfId="38174"/>
    <cellStyle name="Comma [0] TBD-_profit summary 11 112" xfId="38175"/>
    <cellStyle name="Comma [0] TBD_profit summary 11 113" xfId="38176"/>
    <cellStyle name="Comma [0] TBD-_profit summary 11 113" xfId="38177"/>
    <cellStyle name="Comma [0] TBD_profit summary 11 114" xfId="38178"/>
    <cellStyle name="Comma [0] TBD-_profit summary 11 114" xfId="38179"/>
    <cellStyle name="Comma [0] TBD_profit summary 11 115" xfId="38180"/>
    <cellStyle name="Comma [0] TBD-_profit summary 11 115" xfId="38181"/>
    <cellStyle name="Comma [0] TBD_profit summary 11 116" xfId="38182"/>
    <cellStyle name="Comma [0] TBD-_profit summary 11 116" xfId="38183"/>
    <cellStyle name="Comma [0] TBD_profit summary 11 117" xfId="38184"/>
    <cellStyle name="Comma [0] TBD-_profit summary 11 117" xfId="38185"/>
    <cellStyle name="Comma [0] TBD_profit summary 11 118" xfId="38186"/>
    <cellStyle name="Comma [0] TBD-_profit summary 11 118" xfId="38187"/>
    <cellStyle name="Comma [0] TBD_profit summary 11 119" xfId="38188"/>
    <cellStyle name="Comma [0] TBD-_profit summary 11 119" xfId="38189"/>
    <cellStyle name="Comma [0] TBD_profit summary 11 12" xfId="38190"/>
    <cellStyle name="Comma [0] TBD-_profit summary 11 12" xfId="38191"/>
    <cellStyle name="Comma [0] TBD_profit summary 11 120" xfId="38192"/>
    <cellStyle name="Comma [0] TBD-_profit summary 11 120" xfId="38193"/>
    <cellStyle name="Comma [0] TBD_profit summary 11 121" xfId="38194"/>
    <cellStyle name="Comma [0] TBD-_profit summary 11 121" xfId="38195"/>
    <cellStyle name="Comma [0] TBD_profit summary 11 122" xfId="38196"/>
    <cellStyle name="Comma [0] TBD-_profit summary 11 122" xfId="38197"/>
    <cellStyle name="Comma [0] TBD_profit summary 11 123" xfId="38198"/>
    <cellStyle name="Comma [0] TBD-_profit summary 11 123" xfId="38199"/>
    <cellStyle name="Comma [0] TBD_profit summary 11 124" xfId="38200"/>
    <cellStyle name="Comma [0] TBD-_profit summary 11 124" xfId="38201"/>
    <cellStyle name="Comma [0] TBD_profit summary 11 125" xfId="38202"/>
    <cellStyle name="Comma [0] TBD-_profit summary 11 125" xfId="38203"/>
    <cellStyle name="Comma [0] TBD_profit summary 11 126" xfId="38204"/>
    <cellStyle name="Comma [0] TBD-_profit summary 11 126" xfId="38205"/>
    <cellStyle name="Comma [0] TBD_profit summary 11 127" xfId="38206"/>
    <cellStyle name="Comma [0] TBD-_profit summary 11 127" xfId="38207"/>
    <cellStyle name="Comma [0] TBD_profit summary 11 128" xfId="38208"/>
    <cellStyle name="Comma [0] TBD-_profit summary 11 128" xfId="38209"/>
    <cellStyle name="Comma [0] TBD_profit summary 11 129" xfId="38210"/>
    <cellStyle name="Comma [0] TBD-_profit summary 11 129" xfId="38211"/>
    <cellStyle name="Comma [0] TBD_profit summary 11 13" xfId="38212"/>
    <cellStyle name="Comma [0] TBD-_profit summary 11 13" xfId="38213"/>
    <cellStyle name="Comma [0] TBD_profit summary 11 130" xfId="38214"/>
    <cellStyle name="Comma [0] TBD-_profit summary 11 130" xfId="38215"/>
    <cellStyle name="Comma [0] TBD_profit summary 11 131" xfId="38216"/>
    <cellStyle name="Comma [0] TBD-_profit summary 11 131" xfId="38217"/>
    <cellStyle name="Comma [0] TBD_profit summary 11 132" xfId="38218"/>
    <cellStyle name="Comma [0] TBD-_profit summary 11 132" xfId="38219"/>
    <cellStyle name="Comma [0] TBD_profit summary 11 133" xfId="38220"/>
    <cellStyle name="Comma [0] TBD-_profit summary 11 133" xfId="38221"/>
    <cellStyle name="Comma [0] TBD_profit summary 11 134" xfId="38222"/>
    <cellStyle name="Comma [0] TBD-_profit summary 11 134" xfId="38223"/>
    <cellStyle name="Comma [0] TBD_profit summary 11 135" xfId="38224"/>
    <cellStyle name="Comma [0] TBD-_profit summary 11 135" xfId="38225"/>
    <cellStyle name="Comma [0] TBD_profit summary 11 136" xfId="38226"/>
    <cellStyle name="Comma [0] TBD-_profit summary 11 136" xfId="38227"/>
    <cellStyle name="Comma [0] TBD_profit summary 11 137" xfId="38228"/>
    <cellStyle name="Comma [0] TBD-_profit summary 11 137" xfId="38229"/>
    <cellStyle name="Comma [0] TBD_profit summary 11 138" xfId="38230"/>
    <cellStyle name="Comma [0] TBD-_profit summary 11 138" xfId="38231"/>
    <cellStyle name="Comma [0] TBD_profit summary 11 139" xfId="38232"/>
    <cellStyle name="Comma [0] TBD-_profit summary 11 139" xfId="38233"/>
    <cellStyle name="Comma [0] TBD_profit summary 11 14" xfId="38234"/>
    <cellStyle name="Comma [0] TBD-_profit summary 11 14" xfId="38235"/>
    <cellStyle name="Comma [0] TBD_profit summary 11 140" xfId="38236"/>
    <cellStyle name="Comma [0] TBD-_profit summary 11 140" xfId="38237"/>
    <cellStyle name="Comma [0] TBD_profit summary 11 141" xfId="38238"/>
    <cellStyle name="Comma [0] TBD-_profit summary 11 141" xfId="38239"/>
    <cellStyle name="Comma [0] TBD_profit summary 11 142" xfId="38240"/>
    <cellStyle name="Comma [0] TBD-_profit summary 11 142" xfId="38241"/>
    <cellStyle name="Comma [0] TBD_profit summary 11 143" xfId="38242"/>
    <cellStyle name="Comma [0] TBD-_profit summary 11 143" xfId="38243"/>
    <cellStyle name="Comma [0] TBD_profit summary 11 144" xfId="38244"/>
    <cellStyle name="Comma [0] TBD-_profit summary 11 144" xfId="38245"/>
    <cellStyle name="Comma [0] TBD_profit summary 11 145" xfId="38246"/>
    <cellStyle name="Comma [0] TBD-_profit summary 11 145" xfId="38247"/>
    <cellStyle name="Comma [0] TBD_profit summary 11 146" xfId="38248"/>
    <cellStyle name="Comma [0] TBD-_profit summary 11 146" xfId="38249"/>
    <cellStyle name="Comma [0] TBD_profit summary 11 147" xfId="38250"/>
    <cellStyle name="Comma [0] TBD-_profit summary 11 147" xfId="38251"/>
    <cellStyle name="Comma [0] TBD_profit summary 11 148" xfId="38252"/>
    <cellStyle name="Comma [0] TBD-_profit summary 11 148" xfId="38253"/>
    <cellStyle name="Comma [0] TBD_profit summary 11 149" xfId="38254"/>
    <cellStyle name="Comma [0] TBD-_profit summary 11 149" xfId="38255"/>
    <cellStyle name="Comma [0] TBD_profit summary 11 15" xfId="38256"/>
    <cellStyle name="Comma [0] TBD-_profit summary 11 15" xfId="38257"/>
    <cellStyle name="Comma [0] TBD_profit summary 11 150" xfId="38258"/>
    <cellStyle name="Comma [0] TBD-_profit summary 11 150" xfId="38259"/>
    <cellStyle name="Comma [0] TBD_profit summary 11 151" xfId="38260"/>
    <cellStyle name="Comma [0] TBD-_profit summary 11 151" xfId="38261"/>
    <cellStyle name="Comma [0] TBD_profit summary 11 152" xfId="38262"/>
    <cellStyle name="Comma [0] TBD-_profit summary 11 152" xfId="38263"/>
    <cellStyle name="Comma [0] TBD_profit summary 11 153" xfId="38264"/>
    <cellStyle name="Comma [0] TBD-_profit summary 11 153" xfId="38265"/>
    <cellStyle name="Comma [0] TBD_profit summary 11 16" xfId="38266"/>
    <cellStyle name="Comma [0] TBD-_profit summary 11 16" xfId="38267"/>
    <cellStyle name="Comma [0] TBD_profit summary 11 17" xfId="38268"/>
    <cellStyle name="Comma [0] TBD-_profit summary 11 17" xfId="38269"/>
    <cellStyle name="Comma [0] TBD_profit summary 11 18" xfId="38270"/>
    <cellStyle name="Comma [0] TBD-_profit summary 11 18" xfId="38271"/>
    <cellStyle name="Comma [0] TBD_profit summary 11 19" xfId="38272"/>
    <cellStyle name="Comma [0] TBD-_profit summary 11 19" xfId="38273"/>
    <cellStyle name="Comma [0] TBD_profit summary 11 2" xfId="38274"/>
    <cellStyle name="Comma [0] TBD-_profit summary 11 2" xfId="38275"/>
    <cellStyle name="Comma [0] TBD_profit summary 11 20" xfId="38276"/>
    <cellStyle name="Comma [0] TBD-_profit summary 11 20" xfId="38277"/>
    <cellStyle name="Comma [0] TBD_profit summary 11 21" xfId="38278"/>
    <cellStyle name="Comma [0] TBD-_profit summary 11 21" xfId="38279"/>
    <cellStyle name="Comma [0] TBD_profit summary 11 22" xfId="38280"/>
    <cellStyle name="Comma [0] TBD-_profit summary 11 22" xfId="38281"/>
    <cellStyle name="Comma [0] TBD_profit summary 11 23" xfId="38282"/>
    <cellStyle name="Comma [0] TBD-_profit summary 11 23" xfId="38283"/>
    <cellStyle name="Comma [0] TBD_profit summary 11 24" xfId="38284"/>
    <cellStyle name="Comma [0] TBD-_profit summary 11 24" xfId="38285"/>
    <cellStyle name="Comma [0] TBD_profit summary 11 25" xfId="38286"/>
    <cellStyle name="Comma [0] TBD-_profit summary 11 25" xfId="38287"/>
    <cellStyle name="Comma [0] TBD_profit summary 11 26" xfId="38288"/>
    <cellStyle name="Comma [0] TBD-_profit summary 11 26" xfId="38289"/>
    <cellStyle name="Comma [0] TBD_profit summary 11 27" xfId="38290"/>
    <cellStyle name="Comma [0] TBD-_profit summary 11 27" xfId="38291"/>
    <cellStyle name="Comma [0] TBD_profit summary 11 28" xfId="38292"/>
    <cellStyle name="Comma [0] TBD-_profit summary 11 28" xfId="38293"/>
    <cellStyle name="Comma [0] TBD_profit summary 11 29" xfId="38294"/>
    <cellStyle name="Comma [0] TBD-_profit summary 11 29" xfId="38295"/>
    <cellStyle name="Comma [0] TBD_profit summary 11 3" xfId="38296"/>
    <cellStyle name="Comma [0] TBD-_profit summary 11 3" xfId="38297"/>
    <cellStyle name="Comma [0] TBD_profit summary 11 30" xfId="38298"/>
    <cellStyle name="Comma [0] TBD-_profit summary 11 30" xfId="38299"/>
    <cellStyle name="Comma [0] TBD_profit summary 11 31" xfId="38300"/>
    <cellStyle name="Comma [0] TBD-_profit summary 11 31" xfId="38301"/>
    <cellStyle name="Comma [0] TBD_profit summary 11 32" xfId="38302"/>
    <cellStyle name="Comma [0] TBD-_profit summary 11 32" xfId="38303"/>
    <cellStyle name="Comma [0] TBD_profit summary 11 33" xfId="38304"/>
    <cellStyle name="Comma [0] TBD-_profit summary 11 33" xfId="38305"/>
    <cellStyle name="Comma [0] TBD_profit summary 11 34" xfId="38306"/>
    <cellStyle name="Comma [0] TBD-_profit summary 11 34" xfId="38307"/>
    <cellStyle name="Comma [0] TBD_profit summary 11 35" xfId="38308"/>
    <cellStyle name="Comma [0] TBD-_profit summary 11 35" xfId="38309"/>
    <cellStyle name="Comma [0] TBD_profit summary 11 36" xfId="38310"/>
    <cellStyle name="Comma [0] TBD-_profit summary 11 36" xfId="38311"/>
    <cellStyle name="Comma [0] TBD_profit summary 11 37" xfId="38312"/>
    <cellStyle name="Comma [0] TBD-_profit summary 11 37" xfId="38313"/>
    <cellStyle name="Comma [0] TBD_profit summary 11 38" xfId="38314"/>
    <cellStyle name="Comma [0] TBD-_profit summary 11 38" xfId="38315"/>
    <cellStyle name="Comma [0] TBD_profit summary 11 39" xfId="38316"/>
    <cellStyle name="Comma [0] TBD-_profit summary 11 39" xfId="38317"/>
    <cellStyle name="Comma [0] TBD_profit summary 11 4" xfId="38318"/>
    <cellStyle name="Comma [0] TBD-_profit summary 11 4" xfId="38319"/>
    <cellStyle name="Comma [0] TBD_profit summary 11 40" xfId="38320"/>
    <cellStyle name="Comma [0] TBD-_profit summary 11 40" xfId="38321"/>
    <cellStyle name="Comma [0] TBD_profit summary 11 41" xfId="38322"/>
    <cellStyle name="Comma [0] TBD-_profit summary 11 41" xfId="38323"/>
    <cellStyle name="Comma [0] TBD_profit summary 11 42" xfId="38324"/>
    <cellStyle name="Comma [0] TBD-_profit summary 11 42" xfId="38325"/>
    <cellStyle name="Comma [0] TBD_profit summary 11 43" xfId="38326"/>
    <cellStyle name="Comma [0] TBD-_profit summary 11 43" xfId="38327"/>
    <cellStyle name="Comma [0] TBD_profit summary 11 44" xfId="38328"/>
    <cellStyle name="Comma [0] TBD-_profit summary 11 44" xfId="38329"/>
    <cellStyle name="Comma [0] TBD_profit summary 11 45" xfId="38330"/>
    <cellStyle name="Comma [0] TBD-_profit summary 11 45" xfId="38331"/>
    <cellStyle name="Comma [0] TBD_profit summary 11 46" xfId="38332"/>
    <cellStyle name="Comma [0] TBD-_profit summary 11 46" xfId="38333"/>
    <cellStyle name="Comma [0] TBD_profit summary 11 47" xfId="38334"/>
    <cellStyle name="Comma [0] TBD-_profit summary 11 47" xfId="38335"/>
    <cellStyle name="Comma [0] TBD_profit summary 11 48" xfId="38336"/>
    <cellStyle name="Comma [0] TBD-_profit summary 11 48" xfId="38337"/>
    <cellStyle name="Comma [0] TBD_profit summary 11 49" xfId="38338"/>
    <cellStyle name="Comma [0] TBD-_profit summary 11 49" xfId="38339"/>
    <cellStyle name="Comma [0] TBD_profit summary 11 5" xfId="38340"/>
    <cellStyle name="Comma [0] TBD-_profit summary 11 5" xfId="38341"/>
    <cellStyle name="Comma [0] TBD_profit summary 11 50" xfId="38342"/>
    <cellStyle name="Comma [0] TBD-_profit summary 11 50" xfId="38343"/>
    <cellStyle name="Comma [0] TBD_profit summary 11 51" xfId="38344"/>
    <cellStyle name="Comma [0] TBD-_profit summary 11 51" xfId="38345"/>
    <cellStyle name="Comma [0] TBD_profit summary 11 52" xfId="38346"/>
    <cellStyle name="Comma [0] TBD-_profit summary 11 52" xfId="38347"/>
    <cellStyle name="Comma [0] TBD_profit summary 11 53" xfId="38348"/>
    <cellStyle name="Comma [0] TBD-_profit summary 11 53" xfId="38349"/>
    <cellStyle name="Comma [0] TBD_profit summary 11 54" xfId="38350"/>
    <cellStyle name="Comma [0] TBD-_profit summary 11 54" xfId="38351"/>
    <cellStyle name="Comma [0] TBD_profit summary 11 55" xfId="38352"/>
    <cellStyle name="Comma [0] TBD-_profit summary 11 55" xfId="38353"/>
    <cellStyle name="Comma [0] TBD_profit summary 11 56" xfId="38354"/>
    <cellStyle name="Comma [0] TBD-_profit summary 11 56" xfId="38355"/>
    <cellStyle name="Comma [0] TBD_profit summary 11 57" xfId="38356"/>
    <cellStyle name="Comma [0] TBD-_profit summary 11 57" xfId="38357"/>
    <cellStyle name="Comma [0] TBD_profit summary 11 58" xfId="38358"/>
    <cellStyle name="Comma [0] TBD-_profit summary 11 58" xfId="38359"/>
    <cellStyle name="Comma [0] TBD_profit summary 11 59" xfId="38360"/>
    <cellStyle name="Comma [0] TBD-_profit summary 11 59" xfId="38361"/>
    <cellStyle name="Comma [0] TBD_profit summary 11 6" xfId="38362"/>
    <cellStyle name="Comma [0] TBD-_profit summary 11 6" xfId="38363"/>
    <cellStyle name="Comma [0] TBD_profit summary 11 60" xfId="38364"/>
    <cellStyle name="Comma [0] TBD-_profit summary 11 60" xfId="38365"/>
    <cellStyle name="Comma [0] TBD_profit summary 11 61" xfId="38366"/>
    <cellStyle name="Comma [0] TBD-_profit summary 11 61" xfId="38367"/>
    <cellStyle name="Comma [0] TBD_profit summary 11 62" xfId="38368"/>
    <cellStyle name="Comma [0] TBD-_profit summary 11 62" xfId="38369"/>
    <cellStyle name="Comma [0] TBD_profit summary 11 63" xfId="38370"/>
    <cellStyle name="Comma [0] TBD-_profit summary 11 63" xfId="38371"/>
    <cellStyle name="Comma [0] TBD_profit summary 11 64" xfId="38372"/>
    <cellStyle name="Comma [0] TBD-_profit summary 11 64" xfId="38373"/>
    <cellStyle name="Comma [0] TBD_profit summary 11 65" xfId="38374"/>
    <cellStyle name="Comma [0] TBD-_profit summary 11 65" xfId="38375"/>
    <cellStyle name="Comma [0] TBD_profit summary 11 66" xfId="38376"/>
    <cellStyle name="Comma [0] TBD-_profit summary 11 66" xfId="38377"/>
    <cellStyle name="Comma [0] TBD_profit summary 11 67" xfId="38378"/>
    <cellStyle name="Comma [0] TBD-_profit summary 11 67" xfId="38379"/>
    <cellStyle name="Comma [0] TBD_profit summary 11 68" xfId="38380"/>
    <cellStyle name="Comma [0] TBD-_profit summary 11 68" xfId="38381"/>
    <cellStyle name="Comma [0] TBD_profit summary 11 69" xfId="38382"/>
    <cellStyle name="Comma [0] TBD-_profit summary 11 69" xfId="38383"/>
    <cellStyle name="Comma [0] TBD_profit summary 11 7" xfId="38384"/>
    <cellStyle name="Comma [0] TBD-_profit summary 11 7" xfId="38385"/>
    <cellStyle name="Comma [0] TBD_profit summary 11 70" xfId="38386"/>
    <cellStyle name="Comma [0] TBD-_profit summary 11 70" xfId="38387"/>
    <cellStyle name="Comma [0] TBD_profit summary 11 71" xfId="38388"/>
    <cellStyle name="Comma [0] TBD-_profit summary 11 71" xfId="38389"/>
    <cellStyle name="Comma [0] TBD_profit summary 11 72" xfId="38390"/>
    <cellStyle name="Comma [0] TBD-_profit summary 11 72" xfId="38391"/>
    <cellStyle name="Comma [0] TBD_profit summary 11 73" xfId="38392"/>
    <cellStyle name="Comma [0] TBD-_profit summary 11 73" xfId="38393"/>
    <cellStyle name="Comma [0] TBD_profit summary 11 74" xfId="38394"/>
    <cellStyle name="Comma [0] TBD-_profit summary 11 74" xfId="38395"/>
    <cellStyle name="Comma [0] TBD_profit summary 11 75" xfId="38396"/>
    <cellStyle name="Comma [0] TBD-_profit summary 11 75" xfId="38397"/>
    <cellStyle name="Comma [0] TBD_profit summary 11 76" xfId="38398"/>
    <cellStyle name="Comma [0] TBD-_profit summary 11 76" xfId="38399"/>
    <cellStyle name="Comma [0] TBD_profit summary 11 77" xfId="38400"/>
    <cellStyle name="Comma [0] TBD-_profit summary 11 77" xfId="38401"/>
    <cellStyle name="Comma [0] TBD_profit summary 11 78" xfId="38402"/>
    <cellStyle name="Comma [0] TBD-_profit summary 11 78" xfId="38403"/>
    <cellStyle name="Comma [0] TBD_profit summary 11 79" xfId="38404"/>
    <cellStyle name="Comma [0] TBD-_profit summary 11 79" xfId="38405"/>
    <cellStyle name="Comma [0] TBD_profit summary 11 8" xfId="38406"/>
    <cellStyle name="Comma [0] TBD-_profit summary 11 8" xfId="38407"/>
    <cellStyle name="Comma [0] TBD_profit summary 11 80" xfId="38408"/>
    <cellStyle name="Comma [0] TBD-_profit summary 11 80" xfId="38409"/>
    <cellStyle name="Comma [0] TBD_profit summary 11 81" xfId="38410"/>
    <cellStyle name="Comma [0] TBD-_profit summary 11 81" xfId="38411"/>
    <cellStyle name="Comma [0] TBD_profit summary 11 82" xfId="38412"/>
    <cellStyle name="Comma [0] TBD-_profit summary 11 82" xfId="38413"/>
    <cellStyle name="Comma [0] TBD_profit summary 11 83" xfId="38414"/>
    <cellStyle name="Comma [0] TBD-_profit summary 11 83" xfId="38415"/>
    <cellStyle name="Comma [0] TBD_profit summary 11 84" xfId="38416"/>
    <cellStyle name="Comma [0] TBD-_profit summary 11 84" xfId="38417"/>
    <cellStyle name="Comma [0] TBD_profit summary 11 85" xfId="38418"/>
    <cellStyle name="Comma [0] TBD-_profit summary 11 85" xfId="38419"/>
    <cellStyle name="Comma [0] TBD_profit summary 11 86" xfId="38420"/>
    <cellStyle name="Comma [0] TBD-_profit summary 11 86" xfId="38421"/>
    <cellStyle name="Comma [0] TBD_profit summary 11 87" xfId="38422"/>
    <cellStyle name="Comma [0] TBD-_profit summary 11 87" xfId="38423"/>
    <cellStyle name="Comma [0] TBD_profit summary 11 88" xfId="38424"/>
    <cellStyle name="Comma [0] TBD-_profit summary 11 88" xfId="38425"/>
    <cellStyle name="Comma [0] TBD_profit summary 11 89" xfId="38426"/>
    <cellStyle name="Comma [0] TBD-_profit summary 11 89" xfId="38427"/>
    <cellStyle name="Comma [0] TBD_profit summary 11 9" xfId="38428"/>
    <cellStyle name="Comma [0] TBD-_profit summary 11 9" xfId="38429"/>
    <cellStyle name="Comma [0] TBD_profit summary 11 90" xfId="38430"/>
    <cellStyle name="Comma [0] TBD-_profit summary 11 90" xfId="38431"/>
    <cellStyle name="Comma [0] TBD_profit summary 11 91" xfId="38432"/>
    <cellStyle name="Comma [0] TBD-_profit summary 11 91" xfId="38433"/>
    <cellStyle name="Comma [0] TBD_profit summary 11 92" xfId="38434"/>
    <cellStyle name="Comma [0] TBD-_profit summary 11 92" xfId="38435"/>
    <cellStyle name="Comma [0] TBD_profit summary 11 93" xfId="38436"/>
    <cellStyle name="Comma [0] TBD-_profit summary 11 93" xfId="38437"/>
    <cellStyle name="Comma [0] TBD_profit summary 11 94" xfId="38438"/>
    <cellStyle name="Comma [0] TBD-_profit summary 11 94" xfId="38439"/>
    <cellStyle name="Comma [0] TBD_profit summary 11 95" xfId="38440"/>
    <cellStyle name="Comma [0] TBD-_profit summary 11 95" xfId="38441"/>
    <cellStyle name="Comma [0] TBD_profit summary 11 96" xfId="38442"/>
    <cellStyle name="Comma [0] TBD-_profit summary 11 96" xfId="38443"/>
    <cellStyle name="Comma [0] TBD_profit summary 11 97" xfId="38444"/>
    <cellStyle name="Comma [0] TBD-_profit summary 11 97" xfId="38445"/>
    <cellStyle name="Comma [0] TBD_profit summary 11 98" xfId="38446"/>
    <cellStyle name="Comma [0] TBD-_profit summary 11 98" xfId="38447"/>
    <cellStyle name="Comma [0] TBD_profit summary 11 99" xfId="38448"/>
    <cellStyle name="Comma [0] TBD-_profit summary 11 99" xfId="38449"/>
    <cellStyle name="Comma [0] TBD_profit summary 12" xfId="38450"/>
    <cellStyle name="Comma [0] TBD-_profit summary 12" xfId="38451"/>
    <cellStyle name="Comma [0] TBD_profit summary 12 10" xfId="38452"/>
    <cellStyle name="Comma [0] TBD-_profit summary 12 10" xfId="38453"/>
    <cellStyle name="Comma [0] TBD_profit summary 12 100" xfId="38454"/>
    <cellStyle name="Comma [0] TBD-_profit summary 12 100" xfId="38455"/>
    <cellStyle name="Comma [0] TBD_profit summary 12 101" xfId="38456"/>
    <cellStyle name="Comma [0] TBD-_profit summary 12 101" xfId="38457"/>
    <cellStyle name="Comma [0] TBD_profit summary 12 102" xfId="38458"/>
    <cellStyle name="Comma [0] TBD-_profit summary 12 102" xfId="38459"/>
    <cellStyle name="Comma [0] TBD_profit summary 12 103" xfId="38460"/>
    <cellStyle name="Comma [0] TBD-_profit summary 12 103" xfId="38461"/>
    <cellStyle name="Comma [0] TBD_profit summary 12 104" xfId="38462"/>
    <cellStyle name="Comma [0] TBD-_profit summary 12 104" xfId="38463"/>
    <cellStyle name="Comma [0] TBD_profit summary 12 105" xfId="38464"/>
    <cellStyle name="Comma [0] TBD-_profit summary 12 105" xfId="38465"/>
    <cellStyle name="Comma [0] TBD_profit summary 12 106" xfId="38466"/>
    <cellStyle name="Comma [0] TBD-_profit summary 12 106" xfId="38467"/>
    <cellStyle name="Comma [0] TBD_profit summary 12 107" xfId="38468"/>
    <cellStyle name="Comma [0] TBD-_profit summary 12 107" xfId="38469"/>
    <cellStyle name="Comma [0] TBD_profit summary 12 108" xfId="38470"/>
    <cellStyle name="Comma [0] TBD-_profit summary 12 108" xfId="38471"/>
    <cellStyle name="Comma [0] TBD_profit summary 12 109" xfId="38472"/>
    <cellStyle name="Comma [0] TBD-_profit summary 12 109" xfId="38473"/>
    <cellStyle name="Comma [0] TBD_profit summary 12 11" xfId="38474"/>
    <cellStyle name="Comma [0] TBD-_profit summary 12 11" xfId="38475"/>
    <cellStyle name="Comma [0] TBD_profit summary 12 110" xfId="38476"/>
    <cellStyle name="Comma [0] TBD-_profit summary 12 110" xfId="38477"/>
    <cellStyle name="Comma [0] TBD_profit summary 12 111" xfId="38478"/>
    <cellStyle name="Comma [0] TBD-_profit summary 12 111" xfId="38479"/>
    <cellStyle name="Comma [0] TBD_profit summary 12 112" xfId="38480"/>
    <cellStyle name="Comma [0] TBD-_profit summary 12 112" xfId="38481"/>
    <cellStyle name="Comma [0] TBD_profit summary 12 113" xfId="38482"/>
    <cellStyle name="Comma [0] TBD-_profit summary 12 113" xfId="38483"/>
    <cellStyle name="Comma [0] TBD_profit summary 12 114" xfId="38484"/>
    <cellStyle name="Comma [0] TBD-_profit summary 12 114" xfId="38485"/>
    <cellStyle name="Comma [0] TBD_profit summary 12 115" xfId="38486"/>
    <cellStyle name="Comma [0] TBD-_profit summary 12 115" xfId="38487"/>
    <cellStyle name="Comma [0] TBD_profit summary 12 116" xfId="38488"/>
    <cellStyle name="Comma [0] TBD-_profit summary 12 116" xfId="38489"/>
    <cellStyle name="Comma [0] TBD_profit summary 12 117" xfId="38490"/>
    <cellStyle name="Comma [0] TBD-_profit summary 12 117" xfId="38491"/>
    <cellStyle name="Comma [0] TBD_profit summary 12 118" xfId="38492"/>
    <cellStyle name="Comma [0] TBD-_profit summary 12 118" xfId="38493"/>
    <cellStyle name="Comma [0] TBD_profit summary 12 119" xfId="38494"/>
    <cellStyle name="Comma [0] TBD-_profit summary 12 119" xfId="38495"/>
    <cellStyle name="Comma [0] TBD_profit summary 12 12" xfId="38496"/>
    <cellStyle name="Comma [0] TBD-_profit summary 12 12" xfId="38497"/>
    <cellStyle name="Comma [0] TBD_profit summary 12 120" xfId="38498"/>
    <cellStyle name="Comma [0] TBD-_profit summary 12 120" xfId="38499"/>
    <cellStyle name="Comma [0] TBD_profit summary 12 121" xfId="38500"/>
    <cellStyle name="Comma [0] TBD-_profit summary 12 121" xfId="38501"/>
    <cellStyle name="Comma [0] TBD_profit summary 12 122" xfId="38502"/>
    <cellStyle name="Comma [0] TBD-_profit summary 12 122" xfId="38503"/>
    <cellStyle name="Comma [0] TBD_profit summary 12 123" xfId="38504"/>
    <cellStyle name="Comma [0] TBD-_profit summary 12 123" xfId="38505"/>
    <cellStyle name="Comma [0] TBD_profit summary 12 124" xfId="38506"/>
    <cellStyle name="Comma [0] TBD-_profit summary 12 124" xfId="38507"/>
    <cellStyle name="Comma [0] TBD_profit summary 12 125" xfId="38508"/>
    <cellStyle name="Comma [0] TBD-_profit summary 12 125" xfId="38509"/>
    <cellStyle name="Comma [0] TBD_profit summary 12 126" xfId="38510"/>
    <cellStyle name="Comma [0] TBD-_profit summary 12 126" xfId="38511"/>
    <cellStyle name="Comma [0] TBD_profit summary 12 127" xfId="38512"/>
    <cellStyle name="Comma [0] TBD-_profit summary 12 127" xfId="38513"/>
    <cellStyle name="Comma [0] TBD_profit summary 12 128" xfId="38514"/>
    <cellStyle name="Comma [0] TBD-_profit summary 12 128" xfId="38515"/>
    <cellStyle name="Comma [0] TBD_profit summary 12 129" xfId="38516"/>
    <cellStyle name="Comma [0] TBD-_profit summary 12 129" xfId="38517"/>
    <cellStyle name="Comma [0] TBD_profit summary 12 13" xfId="38518"/>
    <cellStyle name="Comma [0] TBD-_profit summary 12 13" xfId="38519"/>
    <cellStyle name="Comma [0] TBD_profit summary 12 130" xfId="38520"/>
    <cellStyle name="Comma [0] TBD-_profit summary 12 130" xfId="38521"/>
    <cellStyle name="Comma [0] TBD_profit summary 12 131" xfId="38522"/>
    <cellStyle name="Comma [0] TBD-_profit summary 12 131" xfId="38523"/>
    <cellStyle name="Comma [0] TBD_profit summary 12 132" xfId="38524"/>
    <cellStyle name="Comma [0] TBD-_profit summary 12 132" xfId="38525"/>
    <cellStyle name="Comma [0] TBD_profit summary 12 133" xfId="38526"/>
    <cellStyle name="Comma [0] TBD-_profit summary 12 133" xfId="38527"/>
    <cellStyle name="Comma [0] TBD_profit summary 12 134" xfId="38528"/>
    <cellStyle name="Comma [0] TBD-_profit summary 12 134" xfId="38529"/>
    <cellStyle name="Comma [0] TBD_profit summary 12 135" xfId="38530"/>
    <cellStyle name="Comma [0] TBD-_profit summary 12 135" xfId="38531"/>
    <cellStyle name="Comma [0] TBD_profit summary 12 136" xfId="38532"/>
    <cellStyle name="Comma [0] TBD-_profit summary 12 136" xfId="38533"/>
    <cellStyle name="Comma [0] TBD_profit summary 12 137" xfId="38534"/>
    <cellStyle name="Comma [0] TBD-_profit summary 12 137" xfId="38535"/>
    <cellStyle name="Comma [0] TBD_profit summary 12 138" xfId="38536"/>
    <cellStyle name="Comma [0] TBD-_profit summary 12 138" xfId="38537"/>
    <cellStyle name="Comma [0] TBD_profit summary 12 139" xfId="38538"/>
    <cellStyle name="Comma [0] TBD-_profit summary 12 139" xfId="38539"/>
    <cellStyle name="Comma [0] TBD_profit summary 12 14" xfId="38540"/>
    <cellStyle name="Comma [0] TBD-_profit summary 12 14" xfId="38541"/>
    <cellStyle name="Comma [0] TBD_profit summary 12 140" xfId="38542"/>
    <cellStyle name="Comma [0] TBD-_profit summary 12 140" xfId="38543"/>
    <cellStyle name="Comma [0] TBD_profit summary 12 141" xfId="38544"/>
    <cellStyle name="Comma [0] TBD-_profit summary 12 141" xfId="38545"/>
    <cellStyle name="Comma [0] TBD_profit summary 12 142" xfId="38546"/>
    <cellStyle name="Comma [0] TBD-_profit summary 12 142" xfId="38547"/>
    <cellStyle name="Comma [0] TBD_profit summary 12 143" xfId="38548"/>
    <cellStyle name="Comma [0] TBD-_profit summary 12 143" xfId="38549"/>
    <cellStyle name="Comma [0] TBD_profit summary 12 144" xfId="38550"/>
    <cellStyle name="Comma [0] TBD-_profit summary 12 144" xfId="38551"/>
    <cellStyle name="Comma [0] TBD_profit summary 12 145" xfId="38552"/>
    <cellStyle name="Comma [0] TBD-_profit summary 12 145" xfId="38553"/>
    <cellStyle name="Comma [0] TBD_profit summary 12 146" xfId="38554"/>
    <cellStyle name="Comma [0] TBD-_profit summary 12 146" xfId="38555"/>
    <cellStyle name="Comma [0] TBD_profit summary 12 147" xfId="38556"/>
    <cellStyle name="Comma [0] TBD-_profit summary 12 147" xfId="38557"/>
    <cellStyle name="Comma [0] TBD_profit summary 12 148" xfId="38558"/>
    <cellStyle name="Comma [0] TBD-_profit summary 12 148" xfId="38559"/>
    <cellStyle name="Comma [0] TBD_profit summary 12 149" xfId="38560"/>
    <cellStyle name="Comma [0] TBD-_profit summary 12 149" xfId="38561"/>
    <cellStyle name="Comma [0] TBD_profit summary 12 15" xfId="38562"/>
    <cellStyle name="Comma [0] TBD-_profit summary 12 15" xfId="38563"/>
    <cellStyle name="Comma [0] TBD_profit summary 12 150" xfId="38564"/>
    <cellStyle name="Comma [0] TBD-_profit summary 12 150" xfId="38565"/>
    <cellStyle name="Comma [0] TBD_profit summary 12 151" xfId="38566"/>
    <cellStyle name="Comma [0] TBD-_profit summary 12 151" xfId="38567"/>
    <cellStyle name="Comma [0] TBD_profit summary 12 152" xfId="38568"/>
    <cellStyle name="Comma [0] TBD-_profit summary 12 152" xfId="38569"/>
    <cellStyle name="Comma [0] TBD_profit summary 12 153" xfId="38570"/>
    <cellStyle name="Comma [0] TBD-_profit summary 12 153" xfId="38571"/>
    <cellStyle name="Comma [0] TBD_profit summary 12 16" xfId="38572"/>
    <cellStyle name="Comma [0] TBD-_profit summary 12 16" xfId="38573"/>
    <cellStyle name="Comma [0] TBD_profit summary 12 17" xfId="38574"/>
    <cellStyle name="Comma [0] TBD-_profit summary 12 17" xfId="38575"/>
    <cellStyle name="Comma [0] TBD_profit summary 12 18" xfId="38576"/>
    <cellStyle name="Comma [0] TBD-_profit summary 12 18" xfId="38577"/>
    <cellStyle name="Comma [0] TBD_profit summary 12 19" xfId="38578"/>
    <cellStyle name="Comma [0] TBD-_profit summary 12 19" xfId="38579"/>
    <cellStyle name="Comma [0] TBD_profit summary 12 2" xfId="38580"/>
    <cellStyle name="Comma [0] TBD-_profit summary 12 2" xfId="38581"/>
    <cellStyle name="Comma [0] TBD_profit summary 12 20" xfId="38582"/>
    <cellStyle name="Comma [0] TBD-_profit summary 12 20" xfId="38583"/>
    <cellStyle name="Comma [0] TBD_profit summary 12 21" xfId="38584"/>
    <cellStyle name="Comma [0] TBD-_profit summary 12 21" xfId="38585"/>
    <cellStyle name="Comma [0] TBD_profit summary 12 22" xfId="38586"/>
    <cellStyle name="Comma [0] TBD-_profit summary 12 22" xfId="38587"/>
    <cellStyle name="Comma [0] TBD_profit summary 12 23" xfId="38588"/>
    <cellStyle name="Comma [0] TBD-_profit summary 12 23" xfId="38589"/>
    <cellStyle name="Comma [0] TBD_profit summary 12 24" xfId="38590"/>
    <cellStyle name="Comma [0] TBD-_profit summary 12 24" xfId="38591"/>
    <cellStyle name="Comma [0] TBD_profit summary 12 25" xfId="38592"/>
    <cellStyle name="Comma [0] TBD-_profit summary 12 25" xfId="38593"/>
    <cellStyle name="Comma [0] TBD_profit summary 12 26" xfId="38594"/>
    <cellStyle name="Comma [0] TBD-_profit summary 12 26" xfId="38595"/>
    <cellStyle name="Comma [0] TBD_profit summary 12 27" xfId="38596"/>
    <cellStyle name="Comma [0] TBD-_profit summary 12 27" xfId="38597"/>
    <cellStyle name="Comma [0] TBD_profit summary 12 28" xfId="38598"/>
    <cellStyle name="Comma [0] TBD-_profit summary 12 28" xfId="38599"/>
    <cellStyle name="Comma [0] TBD_profit summary 12 29" xfId="38600"/>
    <cellStyle name="Comma [0] TBD-_profit summary 12 29" xfId="38601"/>
    <cellStyle name="Comma [0] TBD_profit summary 12 3" xfId="38602"/>
    <cellStyle name="Comma [0] TBD-_profit summary 12 3" xfId="38603"/>
    <cellStyle name="Comma [0] TBD_profit summary 12 30" xfId="38604"/>
    <cellStyle name="Comma [0] TBD-_profit summary 12 30" xfId="38605"/>
    <cellStyle name="Comma [0] TBD_profit summary 12 31" xfId="38606"/>
    <cellStyle name="Comma [0] TBD-_profit summary 12 31" xfId="38607"/>
    <cellStyle name="Comma [0] TBD_profit summary 12 32" xfId="38608"/>
    <cellStyle name="Comma [0] TBD-_profit summary 12 32" xfId="38609"/>
    <cellStyle name="Comma [0] TBD_profit summary 12 33" xfId="38610"/>
    <cellStyle name="Comma [0] TBD-_profit summary 12 33" xfId="38611"/>
    <cellStyle name="Comma [0] TBD_profit summary 12 34" xfId="38612"/>
    <cellStyle name="Comma [0] TBD-_profit summary 12 34" xfId="38613"/>
    <cellStyle name="Comma [0] TBD_profit summary 12 35" xfId="38614"/>
    <cellStyle name="Comma [0] TBD-_profit summary 12 35" xfId="38615"/>
    <cellStyle name="Comma [0] TBD_profit summary 12 36" xfId="38616"/>
    <cellStyle name="Comma [0] TBD-_profit summary 12 36" xfId="38617"/>
    <cellStyle name="Comma [0] TBD_profit summary 12 37" xfId="38618"/>
    <cellStyle name="Comma [0] TBD-_profit summary 12 37" xfId="38619"/>
    <cellStyle name="Comma [0] TBD_profit summary 12 38" xfId="38620"/>
    <cellStyle name="Comma [0] TBD-_profit summary 12 38" xfId="38621"/>
    <cellStyle name="Comma [0] TBD_profit summary 12 39" xfId="38622"/>
    <cellStyle name="Comma [0] TBD-_profit summary 12 39" xfId="38623"/>
    <cellStyle name="Comma [0] TBD_profit summary 12 4" xfId="38624"/>
    <cellStyle name="Comma [0] TBD-_profit summary 12 4" xfId="38625"/>
    <cellStyle name="Comma [0] TBD_profit summary 12 40" xfId="38626"/>
    <cellStyle name="Comma [0] TBD-_profit summary 12 40" xfId="38627"/>
    <cellStyle name="Comma [0] TBD_profit summary 12 41" xfId="38628"/>
    <cellStyle name="Comma [0] TBD-_profit summary 12 41" xfId="38629"/>
    <cellStyle name="Comma [0] TBD_profit summary 12 42" xfId="38630"/>
    <cellStyle name="Comma [0] TBD-_profit summary 12 42" xfId="38631"/>
    <cellStyle name="Comma [0] TBD_profit summary 12 43" xfId="38632"/>
    <cellStyle name="Comma [0] TBD-_profit summary 12 43" xfId="38633"/>
    <cellStyle name="Comma [0] TBD_profit summary 12 44" xfId="38634"/>
    <cellStyle name="Comma [0] TBD-_profit summary 12 44" xfId="38635"/>
    <cellStyle name="Comma [0] TBD_profit summary 12 45" xfId="38636"/>
    <cellStyle name="Comma [0] TBD-_profit summary 12 45" xfId="38637"/>
    <cellStyle name="Comma [0] TBD_profit summary 12 46" xfId="38638"/>
    <cellStyle name="Comma [0] TBD-_profit summary 12 46" xfId="38639"/>
    <cellStyle name="Comma [0] TBD_profit summary 12 47" xfId="38640"/>
    <cellStyle name="Comma [0] TBD-_profit summary 12 47" xfId="38641"/>
    <cellStyle name="Comma [0] TBD_profit summary 12 48" xfId="38642"/>
    <cellStyle name="Comma [0] TBD-_profit summary 12 48" xfId="38643"/>
    <cellStyle name="Comma [0] TBD_profit summary 12 49" xfId="38644"/>
    <cellStyle name="Comma [0] TBD-_profit summary 12 49" xfId="38645"/>
    <cellStyle name="Comma [0] TBD_profit summary 12 5" xfId="38646"/>
    <cellStyle name="Comma [0] TBD-_profit summary 12 5" xfId="38647"/>
    <cellStyle name="Comma [0] TBD_profit summary 12 50" xfId="38648"/>
    <cellStyle name="Comma [0] TBD-_profit summary 12 50" xfId="38649"/>
    <cellStyle name="Comma [0] TBD_profit summary 12 51" xfId="38650"/>
    <cellStyle name="Comma [0] TBD-_profit summary 12 51" xfId="38651"/>
    <cellStyle name="Comma [0] TBD_profit summary 12 52" xfId="38652"/>
    <cellStyle name="Comma [0] TBD-_profit summary 12 52" xfId="38653"/>
    <cellStyle name="Comma [0] TBD_profit summary 12 53" xfId="38654"/>
    <cellStyle name="Comma [0] TBD-_profit summary 12 53" xfId="38655"/>
    <cellStyle name="Comma [0] TBD_profit summary 12 54" xfId="38656"/>
    <cellStyle name="Comma [0] TBD-_profit summary 12 54" xfId="38657"/>
    <cellStyle name="Comma [0] TBD_profit summary 12 55" xfId="38658"/>
    <cellStyle name="Comma [0] TBD-_profit summary 12 55" xfId="38659"/>
    <cellStyle name="Comma [0] TBD_profit summary 12 56" xfId="38660"/>
    <cellStyle name="Comma [0] TBD-_profit summary 12 56" xfId="38661"/>
    <cellStyle name="Comma [0] TBD_profit summary 12 57" xfId="38662"/>
    <cellStyle name="Comma [0] TBD-_profit summary 12 57" xfId="38663"/>
    <cellStyle name="Comma [0] TBD_profit summary 12 58" xfId="38664"/>
    <cellStyle name="Comma [0] TBD-_profit summary 12 58" xfId="38665"/>
    <cellStyle name="Comma [0] TBD_profit summary 12 59" xfId="38666"/>
    <cellStyle name="Comma [0] TBD-_profit summary 12 59" xfId="38667"/>
    <cellStyle name="Comma [0] TBD_profit summary 12 6" xfId="38668"/>
    <cellStyle name="Comma [0] TBD-_profit summary 12 6" xfId="38669"/>
    <cellStyle name="Comma [0] TBD_profit summary 12 60" xfId="38670"/>
    <cellStyle name="Comma [0] TBD-_profit summary 12 60" xfId="38671"/>
    <cellStyle name="Comma [0] TBD_profit summary 12 61" xfId="38672"/>
    <cellStyle name="Comma [0] TBD-_profit summary 12 61" xfId="38673"/>
    <cellStyle name="Comma [0] TBD_profit summary 12 62" xfId="38674"/>
    <cellStyle name="Comma [0] TBD-_profit summary 12 62" xfId="38675"/>
    <cellStyle name="Comma [0] TBD_profit summary 12 63" xfId="38676"/>
    <cellStyle name="Comma [0] TBD-_profit summary 12 63" xfId="38677"/>
    <cellStyle name="Comma [0] TBD_profit summary 12 64" xfId="38678"/>
    <cellStyle name="Comma [0] TBD-_profit summary 12 64" xfId="38679"/>
    <cellStyle name="Comma [0] TBD_profit summary 12 65" xfId="38680"/>
    <cellStyle name="Comma [0] TBD-_profit summary 12 65" xfId="38681"/>
    <cellStyle name="Comma [0] TBD_profit summary 12 66" xfId="38682"/>
    <cellStyle name="Comma [0] TBD-_profit summary 12 66" xfId="38683"/>
    <cellStyle name="Comma [0] TBD_profit summary 12 67" xfId="38684"/>
    <cellStyle name="Comma [0] TBD-_profit summary 12 67" xfId="38685"/>
    <cellStyle name="Comma [0] TBD_profit summary 12 68" xfId="38686"/>
    <cellStyle name="Comma [0] TBD-_profit summary 12 68" xfId="38687"/>
    <cellStyle name="Comma [0] TBD_profit summary 12 69" xfId="38688"/>
    <cellStyle name="Comma [0] TBD-_profit summary 12 69" xfId="38689"/>
    <cellStyle name="Comma [0] TBD_profit summary 12 7" xfId="38690"/>
    <cellStyle name="Comma [0] TBD-_profit summary 12 7" xfId="38691"/>
    <cellStyle name="Comma [0] TBD_profit summary 12 70" xfId="38692"/>
    <cellStyle name="Comma [0] TBD-_profit summary 12 70" xfId="38693"/>
    <cellStyle name="Comma [0] TBD_profit summary 12 71" xfId="38694"/>
    <cellStyle name="Comma [0] TBD-_profit summary 12 71" xfId="38695"/>
    <cellStyle name="Comma [0] TBD_profit summary 12 72" xfId="38696"/>
    <cellStyle name="Comma [0] TBD-_profit summary 12 72" xfId="38697"/>
    <cellStyle name="Comma [0] TBD_profit summary 12 73" xfId="38698"/>
    <cellStyle name="Comma [0] TBD-_profit summary 12 73" xfId="38699"/>
    <cellStyle name="Comma [0] TBD_profit summary 12 74" xfId="38700"/>
    <cellStyle name="Comma [0] TBD-_profit summary 12 74" xfId="38701"/>
    <cellStyle name="Comma [0] TBD_profit summary 12 75" xfId="38702"/>
    <cellStyle name="Comma [0] TBD-_profit summary 12 75" xfId="38703"/>
    <cellStyle name="Comma [0] TBD_profit summary 12 76" xfId="38704"/>
    <cellStyle name="Comma [0] TBD-_profit summary 12 76" xfId="38705"/>
    <cellStyle name="Comma [0] TBD_profit summary 12 77" xfId="38706"/>
    <cellStyle name="Comma [0] TBD-_profit summary 12 77" xfId="38707"/>
    <cellStyle name="Comma [0] TBD_profit summary 12 78" xfId="38708"/>
    <cellStyle name="Comma [0] TBD-_profit summary 12 78" xfId="38709"/>
    <cellStyle name="Comma [0] TBD_profit summary 12 79" xfId="38710"/>
    <cellStyle name="Comma [0] TBD-_profit summary 12 79" xfId="38711"/>
    <cellStyle name="Comma [0] TBD_profit summary 12 8" xfId="38712"/>
    <cellStyle name="Comma [0] TBD-_profit summary 12 8" xfId="38713"/>
    <cellStyle name="Comma [0] TBD_profit summary 12 80" xfId="38714"/>
    <cellStyle name="Comma [0] TBD-_profit summary 12 80" xfId="38715"/>
    <cellStyle name="Comma [0] TBD_profit summary 12 81" xfId="38716"/>
    <cellStyle name="Comma [0] TBD-_profit summary 12 81" xfId="38717"/>
    <cellStyle name="Comma [0] TBD_profit summary 12 82" xfId="38718"/>
    <cellStyle name="Comma [0] TBD-_profit summary 12 82" xfId="38719"/>
    <cellStyle name="Comma [0] TBD_profit summary 12 83" xfId="38720"/>
    <cellStyle name="Comma [0] TBD-_profit summary 12 83" xfId="38721"/>
    <cellStyle name="Comma [0] TBD_profit summary 12 84" xfId="38722"/>
    <cellStyle name="Comma [0] TBD-_profit summary 12 84" xfId="38723"/>
    <cellStyle name="Comma [0] TBD_profit summary 12 85" xfId="38724"/>
    <cellStyle name="Comma [0] TBD-_profit summary 12 85" xfId="38725"/>
    <cellStyle name="Comma [0] TBD_profit summary 12 86" xfId="38726"/>
    <cellStyle name="Comma [0] TBD-_profit summary 12 86" xfId="38727"/>
    <cellStyle name="Comma [0] TBD_profit summary 12 87" xfId="38728"/>
    <cellStyle name="Comma [0] TBD-_profit summary 12 87" xfId="38729"/>
    <cellStyle name="Comma [0] TBD_profit summary 12 88" xfId="38730"/>
    <cellStyle name="Comma [0] TBD-_profit summary 12 88" xfId="38731"/>
    <cellStyle name="Comma [0] TBD_profit summary 12 89" xfId="38732"/>
    <cellStyle name="Comma [0] TBD-_profit summary 12 89" xfId="38733"/>
    <cellStyle name="Comma [0] TBD_profit summary 12 9" xfId="38734"/>
    <cellStyle name="Comma [0] TBD-_profit summary 12 9" xfId="38735"/>
    <cellStyle name="Comma [0] TBD_profit summary 12 90" xfId="38736"/>
    <cellStyle name="Comma [0] TBD-_profit summary 12 90" xfId="38737"/>
    <cellStyle name="Comma [0] TBD_profit summary 12 91" xfId="38738"/>
    <cellStyle name="Comma [0] TBD-_profit summary 12 91" xfId="38739"/>
    <cellStyle name="Comma [0] TBD_profit summary 12 92" xfId="38740"/>
    <cellStyle name="Comma [0] TBD-_profit summary 12 92" xfId="38741"/>
    <cellStyle name="Comma [0] TBD_profit summary 12 93" xfId="38742"/>
    <cellStyle name="Comma [0] TBD-_profit summary 12 93" xfId="38743"/>
    <cellStyle name="Comma [0] TBD_profit summary 12 94" xfId="38744"/>
    <cellStyle name="Comma [0] TBD-_profit summary 12 94" xfId="38745"/>
    <cellStyle name="Comma [0] TBD_profit summary 12 95" xfId="38746"/>
    <cellStyle name="Comma [0] TBD-_profit summary 12 95" xfId="38747"/>
    <cellStyle name="Comma [0] TBD_profit summary 12 96" xfId="38748"/>
    <cellStyle name="Comma [0] TBD-_profit summary 12 96" xfId="38749"/>
    <cellStyle name="Comma [0] TBD_profit summary 12 97" xfId="38750"/>
    <cellStyle name="Comma [0] TBD-_profit summary 12 97" xfId="38751"/>
    <cellStyle name="Comma [0] TBD_profit summary 12 98" xfId="38752"/>
    <cellStyle name="Comma [0] TBD-_profit summary 12 98" xfId="38753"/>
    <cellStyle name="Comma [0] TBD_profit summary 12 99" xfId="38754"/>
    <cellStyle name="Comma [0] TBD-_profit summary 12 99" xfId="38755"/>
    <cellStyle name="Comma [0] TBD_profit summary 13" xfId="38756"/>
    <cellStyle name="Comma [0] TBD-_profit summary 13" xfId="38757"/>
    <cellStyle name="Comma [0] TBD_profit summary 13 10" xfId="38758"/>
    <cellStyle name="Comma [0] TBD-_profit summary 13 10" xfId="38759"/>
    <cellStyle name="Comma [0] TBD_profit summary 13 100" xfId="38760"/>
    <cellStyle name="Comma [0] TBD-_profit summary 13 100" xfId="38761"/>
    <cellStyle name="Comma [0] TBD_profit summary 13 101" xfId="38762"/>
    <cellStyle name="Comma [0] TBD-_profit summary 13 101" xfId="38763"/>
    <cellStyle name="Comma [0] TBD_profit summary 13 102" xfId="38764"/>
    <cellStyle name="Comma [0] TBD-_profit summary 13 102" xfId="38765"/>
    <cellStyle name="Comma [0] TBD_profit summary 13 103" xfId="38766"/>
    <cellStyle name="Comma [0] TBD-_profit summary 13 103" xfId="38767"/>
    <cellStyle name="Comma [0] TBD_profit summary 13 104" xfId="38768"/>
    <cellStyle name="Comma [0] TBD-_profit summary 13 104" xfId="38769"/>
    <cellStyle name="Comma [0] TBD_profit summary 13 105" xfId="38770"/>
    <cellStyle name="Comma [0] TBD-_profit summary 13 105" xfId="38771"/>
    <cellStyle name="Comma [0] TBD_profit summary 13 106" xfId="38772"/>
    <cellStyle name="Comma [0] TBD-_profit summary 13 106" xfId="38773"/>
    <cellStyle name="Comma [0] TBD_profit summary 13 107" xfId="38774"/>
    <cellStyle name="Comma [0] TBD-_profit summary 13 107" xfId="38775"/>
    <cellStyle name="Comma [0] TBD_profit summary 13 108" xfId="38776"/>
    <cellStyle name="Comma [0] TBD-_profit summary 13 108" xfId="38777"/>
    <cellStyle name="Comma [0] TBD_profit summary 13 109" xfId="38778"/>
    <cellStyle name="Comma [0] TBD-_profit summary 13 109" xfId="38779"/>
    <cellStyle name="Comma [0] TBD_profit summary 13 11" xfId="38780"/>
    <cellStyle name="Comma [0] TBD-_profit summary 13 11" xfId="38781"/>
    <cellStyle name="Comma [0] TBD_profit summary 13 110" xfId="38782"/>
    <cellStyle name="Comma [0] TBD-_profit summary 13 110" xfId="38783"/>
    <cellStyle name="Comma [0] TBD_profit summary 13 111" xfId="38784"/>
    <cellStyle name="Comma [0] TBD-_profit summary 13 111" xfId="38785"/>
    <cellStyle name="Comma [0] TBD_profit summary 13 112" xfId="38786"/>
    <cellStyle name="Comma [0] TBD-_profit summary 13 112" xfId="38787"/>
    <cellStyle name="Comma [0] TBD_profit summary 13 113" xfId="38788"/>
    <cellStyle name="Comma [0] TBD-_profit summary 13 113" xfId="38789"/>
    <cellStyle name="Comma [0] TBD_profit summary 13 114" xfId="38790"/>
    <cellStyle name="Comma [0] TBD-_profit summary 13 114" xfId="38791"/>
    <cellStyle name="Comma [0] TBD_profit summary 13 115" xfId="38792"/>
    <cellStyle name="Comma [0] TBD-_profit summary 13 115" xfId="38793"/>
    <cellStyle name="Comma [0] TBD_profit summary 13 116" xfId="38794"/>
    <cellStyle name="Comma [0] TBD-_profit summary 13 116" xfId="38795"/>
    <cellStyle name="Comma [0] TBD_profit summary 13 117" xfId="38796"/>
    <cellStyle name="Comma [0] TBD-_profit summary 13 117" xfId="38797"/>
    <cellStyle name="Comma [0] TBD_profit summary 13 118" xfId="38798"/>
    <cellStyle name="Comma [0] TBD-_profit summary 13 118" xfId="38799"/>
    <cellStyle name="Comma [0] TBD_profit summary 13 119" xfId="38800"/>
    <cellStyle name="Comma [0] TBD-_profit summary 13 119" xfId="38801"/>
    <cellStyle name="Comma [0] TBD_profit summary 13 12" xfId="38802"/>
    <cellStyle name="Comma [0] TBD-_profit summary 13 12" xfId="38803"/>
    <cellStyle name="Comma [0] TBD_profit summary 13 120" xfId="38804"/>
    <cellStyle name="Comma [0] TBD-_profit summary 13 120" xfId="38805"/>
    <cellStyle name="Comma [0] TBD_profit summary 13 121" xfId="38806"/>
    <cellStyle name="Comma [0] TBD-_profit summary 13 121" xfId="38807"/>
    <cellStyle name="Comma [0] TBD_profit summary 13 122" xfId="38808"/>
    <cellStyle name="Comma [0] TBD-_profit summary 13 122" xfId="38809"/>
    <cellStyle name="Comma [0] TBD_profit summary 13 123" xfId="38810"/>
    <cellStyle name="Comma [0] TBD-_profit summary 13 123" xfId="38811"/>
    <cellStyle name="Comma [0] TBD_profit summary 13 124" xfId="38812"/>
    <cellStyle name="Comma [0] TBD-_profit summary 13 124" xfId="38813"/>
    <cellStyle name="Comma [0] TBD_profit summary 13 125" xfId="38814"/>
    <cellStyle name="Comma [0] TBD-_profit summary 13 125" xfId="38815"/>
    <cellStyle name="Comma [0] TBD_profit summary 13 126" xfId="38816"/>
    <cellStyle name="Comma [0] TBD-_profit summary 13 126" xfId="38817"/>
    <cellStyle name="Comma [0] TBD_profit summary 13 127" xfId="38818"/>
    <cellStyle name="Comma [0] TBD-_profit summary 13 127" xfId="38819"/>
    <cellStyle name="Comma [0] TBD_profit summary 13 128" xfId="38820"/>
    <cellStyle name="Comma [0] TBD-_profit summary 13 128" xfId="38821"/>
    <cellStyle name="Comma [0] TBD_profit summary 13 129" xfId="38822"/>
    <cellStyle name="Comma [0] TBD-_profit summary 13 129" xfId="38823"/>
    <cellStyle name="Comma [0] TBD_profit summary 13 13" xfId="38824"/>
    <cellStyle name="Comma [0] TBD-_profit summary 13 13" xfId="38825"/>
    <cellStyle name="Comma [0] TBD_profit summary 13 130" xfId="38826"/>
    <cellStyle name="Comma [0] TBD-_profit summary 13 130" xfId="38827"/>
    <cellStyle name="Comma [0] TBD_profit summary 13 131" xfId="38828"/>
    <cellStyle name="Comma [0] TBD-_profit summary 13 131" xfId="38829"/>
    <cellStyle name="Comma [0] TBD_profit summary 13 132" xfId="38830"/>
    <cellStyle name="Comma [0] TBD-_profit summary 13 132" xfId="38831"/>
    <cellStyle name="Comma [0] TBD_profit summary 13 133" xfId="38832"/>
    <cellStyle name="Comma [0] TBD-_profit summary 13 133" xfId="38833"/>
    <cellStyle name="Comma [0] TBD_profit summary 13 134" xfId="38834"/>
    <cellStyle name="Comma [0] TBD-_profit summary 13 134" xfId="38835"/>
    <cellStyle name="Comma [0] TBD_profit summary 13 135" xfId="38836"/>
    <cellStyle name="Comma [0] TBD-_profit summary 13 135" xfId="38837"/>
    <cellStyle name="Comma [0] TBD_profit summary 13 136" xfId="38838"/>
    <cellStyle name="Comma [0] TBD-_profit summary 13 136" xfId="38839"/>
    <cellStyle name="Comma [0] TBD_profit summary 13 137" xfId="38840"/>
    <cellStyle name="Comma [0] TBD-_profit summary 13 137" xfId="38841"/>
    <cellStyle name="Comma [0] TBD_profit summary 13 138" xfId="38842"/>
    <cellStyle name="Comma [0] TBD-_profit summary 13 138" xfId="38843"/>
    <cellStyle name="Comma [0] TBD_profit summary 13 139" xfId="38844"/>
    <cellStyle name="Comma [0] TBD-_profit summary 13 139" xfId="38845"/>
    <cellStyle name="Comma [0] TBD_profit summary 13 14" xfId="38846"/>
    <cellStyle name="Comma [0] TBD-_profit summary 13 14" xfId="38847"/>
    <cellStyle name="Comma [0] TBD_profit summary 13 140" xfId="38848"/>
    <cellStyle name="Comma [0] TBD-_profit summary 13 140" xfId="38849"/>
    <cellStyle name="Comma [0] TBD_profit summary 13 141" xfId="38850"/>
    <cellStyle name="Comma [0] TBD-_profit summary 13 141" xfId="38851"/>
    <cellStyle name="Comma [0] TBD_profit summary 13 142" xfId="38852"/>
    <cellStyle name="Comma [0] TBD-_profit summary 13 142" xfId="38853"/>
    <cellStyle name="Comma [0] TBD_profit summary 13 143" xfId="38854"/>
    <cellStyle name="Comma [0] TBD-_profit summary 13 143" xfId="38855"/>
    <cellStyle name="Comma [0] TBD_profit summary 13 144" xfId="38856"/>
    <cellStyle name="Comma [0] TBD-_profit summary 13 144" xfId="38857"/>
    <cellStyle name="Comma [0] TBD_profit summary 13 145" xfId="38858"/>
    <cellStyle name="Comma [0] TBD-_profit summary 13 145" xfId="38859"/>
    <cellStyle name="Comma [0] TBD_profit summary 13 146" xfId="38860"/>
    <cellStyle name="Comma [0] TBD-_profit summary 13 146" xfId="38861"/>
    <cellStyle name="Comma [0] TBD_profit summary 13 147" xfId="38862"/>
    <cellStyle name="Comma [0] TBD-_profit summary 13 147" xfId="38863"/>
    <cellStyle name="Comma [0] TBD_profit summary 13 148" xfId="38864"/>
    <cellStyle name="Comma [0] TBD-_profit summary 13 148" xfId="38865"/>
    <cellStyle name="Comma [0] TBD_profit summary 13 149" xfId="38866"/>
    <cellStyle name="Comma [0] TBD-_profit summary 13 149" xfId="38867"/>
    <cellStyle name="Comma [0] TBD_profit summary 13 15" xfId="38868"/>
    <cellStyle name="Comma [0] TBD-_profit summary 13 15" xfId="38869"/>
    <cellStyle name="Comma [0] TBD_profit summary 13 150" xfId="38870"/>
    <cellStyle name="Comma [0] TBD-_profit summary 13 150" xfId="38871"/>
    <cellStyle name="Comma [0] TBD_profit summary 13 151" xfId="38872"/>
    <cellStyle name="Comma [0] TBD-_profit summary 13 151" xfId="38873"/>
    <cellStyle name="Comma [0] TBD_profit summary 13 152" xfId="38874"/>
    <cellStyle name="Comma [0] TBD-_profit summary 13 152" xfId="38875"/>
    <cellStyle name="Comma [0] TBD_profit summary 13 153" xfId="38876"/>
    <cellStyle name="Comma [0] TBD-_profit summary 13 153" xfId="38877"/>
    <cellStyle name="Comma [0] TBD_profit summary 13 16" xfId="38878"/>
    <cellStyle name="Comma [0] TBD-_profit summary 13 16" xfId="38879"/>
    <cellStyle name="Comma [0] TBD_profit summary 13 17" xfId="38880"/>
    <cellStyle name="Comma [0] TBD-_profit summary 13 17" xfId="38881"/>
    <cellStyle name="Comma [0] TBD_profit summary 13 18" xfId="38882"/>
    <cellStyle name="Comma [0] TBD-_profit summary 13 18" xfId="38883"/>
    <cellStyle name="Comma [0] TBD_profit summary 13 19" xfId="38884"/>
    <cellStyle name="Comma [0] TBD-_profit summary 13 19" xfId="38885"/>
    <cellStyle name="Comma [0] TBD_profit summary 13 2" xfId="38886"/>
    <cellStyle name="Comma [0] TBD-_profit summary 13 2" xfId="38887"/>
    <cellStyle name="Comma [0] TBD_profit summary 13 20" xfId="38888"/>
    <cellStyle name="Comma [0] TBD-_profit summary 13 20" xfId="38889"/>
    <cellStyle name="Comma [0] TBD_profit summary 13 21" xfId="38890"/>
    <cellStyle name="Comma [0] TBD-_profit summary 13 21" xfId="38891"/>
    <cellStyle name="Comma [0] TBD_profit summary 13 22" xfId="38892"/>
    <cellStyle name="Comma [0] TBD-_profit summary 13 22" xfId="38893"/>
    <cellStyle name="Comma [0] TBD_profit summary 13 23" xfId="38894"/>
    <cellStyle name="Comma [0] TBD-_profit summary 13 23" xfId="38895"/>
    <cellStyle name="Comma [0] TBD_profit summary 13 24" xfId="38896"/>
    <cellStyle name="Comma [0] TBD-_profit summary 13 24" xfId="38897"/>
    <cellStyle name="Comma [0] TBD_profit summary 13 25" xfId="38898"/>
    <cellStyle name="Comma [0] TBD-_profit summary 13 25" xfId="38899"/>
    <cellStyle name="Comma [0] TBD_profit summary 13 26" xfId="38900"/>
    <cellStyle name="Comma [0] TBD-_profit summary 13 26" xfId="38901"/>
    <cellStyle name="Comma [0] TBD_profit summary 13 27" xfId="38902"/>
    <cellStyle name="Comma [0] TBD-_profit summary 13 27" xfId="38903"/>
    <cellStyle name="Comma [0] TBD_profit summary 13 28" xfId="38904"/>
    <cellStyle name="Comma [0] TBD-_profit summary 13 28" xfId="38905"/>
    <cellStyle name="Comma [0] TBD_profit summary 13 29" xfId="38906"/>
    <cellStyle name="Comma [0] TBD-_profit summary 13 29" xfId="38907"/>
    <cellStyle name="Comma [0] TBD_profit summary 13 3" xfId="38908"/>
    <cellStyle name="Comma [0] TBD-_profit summary 13 3" xfId="38909"/>
    <cellStyle name="Comma [0] TBD_profit summary 13 30" xfId="38910"/>
    <cellStyle name="Comma [0] TBD-_profit summary 13 30" xfId="38911"/>
    <cellStyle name="Comma [0] TBD_profit summary 13 31" xfId="38912"/>
    <cellStyle name="Comma [0] TBD-_profit summary 13 31" xfId="38913"/>
    <cellStyle name="Comma [0] TBD_profit summary 13 32" xfId="38914"/>
    <cellStyle name="Comma [0] TBD-_profit summary 13 32" xfId="38915"/>
    <cellStyle name="Comma [0] TBD_profit summary 13 33" xfId="38916"/>
    <cellStyle name="Comma [0] TBD-_profit summary 13 33" xfId="38917"/>
    <cellStyle name="Comma [0] TBD_profit summary 13 34" xfId="38918"/>
    <cellStyle name="Comma [0] TBD-_profit summary 13 34" xfId="38919"/>
    <cellStyle name="Comma [0] TBD_profit summary 13 35" xfId="38920"/>
    <cellStyle name="Comma [0] TBD-_profit summary 13 35" xfId="38921"/>
    <cellStyle name="Comma [0] TBD_profit summary 13 36" xfId="38922"/>
    <cellStyle name="Comma [0] TBD-_profit summary 13 36" xfId="38923"/>
    <cellStyle name="Comma [0] TBD_profit summary 13 37" xfId="38924"/>
    <cellStyle name="Comma [0] TBD-_profit summary 13 37" xfId="38925"/>
    <cellStyle name="Comma [0] TBD_profit summary 13 38" xfId="38926"/>
    <cellStyle name="Comma [0] TBD-_profit summary 13 38" xfId="38927"/>
    <cellStyle name="Comma [0] TBD_profit summary 13 39" xfId="38928"/>
    <cellStyle name="Comma [0] TBD-_profit summary 13 39" xfId="38929"/>
    <cellStyle name="Comma [0] TBD_profit summary 13 4" xfId="38930"/>
    <cellStyle name="Comma [0] TBD-_profit summary 13 4" xfId="38931"/>
    <cellStyle name="Comma [0] TBD_profit summary 13 40" xfId="38932"/>
    <cellStyle name="Comma [0] TBD-_profit summary 13 40" xfId="38933"/>
    <cellStyle name="Comma [0] TBD_profit summary 13 41" xfId="38934"/>
    <cellStyle name="Comma [0] TBD-_profit summary 13 41" xfId="38935"/>
    <cellStyle name="Comma [0] TBD_profit summary 13 42" xfId="38936"/>
    <cellStyle name="Comma [0] TBD-_profit summary 13 42" xfId="38937"/>
    <cellStyle name="Comma [0] TBD_profit summary 13 43" xfId="38938"/>
    <cellStyle name="Comma [0] TBD-_profit summary 13 43" xfId="38939"/>
    <cellStyle name="Comma [0] TBD_profit summary 13 44" xfId="38940"/>
    <cellStyle name="Comma [0] TBD-_profit summary 13 44" xfId="38941"/>
    <cellStyle name="Comma [0] TBD_profit summary 13 45" xfId="38942"/>
    <cellStyle name="Comma [0] TBD-_profit summary 13 45" xfId="38943"/>
    <cellStyle name="Comma [0] TBD_profit summary 13 46" xfId="38944"/>
    <cellStyle name="Comma [0] TBD-_profit summary 13 46" xfId="38945"/>
    <cellStyle name="Comma [0] TBD_profit summary 13 47" xfId="38946"/>
    <cellStyle name="Comma [0] TBD-_profit summary 13 47" xfId="38947"/>
    <cellStyle name="Comma [0] TBD_profit summary 13 48" xfId="38948"/>
    <cellStyle name="Comma [0] TBD-_profit summary 13 48" xfId="38949"/>
    <cellStyle name="Comma [0] TBD_profit summary 13 49" xfId="38950"/>
    <cellStyle name="Comma [0] TBD-_profit summary 13 49" xfId="38951"/>
    <cellStyle name="Comma [0] TBD_profit summary 13 5" xfId="38952"/>
    <cellStyle name="Comma [0] TBD-_profit summary 13 5" xfId="38953"/>
    <cellStyle name="Comma [0] TBD_profit summary 13 50" xfId="38954"/>
    <cellStyle name="Comma [0] TBD-_profit summary 13 50" xfId="38955"/>
    <cellStyle name="Comma [0] TBD_profit summary 13 51" xfId="38956"/>
    <cellStyle name="Comma [0] TBD-_profit summary 13 51" xfId="38957"/>
    <cellStyle name="Comma [0] TBD_profit summary 13 52" xfId="38958"/>
    <cellStyle name="Comma [0] TBD-_profit summary 13 52" xfId="38959"/>
    <cellStyle name="Comma [0] TBD_profit summary 13 53" xfId="38960"/>
    <cellStyle name="Comma [0] TBD-_profit summary 13 53" xfId="38961"/>
    <cellStyle name="Comma [0] TBD_profit summary 13 54" xfId="38962"/>
    <cellStyle name="Comma [0] TBD-_profit summary 13 54" xfId="38963"/>
    <cellStyle name="Comma [0] TBD_profit summary 13 55" xfId="38964"/>
    <cellStyle name="Comma [0] TBD-_profit summary 13 55" xfId="38965"/>
    <cellStyle name="Comma [0] TBD_profit summary 13 56" xfId="38966"/>
    <cellStyle name="Comma [0] TBD-_profit summary 13 56" xfId="38967"/>
    <cellStyle name="Comma [0] TBD_profit summary 13 57" xfId="38968"/>
    <cellStyle name="Comma [0] TBD-_profit summary 13 57" xfId="38969"/>
    <cellStyle name="Comma [0] TBD_profit summary 13 58" xfId="38970"/>
    <cellStyle name="Comma [0] TBD-_profit summary 13 58" xfId="38971"/>
    <cellStyle name="Comma [0] TBD_profit summary 13 59" xfId="38972"/>
    <cellStyle name="Comma [0] TBD-_profit summary 13 59" xfId="38973"/>
    <cellStyle name="Comma [0] TBD_profit summary 13 6" xfId="38974"/>
    <cellStyle name="Comma [0] TBD-_profit summary 13 6" xfId="38975"/>
    <cellStyle name="Comma [0] TBD_profit summary 13 60" xfId="38976"/>
    <cellStyle name="Comma [0] TBD-_profit summary 13 60" xfId="38977"/>
    <cellStyle name="Comma [0] TBD_profit summary 13 61" xfId="38978"/>
    <cellStyle name="Comma [0] TBD-_profit summary 13 61" xfId="38979"/>
    <cellStyle name="Comma [0] TBD_profit summary 13 62" xfId="38980"/>
    <cellStyle name="Comma [0] TBD-_profit summary 13 62" xfId="38981"/>
    <cellStyle name="Comma [0] TBD_profit summary 13 63" xfId="38982"/>
    <cellStyle name="Comma [0] TBD-_profit summary 13 63" xfId="38983"/>
    <cellStyle name="Comma [0] TBD_profit summary 13 64" xfId="38984"/>
    <cellStyle name="Comma [0] TBD-_profit summary 13 64" xfId="38985"/>
    <cellStyle name="Comma [0] TBD_profit summary 13 65" xfId="38986"/>
    <cellStyle name="Comma [0] TBD-_profit summary 13 65" xfId="38987"/>
    <cellStyle name="Comma [0] TBD_profit summary 13 66" xfId="38988"/>
    <cellStyle name="Comma [0] TBD-_profit summary 13 66" xfId="38989"/>
    <cellStyle name="Comma [0] TBD_profit summary 13 67" xfId="38990"/>
    <cellStyle name="Comma [0] TBD-_profit summary 13 67" xfId="38991"/>
    <cellStyle name="Comma [0] TBD_profit summary 13 68" xfId="38992"/>
    <cellStyle name="Comma [0] TBD-_profit summary 13 68" xfId="38993"/>
    <cellStyle name="Comma [0] TBD_profit summary 13 69" xfId="38994"/>
    <cellStyle name="Comma [0] TBD-_profit summary 13 69" xfId="38995"/>
    <cellStyle name="Comma [0] TBD_profit summary 13 7" xfId="38996"/>
    <cellStyle name="Comma [0] TBD-_profit summary 13 7" xfId="38997"/>
    <cellStyle name="Comma [0] TBD_profit summary 13 70" xfId="38998"/>
    <cellStyle name="Comma [0] TBD-_profit summary 13 70" xfId="38999"/>
    <cellStyle name="Comma [0] TBD_profit summary 13 71" xfId="39000"/>
    <cellStyle name="Comma [0] TBD-_profit summary 13 71" xfId="39001"/>
    <cellStyle name="Comma [0] TBD_profit summary 13 72" xfId="39002"/>
    <cellStyle name="Comma [0] TBD-_profit summary 13 72" xfId="39003"/>
    <cellStyle name="Comma [0] TBD_profit summary 13 73" xfId="39004"/>
    <cellStyle name="Comma [0] TBD-_profit summary 13 73" xfId="39005"/>
    <cellStyle name="Comma [0] TBD_profit summary 13 74" xfId="39006"/>
    <cellStyle name="Comma [0] TBD-_profit summary 13 74" xfId="39007"/>
    <cellStyle name="Comma [0] TBD_profit summary 13 75" xfId="39008"/>
    <cellStyle name="Comma [0] TBD-_profit summary 13 75" xfId="39009"/>
    <cellStyle name="Comma [0] TBD_profit summary 13 76" xfId="39010"/>
    <cellStyle name="Comma [0] TBD-_profit summary 13 76" xfId="39011"/>
    <cellStyle name="Comma [0] TBD_profit summary 13 77" xfId="39012"/>
    <cellStyle name="Comma [0] TBD-_profit summary 13 77" xfId="39013"/>
    <cellStyle name="Comma [0] TBD_profit summary 13 78" xfId="39014"/>
    <cellStyle name="Comma [0] TBD-_profit summary 13 78" xfId="39015"/>
    <cellStyle name="Comma [0] TBD_profit summary 13 79" xfId="39016"/>
    <cellStyle name="Comma [0] TBD-_profit summary 13 79" xfId="39017"/>
    <cellStyle name="Comma [0] TBD_profit summary 13 8" xfId="39018"/>
    <cellStyle name="Comma [0] TBD-_profit summary 13 8" xfId="39019"/>
    <cellStyle name="Comma [0] TBD_profit summary 13 80" xfId="39020"/>
    <cellStyle name="Comma [0] TBD-_profit summary 13 80" xfId="39021"/>
    <cellStyle name="Comma [0] TBD_profit summary 13 81" xfId="39022"/>
    <cellStyle name="Comma [0] TBD-_profit summary 13 81" xfId="39023"/>
    <cellStyle name="Comma [0] TBD_profit summary 13 82" xfId="39024"/>
    <cellStyle name="Comma [0] TBD-_profit summary 13 82" xfId="39025"/>
    <cellStyle name="Comma [0] TBD_profit summary 13 83" xfId="39026"/>
    <cellStyle name="Comma [0] TBD-_profit summary 13 83" xfId="39027"/>
    <cellStyle name="Comma [0] TBD_profit summary 13 84" xfId="39028"/>
    <cellStyle name="Comma [0] TBD-_profit summary 13 84" xfId="39029"/>
    <cellStyle name="Comma [0] TBD_profit summary 13 85" xfId="39030"/>
    <cellStyle name="Comma [0] TBD-_profit summary 13 85" xfId="39031"/>
    <cellStyle name="Comma [0] TBD_profit summary 13 86" xfId="39032"/>
    <cellStyle name="Comma [0] TBD-_profit summary 13 86" xfId="39033"/>
    <cellStyle name="Comma [0] TBD_profit summary 13 87" xfId="39034"/>
    <cellStyle name="Comma [0] TBD-_profit summary 13 87" xfId="39035"/>
    <cellStyle name="Comma [0] TBD_profit summary 13 88" xfId="39036"/>
    <cellStyle name="Comma [0] TBD-_profit summary 13 88" xfId="39037"/>
    <cellStyle name="Comma [0] TBD_profit summary 13 89" xfId="39038"/>
    <cellStyle name="Comma [0] TBD-_profit summary 13 89" xfId="39039"/>
    <cellStyle name="Comma [0] TBD_profit summary 13 9" xfId="39040"/>
    <cellStyle name="Comma [0] TBD-_profit summary 13 9" xfId="39041"/>
    <cellStyle name="Comma [0] TBD_profit summary 13 90" xfId="39042"/>
    <cellStyle name="Comma [0] TBD-_profit summary 13 90" xfId="39043"/>
    <cellStyle name="Comma [0] TBD_profit summary 13 91" xfId="39044"/>
    <cellStyle name="Comma [0] TBD-_profit summary 13 91" xfId="39045"/>
    <cellStyle name="Comma [0] TBD_profit summary 13 92" xfId="39046"/>
    <cellStyle name="Comma [0] TBD-_profit summary 13 92" xfId="39047"/>
    <cellStyle name="Comma [0] TBD_profit summary 13 93" xfId="39048"/>
    <cellStyle name="Comma [0] TBD-_profit summary 13 93" xfId="39049"/>
    <cellStyle name="Comma [0] TBD_profit summary 13 94" xfId="39050"/>
    <cellStyle name="Comma [0] TBD-_profit summary 13 94" xfId="39051"/>
    <cellStyle name="Comma [0] TBD_profit summary 13 95" xfId="39052"/>
    <cellStyle name="Comma [0] TBD-_profit summary 13 95" xfId="39053"/>
    <cellStyle name="Comma [0] TBD_profit summary 13 96" xfId="39054"/>
    <cellStyle name="Comma [0] TBD-_profit summary 13 96" xfId="39055"/>
    <cellStyle name="Comma [0] TBD_profit summary 13 97" xfId="39056"/>
    <cellStyle name="Comma [0] TBD-_profit summary 13 97" xfId="39057"/>
    <cellStyle name="Comma [0] TBD_profit summary 13 98" xfId="39058"/>
    <cellStyle name="Comma [0] TBD-_profit summary 13 98" xfId="39059"/>
    <cellStyle name="Comma [0] TBD_profit summary 13 99" xfId="39060"/>
    <cellStyle name="Comma [0] TBD-_profit summary 13 99" xfId="39061"/>
    <cellStyle name="Comma [0] TBD_profit summary 14" xfId="39062"/>
    <cellStyle name="Comma [0] TBD-_profit summary 14" xfId="39063"/>
    <cellStyle name="Comma [0] TBD_profit summary 14 10" xfId="39064"/>
    <cellStyle name="Comma [0] TBD-_profit summary 14 10" xfId="39065"/>
    <cellStyle name="Comma [0] TBD_profit summary 14 100" xfId="39066"/>
    <cellStyle name="Comma [0] TBD-_profit summary 14 100" xfId="39067"/>
    <cellStyle name="Comma [0] TBD_profit summary 14 101" xfId="39068"/>
    <cellStyle name="Comma [0] TBD-_profit summary 14 101" xfId="39069"/>
    <cellStyle name="Comma [0] TBD_profit summary 14 102" xfId="39070"/>
    <cellStyle name="Comma [0] TBD-_profit summary 14 102" xfId="39071"/>
    <cellStyle name="Comma [0] TBD_profit summary 14 103" xfId="39072"/>
    <cellStyle name="Comma [0] TBD-_profit summary 14 103" xfId="39073"/>
    <cellStyle name="Comma [0] TBD_profit summary 14 104" xfId="39074"/>
    <cellStyle name="Comma [0] TBD-_profit summary 14 104" xfId="39075"/>
    <cellStyle name="Comma [0] TBD_profit summary 14 105" xfId="39076"/>
    <cellStyle name="Comma [0] TBD-_profit summary 14 105" xfId="39077"/>
    <cellStyle name="Comma [0] TBD_profit summary 14 106" xfId="39078"/>
    <cellStyle name="Comma [0] TBD-_profit summary 14 106" xfId="39079"/>
    <cellStyle name="Comma [0] TBD_profit summary 14 107" xfId="39080"/>
    <cellStyle name="Comma [0] TBD-_profit summary 14 107" xfId="39081"/>
    <cellStyle name="Comma [0] TBD_profit summary 14 108" xfId="39082"/>
    <cellStyle name="Comma [0] TBD-_profit summary 14 108" xfId="39083"/>
    <cellStyle name="Comma [0] TBD_profit summary 14 109" xfId="39084"/>
    <cellStyle name="Comma [0] TBD-_profit summary 14 109" xfId="39085"/>
    <cellStyle name="Comma [0] TBD_profit summary 14 11" xfId="39086"/>
    <cellStyle name="Comma [0] TBD-_profit summary 14 11" xfId="39087"/>
    <cellStyle name="Comma [0] TBD_profit summary 14 110" xfId="39088"/>
    <cellStyle name="Comma [0] TBD-_profit summary 14 110" xfId="39089"/>
    <cellStyle name="Comma [0] TBD_profit summary 14 111" xfId="39090"/>
    <cellStyle name="Comma [0] TBD-_profit summary 14 111" xfId="39091"/>
    <cellStyle name="Comma [0] TBD_profit summary 14 112" xfId="39092"/>
    <cellStyle name="Comma [0] TBD-_profit summary 14 112" xfId="39093"/>
    <cellStyle name="Comma [0] TBD_profit summary 14 113" xfId="39094"/>
    <cellStyle name="Comma [0] TBD-_profit summary 14 113" xfId="39095"/>
    <cellStyle name="Comma [0] TBD_profit summary 14 114" xfId="39096"/>
    <cellStyle name="Comma [0] TBD-_profit summary 14 114" xfId="39097"/>
    <cellStyle name="Comma [0] TBD_profit summary 14 115" xfId="39098"/>
    <cellStyle name="Comma [0] TBD-_profit summary 14 115" xfId="39099"/>
    <cellStyle name="Comma [0] TBD_profit summary 14 116" xfId="39100"/>
    <cellStyle name="Comma [0] TBD-_profit summary 14 116" xfId="39101"/>
    <cellStyle name="Comma [0] TBD_profit summary 14 117" xfId="39102"/>
    <cellStyle name="Comma [0] TBD-_profit summary 14 117" xfId="39103"/>
    <cellStyle name="Comma [0] TBD_profit summary 14 118" xfId="39104"/>
    <cellStyle name="Comma [0] TBD-_profit summary 14 118" xfId="39105"/>
    <cellStyle name="Comma [0] TBD_profit summary 14 119" xfId="39106"/>
    <cellStyle name="Comma [0] TBD-_profit summary 14 119" xfId="39107"/>
    <cellStyle name="Comma [0] TBD_profit summary 14 12" xfId="39108"/>
    <cellStyle name="Comma [0] TBD-_profit summary 14 12" xfId="39109"/>
    <cellStyle name="Comma [0] TBD_profit summary 14 120" xfId="39110"/>
    <cellStyle name="Comma [0] TBD-_profit summary 14 120" xfId="39111"/>
    <cellStyle name="Comma [0] TBD_profit summary 14 121" xfId="39112"/>
    <cellStyle name="Comma [0] TBD-_profit summary 14 121" xfId="39113"/>
    <cellStyle name="Comma [0] TBD_profit summary 14 122" xfId="39114"/>
    <cellStyle name="Comma [0] TBD-_profit summary 14 122" xfId="39115"/>
    <cellStyle name="Comma [0] TBD_profit summary 14 123" xfId="39116"/>
    <cellStyle name="Comma [0] TBD-_profit summary 14 123" xfId="39117"/>
    <cellStyle name="Comma [0] TBD_profit summary 14 124" xfId="39118"/>
    <cellStyle name="Comma [0] TBD-_profit summary 14 124" xfId="39119"/>
    <cellStyle name="Comma [0] TBD_profit summary 14 125" xfId="39120"/>
    <cellStyle name="Comma [0] TBD-_profit summary 14 125" xfId="39121"/>
    <cellStyle name="Comma [0] TBD_profit summary 14 126" xfId="39122"/>
    <cellStyle name="Comma [0] TBD-_profit summary 14 126" xfId="39123"/>
    <cellStyle name="Comma [0] TBD_profit summary 14 127" xfId="39124"/>
    <cellStyle name="Comma [0] TBD-_profit summary 14 127" xfId="39125"/>
    <cellStyle name="Comma [0] TBD_profit summary 14 128" xfId="39126"/>
    <cellStyle name="Comma [0] TBD-_profit summary 14 128" xfId="39127"/>
    <cellStyle name="Comma [0] TBD_profit summary 14 129" xfId="39128"/>
    <cellStyle name="Comma [0] TBD-_profit summary 14 129" xfId="39129"/>
    <cellStyle name="Comma [0] TBD_profit summary 14 13" xfId="39130"/>
    <cellStyle name="Comma [0] TBD-_profit summary 14 13" xfId="39131"/>
    <cellStyle name="Comma [0] TBD_profit summary 14 130" xfId="39132"/>
    <cellStyle name="Comma [0] TBD-_profit summary 14 130" xfId="39133"/>
    <cellStyle name="Comma [0] TBD_profit summary 14 131" xfId="39134"/>
    <cellStyle name="Comma [0] TBD-_profit summary 14 131" xfId="39135"/>
    <cellStyle name="Comma [0] TBD_profit summary 14 132" xfId="39136"/>
    <cellStyle name="Comma [0] TBD-_profit summary 14 132" xfId="39137"/>
    <cellStyle name="Comma [0] TBD_profit summary 14 133" xfId="39138"/>
    <cellStyle name="Comma [0] TBD-_profit summary 14 133" xfId="39139"/>
    <cellStyle name="Comma [0] TBD_profit summary 14 134" xfId="39140"/>
    <cellStyle name="Comma [0] TBD-_profit summary 14 134" xfId="39141"/>
    <cellStyle name="Comma [0] TBD_profit summary 14 135" xfId="39142"/>
    <cellStyle name="Comma [0] TBD-_profit summary 14 135" xfId="39143"/>
    <cellStyle name="Comma [0] TBD_profit summary 14 136" xfId="39144"/>
    <cellStyle name="Comma [0] TBD-_profit summary 14 136" xfId="39145"/>
    <cellStyle name="Comma [0] TBD_profit summary 14 137" xfId="39146"/>
    <cellStyle name="Comma [0] TBD-_profit summary 14 137" xfId="39147"/>
    <cellStyle name="Comma [0] TBD_profit summary 14 138" xfId="39148"/>
    <cellStyle name="Comma [0] TBD-_profit summary 14 138" xfId="39149"/>
    <cellStyle name="Comma [0] TBD_profit summary 14 139" xfId="39150"/>
    <cellStyle name="Comma [0] TBD-_profit summary 14 139" xfId="39151"/>
    <cellStyle name="Comma [0] TBD_profit summary 14 14" xfId="39152"/>
    <cellStyle name="Comma [0] TBD-_profit summary 14 14" xfId="39153"/>
    <cellStyle name="Comma [0] TBD_profit summary 14 140" xfId="39154"/>
    <cellStyle name="Comma [0] TBD-_profit summary 14 140" xfId="39155"/>
    <cellStyle name="Comma [0] TBD_profit summary 14 141" xfId="39156"/>
    <cellStyle name="Comma [0] TBD-_profit summary 14 141" xfId="39157"/>
    <cellStyle name="Comma [0] TBD_profit summary 14 142" xfId="39158"/>
    <cellStyle name="Comma [0] TBD-_profit summary 14 142" xfId="39159"/>
    <cellStyle name="Comma [0] TBD_profit summary 14 143" xfId="39160"/>
    <cellStyle name="Comma [0] TBD-_profit summary 14 143" xfId="39161"/>
    <cellStyle name="Comma [0] TBD_profit summary 14 144" xfId="39162"/>
    <cellStyle name="Comma [0] TBD-_profit summary 14 144" xfId="39163"/>
    <cellStyle name="Comma [0] TBD_profit summary 14 145" xfId="39164"/>
    <cellStyle name="Comma [0] TBD-_profit summary 14 145" xfId="39165"/>
    <cellStyle name="Comma [0] TBD_profit summary 14 146" xfId="39166"/>
    <cellStyle name="Comma [0] TBD-_profit summary 14 146" xfId="39167"/>
    <cellStyle name="Comma [0] TBD_profit summary 14 147" xfId="39168"/>
    <cellStyle name="Comma [0] TBD-_profit summary 14 147" xfId="39169"/>
    <cellStyle name="Comma [0] TBD_profit summary 14 148" xfId="39170"/>
    <cellStyle name="Comma [0] TBD-_profit summary 14 148" xfId="39171"/>
    <cellStyle name="Comma [0] TBD_profit summary 14 149" xfId="39172"/>
    <cellStyle name="Comma [0] TBD-_profit summary 14 149" xfId="39173"/>
    <cellStyle name="Comma [0] TBD_profit summary 14 15" xfId="39174"/>
    <cellStyle name="Comma [0] TBD-_profit summary 14 15" xfId="39175"/>
    <cellStyle name="Comma [0] TBD_profit summary 14 150" xfId="39176"/>
    <cellStyle name="Comma [0] TBD-_profit summary 14 150" xfId="39177"/>
    <cellStyle name="Comma [0] TBD_profit summary 14 151" xfId="39178"/>
    <cellStyle name="Comma [0] TBD-_profit summary 14 151" xfId="39179"/>
    <cellStyle name="Comma [0] TBD_profit summary 14 152" xfId="39180"/>
    <cellStyle name="Comma [0] TBD-_profit summary 14 152" xfId="39181"/>
    <cellStyle name="Comma [0] TBD_profit summary 14 153" xfId="39182"/>
    <cellStyle name="Comma [0] TBD-_profit summary 14 153" xfId="39183"/>
    <cellStyle name="Comma [0] TBD_profit summary 14 16" xfId="39184"/>
    <cellStyle name="Comma [0] TBD-_profit summary 14 16" xfId="39185"/>
    <cellStyle name="Comma [0] TBD_profit summary 14 17" xfId="39186"/>
    <cellStyle name="Comma [0] TBD-_profit summary 14 17" xfId="39187"/>
    <cellStyle name="Comma [0] TBD_profit summary 14 18" xfId="39188"/>
    <cellStyle name="Comma [0] TBD-_profit summary 14 18" xfId="39189"/>
    <cellStyle name="Comma [0] TBD_profit summary 14 19" xfId="39190"/>
    <cellStyle name="Comma [0] TBD-_profit summary 14 19" xfId="39191"/>
    <cellStyle name="Comma [0] TBD_profit summary 14 2" xfId="39192"/>
    <cellStyle name="Comma [0] TBD-_profit summary 14 2" xfId="39193"/>
    <cellStyle name="Comma [0] TBD_profit summary 14 20" xfId="39194"/>
    <cellStyle name="Comma [0] TBD-_profit summary 14 20" xfId="39195"/>
    <cellStyle name="Comma [0] TBD_profit summary 14 21" xfId="39196"/>
    <cellStyle name="Comma [0] TBD-_profit summary 14 21" xfId="39197"/>
    <cellStyle name="Comma [0] TBD_profit summary 14 22" xfId="39198"/>
    <cellStyle name="Comma [0] TBD-_profit summary 14 22" xfId="39199"/>
    <cellStyle name="Comma [0] TBD_profit summary 14 23" xfId="39200"/>
    <cellStyle name="Comma [0] TBD-_profit summary 14 23" xfId="39201"/>
    <cellStyle name="Comma [0] TBD_profit summary 14 24" xfId="39202"/>
    <cellStyle name="Comma [0] TBD-_profit summary 14 24" xfId="39203"/>
    <cellStyle name="Comma [0] TBD_profit summary 14 25" xfId="39204"/>
    <cellStyle name="Comma [0] TBD-_profit summary 14 25" xfId="39205"/>
    <cellStyle name="Comma [0] TBD_profit summary 14 26" xfId="39206"/>
    <cellStyle name="Comma [0] TBD-_profit summary 14 26" xfId="39207"/>
    <cellStyle name="Comma [0] TBD_profit summary 14 27" xfId="39208"/>
    <cellStyle name="Comma [0] TBD-_profit summary 14 27" xfId="39209"/>
    <cellStyle name="Comma [0] TBD_profit summary 14 28" xfId="39210"/>
    <cellStyle name="Comma [0] TBD-_profit summary 14 28" xfId="39211"/>
    <cellStyle name="Comma [0] TBD_profit summary 14 29" xfId="39212"/>
    <cellStyle name="Comma [0] TBD-_profit summary 14 29" xfId="39213"/>
    <cellStyle name="Comma [0] TBD_profit summary 14 3" xfId="39214"/>
    <cellStyle name="Comma [0] TBD-_profit summary 14 3" xfId="39215"/>
    <cellStyle name="Comma [0] TBD_profit summary 14 30" xfId="39216"/>
    <cellStyle name="Comma [0] TBD-_profit summary 14 30" xfId="39217"/>
    <cellStyle name="Comma [0] TBD_profit summary 14 31" xfId="39218"/>
    <cellStyle name="Comma [0] TBD-_profit summary 14 31" xfId="39219"/>
    <cellStyle name="Comma [0] TBD_profit summary 14 32" xfId="39220"/>
    <cellStyle name="Comma [0] TBD-_profit summary 14 32" xfId="39221"/>
    <cellStyle name="Comma [0] TBD_profit summary 14 33" xfId="39222"/>
    <cellStyle name="Comma [0] TBD-_profit summary 14 33" xfId="39223"/>
    <cellStyle name="Comma [0] TBD_profit summary 14 34" xfId="39224"/>
    <cellStyle name="Comma [0] TBD-_profit summary 14 34" xfId="39225"/>
    <cellStyle name="Comma [0] TBD_profit summary 14 35" xfId="39226"/>
    <cellStyle name="Comma [0] TBD-_profit summary 14 35" xfId="39227"/>
    <cellStyle name="Comma [0] TBD_profit summary 14 36" xfId="39228"/>
    <cellStyle name="Comma [0] TBD-_profit summary 14 36" xfId="39229"/>
    <cellStyle name="Comma [0] TBD_profit summary 14 37" xfId="39230"/>
    <cellStyle name="Comma [0] TBD-_profit summary 14 37" xfId="39231"/>
    <cellStyle name="Comma [0] TBD_profit summary 14 38" xfId="39232"/>
    <cellStyle name="Comma [0] TBD-_profit summary 14 38" xfId="39233"/>
    <cellStyle name="Comma [0] TBD_profit summary 14 39" xfId="39234"/>
    <cellStyle name="Comma [0] TBD-_profit summary 14 39" xfId="39235"/>
    <cellStyle name="Comma [0] TBD_profit summary 14 4" xfId="39236"/>
    <cellStyle name="Comma [0] TBD-_profit summary 14 4" xfId="39237"/>
    <cellStyle name="Comma [0] TBD_profit summary 14 40" xfId="39238"/>
    <cellStyle name="Comma [0] TBD-_profit summary 14 40" xfId="39239"/>
    <cellStyle name="Comma [0] TBD_profit summary 14 41" xfId="39240"/>
    <cellStyle name="Comma [0] TBD-_profit summary 14 41" xfId="39241"/>
    <cellStyle name="Comma [0] TBD_profit summary 14 42" xfId="39242"/>
    <cellStyle name="Comma [0] TBD-_profit summary 14 42" xfId="39243"/>
    <cellStyle name="Comma [0] TBD_profit summary 14 43" xfId="39244"/>
    <cellStyle name="Comma [0] TBD-_profit summary 14 43" xfId="39245"/>
    <cellStyle name="Comma [0] TBD_profit summary 14 44" xfId="39246"/>
    <cellStyle name="Comma [0] TBD-_profit summary 14 44" xfId="39247"/>
    <cellStyle name="Comma [0] TBD_profit summary 14 45" xfId="39248"/>
    <cellStyle name="Comma [0] TBD-_profit summary 14 45" xfId="39249"/>
    <cellStyle name="Comma [0] TBD_profit summary 14 46" xfId="39250"/>
    <cellStyle name="Comma [0] TBD-_profit summary 14 46" xfId="39251"/>
    <cellStyle name="Comma [0] TBD_profit summary 14 47" xfId="39252"/>
    <cellStyle name="Comma [0] TBD-_profit summary 14 47" xfId="39253"/>
    <cellStyle name="Comma [0] TBD_profit summary 14 48" xfId="39254"/>
    <cellStyle name="Comma [0] TBD-_profit summary 14 48" xfId="39255"/>
    <cellStyle name="Comma [0] TBD_profit summary 14 49" xfId="39256"/>
    <cellStyle name="Comma [0] TBD-_profit summary 14 49" xfId="39257"/>
    <cellStyle name="Comma [0] TBD_profit summary 14 5" xfId="39258"/>
    <cellStyle name="Comma [0] TBD-_profit summary 14 5" xfId="39259"/>
    <cellStyle name="Comma [0] TBD_profit summary 14 50" xfId="39260"/>
    <cellStyle name="Comma [0] TBD-_profit summary 14 50" xfId="39261"/>
    <cellStyle name="Comma [0] TBD_profit summary 14 51" xfId="39262"/>
    <cellStyle name="Comma [0] TBD-_profit summary 14 51" xfId="39263"/>
    <cellStyle name="Comma [0] TBD_profit summary 14 52" xfId="39264"/>
    <cellStyle name="Comma [0] TBD-_profit summary 14 52" xfId="39265"/>
    <cellStyle name="Comma [0] TBD_profit summary 14 53" xfId="39266"/>
    <cellStyle name="Comma [0] TBD-_profit summary 14 53" xfId="39267"/>
    <cellStyle name="Comma [0] TBD_profit summary 14 54" xfId="39268"/>
    <cellStyle name="Comma [0] TBD-_profit summary 14 54" xfId="39269"/>
    <cellStyle name="Comma [0] TBD_profit summary 14 55" xfId="39270"/>
    <cellStyle name="Comma [0] TBD-_profit summary 14 55" xfId="39271"/>
    <cellStyle name="Comma [0] TBD_profit summary 14 56" xfId="39272"/>
    <cellStyle name="Comma [0] TBD-_profit summary 14 56" xfId="39273"/>
    <cellStyle name="Comma [0] TBD_profit summary 14 57" xfId="39274"/>
    <cellStyle name="Comma [0] TBD-_profit summary 14 57" xfId="39275"/>
    <cellStyle name="Comma [0] TBD_profit summary 14 58" xfId="39276"/>
    <cellStyle name="Comma [0] TBD-_profit summary 14 58" xfId="39277"/>
    <cellStyle name="Comma [0] TBD_profit summary 14 59" xfId="39278"/>
    <cellStyle name="Comma [0] TBD-_profit summary 14 59" xfId="39279"/>
    <cellStyle name="Comma [0] TBD_profit summary 14 6" xfId="39280"/>
    <cellStyle name="Comma [0] TBD-_profit summary 14 6" xfId="39281"/>
    <cellStyle name="Comma [0] TBD_profit summary 14 60" xfId="39282"/>
    <cellStyle name="Comma [0] TBD-_profit summary 14 60" xfId="39283"/>
    <cellStyle name="Comma [0] TBD_profit summary 14 61" xfId="39284"/>
    <cellStyle name="Comma [0] TBD-_profit summary 14 61" xfId="39285"/>
    <cellStyle name="Comma [0] TBD_profit summary 14 62" xfId="39286"/>
    <cellStyle name="Comma [0] TBD-_profit summary 14 62" xfId="39287"/>
    <cellStyle name="Comma [0] TBD_profit summary 14 63" xfId="39288"/>
    <cellStyle name="Comma [0] TBD-_profit summary 14 63" xfId="39289"/>
    <cellStyle name="Comma [0] TBD_profit summary 14 64" xfId="39290"/>
    <cellStyle name="Comma [0] TBD-_profit summary 14 64" xfId="39291"/>
    <cellStyle name="Comma [0] TBD_profit summary 14 65" xfId="39292"/>
    <cellStyle name="Comma [0] TBD-_profit summary 14 65" xfId="39293"/>
    <cellStyle name="Comma [0] TBD_profit summary 14 66" xfId="39294"/>
    <cellStyle name="Comma [0] TBD-_profit summary 14 66" xfId="39295"/>
    <cellStyle name="Comma [0] TBD_profit summary 14 67" xfId="39296"/>
    <cellStyle name="Comma [0] TBD-_profit summary 14 67" xfId="39297"/>
    <cellStyle name="Comma [0] TBD_profit summary 14 68" xfId="39298"/>
    <cellStyle name="Comma [0] TBD-_profit summary 14 68" xfId="39299"/>
    <cellStyle name="Comma [0] TBD_profit summary 14 69" xfId="39300"/>
    <cellStyle name="Comma [0] TBD-_profit summary 14 69" xfId="39301"/>
    <cellStyle name="Comma [0] TBD_profit summary 14 7" xfId="39302"/>
    <cellStyle name="Comma [0] TBD-_profit summary 14 7" xfId="39303"/>
    <cellStyle name="Comma [0] TBD_profit summary 14 70" xfId="39304"/>
    <cellStyle name="Comma [0] TBD-_profit summary 14 70" xfId="39305"/>
    <cellStyle name="Comma [0] TBD_profit summary 14 71" xfId="39306"/>
    <cellStyle name="Comma [0] TBD-_profit summary 14 71" xfId="39307"/>
    <cellStyle name="Comma [0] TBD_profit summary 14 72" xfId="39308"/>
    <cellStyle name="Comma [0] TBD-_profit summary 14 72" xfId="39309"/>
    <cellStyle name="Comma [0] TBD_profit summary 14 73" xfId="39310"/>
    <cellStyle name="Comma [0] TBD-_profit summary 14 73" xfId="39311"/>
    <cellStyle name="Comma [0] TBD_profit summary 14 74" xfId="39312"/>
    <cellStyle name="Comma [0] TBD-_profit summary 14 74" xfId="39313"/>
    <cellStyle name="Comma [0] TBD_profit summary 14 75" xfId="39314"/>
    <cellStyle name="Comma [0] TBD-_profit summary 14 75" xfId="39315"/>
    <cellStyle name="Comma [0] TBD_profit summary 14 76" xfId="39316"/>
    <cellStyle name="Comma [0] TBD-_profit summary 14 76" xfId="39317"/>
    <cellStyle name="Comma [0] TBD_profit summary 14 77" xfId="39318"/>
    <cellStyle name="Comma [0] TBD-_profit summary 14 77" xfId="39319"/>
    <cellStyle name="Comma [0] TBD_profit summary 14 78" xfId="39320"/>
    <cellStyle name="Comma [0] TBD-_profit summary 14 78" xfId="39321"/>
    <cellStyle name="Comma [0] TBD_profit summary 14 79" xfId="39322"/>
    <cellStyle name="Comma [0] TBD-_profit summary 14 79" xfId="39323"/>
    <cellStyle name="Comma [0] TBD_profit summary 14 8" xfId="39324"/>
    <cellStyle name="Comma [0] TBD-_profit summary 14 8" xfId="39325"/>
    <cellStyle name="Comma [0] TBD_profit summary 14 80" xfId="39326"/>
    <cellStyle name="Comma [0] TBD-_profit summary 14 80" xfId="39327"/>
    <cellStyle name="Comma [0] TBD_profit summary 14 81" xfId="39328"/>
    <cellStyle name="Comma [0] TBD-_profit summary 14 81" xfId="39329"/>
    <cellStyle name="Comma [0] TBD_profit summary 14 82" xfId="39330"/>
    <cellStyle name="Comma [0] TBD-_profit summary 14 82" xfId="39331"/>
    <cellStyle name="Comma [0] TBD_profit summary 14 83" xfId="39332"/>
    <cellStyle name="Comma [0] TBD-_profit summary 14 83" xfId="39333"/>
    <cellStyle name="Comma [0] TBD_profit summary 14 84" xfId="39334"/>
    <cellStyle name="Comma [0] TBD-_profit summary 14 84" xfId="39335"/>
    <cellStyle name="Comma [0] TBD_profit summary 14 85" xfId="39336"/>
    <cellStyle name="Comma [0] TBD-_profit summary 14 85" xfId="39337"/>
    <cellStyle name="Comma [0] TBD_profit summary 14 86" xfId="39338"/>
    <cellStyle name="Comma [0] TBD-_profit summary 14 86" xfId="39339"/>
    <cellStyle name="Comma [0] TBD_profit summary 14 87" xfId="39340"/>
    <cellStyle name="Comma [0] TBD-_profit summary 14 87" xfId="39341"/>
    <cellStyle name="Comma [0] TBD_profit summary 14 88" xfId="39342"/>
    <cellStyle name="Comma [0] TBD-_profit summary 14 88" xfId="39343"/>
    <cellStyle name="Comma [0] TBD_profit summary 14 89" xfId="39344"/>
    <cellStyle name="Comma [0] TBD-_profit summary 14 89" xfId="39345"/>
    <cellStyle name="Comma [0] TBD_profit summary 14 9" xfId="39346"/>
    <cellStyle name="Comma [0] TBD-_profit summary 14 9" xfId="39347"/>
    <cellStyle name="Comma [0] TBD_profit summary 14 90" xfId="39348"/>
    <cellStyle name="Comma [0] TBD-_profit summary 14 90" xfId="39349"/>
    <cellStyle name="Comma [0] TBD_profit summary 14 91" xfId="39350"/>
    <cellStyle name="Comma [0] TBD-_profit summary 14 91" xfId="39351"/>
    <cellStyle name="Comma [0] TBD_profit summary 14 92" xfId="39352"/>
    <cellStyle name="Comma [0] TBD-_profit summary 14 92" xfId="39353"/>
    <cellStyle name="Comma [0] TBD_profit summary 14 93" xfId="39354"/>
    <cellStyle name="Comma [0] TBD-_profit summary 14 93" xfId="39355"/>
    <cellStyle name="Comma [0] TBD_profit summary 14 94" xfId="39356"/>
    <cellStyle name="Comma [0] TBD-_profit summary 14 94" xfId="39357"/>
    <cellStyle name="Comma [0] TBD_profit summary 14 95" xfId="39358"/>
    <cellStyle name="Comma [0] TBD-_profit summary 14 95" xfId="39359"/>
    <cellStyle name="Comma [0] TBD_profit summary 14 96" xfId="39360"/>
    <cellStyle name="Comma [0] TBD-_profit summary 14 96" xfId="39361"/>
    <cellStyle name="Comma [0] TBD_profit summary 14 97" xfId="39362"/>
    <cellStyle name="Comma [0] TBD-_profit summary 14 97" xfId="39363"/>
    <cellStyle name="Comma [0] TBD_profit summary 14 98" xfId="39364"/>
    <cellStyle name="Comma [0] TBD-_profit summary 14 98" xfId="39365"/>
    <cellStyle name="Comma [0] TBD_profit summary 14 99" xfId="39366"/>
    <cellStyle name="Comma [0] TBD-_profit summary 14 99" xfId="39367"/>
    <cellStyle name="Comma [0] TBD_profit summary 2" xfId="39368"/>
    <cellStyle name="Comma [0] TBD-_profit summary 2" xfId="39369"/>
    <cellStyle name="Comma [0] TBD_profit summary 2 10" xfId="39370"/>
    <cellStyle name="Comma [0] TBD-_profit summary 2 10" xfId="39371"/>
    <cellStyle name="Comma [0] TBD_profit summary 2 100" xfId="39372"/>
    <cellStyle name="Comma [0] TBD-_profit summary 2 100" xfId="39373"/>
    <cellStyle name="Comma [0] TBD_profit summary 2 101" xfId="39374"/>
    <cellStyle name="Comma [0] TBD-_profit summary 2 101" xfId="39375"/>
    <cellStyle name="Comma [0] TBD_profit summary 2 102" xfId="39376"/>
    <cellStyle name="Comma [0] TBD-_profit summary 2 102" xfId="39377"/>
    <cellStyle name="Comma [0] TBD_profit summary 2 103" xfId="39378"/>
    <cellStyle name="Comma [0] TBD-_profit summary 2 103" xfId="39379"/>
    <cellStyle name="Comma [0] TBD_profit summary 2 104" xfId="39380"/>
    <cellStyle name="Comma [0] TBD-_profit summary 2 104" xfId="39381"/>
    <cellStyle name="Comma [0] TBD_profit summary 2 105" xfId="39382"/>
    <cellStyle name="Comma [0] TBD-_profit summary 2 105" xfId="39383"/>
    <cellStyle name="Comma [0] TBD_profit summary 2 106" xfId="39384"/>
    <cellStyle name="Comma [0] TBD-_profit summary 2 106" xfId="39385"/>
    <cellStyle name="Comma [0] TBD_profit summary 2 107" xfId="39386"/>
    <cellStyle name="Comma [0] TBD-_profit summary 2 107" xfId="39387"/>
    <cellStyle name="Comma [0] TBD_profit summary 2 108" xfId="39388"/>
    <cellStyle name="Comma [0] TBD-_profit summary 2 108" xfId="39389"/>
    <cellStyle name="Comma [0] TBD_profit summary 2 109" xfId="39390"/>
    <cellStyle name="Comma [0] TBD-_profit summary 2 109" xfId="39391"/>
    <cellStyle name="Comma [0] TBD_profit summary 2 11" xfId="39392"/>
    <cellStyle name="Comma [0] TBD-_profit summary 2 11" xfId="39393"/>
    <cellStyle name="Comma [0] TBD_profit summary 2 110" xfId="39394"/>
    <cellStyle name="Comma [0] TBD-_profit summary 2 110" xfId="39395"/>
    <cellStyle name="Comma [0] TBD_profit summary 2 111" xfId="39396"/>
    <cellStyle name="Comma [0] TBD-_profit summary 2 111" xfId="39397"/>
    <cellStyle name="Comma [0] TBD_profit summary 2 112" xfId="39398"/>
    <cellStyle name="Comma [0] TBD-_profit summary 2 112" xfId="39399"/>
    <cellStyle name="Comma [0] TBD_profit summary 2 113" xfId="39400"/>
    <cellStyle name="Comma [0] TBD-_profit summary 2 113" xfId="39401"/>
    <cellStyle name="Comma [0] TBD_profit summary 2 114" xfId="39402"/>
    <cellStyle name="Comma [0] TBD-_profit summary 2 114" xfId="39403"/>
    <cellStyle name="Comma [0] TBD_profit summary 2 115" xfId="39404"/>
    <cellStyle name="Comma [0] TBD-_profit summary 2 115" xfId="39405"/>
    <cellStyle name="Comma [0] TBD_profit summary 2 116" xfId="39406"/>
    <cellStyle name="Comma [0] TBD-_profit summary 2 116" xfId="39407"/>
    <cellStyle name="Comma [0] TBD_profit summary 2 117" xfId="39408"/>
    <cellStyle name="Comma [0] TBD-_profit summary 2 117" xfId="39409"/>
    <cellStyle name="Comma [0] TBD_profit summary 2 118" xfId="39410"/>
    <cellStyle name="Comma [0] TBD-_profit summary 2 118" xfId="39411"/>
    <cellStyle name="Comma [0] TBD_profit summary 2 119" xfId="39412"/>
    <cellStyle name="Comma [0] TBD-_profit summary 2 119" xfId="39413"/>
    <cellStyle name="Comma [0] TBD_profit summary 2 12" xfId="39414"/>
    <cellStyle name="Comma [0] TBD-_profit summary 2 12" xfId="39415"/>
    <cellStyle name="Comma [0] TBD_profit summary 2 120" xfId="39416"/>
    <cellStyle name="Comma [0] TBD-_profit summary 2 120" xfId="39417"/>
    <cellStyle name="Comma [0] TBD_profit summary 2 121" xfId="39418"/>
    <cellStyle name="Comma [0] TBD-_profit summary 2 121" xfId="39419"/>
    <cellStyle name="Comma [0] TBD_profit summary 2 122" xfId="39420"/>
    <cellStyle name="Comma [0] TBD-_profit summary 2 122" xfId="39421"/>
    <cellStyle name="Comma [0] TBD_profit summary 2 123" xfId="39422"/>
    <cellStyle name="Comma [0] TBD-_profit summary 2 123" xfId="39423"/>
    <cellStyle name="Comma [0] TBD_profit summary 2 124" xfId="39424"/>
    <cellStyle name="Comma [0] TBD-_profit summary 2 124" xfId="39425"/>
    <cellStyle name="Comma [0] TBD_profit summary 2 125" xfId="39426"/>
    <cellStyle name="Comma [0] TBD-_profit summary 2 125" xfId="39427"/>
    <cellStyle name="Comma [0] TBD_profit summary 2 126" xfId="39428"/>
    <cellStyle name="Comma [0] TBD-_profit summary 2 126" xfId="39429"/>
    <cellStyle name="Comma [0] TBD_profit summary 2 127" xfId="39430"/>
    <cellStyle name="Comma [0] TBD-_profit summary 2 127" xfId="39431"/>
    <cellStyle name="Comma [0] TBD_profit summary 2 128" xfId="39432"/>
    <cellStyle name="Comma [0] TBD-_profit summary 2 128" xfId="39433"/>
    <cellStyle name="Comma [0] TBD_profit summary 2 129" xfId="39434"/>
    <cellStyle name="Comma [0] TBD-_profit summary 2 129" xfId="39435"/>
    <cellStyle name="Comma [0] TBD_profit summary 2 13" xfId="39436"/>
    <cellStyle name="Comma [0] TBD-_profit summary 2 13" xfId="39437"/>
    <cellStyle name="Comma [0] TBD_profit summary 2 130" xfId="39438"/>
    <cellStyle name="Comma [0] TBD-_profit summary 2 130" xfId="39439"/>
    <cellStyle name="Comma [0] TBD_profit summary 2 131" xfId="39440"/>
    <cellStyle name="Comma [0] TBD-_profit summary 2 131" xfId="39441"/>
    <cellStyle name="Comma [0] TBD_profit summary 2 132" xfId="39442"/>
    <cellStyle name="Comma [0] TBD-_profit summary 2 132" xfId="39443"/>
    <cellStyle name="Comma [0] TBD_profit summary 2 133" xfId="39444"/>
    <cellStyle name="Comma [0] TBD-_profit summary 2 133" xfId="39445"/>
    <cellStyle name="Comma [0] TBD_profit summary 2 134" xfId="39446"/>
    <cellStyle name="Comma [0] TBD-_profit summary 2 134" xfId="39447"/>
    <cellStyle name="Comma [0] TBD_profit summary 2 135" xfId="39448"/>
    <cellStyle name="Comma [0] TBD-_profit summary 2 135" xfId="39449"/>
    <cellStyle name="Comma [0] TBD_profit summary 2 136" xfId="39450"/>
    <cellStyle name="Comma [0] TBD-_profit summary 2 136" xfId="39451"/>
    <cellStyle name="Comma [0] TBD_profit summary 2 137" xfId="39452"/>
    <cellStyle name="Comma [0] TBD-_profit summary 2 137" xfId="39453"/>
    <cellStyle name="Comma [0] TBD_profit summary 2 138" xfId="39454"/>
    <cellStyle name="Comma [0] TBD-_profit summary 2 138" xfId="39455"/>
    <cellStyle name="Comma [0] TBD_profit summary 2 139" xfId="39456"/>
    <cellStyle name="Comma [0] TBD-_profit summary 2 139" xfId="39457"/>
    <cellStyle name="Comma [0] TBD_profit summary 2 14" xfId="39458"/>
    <cellStyle name="Comma [0] TBD-_profit summary 2 14" xfId="39459"/>
    <cellStyle name="Comma [0] TBD_profit summary 2 140" xfId="39460"/>
    <cellStyle name="Comma [0] TBD-_profit summary 2 140" xfId="39461"/>
    <cellStyle name="Comma [0] TBD_profit summary 2 141" xfId="39462"/>
    <cellStyle name="Comma [0] TBD-_profit summary 2 141" xfId="39463"/>
    <cellStyle name="Comma [0] TBD_profit summary 2 142" xfId="39464"/>
    <cellStyle name="Comma [0] TBD-_profit summary 2 142" xfId="39465"/>
    <cellStyle name="Comma [0] TBD_profit summary 2 143" xfId="39466"/>
    <cellStyle name="Comma [0] TBD-_profit summary 2 143" xfId="39467"/>
    <cellStyle name="Comma [0] TBD_profit summary 2 144" xfId="39468"/>
    <cellStyle name="Comma [0] TBD-_profit summary 2 144" xfId="39469"/>
    <cellStyle name="Comma [0] TBD_profit summary 2 145" xfId="39470"/>
    <cellStyle name="Comma [0] TBD-_profit summary 2 145" xfId="39471"/>
    <cellStyle name="Comma [0] TBD_profit summary 2 146" xfId="39472"/>
    <cellStyle name="Comma [0] TBD-_profit summary 2 146" xfId="39473"/>
    <cellStyle name="Comma [0] TBD_profit summary 2 147" xfId="39474"/>
    <cellStyle name="Comma [0] TBD-_profit summary 2 147" xfId="39475"/>
    <cellStyle name="Comma [0] TBD_profit summary 2 148" xfId="39476"/>
    <cellStyle name="Comma [0] TBD-_profit summary 2 148" xfId="39477"/>
    <cellStyle name="Comma [0] TBD_profit summary 2 149" xfId="39478"/>
    <cellStyle name="Comma [0] TBD-_profit summary 2 149" xfId="39479"/>
    <cellStyle name="Comma [0] TBD_profit summary 2 15" xfId="39480"/>
    <cellStyle name="Comma [0] TBD-_profit summary 2 15" xfId="39481"/>
    <cellStyle name="Comma [0] TBD_profit summary 2 150" xfId="39482"/>
    <cellStyle name="Comma [0] TBD-_profit summary 2 150" xfId="39483"/>
    <cellStyle name="Comma [0] TBD_profit summary 2 151" xfId="39484"/>
    <cellStyle name="Comma [0] TBD-_profit summary 2 151" xfId="39485"/>
    <cellStyle name="Comma [0] TBD_profit summary 2 152" xfId="39486"/>
    <cellStyle name="Comma [0] TBD-_profit summary 2 152" xfId="39487"/>
    <cellStyle name="Comma [0] TBD_profit summary 2 153" xfId="39488"/>
    <cellStyle name="Comma [0] TBD-_profit summary 2 153" xfId="39489"/>
    <cellStyle name="Comma [0] TBD_profit summary 2 16" xfId="39490"/>
    <cellStyle name="Comma [0] TBD-_profit summary 2 16" xfId="39491"/>
    <cellStyle name="Comma [0] TBD_profit summary 2 17" xfId="39492"/>
    <cellStyle name="Comma [0] TBD-_profit summary 2 17" xfId="39493"/>
    <cellStyle name="Comma [0] TBD_profit summary 2 18" xfId="39494"/>
    <cellStyle name="Comma [0] TBD-_profit summary 2 18" xfId="39495"/>
    <cellStyle name="Comma [0] TBD_profit summary 2 19" xfId="39496"/>
    <cellStyle name="Comma [0] TBD-_profit summary 2 19" xfId="39497"/>
    <cellStyle name="Comma [0] TBD_profit summary 2 2" xfId="39498"/>
    <cellStyle name="Comma [0] TBD-_profit summary 2 2" xfId="39499"/>
    <cellStyle name="Comma [0] TBD_profit summary 2 20" xfId="39500"/>
    <cellStyle name="Comma [0] TBD-_profit summary 2 20" xfId="39501"/>
    <cellStyle name="Comma [0] TBD_profit summary 2 21" xfId="39502"/>
    <cellStyle name="Comma [0] TBD-_profit summary 2 21" xfId="39503"/>
    <cellStyle name="Comma [0] TBD_profit summary 2 22" xfId="39504"/>
    <cellStyle name="Comma [0] TBD-_profit summary 2 22" xfId="39505"/>
    <cellStyle name="Comma [0] TBD_profit summary 2 23" xfId="39506"/>
    <cellStyle name="Comma [0] TBD-_profit summary 2 23" xfId="39507"/>
    <cellStyle name="Comma [0] TBD_profit summary 2 24" xfId="39508"/>
    <cellStyle name="Comma [0] TBD-_profit summary 2 24" xfId="39509"/>
    <cellStyle name="Comma [0] TBD_profit summary 2 25" xfId="39510"/>
    <cellStyle name="Comma [0] TBD-_profit summary 2 25" xfId="39511"/>
    <cellStyle name="Comma [0] TBD_profit summary 2 26" xfId="39512"/>
    <cellStyle name="Comma [0] TBD-_profit summary 2 26" xfId="39513"/>
    <cellStyle name="Comma [0] TBD_profit summary 2 27" xfId="39514"/>
    <cellStyle name="Comma [0] TBD-_profit summary 2 27" xfId="39515"/>
    <cellStyle name="Comma [0] TBD_profit summary 2 28" xfId="39516"/>
    <cellStyle name="Comma [0] TBD-_profit summary 2 28" xfId="39517"/>
    <cellStyle name="Comma [0] TBD_profit summary 2 29" xfId="39518"/>
    <cellStyle name="Comma [0] TBD-_profit summary 2 29" xfId="39519"/>
    <cellStyle name="Comma [0] TBD_profit summary 2 3" xfId="39520"/>
    <cellStyle name="Comma [0] TBD-_profit summary 2 3" xfId="39521"/>
    <cellStyle name="Comma [0] TBD_profit summary 2 30" xfId="39522"/>
    <cellStyle name="Comma [0] TBD-_profit summary 2 30" xfId="39523"/>
    <cellStyle name="Comma [0] TBD_profit summary 2 31" xfId="39524"/>
    <cellStyle name="Comma [0] TBD-_profit summary 2 31" xfId="39525"/>
    <cellStyle name="Comma [0] TBD_profit summary 2 32" xfId="39526"/>
    <cellStyle name="Comma [0] TBD-_profit summary 2 32" xfId="39527"/>
    <cellStyle name="Comma [0] TBD_profit summary 2 33" xfId="39528"/>
    <cellStyle name="Comma [0] TBD-_profit summary 2 33" xfId="39529"/>
    <cellStyle name="Comma [0] TBD_profit summary 2 34" xfId="39530"/>
    <cellStyle name="Comma [0] TBD-_profit summary 2 34" xfId="39531"/>
    <cellStyle name="Comma [0] TBD_profit summary 2 35" xfId="39532"/>
    <cellStyle name="Comma [0] TBD-_profit summary 2 35" xfId="39533"/>
    <cellStyle name="Comma [0] TBD_profit summary 2 36" xfId="39534"/>
    <cellStyle name="Comma [0] TBD-_profit summary 2 36" xfId="39535"/>
    <cellStyle name="Comma [0] TBD_profit summary 2 37" xfId="39536"/>
    <cellStyle name="Comma [0] TBD-_profit summary 2 37" xfId="39537"/>
    <cellStyle name="Comma [0] TBD_profit summary 2 38" xfId="39538"/>
    <cellStyle name="Comma [0] TBD-_profit summary 2 38" xfId="39539"/>
    <cellStyle name="Comma [0] TBD_profit summary 2 39" xfId="39540"/>
    <cellStyle name="Comma [0] TBD-_profit summary 2 39" xfId="39541"/>
    <cellStyle name="Comma [0] TBD_profit summary 2 4" xfId="39542"/>
    <cellStyle name="Comma [0] TBD-_profit summary 2 4" xfId="39543"/>
    <cellStyle name="Comma [0] TBD_profit summary 2 40" xfId="39544"/>
    <cellStyle name="Comma [0] TBD-_profit summary 2 40" xfId="39545"/>
    <cellStyle name="Comma [0] TBD_profit summary 2 41" xfId="39546"/>
    <cellStyle name="Comma [0] TBD-_profit summary 2 41" xfId="39547"/>
    <cellStyle name="Comma [0] TBD_profit summary 2 42" xfId="39548"/>
    <cellStyle name="Comma [0] TBD-_profit summary 2 42" xfId="39549"/>
    <cellStyle name="Comma [0] TBD_profit summary 2 43" xfId="39550"/>
    <cellStyle name="Comma [0] TBD-_profit summary 2 43" xfId="39551"/>
    <cellStyle name="Comma [0] TBD_profit summary 2 44" xfId="39552"/>
    <cellStyle name="Comma [0] TBD-_profit summary 2 44" xfId="39553"/>
    <cellStyle name="Comma [0] TBD_profit summary 2 45" xfId="39554"/>
    <cellStyle name="Comma [0] TBD-_profit summary 2 45" xfId="39555"/>
    <cellStyle name="Comma [0] TBD_profit summary 2 46" xfId="39556"/>
    <cellStyle name="Comma [0] TBD-_profit summary 2 46" xfId="39557"/>
    <cellStyle name="Comma [0] TBD_profit summary 2 47" xfId="39558"/>
    <cellStyle name="Comma [0] TBD-_profit summary 2 47" xfId="39559"/>
    <cellStyle name="Comma [0] TBD_profit summary 2 48" xfId="39560"/>
    <cellStyle name="Comma [0] TBD-_profit summary 2 48" xfId="39561"/>
    <cellStyle name="Comma [0] TBD_profit summary 2 49" xfId="39562"/>
    <cellStyle name="Comma [0] TBD-_profit summary 2 49" xfId="39563"/>
    <cellStyle name="Comma [0] TBD_profit summary 2 5" xfId="39564"/>
    <cellStyle name="Comma [0] TBD-_profit summary 2 5" xfId="39565"/>
    <cellStyle name="Comma [0] TBD_profit summary 2 50" xfId="39566"/>
    <cellStyle name="Comma [0] TBD-_profit summary 2 50" xfId="39567"/>
    <cellStyle name="Comma [0] TBD_profit summary 2 51" xfId="39568"/>
    <cellStyle name="Comma [0] TBD-_profit summary 2 51" xfId="39569"/>
    <cellStyle name="Comma [0] TBD_profit summary 2 52" xfId="39570"/>
    <cellStyle name="Comma [0] TBD-_profit summary 2 52" xfId="39571"/>
    <cellStyle name="Comma [0] TBD_profit summary 2 53" xfId="39572"/>
    <cellStyle name="Comma [0] TBD-_profit summary 2 53" xfId="39573"/>
    <cellStyle name="Comma [0] TBD_profit summary 2 54" xfId="39574"/>
    <cellStyle name="Comma [0] TBD-_profit summary 2 54" xfId="39575"/>
    <cellStyle name="Comma [0] TBD_profit summary 2 55" xfId="39576"/>
    <cellStyle name="Comma [0] TBD-_profit summary 2 55" xfId="39577"/>
    <cellStyle name="Comma [0] TBD_profit summary 2 56" xfId="39578"/>
    <cellStyle name="Comma [0] TBD-_profit summary 2 56" xfId="39579"/>
    <cellStyle name="Comma [0] TBD_profit summary 2 57" xfId="39580"/>
    <cellStyle name="Comma [0] TBD-_profit summary 2 57" xfId="39581"/>
    <cellStyle name="Comma [0] TBD_profit summary 2 58" xfId="39582"/>
    <cellStyle name="Comma [0] TBD-_profit summary 2 58" xfId="39583"/>
    <cellStyle name="Comma [0] TBD_profit summary 2 59" xfId="39584"/>
    <cellStyle name="Comma [0] TBD-_profit summary 2 59" xfId="39585"/>
    <cellStyle name="Comma [0] TBD_profit summary 2 6" xfId="39586"/>
    <cellStyle name="Comma [0] TBD-_profit summary 2 6" xfId="39587"/>
    <cellStyle name="Comma [0] TBD_profit summary 2 60" xfId="39588"/>
    <cellStyle name="Comma [0] TBD-_profit summary 2 60" xfId="39589"/>
    <cellStyle name="Comma [0] TBD_profit summary 2 61" xfId="39590"/>
    <cellStyle name="Comma [0] TBD-_profit summary 2 61" xfId="39591"/>
    <cellStyle name="Comma [0] TBD_profit summary 2 62" xfId="39592"/>
    <cellStyle name="Comma [0] TBD-_profit summary 2 62" xfId="39593"/>
    <cellStyle name="Comma [0] TBD_profit summary 2 63" xfId="39594"/>
    <cellStyle name="Comma [0] TBD-_profit summary 2 63" xfId="39595"/>
    <cellStyle name="Comma [0] TBD_profit summary 2 64" xfId="39596"/>
    <cellStyle name="Comma [0] TBD-_profit summary 2 64" xfId="39597"/>
    <cellStyle name="Comma [0] TBD_profit summary 2 65" xfId="39598"/>
    <cellStyle name="Comma [0] TBD-_profit summary 2 65" xfId="39599"/>
    <cellStyle name="Comma [0] TBD_profit summary 2 66" xfId="39600"/>
    <cellStyle name="Comma [0] TBD-_profit summary 2 66" xfId="39601"/>
    <cellStyle name="Comma [0] TBD_profit summary 2 67" xfId="39602"/>
    <cellStyle name="Comma [0] TBD-_profit summary 2 67" xfId="39603"/>
    <cellStyle name="Comma [0] TBD_profit summary 2 68" xfId="39604"/>
    <cellStyle name="Comma [0] TBD-_profit summary 2 68" xfId="39605"/>
    <cellStyle name="Comma [0] TBD_profit summary 2 69" xfId="39606"/>
    <cellStyle name="Comma [0] TBD-_profit summary 2 69" xfId="39607"/>
    <cellStyle name="Comma [0] TBD_profit summary 2 7" xfId="39608"/>
    <cellStyle name="Comma [0] TBD-_profit summary 2 7" xfId="39609"/>
    <cellStyle name="Comma [0] TBD_profit summary 2 70" xfId="39610"/>
    <cellStyle name="Comma [0] TBD-_profit summary 2 70" xfId="39611"/>
    <cellStyle name="Comma [0] TBD_profit summary 2 71" xfId="39612"/>
    <cellStyle name="Comma [0] TBD-_profit summary 2 71" xfId="39613"/>
    <cellStyle name="Comma [0] TBD_profit summary 2 72" xfId="39614"/>
    <cellStyle name="Comma [0] TBD-_profit summary 2 72" xfId="39615"/>
    <cellStyle name="Comma [0] TBD_profit summary 2 73" xfId="39616"/>
    <cellStyle name="Comma [0] TBD-_profit summary 2 73" xfId="39617"/>
    <cellStyle name="Comma [0] TBD_profit summary 2 74" xfId="39618"/>
    <cellStyle name="Comma [0] TBD-_profit summary 2 74" xfId="39619"/>
    <cellStyle name="Comma [0] TBD_profit summary 2 75" xfId="39620"/>
    <cellStyle name="Comma [0] TBD-_profit summary 2 75" xfId="39621"/>
    <cellStyle name="Comma [0] TBD_profit summary 2 76" xfId="39622"/>
    <cellStyle name="Comma [0] TBD-_profit summary 2 76" xfId="39623"/>
    <cellStyle name="Comma [0] TBD_profit summary 2 77" xfId="39624"/>
    <cellStyle name="Comma [0] TBD-_profit summary 2 77" xfId="39625"/>
    <cellStyle name="Comma [0] TBD_profit summary 2 78" xfId="39626"/>
    <cellStyle name="Comma [0] TBD-_profit summary 2 78" xfId="39627"/>
    <cellStyle name="Comma [0] TBD_profit summary 2 79" xfId="39628"/>
    <cellStyle name="Comma [0] TBD-_profit summary 2 79" xfId="39629"/>
    <cellStyle name="Comma [0] TBD_profit summary 2 8" xfId="39630"/>
    <cellStyle name="Comma [0] TBD-_profit summary 2 8" xfId="39631"/>
    <cellStyle name="Comma [0] TBD_profit summary 2 80" xfId="39632"/>
    <cellStyle name="Comma [0] TBD-_profit summary 2 80" xfId="39633"/>
    <cellStyle name="Comma [0] TBD_profit summary 2 81" xfId="39634"/>
    <cellStyle name="Comma [0] TBD-_profit summary 2 81" xfId="39635"/>
    <cellStyle name="Comma [0] TBD_profit summary 2 82" xfId="39636"/>
    <cellStyle name="Comma [0] TBD-_profit summary 2 82" xfId="39637"/>
    <cellStyle name="Comma [0] TBD_profit summary 2 83" xfId="39638"/>
    <cellStyle name="Comma [0] TBD-_profit summary 2 83" xfId="39639"/>
    <cellStyle name="Comma [0] TBD_profit summary 2 84" xfId="39640"/>
    <cellStyle name="Comma [0] TBD-_profit summary 2 84" xfId="39641"/>
    <cellStyle name="Comma [0] TBD_profit summary 2 85" xfId="39642"/>
    <cellStyle name="Comma [0] TBD-_profit summary 2 85" xfId="39643"/>
    <cellStyle name="Comma [0] TBD_profit summary 2 86" xfId="39644"/>
    <cellStyle name="Comma [0] TBD-_profit summary 2 86" xfId="39645"/>
    <cellStyle name="Comma [0] TBD_profit summary 2 87" xfId="39646"/>
    <cellStyle name="Comma [0] TBD-_profit summary 2 87" xfId="39647"/>
    <cellStyle name="Comma [0] TBD_profit summary 2 88" xfId="39648"/>
    <cellStyle name="Comma [0] TBD-_profit summary 2 88" xfId="39649"/>
    <cellStyle name="Comma [0] TBD_profit summary 2 89" xfId="39650"/>
    <cellStyle name="Comma [0] TBD-_profit summary 2 89" xfId="39651"/>
    <cellStyle name="Comma [0] TBD_profit summary 2 9" xfId="39652"/>
    <cellStyle name="Comma [0] TBD-_profit summary 2 9" xfId="39653"/>
    <cellStyle name="Comma [0] TBD_profit summary 2 90" xfId="39654"/>
    <cellStyle name="Comma [0] TBD-_profit summary 2 90" xfId="39655"/>
    <cellStyle name="Comma [0] TBD_profit summary 2 91" xfId="39656"/>
    <cellStyle name="Comma [0] TBD-_profit summary 2 91" xfId="39657"/>
    <cellStyle name="Comma [0] TBD_profit summary 2 92" xfId="39658"/>
    <cellStyle name="Comma [0] TBD-_profit summary 2 92" xfId="39659"/>
    <cellStyle name="Comma [0] TBD_profit summary 2 93" xfId="39660"/>
    <cellStyle name="Comma [0] TBD-_profit summary 2 93" xfId="39661"/>
    <cellStyle name="Comma [0] TBD_profit summary 2 94" xfId="39662"/>
    <cellStyle name="Comma [0] TBD-_profit summary 2 94" xfId="39663"/>
    <cellStyle name="Comma [0] TBD_profit summary 2 95" xfId="39664"/>
    <cellStyle name="Comma [0] TBD-_profit summary 2 95" xfId="39665"/>
    <cellStyle name="Comma [0] TBD_profit summary 2 96" xfId="39666"/>
    <cellStyle name="Comma [0] TBD-_profit summary 2 96" xfId="39667"/>
    <cellStyle name="Comma [0] TBD_profit summary 2 97" xfId="39668"/>
    <cellStyle name="Comma [0] TBD-_profit summary 2 97" xfId="39669"/>
    <cellStyle name="Comma [0] TBD_profit summary 2 98" xfId="39670"/>
    <cellStyle name="Comma [0] TBD-_profit summary 2 98" xfId="39671"/>
    <cellStyle name="Comma [0] TBD_profit summary 2 99" xfId="39672"/>
    <cellStyle name="Comma [0] TBD-_profit summary 2 99" xfId="39673"/>
    <cellStyle name="Comma [0] TBD_profit summary 3" xfId="39674"/>
    <cellStyle name="Comma [0] TBD-_profit summary 3" xfId="39675"/>
    <cellStyle name="Comma [0] TBD_profit summary 3 10" xfId="39676"/>
    <cellStyle name="Comma [0] TBD-_profit summary 3 10" xfId="39677"/>
    <cellStyle name="Comma [0] TBD_profit summary 3 100" xfId="39678"/>
    <cellStyle name="Comma [0] TBD-_profit summary 3 100" xfId="39679"/>
    <cellStyle name="Comma [0] TBD_profit summary 3 101" xfId="39680"/>
    <cellStyle name="Comma [0] TBD-_profit summary 3 101" xfId="39681"/>
    <cellStyle name="Comma [0] TBD_profit summary 3 102" xfId="39682"/>
    <cellStyle name="Comma [0] TBD-_profit summary 3 102" xfId="39683"/>
    <cellStyle name="Comma [0] TBD_profit summary 3 103" xfId="39684"/>
    <cellStyle name="Comma [0] TBD-_profit summary 3 103" xfId="39685"/>
    <cellStyle name="Comma [0] TBD_profit summary 3 104" xfId="39686"/>
    <cellStyle name="Comma [0] TBD-_profit summary 3 104" xfId="39687"/>
    <cellStyle name="Comma [0] TBD_profit summary 3 105" xfId="39688"/>
    <cellStyle name="Comma [0] TBD-_profit summary 3 105" xfId="39689"/>
    <cellStyle name="Comma [0] TBD_profit summary 3 106" xfId="39690"/>
    <cellStyle name="Comma [0] TBD-_profit summary 3 106" xfId="39691"/>
    <cellStyle name="Comma [0] TBD_profit summary 3 107" xfId="39692"/>
    <cellStyle name="Comma [0] TBD-_profit summary 3 107" xfId="39693"/>
    <cellStyle name="Comma [0] TBD_profit summary 3 108" xfId="39694"/>
    <cellStyle name="Comma [0] TBD-_profit summary 3 108" xfId="39695"/>
    <cellStyle name="Comma [0] TBD_profit summary 3 109" xfId="39696"/>
    <cellStyle name="Comma [0] TBD-_profit summary 3 109" xfId="39697"/>
    <cellStyle name="Comma [0] TBD_profit summary 3 11" xfId="39698"/>
    <cellStyle name="Comma [0] TBD-_profit summary 3 11" xfId="39699"/>
    <cellStyle name="Comma [0] TBD_profit summary 3 110" xfId="39700"/>
    <cellStyle name="Comma [0] TBD-_profit summary 3 110" xfId="39701"/>
    <cellStyle name="Comma [0] TBD_profit summary 3 111" xfId="39702"/>
    <cellStyle name="Comma [0] TBD-_profit summary 3 111" xfId="39703"/>
    <cellStyle name="Comma [0] TBD_profit summary 3 112" xfId="39704"/>
    <cellStyle name="Comma [0] TBD-_profit summary 3 112" xfId="39705"/>
    <cellStyle name="Comma [0] TBD_profit summary 3 113" xfId="39706"/>
    <cellStyle name="Comma [0] TBD-_profit summary 3 113" xfId="39707"/>
    <cellStyle name="Comma [0] TBD_profit summary 3 114" xfId="39708"/>
    <cellStyle name="Comma [0] TBD-_profit summary 3 114" xfId="39709"/>
    <cellStyle name="Comma [0] TBD_profit summary 3 115" xfId="39710"/>
    <cellStyle name="Comma [0] TBD-_profit summary 3 115" xfId="39711"/>
    <cellStyle name="Comma [0] TBD_profit summary 3 116" xfId="39712"/>
    <cellStyle name="Comma [0] TBD-_profit summary 3 116" xfId="39713"/>
    <cellStyle name="Comma [0] TBD_profit summary 3 117" xfId="39714"/>
    <cellStyle name="Comma [0] TBD-_profit summary 3 117" xfId="39715"/>
    <cellStyle name="Comma [0] TBD_profit summary 3 118" xfId="39716"/>
    <cellStyle name="Comma [0] TBD-_profit summary 3 118" xfId="39717"/>
    <cellStyle name="Comma [0] TBD_profit summary 3 119" xfId="39718"/>
    <cellStyle name="Comma [0] TBD-_profit summary 3 119" xfId="39719"/>
    <cellStyle name="Comma [0] TBD_profit summary 3 12" xfId="39720"/>
    <cellStyle name="Comma [0] TBD-_profit summary 3 12" xfId="39721"/>
    <cellStyle name="Comma [0] TBD_profit summary 3 120" xfId="39722"/>
    <cellStyle name="Comma [0] TBD-_profit summary 3 120" xfId="39723"/>
    <cellStyle name="Comma [0] TBD_profit summary 3 121" xfId="39724"/>
    <cellStyle name="Comma [0] TBD-_profit summary 3 121" xfId="39725"/>
    <cellStyle name="Comma [0] TBD_profit summary 3 122" xfId="39726"/>
    <cellStyle name="Comma [0] TBD-_profit summary 3 122" xfId="39727"/>
    <cellStyle name="Comma [0] TBD_profit summary 3 123" xfId="39728"/>
    <cellStyle name="Comma [0] TBD-_profit summary 3 123" xfId="39729"/>
    <cellStyle name="Comma [0] TBD_profit summary 3 124" xfId="39730"/>
    <cellStyle name="Comma [0] TBD-_profit summary 3 124" xfId="39731"/>
    <cellStyle name="Comma [0] TBD_profit summary 3 125" xfId="39732"/>
    <cellStyle name="Comma [0] TBD-_profit summary 3 125" xfId="39733"/>
    <cellStyle name="Comma [0] TBD_profit summary 3 126" xfId="39734"/>
    <cellStyle name="Comma [0] TBD-_profit summary 3 126" xfId="39735"/>
    <cellStyle name="Comma [0] TBD_profit summary 3 127" xfId="39736"/>
    <cellStyle name="Comma [0] TBD-_profit summary 3 127" xfId="39737"/>
    <cellStyle name="Comma [0] TBD_profit summary 3 128" xfId="39738"/>
    <cellStyle name="Comma [0] TBD-_profit summary 3 128" xfId="39739"/>
    <cellStyle name="Comma [0] TBD_profit summary 3 129" xfId="39740"/>
    <cellStyle name="Comma [0] TBD-_profit summary 3 129" xfId="39741"/>
    <cellStyle name="Comma [0] TBD_profit summary 3 13" xfId="39742"/>
    <cellStyle name="Comma [0] TBD-_profit summary 3 13" xfId="39743"/>
    <cellStyle name="Comma [0] TBD_profit summary 3 130" xfId="39744"/>
    <cellStyle name="Comma [0] TBD-_profit summary 3 130" xfId="39745"/>
    <cellStyle name="Comma [0] TBD_profit summary 3 131" xfId="39746"/>
    <cellStyle name="Comma [0] TBD-_profit summary 3 131" xfId="39747"/>
    <cellStyle name="Comma [0] TBD_profit summary 3 132" xfId="39748"/>
    <cellStyle name="Comma [0] TBD-_profit summary 3 132" xfId="39749"/>
    <cellStyle name="Comma [0] TBD_profit summary 3 133" xfId="39750"/>
    <cellStyle name="Comma [0] TBD-_profit summary 3 133" xfId="39751"/>
    <cellStyle name="Comma [0] TBD_profit summary 3 134" xfId="39752"/>
    <cellStyle name="Comma [0] TBD-_profit summary 3 134" xfId="39753"/>
    <cellStyle name="Comma [0] TBD_profit summary 3 135" xfId="39754"/>
    <cellStyle name="Comma [0] TBD-_profit summary 3 135" xfId="39755"/>
    <cellStyle name="Comma [0] TBD_profit summary 3 136" xfId="39756"/>
    <cellStyle name="Comma [0] TBD-_profit summary 3 136" xfId="39757"/>
    <cellStyle name="Comma [0] TBD_profit summary 3 137" xfId="39758"/>
    <cellStyle name="Comma [0] TBD-_profit summary 3 137" xfId="39759"/>
    <cellStyle name="Comma [0] TBD_profit summary 3 138" xfId="39760"/>
    <cellStyle name="Comma [0] TBD-_profit summary 3 138" xfId="39761"/>
    <cellStyle name="Comma [0] TBD_profit summary 3 139" xfId="39762"/>
    <cellStyle name="Comma [0] TBD-_profit summary 3 139" xfId="39763"/>
    <cellStyle name="Comma [0] TBD_profit summary 3 14" xfId="39764"/>
    <cellStyle name="Comma [0] TBD-_profit summary 3 14" xfId="39765"/>
    <cellStyle name="Comma [0] TBD_profit summary 3 140" xfId="39766"/>
    <cellStyle name="Comma [0] TBD-_profit summary 3 140" xfId="39767"/>
    <cellStyle name="Comma [0] TBD_profit summary 3 141" xfId="39768"/>
    <cellStyle name="Comma [0] TBD-_profit summary 3 141" xfId="39769"/>
    <cellStyle name="Comma [0] TBD_profit summary 3 142" xfId="39770"/>
    <cellStyle name="Comma [0] TBD-_profit summary 3 142" xfId="39771"/>
    <cellStyle name="Comma [0] TBD_profit summary 3 143" xfId="39772"/>
    <cellStyle name="Comma [0] TBD-_profit summary 3 143" xfId="39773"/>
    <cellStyle name="Comma [0] TBD_profit summary 3 144" xfId="39774"/>
    <cellStyle name="Comma [0] TBD-_profit summary 3 144" xfId="39775"/>
    <cellStyle name="Comma [0] TBD_profit summary 3 145" xfId="39776"/>
    <cellStyle name="Comma [0] TBD-_profit summary 3 145" xfId="39777"/>
    <cellStyle name="Comma [0] TBD_profit summary 3 146" xfId="39778"/>
    <cellStyle name="Comma [0] TBD-_profit summary 3 146" xfId="39779"/>
    <cellStyle name="Comma [0] TBD_profit summary 3 147" xfId="39780"/>
    <cellStyle name="Comma [0] TBD-_profit summary 3 147" xfId="39781"/>
    <cellStyle name="Comma [0] TBD_profit summary 3 148" xfId="39782"/>
    <cellStyle name="Comma [0] TBD-_profit summary 3 148" xfId="39783"/>
    <cellStyle name="Comma [0] TBD_profit summary 3 149" xfId="39784"/>
    <cellStyle name="Comma [0] TBD-_profit summary 3 149" xfId="39785"/>
    <cellStyle name="Comma [0] TBD_profit summary 3 15" xfId="39786"/>
    <cellStyle name="Comma [0] TBD-_profit summary 3 15" xfId="39787"/>
    <cellStyle name="Comma [0] TBD_profit summary 3 150" xfId="39788"/>
    <cellStyle name="Comma [0] TBD-_profit summary 3 150" xfId="39789"/>
    <cellStyle name="Comma [0] TBD_profit summary 3 151" xfId="39790"/>
    <cellStyle name="Comma [0] TBD-_profit summary 3 151" xfId="39791"/>
    <cellStyle name="Comma [0] TBD_profit summary 3 152" xfId="39792"/>
    <cellStyle name="Comma [0] TBD-_profit summary 3 152" xfId="39793"/>
    <cellStyle name="Comma [0] TBD_profit summary 3 153" xfId="39794"/>
    <cellStyle name="Comma [0] TBD-_profit summary 3 153" xfId="39795"/>
    <cellStyle name="Comma [0] TBD_profit summary 3 16" xfId="39796"/>
    <cellStyle name="Comma [0] TBD-_profit summary 3 16" xfId="39797"/>
    <cellStyle name="Comma [0] TBD_profit summary 3 17" xfId="39798"/>
    <cellStyle name="Comma [0] TBD-_profit summary 3 17" xfId="39799"/>
    <cellStyle name="Comma [0] TBD_profit summary 3 18" xfId="39800"/>
    <cellStyle name="Comma [0] TBD-_profit summary 3 18" xfId="39801"/>
    <cellStyle name="Comma [0] TBD_profit summary 3 19" xfId="39802"/>
    <cellStyle name="Comma [0] TBD-_profit summary 3 19" xfId="39803"/>
    <cellStyle name="Comma [0] TBD_profit summary 3 2" xfId="39804"/>
    <cellStyle name="Comma [0] TBD-_profit summary 3 2" xfId="39805"/>
    <cellStyle name="Comma [0] TBD_profit summary 3 20" xfId="39806"/>
    <cellStyle name="Comma [0] TBD-_profit summary 3 20" xfId="39807"/>
    <cellStyle name="Comma [0] TBD_profit summary 3 21" xfId="39808"/>
    <cellStyle name="Comma [0] TBD-_profit summary 3 21" xfId="39809"/>
    <cellStyle name="Comma [0] TBD_profit summary 3 22" xfId="39810"/>
    <cellStyle name="Comma [0] TBD-_profit summary 3 22" xfId="39811"/>
    <cellStyle name="Comma [0] TBD_profit summary 3 23" xfId="39812"/>
    <cellStyle name="Comma [0] TBD-_profit summary 3 23" xfId="39813"/>
    <cellStyle name="Comma [0] TBD_profit summary 3 24" xfId="39814"/>
    <cellStyle name="Comma [0] TBD-_profit summary 3 24" xfId="39815"/>
    <cellStyle name="Comma [0] TBD_profit summary 3 25" xfId="39816"/>
    <cellStyle name="Comma [0] TBD-_profit summary 3 25" xfId="39817"/>
    <cellStyle name="Comma [0] TBD_profit summary 3 26" xfId="39818"/>
    <cellStyle name="Comma [0] TBD-_profit summary 3 26" xfId="39819"/>
    <cellStyle name="Comma [0] TBD_profit summary 3 27" xfId="39820"/>
    <cellStyle name="Comma [0] TBD-_profit summary 3 27" xfId="39821"/>
    <cellStyle name="Comma [0] TBD_profit summary 3 28" xfId="39822"/>
    <cellStyle name="Comma [0] TBD-_profit summary 3 28" xfId="39823"/>
    <cellStyle name="Comma [0] TBD_profit summary 3 29" xfId="39824"/>
    <cellStyle name="Comma [0] TBD-_profit summary 3 29" xfId="39825"/>
    <cellStyle name="Comma [0] TBD_profit summary 3 3" xfId="39826"/>
    <cellStyle name="Comma [0] TBD-_profit summary 3 3" xfId="39827"/>
    <cellStyle name="Comma [0] TBD_profit summary 3 30" xfId="39828"/>
    <cellStyle name="Comma [0] TBD-_profit summary 3 30" xfId="39829"/>
    <cellStyle name="Comma [0] TBD_profit summary 3 31" xfId="39830"/>
    <cellStyle name="Comma [0] TBD-_profit summary 3 31" xfId="39831"/>
    <cellStyle name="Comma [0] TBD_profit summary 3 32" xfId="39832"/>
    <cellStyle name="Comma [0] TBD-_profit summary 3 32" xfId="39833"/>
    <cellStyle name="Comma [0] TBD_profit summary 3 33" xfId="39834"/>
    <cellStyle name="Comma [0] TBD-_profit summary 3 33" xfId="39835"/>
    <cellStyle name="Comma [0] TBD_profit summary 3 34" xfId="39836"/>
    <cellStyle name="Comma [0] TBD-_profit summary 3 34" xfId="39837"/>
    <cellStyle name="Comma [0] TBD_profit summary 3 35" xfId="39838"/>
    <cellStyle name="Comma [0] TBD-_profit summary 3 35" xfId="39839"/>
    <cellStyle name="Comma [0] TBD_profit summary 3 36" xfId="39840"/>
    <cellStyle name="Comma [0] TBD-_profit summary 3 36" xfId="39841"/>
    <cellStyle name="Comma [0] TBD_profit summary 3 37" xfId="39842"/>
    <cellStyle name="Comma [0] TBD-_profit summary 3 37" xfId="39843"/>
    <cellStyle name="Comma [0] TBD_profit summary 3 38" xfId="39844"/>
    <cellStyle name="Comma [0] TBD-_profit summary 3 38" xfId="39845"/>
    <cellStyle name="Comma [0] TBD_profit summary 3 39" xfId="39846"/>
    <cellStyle name="Comma [0] TBD-_profit summary 3 39" xfId="39847"/>
    <cellStyle name="Comma [0] TBD_profit summary 3 4" xfId="39848"/>
    <cellStyle name="Comma [0] TBD-_profit summary 3 4" xfId="39849"/>
    <cellStyle name="Comma [0] TBD_profit summary 3 40" xfId="39850"/>
    <cellStyle name="Comma [0] TBD-_profit summary 3 40" xfId="39851"/>
    <cellStyle name="Comma [0] TBD_profit summary 3 41" xfId="39852"/>
    <cellStyle name="Comma [0] TBD-_profit summary 3 41" xfId="39853"/>
    <cellStyle name="Comma [0] TBD_profit summary 3 42" xfId="39854"/>
    <cellStyle name="Comma [0] TBD-_profit summary 3 42" xfId="39855"/>
    <cellStyle name="Comma [0] TBD_profit summary 3 43" xfId="39856"/>
    <cellStyle name="Comma [0] TBD-_profit summary 3 43" xfId="39857"/>
    <cellStyle name="Comma [0] TBD_profit summary 3 44" xfId="39858"/>
    <cellStyle name="Comma [0] TBD-_profit summary 3 44" xfId="39859"/>
    <cellStyle name="Comma [0] TBD_profit summary 3 45" xfId="39860"/>
    <cellStyle name="Comma [0] TBD-_profit summary 3 45" xfId="39861"/>
    <cellStyle name="Comma [0] TBD_profit summary 3 46" xfId="39862"/>
    <cellStyle name="Comma [0] TBD-_profit summary 3 46" xfId="39863"/>
    <cellStyle name="Comma [0] TBD_profit summary 3 47" xfId="39864"/>
    <cellStyle name="Comma [0] TBD-_profit summary 3 47" xfId="39865"/>
    <cellStyle name="Comma [0] TBD_profit summary 3 48" xfId="39866"/>
    <cellStyle name="Comma [0] TBD-_profit summary 3 48" xfId="39867"/>
    <cellStyle name="Comma [0] TBD_profit summary 3 49" xfId="39868"/>
    <cellStyle name="Comma [0] TBD-_profit summary 3 49" xfId="39869"/>
    <cellStyle name="Comma [0] TBD_profit summary 3 5" xfId="39870"/>
    <cellStyle name="Comma [0] TBD-_profit summary 3 5" xfId="39871"/>
    <cellStyle name="Comma [0] TBD_profit summary 3 50" xfId="39872"/>
    <cellStyle name="Comma [0] TBD-_profit summary 3 50" xfId="39873"/>
    <cellStyle name="Comma [0] TBD_profit summary 3 51" xfId="39874"/>
    <cellStyle name="Comma [0] TBD-_profit summary 3 51" xfId="39875"/>
    <cellStyle name="Comma [0] TBD_profit summary 3 52" xfId="39876"/>
    <cellStyle name="Comma [0] TBD-_profit summary 3 52" xfId="39877"/>
    <cellStyle name="Comma [0] TBD_profit summary 3 53" xfId="39878"/>
    <cellStyle name="Comma [0] TBD-_profit summary 3 53" xfId="39879"/>
    <cellStyle name="Comma [0] TBD_profit summary 3 54" xfId="39880"/>
    <cellStyle name="Comma [0] TBD-_profit summary 3 54" xfId="39881"/>
    <cellStyle name="Comma [0] TBD_profit summary 3 55" xfId="39882"/>
    <cellStyle name="Comma [0] TBD-_profit summary 3 55" xfId="39883"/>
    <cellStyle name="Comma [0] TBD_profit summary 3 56" xfId="39884"/>
    <cellStyle name="Comma [0] TBD-_profit summary 3 56" xfId="39885"/>
    <cellStyle name="Comma [0] TBD_profit summary 3 57" xfId="39886"/>
    <cellStyle name="Comma [0] TBD-_profit summary 3 57" xfId="39887"/>
    <cellStyle name="Comma [0] TBD_profit summary 3 58" xfId="39888"/>
    <cellStyle name="Comma [0] TBD-_profit summary 3 58" xfId="39889"/>
    <cellStyle name="Comma [0] TBD_profit summary 3 59" xfId="39890"/>
    <cellStyle name="Comma [0] TBD-_profit summary 3 59" xfId="39891"/>
    <cellStyle name="Comma [0] TBD_profit summary 3 6" xfId="39892"/>
    <cellStyle name="Comma [0] TBD-_profit summary 3 6" xfId="39893"/>
    <cellStyle name="Comma [0] TBD_profit summary 3 60" xfId="39894"/>
    <cellStyle name="Comma [0] TBD-_profit summary 3 60" xfId="39895"/>
    <cellStyle name="Comma [0] TBD_profit summary 3 61" xfId="39896"/>
    <cellStyle name="Comma [0] TBD-_profit summary 3 61" xfId="39897"/>
    <cellStyle name="Comma [0] TBD_profit summary 3 62" xfId="39898"/>
    <cellStyle name="Comma [0] TBD-_profit summary 3 62" xfId="39899"/>
    <cellStyle name="Comma [0] TBD_profit summary 3 63" xfId="39900"/>
    <cellStyle name="Comma [0] TBD-_profit summary 3 63" xfId="39901"/>
    <cellStyle name="Comma [0] TBD_profit summary 3 64" xfId="39902"/>
    <cellStyle name="Comma [0] TBD-_profit summary 3 64" xfId="39903"/>
    <cellStyle name="Comma [0] TBD_profit summary 3 65" xfId="39904"/>
    <cellStyle name="Comma [0] TBD-_profit summary 3 65" xfId="39905"/>
    <cellStyle name="Comma [0] TBD_profit summary 3 66" xfId="39906"/>
    <cellStyle name="Comma [0] TBD-_profit summary 3 66" xfId="39907"/>
    <cellStyle name="Comma [0] TBD_profit summary 3 67" xfId="39908"/>
    <cellStyle name="Comma [0] TBD-_profit summary 3 67" xfId="39909"/>
    <cellStyle name="Comma [0] TBD_profit summary 3 68" xfId="39910"/>
    <cellStyle name="Comma [0] TBD-_profit summary 3 68" xfId="39911"/>
    <cellStyle name="Comma [0] TBD_profit summary 3 69" xfId="39912"/>
    <cellStyle name="Comma [0] TBD-_profit summary 3 69" xfId="39913"/>
    <cellStyle name="Comma [0] TBD_profit summary 3 7" xfId="39914"/>
    <cellStyle name="Comma [0] TBD-_profit summary 3 7" xfId="39915"/>
    <cellStyle name="Comma [0] TBD_profit summary 3 70" xfId="39916"/>
    <cellStyle name="Comma [0] TBD-_profit summary 3 70" xfId="39917"/>
    <cellStyle name="Comma [0] TBD_profit summary 3 71" xfId="39918"/>
    <cellStyle name="Comma [0] TBD-_profit summary 3 71" xfId="39919"/>
    <cellStyle name="Comma [0] TBD_profit summary 3 72" xfId="39920"/>
    <cellStyle name="Comma [0] TBD-_profit summary 3 72" xfId="39921"/>
    <cellStyle name="Comma [0] TBD_profit summary 3 73" xfId="39922"/>
    <cellStyle name="Comma [0] TBD-_profit summary 3 73" xfId="39923"/>
    <cellStyle name="Comma [0] TBD_profit summary 3 74" xfId="39924"/>
    <cellStyle name="Comma [0] TBD-_profit summary 3 74" xfId="39925"/>
    <cellStyle name="Comma [0] TBD_profit summary 3 75" xfId="39926"/>
    <cellStyle name="Comma [0] TBD-_profit summary 3 75" xfId="39927"/>
    <cellStyle name="Comma [0] TBD_profit summary 3 76" xfId="39928"/>
    <cellStyle name="Comma [0] TBD-_profit summary 3 76" xfId="39929"/>
    <cellStyle name="Comma [0] TBD_profit summary 3 77" xfId="39930"/>
    <cellStyle name="Comma [0] TBD-_profit summary 3 77" xfId="39931"/>
    <cellStyle name="Comma [0] TBD_profit summary 3 78" xfId="39932"/>
    <cellStyle name="Comma [0] TBD-_profit summary 3 78" xfId="39933"/>
    <cellStyle name="Comma [0] TBD_profit summary 3 79" xfId="39934"/>
    <cellStyle name="Comma [0] TBD-_profit summary 3 79" xfId="39935"/>
    <cellStyle name="Comma [0] TBD_profit summary 3 8" xfId="39936"/>
    <cellStyle name="Comma [0] TBD-_profit summary 3 8" xfId="39937"/>
    <cellStyle name="Comma [0] TBD_profit summary 3 80" xfId="39938"/>
    <cellStyle name="Comma [0] TBD-_profit summary 3 80" xfId="39939"/>
    <cellStyle name="Comma [0] TBD_profit summary 3 81" xfId="39940"/>
    <cellStyle name="Comma [0] TBD-_profit summary 3 81" xfId="39941"/>
    <cellStyle name="Comma [0] TBD_profit summary 3 82" xfId="39942"/>
    <cellStyle name="Comma [0] TBD-_profit summary 3 82" xfId="39943"/>
    <cellStyle name="Comma [0] TBD_profit summary 3 83" xfId="39944"/>
    <cellStyle name="Comma [0] TBD-_profit summary 3 83" xfId="39945"/>
    <cellStyle name="Comma [0] TBD_profit summary 3 84" xfId="39946"/>
    <cellStyle name="Comma [0] TBD-_profit summary 3 84" xfId="39947"/>
    <cellStyle name="Comma [0] TBD_profit summary 3 85" xfId="39948"/>
    <cellStyle name="Comma [0] TBD-_profit summary 3 85" xfId="39949"/>
    <cellStyle name="Comma [0] TBD_profit summary 3 86" xfId="39950"/>
    <cellStyle name="Comma [0] TBD-_profit summary 3 86" xfId="39951"/>
    <cellStyle name="Comma [0] TBD_profit summary 3 87" xfId="39952"/>
    <cellStyle name="Comma [0] TBD-_profit summary 3 87" xfId="39953"/>
    <cellStyle name="Comma [0] TBD_profit summary 3 88" xfId="39954"/>
    <cellStyle name="Comma [0] TBD-_profit summary 3 88" xfId="39955"/>
    <cellStyle name="Comma [0] TBD_profit summary 3 89" xfId="39956"/>
    <cellStyle name="Comma [0] TBD-_profit summary 3 89" xfId="39957"/>
    <cellStyle name="Comma [0] TBD_profit summary 3 9" xfId="39958"/>
    <cellStyle name="Comma [0] TBD-_profit summary 3 9" xfId="39959"/>
    <cellStyle name="Comma [0] TBD_profit summary 3 90" xfId="39960"/>
    <cellStyle name="Comma [0] TBD-_profit summary 3 90" xfId="39961"/>
    <cellStyle name="Comma [0] TBD_profit summary 3 91" xfId="39962"/>
    <cellStyle name="Comma [0] TBD-_profit summary 3 91" xfId="39963"/>
    <cellStyle name="Comma [0] TBD_profit summary 3 92" xfId="39964"/>
    <cellStyle name="Comma [0] TBD-_profit summary 3 92" xfId="39965"/>
    <cellStyle name="Comma [0] TBD_profit summary 3 93" xfId="39966"/>
    <cellStyle name="Comma [0] TBD-_profit summary 3 93" xfId="39967"/>
    <cellStyle name="Comma [0] TBD_profit summary 3 94" xfId="39968"/>
    <cellStyle name="Comma [0] TBD-_profit summary 3 94" xfId="39969"/>
    <cellStyle name="Comma [0] TBD_profit summary 3 95" xfId="39970"/>
    <cellStyle name="Comma [0] TBD-_profit summary 3 95" xfId="39971"/>
    <cellStyle name="Comma [0] TBD_profit summary 3 96" xfId="39972"/>
    <cellStyle name="Comma [0] TBD-_profit summary 3 96" xfId="39973"/>
    <cellStyle name="Comma [0] TBD_profit summary 3 97" xfId="39974"/>
    <cellStyle name="Comma [0] TBD-_profit summary 3 97" xfId="39975"/>
    <cellStyle name="Comma [0] TBD_profit summary 3 98" xfId="39976"/>
    <cellStyle name="Comma [0] TBD-_profit summary 3 98" xfId="39977"/>
    <cellStyle name="Comma [0] TBD_profit summary 3 99" xfId="39978"/>
    <cellStyle name="Comma [0] TBD-_profit summary 3 99" xfId="39979"/>
    <cellStyle name="Comma [0] TBD_profit summary 4" xfId="39980"/>
    <cellStyle name="Comma [0] TBD-_profit summary 4" xfId="39981"/>
    <cellStyle name="Comma [0] TBD_profit summary 4 10" xfId="39982"/>
    <cellStyle name="Comma [0] TBD-_profit summary 4 10" xfId="39983"/>
    <cellStyle name="Comma [0] TBD_profit summary 4 100" xfId="39984"/>
    <cellStyle name="Comma [0] TBD-_profit summary 4 100" xfId="39985"/>
    <cellStyle name="Comma [0] TBD_profit summary 4 101" xfId="39986"/>
    <cellStyle name="Comma [0] TBD-_profit summary 4 101" xfId="39987"/>
    <cellStyle name="Comma [0] TBD_profit summary 4 102" xfId="39988"/>
    <cellStyle name="Comma [0] TBD-_profit summary 4 102" xfId="39989"/>
    <cellStyle name="Comma [0] TBD_profit summary 4 103" xfId="39990"/>
    <cellStyle name="Comma [0] TBD-_profit summary 4 103" xfId="39991"/>
    <cellStyle name="Comma [0] TBD_profit summary 4 104" xfId="39992"/>
    <cellStyle name="Comma [0] TBD-_profit summary 4 104" xfId="39993"/>
    <cellStyle name="Comma [0] TBD_profit summary 4 105" xfId="39994"/>
    <cellStyle name="Comma [0] TBD-_profit summary 4 105" xfId="39995"/>
    <cellStyle name="Comma [0] TBD_profit summary 4 106" xfId="39996"/>
    <cellStyle name="Comma [0] TBD-_profit summary 4 106" xfId="39997"/>
    <cellStyle name="Comma [0] TBD_profit summary 4 107" xfId="39998"/>
    <cellStyle name="Comma [0] TBD-_profit summary 4 107" xfId="39999"/>
    <cellStyle name="Comma [0] TBD_profit summary 4 108" xfId="40000"/>
    <cellStyle name="Comma [0] TBD-_profit summary 4 108" xfId="40001"/>
    <cellStyle name="Comma [0] TBD_profit summary 4 109" xfId="40002"/>
    <cellStyle name="Comma [0] TBD-_profit summary 4 109" xfId="40003"/>
    <cellStyle name="Comma [0] TBD_profit summary 4 11" xfId="40004"/>
    <cellStyle name="Comma [0] TBD-_profit summary 4 11" xfId="40005"/>
    <cellStyle name="Comma [0] TBD_profit summary 4 110" xfId="40006"/>
    <cellStyle name="Comma [0] TBD-_profit summary 4 110" xfId="40007"/>
    <cellStyle name="Comma [0] TBD_profit summary 4 111" xfId="40008"/>
    <cellStyle name="Comma [0] TBD-_profit summary 4 111" xfId="40009"/>
    <cellStyle name="Comma [0] TBD_profit summary 4 112" xfId="40010"/>
    <cellStyle name="Comma [0] TBD-_profit summary 4 112" xfId="40011"/>
    <cellStyle name="Comma [0] TBD_profit summary 4 113" xfId="40012"/>
    <cellStyle name="Comma [0] TBD-_profit summary 4 113" xfId="40013"/>
    <cellStyle name="Comma [0] TBD_profit summary 4 114" xfId="40014"/>
    <cellStyle name="Comma [0] TBD-_profit summary 4 114" xfId="40015"/>
    <cellStyle name="Comma [0] TBD_profit summary 4 115" xfId="40016"/>
    <cellStyle name="Comma [0] TBD-_profit summary 4 115" xfId="40017"/>
    <cellStyle name="Comma [0] TBD_profit summary 4 116" xfId="40018"/>
    <cellStyle name="Comma [0] TBD-_profit summary 4 116" xfId="40019"/>
    <cellStyle name="Comma [0] TBD_profit summary 4 117" xfId="40020"/>
    <cellStyle name="Comma [0] TBD-_profit summary 4 117" xfId="40021"/>
    <cellStyle name="Comma [0] TBD_profit summary 4 118" xfId="40022"/>
    <cellStyle name="Comma [0] TBD-_profit summary 4 118" xfId="40023"/>
    <cellStyle name="Comma [0] TBD_profit summary 4 119" xfId="40024"/>
    <cellStyle name="Comma [0] TBD-_profit summary 4 119" xfId="40025"/>
    <cellStyle name="Comma [0] TBD_profit summary 4 12" xfId="40026"/>
    <cellStyle name="Comma [0] TBD-_profit summary 4 12" xfId="40027"/>
    <cellStyle name="Comma [0] TBD_profit summary 4 120" xfId="40028"/>
    <cellStyle name="Comma [0] TBD-_profit summary 4 120" xfId="40029"/>
    <cellStyle name="Comma [0] TBD_profit summary 4 121" xfId="40030"/>
    <cellStyle name="Comma [0] TBD-_profit summary 4 121" xfId="40031"/>
    <cellStyle name="Comma [0] TBD_profit summary 4 122" xfId="40032"/>
    <cellStyle name="Comma [0] TBD-_profit summary 4 122" xfId="40033"/>
    <cellStyle name="Comma [0] TBD_profit summary 4 123" xfId="40034"/>
    <cellStyle name="Comma [0] TBD-_profit summary 4 123" xfId="40035"/>
    <cellStyle name="Comma [0] TBD_profit summary 4 124" xfId="40036"/>
    <cellStyle name="Comma [0] TBD-_profit summary 4 124" xfId="40037"/>
    <cellStyle name="Comma [0] TBD_profit summary 4 125" xfId="40038"/>
    <cellStyle name="Comma [0] TBD-_profit summary 4 125" xfId="40039"/>
    <cellStyle name="Comma [0] TBD_profit summary 4 126" xfId="40040"/>
    <cellStyle name="Comma [0] TBD-_profit summary 4 126" xfId="40041"/>
    <cellStyle name="Comma [0] TBD_profit summary 4 127" xfId="40042"/>
    <cellStyle name="Comma [0] TBD-_profit summary 4 127" xfId="40043"/>
    <cellStyle name="Comma [0] TBD_profit summary 4 128" xfId="40044"/>
    <cellStyle name="Comma [0] TBD-_profit summary 4 128" xfId="40045"/>
    <cellStyle name="Comma [0] TBD_profit summary 4 129" xfId="40046"/>
    <cellStyle name="Comma [0] TBD-_profit summary 4 129" xfId="40047"/>
    <cellStyle name="Comma [0] TBD_profit summary 4 13" xfId="40048"/>
    <cellStyle name="Comma [0] TBD-_profit summary 4 13" xfId="40049"/>
    <cellStyle name="Comma [0] TBD_profit summary 4 130" xfId="40050"/>
    <cellStyle name="Comma [0] TBD-_profit summary 4 130" xfId="40051"/>
    <cellStyle name="Comma [0] TBD_profit summary 4 131" xfId="40052"/>
    <cellStyle name="Comma [0] TBD-_profit summary 4 131" xfId="40053"/>
    <cellStyle name="Comma [0] TBD_profit summary 4 132" xfId="40054"/>
    <cellStyle name="Comma [0] TBD-_profit summary 4 132" xfId="40055"/>
    <cellStyle name="Comma [0] TBD_profit summary 4 133" xfId="40056"/>
    <cellStyle name="Comma [0] TBD-_profit summary 4 133" xfId="40057"/>
    <cellStyle name="Comma [0] TBD_profit summary 4 134" xfId="40058"/>
    <cellStyle name="Comma [0] TBD-_profit summary 4 134" xfId="40059"/>
    <cellStyle name="Comma [0] TBD_profit summary 4 135" xfId="40060"/>
    <cellStyle name="Comma [0] TBD-_profit summary 4 135" xfId="40061"/>
    <cellStyle name="Comma [0] TBD_profit summary 4 136" xfId="40062"/>
    <cellStyle name="Comma [0] TBD-_profit summary 4 136" xfId="40063"/>
    <cellStyle name="Comma [0] TBD_profit summary 4 137" xfId="40064"/>
    <cellStyle name="Comma [0] TBD-_profit summary 4 137" xfId="40065"/>
    <cellStyle name="Comma [0] TBD_profit summary 4 138" xfId="40066"/>
    <cellStyle name="Comma [0] TBD-_profit summary 4 138" xfId="40067"/>
    <cellStyle name="Comma [0] TBD_profit summary 4 139" xfId="40068"/>
    <cellStyle name="Comma [0] TBD-_profit summary 4 139" xfId="40069"/>
    <cellStyle name="Comma [0] TBD_profit summary 4 14" xfId="40070"/>
    <cellStyle name="Comma [0] TBD-_profit summary 4 14" xfId="40071"/>
    <cellStyle name="Comma [0] TBD_profit summary 4 140" xfId="40072"/>
    <cellStyle name="Comma [0] TBD-_profit summary 4 140" xfId="40073"/>
    <cellStyle name="Comma [0] TBD_profit summary 4 141" xfId="40074"/>
    <cellStyle name="Comma [0] TBD-_profit summary 4 141" xfId="40075"/>
    <cellStyle name="Comma [0] TBD_profit summary 4 142" xfId="40076"/>
    <cellStyle name="Comma [0] TBD-_profit summary 4 142" xfId="40077"/>
    <cellStyle name="Comma [0] TBD_profit summary 4 143" xfId="40078"/>
    <cellStyle name="Comma [0] TBD-_profit summary 4 143" xfId="40079"/>
    <cellStyle name="Comma [0] TBD_profit summary 4 144" xfId="40080"/>
    <cellStyle name="Comma [0] TBD-_profit summary 4 144" xfId="40081"/>
    <cellStyle name="Comma [0] TBD_profit summary 4 145" xfId="40082"/>
    <cellStyle name="Comma [0] TBD-_profit summary 4 145" xfId="40083"/>
    <cellStyle name="Comma [0] TBD_profit summary 4 146" xfId="40084"/>
    <cellStyle name="Comma [0] TBD-_profit summary 4 146" xfId="40085"/>
    <cellStyle name="Comma [0] TBD_profit summary 4 147" xfId="40086"/>
    <cellStyle name="Comma [0] TBD-_profit summary 4 147" xfId="40087"/>
    <cellStyle name="Comma [0] TBD_profit summary 4 148" xfId="40088"/>
    <cellStyle name="Comma [0] TBD-_profit summary 4 148" xfId="40089"/>
    <cellStyle name="Comma [0] TBD_profit summary 4 149" xfId="40090"/>
    <cellStyle name="Comma [0] TBD-_profit summary 4 149" xfId="40091"/>
    <cellStyle name="Comma [0] TBD_profit summary 4 15" xfId="40092"/>
    <cellStyle name="Comma [0] TBD-_profit summary 4 15" xfId="40093"/>
    <cellStyle name="Comma [0] TBD_profit summary 4 150" xfId="40094"/>
    <cellStyle name="Comma [0] TBD-_profit summary 4 150" xfId="40095"/>
    <cellStyle name="Comma [0] TBD_profit summary 4 151" xfId="40096"/>
    <cellStyle name="Comma [0] TBD-_profit summary 4 151" xfId="40097"/>
    <cellStyle name="Comma [0] TBD_profit summary 4 152" xfId="40098"/>
    <cellStyle name="Comma [0] TBD-_profit summary 4 152" xfId="40099"/>
    <cellStyle name="Comma [0] TBD_profit summary 4 153" xfId="40100"/>
    <cellStyle name="Comma [0] TBD-_profit summary 4 153" xfId="40101"/>
    <cellStyle name="Comma [0] TBD_profit summary 4 16" xfId="40102"/>
    <cellStyle name="Comma [0] TBD-_profit summary 4 16" xfId="40103"/>
    <cellStyle name="Comma [0] TBD_profit summary 4 17" xfId="40104"/>
    <cellStyle name="Comma [0] TBD-_profit summary 4 17" xfId="40105"/>
    <cellStyle name="Comma [0] TBD_profit summary 4 18" xfId="40106"/>
    <cellStyle name="Comma [0] TBD-_profit summary 4 18" xfId="40107"/>
    <cellStyle name="Comma [0] TBD_profit summary 4 19" xfId="40108"/>
    <cellStyle name="Comma [0] TBD-_profit summary 4 19" xfId="40109"/>
    <cellStyle name="Comma [0] TBD_profit summary 4 2" xfId="40110"/>
    <cellStyle name="Comma [0] TBD-_profit summary 4 2" xfId="40111"/>
    <cellStyle name="Comma [0] TBD_profit summary 4 20" xfId="40112"/>
    <cellStyle name="Comma [0] TBD-_profit summary 4 20" xfId="40113"/>
    <cellStyle name="Comma [0] TBD_profit summary 4 21" xfId="40114"/>
    <cellStyle name="Comma [0] TBD-_profit summary 4 21" xfId="40115"/>
    <cellStyle name="Comma [0] TBD_profit summary 4 22" xfId="40116"/>
    <cellStyle name="Comma [0] TBD-_profit summary 4 22" xfId="40117"/>
    <cellStyle name="Comma [0] TBD_profit summary 4 23" xfId="40118"/>
    <cellStyle name="Comma [0] TBD-_profit summary 4 23" xfId="40119"/>
    <cellStyle name="Comma [0] TBD_profit summary 4 24" xfId="40120"/>
    <cellStyle name="Comma [0] TBD-_profit summary 4 24" xfId="40121"/>
    <cellStyle name="Comma [0] TBD_profit summary 4 25" xfId="40122"/>
    <cellStyle name="Comma [0] TBD-_profit summary 4 25" xfId="40123"/>
    <cellStyle name="Comma [0] TBD_profit summary 4 26" xfId="40124"/>
    <cellStyle name="Comma [0] TBD-_profit summary 4 26" xfId="40125"/>
    <cellStyle name="Comma [0] TBD_profit summary 4 27" xfId="40126"/>
    <cellStyle name="Comma [0] TBD-_profit summary 4 27" xfId="40127"/>
    <cellStyle name="Comma [0] TBD_profit summary 4 28" xfId="40128"/>
    <cellStyle name="Comma [0] TBD-_profit summary 4 28" xfId="40129"/>
    <cellStyle name="Comma [0] TBD_profit summary 4 29" xfId="40130"/>
    <cellStyle name="Comma [0] TBD-_profit summary 4 29" xfId="40131"/>
    <cellStyle name="Comma [0] TBD_profit summary 4 3" xfId="40132"/>
    <cellStyle name="Comma [0] TBD-_profit summary 4 3" xfId="40133"/>
    <cellStyle name="Comma [0] TBD_profit summary 4 30" xfId="40134"/>
    <cellStyle name="Comma [0] TBD-_profit summary 4 30" xfId="40135"/>
    <cellStyle name="Comma [0] TBD_profit summary 4 31" xfId="40136"/>
    <cellStyle name="Comma [0] TBD-_profit summary 4 31" xfId="40137"/>
    <cellStyle name="Comma [0] TBD_profit summary 4 32" xfId="40138"/>
    <cellStyle name="Comma [0] TBD-_profit summary 4 32" xfId="40139"/>
    <cellStyle name="Comma [0] TBD_profit summary 4 33" xfId="40140"/>
    <cellStyle name="Comma [0] TBD-_profit summary 4 33" xfId="40141"/>
    <cellStyle name="Comma [0] TBD_profit summary 4 34" xfId="40142"/>
    <cellStyle name="Comma [0] TBD-_profit summary 4 34" xfId="40143"/>
    <cellStyle name="Comma [0] TBD_profit summary 4 35" xfId="40144"/>
    <cellStyle name="Comma [0] TBD-_profit summary 4 35" xfId="40145"/>
    <cellStyle name="Comma [0] TBD_profit summary 4 36" xfId="40146"/>
    <cellStyle name="Comma [0] TBD-_profit summary 4 36" xfId="40147"/>
    <cellStyle name="Comma [0] TBD_profit summary 4 37" xfId="40148"/>
    <cellStyle name="Comma [0] TBD-_profit summary 4 37" xfId="40149"/>
    <cellStyle name="Comma [0] TBD_profit summary 4 38" xfId="40150"/>
    <cellStyle name="Comma [0] TBD-_profit summary 4 38" xfId="40151"/>
    <cellStyle name="Comma [0] TBD_profit summary 4 39" xfId="40152"/>
    <cellStyle name="Comma [0] TBD-_profit summary 4 39" xfId="40153"/>
    <cellStyle name="Comma [0] TBD_profit summary 4 4" xfId="40154"/>
    <cellStyle name="Comma [0] TBD-_profit summary 4 4" xfId="40155"/>
    <cellStyle name="Comma [0] TBD_profit summary 4 40" xfId="40156"/>
    <cellStyle name="Comma [0] TBD-_profit summary 4 40" xfId="40157"/>
    <cellStyle name="Comma [0] TBD_profit summary 4 41" xfId="40158"/>
    <cellStyle name="Comma [0] TBD-_profit summary 4 41" xfId="40159"/>
    <cellStyle name="Comma [0] TBD_profit summary 4 42" xfId="40160"/>
    <cellStyle name="Comma [0] TBD-_profit summary 4 42" xfId="40161"/>
    <cellStyle name="Comma [0] TBD_profit summary 4 43" xfId="40162"/>
    <cellStyle name="Comma [0] TBD-_profit summary 4 43" xfId="40163"/>
    <cellStyle name="Comma [0] TBD_profit summary 4 44" xfId="40164"/>
    <cellStyle name="Comma [0] TBD-_profit summary 4 44" xfId="40165"/>
    <cellStyle name="Comma [0] TBD_profit summary 4 45" xfId="40166"/>
    <cellStyle name="Comma [0] TBD-_profit summary 4 45" xfId="40167"/>
    <cellStyle name="Comma [0] TBD_profit summary 4 46" xfId="40168"/>
    <cellStyle name="Comma [0] TBD-_profit summary 4 46" xfId="40169"/>
    <cellStyle name="Comma [0] TBD_profit summary 4 47" xfId="40170"/>
    <cellStyle name="Comma [0] TBD-_profit summary 4 47" xfId="40171"/>
    <cellStyle name="Comma [0] TBD_profit summary 4 48" xfId="40172"/>
    <cellStyle name="Comma [0] TBD-_profit summary 4 48" xfId="40173"/>
    <cellStyle name="Comma [0] TBD_profit summary 4 49" xfId="40174"/>
    <cellStyle name="Comma [0] TBD-_profit summary 4 49" xfId="40175"/>
    <cellStyle name="Comma [0] TBD_profit summary 4 5" xfId="40176"/>
    <cellStyle name="Comma [0] TBD-_profit summary 4 5" xfId="40177"/>
    <cellStyle name="Comma [0] TBD_profit summary 4 50" xfId="40178"/>
    <cellStyle name="Comma [0] TBD-_profit summary 4 50" xfId="40179"/>
    <cellStyle name="Comma [0] TBD_profit summary 4 51" xfId="40180"/>
    <cellStyle name="Comma [0] TBD-_profit summary 4 51" xfId="40181"/>
    <cellStyle name="Comma [0] TBD_profit summary 4 52" xfId="40182"/>
    <cellStyle name="Comma [0] TBD-_profit summary 4 52" xfId="40183"/>
    <cellStyle name="Comma [0] TBD_profit summary 4 53" xfId="40184"/>
    <cellStyle name="Comma [0] TBD-_profit summary 4 53" xfId="40185"/>
    <cellStyle name="Comma [0] TBD_profit summary 4 54" xfId="40186"/>
    <cellStyle name="Comma [0] TBD-_profit summary 4 54" xfId="40187"/>
    <cellStyle name="Comma [0] TBD_profit summary 4 55" xfId="40188"/>
    <cellStyle name="Comma [0] TBD-_profit summary 4 55" xfId="40189"/>
    <cellStyle name="Comma [0] TBD_profit summary 4 56" xfId="40190"/>
    <cellStyle name="Comma [0] TBD-_profit summary 4 56" xfId="40191"/>
    <cellStyle name="Comma [0] TBD_profit summary 4 57" xfId="40192"/>
    <cellStyle name="Comma [0] TBD-_profit summary 4 57" xfId="40193"/>
    <cellStyle name="Comma [0] TBD_profit summary 4 58" xfId="40194"/>
    <cellStyle name="Comma [0] TBD-_profit summary 4 58" xfId="40195"/>
    <cellStyle name="Comma [0] TBD_profit summary 4 59" xfId="40196"/>
    <cellStyle name="Comma [0] TBD-_profit summary 4 59" xfId="40197"/>
    <cellStyle name="Comma [0] TBD_profit summary 4 6" xfId="40198"/>
    <cellStyle name="Comma [0] TBD-_profit summary 4 6" xfId="40199"/>
    <cellStyle name="Comma [0] TBD_profit summary 4 60" xfId="40200"/>
    <cellStyle name="Comma [0] TBD-_profit summary 4 60" xfId="40201"/>
    <cellStyle name="Comma [0] TBD_profit summary 4 61" xfId="40202"/>
    <cellStyle name="Comma [0] TBD-_profit summary 4 61" xfId="40203"/>
    <cellStyle name="Comma [0] TBD_profit summary 4 62" xfId="40204"/>
    <cellStyle name="Comma [0] TBD-_profit summary 4 62" xfId="40205"/>
    <cellStyle name="Comma [0] TBD_profit summary 4 63" xfId="40206"/>
    <cellStyle name="Comma [0] TBD-_profit summary 4 63" xfId="40207"/>
    <cellStyle name="Comma [0] TBD_profit summary 4 64" xfId="40208"/>
    <cellStyle name="Comma [0] TBD-_profit summary 4 64" xfId="40209"/>
    <cellStyle name="Comma [0] TBD_profit summary 4 65" xfId="40210"/>
    <cellStyle name="Comma [0] TBD-_profit summary 4 65" xfId="40211"/>
    <cellStyle name="Comma [0] TBD_profit summary 4 66" xfId="40212"/>
    <cellStyle name="Comma [0] TBD-_profit summary 4 66" xfId="40213"/>
    <cellStyle name="Comma [0] TBD_profit summary 4 67" xfId="40214"/>
    <cellStyle name="Comma [0] TBD-_profit summary 4 67" xfId="40215"/>
    <cellStyle name="Comma [0] TBD_profit summary 4 68" xfId="40216"/>
    <cellStyle name="Comma [0] TBD-_profit summary 4 68" xfId="40217"/>
    <cellStyle name="Comma [0] TBD_profit summary 4 69" xfId="40218"/>
    <cellStyle name="Comma [0] TBD-_profit summary 4 69" xfId="40219"/>
    <cellStyle name="Comma [0] TBD_profit summary 4 7" xfId="40220"/>
    <cellStyle name="Comma [0] TBD-_profit summary 4 7" xfId="40221"/>
    <cellStyle name="Comma [0] TBD_profit summary 4 70" xfId="40222"/>
    <cellStyle name="Comma [0] TBD-_profit summary 4 70" xfId="40223"/>
    <cellStyle name="Comma [0] TBD_profit summary 4 71" xfId="40224"/>
    <cellStyle name="Comma [0] TBD-_profit summary 4 71" xfId="40225"/>
    <cellStyle name="Comma [0] TBD_profit summary 4 72" xfId="40226"/>
    <cellStyle name="Comma [0] TBD-_profit summary 4 72" xfId="40227"/>
    <cellStyle name="Comma [0] TBD_profit summary 4 73" xfId="40228"/>
    <cellStyle name="Comma [0] TBD-_profit summary 4 73" xfId="40229"/>
    <cellStyle name="Comma [0] TBD_profit summary 4 74" xfId="40230"/>
    <cellStyle name="Comma [0] TBD-_profit summary 4 74" xfId="40231"/>
    <cellStyle name="Comma [0] TBD_profit summary 4 75" xfId="40232"/>
    <cellStyle name="Comma [0] TBD-_profit summary 4 75" xfId="40233"/>
    <cellStyle name="Comma [0] TBD_profit summary 4 76" xfId="40234"/>
    <cellStyle name="Comma [0] TBD-_profit summary 4 76" xfId="40235"/>
    <cellStyle name="Comma [0] TBD_profit summary 4 77" xfId="40236"/>
    <cellStyle name="Comma [0] TBD-_profit summary 4 77" xfId="40237"/>
    <cellStyle name="Comma [0] TBD_profit summary 4 78" xfId="40238"/>
    <cellStyle name="Comma [0] TBD-_profit summary 4 78" xfId="40239"/>
    <cellStyle name="Comma [0] TBD_profit summary 4 79" xfId="40240"/>
    <cellStyle name="Comma [0] TBD-_profit summary 4 79" xfId="40241"/>
    <cellStyle name="Comma [0] TBD_profit summary 4 8" xfId="40242"/>
    <cellStyle name="Comma [0] TBD-_profit summary 4 8" xfId="40243"/>
    <cellStyle name="Comma [0] TBD_profit summary 4 80" xfId="40244"/>
    <cellStyle name="Comma [0] TBD-_profit summary 4 80" xfId="40245"/>
    <cellStyle name="Comma [0] TBD_profit summary 4 81" xfId="40246"/>
    <cellStyle name="Comma [0] TBD-_profit summary 4 81" xfId="40247"/>
    <cellStyle name="Comma [0] TBD_profit summary 4 82" xfId="40248"/>
    <cellStyle name="Comma [0] TBD-_profit summary 4 82" xfId="40249"/>
    <cellStyle name="Comma [0] TBD_profit summary 4 83" xfId="40250"/>
    <cellStyle name="Comma [0] TBD-_profit summary 4 83" xfId="40251"/>
    <cellStyle name="Comma [0] TBD_profit summary 4 84" xfId="40252"/>
    <cellStyle name="Comma [0] TBD-_profit summary 4 84" xfId="40253"/>
    <cellStyle name="Comma [0] TBD_profit summary 4 85" xfId="40254"/>
    <cellStyle name="Comma [0] TBD-_profit summary 4 85" xfId="40255"/>
    <cellStyle name="Comma [0] TBD_profit summary 4 86" xfId="40256"/>
    <cellStyle name="Comma [0] TBD-_profit summary 4 86" xfId="40257"/>
    <cellStyle name="Comma [0] TBD_profit summary 4 87" xfId="40258"/>
    <cellStyle name="Comma [0] TBD-_profit summary 4 87" xfId="40259"/>
    <cellStyle name="Comma [0] TBD_profit summary 4 88" xfId="40260"/>
    <cellStyle name="Comma [0] TBD-_profit summary 4 88" xfId="40261"/>
    <cellStyle name="Comma [0] TBD_profit summary 4 89" xfId="40262"/>
    <cellStyle name="Comma [0] TBD-_profit summary 4 89" xfId="40263"/>
    <cellStyle name="Comma [0] TBD_profit summary 4 9" xfId="40264"/>
    <cellStyle name="Comma [0] TBD-_profit summary 4 9" xfId="40265"/>
    <cellStyle name="Comma [0] TBD_profit summary 4 90" xfId="40266"/>
    <cellStyle name="Comma [0] TBD-_profit summary 4 90" xfId="40267"/>
    <cellStyle name="Comma [0] TBD_profit summary 4 91" xfId="40268"/>
    <cellStyle name="Comma [0] TBD-_profit summary 4 91" xfId="40269"/>
    <cellStyle name="Comma [0] TBD_profit summary 4 92" xfId="40270"/>
    <cellStyle name="Comma [0] TBD-_profit summary 4 92" xfId="40271"/>
    <cellStyle name="Comma [0] TBD_profit summary 4 93" xfId="40272"/>
    <cellStyle name="Comma [0] TBD-_profit summary 4 93" xfId="40273"/>
    <cellStyle name="Comma [0] TBD_profit summary 4 94" xfId="40274"/>
    <cellStyle name="Comma [0] TBD-_profit summary 4 94" xfId="40275"/>
    <cellStyle name="Comma [0] TBD_profit summary 4 95" xfId="40276"/>
    <cellStyle name="Comma [0] TBD-_profit summary 4 95" xfId="40277"/>
    <cellStyle name="Comma [0] TBD_profit summary 4 96" xfId="40278"/>
    <cellStyle name="Comma [0] TBD-_profit summary 4 96" xfId="40279"/>
    <cellStyle name="Comma [0] TBD_profit summary 4 97" xfId="40280"/>
    <cellStyle name="Comma [0] TBD-_profit summary 4 97" xfId="40281"/>
    <cellStyle name="Comma [0] TBD_profit summary 4 98" xfId="40282"/>
    <cellStyle name="Comma [0] TBD-_profit summary 4 98" xfId="40283"/>
    <cellStyle name="Comma [0] TBD_profit summary 4 99" xfId="40284"/>
    <cellStyle name="Comma [0] TBD-_profit summary 4 99" xfId="40285"/>
    <cellStyle name="Comma [0] TBD_profit summary 5" xfId="40286"/>
    <cellStyle name="Comma [0] TBD-_profit summary 5" xfId="40287"/>
    <cellStyle name="Comma [0] TBD_profit summary 5 10" xfId="40288"/>
    <cellStyle name="Comma [0] TBD-_profit summary 5 10" xfId="40289"/>
    <cellStyle name="Comma [0] TBD_profit summary 5 100" xfId="40290"/>
    <cellStyle name="Comma [0] TBD-_profit summary 5 100" xfId="40291"/>
    <cellStyle name="Comma [0] TBD_profit summary 5 101" xfId="40292"/>
    <cellStyle name="Comma [0] TBD-_profit summary 5 101" xfId="40293"/>
    <cellStyle name="Comma [0] TBD_profit summary 5 102" xfId="40294"/>
    <cellStyle name="Comma [0] TBD-_profit summary 5 102" xfId="40295"/>
    <cellStyle name="Comma [0] TBD_profit summary 5 103" xfId="40296"/>
    <cellStyle name="Comma [0] TBD-_profit summary 5 103" xfId="40297"/>
    <cellStyle name="Comma [0] TBD_profit summary 5 104" xfId="40298"/>
    <cellStyle name="Comma [0] TBD-_profit summary 5 104" xfId="40299"/>
    <cellStyle name="Comma [0] TBD_profit summary 5 105" xfId="40300"/>
    <cellStyle name="Comma [0] TBD-_profit summary 5 105" xfId="40301"/>
    <cellStyle name="Comma [0] TBD_profit summary 5 106" xfId="40302"/>
    <cellStyle name="Comma [0] TBD-_profit summary 5 106" xfId="40303"/>
    <cellStyle name="Comma [0] TBD_profit summary 5 107" xfId="40304"/>
    <cellStyle name="Comma [0] TBD-_profit summary 5 107" xfId="40305"/>
    <cellStyle name="Comma [0] TBD_profit summary 5 108" xfId="40306"/>
    <cellStyle name="Comma [0] TBD-_profit summary 5 108" xfId="40307"/>
    <cellStyle name="Comma [0] TBD_profit summary 5 109" xfId="40308"/>
    <cellStyle name="Comma [0] TBD-_profit summary 5 109" xfId="40309"/>
    <cellStyle name="Comma [0] TBD_profit summary 5 11" xfId="40310"/>
    <cellStyle name="Comma [0] TBD-_profit summary 5 11" xfId="40311"/>
    <cellStyle name="Comma [0] TBD_profit summary 5 110" xfId="40312"/>
    <cellStyle name="Comma [0] TBD-_profit summary 5 110" xfId="40313"/>
    <cellStyle name="Comma [0] TBD_profit summary 5 111" xfId="40314"/>
    <cellStyle name="Comma [0] TBD-_profit summary 5 111" xfId="40315"/>
    <cellStyle name="Comma [0] TBD_profit summary 5 112" xfId="40316"/>
    <cellStyle name="Comma [0] TBD-_profit summary 5 112" xfId="40317"/>
    <cellStyle name="Comma [0] TBD_profit summary 5 113" xfId="40318"/>
    <cellStyle name="Comma [0] TBD-_profit summary 5 113" xfId="40319"/>
    <cellStyle name="Comma [0] TBD_profit summary 5 114" xfId="40320"/>
    <cellStyle name="Comma [0] TBD-_profit summary 5 114" xfId="40321"/>
    <cellStyle name="Comma [0] TBD_profit summary 5 115" xfId="40322"/>
    <cellStyle name="Comma [0] TBD-_profit summary 5 115" xfId="40323"/>
    <cellStyle name="Comma [0] TBD_profit summary 5 116" xfId="40324"/>
    <cellStyle name="Comma [0] TBD-_profit summary 5 116" xfId="40325"/>
    <cellStyle name="Comma [0] TBD_profit summary 5 117" xfId="40326"/>
    <cellStyle name="Comma [0] TBD-_profit summary 5 117" xfId="40327"/>
    <cellStyle name="Comma [0] TBD_profit summary 5 118" xfId="40328"/>
    <cellStyle name="Comma [0] TBD-_profit summary 5 118" xfId="40329"/>
    <cellStyle name="Comma [0] TBD_profit summary 5 119" xfId="40330"/>
    <cellStyle name="Comma [0] TBD-_profit summary 5 119" xfId="40331"/>
    <cellStyle name="Comma [0] TBD_profit summary 5 12" xfId="40332"/>
    <cellStyle name="Comma [0] TBD-_profit summary 5 12" xfId="40333"/>
    <cellStyle name="Comma [0] TBD_profit summary 5 120" xfId="40334"/>
    <cellStyle name="Comma [0] TBD-_profit summary 5 120" xfId="40335"/>
    <cellStyle name="Comma [0] TBD_profit summary 5 121" xfId="40336"/>
    <cellStyle name="Comma [0] TBD-_profit summary 5 121" xfId="40337"/>
    <cellStyle name="Comma [0] TBD_profit summary 5 122" xfId="40338"/>
    <cellStyle name="Comma [0] TBD-_profit summary 5 122" xfId="40339"/>
    <cellStyle name="Comma [0] TBD_profit summary 5 123" xfId="40340"/>
    <cellStyle name="Comma [0] TBD-_profit summary 5 123" xfId="40341"/>
    <cellStyle name="Comma [0] TBD_profit summary 5 124" xfId="40342"/>
    <cellStyle name="Comma [0] TBD-_profit summary 5 124" xfId="40343"/>
    <cellStyle name="Comma [0] TBD_profit summary 5 125" xfId="40344"/>
    <cellStyle name="Comma [0] TBD-_profit summary 5 125" xfId="40345"/>
    <cellStyle name="Comma [0] TBD_profit summary 5 126" xfId="40346"/>
    <cellStyle name="Comma [0] TBD-_profit summary 5 126" xfId="40347"/>
    <cellStyle name="Comma [0] TBD_profit summary 5 127" xfId="40348"/>
    <cellStyle name="Comma [0] TBD-_profit summary 5 127" xfId="40349"/>
    <cellStyle name="Comma [0] TBD_profit summary 5 128" xfId="40350"/>
    <cellStyle name="Comma [0] TBD-_profit summary 5 128" xfId="40351"/>
    <cellStyle name="Comma [0] TBD_profit summary 5 129" xfId="40352"/>
    <cellStyle name="Comma [0] TBD-_profit summary 5 129" xfId="40353"/>
    <cellStyle name="Comma [0] TBD_profit summary 5 13" xfId="40354"/>
    <cellStyle name="Comma [0] TBD-_profit summary 5 13" xfId="40355"/>
    <cellStyle name="Comma [0] TBD_profit summary 5 130" xfId="40356"/>
    <cellStyle name="Comma [0] TBD-_profit summary 5 130" xfId="40357"/>
    <cellStyle name="Comma [0] TBD_profit summary 5 131" xfId="40358"/>
    <cellStyle name="Comma [0] TBD-_profit summary 5 131" xfId="40359"/>
    <cellStyle name="Comma [0] TBD_profit summary 5 132" xfId="40360"/>
    <cellStyle name="Comma [0] TBD-_profit summary 5 132" xfId="40361"/>
    <cellStyle name="Comma [0] TBD_profit summary 5 133" xfId="40362"/>
    <cellStyle name="Comma [0] TBD-_profit summary 5 133" xfId="40363"/>
    <cellStyle name="Comma [0] TBD_profit summary 5 134" xfId="40364"/>
    <cellStyle name="Comma [0] TBD-_profit summary 5 134" xfId="40365"/>
    <cellStyle name="Comma [0] TBD_profit summary 5 135" xfId="40366"/>
    <cellStyle name="Comma [0] TBD-_profit summary 5 135" xfId="40367"/>
    <cellStyle name="Comma [0] TBD_profit summary 5 136" xfId="40368"/>
    <cellStyle name="Comma [0] TBD-_profit summary 5 136" xfId="40369"/>
    <cellStyle name="Comma [0] TBD_profit summary 5 137" xfId="40370"/>
    <cellStyle name="Comma [0] TBD-_profit summary 5 137" xfId="40371"/>
    <cellStyle name="Comma [0] TBD_profit summary 5 138" xfId="40372"/>
    <cellStyle name="Comma [0] TBD-_profit summary 5 138" xfId="40373"/>
    <cellStyle name="Comma [0] TBD_profit summary 5 139" xfId="40374"/>
    <cellStyle name="Comma [0] TBD-_profit summary 5 139" xfId="40375"/>
    <cellStyle name="Comma [0] TBD_profit summary 5 14" xfId="40376"/>
    <cellStyle name="Comma [0] TBD-_profit summary 5 14" xfId="40377"/>
    <cellStyle name="Comma [0] TBD_profit summary 5 140" xfId="40378"/>
    <cellStyle name="Comma [0] TBD-_profit summary 5 140" xfId="40379"/>
    <cellStyle name="Comma [0] TBD_profit summary 5 141" xfId="40380"/>
    <cellStyle name="Comma [0] TBD-_profit summary 5 141" xfId="40381"/>
    <cellStyle name="Comma [0] TBD_profit summary 5 142" xfId="40382"/>
    <cellStyle name="Comma [0] TBD-_profit summary 5 142" xfId="40383"/>
    <cellStyle name="Comma [0] TBD_profit summary 5 143" xfId="40384"/>
    <cellStyle name="Comma [0] TBD-_profit summary 5 143" xfId="40385"/>
    <cellStyle name="Comma [0] TBD_profit summary 5 144" xfId="40386"/>
    <cellStyle name="Comma [0] TBD-_profit summary 5 144" xfId="40387"/>
    <cellStyle name="Comma [0] TBD_profit summary 5 145" xfId="40388"/>
    <cellStyle name="Comma [0] TBD-_profit summary 5 145" xfId="40389"/>
    <cellStyle name="Comma [0] TBD_profit summary 5 146" xfId="40390"/>
    <cellStyle name="Comma [0] TBD-_profit summary 5 146" xfId="40391"/>
    <cellStyle name="Comma [0] TBD_profit summary 5 147" xfId="40392"/>
    <cellStyle name="Comma [0] TBD-_profit summary 5 147" xfId="40393"/>
    <cellStyle name="Comma [0] TBD_profit summary 5 148" xfId="40394"/>
    <cellStyle name="Comma [0] TBD-_profit summary 5 148" xfId="40395"/>
    <cellStyle name="Comma [0] TBD_profit summary 5 149" xfId="40396"/>
    <cellStyle name="Comma [0] TBD-_profit summary 5 149" xfId="40397"/>
    <cellStyle name="Comma [0] TBD_profit summary 5 15" xfId="40398"/>
    <cellStyle name="Comma [0] TBD-_profit summary 5 15" xfId="40399"/>
    <cellStyle name="Comma [0] TBD_profit summary 5 150" xfId="40400"/>
    <cellStyle name="Comma [0] TBD-_profit summary 5 150" xfId="40401"/>
    <cellStyle name="Comma [0] TBD_profit summary 5 151" xfId="40402"/>
    <cellStyle name="Comma [0] TBD-_profit summary 5 151" xfId="40403"/>
    <cellStyle name="Comma [0] TBD_profit summary 5 152" xfId="40404"/>
    <cellStyle name="Comma [0] TBD-_profit summary 5 152" xfId="40405"/>
    <cellStyle name="Comma [0] TBD_profit summary 5 153" xfId="40406"/>
    <cellStyle name="Comma [0] TBD-_profit summary 5 153" xfId="40407"/>
    <cellStyle name="Comma [0] TBD_profit summary 5 16" xfId="40408"/>
    <cellStyle name="Comma [0] TBD-_profit summary 5 16" xfId="40409"/>
    <cellStyle name="Comma [0] TBD_profit summary 5 17" xfId="40410"/>
    <cellStyle name="Comma [0] TBD-_profit summary 5 17" xfId="40411"/>
    <cellStyle name="Comma [0] TBD_profit summary 5 18" xfId="40412"/>
    <cellStyle name="Comma [0] TBD-_profit summary 5 18" xfId="40413"/>
    <cellStyle name="Comma [0] TBD_profit summary 5 19" xfId="40414"/>
    <cellStyle name="Comma [0] TBD-_profit summary 5 19" xfId="40415"/>
    <cellStyle name="Comma [0] TBD_profit summary 5 2" xfId="40416"/>
    <cellStyle name="Comma [0] TBD-_profit summary 5 2" xfId="40417"/>
    <cellStyle name="Comma [0] TBD_profit summary 5 20" xfId="40418"/>
    <cellStyle name="Comma [0] TBD-_profit summary 5 20" xfId="40419"/>
    <cellStyle name="Comma [0] TBD_profit summary 5 21" xfId="40420"/>
    <cellStyle name="Comma [0] TBD-_profit summary 5 21" xfId="40421"/>
    <cellStyle name="Comma [0] TBD_profit summary 5 22" xfId="40422"/>
    <cellStyle name="Comma [0] TBD-_profit summary 5 22" xfId="40423"/>
    <cellStyle name="Comma [0] TBD_profit summary 5 23" xfId="40424"/>
    <cellStyle name="Comma [0] TBD-_profit summary 5 23" xfId="40425"/>
    <cellStyle name="Comma [0] TBD_profit summary 5 24" xfId="40426"/>
    <cellStyle name="Comma [0] TBD-_profit summary 5 24" xfId="40427"/>
    <cellStyle name="Comma [0] TBD_profit summary 5 25" xfId="40428"/>
    <cellStyle name="Comma [0] TBD-_profit summary 5 25" xfId="40429"/>
    <cellStyle name="Comma [0] TBD_profit summary 5 26" xfId="40430"/>
    <cellStyle name="Comma [0] TBD-_profit summary 5 26" xfId="40431"/>
    <cellStyle name="Comma [0] TBD_profit summary 5 27" xfId="40432"/>
    <cellStyle name="Comma [0] TBD-_profit summary 5 27" xfId="40433"/>
    <cellStyle name="Comma [0] TBD_profit summary 5 28" xfId="40434"/>
    <cellStyle name="Comma [0] TBD-_profit summary 5 28" xfId="40435"/>
    <cellStyle name="Comma [0] TBD_profit summary 5 29" xfId="40436"/>
    <cellStyle name="Comma [0] TBD-_profit summary 5 29" xfId="40437"/>
    <cellStyle name="Comma [0] TBD_profit summary 5 3" xfId="40438"/>
    <cellStyle name="Comma [0] TBD-_profit summary 5 3" xfId="40439"/>
    <cellStyle name="Comma [0] TBD_profit summary 5 30" xfId="40440"/>
    <cellStyle name="Comma [0] TBD-_profit summary 5 30" xfId="40441"/>
    <cellStyle name="Comma [0] TBD_profit summary 5 31" xfId="40442"/>
    <cellStyle name="Comma [0] TBD-_profit summary 5 31" xfId="40443"/>
    <cellStyle name="Comma [0] TBD_profit summary 5 32" xfId="40444"/>
    <cellStyle name="Comma [0] TBD-_profit summary 5 32" xfId="40445"/>
    <cellStyle name="Comma [0] TBD_profit summary 5 33" xfId="40446"/>
    <cellStyle name="Comma [0] TBD-_profit summary 5 33" xfId="40447"/>
    <cellStyle name="Comma [0] TBD_profit summary 5 34" xfId="40448"/>
    <cellStyle name="Comma [0] TBD-_profit summary 5 34" xfId="40449"/>
    <cellStyle name="Comma [0] TBD_profit summary 5 35" xfId="40450"/>
    <cellStyle name="Comma [0] TBD-_profit summary 5 35" xfId="40451"/>
    <cellStyle name="Comma [0] TBD_profit summary 5 36" xfId="40452"/>
    <cellStyle name="Comma [0] TBD-_profit summary 5 36" xfId="40453"/>
    <cellStyle name="Comma [0] TBD_profit summary 5 37" xfId="40454"/>
    <cellStyle name="Comma [0] TBD-_profit summary 5 37" xfId="40455"/>
    <cellStyle name="Comma [0] TBD_profit summary 5 38" xfId="40456"/>
    <cellStyle name="Comma [0] TBD-_profit summary 5 38" xfId="40457"/>
    <cellStyle name="Comma [0] TBD_profit summary 5 39" xfId="40458"/>
    <cellStyle name="Comma [0] TBD-_profit summary 5 39" xfId="40459"/>
    <cellStyle name="Comma [0] TBD_profit summary 5 4" xfId="40460"/>
    <cellStyle name="Comma [0] TBD-_profit summary 5 4" xfId="40461"/>
    <cellStyle name="Comma [0] TBD_profit summary 5 40" xfId="40462"/>
    <cellStyle name="Comma [0] TBD-_profit summary 5 40" xfId="40463"/>
    <cellStyle name="Comma [0] TBD_profit summary 5 41" xfId="40464"/>
    <cellStyle name="Comma [0] TBD-_profit summary 5 41" xfId="40465"/>
    <cellStyle name="Comma [0] TBD_profit summary 5 42" xfId="40466"/>
    <cellStyle name="Comma [0] TBD-_profit summary 5 42" xfId="40467"/>
    <cellStyle name="Comma [0] TBD_profit summary 5 43" xfId="40468"/>
    <cellStyle name="Comma [0] TBD-_profit summary 5 43" xfId="40469"/>
    <cellStyle name="Comma [0] TBD_profit summary 5 44" xfId="40470"/>
    <cellStyle name="Comma [0] TBD-_profit summary 5 44" xfId="40471"/>
    <cellStyle name="Comma [0] TBD_profit summary 5 45" xfId="40472"/>
    <cellStyle name="Comma [0] TBD-_profit summary 5 45" xfId="40473"/>
    <cellStyle name="Comma [0] TBD_profit summary 5 46" xfId="40474"/>
    <cellStyle name="Comma [0] TBD-_profit summary 5 46" xfId="40475"/>
    <cellStyle name="Comma [0] TBD_profit summary 5 47" xfId="40476"/>
    <cellStyle name="Comma [0] TBD-_profit summary 5 47" xfId="40477"/>
    <cellStyle name="Comma [0] TBD_profit summary 5 48" xfId="40478"/>
    <cellStyle name="Comma [0] TBD-_profit summary 5 48" xfId="40479"/>
    <cellStyle name="Comma [0] TBD_profit summary 5 49" xfId="40480"/>
    <cellStyle name="Comma [0] TBD-_profit summary 5 49" xfId="40481"/>
    <cellStyle name="Comma [0] TBD_profit summary 5 5" xfId="40482"/>
    <cellStyle name="Comma [0] TBD-_profit summary 5 5" xfId="40483"/>
    <cellStyle name="Comma [0] TBD_profit summary 5 50" xfId="40484"/>
    <cellStyle name="Comma [0] TBD-_profit summary 5 50" xfId="40485"/>
    <cellStyle name="Comma [0] TBD_profit summary 5 51" xfId="40486"/>
    <cellStyle name="Comma [0] TBD-_profit summary 5 51" xfId="40487"/>
    <cellStyle name="Comma [0] TBD_profit summary 5 52" xfId="40488"/>
    <cellStyle name="Comma [0] TBD-_profit summary 5 52" xfId="40489"/>
    <cellStyle name="Comma [0] TBD_profit summary 5 53" xfId="40490"/>
    <cellStyle name="Comma [0] TBD-_profit summary 5 53" xfId="40491"/>
    <cellStyle name="Comma [0] TBD_profit summary 5 54" xfId="40492"/>
    <cellStyle name="Comma [0] TBD-_profit summary 5 54" xfId="40493"/>
    <cellStyle name="Comma [0] TBD_profit summary 5 55" xfId="40494"/>
    <cellStyle name="Comma [0] TBD-_profit summary 5 55" xfId="40495"/>
    <cellStyle name="Comma [0] TBD_profit summary 5 56" xfId="40496"/>
    <cellStyle name="Comma [0] TBD-_profit summary 5 56" xfId="40497"/>
    <cellStyle name="Comma [0] TBD_profit summary 5 57" xfId="40498"/>
    <cellStyle name="Comma [0] TBD-_profit summary 5 57" xfId="40499"/>
    <cellStyle name="Comma [0] TBD_profit summary 5 58" xfId="40500"/>
    <cellStyle name="Comma [0] TBD-_profit summary 5 58" xfId="40501"/>
    <cellStyle name="Comma [0] TBD_profit summary 5 59" xfId="40502"/>
    <cellStyle name="Comma [0] TBD-_profit summary 5 59" xfId="40503"/>
    <cellStyle name="Comma [0] TBD_profit summary 5 6" xfId="40504"/>
    <cellStyle name="Comma [0] TBD-_profit summary 5 6" xfId="40505"/>
    <cellStyle name="Comma [0] TBD_profit summary 5 60" xfId="40506"/>
    <cellStyle name="Comma [0] TBD-_profit summary 5 60" xfId="40507"/>
    <cellStyle name="Comma [0] TBD_profit summary 5 61" xfId="40508"/>
    <cellStyle name="Comma [0] TBD-_profit summary 5 61" xfId="40509"/>
    <cellStyle name="Comma [0] TBD_profit summary 5 62" xfId="40510"/>
    <cellStyle name="Comma [0] TBD-_profit summary 5 62" xfId="40511"/>
    <cellStyle name="Comma [0] TBD_profit summary 5 63" xfId="40512"/>
    <cellStyle name="Comma [0] TBD-_profit summary 5 63" xfId="40513"/>
    <cellStyle name="Comma [0] TBD_profit summary 5 64" xfId="40514"/>
    <cellStyle name="Comma [0] TBD-_profit summary 5 64" xfId="40515"/>
    <cellStyle name="Comma [0] TBD_profit summary 5 65" xfId="40516"/>
    <cellStyle name="Comma [0] TBD-_profit summary 5 65" xfId="40517"/>
    <cellStyle name="Comma [0] TBD_profit summary 5 66" xfId="40518"/>
    <cellStyle name="Comma [0] TBD-_profit summary 5 66" xfId="40519"/>
    <cellStyle name="Comma [0] TBD_profit summary 5 67" xfId="40520"/>
    <cellStyle name="Comma [0] TBD-_profit summary 5 67" xfId="40521"/>
    <cellStyle name="Comma [0] TBD_profit summary 5 68" xfId="40522"/>
    <cellStyle name="Comma [0] TBD-_profit summary 5 68" xfId="40523"/>
    <cellStyle name="Comma [0] TBD_profit summary 5 69" xfId="40524"/>
    <cellStyle name="Comma [0] TBD-_profit summary 5 69" xfId="40525"/>
    <cellStyle name="Comma [0] TBD_profit summary 5 7" xfId="40526"/>
    <cellStyle name="Comma [0] TBD-_profit summary 5 7" xfId="40527"/>
    <cellStyle name="Comma [0] TBD_profit summary 5 70" xfId="40528"/>
    <cellStyle name="Comma [0] TBD-_profit summary 5 70" xfId="40529"/>
    <cellStyle name="Comma [0] TBD_profit summary 5 71" xfId="40530"/>
    <cellStyle name="Comma [0] TBD-_profit summary 5 71" xfId="40531"/>
    <cellStyle name="Comma [0] TBD_profit summary 5 72" xfId="40532"/>
    <cellStyle name="Comma [0] TBD-_profit summary 5 72" xfId="40533"/>
    <cellStyle name="Comma [0] TBD_profit summary 5 73" xfId="40534"/>
    <cellStyle name="Comma [0] TBD-_profit summary 5 73" xfId="40535"/>
    <cellStyle name="Comma [0] TBD_profit summary 5 74" xfId="40536"/>
    <cellStyle name="Comma [0] TBD-_profit summary 5 74" xfId="40537"/>
    <cellStyle name="Comma [0] TBD_profit summary 5 75" xfId="40538"/>
    <cellStyle name="Comma [0] TBD-_profit summary 5 75" xfId="40539"/>
    <cellStyle name="Comma [0] TBD_profit summary 5 76" xfId="40540"/>
    <cellStyle name="Comma [0] TBD-_profit summary 5 76" xfId="40541"/>
    <cellStyle name="Comma [0] TBD_profit summary 5 77" xfId="40542"/>
    <cellStyle name="Comma [0] TBD-_profit summary 5 77" xfId="40543"/>
    <cellStyle name="Comma [0] TBD_profit summary 5 78" xfId="40544"/>
    <cellStyle name="Comma [0] TBD-_profit summary 5 78" xfId="40545"/>
    <cellStyle name="Comma [0] TBD_profit summary 5 79" xfId="40546"/>
    <cellStyle name="Comma [0] TBD-_profit summary 5 79" xfId="40547"/>
    <cellStyle name="Comma [0] TBD_profit summary 5 8" xfId="40548"/>
    <cellStyle name="Comma [0] TBD-_profit summary 5 8" xfId="40549"/>
    <cellStyle name="Comma [0] TBD_profit summary 5 80" xfId="40550"/>
    <cellStyle name="Comma [0] TBD-_profit summary 5 80" xfId="40551"/>
    <cellStyle name="Comma [0] TBD_profit summary 5 81" xfId="40552"/>
    <cellStyle name="Comma [0] TBD-_profit summary 5 81" xfId="40553"/>
    <cellStyle name="Comma [0] TBD_profit summary 5 82" xfId="40554"/>
    <cellStyle name="Comma [0] TBD-_profit summary 5 82" xfId="40555"/>
    <cellStyle name="Comma [0] TBD_profit summary 5 83" xfId="40556"/>
    <cellStyle name="Comma [0] TBD-_profit summary 5 83" xfId="40557"/>
    <cellStyle name="Comma [0] TBD_profit summary 5 84" xfId="40558"/>
    <cellStyle name="Comma [0] TBD-_profit summary 5 84" xfId="40559"/>
    <cellStyle name="Comma [0] TBD_profit summary 5 85" xfId="40560"/>
    <cellStyle name="Comma [0] TBD-_profit summary 5 85" xfId="40561"/>
    <cellStyle name="Comma [0] TBD_profit summary 5 86" xfId="40562"/>
    <cellStyle name="Comma [0] TBD-_profit summary 5 86" xfId="40563"/>
    <cellStyle name="Comma [0] TBD_profit summary 5 87" xfId="40564"/>
    <cellStyle name="Comma [0] TBD-_profit summary 5 87" xfId="40565"/>
    <cellStyle name="Comma [0] TBD_profit summary 5 88" xfId="40566"/>
    <cellStyle name="Comma [0] TBD-_profit summary 5 88" xfId="40567"/>
    <cellStyle name="Comma [0] TBD_profit summary 5 89" xfId="40568"/>
    <cellStyle name="Comma [0] TBD-_profit summary 5 89" xfId="40569"/>
    <cellStyle name="Comma [0] TBD_profit summary 5 9" xfId="40570"/>
    <cellStyle name="Comma [0] TBD-_profit summary 5 9" xfId="40571"/>
    <cellStyle name="Comma [0] TBD_profit summary 5 90" xfId="40572"/>
    <cellStyle name="Comma [0] TBD-_profit summary 5 90" xfId="40573"/>
    <cellStyle name="Comma [0] TBD_profit summary 5 91" xfId="40574"/>
    <cellStyle name="Comma [0] TBD-_profit summary 5 91" xfId="40575"/>
    <cellStyle name="Comma [0] TBD_profit summary 5 92" xfId="40576"/>
    <cellStyle name="Comma [0] TBD-_profit summary 5 92" xfId="40577"/>
    <cellStyle name="Comma [0] TBD_profit summary 5 93" xfId="40578"/>
    <cellStyle name="Comma [0] TBD-_profit summary 5 93" xfId="40579"/>
    <cellStyle name="Comma [0] TBD_profit summary 5 94" xfId="40580"/>
    <cellStyle name="Comma [0] TBD-_profit summary 5 94" xfId="40581"/>
    <cellStyle name="Comma [0] TBD_profit summary 5 95" xfId="40582"/>
    <cellStyle name="Comma [0] TBD-_profit summary 5 95" xfId="40583"/>
    <cellStyle name="Comma [0] TBD_profit summary 5 96" xfId="40584"/>
    <cellStyle name="Comma [0] TBD-_profit summary 5 96" xfId="40585"/>
    <cellStyle name="Comma [0] TBD_profit summary 5 97" xfId="40586"/>
    <cellStyle name="Comma [0] TBD-_profit summary 5 97" xfId="40587"/>
    <cellStyle name="Comma [0] TBD_profit summary 5 98" xfId="40588"/>
    <cellStyle name="Comma [0] TBD-_profit summary 5 98" xfId="40589"/>
    <cellStyle name="Comma [0] TBD_profit summary 5 99" xfId="40590"/>
    <cellStyle name="Comma [0] TBD-_profit summary 5 99" xfId="40591"/>
    <cellStyle name="Comma [0] TBD_profit summary 6" xfId="40592"/>
    <cellStyle name="Comma [0] TBD-_profit summary 6" xfId="40593"/>
    <cellStyle name="Comma [0] TBD_profit summary 6 10" xfId="40594"/>
    <cellStyle name="Comma [0] TBD-_profit summary 6 10" xfId="40595"/>
    <cellStyle name="Comma [0] TBD_profit summary 6 100" xfId="40596"/>
    <cellStyle name="Comma [0] TBD-_profit summary 6 100" xfId="40597"/>
    <cellStyle name="Comma [0] TBD_profit summary 6 101" xfId="40598"/>
    <cellStyle name="Comma [0] TBD-_profit summary 6 101" xfId="40599"/>
    <cellStyle name="Comma [0] TBD_profit summary 6 102" xfId="40600"/>
    <cellStyle name="Comma [0] TBD-_profit summary 6 102" xfId="40601"/>
    <cellStyle name="Comma [0] TBD_profit summary 6 103" xfId="40602"/>
    <cellStyle name="Comma [0] TBD-_profit summary 6 103" xfId="40603"/>
    <cellStyle name="Comma [0] TBD_profit summary 6 104" xfId="40604"/>
    <cellStyle name="Comma [0] TBD-_profit summary 6 104" xfId="40605"/>
    <cellStyle name="Comma [0] TBD_profit summary 6 105" xfId="40606"/>
    <cellStyle name="Comma [0] TBD-_profit summary 6 105" xfId="40607"/>
    <cellStyle name="Comma [0] TBD_profit summary 6 106" xfId="40608"/>
    <cellStyle name="Comma [0] TBD-_profit summary 6 106" xfId="40609"/>
    <cellStyle name="Comma [0] TBD_profit summary 6 107" xfId="40610"/>
    <cellStyle name="Comma [0] TBD-_profit summary 6 107" xfId="40611"/>
    <cellStyle name="Comma [0] TBD_profit summary 6 108" xfId="40612"/>
    <cellStyle name="Comma [0] TBD-_profit summary 6 108" xfId="40613"/>
    <cellStyle name="Comma [0] TBD_profit summary 6 109" xfId="40614"/>
    <cellStyle name="Comma [0] TBD-_profit summary 6 109" xfId="40615"/>
    <cellStyle name="Comma [0] TBD_profit summary 6 11" xfId="40616"/>
    <cellStyle name="Comma [0] TBD-_profit summary 6 11" xfId="40617"/>
    <cellStyle name="Comma [0] TBD_profit summary 6 110" xfId="40618"/>
    <cellStyle name="Comma [0] TBD-_profit summary 6 110" xfId="40619"/>
    <cellStyle name="Comma [0] TBD_profit summary 6 111" xfId="40620"/>
    <cellStyle name="Comma [0] TBD-_profit summary 6 111" xfId="40621"/>
    <cellStyle name="Comma [0] TBD_profit summary 6 112" xfId="40622"/>
    <cellStyle name="Comma [0] TBD-_profit summary 6 112" xfId="40623"/>
    <cellStyle name="Comma [0] TBD_profit summary 6 113" xfId="40624"/>
    <cellStyle name="Comma [0] TBD-_profit summary 6 113" xfId="40625"/>
    <cellStyle name="Comma [0] TBD_profit summary 6 114" xfId="40626"/>
    <cellStyle name="Comma [0] TBD-_profit summary 6 114" xfId="40627"/>
    <cellStyle name="Comma [0] TBD_profit summary 6 115" xfId="40628"/>
    <cellStyle name="Comma [0] TBD-_profit summary 6 115" xfId="40629"/>
    <cellStyle name="Comma [0] TBD_profit summary 6 116" xfId="40630"/>
    <cellStyle name="Comma [0] TBD-_profit summary 6 116" xfId="40631"/>
    <cellStyle name="Comma [0] TBD_profit summary 6 117" xfId="40632"/>
    <cellStyle name="Comma [0] TBD-_profit summary 6 117" xfId="40633"/>
    <cellStyle name="Comma [0] TBD_profit summary 6 118" xfId="40634"/>
    <cellStyle name="Comma [0] TBD-_profit summary 6 118" xfId="40635"/>
    <cellStyle name="Comma [0] TBD_profit summary 6 119" xfId="40636"/>
    <cellStyle name="Comma [0] TBD-_profit summary 6 119" xfId="40637"/>
    <cellStyle name="Comma [0] TBD_profit summary 6 12" xfId="40638"/>
    <cellStyle name="Comma [0] TBD-_profit summary 6 12" xfId="40639"/>
    <cellStyle name="Comma [0] TBD_profit summary 6 120" xfId="40640"/>
    <cellStyle name="Comma [0] TBD-_profit summary 6 120" xfId="40641"/>
    <cellStyle name="Comma [0] TBD_profit summary 6 121" xfId="40642"/>
    <cellStyle name="Comma [0] TBD-_profit summary 6 121" xfId="40643"/>
    <cellStyle name="Comma [0] TBD_profit summary 6 122" xfId="40644"/>
    <cellStyle name="Comma [0] TBD-_profit summary 6 122" xfId="40645"/>
    <cellStyle name="Comma [0] TBD_profit summary 6 123" xfId="40646"/>
    <cellStyle name="Comma [0] TBD-_profit summary 6 123" xfId="40647"/>
    <cellStyle name="Comma [0] TBD_profit summary 6 124" xfId="40648"/>
    <cellStyle name="Comma [0] TBD-_profit summary 6 124" xfId="40649"/>
    <cellStyle name="Comma [0] TBD_profit summary 6 125" xfId="40650"/>
    <cellStyle name="Comma [0] TBD-_profit summary 6 125" xfId="40651"/>
    <cellStyle name="Comma [0] TBD_profit summary 6 126" xfId="40652"/>
    <cellStyle name="Comma [0] TBD-_profit summary 6 126" xfId="40653"/>
    <cellStyle name="Comma [0] TBD_profit summary 6 127" xfId="40654"/>
    <cellStyle name="Comma [0] TBD-_profit summary 6 127" xfId="40655"/>
    <cellStyle name="Comma [0] TBD_profit summary 6 128" xfId="40656"/>
    <cellStyle name="Comma [0] TBD-_profit summary 6 128" xfId="40657"/>
    <cellStyle name="Comma [0] TBD_profit summary 6 129" xfId="40658"/>
    <cellStyle name="Comma [0] TBD-_profit summary 6 129" xfId="40659"/>
    <cellStyle name="Comma [0] TBD_profit summary 6 13" xfId="40660"/>
    <cellStyle name="Comma [0] TBD-_profit summary 6 13" xfId="40661"/>
    <cellStyle name="Comma [0] TBD_profit summary 6 130" xfId="40662"/>
    <cellStyle name="Comma [0] TBD-_profit summary 6 130" xfId="40663"/>
    <cellStyle name="Comma [0] TBD_profit summary 6 131" xfId="40664"/>
    <cellStyle name="Comma [0] TBD-_profit summary 6 131" xfId="40665"/>
    <cellStyle name="Comma [0] TBD_profit summary 6 132" xfId="40666"/>
    <cellStyle name="Comma [0] TBD-_profit summary 6 132" xfId="40667"/>
    <cellStyle name="Comma [0] TBD_profit summary 6 133" xfId="40668"/>
    <cellStyle name="Comma [0] TBD-_profit summary 6 133" xfId="40669"/>
    <cellStyle name="Comma [0] TBD_profit summary 6 134" xfId="40670"/>
    <cellStyle name="Comma [0] TBD-_profit summary 6 134" xfId="40671"/>
    <cellStyle name="Comma [0] TBD_profit summary 6 135" xfId="40672"/>
    <cellStyle name="Comma [0] TBD-_profit summary 6 135" xfId="40673"/>
    <cellStyle name="Comma [0] TBD_profit summary 6 136" xfId="40674"/>
    <cellStyle name="Comma [0] TBD-_profit summary 6 136" xfId="40675"/>
    <cellStyle name="Comma [0] TBD_profit summary 6 137" xfId="40676"/>
    <cellStyle name="Comma [0] TBD-_profit summary 6 137" xfId="40677"/>
    <cellStyle name="Comma [0] TBD_profit summary 6 138" xfId="40678"/>
    <cellStyle name="Comma [0] TBD-_profit summary 6 138" xfId="40679"/>
    <cellStyle name="Comma [0] TBD_profit summary 6 139" xfId="40680"/>
    <cellStyle name="Comma [0] TBD-_profit summary 6 139" xfId="40681"/>
    <cellStyle name="Comma [0] TBD_profit summary 6 14" xfId="40682"/>
    <cellStyle name="Comma [0] TBD-_profit summary 6 14" xfId="40683"/>
    <cellStyle name="Comma [0] TBD_profit summary 6 140" xfId="40684"/>
    <cellStyle name="Comma [0] TBD-_profit summary 6 140" xfId="40685"/>
    <cellStyle name="Comma [0] TBD_profit summary 6 141" xfId="40686"/>
    <cellStyle name="Comma [0] TBD-_profit summary 6 141" xfId="40687"/>
    <cellStyle name="Comma [0] TBD_profit summary 6 142" xfId="40688"/>
    <cellStyle name="Comma [0] TBD-_profit summary 6 142" xfId="40689"/>
    <cellStyle name="Comma [0] TBD_profit summary 6 143" xfId="40690"/>
    <cellStyle name="Comma [0] TBD-_profit summary 6 143" xfId="40691"/>
    <cellStyle name="Comma [0] TBD_profit summary 6 144" xfId="40692"/>
    <cellStyle name="Comma [0] TBD-_profit summary 6 144" xfId="40693"/>
    <cellStyle name="Comma [0] TBD_profit summary 6 145" xfId="40694"/>
    <cellStyle name="Comma [0] TBD-_profit summary 6 145" xfId="40695"/>
    <cellStyle name="Comma [0] TBD_profit summary 6 146" xfId="40696"/>
    <cellStyle name="Comma [0] TBD-_profit summary 6 146" xfId="40697"/>
    <cellStyle name="Comma [0] TBD_profit summary 6 147" xfId="40698"/>
    <cellStyle name="Comma [0] TBD-_profit summary 6 147" xfId="40699"/>
    <cellStyle name="Comma [0] TBD_profit summary 6 148" xfId="40700"/>
    <cellStyle name="Comma [0] TBD-_profit summary 6 148" xfId="40701"/>
    <cellStyle name="Comma [0] TBD_profit summary 6 149" xfId="40702"/>
    <cellStyle name="Comma [0] TBD-_profit summary 6 149" xfId="40703"/>
    <cellStyle name="Comma [0] TBD_profit summary 6 15" xfId="40704"/>
    <cellStyle name="Comma [0] TBD-_profit summary 6 15" xfId="40705"/>
    <cellStyle name="Comma [0] TBD_profit summary 6 150" xfId="40706"/>
    <cellStyle name="Comma [0] TBD-_profit summary 6 150" xfId="40707"/>
    <cellStyle name="Comma [0] TBD_profit summary 6 151" xfId="40708"/>
    <cellStyle name="Comma [0] TBD-_profit summary 6 151" xfId="40709"/>
    <cellStyle name="Comma [0] TBD_profit summary 6 152" xfId="40710"/>
    <cellStyle name="Comma [0] TBD-_profit summary 6 152" xfId="40711"/>
    <cellStyle name="Comma [0] TBD_profit summary 6 153" xfId="40712"/>
    <cellStyle name="Comma [0] TBD-_profit summary 6 153" xfId="40713"/>
    <cellStyle name="Comma [0] TBD_profit summary 6 16" xfId="40714"/>
    <cellStyle name="Comma [0] TBD-_profit summary 6 16" xfId="40715"/>
    <cellStyle name="Comma [0] TBD_profit summary 6 17" xfId="40716"/>
    <cellStyle name="Comma [0] TBD-_profit summary 6 17" xfId="40717"/>
    <cellStyle name="Comma [0] TBD_profit summary 6 18" xfId="40718"/>
    <cellStyle name="Comma [0] TBD-_profit summary 6 18" xfId="40719"/>
    <cellStyle name="Comma [0] TBD_profit summary 6 19" xfId="40720"/>
    <cellStyle name="Comma [0] TBD-_profit summary 6 19" xfId="40721"/>
    <cellStyle name="Comma [0] TBD_profit summary 6 2" xfId="40722"/>
    <cellStyle name="Comma [0] TBD-_profit summary 6 2" xfId="40723"/>
    <cellStyle name="Comma [0] TBD_profit summary 6 20" xfId="40724"/>
    <cellStyle name="Comma [0] TBD-_profit summary 6 20" xfId="40725"/>
    <cellStyle name="Comma [0] TBD_profit summary 6 21" xfId="40726"/>
    <cellStyle name="Comma [0] TBD-_profit summary 6 21" xfId="40727"/>
    <cellStyle name="Comma [0] TBD_profit summary 6 22" xfId="40728"/>
    <cellStyle name="Comma [0] TBD-_profit summary 6 22" xfId="40729"/>
    <cellStyle name="Comma [0] TBD_profit summary 6 23" xfId="40730"/>
    <cellStyle name="Comma [0] TBD-_profit summary 6 23" xfId="40731"/>
    <cellStyle name="Comma [0] TBD_profit summary 6 24" xfId="40732"/>
    <cellStyle name="Comma [0] TBD-_profit summary 6 24" xfId="40733"/>
    <cellStyle name="Comma [0] TBD_profit summary 6 25" xfId="40734"/>
    <cellStyle name="Comma [0] TBD-_profit summary 6 25" xfId="40735"/>
    <cellStyle name="Comma [0] TBD_profit summary 6 26" xfId="40736"/>
    <cellStyle name="Comma [0] TBD-_profit summary 6 26" xfId="40737"/>
    <cellStyle name="Comma [0] TBD_profit summary 6 27" xfId="40738"/>
    <cellStyle name="Comma [0] TBD-_profit summary 6 27" xfId="40739"/>
    <cellStyle name="Comma [0] TBD_profit summary 6 28" xfId="40740"/>
    <cellStyle name="Comma [0] TBD-_profit summary 6 28" xfId="40741"/>
    <cellStyle name="Comma [0] TBD_profit summary 6 29" xfId="40742"/>
    <cellStyle name="Comma [0] TBD-_profit summary 6 29" xfId="40743"/>
    <cellStyle name="Comma [0] TBD_profit summary 6 3" xfId="40744"/>
    <cellStyle name="Comma [0] TBD-_profit summary 6 3" xfId="40745"/>
    <cellStyle name="Comma [0] TBD_profit summary 6 30" xfId="40746"/>
    <cellStyle name="Comma [0] TBD-_profit summary 6 30" xfId="40747"/>
    <cellStyle name="Comma [0] TBD_profit summary 6 31" xfId="40748"/>
    <cellStyle name="Comma [0] TBD-_profit summary 6 31" xfId="40749"/>
    <cellStyle name="Comma [0] TBD_profit summary 6 32" xfId="40750"/>
    <cellStyle name="Comma [0] TBD-_profit summary 6 32" xfId="40751"/>
    <cellStyle name="Comma [0] TBD_profit summary 6 33" xfId="40752"/>
    <cellStyle name="Comma [0] TBD-_profit summary 6 33" xfId="40753"/>
    <cellStyle name="Comma [0] TBD_profit summary 6 34" xfId="40754"/>
    <cellStyle name="Comma [0] TBD-_profit summary 6 34" xfId="40755"/>
    <cellStyle name="Comma [0] TBD_profit summary 6 35" xfId="40756"/>
    <cellStyle name="Comma [0] TBD-_profit summary 6 35" xfId="40757"/>
    <cellStyle name="Comma [0] TBD_profit summary 6 36" xfId="40758"/>
    <cellStyle name="Comma [0] TBD-_profit summary 6 36" xfId="40759"/>
    <cellStyle name="Comma [0] TBD_profit summary 6 37" xfId="40760"/>
    <cellStyle name="Comma [0] TBD-_profit summary 6 37" xfId="40761"/>
    <cellStyle name="Comma [0] TBD_profit summary 6 38" xfId="40762"/>
    <cellStyle name="Comma [0] TBD-_profit summary 6 38" xfId="40763"/>
    <cellStyle name="Comma [0] TBD_profit summary 6 39" xfId="40764"/>
    <cellStyle name="Comma [0] TBD-_profit summary 6 39" xfId="40765"/>
    <cellStyle name="Comma [0] TBD_profit summary 6 4" xfId="40766"/>
    <cellStyle name="Comma [0] TBD-_profit summary 6 4" xfId="40767"/>
    <cellStyle name="Comma [0] TBD_profit summary 6 40" xfId="40768"/>
    <cellStyle name="Comma [0] TBD-_profit summary 6 40" xfId="40769"/>
    <cellStyle name="Comma [0] TBD_profit summary 6 41" xfId="40770"/>
    <cellStyle name="Comma [0] TBD-_profit summary 6 41" xfId="40771"/>
    <cellStyle name="Comma [0] TBD_profit summary 6 42" xfId="40772"/>
    <cellStyle name="Comma [0] TBD-_profit summary 6 42" xfId="40773"/>
    <cellStyle name="Comma [0] TBD_profit summary 6 43" xfId="40774"/>
    <cellStyle name="Comma [0] TBD-_profit summary 6 43" xfId="40775"/>
    <cellStyle name="Comma [0] TBD_profit summary 6 44" xfId="40776"/>
    <cellStyle name="Comma [0] TBD-_profit summary 6 44" xfId="40777"/>
    <cellStyle name="Comma [0] TBD_profit summary 6 45" xfId="40778"/>
    <cellStyle name="Comma [0] TBD-_profit summary 6 45" xfId="40779"/>
    <cellStyle name="Comma [0] TBD_profit summary 6 46" xfId="40780"/>
    <cellStyle name="Comma [0] TBD-_profit summary 6 46" xfId="40781"/>
    <cellStyle name="Comma [0] TBD_profit summary 6 47" xfId="40782"/>
    <cellStyle name="Comma [0] TBD-_profit summary 6 47" xfId="40783"/>
    <cellStyle name="Comma [0] TBD_profit summary 6 48" xfId="40784"/>
    <cellStyle name="Comma [0] TBD-_profit summary 6 48" xfId="40785"/>
    <cellStyle name="Comma [0] TBD_profit summary 6 49" xfId="40786"/>
    <cellStyle name="Comma [0] TBD-_profit summary 6 49" xfId="40787"/>
    <cellStyle name="Comma [0] TBD_profit summary 6 5" xfId="40788"/>
    <cellStyle name="Comma [0] TBD-_profit summary 6 5" xfId="40789"/>
    <cellStyle name="Comma [0] TBD_profit summary 6 50" xfId="40790"/>
    <cellStyle name="Comma [0] TBD-_profit summary 6 50" xfId="40791"/>
    <cellStyle name="Comma [0] TBD_profit summary 6 51" xfId="40792"/>
    <cellStyle name="Comma [0] TBD-_profit summary 6 51" xfId="40793"/>
    <cellStyle name="Comma [0] TBD_profit summary 6 52" xfId="40794"/>
    <cellStyle name="Comma [0] TBD-_profit summary 6 52" xfId="40795"/>
    <cellStyle name="Comma [0] TBD_profit summary 6 53" xfId="40796"/>
    <cellStyle name="Comma [0] TBD-_profit summary 6 53" xfId="40797"/>
    <cellStyle name="Comma [0] TBD_profit summary 6 54" xfId="40798"/>
    <cellStyle name="Comma [0] TBD-_profit summary 6 54" xfId="40799"/>
    <cellStyle name="Comma [0] TBD_profit summary 6 55" xfId="40800"/>
    <cellStyle name="Comma [0] TBD-_profit summary 6 55" xfId="40801"/>
    <cellStyle name="Comma [0] TBD_profit summary 6 56" xfId="40802"/>
    <cellStyle name="Comma [0] TBD-_profit summary 6 56" xfId="40803"/>
    <cellStyle name="Comma [0] TBD_profit summary 6 57" xfId="40804"/>
    <cellStyle name="Comma [0] TBD-_profit summary 6 57" xfId="40805"/>
    <cellStyle name="Comma [0] TBD_profit summary 6 58" xfId="40806"/>
    <cellStyle name="Comma [0] TBD-_profit summary 6 58" xfId="40807"/>
    <cellStyle name="Comma [0] TBD_profit summary 6 59" xfId="40808"/>
    <cellStyle name="Comma [0] TBD-_profit summary 6 59" xfId="40809"/>
    <cellStyle name="Comma [0] TBD_profit summary 6 6" xfId="40810"/>
    <cellStyle name="Comma [0] TBD-_profit summary 6 6" xfId="40811"/>
    <cellStyle name="Comma [0] TBD_profit summary 6 60" xfId="40812"/>
    <cellStyle name="Comma [0] TBD-_profit summary 6 60" xfId="40813"/>
    <cellStyle name="Comma [0] TBD_profit summary 6 61" xfId="40814"/>
    <cellStyle name="Comma [0] TBD-_profit summary 6 61" xfId="40815"/>
    <cellStyle name="Comma [0] TBD_profit summary 6 62" xfId="40816"/>
    <cellStyle name="Comma [0] TBD-_profit summary 6 62" xfId="40817"/>
    <cellStyle name="Comma [0] TBD_profit summary 6 63" xfId="40818"/>
    <cellStyle name="Comma [0] TBD-_profit summary 6 63" xfId="40819"/>
    <cellStyle name="Comma [0] TBD_profit summary 6 64" xfId="40820"/>
    <cellStyle name="Comma [0] TBD-_profit summary 6 64" xfId="40821"/>
    <cellStyle name="Comma [0] TBD_profit summary 6 65" xfId="40822"/>
    <cellStyle name="Comma [0] TBD-_profit summary 6 65" xfId="40823"/>
    <cellStyle name="Comma [0] TBD_profit summary 6 66" xfId="40824"/>
    <cellStyle name="Comma [0] TBD-_profit summary 6 66" xfId="40825"/>
    <cellStyle name="Comma [0] TBD_profit summary 6 67" xfId="40826"/>
    <cellStyle name="Comma [0] TBD-_profit summary 6 67" xfId="40827"/>
    <cellStyle name="Comma [0] TBD_profit summary 6 68" xfId="40828"/>
    <cellStyle name="Comma [0] TBD-_profit summary 6 68" xfId="40829"/>
    <cellStyle name="Comma [0] TBD_profit summary 6 69" xfId="40830"/>
    <cellStyle name="Comma [0] TBD-_profit summary 6 69" xfId="40831"/>
    <cellStyle name="Comma [0] TBD_profit summary 6 7" xfId="40832"/>
    <cellStyle name="Comma [0] TBD-_profit summary 6 7" xfId="40833"/>
    <cellStyle name="Comma [0] TBD_profit summary 6 70" xfId="40834"/>
    <cellStyle name="Comma [0] TBD-_profit summary 6 70" xfId="40835"/>
    <cellStyle name="Comma [0] TBD_profit summary 6 71" xfId="40836"/>
    <cellStyle name="Comma [0] TBD-_profit summary 6 71" xfId="40837"/>
    <cellStyle name="Comma [0] TBD_profit summary 6 72" xfId="40838"/>
    <cellStyle name="Comma [0] TBD-_profit summary 6 72" xfId="40839"/>
    <cellStyle name="Comma [0] TBD_profit summary 6 73" xfId="40840"/>
    <cellStyle name="Comma [0] TBD-_profit summary 6 73" xfId="40841"/>
    <cellStyle name="Comma [0] TBD_profit summary 6 74" xfId="40842"/>
    <cellStyle name="Comma [0] TBD-_profit summary 6 74" xfId="40843"/>
    <cellStyle name="Comma [0] TBD_profit summary 6 75" xfId="40844"/>
    <cellStyle name="Comma [0] TBD-_profit summary 6 75" xfId="40845"/>
    <cellStyle name="Comma [0] TBD_profit summary 6 76" xfId="40846"/>
    <cellStyle name="Comma [0] TBD-_profit summary 6 76" xfId="40847"/>
    <cellStyle name="Comma [0] TBD_profit summary 6 77" xfId="40848"/>
    <cellStyle name="Comma [0] TBD-_profit summary 6 77" xfId="40849"/>
    <cellStyle name="Comma [0] TBD_profit summary 6 78" xfId="40850"/>
    <cellStyle name="Comma [0] TBD-_profit summary 6 78" xfId="40851"/>
    <cellStyle name="Comma [0] TBD_profit summary 6 79" xfId="40852"/>
    <cellStyle name="Comma [0] TBD-_profit summary 6 79" xfId="40853"/>
    <cellStyle name="Comma [0] TBD_profit summary 6 8" xfId="40854"/>
    <cellStyle name="Comma [0] TBD-_profit summary 6 8" xfId="40855"/>
    <cellStyle name="Comma [0] TBD_profit summary 6 80" xfId="40856"/>
    <cellStyle name="Comma [0] TBD-_profit summary 6 80" xfId="40857"/>
    <cellStyle name="Comma [0] TBD_profit summary 6 81" xfId="40858"/>
    <cellStyle name="Comma [0] TBD-_profit summary 6 81" xfId="40859"/>
    <cellStyle name="Comma [0] TBD_profit summary 6 82" xfId="40860"/>
    <cellStyle name="Comma [0] TBD-_profit summary 6 82" xfId="40861"/>
    <cellStyle name="Comma [0] TBD_profit summary 6 83" xfId="40862"/>
    <cellStyle name="Comma [0] TBD-_profit summary 6 83" xfId="40863"/>
    <cellStyle name="Comma [0] TBD_profit summary 6 84" xfId="40864"/>
    <cellStyle name="Comma [0] TBD-_profit summary 6 84" xfId="40865"/>
    <cellStyle name="Comma [0] TBD_profit summary 6 85" xfId="40866"/>
    <cellStyle name="Comma [0] TBD-_profit summary 6 85" xfId="40867"/>
    <cellStyle name="Comma [0] TBD_profit summary 6 86" xfId="40868"/>
    <cellStyle name="Comma [0] TBD-_profit summary 6 86" xfId="40869"/>
    <cellStyle name="Comma [0] TBD_profit summary 6 87" xfId="40870"/>
    <cellStyle name="Comma [0] TBD-_profit summary 6 87" xfId="40871"/>
    <cellStyle name="Comma [0] TBD_profit summary 6 88" xfId="40872"/>
    <cellStyle name="Comma [0] TBD-_profit summary 6 88" xfId="40873"/>
    <cellStyle name="Comma [0] TBD_profit summary 6 89" xfId="40874"/>
    <cellStyle name="Comma [0] TBD-_profit summary 6 89" xfId="40875"/>
    <cellStyle name="Comma [0] TBD_profit summary 6 9" xfId="40876"/>
    <cellStyle name="Comma [0] TBD-_profit summary 6 9" xfId="40877"/>
    <cellStyle name="Comma [0] TBD_profit summary 6 90" xfId="40878"/>
    <cellStyle name="Comma [0] TBD-_profit summary 6 90" xfId="40879"/>
    <cellStyle name="Comma [0] TBD_profit summary 6 91" xfId="40880"/>
    <cellStyle name="Comma [0] TBD-_profit summary 6 91" xfId="40881"/>
    <cellStyle name="Comma [0] TBD_profit summary 6 92" xfId="40882"/>
    <cellStyle name="Comma [0] TBD-_profit summary 6 92" xfId="40883"/>
    <cellStyle name="Comma [0] TBD_profit summary 6 93" xfId="40884"/>
    <cellStyle name="Comma [0] TBD-_profit summary 6 93" xfId="40885"/>
    <cellStyle name="Comma [0] TBD_profit summary 6 94" xfId="40886"/>
    <cellStyle name="Comma [0] TBD-_profit summary 6 94" xfId="40887"/>
    <cellStyle name="Comma [0] TBD_profit summary 6 95" xfId="40888"/>
    <cellStyle name="Comma [0] TBD-_profit summary 6 95" xfId="40889"/>
    <cellStyle name="Comma [0] TBD_profit summary 6 96" xfId="40890"/>
    <cellStyle name="Comma [0] TBD-_profit summary 6 96" xfId="40891"/>
    <cellStyle name="Comma [0] TBD_profit summary 6 97" xfId="40892"/>
    <cellStyle name="Comma [0] TBD-_profit summary 6 97" xfId="40893"/>
    <cellStyle name="Comma [0] TBD_profit summary 6 98" xfId="40894"/>
    <cellStyle name="Comma [0] TBD-_profit summary 6 98" xfId="40895"/>
    <cellStyle name="Comma [0] TBD_profit summary 6 99" xfId="40896"/>
    <cellStyle name="Comma [0] TBD-_profit summary 6 99" xfId="40897"/>
    <cellStyle name="Comma [0] TBD_profit summary 7" xfId="40898"/>
    <cellStyle name="Comma [0] TBD-_profit summary 7" xfId="40899"/>
    <cellStyle name="Comma [0] TBD_profit summary 7 10" xfId="40900"/>
    <cellStyle name="Comma [0] TBD-_profit summary 7 10" xfId="40901"/>
    <cellStyle name="Comma [0] TBD_profit summary 7 100" xfId="40902"/>
    <cellStyle name="Comma [0] TBD-_profit summary 7 100" xfId="40903"/>
    <cellStyle name="Comma [0] TBD_profit summary 7 101" xfId="40904"/>
    <cellStyle name="Comma [0] TBD-_profit summary 7 101" xfId="40905"/>
    <cellStyle name="Comma [0] TBD_profit summary 7 102" xfId="40906"/>
    <cellStyle name="Comma [0] TBD-_profit summary 7 102" xfId="40907"/>
    <cellStyle name="Comma [0] TBD_profit summary 7 103" xfId="40908"/>
    <cellStyle name="Comma [0] TBD-_profit summary 7 103" xfId="40909"/>
    <cellStyle name="Comma [0] TBD_profit summary 7 104" xfId="40910"/>
    <cellStyle name="Comma [0] TBD-_profit summary 7 104" xfId="40911"/>
    <cellStyle name="Comma [0] TBD_profit summary 7 105" xfId="40912"/>
    <cellStyle name="Comma [0] TBD-_profit summary 7 105" xfId="40913"/>
    <cellStyle name="Comma [0] TBD_profit summary 7 106" xfId="40914"/>
    <cellStyle name="Comma [0] TBD-_profit summary 7 106" xfId="40915"/>
    <cellStyle name="Comma [0] TBD_profit summary 7 107" xfId="40916"/>
    <cellStyle name="Comma [0] TBD-_profit summary 7 107" xfId="40917"/>
    <cellStyle name="Comma [0] TBD_profit summary 7 108" xfId="40918"/>
    <cellStyle name="Comma [0] TBD-_profit summary 7 108" xfId="40919"/>
    <cellStyle name="Comma [0] TBD_profit summary 7 109" xfId="40920"/>
    <cellStyle name="Comma [0] TBD-_profit summary 7 109" xfId="40921"/>
    <cellStyle name="Comma [0] TBD_profit summary 7 11" xfId="40922"/>
    <cellStyle name="Comma [0] TBD-_profit summary 7 11" xfId="40923"/>
    <cellStyle name="Comma [0] TBD_profit summary 7 110" xfId="40924"/>
    <cellStyle name="Comma [0] TBD-_profit summary 7 110" xfId="40925"/>
    <cellStyle name="Comma [0] TBD_profit summary 7 111" xfId="40926"/>
    <cellStyle name="Comma [0] TBD-_profit summary 7 111" xfId="40927"/>
    <cellStyle name="Comma [0] TBD_profit summary 7 112" xfId="40928"/>
    <cellStyle name="Comma [0] TBD-_profit summary 7 112" xfId="40929"/>
    <cellStyle name="Comma [0] TBD_profit summary 7 113" xfId="40930"/>
    <cellStyle name="Comma [0] TBD-_profit summary 7 113" xfId="40931"/>
    <cellStyle name="Comma [0] TBD_profit summary 7 114" xfId="40932"/>
    <cellStyle name="Comma [0] TBD-_profit summary 7 114" xfId="40933"/>
    <cellStyle name="Comma [0] TBD_profit summary 7 115" xfId="40934"/>
    <cellStyle name="Comma [0] TBD-_profit summary 7 115" xfId="40935"/>
    <cellStyle name="Comma [0] TBD_profit summary 7 116" xfId="40936"/>
    <cellStyle name="Comma [0] TBD-_profit summary 7 116" xfId="40937"/>
    <cellStyle name="Comma [0] TBD_profit summary 7 117" xfId="40938"/>
    <cellStyle name="Comma [0] TBD-_profit summary 7 117" xfId="40939"/>
    <cellStyle name="Comma [0] TBD_profit summary 7 118" xfId="40940"/>
    <cellStyle name="Comma [0] TBD-_profit summary 7 118" xfId="40941"/>
    <cellStyle name="Comma [0] TBD_profit summary 7 119" xfId="40942"/>
    <cellStyle name="Comma [0] TBD-_profit summary 7 119" xfId="40943"/>
    <cellStyle name="Comma [0] TBD_profit summary 7 12" xfId="40944"/>
    <cellStyle name="Comma [0] TBD-_profit summary 7 12" xfId="40945"/>
    <cellStyle name="Comma [0] TBD_profit summary 7 120" xfId="40946"/>
    <cellStyle name="Comma [0] TBD-_profit summary 7 120" xfId="40947"/>
    <cellStyle name="Comma [0] TBD_profit summary 7 121" xfId="40948"/>
    <cellStyle name="Comma [0] TBD-_profit summary 7 121" xfId="40949"/>
    <cellStyle name="Comma [0] TBD_profit summary 7 122" xfId="40950"/>
    <cellStyle name="Comma [0] TBD-_profit summary 7 122" xfId="40951"/>
    <cellStyle name="Comma [0] TBD_profit summary 7 123" xfId="40952"/>
    <cellStyle name="Comma [0] TBD-_profit summary 7 123" xfId="40953"/>
    <cellStyle name="Comma [0] TBD_profit summary 7 124" xfId="40954"/>
    <cellStyle name="Comma [0] TBD-_profit summary 7 124" xfId="40955"/>
    <cellStyle name="Comma [0] TBD_profit summary 7 125" xfId="40956"/>
    <cellStyle name="Comma [0] TBD-_profit summary 7 125" xfId="40957"/>
    <cellStyle name="Comma [0] TBD_profit summary 7 126" xfId="40958"/>
    <cellStyle name="Comma [0] TBD-_profit summary 7 126" xfId="40959"/>
    <cellStyle name="Comma [0] TBD_profit summary 7 127" xfId="40960"/>
    <cellStyle name="Comma [0] TBD-_profit summary 7 127" xfId="40961"/>
    <cellStyle name="Comma [0] TBD_profit summary 7 128" xfId="40962"/>
    <cellStyle name="Comma [0] TBD-_profit summary 7 128" xfId="40963"/>
    <cellStyle name="Comma [0] TBD_profit summary 7 129" xfId="40964"/>
    <cellStyle name="Comma [0] TBD-_profit summary 7 129" xfId="40965"/>
    <cellStyle name="Comma [0] TBD_profit summary 7 13" xfId="40966"/>
    <cellStyle name="Comma [0] TBD-_profit summary 7 13" xfId="40967"/>
    <cellStyle name="Comma [0] TBD_profit summary 7 130" xfId="40968"/>
    <cellStyle name="Comma [0] TBD-_profit summary 7 130" xfId="40969"/>
    <cellStyle name="Comma [0] TBD_profit summary 7 131" xfId="40970"/>
    <cellStyle name="Comma [0] TBD-_profit summary 7 131" xfId="40971"/>
    <cellStyle name="Comma [0] TBD_profit summary 7 132" xfId="40972"/>
    <cellStyle name="Comma [0] TBD-_profit summary 7 132" xfId="40973"/>
    <cellStyle name="Comma [0] TBD_profit summary 7 133" xfId="40974"/>
    <cellStyle name="Comma [0] TBD-_profit summary 7 133" xfId="40975"/>
    <cellStyle name="Comma [0] TBD_profit summary 7 134" xfId="40976"/>
    <cellStyle name="Comma [0] TBD-_profit summary 7 134" xfId="40977"/>
    <cellStyle name="Comma [0] TBD_profit summary 7 135" xfId="40978"/>
    <cellStyle name="Comma [0] TBD-_profit summary 7 135" xfId="40979"/>
    <cellStyle name="Comma [0] TBD_profit summary 7 136" xfId="40980"/>
    <cellStyle name="Comma [0] TBD-_profit summary 7 136" xfId="40981"/>
    <cellStyle name="Comma [0] TBD_profit summary 7 137" xfId="40982"/>
    <cellStyle name="Comma [0] TBD-_profit summary 7 137" xfId="40983"/>
    <cellStyle name="Comma [0] TBD_profit summary 7 138" xfId="40984"/>
    <cellStyle name="Comma [0] TBD-_profit summary 7 138" xfId="40985"/>
    <cellStyle name="Comma [0] TBD_profit summary 7 139" xfId="40986"/>
    <cellStyle name="Comma [0] TBD-_profit summary 7 139" xfId="40987"/>
    <cellStyle name="Comma [0] TBD_profit summary 7 14" xfId="40988"/>
    <cellStyle name="Comma [0] TBD-_profit summary 7 14" xfId="40989"/>
    <cellStyle name="Comma [0] TBD_profit summary 7 140" xfId="40990"/>
    <cellStyle name="Comma [0] TBD-_profit summary 7 140" xfId="40991"/>
    <cellStyle name="Comma [0] TBD_profit summary 7 141" xfId="40992"/>
    <cellStyle name="Comma [0] TBD-_profit summary 7 141" xfId="40993"/>
    <cellStyle name="Comma [0] TBD_profit summary 7 142" xfId="40994"/>
    <cellStyle name="Comma [0] TBD-_profit summary 7 142" xfId="40995"/>
    <cellStyle name="Comma [0] TBD_profit summary 7 143" xfId="40996"/>
    <cellStyle name="Comma [0] TBD-_profit summary 7 143" xfId="40997"/>
    <cellStyle name="Comma [0] TBD_profit summary 7 144" xfId="40998"/>
    <cellStyle name="Comma [0] TBD-_profit summary 7 144" xfId="40999"/>
    <cellStyle name="Comma [0] TBD_profit summary 7 145" xfId="41000"/>
    <cellStyle name="Comma [0] TBD-_profit summary 7 145" xfId="41001"/>
    <cellStyle name="Comma [0] TBD_profit summary 7 146" xfId="41002"/>
    <cellStyle name="Comma [0] TBD-_profit summary 7 146" xfId="41003"/>
    <cellStyle name="Comma [0] TBD_profit summary 7 147" xfId="41004"/>
    <cellStyle name="Comma [0] TBD-_profit summary 7 147" xfId="41005"/>
    <cellStyle name="Comma [0] TBD_profit summary 7 148" xfId="41006"/>
    <cellStyle name="Comma [0] TBD-_profit summary 7 148" xfId="41007"/>
    <cellStyle name="Comma [0] TBD_profit summary 7 149" xfId="41008"/>
    <cellStyle name="Comma [0] TBD-_profit summary 7 149" xfId="41009"/>
    <cellStyle name="Comma [0] TBD_profit summary 7 15" xfId="41010"/>
    <cellStyle name="Comma [0] TBD-_profit summary 7 15" xfId="41011"/>
    <cellStyle name="Comma [0] TBD_profit summary 7 150" xfId="41012"/>
    <cellStyle name="Comma [0] TBD-_profit summary 7 150" xfId="41013"/>
    <cellStyle name="Comma [0] TBD_profit summary 7 151" xfId="41014"/>
    <cellStyle name="Comma [0] TBD-_profit summary 7 151" xfId="41015"/>
    <cellStyle name="Comma [0] TBD_profit summary 7 152" xfId="41016"/>
    <cellStyle name="Comma [0] TBD-_profit summary 7 152" xfId="41017"/>
    <cellStyle name="Comma [0] TBD_profit summary 7 153" xfId="41018"/>
    <cellStyle name="Comma [0] TBD-_profit summary 7 153" xfId="41019"/>
    <cellStyle name="Comma [0] TBD_profit summary 7 16" xfId="41020"/>
    <cellStyle name="Comma [0] TBD-_profit summary 7 16" xfId="41021"/>
    <cellStyle name="Comma [0] TBD_profit summary 7 17" xfId="41022"/>
    <cellStyle name="Comma [0] TBD-_profit summary 7 17" xfId="41023"/>
    <cellStyle name="Comma [0] TBD_profit summary 7 18" xfId="41024"/>
    <cellStyle name="Comma [0] TBD-_profit summary 7 18" xfId="41025"/>
    <cellStyle name="Comma [0] TBD_profit summary 7 19" xfId="41026"/>
    <cellStyle name="Comma [0] TBD-_profit summary 7 19" xfId="41027"/>
    <cellStyle name="Comma [0] TBD_profit summary 7 2" xfId="41028"/>
    <cellStyle name="Comma [0] TBD-_profit summary 7 2" xfId="41029"/>
    <cellStyle name="Comma [0] TBD_profit summary 7 20" xfId="41030"/>
    <cellStyle name="Comma [0] TBD-_profit summary 7 20" xfId="41031"/>
    <cellStyle name="Comma [0] TBD_profit summary 7 21" xfId="41032"/>
    <cellStyle name="Comma [0] TBD-_profit summary 7 21" xfId="41033"/>
    <cellStyle name="Comma [0] TBD_profit summary 7 22" xfId="41034"/>
    <cellStyle name="Comma [0] TBD-_profit summary 7 22" xfId="41035"/>
    <cellStyle name="Comma [0] TBD_profit summary 7 23" xfId="41036"/>
    <cellStyle name="Comma [0] TBD-_profit summary 7 23" xfId="41037"/>
    <cellStyle name="Comma [0] TBD_profit summary 7 24" xfId="41038"/>
    <cellStyle name="Comma [0] TBD-_profit summary 7 24" xfId="41039"/>
    <cellStyle name="Comma [0] TBD_profit summary 7 25" xfId="41040"/>
    <cellStyle name="Comma [0] TBD-_profit summary 7 25" xfId="41041"/>
    <cellStyle name="Comma [0] TBD_profit summary 7 26" xfId="41042"/>
    <cellStyle name="Comma [0] TBD-_profit summary 7 26" xfId="41043"/>
    <cellStyle name="Comma [0] TBD_profit summary 7 27" xfId="41044"/>
    <cellStyle name="Comma [0] TBD-_profit summary 7 27" xfId="41045"/>
    <cellStyle name="Comma [0] TBD_profit summary 7 28" xfId="41046"/>
    <cellStyle name="Comma [0] TBD-_profit summary 7 28" xfId="41047"/>
    <cellStyle name="Comma [0] TBD_profit summary 7 29" xfId="41048"/>
    <cellStyle name="Comma [0] TBD-_profit summary 7 29" xfId="41049"/>
    <cellStyle name="Comma [0] TBD_profit summary 7 3" xfId="41050"/>
    <cellStyle name="Comma [0] TBD-_profit summary 7 3" xfId="41051"/>
    <cellStyle name="Comma [0] TBD_profit summary 7 30" xfId="41052"/>
    <cellStyle name="Comma [0] TBD-_profit summary 7 30" xfId="41053"/>
    <cellStyle name="Comma [0] TBD_profit summary 7 31" xfId="41054"/>
    <cellStyle name="Comma [0] TBD-_profit summary 7 31" xfId="41055"/>
    <cellStyle name="Comma [0] TBD_profit summary 7 32" xfId="41056"/>
    <cellStyle name="Comma [0] TBD-_profit summary 7 32" xfId="41057"/>
    <cellStyle name="Comma [0] TBD_profit summary 7 33" xfId="41058"/>
    <cellStyle name="Comma [0] TBD-_profit summary 7 33" xfId="41059"/>
    <cellStyle name="Comma [0] TBD_profit summary 7 34" xfId="41060"/>
    <cellStyle name="Comma [0] TBD-_profit summary 7 34" xfId="41061"/>
    <cellStyle name="Comma [0] TBD_profit summary 7 35" xfId="41062"/>
    <cellStyle name="Comma [0] TBD-_profit summary 7 35" xfId="41063"/>
    <cellStyle name="Comma [0] TBD_profit summary 7 36" xfId="41064"/>
    <cellStyle name="Comma [0] TBD-_profit summary 7 36" xfId="41065"/>
    <cellStyle name="Comma [0] TBD_profit summary 7 37" xfId="41066"/>
    <cellStyle name="Comma [0] TBD-_profit summary 7 37" xfId="41067"/>
    <cellStyle name="Comma [0] TBD_profit summary 7 38" xfId="41068"/>
    <cellStyle name="Comma [0] TBD-_profit summary 7 38" xfId="41069"/>
    <cellStyle name="Comma [0] TBD_profit summary 7 39" xfId="41070"/>
    <cellStyle name="Comma [0] TBD-_profit summary 7 39" xfId="41071"/>
    <cellStyle name="Comma [0] TBD_profit summary 7 4" xfId="41072"/>
    <cellStyle name="Comma [0] TBD-_profit summary 7 4" xfId="41073"/>
    <cellStyle name="Comma [0] TBD_profit summary 7 40" xfId="41074"/>
    <cellStyle name="Comma [0] TBD-_profit summary 7 40" xfId="41075"/>
    <cellStyle name="Comma [0] TBD_profit summary 7 41" xfId="41076"/>
    <cellStyle name="Comma [0] TBD-_profit summary 7 41" xfId="41077"/>
    <cellStyle name="Comma [0] TBD_profit summary 7 42" xfId="41078"/>
    <cellStyle name="Comma [0] TBD-_profit summary 7 42" xfId="41079"/>
    <cellStyle name="Comma [0] TBD_profit summary 7 43" xfId="41080"/>
    <cellStyle name="Comma [0] TBD-_profit summary 7 43" xfId="41081"/>
    <cellStyle name="Comma [0] TBD_profit summary 7 44" xfId="41082"/>
    <cellStyle name="Comma [0] TBD-_profit summary 7 44" xfId="41083"/>
    <cellStyle name="Comma [0] TBD_profit summary 7 45" xfId="41084"/>
    <cellStyle name="Comma [0] TBD-_profit summary 7 45" xfId="41085"/>
    <cellStyle name="Comma [0] TBD_profit summary 7 46" xfId="41086"/>
    <cellStyle name="Comma [0] TBD-_profit summary 7 46" xfId="41087"/>
    <cellStyle name="Comma [0] TBD_profit summary 7 47" xfId="41088"/>
    <cellStyle name="Comma [0] TBD-_profit summary 7 47" xfId="41089"/>
    <cellStyle name="Comma [0] TBD_profit summary 7 48" xfId="41090"/>
    <cellStyle name="Comma [0] TBD-_profit summary 7 48" xfId="41091"/>
    <cellStyle name="Comma [0] TBD_profit summary 7 49" xfId="41092"/>
    <cellStyle name="Comma [0] TBD-_profit summary 7 49" xfId="41093"/>
    <cellStyle name="Comma [0] TBD_profit summary 7 5" xfId="41094"/>
    <cellStyle name="Comma [0] TBD-_profit summary 7 5" xfId="41095"/>
    <cellStyle name="Comma [0] TBD_profit summary 7 50" xfId="41096"/>
    <cellStyle name="Comma [0] TBD-_profit summary 7 50" xfId="41097"/>
    <cellStyle name="Comma [0] TBD_profit summary 7 51" xfId="41098"/>
    <cellStyle name="Comma [0] TBD-_profit summary 7 51" xfId="41099"/>
    <cellStyle name="Comma [0] TBD_profit summary 7 52" xfId="41100"/>
    <cellStyle name="Comma [0] TBD-_profit summary 7 52" xfId="41101"/>
    <cellStyle name="Comma [0] TBD_profit summary 7 53" xfId="41102"/>
    <cellStyle name="Comma [0] TBD-_profit summary 7 53" xfId="41103"/>
    <cellStyle name="Comma [0] TBD_profit summary 7 54" xfId="41104"/>
    <cellStyle name="Comma [0] TBD-_profit summary 7 54" xfId="41105"/>
    <cellStyle name="Comma [0] TBD_profit summary 7 55" xfId="41106"/>
    <cellStyle name="Comma [0] TBD-_profit summary 7 55" xfId="41107"/>
    <cellStyle name="Comma [0] TBD_profit summary 7 56" xfId="41108"/>
    <cellStyle name="Comma [0] TBD-_profit summary 7 56" xfId="41109"/>
    <cellStyle name="Comma [0] TBD_profit summary 7 57" xfId="41110"/>
    <cellStyle name="Comma [0] TBD-_profit summary 7 57" xfId="41111"/>
    <cellStyle name="Comma [0] TBD_profit summary 7 58" xfId="41112"/>
    <cellStyle name="Comma [0] TBD-_profit summary 7 58" xfId="41113"/>
    <cellStyle name="Comma [0] TBD_profit summary 7 59" xfId="41114"/>
    <cellStyle name="Comma [0] TBD-_profit summary 7 59" xfId="41115"/>
    <cellStyle name="Comma [0] TBD_profit summary 7 6" xfId="41116"/>
    <cellStyle name="Comma [0] TBD-_profit summary 7 6" xfId="41117"/>
    <cellStyle name="Comma [0] TBD_profit summary 7 60" xfId="41118"/>
    <cellStyle name="Comma [0] TBD-_profit summary 7 60" xfId="41119"/>
    <cellStyle name="Comma [0] TBD_profit summary 7 61" xfId="41120"/>
    <cellStyle name="Comma [0] TBD-_profit summary 7 61" xfId="41121"/>
    <cellStyle name="Comma [0] TBD_profit summary 7 62" xfId="41122"/>
    <cellStyle name="Comma [0] TBD-_profit summary 7 62" xfId="41123"/>
    <cellStyle name="Comma [0] TBD_profit summary 7 63" xfId="41124"/>
    <cellStyle name="Comma [0] TBD-_profit summary 7 63" xfId="41125"/>
    <cellStyle name="Comma [0] TBD_profit summary 7 64" xfId="41126"/>
    <cellStyle name="Comma [0] TBD-_profit summary 7 64" xfId="41127"/>
    <cellStyle name="Comma [0] TBD_profit summary 7 65" xfId="41128"/>
    <cellStyle name="Comma [0] TBD-_profit summary 7 65" xfId="41129"/>
    <cellStyle name="Comma [0] TBD_profit summary 7 66" xfId="41130"/>
    <cellStyle name="Comma [0] TBD-_profit summary 7 66" xfId="41131"/>
    <cellStyle name="Comma [0] TBD_profit summary 7 67" xfId="41132"/>
    <cellStyle name="Comma [0] TBD-_profit summary 7 67" xfId="41133"/>
    <cellStyle name="Comma [0] TBD_profit summary 7 68" xfId="41134"/>
    <cellStyle name="Comma [0] TBD-_profit summary 7 68" xfId="41135"/>
    <cellStyle name="Comma [0] TBD_profit summary 7 69" xfId="41136"/>
    <cellStyle name="Comma [0] TBD-_profit summary 7 69" xfId="41137"/>
    <cellStyle name="Comma [0] TBD_profit summary 7 7" xfId="41138"/>
    <cellStyle name="Comma [0] TBD-_profit summary 7 7" xfId="41139"/>
    <cellStyle name="Comma [0] TBD_profit summary 7 70" xfId="41140"/>
    <cellStyle name="Comma [0] TBD-_profit summary 7 70" xfId="41141"/>
    <cellStyle name="Comma [0] TBD_profit summary 7 71" xfId="41142"/>
    <cellStyle name="Comma [0] TBD-_profit summary 7 71" xfId="41143"/>
    <cellStyle name="Comma [0] TBD_profit summary 7 72" xfId="41144"/>
    <cellStyle name="Comma [0] TBD-_profit summary 7 72" xfId="41145"/>
    <cellStyle name="Comma [0] TBD_profit summary 7 73" xfId="41146"/>
    <cellStyle name="Comma [0] TBD-_profit summary 7 73" xfId="41147"/>
    <cellStyle name="Comma [0] TBD_profit summary 7 74" xfId="41148"/>
    <cellStyle name="Comma [0] TBD-_profit summary 7 74" xfId="41149"/>
    <cellStyle name="Comma [0] TBD_profit summary 7 75" xfId="41150"/>
    <cellStyle name="Comma [0] TBD-_profit summary 7 75" xfId="41151"/>
    <cellStyle name="Comma [0] TBD_profit summary 7 76" xfId="41152"/>
    <cellStyle name="Comma [0] TBD-_profit summary 7 76" xfId="41153"/>
    <cellStyle name="Comma [0] TBD_profit summary 7 77" xfId="41154"/>
    <cellStyle name="Comma [0] TBD-_profit summary 7 77" xfId="41155"/>
    <cellStyle name="Comma [0] TBD_profit summary 7 78" xfId="41156"/>
    <cellStyle name="Comma [0] TBD-_profit summary 7 78" xfId="41157"/>
    <cellStyle name="Comma [0] TBD_profit summary 7 79" xfId="41158"/>
    <cellStyle name="Comma [0] TBD-_profit summary 7 79" xfId="41159"/>
    <cellStyle name="Comma [0] TBD_profit summary 7 8" xfId="41160"/>
    <cellStyle name="Comma [0] TBD-_profit summary 7 8" xfId="41161"/>
    <cellStyle name="Comma [0] TBD_profit summary 7 80" xfId="41162"/>
    <cellStyle name="Comma [0] TBD-_profit summary 7 80" xfId="41163"/>
    <cellStyle name="Comma [0] TBD_profit summary 7 81" xfId="41164"/>
    <cellStyle name="Comma [0] TBD-_profit summary 7 81" xfId="41165"/>
    <cellStyle name="Comma [0] TBD_profit summary 7 82" xfId="41166"/>
    <cellStyle name="Comma [0] TBD-_profit summary 7 82" xfId="41167"/>
    <cellStyle name="Comma [0] TBD_profit summary 7 83" xfId="41168"/>
    <cellStyle name="Comma [0] TBD-_profit summary 7 83" xfId="41169"/>
    <cellStyle name="Comma [0] TBD_profit summary 7 84" xfId="41170"/>
    <cellStyle name="Comma [0] TBD-_profit summary 7 84" xfId="41171"/>
    <cellStyle name="Comma [0] TBD_profit summary 7 85" xfId="41172"/>
    <cellStyle name="Comma [0] TBD-_profit summary 7 85" xfId="41173"/>
    <cellStyle name="Comma [0] TBD_profit summary 7 86" xfId="41174"/>
    <cellStyle name="Comma [0] TBD-_profit summary 7 86" xfId="41175"/>
    <cellStyle name="Comma [0] TBD_profit summary 7 87" xfId="41176"/>
    <cellStyle name="Comma [0] TBD-_profit summary 7 87" xfId="41177"/>
    <cellStyle name="Comma [0] TBD_profit summary 7 88" xfId="41178"/>
    <cellStyle name="Comma [0] TBD-_profit summary 7 88" xfId="41179"/>
    <cellStyle name="Comma [0] TBD_profit summary 7 89" xfId="41180"/>
    <cellStyle name="Comma [0] TBD-_profit summary 7 89" xfId="41181"/>
    <cellStyle name="Comma [0] TBD_profit summary 7 9" xfId="41182"/>
    <cellStyle name="Comma [0] TBD-_profit summary 7 9" xfId="41183"/>
    <cellStyle name="Comma [0] TBD_profit summary 7 90" xfId="41184"/>
    <cellStyle name="Comma [0] TBD-_profit summary 7 90" xfId="41185"/>
    <cellStyle name="Comma [0] TBD_profit summary 7 91" xfId="41186"/>
    <cellStyle name="Comma [0] TBD-_profit summary 7 91" xfId="41187"/>
    <cellStyle name="Comma [0] TBD_profit summary 7 92" xfId="41188"/>
    <cellStyle name="Comma [0] TBD-_profit summary 7 92" xfId="41189"/>
    <cellStyle name="Comma [0] TBD_profit summary 7 93" xfId="41190"/>
    <cellStyle name="Comma [0] TBD-_profit summary 7 93" xfId="41191"/>
    <cellStyle name="Comma [0] TBD_profit summary 7 94" xfId="41192"/>
    <cellStyle name="Comma [0] TBD-_profit summary 7 94" xfId="41193"/>
    <cellStyle name="Comma [0] TBD_profit summary 7 95" xfId="41194"/>
    <cellStyle name="Comma [0] TBD-_profit summary 7 95" xfId="41195"/>
    <cellStyle name="Comma [0] TBD_profit summary 7 96" xfId="41196"/>
    <cellStyle name="Comma [0] TBD-_profit summary 7 96" xfId="41197"/>
    <cellStyle name="Comma [0] TBD_profit summary 7 97" xfId="41198"/>
    <cellStyle name="Comma [0] TBD-_profit summary 7 97" xfId="41199"/>
    <cellStyle name="Comma [0] TBD_profit summary 7 98" xfId="41200"/>
    <cellStyle name="Comma [0] TBD-_profit summary 7 98" xfId="41201"/>
    <cellStyle name="Comma [0] TBD_profit summary 7 99" xfId="41202"/>
    <cellStyle name="Comma [0] TBD-_profit summary 7 99" xfId="41203"/>
    <cellStyle name="Comma [0] TBD_profit summary 8" xfId="41204"/>
    <cellStyle name="Comma [0] TBD-_profit summary 8" xfId="41205"/>
    <cellStyle name="Comma [0] TBD_profit summary 8 10" xfId="41206"/>
    <cellStyle name="Comma [0] TBD-_profit summary 8 10" xfId="41207"/>
    <cellStyle name="Comma [0] TBD_profit summary 8 100" xfId="41208"/>
    <cellStyle name="Comma [0] TBD-_profit summary 8 100" xfId="41209"/>
    <cellStyle name="Comma [0] TBD_profit summary 8 101" xfId="41210"/>
    <cellStyle name="Comma [0] TBD-_profit summary 8 101" xfId="41211"/>
    <cellStyle name="Comma [0] TBD_profit summary 8 102" xfId="41212"/>
    <cellStyle name="Comma [0] TBD-_profit summary 8 102" xfId="41213"/>
    <cellStyle name="Comma [0] TBD_profit summary 8 103" xfId="41214"/>
    <cellStyle name="Comma [0] TBD-_profit summary 8 103" xfId="41215"/>
    <cellStyle name="Comma [0] TBD_profit summary 8 104" xfId="41216"/>
    <cellStyle name="Comma [0] TBD-_profit summary 8 104" xfId="41217"/>
    <cellStyle name="Comma [0] TBD_profit summary 8 105" xfId="41218"/>
    <cellStyle name="Comma [0] TBD-_profit summary 8 105" xfId="41219"/>
    <cellStyle name="Comma [0] TBD_profit summary 8 106" xfId="41220"/>
    <cellStyle name="Comma [0] TBD-_profit summary 8 106" xfId="41221"/>
    <cellStyle name="Comma [0] TBD_profit summary 8 107" xfId="41222"/>
    <cellStyle name="Comma [0] TBD-_profit summary 8 107" xfId="41223"/>
    <cellStyle name="Comma [0] TBD_profit summary 8 108" xfId="41224"/>
    <cellStyle name="Comma [0] TBD-_profit summary 8 108" xfId="41225"/>
    <cellStyle name="Comma [0] TBD_profit summary 8 109" xfId="41226"/>
    <cellStyle name="Comma [0] TBD-_profit summary 8 109" xfId="41227"/>
    <cellStyle name="Comma [0] TBD_profit summary 8 11" xfId="41228"/>
    <cellStyle name="Comma [0] TBD-_profit summary 8 11" xfId="41229"/>
    <cellStyle name="Comma [0] TBD_profit summary 8 110" xfId="41230"/>
    <cellStyle name="Comma [0] TBD-_profit summary 8 110" xfId="41231"/>
    <cellStyle name="Comma [0] TBD_profit summary 8 111" xfId="41232"/>
    <cellStyle name="Comma [0] TBD-_profit summary 8 111" xfId="41233"/>
    <cellStyle name="Comma [0] TBD_profit summary 8 112" xfId="41234"/>
    <cellStyle name="Comma [0] TBD-_profit summary 8 112" xfId="41235"/>
    <cellStyle name="Comma [0] TBD_profit summary 8 113" xfId="41236"/>
    <cellStyle name="Comma [0] TBD-_profit summary 8 113" xfId="41237"/>
    <cellStyle name="Comma [0] TBD_profit summary 8 114" xfId="41238"/>
    <cellStyle name="Comma [0] TBD-_profit summary 8 114" xfId="41239"/>
    <cellStyle name="Comma [0] TBD_profit summary 8 115" xfId="41240"/>
    <cellStyle name="Comma [0] TBD-_profit summary 8 115" xfId="41241"/>
    <cellStyle name="Comma [0] TBD_profit summary 8 116" xfId="41242"/>
    <cellStyle name="Comma [0] TBD-_profit summary 8 116" xfId="41243"/>
    <cellStyle name="Comma [0] TBD_profit summary 8 117" xfId="41244"/>
    <cellStyle name="Comma [0] TBD-_profit summary 8 117" xfId="41245"/>
    <cellStyle name="Comma [0] TBD_profit summary 8 118" xfId="41246"/>
    <cellStyle name="Comma [0] TBD-_profit summary 8 118" xfId="41247"/>
    <cellStyle name="Comma [0] TBD_profit summary 8 119" xfId="41248"/>
    <cellStyle name="Comma [0] TBD-_profit summary 8 119" xfId="41249"/>
    <cellStyle name="Comma [0] TBD_profit summary 8 12" xfId="41250"/>
    <cellStyle name="Comma [0] TBD-_profit summary 8 12" xfId="41251"/>
    <cellStyle name="Comma [0] TBD_profit summary 8 120" xfId="41252"/>
    <cellStyle name="Comma [0] TBD-_profit summary 8 120" xfId="41253"/>
    <cellStyle name="Comma [0] TBD_profit summary 8 121" xfId="41254"/>
    <cellStyle name="Comma [0] TBD-_profit summary 8 121" xfId="41255"/>
    <cellStyle name="Comma [0] TBD_profit summary 8 122" xfId="41256"/>
    <cellStyle name="Comma [0] TBD-_profit summary 8 122" xfId="41257"/>
    <cellStyle name="Comma [0] TBD_profit summary 8 123" xfId="41258"/>
    <cellStyle name="Comma [0] TBD-_profit summary 8 123" xfId="41259"/>
    <cellStyle name="Comma [0] TBD_profit summary 8 124" xfId="41260"/>
    <cellStyle name="Comma [0] TBD-_profit summary 8 124" xfId="41261"/>
    <cellStyle name="Comma [0] TBD_profit summary 8 125" xfId="41262"/>
    <cellStyle name="Comma [0] TBD-_profit summary 8 125" xfId="41263"/>
    <cellStyle name="Comma [0] TBD_profit summary 8 126" xfId="41264"/>
    <cellStyle name="Comma [0] TBD-_profit summary 8 126" xfId="41265"/>
    <cellStyle name="Comma [0] TBD_profit summary 8 127" xfId="41266"/>
    <cellStyle name="Comma [0] TBD-_profit summary 8 127" xfId="41267"/>
    <cellStyle name="Comma [0] TBD_profit summary 8 128" xfId="41268"/>
    <cellStyle name="Comma [0] TBD-_profit summary 8 128" xfId="41269"/>
    <cellStyle name="Comma [0] TBD_profit summary 8 129" xfId="41270"/>
    <cellStyle name="Comma [0] TBD-_profit summary 8 129" xfId="41271"/>
    <cellStyle name="Comma [0] TBD_profit summary 8 13" xfId="41272"/>
    <cellStyle name="Comma [0] TBD-_profit summary 8 13" xfId="41273"/>
    <cellStyle name="Comma [0] TBD_profit summary 8 130" xfId="41274"/>
    <cellStyle name="Comma [0] TBD-_profit summary 8 130" xfId="41275"/>
    <cellStyle name="Comma [0] TBD_profit summary 8 131" xfId="41276"/>
    <cellStyle name="Comma [0] TBD-_profit summary 8 131" xfId="41277"/>
    <cellStyle name="Comma [0] TBD_profit summary 8 132" xfId="41278"/>
    <cellStyle name="Comma [0] TBD-_profit summary 8 132" xfId="41279"/>
    <cellStyle name="Comma [0] TBD_profit summary 8 133" xfId="41280"/>
    <cellStyle name="Comma [0] TBD-_profit summary 8 133" xfId="41281"/>
    <cellStyle name="Comma [0] TBD_profit summary 8 134" xfId="41282"/>
    <cellStyle name="Comma [0] TBD-_profit summary 8 134" xfId="41283"/>
    <cellStyle name="Comma [0] TBD_profit summary 8 135" xfId="41284"/>
    <cellStyle name="Comma [0] TBD-_profit summary 8 135" xfId="41285"/>
    <cellStyle name="Comma [0] TBD_profit summary 8 136" xfId="41286"/>
    <cellStyle name="Comma [0] TBD-_profit summary 8 136" xfId="41287"/>
    <cellStyle name="Comma [0] TBD_profit summary 8 137" xfId="41288"/>
    <cellStyle name="Comma [0] TBD-_profit summary 8 137" xfId="41289"/>
    <cellStyle name="Comma [0] TBD_profit summary 8 138" xfId="41290"/>
    <cellStyle name="Comma [0] TBD-_profit summary 8 138" xfId="41291"/>
    <cellStyle name="Comma [0] TBD_profit summary 8 139" xfId="41292"/>
    <cellStyle name="Comma [0] TBD-_profit summary 8 139" xfId="41293"/>
    <cellStyle name="Comma [0] TBD_profit summary 8 14" xfId="41294"/>
    <cellStyle name="Comma [0] TBD-_profit summary 8 14" xfId="41295"/>
    <cellStyle name="Comma [0] TBD_profit summary 8 140" xfId="41296"/>
    <cellStyle name="Comma [0] TBD-_profit summary 8 140" xfId="41297"/>
    <cellStyle name="Comma [0] TBD_profit summary 8 141" xfId="41298"/>
    <cellStyle name="Comma [0] TBD-_profit summary 8 141" xfId="41299"/>
    <cellStyle name="Comma [0] TBD_profit summary 8 142" xfId="41300"/>
    <cellStyle name="Comma [0] TBD-_profit summary 8 142" xfId="41301"/>
    <cellStyle name="Comma [0] TBD_profit summary 8 143" xfId="41302"/>
    <cellStyle name="Comma [0] TBD-_profit summary 8 143" xfId="41303"/>
    <cellStyle name="Comma [0] TBD_profit summary 8 144" xfId="41304"/>
    <cellStyle name="Comma [0] TBD-_profit summary 8 144" xfId="41305"/>
    <cellStyle name="Comma [0] TBD_profit summary 8 145" xfId="41306"/>
    <cellStyle name="Comma [0] TBD-_profit summary 8 145" xfId="41307"/>
    <cellStyle name="Comma [0] TBD_profit summary 8 146" xfId="41308"/>
    <cellStyle name="Comma [0] TBD-_profit summary 8 146" xfId="41309"/>
    <cellStyle name="Comma [0] TBD_profit summary 8 147" xfId="41310"/>
    <cellStyle name="Comma [0] TBD-_profit summary 8 147" xfId="41311"/>
    <cellStyle name="Comma [0] TBD_profit summary 8 148" xfId="41312"/>
    <cellStyle name="Comma [0] TBD-_profit summary 8 148" xfId="41313"/>
    <cellStyle name="Comma [0] TBD_profit summary 8 149" xfId="41314"/>
    <cellStyle name="Comma [0] TBD-_profit summary 8 149" xfId="41315"/>
    <cellStyle name="Comma [0] TBD_profit summary 8 15" xfId="41316"/>
    <cellStyle name="Comma [0] TBD-_profit summary 8 15" xfId="41317"/>
    <cellStyle name="Comma [0] TBD_profit summary 8 150" xfId="41318"/>
    <cellStyle name="Comma [0] TBD-_profit summary 8 150" xfId="41319"/>
    <cellStyle name="Comma [0] TBD_profit summary 8 151" xfId="41320"/>
    <cellStyle name="Comma [0] TBD-_profit summary 8 151" xfId="41321"/>
    <cellStyle name="Comma [0] TBD_profit summary 8 152" xfId="41322"/>
    <cellStyle name="Comma [0] TBD-_profit summary 8 152" xfId="41323"/>
    <cellStyle name="Comma [0] TBD_profit summary 8 153" xfId="41324"/>
    <cellStyle name="Comma [0] TBD-_profit summary 8 153" xfId="41325"/>
    <cellStyle name="Comma [0] TBD_profit summary 8 16" xfId="41326"/>
    <cellStyle name="Comma [0] TBD-_profit summary 8 16" xfId="41327"/>
    <cellStyle name="Comma [0] TBD_profit summary 8 17" xfId="41328"/>
    <cellStyle name="Comma [0] TBD-_profit summary 8 17" xfId="41329"/>
    <cellStyle name="Comma [0] TBD_profit summary 8 18" xfId="41330"/>
    <cellStyle name="Comma [0] TBD-_profit summary 8 18" xfId="41331"/>
    <cellStyle name="Comma [0] TBD_profit summary 8 19" xfId="41332"/>
    <cellStyle name="Comma [0] TBD-_profit summary 8 19" xfId="41333"/>
    <cellStyle name="Comma [0] TBD_profit summary 8 2" xfId="41334"/>
    <cellStyle name="Comma [0] TBD-_profit summary 8 2" xfId="41335"/>
    <cellStyle name="Comma [0] TBD_profit summary 8 20" xfId="41336"/>
    <cellStyle name="Comma [0] TBD-_profit summary 8 20" xfId="41337"/>
    <cellStyle name="Comma [0] TBD_profit summary 8 21" xfId="41338"/>
    <cellStyle name="Comma [0] TBD-_profit summary 8 21" xfId="41339"/>
    <cellStyle name="Comma [0] TBD_profit summary 8 22" xfId="41340"/>
    <cellStyle name="Comma [0] TBD-_profit summary 8 22" xfId="41341"/>
    <cellStyle name="Comma [0] TBD_profit summary 8 23" xfId="41342"/>
    <cellStyle name="Comma [0] TBD-_profit summary 8 23" xfId="41343"/>
    <cellStyle name="Comma [0] TBD_profit summary 8 24" xfId="41344"/>
    <cellStyle name="Comma [0] TBD-_profit summary 8 24" xfId="41345"/>
    <cellStyle name="Comma [0] TBD_profit summary 8 25" xfId="41346"/>
    <cellStyle name="Comma [0] TBD-_profit summary 8 25" xfId="41347"/>
    <cellStyle name="Comma [0] TBD_profit summary 8 26" xfId="41348"/>
    <cellStyle name="Comma [0] TBD-_profit summary 8 26" xfId="41349"/>
    <cellStyle name="Comma [0] TBD_profit summary 8 27" xfId="41350"/>
    <cellStyle name="Comma [0] TBD-_profit summary 8 27" xfId="41351"/>
    <cellStyle name="Comma [0] TBD_profit summary 8 28" xfId="41352"/>
    <cellStyle name="Comma [0] TBD-_profit summary 8 28" xfId="41353"/>
    <cellStyle name="Comma [0] TBD_profit summary 8 29" xfId="41354"/>
    <cellStyle name="Comma [0] TBD-_profit summary 8 29" xfId="41355"/>
    <cellStyle name="Comma [0] TBD_profit summary 8 3" xfId="41356"/>
    <cellStyle name="Comma [0] TBD-_profit summary 8 3" xfId="41357"/>
    <cellStyle name="Comma [0] TBD_profit summary 8 30" xfId="41358"/>
    <cellStyle name="Comma [0] TBD-_profit summary 8 30" xfId="41359"/>
    <cellStyle name="Comma [0] TBD_profit summary 8 31" xfId="41360"/>
    <cellStyle name="Comma [0] TBD-_profit summary 8 31" xfId="41361"/>
    <cellStyle name="Comma [0] TBD_profit summary 8 32" xfId="41362"/>
    <cellStyle name="Comma [0] TBD-_profit summary 8 32" xfId="41363"/>
    <cellStyle name="Comma [0] TBD_profit summary 8 33" xfId="41364"/>
    <cellStyle name="Comma [0] TBD-_profit summary 8 33" xfId="41365"/>
    <cellStyle name="Comma [0] TBD_profit summary 8 34" xfId="41366"/>
    <cellStyle name="Comma [0] TBD-_profit summary 8 34" xfId="41367"/>
    <cellStyle name="Comma [0] TBD_profit summary 8 35" xfId="41368"/>
    <cellStyle name="Comma [0] TBD-_profit summary 8 35" xfId="41369"/>
    <cellStyle name="Comma [0] TBD_profit summary 8 36" xfId="41370"/>
    <cellStyle name="Comma [0] TBD-_profit summary 8 36" xfId="41371"/>
    <cellStyle name="Comma [0] TBD_profit summary 8 37" xfId="41372"/>
    <cellStyle name="Comma [0] TBD-_profit summary 8 37" xfId="41373"/>
    <cellStyle name="Comma [0] TBD_profit summary 8 38" xfId="41374"/>
    <cellStyle name="Comma [0] TBD-_profit summary 8 38" xfId="41375"/>
    <cellStyle name="Comma [0] TBD_profit summary 8 39" xfId="41376"/>
    <cellStyle name="Comma [0] TBD-_profit summary 8 39" xfId="41377"/>
    <cellStyle name="Comma [0] TBD_profit summary 8 4" xfId="41378"/>
    <cellStyle name="Comma [0] TBD-_profit summary 8 4" xfId="41379"/>
    <cellStyle name="Comma [0] TBD_profit summary 8 40" xfId="41380"/>
    <cellStyle name="Comma [0] TBD-_profit summary 8 40" xfId="41381"/>
    <cellStyle name="Comma [0] TBD_profit summary 8 41" xfId="41382"/>
    <cellStyle name="Comma [0] TBD-_profit summary 8 41" xfId="41383"/>
    <cellStyle name="Comma [0] TBD_profit summary 8 42" xfId="41384"/>
    <cellStyle name="Comma [0] TBD-_profit summary 8 42" xfId="41385"/>
    <cellStyle name="Comma [0] TBD_profit summary 8 43" xfId="41386"/>
    <cellStyle name="Comma [0] TBD-_profit summary 8 43" xfId="41387"/>
    <cellStyle name="Comma [0] TBD_profit summary 8 44" xfId="41388"/>
    <cellStyle name="Comma [0] TBD-_profit summary 8 44" xfId="41389"/>
    <cellStyle name="Comma [0] TBD_profit summary 8 45" xfId="41390"/>
    <cellStyle name="Comma [0] TBD-_profit summary 8 45" xfId="41391"/>
    <cellStyle name="Comma [0] TBD_profit summary 8 46" xfId="41392"/>
    <cellStyle name="Comma [0] TBD-_profit summary 8 46" xfId="41393"/>
    <cellStyle name="Comma [0] TBD_profit summary 8 47" xfId="41394"/>
    <cellStyle name="Comma [0] TBD-_profit summary 8 47" xfId="41395"/>
    <cellStyle name="Comma [0] TBD_profit summary 8 48" xfId="41396"/>
    <cellStyle name="Comma [0] TBD-_profit summary 8 48" xfId="41397"/>
    <cellStyle name="Comma [0] TBD_profit summary 8 49" xfId="41398"/>
    <cellStyle name="Comma [0] TBD-_profit summary 8 49" xfId="41399"/>
    <cellStyle name="Comma [0] TBD_profit summary 8 5" xfId="41400"/>
    <cellStyle name="Comma [0] TBD-_profit summary 8 5" xfId="41401"/>
    <cellStyle name="Comma [0] TBD_profit summary 8 50" xfId="41402"/>
    <cellStyle name="Comma [0] TBD-_profit summary 8 50" xfId="41403"/>
    <cellStyle name="Comma [0] TBD_profit summary 8 51" xfId="41404"/>
    <cellStyle name="Comma [0] TBD-_profit summary 8 51" xfId="41405"/>
    <cellStyle name="Comma [0] TBD_profit summary 8 52" xfId="41406"/>
    <cellStyle name="Comma [0] TBD-_profit summary 8 52" xfId="41407"/>
    <cellStyle name="Comma [0] TBD_profit summary 8 53" xfId="41408"/>
    <cellStyle name="Comma [0] TBD-_profit summary 8 53" xfId="41409"/>
    <cellStyle name="Comma [0] TBD_profit summary 8 54" xfId="41410"/>
    <cellStyle name="Comma [0] TBD-_profit summary 8 54" xfId="41411"/>
    <cellStyle name="Comma [0] TBD_profit summary 8 55" xfId="41412"/>
    <cellStyle name="Comma [0] TBD-_profit summary 8 55" xfId="41413"/>
    <cellStyle name="Comma [0] TBD_profit summary 8 56" xfId="41414"/>
    <cellStyle name="Comma [0] TBD-_profit summary 8 56" xfId="41415"/>
    <cellStyle name="Comma [0] TBD_profit summary 8 57" xfId="41416"/>
    <cellStyle name="Comma [0] TBD-_profit summary 8 57" xfId="41417"/>
    <cellStyle name="Comma [0] TBD_profit summary 8 58" xfId="41418"/>
    <cellStyle name="Comma [0] TBD-_profit summary 8 58" xfId="41419"/>
    <cellStyle name="Comma [0] TBD_profit summary 8 59" xfId="41420"/>
    <cellStyle name="Comma [0] TBD-_profit summary 8 59" xfId="41421"/>
    <cellStyle name="Comma [0] TBD_profit summary 8 6" xfId="41422"/>
    <cellStyle name="Comma [0] TBD-_profit summary 8 6" xfId="41423"/>
    <cellStyle name="Comma [0] TBD_profit summary 8 60" xfId="41424"/>
    <cellStyle name="Comma [0] TBD-_profit summary 8 60" xfId="41425"/>
    <cellStyle name="Comma [0] TBD_profit summary 8 61" xfId="41426"/>
    <cellStyle name="Comma [0] TBD-_profit summary 8 61" xfId="41427"/>
    <cellStyle name="Comma [0] TBD_profit summary 8 62" xfId="41428"/>
    <cellStyle name="Comma [0] TBD-_profit summary 8 62" xfId="41429"/>
    <cellStyle name="Comma [0] TBD_profit summary 8 63" xfId="41430"/>
    <cellStyle name="Comma [0] TBD-_profit summary 8 63" xfId="41431"/>
    <cellStyle name="Comma [0] TBD_profit summary 8 64" xfId="41432"/>
    <cellStyle name="Comma [0] TBD-_profit summary 8 64" xfId="41433"/>
    <cellStyle name="Comma [0] TBD_profit summary 8 65" xfId="41434"/>
    <cellStyle name="Comma [0] TBD-_profit summary 8 65" xfId="41435"/>
    <cellStyle name="Comma [0] TBD_profit summary 8 66" xfId="41436"/>
    <cellStyle name="Comma [0] TBD-_profit summary 8 66" xfId="41437"/>
    <cellStyle name="Comma [0] TBD_profit summary 8 67" xfId="41438"/>
    <cellStyle name="Comma [0] TBD-_profit summary 8 67" xfId="41439"/>
    <cellStyle name="Comma [0] TBD_profit summary 8 68" xfId="41440"/>
    <cellStyle name="Comma [0] TBD-_profit summary 8 68" xfId="41441"/>
    <cellStyle name="Comma [0] TBD_profit summary 8 69" xfId="41442"/>
    <cellStyle name="Comma [0] TBD-_profit summary 8 69" xfId="41443"/>
    <cellStyle name="Comma [0] TBD_profit summary 8 7" xfId="41444"/>
    <cellStyle name="Comma [0] TBD-_profit summary 8 7" xfId="41445"/>
    <cellStyle name="Comma [0] TBD_profit summary 8 70" xfId="41446"/>
    <cellStyle name="Comma [0] TBD-_profit summary 8 70" xfId="41447"/>
    <cellStyle name="Comma [0] TBD_profit summary 8 71" xfId="41448"/>
    <cellStyle name="Comma [0] TBD-_profit summary 8 71" xfId="41449"/>
    <cellStyle name="Comma [0] TBD_profit summary 8 72" xfId="41450"/>
    <cellStyle name="Comma [0] TBD-_profit summary 8 72" xfId="41451"/>
    <cellStyle name="Comma [0] TBD_profit summary 8 73" xfId="41452"/>
    <cellStyle name="Comma [0] TBD-_profit summary 8 73" xfId="41453"/>
    <cellStyle name="Comma [0] TBD_profit summary 8 74" xfId="41454"/>
    <cellStyle name="Comma [0] TBD-_profit summary 8 74" xfId="41455"/>
    <cellStyle name="Comma [0] TBD_profit summary 8 75" xfId="41456"/>
    <cellStyle name="Comma [0] TBD-_profit summary 8 75" xfId="41457"/>
    <cellStyle name="Comma [0] TBD_profit summary 8 76" xfId="41458"/>
    <cellStyle name="Comma [0] TBD-_profit summary 8 76" xfId="41459"/>
    <cellStyle name="Comma [0] TBD_profit summary 8 77" xfId="41460"/>
    <cellStyle name="Comma [0] TBD-_profit summary 8 77" xfId="41461"/>
    <cellStyle name="Comma [0] TBD_profit summary 8 78" xfId="41462"/>
    <cellStyle name="Comma [0] TBD-_profit summary 8 78" xfId="41463"/>
    <cellStyle name="Comma [0] TBD_profit summary 8 79" xfId="41464"/>
    <cellStyle name="Comma [0] TBD-_profit summary 8 79" xfId="41465"/>
    <cellStyle name="Comma [0] TBD_profit summary 8 8" xfId="41466"/>
    <cellStyle name="Comma [0] TBD-_profit summary 8 8" xfId="41467"/>
    <cellStyle name="Comma [0] TBD_profit summary 8 80" xfId="41468"/>
    <cellStyle name="Comma [0] TBD-_profit summary 8 80" xfId="41469"/>
    <cellStyle name="Comma [0] TBD_profit summary 8 81" xfId="41470"/>
    <cellStyle name="Comma [0] TBD-_profit summary 8 81" xfId="41471"/>
    <cellStyle name="Comma [0] TBD_profit summary 8 82" xfId="41472"/>
    <cellStyle name="Comma [0] TBD-_profit summary 8 82" xfId="41473"/>
    <cellStyle name="Comma [0] TBD_profit summary 8 83" xfId="41474"/>
    <cellStyle name="Comma [0] TBD-_profit summary 8 83" xfId="41475"/>
    <cellStyle name="Comma [0] TBD_profit summary 8 84" xfId="41476"/>
    <cellStyle name="Comma [0] TBD-_profit summary 8 84" xfId="41477"/>
    <cellStyle name="Comma [0] TBD_profit summary 8 85" xfId="41478"/>
    <cellStyle name="Comma [0] TBD-_profit summary 8 85" xfId="41479"/>
    <cellStyle name="Comma [0] TBD_profit summary 8 86" xfId="41480"/>
    <cellStyle name="Comma [0] TBD-_profit summary 8 86" xfId="41481"/>
    <cellStyle name="Comma [0] TBD_profit summary 8 87" xfId="41482"/>
    <cellStyle name="Comma [0] TBD-_profit summary 8 87" xfId="41483"/>
    <cellStyle name="Comma [0] TBD_profit summary 8 88" xfId="41484"/>
    <cellStyle name="Comma [0] TBD-_profit summary 8 88" xfId="41485"/>
    <cellStyle name="Comma [0] TBD_profit summary 8 89" xfId="41486"/>
    <cellStyle name="Comma [0] TBD-_profit summary 8 89" xfId="41487"/>
    <cellStyle name="Comma [0] TBD_profit summary 8 9" xfId="41488"/>
    <cellStyle name="Comma [0] TBD-_profit summary 8 9" xfId="41489"/>
    <cellStyle name="Comma [0] TBD_profit summary 8 90" xfId="41490"/>
    <cellStyle name="Comma [0] TBD-_profit summary 8 90" xfId="41491"/>
    <cellStyle name="Comma [0] TBD_profit summary 8 91" xfId="41492"/>
    <cellStyle name="Comma [0] TBD-_profit summary 8 91" xfId="41493"/>
    <cellStyle name="Comma [0] TBD_profit summary 8 92" xfId="41494"/>
    <cellStyle name="Comma [0] TBD-_profit summary 8 92" xfId="41495"/>
    <cellStyle name="Comma [0] TBD_profit summary 8 93" xfId="41496"/>
    <cellStyle name="Comma [0] TBD-_profit summary 8 93" xfId="41497"/>
    <cellStyle name="Comma [0] TBD_profit summary 8 94" xfId="41498"/>
    <cellStyle name="Comma [0] TBD-_profit summary 8 94" xfId="41499"/>
    <cellStyle name="Comma [0] TBD_profit summary 8 95" xfId="41500"/>
    <cellStyle name="Comma [0] TBD-_profit summary 8 95" xfId="41501"/>
    <cellStyle name="Comma [0] TBD_profit summary 8 96" xfId="41502"/>
    <cellStyle name="Comma [0] TBD-_profit summary 8 96" xfId="41503"/>
    <cellStyle name="Comma [0] TBD_profit summary 8 97" xfId="41504"/>
    <cellStyle name="Comma [0] TBD-_profit summary 8 97" xfId="41505"/>
    <cellStyle name="Comma [0] TBD_profit summary 8 98" xfId="41506"/>
    <cellStyle name="Comma [0] TBD-_profit summary 8 98" xfId="41507"/>
    <cellStyle name="Comma [0] TBD_profit summary 8 99" xfId="41508"/>
    <cellStyle name="Comma [0] TBD-_profit summary 8 99" xfId="41509"/>
    <cellStyle name="Comma [0] TBD_profit summary 9" xfId="41510"/>
    <cellStyle name="Comma [0] TBD-_profit summary 9" xfId="41511"/>
    <cellStyle name="Comma [0] TBD_profit summary 9 10" xfId="41512"/>
    <cellStyle name="Comma [0] TBD-_profit summary 9 10" xfId="41513"/>
    <cellStyle name="Comma [0] TBD_profit summary 9 100" xfId="41514"/>
    <cellStyle name="Comma [0] TBD-_profit summary 9 100" xfId="41515"/>
    <cellStyle name="Comma [0] TBD_profit summary 9 101" xfId="41516"/>
    <cellStyle name="Comma [0] TBD-_profit summary 9 101" xfId="41517"/>
    <cellStyle name="Comma [0] TBD_profit summary 9 102" xfId="41518"/>
    <cellStyle name="Comma [0] TBD-_profit summary 9 102" xfId="41519"/>
    <cellStyle name="Comma [0] TBD_profit summary 9 103" xfId="41520"/>
    <cellStyle name="Comma [0] TBD-_profit summary 9 103" xfId="41521"/>
    <cellStyle name="Comma [0] TBD_profit summary 9 104" xfId="41522"/>
    <cellStyle name="Comma [0] TBD-_profit summary 9 104" xfId="41523"/>
    <cellStyle name="Comma [0] TBD_profit summary 9 105" xfId="41524"/>
    <cellStyle name="Comma [0] TBD-_profit summary 9 105" xfId="41525"/>
    <cellStyle name="Comma [0] TBD_profit summary 9 106" xfId="41526"/>
    <cellStyle name="Comma [0] TBD-_profit summary 9 106" xfId="41527"/>
    <cellStyle name="Comma [0] TBD_profit summary 9 107" xfId="41528"/>
    <cellStyle name="Comma [0] TBD-_profit summary 9 107" xfId="41529"/>
    <cellStyle name="Comma [0] TBD_profit summary 9 108" xfId="41530"/>
    <cellStyle name="Comma [0] TBD-_profit summary 9 108" xfId="41531"/>
    <cellStyle name="Comma [0] TBD_profit summary 9 109" xfId="41532"/>
    <cellStyle name="Comma [0] TBD-_profit summary 9 109" xfId="41533"/>
    <cellStyle name="Comma [0] TBD_profit summary 9 11" xfId="41534"/>
    <cellStyle name="Comma [0] TBD-_profit summary 9 11" xfId="41535"/>
    <cellStyle name="Comma [0] TBD_profit summary 9 110" xfId="41536"/>
    <cellStyle name="Comma [0] TBD-_profit summary 9 110" xfId="41537"/>
    <cellStyle name="Comma [0] TBD_profit summary 9 111" xfId="41538"/>
    <cellStyle name="Comma [0] TBD-_profit summary 9 111" xfId="41539"/>
    <cellStyle name="Comma [0] TBD_profit summary 9 112" xfId="41540"/>
    <cellStyle name="Comma [0] TBD-_profit summary 9 112" xfId="41541"/>
    <cellStyle name="Comma [0] TBD_profit summary 9 113" xfId="41542"/>
    <cellStyle name="Comma [0] TBD-_profit summary 9 113" xfId="41543"/>
    <cellStyle name="Comma [0] TBD_profit summary 9 114" xfId="41544"/>
    <cellStyle name="Comma [0] TBD-_profit summary 9 114" xfId="41545"/>
    <cellStyle name="Comma [0] TBD_profit summary 9 115" xfId="41546"/>
    <cellStyle name="Comma [0] TBD-_profit summary 9 115" xfId="41547"/>
    <cellStyle name="Comma [0] TBD_profit summary 9 116" xfId="41548"/>
    <cellStyle name="Comma [0] TBD-_profit summary 9 116" xfId="41549"/>
    <cellStyle name="Comma [0] TBD_profit summary 9 117" xfId="41550"/>
    <cellStyle name="Comma [0] TBD-_profit summary 9 117" xfId="41551"/>
    <cellStyle name="Comma [0] TBD_profit summary 9 118" xfId="41552"/>
    <cellStyle name="Comma [0] TBD-_profit summary 9 118" xfId="41553"/>
    <cellStyle name="Comma [0] TBD_profit summary 9 119" xfId="41554"/>
    <cellStyle name="Comma [0] TBD-_profit summary 9 119" xfId="41555"/>
    <cellStyle name="Comma [0] TBD_profit summary 9 12" xfId="41556"/>
    <cellStyle name="Comma [0] TBD-_profit summary 9 12" xfId="41557"/>
    <cellStyle name="Comma [0] TBD_profit summary 9 120" xfId="41558"/>
    <cellStyle name="Comma [0] TBD-_profit summary 9 120" xfId="41559"/>
    <cellStyle name="Comma [0] TBD_profit summary 9 121" xfId="41560"/>
    <cellStyle name="Comma [0] TBD-_profit summary 9 121" xfId="41561"/>
    <cellStyle name="Comma [0] TBD_profit summary 9 122" xfId="41562"/>
    <cellStyle name="Comma [0] TBD-_profit summary 9 122" xfId="41563"/>
    <cellStyle name="Comma [0] TBD_profit summary 9 123" xfId="41564"/>
    <cellStyle name="Comma [0] TBD-_profit summary 9 123" xfId="41565"/>
    <cellStyle name="Comma [0] TBD_profit summary 9 124" xfId="41566"/>
    <cellStyle name="Comma [0] TBD-_profit summary 9 124" xfId="41567"/>
    <cellStyle name="Comma [0] TBD_profit summary 9 125" xfId="41568"/>
    <cellStyle name="Comma [0] TBD-_profit summary 9 125" xfId="41569"/>
    <cellStyle name="Comma [0] TBD_profit summary 9 126" xfId="41570"/>
    <cellStyle name="Comma [0] TBD-_profit summary 9 126" xfId="41571"/>
    <cellStyle name="Comma [0] TBD_profit summary 9 127" xfId="41572"/>
    <cellStyle name="Comma [0] TBD-_profit summary 9 127" xfId="41573"/>
    <cellStyle name="Comma [0] TBD_profit summary 9 128" xfId="41574"/>
    <cellStyle name="Comma [0] TBD-_profit summary 9 128" xfId="41575"/>
    <cellStyle name="Comma [0] TBD_profit summary 9 129" xfId="41576"/>
    <cellStyle name="Comma [0] TBD-_profit summary 9 129" xfId="41577"/>
    <cellStyle name="Comma [0] TBD_profit summary 9 13" xfId="41578"/>
    <cellStyle name="Comma [0] TBD-_profit summary 9 13" xfId="41579"/>
    <cellStyle name="Comma [0] TBD_profit summary 9 130" xfId="41580"/>
    <cellStyle name="Comma [0] TBD-_profit summary 9 130" xfId="41581"/>
    <cellStyle name="Comma [0] TBD_profit summary 9 131" xfId="41582"/>
    <cellStyle name="Comma [0] TBD-_profit summary 9 131" xfId="41583"/>
    <cellStyle name="Comma [0] TBD_profit summary 9 132" xfId="41584"/>
    <cellStyle name="Comma [0] TBD-_profit summary 9 132" xfId="41585"/>
    <cellStyle name="Comma [0] TBD_profit summary 9 133" xfId="41586"/>
    <cellStyle name="Comma [0] TBD-_profit summary 9 133" xfId="41587"/>
    <cellStyle name="Comma [0] TBD_profit summary 9 134" xfId="41588"/>
    <cellStyle name="Comma [0] TBD-_profit summary 9 134" xfId="41589"/>
    <cellStyle name="Comma [0] TBD_profit summary 9 135" xfId="41590"/>
    <cellStyle name="Comma [0] TBD-_profit summary 9 135" xfId="41591"/>
    <cellStyle name="Comma [0] TBD_profit summary 9 136" xfId="41592"/>
    <cellStyle name="Comma [0] TBD-_profit summary 9 136" xfId="41593"/>
    <cellStyle name="Comma [0] TBD_profit summary 9 137" xfId="41594"/>
    <cellStyle name="Comma [0] TBD-_profit summary 9 137" xfId="41595"/>
    <cellStyle name="Comma [0] TBD_profit summary 9 138" xfId="41596"/>
    <cellStyle name="Comma [0] TBD-_profit summary 9 138" xfId="41597"/>
    <cellStyle name="Comma [0] TBD_profit summary 9 139" xfId="41598"/>
    <cellStyle name="Comma [0] TBD-_profit summary 9 139" xfId="41599"/>
    <cellStyle name="Comma [0] TBD_profit summary 9 14" xfId="41600"/>
    <cellStyle name="Comma [0] TBD-_profit summary 9 14" xfId="41601"/>
    <cellStyle name="Comma [0] TBD_profit summary 9 140" xfId="41602"/>
    <cellStyle name="Comma [0] TBD-_profit summary 9 140" xfId="41603"/>
    <cellStyle name="Comma [0] TBD_profit summary 9 141" xfId="41604"/>
    <cellStyle name="Comma [0] TBD-_profit summary 9 141" xfId="41605"/>
    <cellStyle name="Comma [0] TBD_profit summary 9 142" xfId="41606"/>
    <cellStyle name="Comma [0] TBD-_profit summary 9 142" xfId="41607"/>
    <cellStyle name="Comma [0] TBD_profit summary 9 143" xfId="41608"/>
    <cellStyle name="Comma [0] TBD-_profit summary 9 143" xfId="41609"/>
    <cellStyle name="Comma [0] TBD_profit summary 9 144" xfId="41610"/>
    <cellStyle name="Comma [0] TBD-_profit summary 9 144" xfId="41611"/>
    <cellStyle name="Comma [0] TBD_profit summary 9 145" xfId="41612"/>
    <cellStyle name="Comma [0] TBD-_profit summary 9 145" xfId="41613"/>
    <cellStyle name="Comma [0] TBD_profit summary 9 146" xfId="41614"/>
    <cellStyle name="Comma [0] TBD-_profit summary 9 146" xfId="41615"/>
    <cellStyle name="Comma [0] TBD_profit summary 9 147" xfId="41616"/>
    <cellStyle name="Comma [0] TBD-_profit summary 9 147" xfId="41617"/>
    <cellStyle name="Comma [0] TBD_profit summary 9 148" xfId="41618"/>
    <cellStyle name="Comma [0] TBD-_profit summary 9 148" xfId="41619"/>
    <cellStyle name="Comma [0] TBD_profit summary 9 149" xfId="41620"/>
    <cellStyle name="Comma [0] TBD-_profit summary 9 149" xfId="41621"/>
    <cellStyle name="Comma [0] TBD_profit summary 9 15" xfId="41622"/>
    <cellStyle name="Comma [0] TBD-_profit summary 9 15" xfId="41623"/>
    <cellStyle name="Comma [0] TBD_profit summary 9 150" xfId="41624"/>
    <cellStyle name="Comma [0] TBD-_profit summary 9 150" xfId="41625"/>
    <cellStyle name="Comma [0] TBD_profit summary 9 151" xfId="41626"/>
    <cellStyle name="Comma [0] TBD-_profit summary 9 151" xfId="41627"/>
    <cellStyle name="Comma [0] TBD_profit summary 9 152" xfId="41628"/>
    <cellStyle name="Comma [0] TBD-_profit summary 9 152" xfId="41629"/>
    <cellStyle name="Comma [0] TBD_profit summary 9 153" xfId="41630"/>
    <cellStyle name="Comma [0] TBD-_profit summary 9 153" xfId="41631"/>
    <cellStyle name="Comma [0] TBD_profit summary 9 16" xfId="41632"/>
    <cellStyle name="Comma [0] TBD-_profit summary 9 16" xfId="41633"/>
    <cellStyle name="Comma [0] TBD_profit summary 9 17" xfId="41634"/>
    <cellStyle name="Comma [0] TBD-_profit summary 9 17" xfId="41635"/>
    <cellStyle name="Comma [0] TBD_profit summary 9 18" xfId="41636"/>
    <cellStyle name="Comma [0] TBD-_profit summary 9 18" xfId="41637"/>
    <cellStyle name="Comma [0] TBD_profit summary 9 19" xfId="41638"/>
    <cellStyle name="Comma [0] TBD-_profit summary 9 19" xfId="41639"/>
    <cellStyle name="Comma [0] TBD_profit summary 9 2" xfId="41640"/>
    <cellStyle name="Comma [0] TBD-_profit summary 9 2" xfId="41641"/>
    <cellStyle name="Comma [0] TBD_profit summary 9 20" xfId="41642"/>
    <cellStyle name="Comma [0] TBD-_profit summary 9 20" xfId="41643"/>
    <cellStyle name="Comma [0] TBD_profit summary 9 21" xfId="41644"/>
    <cellStyle name="Comma [0] TBD-_profit summary 9 21" xfId="41645"/>
    <cellStyle name="Comma [0] TBD_profit summary 9 22" xfId="41646"/>
    <cellStyle name="Comma [0] TBD-_profit summary 9 22" xfId="41647"/>
    <cellStyle name="Comma [0] TBD_profit summary 9 23" xfId="41648"/>
    <cellStyle name="Comma [0] TBD-_profit summary 9 23" xfId="41649"/>
    <cellStyle name="Comma [0] TBD_profit summary 9 24" xfId="41650"/>
    <cellStyle name="Comma [0] TBD-_profit summary 9 24" xfId="41651"/>
    <cellStyle name="Comma [0] TBD_profit summary 9 25" xfId="41652"/>
    <cellStyle name="Comma [0] TBD-_profit summary 9 25" xfId="41653"/>
    <cellStyle name="Comma [0] TBD_profit summary 9 26" xfId="41654"/>
    <cellStyle name="Comma [0] TBD-_profit summary 9 26" xfId="41655"/>
    <cellStyle name="Comma [0] TBD_profit summary 9 27" xfId="41656"/>
    <cellStyle name="Comma [0] TBD-_profit summary 9 27" xfId="41657"/>
    <cellStyle name="Comma [0] TBD_profit summary 9 28" xfId="41658"/>
    <cellStyle name="Comma [0] TBD-_profit summary 9 28" xfId="41659"/>
    <cellStyle name="Comma [0] TBD_profit summary 9 29" xfId="41660"/>
    <cellStyle name="Comma [0] TBD-_profit summary 9 29" xfId="41661"/>
    <cellStyle name="Comma [0] TBD_profit summary 9 3" xfId="41662"/>
    <cellStyle name="Comma [0] TBD-_profit summary 9 3" xfId="41663"/>
    <cellStyle name="Comma [0] TBD_profit summary 9 30" xfId="41664"/>
    <cellStyle name="Comma [0] TBD-_profit summary 9 30" xfId="41665"/>
    <cellStyle name="Comma [0] TBD_profit summary 9 31" xfId="41666"/>
    <cellStyle name="Comma [0] TBD-_profit summary 9 31" xfId="41667"/>
    <cellStyle name="Comma [0] TBD_profit summary 9 32" xfId="41668"/>
    <cellStyle name="Comma [0] TBD-_profit summary 9 32" xfId="41669"/>
    <cellStyle name="Comma [0] TBD_profit summary 9 33" xfId="41670"/>
    <cellStyle name="Comma [0] TBD-_profit summary 9 33" xfId="41671"/>
    <cellStyle name="Comma [0] TBD_profit summary 9 34" xfId="41672"/>
    <cellStyle name="Comma [0] TBD-_profit summary 9 34" xfId="41673"/>
    <cellStyle name="Comma [0] TBD_profit summary 9 35" xfId="41674"/>
    <cellStyle name="Comma [0] TBD-_profit summary 9 35" xfId="41675"/>
    <cellStyle name="Comma [0] TBD_profit summary 9 36" xfId="41676"/>
    <cellStyle name="Comma [0] TBD-_profit summary 9 36" xfId="41677"/>
    <cellStyle name="Comma [0] TBD_profit summary 9 37" xfId="41678"/>
    <cellStyle name="Comma [0] TBD-_profit summary 9 37" xfId="41679"/>
    <cellStyle name="Comma [0] TBD_profit summary 9 38" xfId="41680"/>
    <cellStyle name="Comma [0] TBD-_profit summary 9 38" xfId="41681"/>
    <cellStyle name="Comma [0] TBD_profit summary 9 39" xfId="41682"/>
    <cellStyle name="Comma [0] TBD-_profit summary 9 39" xfId="41683"/>
    <cellStyle name="Comma [0] TBD_profit summary 9 4" xfId="41684"/>
    <cellStyle name="Comma [0] TBD-_profit summary 9 4" xfId="41685"/>
    <cellStyle name="Comma [0] TBD_profit summary 9 40" xfId="41686"/>
    <cellStyle name="Comma [0] TBD-_profit summary 9 40" xfId="41687"/>
    <cellStyle name="Comma [0] TBD_profit summary 9 41" xfId="41688"/>
    <cellStyle name="Comma [0] TBD-_profit summary 9 41" xfId="41689"/>
    <cellStyle name="Comma [0] TBD_profit summary 9 42" xfId="41690"/>
    <cellStyle name="Comma [0] TBD-_profit summary 9 42" xfId="41691"/>
    <cellStyle name="Comma [0] TBD_profit summary 9 43" xfId="41692"/>
    <cellStyle name="Comma [0] TBD-_profit summary 9 43" xfId="41693"/>
    <cellStyle name="Comma [0] TBD_profit summary 9 44" xfId="41694"/>
    <cellStyle name="Comma [0] TBD-_profit summary 9 44" xfId="41695"/>
    <cellStyle name="Comma [0] TBD_profit summary 9 45" xfId="41696"/>
    <cellStyle name="Comma [0] TBD-_profit summary 9 45" xfId="41697"/>
    <cellStyle name="Comma [0] TBD_profit summary 9 46" xfId="41698"/>
    <cellStyle name="Comma [0] TBD-_profit summary 9 46" xfId="41699"/>
    <cellStyle name="Comma [0] TBD_profit summary 9 47" xfId="41700"/>
    <cellStyle name="Comma [0] TBD-_profit summary 9 47" xfId="41701"/>
    <cellStyle name="Comma [0] TBD_profit summary 9 48" xfId="41702"/>
    <cellStyle name="Comma [0] TBD-_profit summary 9 48" xfId="41703"/>
    <cellStyle name="Comma [0] TBD_profit summary 9 49" xfId="41704"/>
    <cellStyle name="Comma [0] TBD-_profit summary 9 49" xfId="41705"/>
    <cellStyle name="Comma [0] TBD_profit summary 9 5" xfId="41706"/>
    <cellStyle name="Comma [0] TBD-_profit summary 9 5" xfId="41707"/>
    <cellStyle name="Comma [0] TBD_profit summary 9 50" xfId="41708"/>
    <cellStyle name="Comma [0] TBD-_profit summary 9 50" xfId="41709"/>
    <cellStyle name="Comma [0] TBD_profit summary 9 51" xfId="41710"/>
    <cellStyle name="Comma [0] TBD-_profit summary 9 51" xfId="41711"/>
    <cellStyle name="Comma [0] TBD_profit summary 9 52" xfId="41712"/>
    <cellStyle name="Comma [0] TBD-_profit summary 9 52" xfId="41713"/>
    <cellStyle name="Comma [0] TBD_profit summary 9 53" xfId="41714"/>
    <cellStyle name="Comma [0] TBD-_profit summary 9 53" xfId="41715"/>
    <cellStyle name="Comma [0] TBD_profit summary 9 54" xfId="41716"/>
    <cellStyle name="Comma [0] TBD-_profit summary 9 54" xfId="41717"/>
    <cellStyle name="Comma [0] TBD_profit summary 9 55" xfId="41718"/>
    <cellStyle name="Comma [0] TBD-_profit summary 9 55" xfId="41719"/>
    <cellStyle name="Comma [0] TBD_profit summary 9 56" xfId="41720"/>
    <cellStyle name="Comma [0] TBD-_profit summary 9 56" xfId="41721"/>
    <cellStyle name="Comma [0] TBD_profit summary 9 57" xfId="41722"/>
    <cellStyle name="Comma [0] TBD-_profit summary 9 57" xfId="41723"/>
    <cellStyle name="Comma [0] TBD_profit summary 9 58" xfId="41724"/>
    <cellStyle name="Comma [0] TBD-_profit summary 9 58" xfId="41725"/>
    <cellStyle name="Comma [0] TBD_profit summary 9 59" xfId="41726"/>
    <cellStyle name="Comma [0] TBD-_profit summary 9 59" xfId="41727"/>
    <cellStyle name="Comma [0] TBD_profit summary 9 6" xfId="41728"/>
    <cellStyle name="Comma [0] TBD-_profit summary 9 6" xfId="41729"/>
    <cellStyle name="Comma [0] TBD_profit summary 9 60" xfId="41730"/>
    <cellStyle name="Comma [0] TBD-_profit summary 9 60" xfId="41731"/>
    <cellStyle name="Comma [0] TBD_profit summary 9 61" xfId="41732"/>
    <cellStyle name="Comma [0] TBD-_profit summary 9 61" xfId="41733"/>
    <cellStyle name="Comma [0] TBD_profit summary 9 62" xfId="41734"/>
    <cellStyle name="Comma [0] TBD-_profit summary 9 62" xfId="41735"/>
    <cellStyle name="Comma [0] TBD_profit summary 9 63" xfId="41736"/>
    <cellStyle name="Comma [0] TBD-_profit summary 9 63" xfId="41737"/>
    <cellStyle name="Comma [0] TBD_profit summary 9 64" xfId="41738"/>
    <cellStyle name="Comma [0] TBD-_profit summary 9 64" xfId="41739"/>
    <cellStyle name="Comma [0] TBD_profit summary 9 65" xfId="41740"/>
    <cellStyle name="Comma [0] TBD-_profit summary 9 65" xfId="41741"/>
    <cellStyle name="Comma [0] TBD_profit summary 9 66" xfId="41742"/>
    <cellStyle name="Comma [0] TBD-_profit summary 9 66" xfId="41743"/>
    <cellStyle name="Comma [0] TBD_profit summary 9 67" xfId="41744"/>
    <cellStyle name="Comma [0] TBD-_profit summary 9 67" xfId="41745"/>
    <cellStyle name="Comma [0] TBD_profit summary 9 68" xfId="41746"/>
    <cellStyle name="Comma [0] TBD-_profit summary 9 68" xfId="41747"/>
    <cellStyle name="Comma [0] TBD_profit summary 9 69" xfId="41748"/>
    <cellStyle name="Comma [0] TBD-_profit summary 9 69" xfId="41749"/>
    <cellStyle name="Comma [0] TBD_profit summary 9 7" xfId="41750"/>
    <cellStyle name="Comma [0] TBD-_profit summary 9 7" xfId="41751"/>
    <cellStyle name="Comma [0] TBD_profit summary 9 70" xfId="41752"/>
    <cellStyle name="Comma [0] TBD-_profit summary 9 70" xfId="41753"/>
    <cellStyle name="Comma [0] TBD_profit summary 9 71" xfId="41754"/>
    <cellStyle name="Comma [0] TBD-_profit summary 9 71" xfId="41755"/>
    <cellStyle name="Comma [0] TBD_profit summary 9 72" xfId="41756"/>
    <cellStyle name="Comma [0] TBD-_profit summary 9 72" xfId="41757"/>
    <cellStyle name="Comma [0] TBD_profit summary 9 73" xfId="41758"/>
    <cellStyle name="Comma [0] TBD-_profit summary 9 73" xfId="41759"/>
    <cellStyle name="Comma [0] TBD_profit summary 9 74" xfId="41760"/>
    <cellStyle name="Comma [0] TBD-_profit summary 9 74" xfId="41761"/>
    <cellStyle name="Comma [0] TBD_profit summary 9 75" xfId="41762"/>
    <cellStyle name="Comma [0] TBD-_profit summary 9 75" xfId="41763"/>
    <cellStyle name="Comma [0] TBD_profit summary 9 76" xfId="41764"/>
    <cellStyle name="Comma [0] TBD-_profit summary 9 76" xfId="41765"/>
    <cellStyle name="Comma [0] TBD_profit summary 9 77" xfId="41766"/>
    <cellStyle name="Comma [0] TBD-_profit summary 9 77" xfId="41767"/>
    <cellStyle name="Comma [0] TBD_profit summary 9 78" xfId="41768"/>
    <cellStyle name="Comma [0] TBD-_profit summary 9 78" xfId="41769"/>
    <cellStyle name="Comma [0] TBD_profit summary 9 79" xfId="41770"/>
    <cellStyle name="Comma [0] TBD-_profit summary 9 79" xfId="41771"/>
    <cellStyle name="Comma [0] TBD_profit summary 9 8" xfId="41772"/>
    <cellStyle name="Comma [0] TBD-_profit summary 9 8" xfId="41773"/>
    <cellStyle name="Comma [0] TBD_profit summary 9 80" xfId="41774"/>
    <cellStyle name="Comma [0] TBD-_profit summary 9 80" xfId="41775"/>
    <cellStyle name="Comma [0] TBD_profit summary 9 81" xfId="41776"/>
    <cellStyle name="Comma [0] TBD-_profit summary 9 81" xfId="41777"/>
    <cellStyle name="Comma [0] TBD_profit summary 9 82" xfId="41778"/>
    <cellStyle name="Comma [0] TBD-_profit summary 9 82" xfId="41779"/>
    <cellStyle name="Comma [0] TBD_profit summary 9 83" xfId="41780"/>
    <cellStyle name="Comma [0] TBD-_profit summary 9 83" xfId="41781"/>
    <cellStyle name="Comma [0] TBD_profit summary 9 84" xfId="41782"/>
    <cellStyle name="Comma [0] TBD-_profit summary 9 84" xfId="41783"/>
    <cellStyle name="Comma [0] TBD_profit summary 9 85" xfId="41784"/>
    <cellStyle name="Comma [0] TBD-_profit summary 9 85" xfId="41785"/>
    <cellStyle name="Comma [0] TBD_profit summary 9 86" xfId="41786"/>
    <cellStyle name="Comma [0] TBD-_profit summary 9 86" xfId="41787"/>
    <cellStyle name="Comma [0] TBD_profit summary 9 87" xfId="41788"/>
    <cellStyle name="Comma [0] TBD-_profit summary 9 87" xfId="41789"/>
    <cellStyle name="Comma [0] TBD_profit summary 9 88" xfId="41790"/>
    <cellStyle name="Comma [0] TBD-_profit summary 9 88" xfId="41791"/>
    <cellStyle name="Comma [0] TBD_profit summary 9 89" xfId="41792"/>
    <cellStyle name="Comma [0] TBD-_profit summary 9 89" xfId="41793"/>
    <cellStyle name="Comma [0] TBD_profit summary 9 9" xfId="41794"/>
    <cellStyle name="Comma [0] TBD-_profit summary 9 9" xfId="41795"/>
    <cellStyle name="Comma [0] TBD_profit summary 9 90" xfId="41796"/>
    <cellStyle name="Comma [0] TBD-_profit summary 9 90" xfId="41797"/>
    <cellStyle name="Comma [0] TBD_profit summary 9 91" xfId="41798"/>
    <cellStyle name="Comma [0] TBD-_profit summary 9 91" xfId="41799"/>
    <cellStyle name="Comma [0] TBD_profit summary 9 92" xfId="41800"/>
    <cellStyle name="Comma [0] TBD-_profit summary 9 92" xfId="41801"/>
    <cellStyle name="Comma [0] TBD_profit summary 9 93" xfId="41802"/>
    <cellStyle name="Comma [0] TBD-_profit summary 9 93" xfId="41803"/>
    <cellStyle name="Comma [0] TBD_profit summary 9 94" xfId="41804"/>
    <cellStyle name="Comma [0] TBD-_profit summary 9 94" xfId="41805"/>
    <cellStyle name="Comma [0] TBD_profit summary 9 95" xfId="41806"/>
    <cellStyle name="Comma [0] TBD-_profit summary 9 95" xfId="41807"/>
    <cellStyle name="Comma [0] TBD_profit summary 9 96" xfId="41808"/>
    <cellStyle name="Comma [0] TBD-_profit summary 9 96" xfId="41809"/>
    <cellStyle name="Comma [0] TBD_profit summary 9 97" xfId="41810"/>
    <cellStyle name="Comma [0] TBD-_profit summary 9 97" xfId="41811"/>
    <cellStyle name="Comma [0] TBD_profit summary 9 98" xfId="41812"/>
    <cellStyle name="Comma [0] TBD-_profit summary 9 98" xfId="41813"/>
    <cellStyle name="Comma [0] TBD_profit summary 9 99" xfId="41814"/>
    <cellStyle name="Comma [0] TBD-_profit summary 9 99" xfId="41815"/>
    <cellStyle name="Comma [0] TBD_Profitable Growth for Thursfield Feb 2003 v2" xfId="41816"/>
    <cellStyle name="Comma [0] TBD-_Profitable Growth for Thursfield Feb 2003 v2" xfId="41817"/>
    <cellStyle name="Comma [0] TBD_Profitable Growth for Thursfield Feb 2003 v2 2" xfId="41818"/>
    <cellStyle name="Comma [0] TBD-_Profitable Growth for Thursfield Feb 2003 v2 2" xfId="41819"/>
    <cellStyle name="Comma [0] TBD_Profitable Growth for Thursfield Feb 2003 v2 2 2" xfId="41820"/>
    <cellStyle name="Comma [0] TBD-_Profitable Growth for Thursfield Feb 2003 v2 2 2" xfId="41821"/>
    <cellStyle name="Comma [0] TBD_Profitable Growth for Thursfield Feb 2003 v2 3" xfId="41822"/>
    <cellStyle name="Comma [0] TBD-_Profitable Growth for Thursfield Feb 2003 v2 3" xfId="41823"/>
    <cellStyle name="Comma [0] TBD_Profitable Growth for Thursfield Feb 2003 v2 3 2" xfId="41824"/>
    <cellStyle name="Comma [0] TBD-_Profitable Growth for Thursfield Feb 2003 v2 3 2" xfId="41825"/>
    <cellStyle name="Comma [0] TBD_Profitable Growth for Thursfield Feb 2003 v2 4" xfId="41826"/>
    <cellStyle name="Comma [0] TBD-_Profitable Growth for Thursfield Feb 2003 v2 4" xfId="41827"/>
    <cellStyle name="Comma [0] TBD_PSRM Backup Slides" xfId="41828"/>
    <cellStyle name="Comma [0] TBD-_PSRM Backup Slides" xfId="41829"/>
    <cellStyle name="Comma [0] TBD_PSRM Backup Slides 2" xfId="41830"/>
    <cellStyle name="Comma [0] TBD-_PSRM Backup Slides 2" xfId="41831"/>
    <cellStyle name="Comma [0] TBD_Quality Details 3+9" xfId="41832"/>
    <cellStyle name="Comma [0] TBD-_Quality Details 3+9" xfId="41833"/>
    <cellStyle name="Comma [0] TBD_Quality Details 3+9 2" xfId="41834"/>
    <cellStyle name="Comma [0] TBD-_Quality Details 3+9 2" xfId="41835"/>
    <cellStyle name="Comma [0] TBD_r&amp;o" xfId="41836"/>
    <cellStyle name="Comma [0] TBD-_Retail and Wholesale Summary 2003A Plus Cons" xfId="41837"/>
    <cellStyle name="Comma [0] TBD_Retail and Wholesale Summary 2003B Cons Ver3.0" xfId="41838"/>
    <cellStyle name="Comma [0] TBD-_Retail and Wholesale Summary 2003B Cons Ver3.0" xfId="41839"/>
    <cellStyle name="Comma [0] TBD_Retail and Wholesale Summary 2003B Cons Ver3.0 2" xfId="41840"/>
    <cellStyle name="Comma [0] TBD-_Retail and Wholesale Summary 2003B Cons Ver3.0 2" xfId="41841"/>
    <cellStyle name="Comma [0] TBD_Retail and Wholesale Summary 2003B Tasked Ver3.1" xfId="41842"/>
    <cellStyle name="Comma [0] TBD-_Retail and Wholesale Summary 2003B Tasked Ver3.1" xfId="41843"/>
    <cellStyle name="Comma [0] TBD_Retail and Wholesale Summary 2003B Tasked Ver3.1 2" xfId="41844"/>
    <cellStyle name="Comma [0] TBD-_Retail and Wholesale Summary 2003B Tasked Ver3.1 2" xfId="41845"/>
    <cellStyle name="Comma [0] TBD_Revenue Continuum - FINAL 062107" xfId="41846"/>
    <cellStyle name="Comma [0] TBD-_Revenue Continuum - FINAL 062107" xfId="41847"/>
    <cellStyle name="Comma [0] TBD_Revenue Continuum - FINAL 062107 2" xfId="41848"/>
    <cellStyle name="Comma [0] TBD-_Revenue Continuum - FINAL 062107 2" xfId="41849"/>
    <cellStyle name="Comma [0] TBD_Sept SoMP" xfId="41850"/>
    <cellStyle name="Comma [0] TBD-_Sept SoMP" xfId="41851"/>
    <cellStyle name="Comma [0] TBD_Sept SoMP 2" xfId="41852"/>
    <cellStyle name="Comma [0] TBD-_Sept SoMP 2" xfId="41853"/>
    <cellStyle name="Comma [0] TBD_Sept SoMP 2 2" xfId="41854"/>
    <cellStyle name="Comma [0] TBD-_Sept SoMP 2 2" xfId="41855"/>
    <cellStyle name="Comma [0] TBD_Sept SoMP 3" xfId="41856"/>
    <cellStyle name="Comma [0] TBD-_Sept SoMP 3" xfId="41857"/>
    <cellStyle name="Comma [0] TBD_Sept SoMP 3 2" xfId="41858"/>
    <cellStyle name="Comma [0] TBD-_Sept SoMP 3 2" xfId="41859"/>
    <cellStyle name="Comma [0] TBD_Sept SoMP 4" xfId="41860"/>
    <cellStyle name="Comma [0] TBD-_Sept SoMP 4" xfId="41861"/>
    <cellStyle name="Comma [0] TBD_Sister Vehicle EAC" xfId="41862"/>
    <cellStyle name="Comma [0] TBD-_Sister Vehicle EAC" xfId="41863"/>
    <cellStyle name="Comma [0] TBD_Sister Vehicle EAC 2" xfId="41864"/>
    <cellStyle name="Comma [0] TBD-_Sister Vehicle EAC 2" xfId="41865"/>
    <cellStyle name="Comma [0] TBD_Status Update 10-19-05" xfId="41866"/>
    <cellStyle name="Comma [0] TBD-_Status Update 10-19-05" xfId="41867"/>
    <cellStyle name="Comma [0] TBD_Status Update 10-19-05 2" xfId="41868"/>
    <cellStyle name="Comma [0] TBD-_Status Update 10-19-05 2" xfId="41869"/>
    <cellStyle name="Comma [0] TBD_Status Update 10-19-05 2 2" xfId="41870"/>
    <cellStyle name="Comma [0] TBD-_Status Update 10-19-05 2 2" xfId="41871"/>
    <cellStyle name="Comma [0] TBD_Status Update 10-19-05 3" xfId="41872"/>
    <cellStyle name="Comma [0] TBD-_Status Update 10-19-05 3" xfId="41873"/>
    <cellStyle name="Comma [0] TBD_Status Update 10-19-05 3 2" xfId="41874"/>
    <cellStyle name="Comma [0] TBD-_Status Update 10-19-05 3 2" xfId="41875"/>
    <cellStyle name="Comma [0] TBD_Status Update 10-19-05 4" xfId="41876"/>
    <cellStyle name="Comma [0] TBD-_Status Update 10-19-05 4" xfId="41877"/>
    <cellStyle name="Comma [0] TBD_Steel &amp; Raw Materials" xfId="41878"/>
    <cellStyle name="Comma [0] TBD-_Steel &amp; Raw Materials" xfId="41879"/>
    <cellStyle name="Comma [0] TBD_Steel &amp; Raw Materials 2" xfId="41880"/>
    <cellStyle name="Comma [0] TBD-_Steel &amp; Raw Materials 2" xfId="41881"/>
    <cellStyle name="Comma [0] TBD_Steel &amp; Raw Materials.8+4" xfId="41882"/>
    <cellStyle name="Comma [0] TBD-_Steel &amp; Raw Materials.8+4" xfId="41883"/>
    <cellStyle name="Comma [0] TBD_Steel &amp; Raw Materials.8+4 2" xfId="41884"/>
    <cellStyle name="Comma [0] TBD-_Steel &amp; Raw Materials.8+4 2" xfId="41885"/>
    <cellStyle name="Comma [0] TBD_SUV wheelbase Premium Summary" xfId="41886"/>
    <cellStyle name="Comma [0] TBD-_SUV wheelbase Premium Summary" xfId="41887"/>
    <cellStyle name="Comma [0] TBD_SUV wheelbase Premium Summary 2" xfId="41888"/>
    <cellStyle name="Comma [0] TBD-_SUV wheelbase Premium Summary 2" xfId="41889"/>
    <cellStyle name="Comma [0] TBD_SUV wheelbase Premium Summary 2 2" xfId="41890"/>
    <cellStyle name="Comma [0] TBD-_SUV wheelbase Premium Summary 2 2" xfId="41891"/>
    <cellStyle name="Comma [0] TBD_SUV wheelbase Premium Summary 3" xfId="41892"/>
    <cellStyle name="Comma [0] TBD-_SUV wheelbase Premium Summary 3" xfId="41893"/>
    <cellStyle name="Comma [0] TBD_SUV wheelbase Premium Summary 3 2" xfId="41894"/>
    <cellStyle name="Comma [0] TBD-_SUV wheelbase Premium Summary 3 2" xfId="41895"/>
    <cellStyle name="Comma [0] TBD_SUV wheelbase Premium Summary 4" xfId="41896"/>
    <cellStyle name="Comma [0] TBD-_SUV wheelbase Premium Summary 4" xfId="41897"/>
    <cellStyle name="Comma [0] TBD_TRANS PRICE RELATIONSHIPS12" xfId="41898"/>
    <cellStyle name="Comma [0] TBD-_TRANS PRICE RELATIONSHIPS12" xfId="41899"/>
    <cellStyle name="Comma [0] TBD_TRANS PRICE RELATIONSHIPS12 2" xfId="41900"/>
    <cellStyle name="Comma [0] TBD-_TRANS PRICE RELATIONSHIPS12 2" xfId="41901"/>
    <cellStyle name="Comma [0] TBD_TRANS PRICE RELATIONSHIPS12 2 2" xfId="41902"/>
    <cellStyle name="Comma [0] TBD-_TRANS PRICE RELATIONSHIPS12 2 2" xfId="41903"/>
    <cellStyle name="Comma [0] TBD_TRANS PRICE RELATIONSHIPS12 3" xfId="41904"/>
    <cellStyle name="Comma [0] TBD-_TRANS PRICE RELATIONSHIPS12 3" xfId="41905"/>
    <cellStyle name="Comma [0] TBD_TRANS PRICE RELATIONSHIPS12 3 2" xfId="41906"/>
    <cellStyle name="Comma [0] TBD-_TRANS PRICE RELATIONSHIPS12 3 2" xfId="41907"/>
    <cellStyle name="Comma [0] TBD_TRANS PRICE RELATIONSHIPS12 4" xfId="41908"/>
    <cellStyle name="Comma [0] TBD-_TRANS PRICE RELATIONSHIPS12 4" xfId="41909"/>
    <cellStyle name="Comma [0] TBD_Trim Spiders Proposed" xfId="41910"/>
    <cellStyle name="Comma [0] TBD-_Trim Spiders Proposed" xfId="41911"/>
    <cellStyle name="Comma [0] TBD_Trim Spiders Proposed 2" xfId="41912"/>
    <cellStyle name="Comma [0] TBD-_Trim Spiders Proposed 2" xfId="41913"/>
    <cellStyle name="Comma [0] TBD_Trim Spiders Proposed 2 2" xfId="41914"/>
    <cellStyle name="Comma [0] TBD-_Trim Spiders Proposed 2 2" xfId="41915"/>
    <cellStyle name="Comma [0] TBD_Trim Spiders Proposed 3" xfId="41916"/>
    <cellStyle name="Comma [0] TBD-_Trim Spiders Proposed 3" xfId="41917"/>
    <cellStyle name="Comma [0] TBD_Trim Spiders Proposed 3 2" xfId="41918"/>
    <cellStyle name="Comma [0] TBD-_Trim Spiders Proposed 3 2" xfId="41919"/>
    <cellStyle name="Comma [0] TBD_Trim Spiders Proposed 4" xfId="41920"/>
    <cellStyle name="Comma [0] TBD-_Trim Spiders Proposed 4" xfId="41921"/>
    <cellStyle name="Comma [0] TBD_U388 2 Series Nav" xfId="41922"/>
    <cellStyle name="Comma [0] TBD-_U388 2 Series Nav" xfId="41923"/>
    <cellStyle name="Comma [0] TBD_U388 2 Series Nav 2" xfId="41924"/>
    <cellStyle name="Comma [0] TBD-_U388 2 Series Nav 2" xfId="41925"/>
    <cellStyle name="Comma [0] TBD_U388 2 Series Nav 2 2" xfId="41926"/>
    <cellStyle name="Comma [0] TBD-_U388 2 Series Nav 2 2" xfId="41927"/>
    <cellStyle name="Comma [0] TBD_U388 2 Series Nav 3" xfId="41928"/>
    <cellStyle name="Comma [0] TBD-_U388 2 Series Nav 3" xfId="41929"/>
    <cellStyle name="Comma [0] TBD_U388 2 Series Nav 3 2" xfId="41930"/>
    <cellStyle name="Comma [0] TBD-_U388 2 Series Nav 3 2" xfId="41931"/>
    <cellStyle name="Comma [0] TBD_U388 2 Series Nav 4" xfId="41932"/>
    <cellStyle name="Comma [0] TBD-_U388 2 Series Nav 4" xfId="41933"/>
    <cellStyle name="Comma [0] TBD_Volvo Budget Quarter Cash Flow 21Jan04" xfId="41934"/>
    <cellStyle name="Comma [0] TBD-_Volvo Budget Quarter Cash Flow 21Jan04" xfId="41935"/>
    <cellStyle name="Comma [0] TBD_Volvo Budget Quarter Cash Flow 21Jan04 2" xfId="41936"/>
    <cellStyle name="Comma [0] TBD-_Volvo Budget Quarter Cash Flow 21Jan04 2" xfId="41937"/>
    <cellStyle name="Comma [0] TBD_Volvo Budget Quarter Cash Flow 21Jan04 2 2" xfId="41938"/>
    <cellStyle name="Comma [0] TBD-_Volvo Budget Quarter Cash Flow 21Jan04 2 2" xfId="41939"/>
    <cellStyle name="Comma [0] TBD_Volvo Budget Quarter Cash Flow 21Jan04 3" xfId="41940"/>
    <cellStyle name="Comma [0] TBD-_Volvo Budget Quarter Cash Flow 21Jan04 3" xfId="41941"/>
    <cellStyle name="Comma [0] TBD_Volvo Budget Quarter Cash Flow 21Jan04 3 2" xfId="41942"/>
    <cellStyle name="Comma [0] TBD-_Volvo Budget Quarter Cash Flow 21Jan04 3 2" xfId="41943"/>
    <cellStyle name="Comma [0] TBD_Volvo Budget Quarter Cash Flow 21Jan04 4" xfId="41944"/>
    <cellStyle name="Comma [0] TBD-_Volvo Budget Quarter Cash Flow 21Jan04 4" xfId="41945"/>
    <cellStyle name="Comma [0] TBD_Volvo Forecast Input Template" xfId="41946"/>
    <cellStyle name="Comma [0] TBD-_Volvo Forecast Input Template" xfId="41947"/>
    <cellStyle name="Comma [0] TBD_Volvo Forecast Input Template 2" xfId="41948"/>
    <cellStyle name="Comma [0] TBD-_Volvo Forecast Input Template 2" xfId="41949"/>
    <cellStyle name="Comma [0] TBD_Volvo Forecast Input Template 2 2" xfId="41950"/>
    <cellStyle name="Comma [0] TBD-_Volvo Forecast Input Template 2 2" xfId="41951"/>
    <cellStyle name="Comma [0] TBD_Volvo Forecast Input Template 3" xfId="41952"/>
    <cellStyle name="Comma [0] TBD-_Volvo Forecast Input Template 3" xfId="41953"/>
    <cellStyle name="Comma [0] TBD_Volvo Forecast Input Template 3 2" xfId="41954"/>
    <cellStyle name="Comma [0] TBD-_Volvo Forecast Input Template 3 2" xfId="41955"/>
    <cellStyle name="Comma [0] TBD_Volvo Forecast Input Template 4" xfId="41956"/>
    <cellStyle name="Comma [0] TBD-_Volvo Forecast Input Template 4" xfId="41957"/>
    <cellStyle name="Comma [0] TBD_Year over Year schedules_post Mr Fields Review" xfId="41958"/>
    <cellStyle name="Comma [0] TBD-_Year over Year schedules_post Mr Fields Review" xfId="41959"/>
    <cellStyle name="Comma [0] TBD_Year over Year schedules_post Mr Fields Review 2" xfId="41960"/>
    <cellStyle name="Comma [0] TBD-_Year over Year schedules_post Mr Fields Review 2" xfId="41961"/>
    <cellStyle name="Comma [0] TBD_Year over Year schedules_post Mr Fields Review 2 2" xfId="41962"/>
    <cellStyle name="Comma [0] TBD-_Year over Year schedules_post Mr Fields Review 2 2" xfId="41963"/>
    <cellStyle name="Comma [0] TBD_Year over Year schedules_post Mr Fields Review 3" xfId="41964"/>
    <cellStyle name="Comma [0] TBD-_Year over Year schedules_post Mr Fields Review 3" xfId="41965"/>
    <cellStyle name="Comma [0] TBD_Year over Year schedules_post Mr Fields Review 3 2" xfId="41966"/>
    <cellStyle name="Comma [0] TBD-_Year over Year schedules_post Mr Fields Review 3 2" xfId="41967"/>
    <cellStyle name="Comma [0] TBD_Year over Year schedules_post Mr Fields Review 4" xfId="41968"/>
    <cellStyle name="Comma [0] TBD-_Year over Year schedules_post Mr Fields Review 4" xfId="41969"/>
    <cellStyle name="Comma [0] TBD_YoY BP6 2003-2007 Summary" xfId="41970"/>
    <cellStyle name="Comma [0] TBD-_YoY BP6 2003-2007 Summary" xfId="41971"/>
    <cellStyle name="Comma [0] TBD_YoY BP6 2003-2007 Summary 2" xfId="41972"/>
    <cellStyle name="Comma [0] TBD-_YoY BP6 2003-2007 Summary 2" xfId="41973"/>
    <cellStyle name="Comma [00]" xfId="41974"/>
    <cellStyle name="Comma [00] 2" xfId="41975"/>
    <cellStyle name="Comma [00] 2 2" xfId="41976"/>
    <cellStyle name="Comma [00] 2 2 2" xfId="41977"/>
    <cellStyle name="Comma [00] 2 3" xfId="41978"/>
    <cellStyle name="Comma [00] 3" xfId="41979"/>
    <cellStyle name="Comma [00] 3 2" xfId="41980"/>
    <cellStyle name="Comma [00] 3 2 2" xfId="41981"/>
    <cellStyle name="Comma [00] 3 3" xfId="41982"/>
    <cellStyle name="Comma [00] 4" xfId="41983"/>
    <cellStyle name="Comma [00] 5" xfId="41984"/>
    <cellStyle name="Comma [02]" xfId="41985"/>
    <cellStyle name="Comma [02] 2" xfId="41986"/>
    <cellStyle name="Comma [1]" xfId="41987"/>
    <cellStyle name="Comma [1] 2" xfId="41988"/>
    <cellStyle name="Comma [1] 3" xfId="41989"/>
    <cellStyle name="Comma [10]" xfId="41990"/>
    <cellStyle name="Comma [10] 2" xfId="41991"/>
    <cellStyle name="Comma [11]" xfId="41992"/>
    <cellStyle name="Comma [11] 2" xfId="41993"/>
    <cellStyle name="Comma [1a]" xfId="41994"/>
    <cellStyle name="Comma [1a] 2" xfId="41995"/>
    <cellStyle name="Comma [2]" xfId="41996"/>
    <cellStyle name="Comma [2] 2" xfId="41997"/>
    <cellStyle name="Comma [2] 3" xfId="41998"/>
    <cellStyle name="Comma [3]" xfId="41999"/>
    <cellStyle name="Comma [3] 2" xfId="42000"/>
    <cellStyle name="Comma [4]" xfId="42001"/>
    <cellStyle name="Comma [4] 2" xfId="42002"/>
    <cellStyle name="Comma [6]" xfId="42003"/>
    <cellStyle name="Comma [6] 2" xfId="42004"/>
    <cellStyle name="Comma [8]" xfId="42005"/>
    <cellStyle name="Comma [8] 2" xfId="42006"/>
    <cellStyle name="Comma 10" xfId="42007"/>
    <cellStyle name="Comma 10 2" xfId="42008"/>
    <cellStyle name="Comma 11" xfId="42009"/>
    <cellStyle name="Comma 11 2" xfId="42010"/>
    <cellStyle name="Comma 12" xfId="42011"/>
    <cellStyle name="Comma 12 2" xfId="42012"/>
    <cellStyle name="Comma 13" xfId="42013"/>
    <cellStyle name="Comma 13 2" xfId="42014"/>
    <cellStyle name="Comma 14" xfId="42015"/>
    <cellStyle name="Comma 14 2" xfId="42016"/>
    <cellStyle name="Comma 15" xfId="42017"/>
    <cellStyle name="Comma 15 2" xfId="42018"/>
    <cellStyle name="Comma 16" xfId="42019"/>
    <cellStyle name="Comma 16 2" xfId="42020"/>
    <cellStyle name="Comma 17" xfId="42021"/>
    <cellStyle name="Comma 17 2" xfId="42022"/>
    <cellStyle name="Comma 18" xfId="42023"/>
    <cellStyle name="Comma 18 2" xfId="42024"/>
    <cellStyle name="Comma 19" xfId="42025"/>
    <cellStyle name="Comma 2" xfId="3"/>
    <cellStyle name="Comma 2 2" xfId="42026"/>
    <cellStyle name="Comma 2 2 2" xfId="42027"/>
    <cellStyle name="Comma 2 2 2 2" xfId="42028"/>
    <cellStyle name="Comma 2 2 3" xfId="42029"/>
    <cellStyle name="Comma 2 3" xfId="42030"/>
    <cellStyle name="Comma 2 3 2" xfId="42031"/>
    <cellStyle name="Comma 2 4" xfId="42032"/>
    <cellStyle name="Comma 20" xfId="42033"/>
    <cellStyle name="Comma 20 2" xfId="42034"/>
    <cellStyle name="Comma 21" xfId="42035"/>
    <cellStyle name="Comma 21 2" xfId="42036"/>
    <cellStyle name="Comma 21 2 2" xfId="42037"/>
    <cellStyle name="Comma 21 2 2 2" xfId="42038"/>
    <cellStyle name="Comma 21 2 3" xfId="42039"/>
    <cellStyle name="Comma 21 2 4" xfId="42040"/>
    <cellStyle name="Comma 21 3" xfId="42041"/>
    <cellStyle name="Comma 21 3 2" xfId="42042"/>
    <cellStyle name="Comma 21 3 2 2" xfId="42043"/>
    <cellStyle name="Comma 21 3 3" xfId="42044"/>
    <cellStyle name="Comma 21 3 4" xfId="42045"/>
    <cellStyle name="Comma 21 4" xfId="42046"/>
    <cellStyle name="Comma 21 4 2" xfId="42047"/>
    <cellStyle name="Comma 21 4 2 2" xfId="42048"/>
    <cellStyle name="Comma 21 4 3" xfId="42049"/>
    <cellStyle name="Comma 21 4 4" xfId="42050"/>
    <cellStyle name="Comma 21 5" xfId="42051"/>
    <cellStyle name="Comma 21 5 2" xfId="42052"/>
    <cellStyle name="Comma 21 5 2 2" xfId="42053"/>
    <cellStyle name="Comma 21 5 3" xfId="42054"/>
    <cellStyle name="Comma 21 6" xfId="42055"/>
    <cellStyle name="Comma 21 6 2" xfId="42056"/>
    <cellStyle name="Comma 21 7" xfId="42057"/>
    <cellStyle name="Comma 21 7 2" xfId="42058"/>
    <cellStyle name="Comma 21 8" xfId="42059"/>
    <cellStyle name="Comma 3" xfId="42060"/>
    <cellStyle name="Comma 3 2" xfId="42061"/>
    <cellStyle name="Comma 3 2 2" xfId="42062"/>
    <cellStyle name="Comma 3 2 3" xfId="42063"/>
    <cellStyle name="Comma 3 3" xfId="42064"/>
    <cellStyle name="Comma 3 4" xfId="42065"/>
    <cellStyle name="Comma 4" xfId="42066"/>
    <cellStyle name="Comma 4 2" xfId="42067"/>
    <cellStyle name="Comma 4 2 2" xfId="42068"/>
    <cellStyle name="Comma 4 3" xfId="42069"/>
    <cellStyle name="Comma 5" xfId="42070"/>
    <cellStyle name="Comma 6" xfId="42071"/>
    <cellStyle name="Comma 6 2" xfId="42072"/>
    <cellStyle name="Comma 7" xfId="42073"/>
    <cellStyle name="Comma 7 2" xfId="42074"/>
    <cellStyle name="Comma 7 2 2" xfId="42075"/>
    <cellStyle name="Comma 7 3" xfId="42076"/>
    <cellStyle name="Comma 8" xfId="42077"/>
    <cellStyle name="Comma 8 2" xfId="42078"/>
    <cellStyle name="Comma 9" xfId="42079"/>
    <cellStyle name="Comma 9 2" xfId="42080"/>
    <cellStyle name="comma zerodec" xfId="42081"/>
    <cellStyle name="comma zerodec 2" xfId="42082"/>
    <cellStyle name="comma zerodec 3" xfId="42083"/>
    <cellStyle name="Comma, 0" xfId="42084"/>
    <cellStyle name="Comma, 0 2" xfId="42085"/>
    <cellStyle name="Comma, 0 2 2" xfId="42086"/>
    <cellStyle name="Comma, 0 2 2 2" xfId="42087"/>
    <cellStyle name="Comma, 0 2 3" xfId="42088"/>
    <cellStyle name="Comma, 0 3" xfId="42089"/>
    <cellStyle name="Comma, 0 3 2" xfId="42090"/>
    <cellStyle name="Comma, 0 3 3" xfId="42091"/>
    <cellStyle name="Comma, 0 4" xfId="42092"/>
    <cellStyle name="Comma, 0 5" xfId="42093"/>
    <cellStyle name="Comma[2]" xfId="42094"/>
    <cellStyle name="Comma[2] 2" xfId="42095"/>
    <cellStyle name="Comma[2] 3" xfId="42096"/>
    <cellStyle name="Comma0" xfId="42097"/>
    <cellStyle name="Comma0 2" xfId="42098"/>
    <cellStyle name="Comma0 2 2" xfId="42099"/>
    <cellStyle name="Comma0 3" xfId="42100"/>
    <cellStyle name="Comment" xfId="42101"/>
    <cellStyle name="Comment 2" xfId="42102"/>
    <cellStyle name="Comment 3" xfId="42103"/>
    <cellStyle name="Commentary" xfId="42104"/>
    <cellStyle name="Commentary 2" xfId="42105"/>
    <cellStyle name="Contrôle" xfId="42106"/>
    <cellStyle name="Copied" xfId="42107"/>
    <cellStyle name="Copied 2" xfId="42108"/>
    <cellStyle name="Copied 2 2" xfId="42109"/>
    <cellStyle name="Copied 3" xfId="42110"/>
    <cellStyle name="Copied 4" xfId="42111"/>
    <cellStyle name="cost" xfId="42112"/>
    <cellStyle name="cost 2" xfId="42113"/>
    <cellStyle name="cost 2 2" xfId="42114"/>
    <cellStyle name="cost 3" xfId="42115"/>
    <cellStyle name="COST1" xfId="42116"/>
    <cellStyle name="COST1 2" xfId="42117"/>
    <cellStyle name="COST1 2 2" xfId="42118"/>
    <cellStyle name="COST1 3" xfId="42119"/>
    <cellStyle name="COST1 4" xfId="42120"/>
    <cellStyle name="curr1" xfId="42121"/>
    <cellStyle name="curr1 2" xfId="42122"/>
    <cellStyle name="curr1 2 2" xfId="42123"/>
    <cellStyle name="curr1 3" xfId="42124"/>
    <cellStyle name="curr2" xfId="42125"/>
    <cellStyle name="curr2 2" xfId="42126"/>
    <cellStyle name="curr2 2 2" xfId="42127"/>
    <cellStyle name="curr2 3" xfId="42128"/>
    <cellStyle name="Currency $" xfId="42129"/>
    <cellStyle name="Currency $ 2" xfId="42130"/>
    <cellStyle name="Currency $ 2 2" xfId="42131"/>
    <cellStyle name="Currency $ 2 3" xfId="42132"/>
    <cellStyle name="Currency $ 3" xfId="42133"/>
    <cellStyle name="Currency $ 3 2" xfId="42134"/>
    <cellStyle name="Currency $ 4" xfId="42135"/>
    <cellStyle name="Currency $ 5" xfId="42136"/>
    <cellStyle name="Currency (0)" xfId="42137"/>
    <cellStyle name="Currency (0) -" xfId="42138"/>
    <cellStyle name="Currency (0) - 2" xfId="42139"/>
    <cellStyle name="Currency (0) - 3" xfId="42140"/>
    <cellStyle name="Currency (0) 2" xfId="42141"/>
    <cellStyle name="Currency (0) 3" xfId="42142"/>
    <cellStyle name="Currency (0) incl." xfId="42143"/>
    <cellStyle name="Currency (0) incl. 2" xfId="42144"/>
    <cellStyle name="Currency (0) incl. 2 2" xfId="42145"/>
    <cellStyle name="Currency (0) incl. 2 2 2" xfId="42146"/>
    <cellStyle name="Currency (0) incl. 2 3" xfId="42147"/>
    <cellStyle name="Currency (0) incl. 3" xfId="42148"/>
    <cellStyle name="Currency (0) incl. 3 2" xfId="42149"/>
    <cellStyle name="Currency (0) incl. 3 3" xfId="42150"/>
    <cellStyle name="Currency (0) incl. 4" xfId="42151"/>
    <cellStyle name="Currency (0) N/A" xfId="42152"/>
    <cellStyle name="Currency (0) N/A 2" xfId="42153"/>
    <cellStyle name="Currency (0) N/A 2 2" xfId="42154"/>
    <cellStyle name="Currency (0) N/A 2 2 2" xfId="42155"/>
    <cellStyle name="Currency (0) N/A 2 3" xfId="42156"/>
    <cellStyle name="Currency (0) N/A 3" xfId="42157"/>
    <cellStyle name="Currency (0) N/A 3 2" xfId="42158"/>
    <cellStyle name="Currency (0) N/A 3 3" xfId="42159"/>
    <cellStyle name="Currency (0) N/A 4" xfId="42160"/>
    <cellStyle name="Currency (0) TBD" xfId="42161"/>
    <cellStyle name="Currency (0) TBD-" xfId="42162"/>
    <cellStyle name="Currency (0) TBD 2" xfId="42163"/>
    <cellStyle name="Currency (0) TBD- 2" xfId="42164"/>
    <cellStyle name="Currency (0) TBD- 2 2" xfId="42165"/>
    <cellStyle name="Currency (0) TBD- 2 2 2" xfId="42166"/>
    <cellStyle name="Currency (0) TBD- 2 3" xfId="42167"/>
    <cellStyle name="Currency (0) TBD 3" xfId="42168"/>
    <cellStyle name="Currency (0) TBD- 3" xfId="42169"/>
    <cellStyle name="Currency (0) TBD- 3 2" xfId="42170"/>
    <cellStyle name="Currency (0) TBD- 3 3" xfId="42171"/>
    <cellStyle name="Currency (0) TBD- 4" xfId="42172"/>
    <cellStyle name="Currency (0) TBD_0508BPwhl_020604_Variable Marketing" xfId="42173"/>
    <cellStyle name="Currency (0) TBD-_0508BPwhl_020604_Variable Marketing" xfId="42174"/>
    <cellStyle name="Currency (0) TBD_0508BPwhl_020604_Variable Marketing 2" xfId="42175"/>
    <cellStyle name="Currency (0) TBD-_0508BPwhl_020604_Variable Marketing 2" xfId="42176"/>
    <cellStyle name="Currency (0) TBD_06MY Package Price Strategy proposal v3" xfId="42177"/>
    <cellStyle name="Currency (0) TBD-_06MY Package Price Strategy proposal v3" xfId="42178"/>
    <cellStyle name="Currency (0) TBD_06MY Package Price Strategy proposal v3 2" xfId="42179"/>
    <cellStyle name="Currency (0) TBD-_06MY Package Price Strategy proposal v3 2" xfId="42180"/>
    <cellStyle name="Currency (0) TBD_07 to 08MY Escape (3)" xfId="42181"/>
    <cellStyle name="Currency (0) TBD-_07 to 08MY Escape (3)" xfId="42182"/>
    <cellStyle name="Currency (0) TBD_07 to 08MY Escape (3) 2" xfId="42183"/>
    <cellStyle name="Currency (0) TBD-_07 to 08MY Escape (3) 2" xfId="42184"/>
    <cellStyle name="Currency (0) TBD_07_08 D333 020706" xfId="42185"/>
    <cellStyle name="Currency (0) TBD-_07_08 D333 020706" xfId="42186"/>
    <cellStyle name="Currency (0) TBD_07_08 D333 020706 2" xfId="42187"/>
    <cellStyle name="Currency (0) TBD-_07_08 D333 020706 2" xfId="42188"/>
    <cellStyle name="Currency (0) TBD_07pricebinning_budget_1" xfId="42189"/>
    <cellStyle name="Currency (0) TBD-_07pricebinning_budget_1" xfId="42190"/>
    <cellStyle name="Currency (0) TBD_07pricebinning_budget_1 2" xfId="42191"/>
    <cellStyle name="Currency (0) TBD-_07pricebinning_budget_1 2" xfId="42192"/>
    <cellStyle name="Currency (0) TBD_08MY Escape 2005 Bus. Plan MktEqn 8_4" xfId="42193"/>
    <cellStyle name="Currency (0) TBD-_08MY Escape 2005 Bus. Plan MktEqn 8_4" xfId="42194"/>
    <cellStyle name="Currency (0) TBD_08MY Escape 2005 Bus. Plan MktEqn 8_4 2" xfId="42195"/>
    <cellStyle name="Currency (0) TBD-_08MY Escape 2005 Bus. Plan MktEqn 8_4 2" xfId="42196"/>
    <cellStyle name="Currency (0) TBD_08MY Escape MktEqn Final 09 PSC" xfId="42197"/>
    <cellStyle name="Currency (0) TBD-_08MY Escape MktEqn Final 09 PSC" xfId="42198"/>
    <cellStyle name="Currency (0) TBD_08MY Escape MktEqn Final 09 PSC 2" xfId="42199"/>
    <cellStyle name="Currency (0) TBD-_08MY Escape MktEqn Final 09 PSC 2" xfId="42200"/>
    <cellStyle name="Currency (0) TBD_09 Escape PSC backup 3_2" xfId="42201"/>
    <cellStyle name="Currency (0) TBD-_09 Escape PSC backup 3_2" xfId="42202"/>
    <cellStyle name="Currency (0) TBD_09 Escape PSC backup 3_2 2" xfId="42203"/>
    <cellStyle name="Currency (0) TBD-_09 Escape PSC backup 3_2 2" xfId="42204"/>
    <cellStyle name="Currency (0) TBD_1+11 FCST_SUM  (Post Task Removal)" xfId="42205"/>
    <cellStyle name="Currency (0) TBD-_1+11 FCST_SUM  (Post Task Removal)" xfId="42206"/>
    <cellStyle name="Currency (0) TBD_1+11 FCST_SUM  (Post Task Removal) 2" xfId="42207"/>
    <cellStyle name="Currency (0) TBD-_1+11 FCST_SUM  (Post Task Removal) 2" xfId="42208"/>
    <cellStyle name="Currency (0) TBD_1+11PBR.3.17" xfId="42209"/>
    <cellStyle name="Currency (0) TBD-_1+11PBR.3.17" xfId="42210"/>
    <cellStyle name="Currency (0) TBD_1+11PBR.3.17 2" xfId="42211"/>
    <cellStyle name="Currency (0) TBD-_1+11PBR.3.17 2" xfId="42212"/>
    <cellStyle name="Currency (0) TBD_10MY P415 ME Slides" xfId="42213"/>
    <cellStyle name="Currency (0) TBD-_10MY P415 ME Slides" xfId="42214"/>
    <cellStyle name="Currency (0) TBD_10MY P415 ME Slides 2" xfId="42215"/>
    <cellStyle name="Currency (0) TBD-_10MY P415 ME Slides 2" xfId="42216"/>
    <cellStyle name="Currency (0) TBD_'11MY PA Status _mini BP submission_7_9_08" xfId="42217"/>
    <cellStyle name="Currency (0) TBD-_'11MY PA Status _mini BP submission_7_9_08" xfId="42218"/>
    <cellStyle name="Currency (0) TBD_'11MY PA Status _mini BP submission_7_9_08 2" xfId="42219"/>
    <cellStyle name="Currency (0) TBD-_'11MY PA Status _mini BP submission_7_9_08 2" xfId="42220"/>
    <cellStyle name="Currency (0) TBD_2+10 FCST_SUM" xfId="42221"/>
    <cellStyle name="Currency (0) TBD-_2+10 FCST_SUM" xfId="42222"/>
    <cellStyle name="Currency (0) TBD_2+10 FCST_SUM 2" xfId="42223"/>
    <cellStyle name="Currency (0) TBD-_2+10 FCST_SUM 2" xfId="42224"/>
    <cellStyle name="Currency (0) TBD_2002BusPlanAttachments" xfId="42225"/>
    <cellStyle name="Currency (0) TBD-_2002BusPlanAttachments" xfId="42226"/>
    <cellStyle name="Currency (0) TBD_2002BusPlanAttachments - Revised" xfId="42227"/>
    <cellStyle name="Currency (0) TBD-_2002BusPlanAttachments - Revised" xfId="42228"/>
    <cellStyle name="Currency (0) TBD_2002BusPlanAttachments - Revised 2" xfId="42229"/>
    <cellStyle name="Currency (0) TBD-_2002BusPlanAttachments - Revised 2" xfId="42230"/>
    <cellStyle name="Currency (0) TBD_2002BusPlanAttachments 2" xfId="42231"/>
    <cellStyle name="Currency (0) TBD-_2002BusPlanAttachments 2" xfId="42232"/>
    <cellStyle name="Currency (0) TBD_2003 r&amp;o" xfId="42233"/>
    <cellStyle name="Currency (0) TBD-_2003 r&amp;o" xfId="42234"/>
    <cellStyle name="Currency (0) TBD_2003 r&amp;o 2" xfId="42235"/>
    <cellStyle name="Currency (0) TBD-_2003 r&amp;o 2" xfId="42236"/>
    <cellStyle name="Currency (0) TBD_2005 Global ARM_TVM Summary 012 ForecastFinal022205" xfId="42237"/>
    <cellStyle name="Currency (0) TBD-_2005 Global ARM_TVM Summary 012 ForecastFinal022205" xfId="42238"/>
    <cellStyle name="Currency (0) TBD_2005 Global ARM_TVM Summary 012 ForecastFinal022205 2" xfId="42239"/>
    <cellStyle name="Currency (0) TBD-_2005 Global ARM_TVM Summary 012 ForecastFinal022205 2" xfId="42240"/>
    <cellStyle name="Currency (0) TBD_2005 Roadmap_39status FINAL v2_" xfId="42241"/>
    <cellStyle name="Currency (0) TBD-_2005 Roadmap_39status FINAL v2_" xfId="42242"/>
    <cellStyle name="Currency (0) TBD_2005 Roadmap_39status FINAL v2_ 2" xfId="42243"/>
    <cellStyle name="Currency (0) TBD-_2005 Roadmap_39status FINAL v2_ 2" xfId="42244"/>
    <cellStyle name="Currency (0) TBD_2005 Roadmap_39status FINAL_" xfId="42245"/>
    <cellStyle name="Currency (0) TBD-_2005 Roadmap_39status FINAL_" xfId="42246"/>
    <cellStyle name="Currency (0) TBD_2005 Roadmap_39status FINAL_ 2" xfId="42247"/>
    <cellStyle name="Currency (0) TBD-_2005 Roadmap_39status FINAL_ 2" xfId="42248"/>
    <cellStyle name="Currency (0) TBD_2005 Roadmap_39status_" xfId="42249"/>
    <cellStyle name="Currency (0) TBD-_2005 Roadmap_39status_" xfId="42250"/>
    <cellStyle name="Currency (0) TBD_2005 Roadmap_39status_ 2" xfId="42251"/>
    <cellStyle name="Currency (0) TBD-_2005 Roadmap_39status_ 2" xfId="42252"/>
    <cellStyle name="Currency (0) TBD_2005 Roadmap_48status preliminaryL_" xfId="42253"/>
    <cellStyle name="Currency (0) TBD-_2005 Roadmap_48status preliminaryL_" xfId="42254"/>
    <cellStyle name="Currency (0) TBD_2005 Roadmap_48status preliminaryL_ 2" xfId="42255"/>
    <cellStyle name="Currency (0) TBD-_2005 Roadmap_48status preliminaryL_ 2" xfId="42256"/>
    <cellStyle name="Currency (0) TBD_2005.5 Escape Package Strategy 1.52" xfId="42257"/>
    <cellStyle name="Currency (0) TBD-_2005.5 Escape Package Strategy 1.52" xfId="42258"/>
    <cellStyle name="Currency (0) TBD_2005.5 Escape Package Strategy 1.52 2" xfId="42259"/>
    <cellStyle name="Currency (0) TBD-_2005.5 Escape Package Strategy 1.52 2" xfId="42260"/>
    <cellStyle name="Currency (0) TBD_2005.5 Escape Package Strategy 1.52 3" xfId="42261"/>
    <cellStyle name="Currency (0) TBD-_2005.5 Escape Package Strategy 1.52 3" xfId="42262"/>
    <cellStyle name="Currency (0) TBD_2006_Metrics_ver_h_adjusted on march_20" xfId="42263"/>
    <cellStyle name="Currency (0) TBD-_2006_Metrics_ver_h_adjusted on march_20" xfId="42264"/>
    <cellStyle name="Currency (0) TBD_2006_Metrics_ver_h_adjusted on march_20 2" xfId="42265"/>
    <cellStyle name="Currency (0) TBD-_2006_Metrics_ver_h_adjusted on march_20 2" xfId="42266"/>
    <cellStyle name="Currency (0) TBD_2006MY Escape Package and Price Strategy Template2" xfId="42267"/>
    <cellStyle name="Currency (0) TBD-_2006MY Escape Package and Price Strategy Template2" xfId="42268"/>
    <cellStyle name="Currency (0) TBD_2006MY Escape Package and Price Strategy Template2 2" xfId="42269"/>
    <cellStyle name="Currency (0) TBD-_2006MY Escape Package and Price Strategy Template2 2" xfId="42270"/>
    <cellStyle name="Currency (0) TBD_2006MY Escape Pkg-Price Strategy 4 pager v3.7 - FINAL - Main" xfId="42271"/>
    <cellStyle name="Currency (0) TBD-_2006MY Escape Pkg-Price Strategy 4 pager v3.7 - FINAL - Main" xfId="42272"/>
    <cellStyle name="Currency (0) TBD_2006MY Escape Pkg-Price Strategy 4 pager v3.7 - FINAL - Main 2" xfId="42273"/>
    <cellStyle name="Currency (0) TBD-_2006MY Escape Pkg-Price Strategy 4 pager v3.7 - FINAL - Main 2" xfId="42274"/>
    <cellStyle name="Currency (0) TBD_2007 Concern tracker 05-02-2005 " xfId="42275"/>
    <cellStyle name="Currency (0) TBD-_2007 Concern tracker 05-02-2005 " xfId="42276"/>
    <cellStyle name="Currency (0) TBD_2007 Concern tracker 05-02-2005  2" xfId="42277"/>
    <cellStyle name="Currency (0) TBD-_2007 Concern tracker 05-02-2005  2" xfId="42278"/>
    <cellStyle name="Currency (0) TBD_2007 Concern tracker 05-02-2005  2 2" xfId="42279"/>
    <cellStyle name="Currency (0) TBD-_2007 Concern tracker 05-02-2005  2 2" xfId="42280"/>
    <cellStyle name="Currency (0) TBD_2007 Concern tracker 05-02-2005  3" xfId="42281"/>
    <cellStyle name="Currency (0) TBD-_2007 Concern tracker 05-02-2005  3" xfId="42282"/>
    <cellStyle name="Currency (0) TBD_2007 Concern tracker 05-02-2005  4" xfId="42283"/>
    <cellStyle name="Currency (0) TBD-_2007 Concern tracker 05-02-2005  4" xfId="42284"/>
    <cellStyle name="Currency (0) TBD_2007MY Escape &amp; Mariner Price Strategy_2-Pager_v5 (Offsite)" xfId="42285"/>
    <cellStyle name="Currency (0) TBD-_2007MY Escape &amp; Mariner Price Strategy_2-Pager_v5 (Offsite)" xfId="42286"/>
    <cellStyle name="Currency (0) TBD_2007MY Escape &amp; Mariner Price Strategy_2-Pager_v5 (Offsite) 2" xfId="42287"/>
    <cellStyle name="Currency (0) TBD-_2007MY Escape &amp; Mariner Price Strategy_2-Pager_v5 (Offsite) 2" xfId="42288"/>
    <cellStyle name="Currency (0) TBD_2007MY Expedition 4 Pager - 13-14% Margin - 3-16-06 AG Review " xfId="42289"/>
    <cellStyle name="Currency (0) TBD-_2007MY Expedition 4 Pager - 13-14% Margin - 3-16-06 AG Review " xfId="42290"/>
    <cellStyle name="Currency (0) TBD_2007MY Expedition 4 Pager - 13-14% Margin - 3-16-06 AG Review  2" xfId="42291"/>
    <cellStyle name="Currency (0) TBD-_2007MY Expedition 4 Pager - 13-14% Margin - 3-16-06 AG Review  2" xfId="42292"/>
    <cellStyle name="Currency (0) TBD_2007MY Expedition 4 Pager - 13-14% Margin - 3-16-06 AG Review  2 2" xfId="42293"/>
    <cellStyle name="Currency (0) TBD-_2007MY Expedition 4 Pager - 13-14% Margin - 3-16-06 AG Review  2 2" xfId="42294"/>
    <cellStyle name="Currency (0) TBD_2007MY Expedition 4 Pager - 13-14% Margin - 3-16-06 AG Review  3" xfId="42295"/>
    <cellStyle name="Currency (0) TBD-_2007MY Expedition 4 Pager - 13-14% Margin - 3-16-06 AG Review  3" xfId="42296"/>
    <cellStyle name="Currency (0) TBD_2007MY Expedition 4 Pager - 13-14% Margin - 3-16-06 AG Review  4" xfId="42297"/>
    <cellStyle name="Currency (0) TBD-_2007MY Expedition 4 Pager - 13-14% Margin - 3-16-06 AG Review  4" xfId="42298"/>
    <cellStyle name="Currency (0) TBD_2007MY Navigator 4 Pager - Latest - 2K Ultimate - 3-16-06 AG Review " xfId="42299"/>
    <cellStyle name="Currency (0) TBD-_2007MY Navigator 4 Pager - Latest - 2K Ultimate - 3-16-06 AG Review " xfId="42300"/>
    <cellStyle name="Currency (0) TBD_2007MY Navigator 4 Pager - Latest - 2K Ultimate - 3-16-06 AG Review  2" xfId="42301"/>
    <cellStyle name="Currency (0) TBD-_2007MY Navigator 4 Pager - Latest - 2K Ultimate - 3-16-06 AG Review  2" xfId="42302"/>
    <cellStyle name="Currency (0) TBD_2007MY Navigator 4 Pager - Latest - 2K Ultimate - 3-16-06 AG Review  2 2" xfId="42303"/>
    <cellStyle name="Currency (0) TBD-_2007MY Navigator 4 Pager - Latest - 2K Ultimate - 3-16-06 AG Review  2 2" xfId="42304"/>
    <cellStyle name="Currency (0) TBD_2007MY Navigator 4 Pager - Latest - 2K Ultimate - 3-16-06 AG Review  3" xfId="42305"/>
    <cellStyle name="Currency (0) TBD-_2007MY Navigator 4 Pager - Latest - 2K Ultimate - 3-16-06 AG Review  3" xfId="42306"/>
    <cellStyle name="Currency (0) TBD_2007MY Navigator 4 Pager - Latest - 2K Ultimate - 3-16-06 AG Review  4" xfId="42307"/>
    <cellStyle name="Currency (0) TBD-_2007MY Navigator 4 Pager - Latest - 2K Ultimate - 3-16-06 AG Review  4" xfId="42308"/>
    <cellStyle name="Currency (0) TBD_2007MY Pricing Review - Navigator Showroom Spider" xfId="42309"/>
    <cellStyle name="Currency (0) TBD-_2007MY Pricing Review - Navigator Showroom Spider" xfId="42310"/>
    <cellStyle name="Currency (0) TBD_2007MY Pricing Review - Navigator Showroom Spider 2" xfId="42311"/>
    <cellStyle name="Currency (0) TBD-_2007MY Pricing Review - Navigator Showroom Spider 2" xfId="42312"/>
    <cellStyle name="Currency (0) TBD_2007MY Pricing Review - Showroom Spider - 10-11-05 Revised" xfId="42313"/>
    <cellStyle name="Currency (0) TBD-_2007MY Pricing Review - Showroom Spider - 10-11-05 Revised" xfId="42314"/>
    <cellStyle name="Currency (0) TBD_2007MY Pricing Review - Showroom Spider - 10-11-05 Revised 2" xfId="42315"/>
    <cellStyle name="Currency (0) TBD-_2007MY Pricing Review - Showroom Spider - 10-11-05 Revised 2" xfId="42316"/>
    <cellStyle name="Currency (0) TBD_2008MY Thermometer Charts - updated with Tims EACs - vs 07MY Competition - Jan 2007" xfId="42317"/>
    <cellStyle name="Currency (0) TBD-_2008MY Thermometer Charts - updated with Tims EACs - vs 07MY Competition - Jan 2007" xfId="42318"/>
    <cellStyle name="Currency (0) TBD_2008MY Thermometer Charts - updated with Tims EACs - vs 07MY Competition - Jan 2007 2" xfId="42319"/>
    <cellStyle name="Currency (0) TBD-_2008MY Thermometer Charts - updated with Tims EACs - vs 07MY Competition - Jan 2007 2" xfId="42320"/>
    <cellStyle name="Currency (0) TBD_2009MY U377 PS PSRM" xfId="42321"/>
    <cellStyle name="Currency (0) TBD-_2009MY U377 PS PSRM" xfId="42322"/>
    <cellStyle name="Currency (0) TBD_2009MY U377 PS PSRM 2" xfId="42323"/>
    <cellStyle name="Currency (0) TBD-_2009MY U377 PS PSRM 2" xfId="42324"/>
    <cellStyle name="Currency (0) TBD_3_9 CLT Review_6" xfId="42325"/>
    <cellStyle name="Currency (0) TBD-_3_9 CLT Review_6" xfId="42326"/>
    <cellStyle name="Currency (0) TBD_3_9 CLT Review_6 2" xfId="42327"/>
    <cellStyle name="Currency (0) TBD-_3_9 CLT Review_6 2" xfId="42328"/>
    <cellStyle name="Currency (0) TBD_4) Company Service Vehicles (2+10)" xfId="42329"/>
    <cellStyle name="Currency (0) TBD-_4) Company Service Vehicles (2+10)" xfId="42330"/>
    <cellStyle name="Currency (0) TBD_4) Company Service Vehicles (2+10) 2" xfId="42331"/>
    <cellStyle name="Currency (0) TBD-_4) Company Service Vehicles (2+10) 2" xfId="42332"/>
    <cellStyle name="Currency (0) TBD_6+6 YOYbprI-Iv2" xfId="42333"/>
    <cellStyle name="Currency (0) TBD-_6+6 YOYbprI-Iv2" xfId="42334"/>
    <cellStyle name="Currency (0) TBD_6+6 YOYbprI-Iv2 2" xfId="42335"/>
    <cellStyle name="Currency (0) TBD-_6+6 YOYbprI-Iv2 2" xfId="42336"/>
    <cellStyle name="Currency (0) TBD_6+6 YOYbprI-Iv3" xfId="42337"/>
    <cellStyle name="Currency (0) TBD-_6+6 YOYbprI-Iv3" xfId="42338"/>
    <cellStyle name="Currency (0) TBD_6+6 YOYbprI-Iv3 2" xfId="42339"/>
    <cellStyle name="Currency (0) TBD-_6+6 YOYbprI-Iv3 2" xfId="42340"/>
    <cellStyle name="Currency (0) TBD_7+5 YOYbprI-I" xfId="42341"/>
    <cellStyle name="Currency (0) TBD-_7+5 YOYbprI-I" xfId="42342"/>
    <cellStyle name="Currency (0) TBD_7+5 YOYbprI-I 2" xfId="42343"/>
    <cellStyle name="Currency (0) TBD-_7+5 YOYbprI-I 2" xfId="42344"/>
    <cellStyle name="Currency (0) TBD_9+3 FCST_SUM v1" xfId="42345"/>
    <cellStyle name="Currency (0) TBD-_9+3 FCST_SUM v1" xfId="42346"/>
    <cellStyle name="Currency (0) TBD_9+3 FCST_SUM v1 2" xfId="42347"/>
    <cellStyle name="Currency (0) TBD-_9+3 FCST_SUM v1 2" xfId="42348"/>
    <cellStyle name="Currency (0) TBD_ARM 151004 DRAFT" xfId="42349"/>
    <cellStyle name="Currency (0) TBD-_ARM 151004 DRAFT" xfId="42350"/>
    <cellStyle name="Currency (0) TBD_ARM 151004 DRAFT 2" xfId="42351"/>
    <cellStyle name="Currency (0) TBD-_ARM 151004 DRAFT 2" xfId="42352"/>
    <cellStyle name="Currency (0) TBD_ARM input (66)" xfId="42353"/>
    <cellStyle name="Currency (0) TBD-_ARM input (66)" xfId="42354"/>
    <cellStyle name="Currency (0) TBD_ARM input (66) 2" xfId="42355"/>
    <cellStyle name="Currency (0) TBD-_ARM input (66) 2" xfId="42356"/>
    <cellStyle name="Currency (0) TBD_Att III Input By Region and CBG NA 84" xfId="42357"/>
    <cellStyle name="Currency (0) TBD-_Att III Input By Region and CBG NA 84" xfId="42358"/>
    <cellStyle name="Currency (0) TBD_Att III Input By Region and CBG NA 84 2" xfId="42359"/>
    <cellStyle name="Currency (0) TBD-_Att III Input By Region and CBG NA 84 2" xfId="42360"/>
    <cellStyle name="Currency (0) TBD_Att III Input By Region and CBG NA 93" xfId="42361"/>
    <cellStyle name="Currency (0) TBD-_Att III Input By Region and CBG NA 93" xfId="42362"/>
    <cellStyle name="Currency (0) TBD_Att III Input By Region and CBG NA 93 2" xfId="42363"/>
    <cellStyle name="Currency (0) TBD-_Att III Input By Region and CBG NA 93 2" xfId="42364"/>
    <cellStyle name="Currency (0) TBD_Att III Input By Region and CBG NA PCO 3+9" xfId="42365"/>
    <cellStyle name="Currency (0) TBD-_Att III Input By Region and CBG NA PCO 3+9" xfId="42366"/>
    <cellStyle name="Currency (0) TBD_Att III Input By Region and CBG NA PCO 3+9 2" xfId="42367"/>
    <cellStyle name="Currency (0) TBD-_Att III Input By Region and CBG NA PCO 3+9 2" xfId="42368"/>
    <cellStyle name="Currency (0) TBD_Attachment III Input By Region and CBG" xfId="42369"/>
    <cellStyle name="Currency (0) TBD-_Attachment III Input By Region and CBG" xfId="42370"/>
    <cellStyle name="Currency (0) TBD_Attachment III Input By Region and CBG 2" xfId="42371"/>
    <cellStyle name="Currency (0) TBD-_Attachment III Input By Region and CBG 2" xfId="42372"/>
    <cellStyle name="Currency (0) TBD_AugustPBRtopics_submitters" xfId="42373"/>
    <cellStyle name="Currency (0) TBD-_AugustPBRtopics_submitters" xfId="42374"/>
    <cellStyle name="Currency (0) TBD_AugustPBRtopics_submitters 2" xfId="42375"/>
    <cellStyle name="Currency (0) TBD-_AugustPBRtopics_submitters 2" xfId="42376"/>
    <cellStyle name="Currency (0) TBD_Book3" xfId="42377"/>
    <cellStyle name="Currency (0) TBD-_Book3" xfId="42378"/>
    <cellStyle name="Currency (0) TBD_Book3 2" xfId="42379"/>
    <cellStyle name="Currency (0) TBD-_Book3 2" xfId="42380"/>
    <cellStyle name="Currency (0) TBD_Book4" xfId="42381"/>
    <cellStyle name="Currency (0) TBD-_Book4" xfId="42382"/>
    <cellStyle name="Currency (0) TBD_Book4 2" xfId="42383"/>
    <cellStyle name="Currency (0) TBD-_Book4 2" xfId="42384"/>
    <cellStyle name="Currency (0) TBD_Brand Premium Summary" xfId="42385"/>
    <cellStyle name="Currency (0) TBD-_Brand Premium Summary" xfId="42386"/>
    <cellStyle name="Currency (0) TBD_Brand Premium Summary 1112205" xfId="42387"/>
    <cellStyle name="Currency (0) TBD-_Brand Premium Summary 1112205" xfId="42388"/>
    <cellStyle name="Currency (0) TBD_Brand Premium Summary 1112205 2" xfId="42389"/>
    <cellStyle name="Currency (0) TBD-_Brand Premium Summary 1112205 2" xfId="42390"/>
    <cellStyle name="Currency (0) TBD_Brand Premium Summary 2" xfId="42391"/>
    <cellStyle name="Currency (0) TBD-_Brand Premium Summary 2" xfId="42392"/>
    <cellStyle name="Currency (0) TBD_Budget Product Backup (12+0+12) By Quarter v3" xfId="42393"/>
    <cellStyle name="Currency (0) TBD-_Budget Product Backup (12+0+12) By Quarter v3" xfId="42394"/>
    <cellStyle name="Currency (0) TBD_Budget Product Backup (12+0+12) By Quarter v3 2" xfId="42395"/>
    <cellStyle name="Currency (0) TBD-_Budget Product Backup (12+0+12) By Quarter v3 2" xfId="42396"/>
    <cellStyle name="Currency (0) TBD_BV226 mkt equation_Aug6" xfId="42397"/>
    <cellStyle name="Currency (0) TBD-_BV226 mkt equation_Aug6" xfId="42398"/>
    <cellStyle name="Currency (0) TBD_BV226 mkt equation_Aug6 2" xfId="42399"/>
    <cellStyle name="Currency (0) TBD-_BV226 mkt equation_Aug6 2" xfId="42400"/>
    <cellStyle name="Currency (0) TBD_BV226 mkt equation_Aug6 3" xfId="42401"/>
    <cellStyle name="Currency (0) TBD-_BV226 mkt equation_Aug6 3" xfId="42402"/>
    <cellStyle name="Currency (0) TBD_BV226N Facer Pg Charts" xfId="42403"/>
    <cellStyle name="Currency (0) TBD-_BV226N Facer Pg Charts" xfId="42404"/>
    <cellStyle name="Currency (0) TBD_BV226N Facer Pg Charts 2" xfId="42405"/>
    <cellStyle name="Currency (0) TBD-_BV226N Facer Pg Charts 2" xfId="42406"/>
    <cellStyle name="Currency (0) TBD_BV226N Facer Pg Charts1" xfId="42407"/>
    <cellStyle name="Currency (0) TBD-_BV226N Facer Pg Charts1" xfId="42408"/>
    <cellStyle name="Currency (0) TBD_BV226N Facer Pg Charts1 2" xfId="42409"/>
    <cellStyle name="Currency (0) TBD-_BV226N Facer Pg Charts1 2" xfId="42410"/>
    <cellStyle name="Currency (0) TBD_Calendarisation 2003 Total PAG vs 11+1" xfId="42411"/>
    <cellStyle name="Currency (0) TBD-_Calendarisation 2003 Total PAG vs 11+1" xfId="42412"/>
    <cellStyle name="Currency (0) TBD_Calendarisation 2003 Total PAG vs 11+1 2" xfId="42413"/>
    <cellStyle name="Currency (0) TBD-_Calendarisation 2003 Total PAG vs 11+1 2" xfId="42414"/>
    <cellStyle name="Currency (0) TBD_Calendarised 2004 Budget v7 Update" xfId="42415"/>
    <cellStyle name="Currency (0) TBD-_Calendarised 2004 Budget v7 Update" xfId="42416"/>
    <cellStyle name="Currency (0) TBD_Calendarised 2004 Budget v7 Update 2" xfId="42417"/>
    <cellStyle name="Currency (0) TBD-_Calendarised 2004 Budget v7 Update 2" xfId="42418"/>
    <cellStyle name="Currency (0) TBD_CD 378  09MY_ PS_ file buildup 8-05-05" xfId="42419"/>
    <cellStyle name="Currency (0) TBD-_CD 378  09MY_ PS_ file buildup 8-05-05" xfId="42420"/>
    <cellStyle name="Currency (0) TBD_CD 378  09MY_ PS_ file buildup 8-05-05 2" xfId="42421"/>
    <cellStyle name="Currency (0) TBD-_CD 378  09MY_ PS_ file buildup 8-05-05 2" xfId="42422"/>
    <cellStyle name="Currency (0) TBD_CSV (84) Status" xfId="42423"/>
    <cellStyle name="Currency (0) TBD-_CSV (84) Status" xfId="42424"/>
    <cellStyle name="Currency (0) TBD_CSV (84) Status 2" xfId="42425"/>
    <cellStyle name="Currency (0) TBD-_CSV (84) Status 2" xfId="42426"/>
    <cellStyle name="Currency (0) TBD_CSV 66 Status1" xfId="42427"/>
    <cellStyle name="Currency (0) TBD-_CSV 66 Status1" xfId="42428"/>
    <cellStyle name="Currency (0) TBD_CSV 66 Status1 2" xfId="42429"/>
    <cellStyle name="Currency (0) TBD-_CSV 66 Status1 2" xfId="42430"/>
    <cellStyle name="Currency (0) TBD_CSV_48 Status (update)1" xfId="42431"/>
    <cellStyle name="Currency (0) TBD-_CSV_48 Status (update)1" xfId="42432"/>
    <cellStyle name="Currency (0) TBD_CSV_48 Status (update)1 2" xfId="42433"/>
    <cellStyle name="Currency (0) TBD-_CSV_48 Status (update)1 2" xfId="42434"/>
    <cellStyle name="Currency (0) TBD_D385 - PA  04-04-06" xfId="42435"/>
    <cellStyle name="Currency (0) TBD-_D385 - PA  04-04-06" xfId="42436"/>
    <cellStyle name="Currency (0) TBD_D385 - PA  04-04-06 2" xfId="42437"/>
    <cellStyle name="Currency (0) TBD-_D385 - PA  04-04-06 2" xfId="42438"/>
    <cellStyle name="Currency (0) TBD_D385 - PA  10-25-05" xfId="42439"/>
    <cellStyle name="Currency (0) TBD-_D385 - PA  10-25-05" xfId="42440"/>
    <cellStyle name="Currency (0) TBD_D385 - PA  10-25-05 2" xfId="42441"/>
    <cellStyle name="Currency (0) TBD-_D385 - PA  10-25-05 2" xfId="42442"/>
    <cellStyle name="Currency (0) TBD_D472 PS MktEqn 031706" xfId="42443"/>
    <cellStyle name="Currency (0) TBD-_D472 PS MktEqn 031706" xfId="42444"/>
    <cellStyle name="Currency (0) TBD_D472 PS MktEqn 031706 2" xfId="42445"/>
    <cellStyle name="Currency (0) TBD-_D472 PS MktEqn 031706 2" xfId="42446"/>
    <cellStyle name="Currency (0) TBD_D472 PS MktEqn 032406 " xfId="42447"/>
    <cellStyle name="Currency (0) TBD-_D472 PS MktEqn 032406 " xfId="42448"/>
    <cellStyle name="Currency (0) TBD_D472 PS MktEqn 032406  2" xfId="42449"/>
    <cellStyle name="Currency (0) TBD-_D472 PS MktEqn 032406  2" xfId="42450"/>
    <cellStyle name="Currency (0) TBD_D472 PS MktEqn 032406  2 2" xfId="42451"/>
    <cellStyle name="Currency (0) TBD-_D472 PS MktEqn 032406  2 2" xfId="42452"/>
    <cellStyle name="Currency (0) TBD_D472 PS MktEqn 032406  3" xfId="42453"/>
    <cellStyle name="Currency (0) TBD-_D472 PS MktEqn 032406  3" xfId="42454"/>
    <cellStyle name="Currency (0) TBD_D472 PS MktEqn 032406  4" xfId="42455"/>
    <cellStyle name="Currency (0) TBD-_D472 PS MktEqn 032406  4" xfId="42456"/>
    <cellStyle name="Currency (0) TBD_Dick Langley data 030305" xfId="42457"/>
    <cellStyle name="Currency (0) TBD-_Dick Langley data 030305" xfId="42458"/>
    <cellStyle name="Currency (0) TBD_Dick Langley data 030305 2" xfId="42459"/>
    <cellStyle name="Currency (0) TBD-_Dick Langley data 030305 2" xfId="42460"/>
    <cellStyle name="Currency (0) TBD_EMS August PBR" xfId="42461"/>
    <cellStyle name="Currency (0) TBD-_EMS August PBR" xfId="42462"/>
    <cellStyle name="Currency (0) TBD_EMS August PBR 2" xfId="42463"/>
    <cellStyle name="Currency (0) TBD-_EMS August PBR 2" xfId="42464"/>
    <cellStyle name="Currency (0) TBD_Equip Adj Vs Highlander &amp; Explorer" xfId="42465"/>
    <cellStyle name="Currency (0) TBD-_Equip Adj Vs Highlander &amp; Explorer" xfId="42466"/>
    <cellStyle name="Currency (0) TBD_Equip Adj Vs Highlander &amp; Explorer 2" xfId="42467"/>
    <cellStyle name="Currency (0) TBD-_Equip Adj Vs Highlander &amp; Explorer 2" xfId="42468"/>
    <cellStyle name="Currency (0) TBD_Equip Adj Vs Highlander &amp; Explorer 3" xfId="42469"/>
    <cellStyle name="Currency (0) TBD-_Equip Adj Vs Highlander &amp; Explorer 3" xfId="42470"/>
    <cellStyle name="Currency (0) TBD_Expedition 2006MY Price Strategy_FINAL" xfId="42471"/>
    <cellStyle name="Currency (0) TBD-_Expedition 2006MY Price Strategy_FINAL" xfId="42472"/>
    <cellStyle name="Currency (0) TBD_Expedition 2006MY Price Strategy_FINAL 2" xfId="42473"/>
    <cellStyle name="Currency (0) TBD-_Expedition 2006MY Price Strategy_FINAL 2" xfId="42474"/>
    <cellStyle name="Currency (0) TBD_Family Cluster Targets2" xfId="42475"/>
    <cellStyle name="Currency (0) TBD-_Family Cluster Targets2" xfId="42476"/>
    <cellStyle name="Currency (0) TBD_Feb 3 2006 IACM Status" xfId="42477"/>
    <cellStyle name="Currency (0) TBD-_Feb 3 2006 IACM Status" xfId="42478"/>
    <cellStyle name="Currency (0) TBD_Feb 3 2006 IACM Status 2" xfId="42479"/>
    <cellStyle name="Currency (0) TBD-_Feb 3 2006 IACM Status 2" xfId="42480"/>
    <cellStyle name="Currency (0) TBD_FINAL Super Duty Diesel Summary" xfId="42481"/>
    <cellStyle name="Currency (0) TBD-_FINAL Super Duty Diesel Summary" xfId="42482"/>
    <cellStyle name="Currency (0) TBD_FINAL Super Duty Diesel Summary 2" xfId="42483"/>
    <cellStyle name="Currency (0) TBD-_FINAL Super Duty Diesel Summary 2" xfId="42484"/>
    <cellStyle name="Currency (0) TBD_Flash Report 012005" xfId="42485"/>
    <cellStyle name="Currency (0) TBD-_Flash Report 012005" xfId="42486"/>
    <cellStyle name="Currency (0) TBD_Flash Report 012005 2" xfId="42487"/>
    <cellStyle name="Currency (0) TBD-_Flash Report 012005 2" xfId="42488"/>
    <cellStyle name="Currency (0) TBD_Global 8+4 YOYbprI-I" xfId="42489"/>
    <cellStyle name="Currency (0) TBD-_Global 8+4 YOYbprI-I" xfId="42490"/>
    <cellStyle name="Currency (0) TBD_Global 8+4 YOYbprI-I 2" xfId="42491"/>
    <cellStyle name="Currency (0) TBD-_Global 8+4 YOYbprI-I 2" xfId="42492"/>
    <cellStyle name="Currency (0) TBD_Global Steel and Raw Materials.2006.Sept OCCE" xfId="42493"/>
    <cellStyle name="Currency (0) TBD-_Global Steel and Raw Materials.2006.Sept OCCE" xfId="42494"/>
    <cellStyle name="Currency (0) TBD_Global Steel and Raw Materials.2006.Sept OCCE 2" xfId="42495"/>
    <cellStyle name="Currency (0) TBD-_Global Steel and Raw Materials.2006.Sept OCCE 2" xfId="42496"/>
    <cellStyle name="Currency (0) TBD_GM Pwr Pack Spiders -- John-Doug Backup V2 Incl. Proposal" xfId="42497"/>
    <cellStyle name="Currency (0) TBD-_GM Pwr Pack Spiders -- John-Doug Backup V2 Incl. Proposal" xfId="42498"/>
    <cellStyle name="Currency (0) TBD_GM Pwr Pack Spiders -- John-Doug Backup V2 Incl. Proposal 2" xfId="42499"/>
    <cellStyle name="Currency (0) TBD-_GM Pwr Pack Spiders -- John-Doug Backup V2 Incl. Proposal 2" xfId="42500"/>
    <cellStyle name="Currency (0) TBD_hurricane segtracks" xfId="42501"/>
    <cellStyle name="Currency (0) TBD-_hurricane segtracks" xfId="42502"/>
    <cellStyle name="Currency (0) TBD_hurricane segtracks 2" xfId="42503"/>
    <cellStyle name="Currency (0) TBD-_hurricane segtracks 2" xfId="42504"/>
    <cellStyle name="Currency (0) TBD_Inventory 1-pager" xfId="42505"/>
    <cellStyle name="Currency (0) TBD-_Inventory 1-pager" xfId="42506"/>
    <cellStyle name="Currency (0) TBD_Inventory 1-pager 2" xfId="42507"/>
    <cellStyle name="Currency (0) TBD-_Inventory 1-pager 2" xfId="42508"/>
    <cellStyle name="Currency (0) TBD_Inventory at 210" xfId="42509"/>
    <cellStyle name="Currency (0) TBD-_Inventory at 210" xfId="42510"/>
    <cellStyle name="Currency (0) TBD_Inventory at 210 2" xfId="42511"/>
    <cellStyle name="Currency (0) TBD-_Inventory at 210 2" xfId="42512"/>
    <cellStyle name="Currency (0) TBD_Inventory at 4+8" xfId="42513"/>
    <cellStyle name="Currency (0) TBD-_Inventory at 4+8" xfId="42514"/>
    <cellStyle name="Currency (0) TBD_Inventory at 4+8 2" xfId="42515"/>
    <cellStyle name="Currency (0) TBD-_Inventory at 4+8 2" xfId="42516"/>
    <cellStyle name="Currency (0) TBD_Issue to Issue PRD" xfId="42517"/>
    <cellStyle name="Currency (0) TBD-_Issue to Issue PRD" xfId="42518"/>
    <cellStyle name="Currency (0) TBD_Issue to Issue PRD 2" xfId="42519"/>
    <cellStyle name="Currency (0) TBD-_Issue to Issue PRD 2" xfId="42520"/>
    <cellStyle name="Currency (0) TBD_J&amp;LR 6+6 QoQ" xfId="42521"/>
    <cellStyle name="Currency (0) TBD-_J&amp;LR 6+6 QoQ" xfId="42522"/>
    <cellStyle name="Currency (0) TBD_J&amp;LR 6+6 QoQ 2" xfId="42523"/>
    <cellStyle name="Currency (0) TBD-_J&amp;LR 6+6 QoQ 2" xfId="42524"/>
    <cellStyle name="Currency (0) TBD_JDC Review 3-17-05" xfId="42525"/>
    <cellStyle name="Currency (0) TBD-_JDC Review 3-17-05" xfId="42526"/>
    <cellStyle name="Currency (0) TBD_JDC Review 3-17-05 2" xfId="42527"/>
    <cellStyle name="Currency (0) TBD-_JDC Review 3-17-05 2" xfId="42528"/>
    <cellStyle name="Currency (0) TBD_JLR 0+12 Forecast v11c part2" xfId="42529"/>
    <cellStyle name="Currency (0) TBD-_JLR 0+12 Forecast v11c part2" xfId="42530"/>
    <cellStyle name="Currency (0) TBD_JLR 0+12 Forecast v11c part2 2" xfId="42531"/>
    <cellStyle name="Currency (0) TBD-_JLR 0+12 Forecast v11c part2 2" xfId="42532"/>
    <cellStyle name="Currency (0) TBD_labor_status - v2" xfId="42533"/>
    <cellStyle name="Currency (0) TBD-_labor_status - v2" xfId="42534"/>
    <cellStyle name="Currency (0) TBD_Market Equation Reconciliation - 2005BP Status vs PA - Expedition Navigator - MC Review" xfId="42535"/>
    <cellStyle name="Currency (0) TBD-_Market Equation Reconciliation - 2005BP Status vs PA - Expedition Navigator - MC Review" xfId="42536"/>
    <cellStyle name="Currency (0) TBD_Market Equation Reconciliation - 2005BP Status vs PA - Expedition Navigator - MC Review 2" xfId="42537"/>
    <cellStyle name="Currency (0) TBD-_Market Equation Reconciliation - 2005BP Status vs PA - Expedition Navigator - MC Review 2" xfId="42538"/>
    <cellStyle name="Currency (0) TBD_milspullahead-07" xfId="42539"/>
    <cellStyle name="Currency (0) TBD-_milspullahead-07" xfId="42540"/>
    <cellStyle name="Currency (0) TBD_milspullahead-07 2" xfId="42541"/>
    <cellStyle name="Currency (0) TBD-_milspullahead-07 2" xfId="42542"/>
    <cellStyle name="Currency (0) TBD_Mix Master File" xfId="42543"/>
    <cellStyle name="Currency (0) TBD-_Mix Master File" xfId="42544"/>
    <cellStyle name="Currency (0) TBD_Mix Master File 2" xfId="42545"/>
    <cellStyle name="Currency (0) TBD-_Mix Master File 2" xfId="42546"/>
    <cellStyle name="Currency (0) TBD_Mountaineer Trim Spider 10.27.04 REVISED 11.03.04 MTG W PG" xfId="42547"/>
    <cellStyle name="Currency (0) TBD-_Mountaineer Trim Spider 10.27.04 REVISED 11.03.04 MTG W PG" xfId="42548"/>
    <cellStyle name="Currency (0) TBD_Mountaineer Trim Spider 10.27.04 REVISED 11.03.04 MTG W PG 2" xfId="42549"/>
    <cellStyle name="Currency (0) TBD-_Mountaineer Trim Spider 10.27.04 REVISED 11.03.04 MTG W PG 2" xfId="42550"/>
    <cellStyle name="Currency (0) TBD_MP Formats" xfId="42551"/>
    <cellStyle name="Currency (0) TBD-_MP Formats" xfId="42552"/>
    <cellStyle name="Currency (0) TBD_MP Formats 2" xfId="42553"/>
    <cellStyle name="Currency (0) TBD-_MP Formats 2" xfId="42554"/>
    <cellStyle name="Currency (0) TBD_NA CBG Roadmaps 2006 (Sept SBG)_Task Update_v5" xfId="42555"/>
    <cellStyle name="Currency (0) TBD-_NA CBG Roadmaps 2006 (Sept SBG)_Task Update_v5" xfId="42556"/>
    <cellStyle name="Currency (0) TBD_NA CBG Roadmaps 2006 (Sept SBG)_Task Update_v5 2" xfId="42557"/>
    <cellStyle name="Currency (0) TBD-_NA CBG Roadmaps 2006 (Sept SBG)_Task Update_v5 2" xfId="42558"/>
    <cellStyle name="Currency (0) TBD_Navigator 2006MY Price Strategy_FINAL" xfId="42559"/>
    <cellStyle name="Currency (0) TBD-_Navigator 2006MY Price Strategy_FINAL" xfId="42560"/>
    <cellStyle name="Currency (0) TBD_Navigator 2006MY Price Strategy_FINAL 2" xfId="42561"/>
    <cellStyle name="Currency (0) TBD-_Navigator 2006MY Price Strategy_FINAL 2" xfId="42562"/>
    <cellStyle name="Currency (0) TBD_Nov 11 Deep Dive Workplan" xfId="42563"/>
    <cellStyle name="Currency (0) TBD-_Nov 11 Deep Dive Workplan" xfId="42564"/>
    <cellStyle name="Currency (0) TBD_Nov 11 Deep Dive Workplan 2" xfId="42565"/>
    <cellStyle name="Currency (0) TBD-_Nov 11 Deep Dive Workplan 2" xfId="42566"/>
    <cellStyle name="Currency (0) TBD_October 2005 PBR" xfId="42567"/>
    <cellStyle name="Currency (0) TBD-_October 2005 PBR" xfId="42568"/>
    <cellStyle name="Currency (0) TBD_October 2005 PBR 2" xfId="42569"/>
    <cellStyle name="Currency (0) TBD-_October 2005 PBR 2" xfId="42570"/>
    <cellStyle name="Currency (0) TBD_PAG August 14 Status" xfId="42571"/>
    <cellStyle name="Currency (0) TBD-_PAG August 14 Status" xfId="42572"/>
    <cellStyle name="Currency (0) TBD_PAG August 14 Status 2" xfId="42573"/>
    <cellStyle name="Currency (0) TBD-_PAG August 14 Status 2" xfId="42574"/>
    <cellStyle name="Currency (0) TBD_PAG Budget consol vs 10+2" xfId="42575"/>
    <cellStyle name="Currency (0) TBD-_PAG Budget consol vs 10+2" xfId="42576"/>
    <cellStyle name="Currency (0) TBD_PAG Budget consol vs 10+2 2" xfId="42577"/>
    <cellStyle name="Currency (0) TBD-_PAG Budget consol vs 10+2 2" xfId="42578"/>
    <cellStyle name="Currency (0) TBD_PAG Budget consol vs 11+1" xfId="42579"/>
    <cellStyle name="Currency (0) TBD-_PAG Budget consol vs 11+1" xfId="42580"/>
    <cellStyle name="Currency (0) TBD_PAG Budget consol vs 11+1 2" xfId="42581"/>
    <cellStyle name="Currency (0) TBD-_PAG Budget consol vs 11+1 2" xfId="42582"/>
    <cellStyle name="Currency (0) TBD_PAG Calendarised 2004 Budet - Derek backup" xfId="42583"/>
    <cellStyle name="Currency (0) TBD-_PAG Calendarised 2004 Budet - Derek backup" xfId="42584"/>
    <cellStyle name="Currency (0) TBD_PAG Calendarised 2004 Budet - Derek backup 2" xfId="42585"/>
    <cellStyle name="Currency (0) TBD-_PAG Calendarised 2004 Budet - Derek backup 2" xfId="42586"/>
    <cellStyle name="Currency (0) TBD_PAG Calendarised 2004 Budet - Derek backupUpdateJan15 - new risksCostPerfUpdate" xfId="42587"/>
    <cellStyle name="Currency (0) TBD-_PAG Calendarised 2004 Budet - Derek backupUpdateJan15 - new risksCostPerfUpdate" xfId="42588"/>
    <cellStyle name="Currency (0) TBD_PAG Calendarised 2004 Budet - Derek backupUpdateJan15 - new risksCostPerfUpdate 2" xfId="42589"/>
    <cellStyle name="Currency (0) TBD-_PAG Calendarised 2004 Budet - Derek backupUpdateJan15 - new risksCostPerfUpdate 2" xfId="42590"/>
    <cellStyle name="Currency (0) TBD_PAG consol 10+2 v3" xfId="42591"/>
    <cellStyle name="Currency (0) TBD-_PAG consol 10+2 v3" xfId="42592"/>
    <cellStyle name="Currency (0) TBD_PAG consol 10+2 v3 2" xfId="42593"/>
    <cellStyle name="Currency (0) TBD-_PAG consol 10+2 v3 2" xfId="42594"/>
    <cellStyle name="Currency (0) TBD_PAG YoY Summary by Qtr &amp; Brand" xfId="42595"/>
    <cellStyle name="Currency (0) TBD-_PAG YoY Summary by Qtr &amp; Brand" xfId="42596"/>
    <cellStyle name="Currency (0) TBD_PAG YoY Summary by Qtr &amp; Brand 2" xfId="42597"/>
    <cellStyle name="Currency (0) TBD-_PAG YoY Summary by Qtr &amp; Brand 2" xfId="42598"/>
    <cellStyle name="Currency (0) TBD_profit summary" xfId="42599"/>
    <cellStyle name="Currency (0) TBD-_profit summary" xfId="42600"/>
    <cellStyle name="Currency (0) TBD_Profitable Growth for Thursfield Feb 2003 v2" xfId="42601"/>
    <cellStyle name="Currency (0) TBD-_Profitable Growth for Thursfield Feb 2003 v2" xfId="42602"/>
    <cellStyle name="Currency (0) TBD_Profitable Growth for Thursfield Feb 2003 v2 2" xfId="42603"/>
    <cellStyle name="Currency (0) TBD-_Profitable Growth for Thursfield Feb 2003 v2 2" xfId="42604"/>
    <cellStyle name="Currency (0) TBD_PSRM Backup Slides" xfId="42605"/>
    <cellStyle name="Currency (0) TBD-_PSRM Backup Slides" xfId="42606"/>
    <cellStyle name="Currency (0) TBD_PSRM Backup Slides 2" xfId="42607"/>
    <cellStyle name="Currency (0) TBD-_PSRM Backup Slides 2" xfId="42608"/>
    <cellStyle name="Currency (0) TBD_Quality Details 3+9" xfId="42609"/>
    <cellStyle name="Currency (0) TBD-_Quality Details 3+9" xfId="42610"/>
    <cellStyle name="Currency (0) TBD_Quality Details 3+9 2" xfId="42611"/>
    <cellStyle name="Currency (0) TBD-_Quality Details 3+9 2" xfId="42612"/>
    <cellStyle name="Currency (0) TBD_Retail and Wholesale Summary 2003A Plus Cons" xfId="42613"/>
    <cellStyle name="Currency (0) TBD-_Retail and Wholesale Summary 2003A Plus Cons" xfId="42614"/>
    <cellStyle name="Currency (0) TBD_Retail and Wholesale Summary 2003A Plus Cons 2" xfId="42615"/>
    <cellStyle name="Currency (0) TBD-_Retail and Wholesale Summary 2003A Plus Cons 2" xfId="42616"/>
    <cellStyle name="Currency (0) TBD_Retail and Wholesale Summary 2003B Cons Ver3.0" xfId="42617"/>
    <cellStyle name="Currency (0) TBD-_Retail and Wholesale Summary 2003B Cons Ver3.0" xfId="42618"/>
    <cellStyle name="Currency (0) TBD_Retail and Wholesale Summary 2003B Cons Ver3.0 2" xfId="42619"/>
    <cellStyle name="Currency (0) TBD-_Retail and Wholesale Summary 2003B Cons Ver3.0 2" xfId="42620"/>
    <cellStyle name="Currency (0) TBD_Retail and Wholesale Summary 2003B Tasked Ver3.1" xfId="42621"/>
    <cellStyle name="Currency (0) TBD-_Retail and Wholesale Summary 2003B Tasked Ver3.1" xfId="42622"/>
    <cellStyle name="Currency (0) TBD_Retail and Wholesale Summary 2003B Tasked Ver3.1 2" xfId="42623"/>
    <cellStyle name="Currency (0) TBD-_Retail and Wholesale Summary 2003B Tasked Ver3.1 2" xfId="42624"/>
    <cellStyle name="Currency (0) TBD_Revenue Continuum - FINAL 062107" xfId="42625"/>
    <cellStyle name="Currency (0) TBD-_Revenue Continuum - FINAL 062107" xfId="42626"/>
    <cellStyle name="Currency (0) TBD_Revenue Continuum - FINAL 062107 2" xfId="42627"/>
    <cellStyle name="Currency (0) TBD-_Revenue Continuum - FINAL 062107 2" xfId="42628"/>
    <cellStyle name="Currency (0) TBD_RevenueRecon_EscapeSep9" xfId="42629"/>
    <cellStyle name="Currency (0) TBD-_RevenueRecon_EscapeSep9" xfId="42630"/>
    <cellStyle name="Currency (0) TBD_RevenueRecon_EscapeSep9 2" xfId="42631"/>
    <cellStyle name="Currency (0) TBD-_RevenueRecon_EscapeSep9 2" xfId="42632"/>
    <cellStyle name="Currency (0) TBD_RevenueRecon_EscapeSep9 3" xfId="42633"/>
    <cellStyle name="Currency (0) TBD-_RevenueRecon_EscapeSep9 3" xfId="42634"/>
    <cellStyle name="Currency (0) TBD_Sept 24 SBG Volvo Cars" xfId="42635"/>
    <cellStyle name="Currency (0) TBD-_Sept 24 SBG Volvo Cars" xfId="42636"/>
    <cellStyle name="Currency (0) TBD_Sept 24 SBG Volvo Cars 2" xfId="42637"/>
    <cellStyle name="Currency (0) TBD-_Sept 24 SBG Volvo Cars 2" xfId="42638"/>
    <cellStyle name="Currency (0) TBD_Sept SoMP" xfId="42639"/>
    <cellStyle name="Currency (0) TBD-_Sept SoMP" xfId="42640"/>
    <cellStyle name="Currency (0) TBD_Sept SoMP 2" xfId="42641"/>
    <cellStyle name="Currency (0) TBD-_Sept SoMP 2" xfId="42642"/>
    <cellStyle name="Currency (0) TBD_Sister Vehicle EAC" xfId="42643"/>
    <cellStyle name="Currency (0) TBD-_Sister Vehicle EAC" xfId="42644"/>
    <cellStyle name="Currency (0) TBD_Sister Vehicle EAC 2" xfId="42645"/>
    <cellStyle name="Currency (0) TBD-_Sister Vehicle EAC 2" xfId="42646"/>
    <cellStyle name="Currency (0) TBD_Status Update 10-19-05" xfId="42647"/>
    <cellStyle name="Currency (0) TBD-_Status Update 10-19-05" xfId="42648"/>
    <cellStyle name="Currency (0) TBD_Status Update 10-19-05 2" xfId="42649"/>
    <cellStyle name="Currency (0) TBD-_Status Update 10-19-05 2" xfId="42650"/>
    <cellStyle name="Currency (0) TBD_Steel &amp; Raw Materials" xfId="42651"/>
    <cellStyle name="Currency (0) TBD-_Steel &amp; Raw Materials" xfId="42652"/>
    <cellStyle name="Currency (0) TBD_Steel &amp; Raw Materials 2" xfId="42653"/>
    <cellStyle name="Currency (0) TBD-_Steel &amp; Raw Materials 2" xfId="42654"/>
    <cellStyle name="Currency (0) TBD_SUV wheelbase Premium Summary" xfId="42655"/>
    <cellStyle name="Currency (0) TBD-_SUV wheelbase Premium Summary" xfId="42656"/>
    <cellStyle name="Currency (0) TBD_SUV wheelbase Premium Summary 2" xfId="42657"/>
    <cellStyle name="Currency (0) TBD-_SUV wheelbase Premium Summary 2" xfId="42658"/>
    <cellStyle name="Currency (0) TBD_Tab 1" xfId="42659"/>
    <cellStyle name="Currency (0) TBD-_TRANS PRICE RELATIONSHIPS12" xfId="42660"/>
    <cellStyle name="Currency (0) TBD_U388 2 Series Nav" xfId="42661"/>
    <cellStyle name="Currency (0) TBD-_U388 2 Series Nav" xfId="42662"/>
    <cellStyle name="Currency (0) TBD_U388 2 Series Nav 2" xfId="42663"/>
    <cellStyle name="Currency (0) TBD-_U388 2 Series Nav 2" xfId="42664"/>
    <cellStyle name="Currency (0)_!!!GO" xfId="42665"/>
    <cellStyle name="Currency (00)" xfId="42666"/>
    <cellStyle name="Currency (00) 2" xfId="42667"/>
    <cellStyle name="Currency (00) 3" xfId="42668"/>
    <cellStyle name="Currency (1)" xfId="42669"/>
    <cellStyle name="Currency (1) 2" xfId="42670"/>
    <cellStyle name="Currency (1) 2 2" xfId="42671"/>
    <cellStyle name="Currency (1) 2 2 2" xfId="42672"/>
    <cellStyle name="Currency (1) 2 3" xfId="42673"/>
    <cellStyle name="Currency (1) 3" xfId="42674"/>
    <cellStyle name="Currency (1) 3 2" xfId="42675"/>
    <cellStyle name="Currency (1) 3 3" xfId="42676"/>
    <cellStyle name="Currency (1) 4" xfId="42677"/>
    <cellStyle name="Currency (2)" xfId="42678"/>
    <cellStyle name="Currency (2) 2" xfId="42679"/>
    <cellStyle name="Currency (2) 2 2" xfId="42680"/>
    <cellStyle name="Currency (2) 2 2 2" xfId="42681"/>
    <cellStyle name="Currency (2) 2 3" xfId="42682"/>
    <cellStyle name="Currency (2) 3" xfId="42683"/>
    <cellStyle name="Currency (2) 3 2" xfId="42684"/>
    <cellStyle name="Currency (2) 3 3" xfId="42685"/>
    <cellStyle name="Currency (2) 4" xfId="42686"/>
    <cellStyle name="Currency [0,0]" xfId="42687"/>
    <cellStyle name="Currency [0,0] -" xfId="42688"/>
    <cellStyle name="Currency [0,0] - 2" xfId="42689"/>
    <cellStyle name="Currency [0,0] - 3" xfId="42690"/>
    <cellStyle name="Currency [0,0] 2" xfId="42691"/>
    <cellStyle name="Currency [0,0] 3" xfId="42692"/>
    <cellStyle name="Currency [0,0] incl." xfId="42693"/>
    <cellStyle name="Currency [0,0] incl. 2" xfId="42694"/>
    <cellStyle name="Currency [0,0] incl. 2 2" xfId="42695"/>
    <cellStyle name="Currency [0,0] incl. 2 2 2" xfId="42696"/>
    <cellStyle name="Currency [0,0] incl. 2 3" xfId="42697"/>
    <cellStyle name="Currency [0,0] incl. 3" xfId="42698"/>
    <cellStyle name="Currency [0,0] incl. 3 2" xfId="42699"/>
    <cellStyle name="Currency [0,0] incl. 3 3" xfId="42700"/>
    <cellStyle name="Currency [0,0] incl. 4" xfId="42701"/>
    <cellStyle name="Currency [0,0] N/A" xfId="42702"/>
    <cellStyle name="Currency [0,0] N/A 2" xfId="42703"/>
    <cellStyle name="Currency [0,0] N/A 2 2" xfId="42704"/>
    <cellStyle name="Currency [0,0] N/A 2 2 2" xfId="42705"/>
    <cellStyle name="Currency [0,0] N/A 2 3" xfId="42706"/>
    <cellStyle name="Currency [0,0] N/A 3" xfId="42707"/>
    <cellStyle name="Currency [0,0] N/A 3 2" xfId="42708"/>
    <cellStyle name="Currency [0,0] N/A 3 3" xfId="42709"/>
    <cellStyle name="Currency [0,0] N/A 4" xfId="42710"/>
    <cellStyle name="Currency [0,0] TBD" xfId="42711"/>
    <cellStyle name="Currency [0,0] TBD-" xfId="42712"/>
    <cellStyle name="Currency [0,0] TBD 2" xfId="42713"/>
    <cellStyle name="Currency [0,0] TBD- 2" xfId="42714"/>
    <cellStyle name="Currency [0,0] TBD- 2 2" xfId="42715"/>
    <cellStyle name="Currency [0,0] TBD- 2 2 2" xfId="42716"/>
    <cellStyle name="Currency [0,0] TBD- 2 3" xfId="42717"/>
    <cellStyle name="Currency [0,0] TBD 3" xfId="42718"/>
    <cellStyle name="Currency [0,0] TBD- 3" xfId="42719"/>
    <cellStyle name="Currency [0,0] TBD- 3 2" xfId="42720"/>
    <cellStyle name="Currency [0,0] TBD- 3 3" xfId="42721"/>
    <cellStyle name="Currency [0,0] TBD- 4" xfId="42722"/>
    <cellStyle name="Currency [0,0] TBD_!!!GO" xfId="42723"/>
    <cellStyle name="Currency [0,0] TBD-_!!!GO" xfId="42724"/>
    <cellStyle name="Currency [0,0] TBD_!!!GO 2" xfId="42725"/>
    <cellStyle name="Currency [0,0] TBD-_!!!GO 2" xfId="42726"/>
    <cellStyle name="Currency [0,0] TBD_!!!GO 3" xfId="42727"/>
    <cellStyle name="Currency [0,0] TBD-_!!!GO 3" xfId="42728"/>
    <cellStyle name="Currency [0,0] TBD_0508BPwhl_020604_Variable Marketing" xfId="42729"/>
    <cellStyle name="Currency [0,0] TBD-_0508BPwhl_020604_Variable Marketing" xfId="42730"/>
    <cellStyle name="Currency [0,0] TBD_0508BPwhl_020604_Variable Marketing 2" xfId="42731"/>
    <cellStyle name="Currency [0,0] TBD-_0508BPwhl_020604_Variable Marketing 2" xfId="42732"/>
    <cellStyle name="Currency [0,0] TBD_06MY Package Price Strategy proposal v3" xfId="42733"/>
    <cellStyle name="Currency [0,0] TBD-_06MY Package Price Strategy proposal v3" xfId="42734"/>
    <cellStyle name="Currency [0,0] TBD_06MY Package Price Strategy proposal v3 2" xfId="42735"/>
    <cellStyle name="Currency [0,0] TBD-_06MY Package Price Strategy proposal v3 2" xfId="42736"/>
    <cellStyle name="Currency [0,0] TBD_07 to 08MY Escape (3)" xfId="42737"/>
    <cellStyle name="Currency [0,0] TBD-_07 to 08MY Escape (3)" xfId="42738"/>
    <cellStyle name="Currency [0,0] TBD_07 to 08MY Escape (3) 2" xfId="42739"/>
    <cellStyle name="Currency [0,0] TBD-_07 to 08MY Escape (3) 2" xfId="42740"/>
    <cellStyle name="Currency [0,0] TBD_07_08 D333 020706" xfId="42741"/>
    <cellStyle name="Currency [0,0] TBD-_07_08 D333 020706" xfId="42742"/>
    <cellStyle name="Currency [0,0] TBD_07_08 D333 020706 2" xfId="42743"/>
    <cellStyle name="Currency [0,0] TBD-_07_08 D333 020706 2" xfId="42744"/>
    <cellStyle name="Currency [0,0] TBD_07pricebinning_budget_1" xfId="42745"/>
    <cellStyle name="Currency [0,0] TBD-_07pricebinning_budget_1" xfId="42746"/>
    <cellStyle name="Currency [0,0] TBD_07pricebinning_budget_1 2" xfId="42747"/>
    <cellStyle name="Currency [0,0] TBD-_07pricebinning_budget_1 2" xfId="42748"/>
    <cellStyle name="Currency [0,0] TBD_08MY Escape 2005 Bus. Plan MktEqn 8_4" xfId="42749"/>
    <cellStyle name="Currency [0,0] TBD-_08MY Escape 2005 Bus. Plan MktEqn 8_4" xfId="42750"/>
    <cellStyle name="Currency [0,0] TBD_08MY Escape 2005 Bus. Plan MktEqn 8_4 2" xfId="42751"/>
    <cellStyle name="Currency [0,0] TBD-_08MY Escape 2005 Bus. Plan MktEqn 8_4 2" xfId="42752"/>
    <cellStyle name="Currency [0,0] TBD_08MY Escape MktEqn Final 09 PSC" xfId="42753"/>
    <cellStyle name="Currency [0,0] TBD-_08MY Escape MktEqn Final 09 PSC" xfId="42754"/>
    <cellStyle name="Currency [0,0] TBD_08MY Escape MktEqn Final 09 PSC 2" xfId="42755"/>
    <cellStyle name="Currency [0,0] TBD-_08MY Escape MktEqn Final 09 PSC 2" xfId="42756"/>
    <cellStyle name="Currency [0,0] TBD_09 Escape PSC backup 3_2" xfId="42757"/>
    <cellStyle name="Currency [0,0] TBD-_09 Escape PSC backup 3_2" xfId="42758"/>
    <cellStyle name="Currency [0,0] TBD_09 Escape PSC backup 3_2 2" xfId="42759"/>
    <cellStyle name="Currency [0,0] TBD-_09 Escape PSC backup 3_2 2" xfId="42760"/>
    <cellStyle name="Currency [0,0] TBD_1" xfId="42761"/>
    <cellStyle name="Currency [0,0] TBD-_1" xfId="42762"/>
    <cellStyle name="Currency [0,0] TBD_1 2" xfId="42763"/>
    <cellStyle name="Currency [0,0] TBD-_1 2" xfId="42764"/>
    <cellStyle name="Currency [0,0] TBD_1 3" xfId="42765"/>
    <cellStyle name="Currency [0,0] TBD-_1 3" xfId="42766"/>
    <cellStyle name="Currency [0,0] TBD_10MY P415 ME Slides" xfId="42767"/>
    <cellStyle name="Currency [0,0] TBD-_10MY P415 ME Slides" xfId="42768"/>
    <cellStyle name="Currency [0,0] TBD_10MY P415 ME Slides 2" xfId="42769"/>
    <cellStyle name="Currency [0,0] TBD-_10MY P415 ME Slides 2" xfId="42770"/>
    <cellStyle name="Currency [0,0] TBD_2005.5 Escape Package Strategy 1.52" xfId="42771"/>
    <cellStyle name="Currency [0,0] TBD-_2005.5 Escape Package Strategy 1.52" xfId="42772"/>
    <cellStyle name="Currency [0,0] TBD_2005.5 Escape Package Strategy 1.52 2" xfId="42773"/>
    <cellStyle name="Currency [0,0] TBD-_2005.5 Escape Package Strategy 1.52 2" xfId="42774"/>
    <cellStyle name="Currency [0,0] TBD_2005.5 Escape Package Strategy 1.52 3" xfId="42775"/>
    <cellStyle name="Currency [0,0] TBD-_2005.5 Escape Package Strategy 1.52 3" xfId="42776"/>
    <cellStyle name="Currency [0,0] TBD_2006_Metrics_ver_h_adjusted on march_20" xfId="42777"/>
    <cellStyle name="Currency [0,0] TBD-_2006_Metrics_ver_h_adjusted on march_20" xfId="42778"/>
    <cellStyle name="Currency [0,0] TBD_2006_Metrics_ver_h_adjusted on march_20 2" xfId="42779"/>
    <cellStyle name="Currency [0,0] TBD-_2006_Metrics_ver_h_adjusted on march_20 2" xfId="42780"/>
    <cellStyle name="Currency [0,0] TBD_2006MY Escape Package and Price Strategy Template2" xfId="42781"/>
    <cellStyle name="Currency [0,0] TBD-_2006MY Escape Package and Price Strategy Template2" xfId="42782"/>
    <cellStyle name="Currency [0,0] TBD_2006MY Escape Package and Price Strategy Template2 2" xfId="42783"/>
    <cellStyle name="Currency [0,0] TBD-_2006MY Escape Package and Price Strategy Template2 2" xfId="42784"/>
    <cellStyle name="Currency [0,0] TBD_2006MY Escape Pkg-Price Strategy 4 pager v3.7 - FINAL - Main" xfId="42785"/>
    <cellStyle name="Currency [0,0] TBD-_2006MY Escape Pkg-Price Strategy 4 pager v3.7 - FINAL - Main" xfId="42786"/>
    <cellStyle name="Currency [0,0] TBD_2006MY Escape Pkg-Price Strategy 4 pager v3.7 - FINAL - Main 2" xfId="42787"/>
    <cellStyle name="Currency [0,0] TBD-_2006MY Escape Pkg-Price Strategy 4 pager v3.7 - FINAL - Main 2" xfId="42788"/>
    <cellStyle name="Currency [0,0] TBD_2007MY Escape &amp; Mariner Price Strategy_2-Pager_v5 (Offsite)" xfId="42789"/>
    <cellStyle name="Currency [0,0] TBD-_2007MY Escape &amp; Mariner Price Strategy_2-Pager_v5 (Offsite)" xfId="42790"/>
    <cellStyle name="Currency [0,0] TBD_2007MY Escape &amp; Mariner Price Strategy_2-Pager_v5 (Offsite) 2" xfId="42791"/>
    <cellStyle name="Currency [0,0] TBD-_2007MY Escape &amp; Mariner Price Strategy_2-Pager_v5 (Offsite) 2" xfId="42792"/>
    <cellStyle name="Currency [0,0] TBD_2007MY Expedition 4 Pager - 13-14% Margin - 3-16-06 AG Review " xfId="42793"/>
    <cellStyle name="Currency [0,0] TBD-_2007MY Expedition 4 Pager - 13-14% Margin - 3-16-06 AG Review " xfId="42794"/>
    <cellStyle name="Currency [0,0] TBD_2007MY Expedition 4 Pager - 13-14% Margin - 3-16-06 AG Review  2" xfId="42795"/>
    <cellStyle name="Currency [0,0] TBD-_2007MY Expedition 4 Pager - 13-14% Margin - 3-16-06 AG Review  2" xfId="42796"/>
    <cellStyle name="Currency [0,0] TBD_2007MY Expedition 4 Pager - 13-14% Margin - 3-16-06 AG Review  2 2" xfId="42797"/>
    <cellStyle name="Currency [0,0] TBD-_2007MY Expedition 4 Pager - 13-14% Margin - 3-16-06 AG Review  2 2" xfId="42798"/>
    <cellStyle name="Currency [0,0] TBD_2007MY Expedition 4 Pager - 13-14% Margin - 3-16-06 AG Review  3" xfId="42799"/>
    <cellStyle name="Currency [0,0] TBD-_2007MY Expedition 4 Pager - 13-14% Margin - 3-16-06 AG Review  3" xfId="42800"/>
    <cellStyle name="Currency [0,0] TBD_2007MY Expedition 4 Pager - 13-14% Margin - 3-16-06 AG Review  4" xfId="42801"/>
    <cellStyle name="Currency [0,0] TBD-_2007MY Expedition 4 Pager - 13-14% Margin - 3-16-06 AG Review  4" xfId="42802"/>
    <cellStyle name="Currency [0,0] TBD_2007MY Navigator 4 Pager - Latest - 2K Ultimate - 3-16-06 AG Review " xfId="42803"/>
    <cellStyle name="Currency [0,0] TBD-_2007MY Navigator 4 Pager - Latest - 2K Ultimate - 3-16-06 AG Review " xfId="42804"/>
    <cellStyle name="Currency [0,0] TBD_2007MY Navigator 4 Pager - Latest - 2K Ultimate - 3-16-06 AG Review  2" xfId="42805"/>
    <cellStyle name="Currency [0,0] TBD-_2007MY Navigator 4 Pager - Latest - 2K Ultimate - 3-16-06 AG Review  2" xfId="42806"/>
    <cellStyle name="Currency [0,0] TBD_2007MY Navigator 4 Pager - Latest - 2K Ultimate - 3-16-06 AG Review  2 2" xfId="42807"/>
    <cellStyle name="Currency [0,0] TBD-_2007MY Navigator 4 Pager - Latest - 2K Ultimate - 3-16-06 AG Review  2 2" xfId="42808"/>
    <cellStyle name="Currency [0,0] TBD_2007MY Navigator 4 Pager - Latest - 2K Ultimate - 3-16-06 AG Review  3" xfId="42809"/>
    <cellStyle name="Currency [0,0] TBD-_2007MY Navigator 4 Pager - Latest - 2K Ultimate - 3-16-06 AG Review  3" xfId="42810"/>
    <cellStyle name="Currency [0,0] TBD_2007MY Navigator 4 Pager - Latest - 2K Ultimate - 3-16-06 AG Review  4" xfId="42811"/>
    <cellStyle name="Currency [0,0] TBD-_2007MY Navigator 4 Pager - Latest - 2K Ultimate - 3-16-06 AG Review  4" xfId="42812"/>
    <cellStyle name="Currency [0,0] TBD_2007MY Pricing Review - Navigator Showroom Spider" xfId="42813"/>
    <cellStyle name="Currency [0,0] TBD-_2007MY Pricing Review - Navigator Showroom Spider" xfId="42814"/>
    <cellStyle name="Currency [0,0] TBD_2007MY Pricing Review - Navigator Showroom Spider 2" xfId="42815"/>
    <cellStyle name="Currency [0,0] TBD-_2007MY Pricing Review - Navigator Showroom Spider 2" xfId="42816"/>
    <cellStyle name="Currency [0,0] TBD_2007MY Pricing Review - Showroom Spider - 10-11-05 Revised" xfId="42817"/>
    <cellStyle name="Currency [0,0] TBD-_2007MY Pricing Review - Showroom Spider - 10-11-05 Revised" xfId="42818"/>
    <cellStyle name="Currency [0,0] TBD_2007MY Pricing Review - Showroom Spider - 10-11-05 Revised 2" xfId="42819"/>
    <cellStyle name="Currency [0,0] TBD-_2007MY Pricing Review - Showroom Spider - 10-11-05 Revised 2" xfId="42820"/>
    <cellStyle name="Currency [0,0] TBD_2008MY Thermometer Charts - updated with Tims EACs - vs 07MY Competition - Jan 2007" xfId="42821"/>
    <cellStyle name="Currency [0,0] TBD-_2008MY Thermometer Charts - updated with Tims EACs - vs 07MY Competition - Jan 2007" xfId="42822"/>
    <cellStyle name="Currency [0,0] TBD_2008MY Thermometer Charts - updated with Tims EACs - vs 07MY Competition - Jan 2007 2" xfId="42823"/>
    <cellStyle name="Currency [0,0] TBD-_2008MY Thermometer Charts - updated with Tims EACs - vs 07MY Competition - Jan 2007 2" xfId="42824"/>
    <cellStyle name="Currency [0,0] TBD_2009MY U377 PS PSRM" xfId="42825"/>
    <cellStyle name="Currency [0,0] TBD-_2009MY U377 PS PSRM" xfId="42826"/>
    <cellStyle name="Currency [0,0] TBD_2009MY U377 PS PSRM 2" xfId="42827"/>
    <cellStyle name="Currency [0,0] TBD-_2009MY U377 PS PSRM 2" xfId="42828"/>
    <cellStyle name="Currency [0,0] TBD_Brand Premium Summary" xfId="42829"/>
    <cellStyle name="Currency [0,0] TBD-_Brand Premium Summary" xfId="42830"/>
    <cellStyle name="Currency [0,0] TBD_Brand Premium Summary 1112205" xfId="42831"/>
    <cellStyle name="Currency [0,0] TBD-_Brand Premium Summary 1112205" xfId="42832"/>
    <cellStyle name="Currency [0,0] TBD_Brand Premium Summary 1112205 2" xfId="42833"/>
    <cellStyle name="Currency [0,0] TBD-_Brand Premium Summary 1112205 2" xfId="42834"/>
    <cellStyle name="Currency [0,0] TBD_Brand Premium Summary 2" xfId="42835"/>
    <cellStyle name="Currency [0,0] TBD-_Brand Premium Summary 2" xfId="42836"/>
    <cellStyle name="Currency [0,0] TBD_BV226 mkt equation_Aug6" xfId="42837"/>
    <cellStyle name="Currency [0,0] TBD-_BV226 mkt equation_Aug6" xfId="42838"/>
    <cellStyle name="Currency [0,0] TBD_BV226 mkt equation_Aug6 2" xfId="42839"/>
    <cellStyle name="Currency [0,0] TBD-_BV226 mkt equation_Aug6 2" xfId="42840"/>
    <cellStyle name="Currency [0,0] TBD_BV226 mkt equation_Aug6 3" xfId="42841"/>
    <cellStyle name="Currency [0,0] TBD-_BV226 mkt equation_Aug6 3" xfId="42842"/>
    <cellStyle name="Currency [0,0] TBD_BV226N Facer Pg Charts" xfId="42843"/>
    <cellStyle name="Currency [0,0] TBD-_BV226N Facer Pg Charts" xfId="42844"/>
    <cellStyle name="Currency [0,0] TBD_BV226N Facer Pg Charts 2" xfId="42845"/>
    <cellStyle name="Currency [0,0] TBD-_BV226N Facer Pg Charts 2" xfId="42846"/>
    <cellStyle name="Currency [0,0] TBD_BV226N Facer Pg Charts1" xfId="42847"/>
    <cellStyle name="Currency [0,0] TBD-_BV226N Facer Pg Charts1" xfId="42848"/>
    <cellStyle name="Currency [0,0] TBD_BV226N Facer Pg Charts1 2" xfId="42849"/>
    <cellStyle name="Currency [0,0] TBD-_BV226N Facer Pg Charts1 2" xfId="42850"/>
    <cellStyle name="Currency [0,0] TBD_CD 378  09MY_ PS_ file buildup 8-05-05" xfId="42851"/>
    <cellStyle name="Currency [0,0] TBD-_CD 378  09MY_ PS_ file buildup 8-05-05" xfId="42852"/>
    <cellStyle name="Currency [0,0] TBD_CD 378  09MY_ PS_ file buildup 8-05-05 2" xfId="42853"/>
    <cellStyle name="Currency [0,0] TBD-_CD 378  09MY_ PS_ file buildup 8-05-05 2" xfId="42854"/>
    <cellStyle name="Currency [0,0] TBD_D385 - PA  04-04-06" xfId="42855"/>
    <cellStyle name="Currency [0,0] TBD-_D385 - PA  04-04-06" xfId="42856"/>
    <cellStyle name="Currency [0,0] TBD_D385 - PA  04-04-06 2" xfId="42857"/>
    <cellStyle name="Currency [0,0] TBD-_D385 - PA  04-04-06 2" xfId="42858"/>
    <cellStyle name="Currency [0,0] TBD_D385 - PA  10-25-05" xfId="42859"/>
    <cellStyle name="Currency [0,0] TBD-_D385 - PA  10-25-05" xfId="42860"/>
    <cellStyle name="Currency [0,0] TBD_D385 - PA  10-25-05 2" xfId="42861"/>
    <cellStyle name="Currency [0,0] TBD-_D385 - PA  10-25-05 2" xfId="42862"/>
    <cellStyle name="Currency [0,0] TBD_D472 PS MktEqn 031706" xfId="42863"/>
    <cellStyle name="Currency [0,0] TBD-_D472 PS MktEqn 031706" xfId="42864"/>
    <cellStyle name="Currency [0,0] TBD_D472 PS MktEqn 031706 2" xfId="42865"/>
    <cellStyle name="Currency [0,0] TBD-_D472 PS MktEqn 031706 2" xfId="42866"/>
    <cellStyle name="Currency [0,0] TBD_D472 PS MktEqn 032406 " xfId="42867"/>
    <cellStyle name="Currency [0,0] TBD-_D472 PS MktEqn 032406 " xfId="42868"/>
    <cellStyle name="Currency [0,0] TBD_D472 PS MktEqn 032406  2" xfId="42869"/>
    <cellStyle name="Currency [0,0] TBD-_D472 PS MktEqn 032406  2" xfId="42870"/>
    <cellStyle name="Currency [0,0] TBD_D472 PS MktEqn 032406  2 2" xfId="42871"/>
    <cellStyle name="Currency [0,0] TBD-_D472 PS MktEqn 032406  2 2" xfId="42872"/>
    <cellStyle name="Currency [0,0] TBD_D472 PS MktEqn 032406  3" xfId="42873"/>
    <cellStyle name="Currency [0,0] TBD-_D472 PS MktEqn 032406  3" xfId="42874"/>
    <cellStyle name="Currency [0,0] TBD_D472 PS MktEqn 032406  4" xfId="42875"/>
    <cellStyle name="Currency [0,0] TBD-_D472 PS MktEqn 032406  4" xfId="42876"/>
    <cellStyle name="Currency [0,0] TBD_Equip Adj Vs Highlander &amp; Explorer" xfId="42877"/>
    <cellStyle name="Currency [0,0] TBD-_Equip Adj Vs Highlander &amp; Explorer" xfId="42878"/>
    <cellStyle name="Currency [0,0] TBD_Equip Adj Vs Highlander &amp; Explorer 2" xfId="42879"/>
    <cellStyle name="Currency [0,0] TBD-_Equip Adj Vs Highlander &amp; Explorer 2" xfId="42880"/>
    <cellStyle name="Currency [0,0] TBD_Equip Adj Vs Highlander &amp; Explorer 3" xfId="42881"/>
    <cellStyle name="Currency [0,0] TBD-_Equip Adj Vs Highlander &amp; Explorer 3" xfId="42882"/>
    <cellStyle name="Currency [0,0] TBD_Expedition 2006MY Price Strategy_FINAL" xfId="42883"/>
    <cellStyle name="Currency [0,0] TBD-_Expedition 2006MY Price Strategy_FINAL" xfId="42884"/>
    <cellStyle name="Currency [0,0] TBD_Expedition 2006MY Price Strategy_FINAL 2" xfId="42885"/>
    <cellStyle name="Currency [0,0] TBD-_Expedition 2006MY Price Strategy_FINAL 2" xfId="42886"/>
    <cellStyle name="Currency [0,0] TBD_Family Cluster Targets2" xfId="42887"/>
    <cellStyle name="Currency [0,0] TBD-_Family Cluster Targets2" xfId="42888"/>
    <cellStyle name="Currency [0,0] TBD_FINAL Super Duty Diesel Summary" xfId="42889"/>
    <cellStyle name="Currency [0,0] TBD-_FINAL Super Duty Diesel Summary" xfId="42890"/>
    <cellStyle name="Currency [0,0] TBD_FINAL Super Duty Diesel Summary 2" xfId="42891"/>
    <cellStyle name="Currency [0,0] TBD-_FINAL Super Duty Diesel Summary 2" xfId="42892"/>
    <cellStyle name="Currency [0,0] TBD_GM Pwr Pack Spiders -- John-Doug Backup V2 Incl. Proposal" xfId="42893"/>
    <cellStyle name="Currency [0,0] TBD-_GM Pwr Pack Spiders -- John-Doug Backup V2 Incl. Proposal" xfId="42894"/>
    <cellStyle name="Currency [0,0] TBD_GM Pwr Pack Spiders -- John-Doug Backup V2 Incl. Proposal 2" xfId="42895"/>
    <cellStyle name="Currency [0,0] TBD-_GM Pwr Pack Spiders -- John-Doug Backup V2 Incl. Proposal 2" xfId="42896"/>
    <cellStyle name="Currency [0,0] TBD_hurricane segtracks" xfId="42897"/>
    <cellStyle name="Currency [0,0] TBD-_hurricane segtracks" xfId="42898"/>
    <cellStyle name="Currency [0,0] TBD_hurricane segtracks 2" xfId="42899"/>
    <cellStyle name="Currency [0,0] TBD-_hurricane segtracks 2" xfId="42900"/>
    <cellStyle name="Currency [0,0] TBD_labor_status - v2" xfId="42901"/>
    <cellStyle name="Currency [0,0] TBD-_labor_status - v2" xfId="42902"/>
    <cellStyle name="Currency [0,0] TBD_Market Equation Reconciliation - 2005BP Status vs PA - Expedition Navigator - MC Review" xfId="42903"/>
    <cellStyle name="Currency [0,0] TBD-_Market Equation Reconciliation - 2005BP Status vs PA - Expedition Navigator - MC Review" xfId="42904"/>
    <cellStyle name="Currency [0,0] TBD_Market Equation Reconciliation - 2005BP Status vs PA - Expedition Navigator - MC Review 2" xfId="42905"/>
    <cellStyle name="Currency [0,0] TBD-_Market Equation Reconciliation - 2005BP Status vs PA - Expedition Navigator - MC Review 2" xfId="42906"/>
    <cellStyle name="Currency [0,0] TBD_metrics 98" xfId="42907"/>
    <cellStyle name="Currency [0,0] TBD-_metrics 98" xfId="42908"/>
    <cellStyle name="Currency [0,0] TBD_metrics 98 2" xfId="42909"/>
    <cellStyle name="Currency [0,0] TBD-_metrics 98 2" xfId="42910"/>
    <cellStyle name="Currency [0,0] TBD_metrics 98 3" xfId="42911"/>
    <cellStyle name="Currency [0,0] TBD-_metrics 98 3" xfId="42912"/>
    <cellStyle name="Currency [0,0] TBD_milspullahead-07" xfId="42913"/>
    <cellStyle name="Currency [0,0] TBD-_milspullahead-07" xfId="42914"/>
    <cellStyle name="Currency [0,0] TBD_milspullahead-07 2" xfId="42915"/>
    <cellStyle name="Currency [0,0] TBD-_milspullahead-07 2" xfId="42916"/>
    <cellStyle name="Currency [0,0] TBD_Mix Master File" xfId="42917"/>
    <cellStyle name="Currency [0,0] TBD-_Mix Master File" xfId="42918"/>
    <cellStyle name="Currency [0,0] TBD_Mix Master File 2" xfId="42919"/>
    <cellStyle name="Currency [0,0] TBD-_Mix Master File 2" xfId="42920"/>
    <cellStyle name="Currency [0,0] TBD_Mountaineer Trim Spider 10.27.04 REVISED 11.03.04 MTG W PG" xfId="42921"/>
    <cellStyle name="Currency [0,0] TBD-_Mountaineer Trim Spider 10.27.04 REVISED 11.03.04 MTG W PG" xfId="42922"/>
    <cellStyle name="Currency [0,0] TBD_Mountaineer Trim Spider 10.27.04 REVISED 11.03.04 MTG W PG 2" xfId="42923"/>
    <cellStyle name="Currency [0,0] TBD-_Mountaineer Trim Spider 10.27.04 REVISED 11.03.04 MTG W PG 2" xfId="42924"/>
    <cellStyle name="Currency [0,0] TBD_Navigator 2006MY Price Strategy_FINAL" xfId="42925"/>
    <cellStyle name="Currency [0,0] TBD-_Navigator 2006MY Price Strategy_FINAL" xfId="42926"/>
    <cellStyle name="Currency [0,0] TBD_Navigator 2006MY Price Strategy_FINAL 2" xfId="42927"/>
    <cellStyle name="Currency [0,0] TBD-_Navigator 2006MY Price Strategy_FINAL 2" xfId="42928"/>
    <cellStyle name="Currency [0,0] TBD_profit summary" xfId="42929"/>
    <cellStyle name="Currency [0,0] TBD-_profit summary" xfId="42930"/>
    <cellStyle name="Currency [0,0] TBD_PSRM Backup Slides" xfId="42931"/>
    <cellStyle name="Currency [0,0] TBD-_PSRM Backup Slides" xfId="42932"/>
    <cellStyle name="Currency [0,0] TBD_PSRM Backup Slides 2" xfId="42933"/>
    <cellStyle name="Currency [0,0] TBD-_PSRM Backup Slides 2" xfId="42934"/>
    <cellStyle name="Currency [0,0] TBD_Retail and Wholesale Summary 2003A Plus Cons" xfId="42935"/>
    <cellStyle name="Currency [0,0] TBD-_Retail and Wholesale Summary 2003A Plus Cons" xfId="42936"/>
    <cellStyle name="Currency [0,0] TBD_Retail and Wholesale Summary 2003A Plus Cons 2" xfId="42937"/>
    <cellStyle name="Currency [0,0] TBD-_Retail and Wholesale Summary 2003A Plus Cons 2" xfId="42938"/>
    <cellStyle name="Currency [0,0] TBD_Retail and Wholesale Summary 2003B Cons Ver3.0" xfId="42939"/>
    <cellStyle name="Currency [0,0] TBD-_Retail and Wholesale Summary 2003B Cons Ver3.0" xfId="42940"/>
    <cellStyle name="Currency [0,0] TBD_Retail and Wholesale Summary 2003B Cons Ver3.0 2" xfId="42941"/>
    <cellStyle name="Currency [0,0] TBD-_Retail and Wholesale Summary 2003B Cons Ver3.0 2" xfId="42942"/>
    <cellStyle name="Currency [0,0] TBD_Retail and Wholesale Summary 2003B Tasked Ver3.1" xfId="42943"/>
    <cellStyle name="Currency [0,0] TBD-_Retail and Wholesale Summary 2003B Tasked Ver3.1" xfId="42944"/>
    <cellStyle name="Currency [0,0] TBD_Retail and Wholesale Summary 2003B Tasked Ver3.1 2" xfId="42945"/>
    <cellStyle name="Currency [0,0] TBD-_Retail and Wholesale Summary 2003B Tasked Ver3.1 2" xfId="42946"/>
    <cellStyle name="Currency [0,0] TBD_Revenue Continuum - FINAL 062107" xfId="42947"/>
    <cellStyle name="Currency [0,0] TBD-_Revenue Continuum - FINAL 062107" xfId="42948"/>
    <cellStyle name="Currency [0,0] TBD_Revenue Continuum - FINAL 062107 2" xfId="42949"/>
    <cellStyle name="Currency [0,0] TBD-_Revenue Continuum - FINAL 062107 2" xfId="42950"/>
    <cellStyle name="Currency [0,0] TBD_RevenueRecon_EscapeSep9" xfId="42951"/>
    <cellStyle name="Currency [0,0] TBD-_RevenueRecon_EscapeSep9" xfId="42952"/>
    <cellStyle name="Currency [0,0] TBD_RevenueRecon_EscapeSep9 2" xfId="42953"/>
    <cellStyle name="Currency [0,0] TBD-_RevenueRecon_EscapeSep9 2" xfId="42954"/>
    <cellStyle name="Currency [0,0] TBD_RevenueRecon_EscapeSep9 3" xfId="42955"/>
    <cellStyle name="Currency [0,0] TBD-_RevenueRecon_EscapeSep9 3" xfId="42956"/>
    <cellStyle name="Currency [0,0] TBD_Sept SoMP" xfId="42957"/>
    <cellStyle name="Currency [0,0] TBD-_Sept SoMP" xfId="42958"/>
    <cellStyle name="Currency [0,0] TBD_Sept SoMP 2" xfId="42959"/>
    <cellStyle name="Currency [0,0] TBD-_Sept SoMP 2" xfId="42960"/>
    <cellStyle name="Currency [0,0] TBD_Sister Vehicle EAC" xfId="42961"/>
    <cellStyle name="Currency [0,0] TBD-_Sister Vehicle EAC" xfId="42962"/>
    <cellStyle name="Currency [0,0] TBD_Sister Vehicle EAC 2" xfId="42963"/>
    <cellStyle name="Currency [0,0] TBD-_Sister Vehicle EAC 2" xfId="42964"/>
    <cellStyle name="Currency [0,0] TBD_Status Update 10-19-05" xfId="42965"/>
    <cellStyle name="Currency [0,0] TBD-_Status Update 10-19-05" xfId="42966"/>
    <cellStyle name="Currency [0,0] TBD_Status Update 10-19-05 2" xfId="42967"/>
    <cellStyle name="Currency [0,0] TBD-_Status Update 10-19-05 2" xfId="42968"/>
    <cellStyle name="Currency [0,0] TBD_SUV wheelbase Premium Summary" xfId="42969"/>
    <cellStyle name="Currency [0,0] TBD-_SUV wheelbase Premium Summary" xfId="42970"/>
    <cellStyle name="Currency [0,0] TBD_SUV wheelbase Premium Summary 2" xfId="42971"/>
    <cellStyle name="Currency [0,0] TBD-_SUV wheelbase Premium Summary 2" xfId="42972"/>
    <cellStyle name="Currency [0,0] TBD_Tab 1" xfId="42973"/>
    <cellStyle name="Currency [0,0] TBD-_TRANS PRICE RELATIONSHIPS12" xfId="42974"/>
    <cellStyle name="Currency [0,0] TBD_U388 2 Series Nav" xfId="42975"/>
    <cellStyle name="Currency [0,0] TBD-_U388 2 Series Nav" xfId="42976"/>
    <cellStyle name="Currency [0,0] TBD_U388 2 Series Nav 2" xfId="42977"/>
    <cellStyle name="Currency [0,0] TBD-_U388 2 Series Nav 2" xfId="42978"/>
    <cellStyle name="Currency [0,0]_!!!GO" xfId="42979"/>
    <cellStyle name="Currency [0,00]" xfId="42980"/>
    <cellStyle name="Currency [0,00] -" xfId="42981"/>
    <cellStyle name="Currency [0,00] - 2" xfId="42982"/>
    <cellStyle name="Currency [0,00] - 2 2" xfId="42983"/>
    <cellStyle name="Currency [0,00] - 2 2 2" xfId="42984"/>
    <cellStyle name="Currency [0,00] - 2 3" xfId="42985"/>
    <cellStyle name="Currency [0,00] - 3" xfId="42986"/>
    <cellStyle name="Currency [0,00] - 3 2" xfId="42987"/>
    <cellStyle name="Currency [0,00] - 3 3" xfId="42988"/>
    <cellStyle name="Currency [0,00] - 4" xfId="42989"/>
    <cellStyle name="Currency [0,00] 10" xfId="42990"/>
    <cellStyle name="Currency [0,00] 10 2" xfId="42991"/>
    <cellStyle name="Currency [0,00] 11" xfId="42992"/>
    <cellStyle name="Currency [0,00] 11 2" xfId="42993"/>
    <cellStyle name="Currency [0,00] 12" xfId="42994"/>
    <cellStyle name="Currency [0,00] 12 2" xfId="42995"/>
    <cellStyle name="Currency [0,00] 13" xfId="42996"/>
    <cellStyle name="Currency [0,00] 13 2" xfId="42997"/>
    <cellStyle name="Currency [0,00] 14" xfId="42998"/>
    <cellStyle name="Currency [0,00] 14 2" xfId="42999"/>
    <cellStyle name="Currency [0,00] 15" xfId="43000"/>
    <cellStyle name="Currency [0,00] 2" xfId="43001"/>
    <cellStyle name="Currency [0,00] 2 2" xfId="43002"/>
    <cellStyle name="Currency [0,00] 2 2 2" xfId="43003"/>
    <cellStyle name="Currency [0,00] 2 3" xfId="43004"/>
    <cellStyle name="Currency [0,00] 3" xfId="43005"/>
    <cellStyle name="Currency [0,00] 3 2" xfId="43006"/>
    <cellStyle name="Currency [0,00] 3 2 2" xfId="43007"/>
    <cellStyle name="Currency [0,00] 3 3" xfId="43008"/>
    <cellStyle name="Currency [0,00] 4" xfId="43009"/>
    <cellStyle name="Currency [0,00] 4 2" xfId="43010"/>
    <cellStyle name="Currency [0,00] 4 3" xfId="43011"/>
    <cellStyle name="Currency [0,00] 5" xfId="43012"/>
    <cellStyle name="Currency [0,00] 5 2" xfId="43013"/>
    <cellStyle name="Currency [0,00] 6" xfId="43014"/>
    <cellStyle name="Currency [0,00] 6 2" xfId="43015"/>
    <cellStyle name="Currency [0,00] 7" xfId="43016"/>
    <cellStyle name="Currency [0,00] 7 2" xfId="43017"/>
    <cellStyle name="Currency [0,00] 8" xfId="43018"/>
    <cellStyle name="Currency [0,00] 8 2" xfId="43019"/>
    <cellStyle name="Currency [0,00] 9" xfId="43020"/>
    <cellStyle name="Currency [0,00] 9 2" xfId="43021"/>
    <cellStyle name="Currency [0,00] incl." xfId="43022"/>
    <cellStyle name="Currency [0,00] incl. 2" xfId="43023"/>
    <cellStyle name="Currency [0,00] incl. 2 2" xfId="43024"/>
    <cellStyle name="Currency [0,00] incl. 2 2 2" xfId="43025"/>
    <cellStyle name="Currency [0,00] incl. 2 3" xfId="43026"/>
    <cellStyle name="Currency [0,00] incl. 3" xfId="43027"/>
    <cellStyle name="Currency [0,00] incl. 3 2" xfId="43028"/>
    <cellStyle name="Currency [0,00] incl. 3 3" xfId="43029"/>
    <cellStyle name="Currency [0,00] incl. 4" xfId="43030"/>
    <cellStyle name="Currency [0,00] N/A" xfId="43031"/>
    <cellStyle name="Currency [0,00] N/A 2" xfId="43032"/>
    <cellStyle name="Currency [0,00] N/A 2 2" xfId="43033"/>
    <cellStyle name="Currency [0,00] N/A 2 2 2" xfId="43034"/>
    <cellStyle name="Currency [0,00] N/A 2 3" xfId="43035"/>
    <cellStyle name="Currency [0,00] N/A 3" xfId="43036"/>
    <cellStyle name="Currency [0,00] N/A 3 2" xfId="43037"/>
    <cellStyle name="Currency [0,00] N/A 3 3" xfId="43038"/>
    <cellStyle name="Currency [0,00] N/A 4" xfId="43039"/>
    <cellStyle name="Currency [0,00] TBD" xfId="43040"/>
    <cellStyle name="Currency [0,00] TBD-" xfId="43041"/>
    <cellStyle name="Currency [0,00] TBD 10" xfId="43042"/>
    <cellStyle name="Currency [0,00] TBD- 10" xfId="43043"/>
    <cellStyle name="Currency [0,00] TBD 10 10" xfId="43044"/>
    <cellStyle name="Currency [0,00] TBD- 10 10" xfId="43045"/>
    <cellStyle name="Currency [0,00] TBD 10 100" xfId="43046"/>
    <cellStyle name="Currency [0,00] TBD- 10 100" xfId="43047"/>
    <cellStyle name="Currency [0,00] TBD 10 101" xfId="43048"/>
    <cellStyle name="Currency [0,00] TBD- 10 101" xfId="43049"/>
    <cellStyle name="Currency [0,00] TBD 10 102" xfId="43050"/>
    <cellStyle name="Currency [0,00] TBD- 10 102" xfId="43051"/>
    <cellStyle name="Currency [0,00] TBD 10 103" xfId="43052"/>
    <cellStyle name="Currency [0,00] TBD- 10 103" xfId="43053"/>
    <cellStyle name="Currency [0,00] TBD 10 104" xfId="43054"/>
    <cellStyle name="Currency [0,00] TBD- 10 104" xfId="43055"/>
    <cellStyle name="Currency [0,00] TBD 10 105" xfId="43056"/>
    <cellStyle name="Currency [0,00] TBD- 10 105" xfId="43057"/>
    <cellStyle name="Currency [0,00] TBD 10 106" xfId="43058"/>
    <cellStyle name="Currency [0,00] TBD- 10 106" xfId="43059"/>
    <cellStyle name="Currency [0,00] TBD 10 107" xfId="43060"/>
    <cellStyle name="Currency [0,00] TBD- 10 107" xfId="43061"/>
    <cellStyle name="Currency [0,00] TBD 10 108" xfId="43062"/>
    <cellStyle name="Currency [0,00] TBD- 10 108" xfId="43063"/>
    <cellStyle name="Currency [0,00] TBD 10 109" xfId="43064"/>
    <cellStyle name="Currency [0,00] TBD- 10 109" xfId="43065"/>
    <cellStyle name="Currency [0,00] TBD 10 11" xfId="43066"/>
    <cellStyle name="Currency [0,00] TBD- 10 11" xfId="43067"/>
    <cellStyle name="Currency [0,00] TBD 10 110" xfId="43068"/>
    <cellStyle name="Currency [0,00] TBD- 10 110" xfId="43069"/>
    <cellStyle name="Currency [0,00] TBD 10 111" xfId="43070"/>
    <cellStyle name="Currency [0,00] TBD- 10 111" xfId="43071"/>
    <cellStyle name="Currency [0,00] TBD 10 112" xfId="43072"/>
    <cellStyle name="Currency [0,00] TBD- 10 112" xfId="43073"/>
    <cellStyle name="Currency [0,00] TBD 10 113" xfId="43074"/>
    <cellStyle name="Currency [0,00] TBD- 10 113" xfId="43075"/>
    <cellStyle name="Currency [0,00] TBD 10 114" xfId="43076"/>
    <cellStyle name="Currency [0,00] TBD- 10 114" xfId="43077"/>
    <cellStyle name="Currency [0,00] TBD 10 115" xfId="43078"/>
    <cellStyle name="Currency [0,00] TBD- 10 115" xfId="43079"/>
    <cellStyle name="Currency [0,00] TBD 10 116" xfId="43080"/>
    <cellStyle name="Currency [0,00] TBD- 10 116" xfId="43081"/>
    <cellStyle name="Currency [0,00] TBD 10 117" xfId="43082"/>
    <cellStyle name="Currency [0,00] TBD- 10 117" xfId="43083"/>
    <cellStyle name="Currency [0,00] TBD 10 118" xfId="43084"/>
    <cellStyle name="Currency [0,00] TBD- 10 118" xfId="43085"/>
    <cellStyle name="Currency [0,00] TBD 10 119" xfId="43086"/>
    <cellStyle name="Currency [0,00] TBD- 10 119" xfId="43087"/>
    <cellStyle name="Currency [0,00] TBD 10 12" xfId="43088"/>
    <cellStyle name="Currency [0,00] TBD- 10 12" xfId="43089"/>
    <cellStyle name="Currency [0,00] TBD 10 120" xfId="43090"/>
    <cellStyle name="Currency [0,00] TBD- 10 120" xfId="43091"/>
    <cellStyle name="Currency [0,00] TBD 10 121" xfId="43092"/>
    <cellStyle name="Currency [0,00] TBD- 10 121" xfId="43093"/>
    <cellStyle name="Currency [0,00] TBD 10 122" xfId="43094"/>
    <cellStyle name="Currency [0,00] TBD- 10 122" xfId="43095"/>
    <cellStyle name="Currency [0,00] TBD 10 123" xfId="43096"/>
    <cellStyle name="Currency [0,00] TBD- 10 123" xfId="43097"/>
    <cellStyle name="Currency [0,00] TBD 10 124" xfId="43098"/>
    <cellStyle name="Currency [0,00] TBD- 10 124" xfId="43099"/>
    <cellStyle name="Currency [0,00] TBD 10 125" xfId="43100"/>
    <cellStyle name="Currency [0,00] TBD- 10 125" xfId="43101"/>
    <cellStyle name="Currency [0,00] TBD 10 126" xfId="43102"/>
    <cellStyle name="Currency [0,00] TBD- 10 126" xfId="43103"/>
    <cellStyle name="Currency [0,00] TBD 10 127" xfId="43104"/>
    <cellStyle name="Currency [0,00] TBD- 10 127" xfId="43105"/>
    <cellStyle name="Currency [0,00] TBD 10 128" xfId="43106"/>
    <cellStyle name="Currency [0,00] TBD- 10 128" xfId="43107"/>
    <cellStyle name="Currency [0,00] TBD 10 129" xfId="43108"/>
    <cellStyle name="Currency [0,00] TBD- 10 129" xfId="43109"/>
    <cellStyle name="Currency [0,00] TBD 10 13" xfId="43110"/>
    <cellStyle name="Currency [0,00] TBD- 10 13" xfId="43111"/>
    <cellStyle name="Currency [0,00] TBD 10 130" xfId="43112"/>
    <cellStyle name="Currency [0,00] TBD- 10 130" xfId="43113"/>
    <cellStyle name="Currency [0,00] TBD 10 131" xfId="43114"/>
    <cellStyle name="Currency [0,00] TBD- 10 131" xfId="43115"/>
    <cellStyle name="Currency [0,00] TBD 10 132" xfId="43116"/>
    <cellStyle name="Currency [0,00] TBD- 10 132" xfId="43117"/>
    <cellStyle name="Currency [0,00] TBD 10 133" xfId="43118"/>
    <cellStyle name="Currency [0,00] TBD- 10 133" xfId="43119"/>
    <cellStyle name="Currency [0,00] TBD 10 134" xfId="43120"/>
    <cellStyle name="Currency [0,00] TBD- 10 134" xfId="43121"/>
    <cellStyle name="Currency [0,00] TBD 10 135" xfId="43122"/>
    <cellStyle name="Currency [0,00] TBD- 10 135" xfId="43123"/>
    <cellStyle name="Currency [0,00] TBD 10 136" xfId="43124"/>
    <cellStyle name="Currency [0,00] TBD- 10 136" xfId="43125"/>
    <cellStyle name="Currency [0,00] TBD 10 137" xfId="43126"/>
    <cellStyle name="Currency [0,00] TBD- 10 137" xfId="43127"/>
    <cellStyle name="Currency [0,00] TBD 10 138" xfId="43128"/>
    <cellStyle name="Currency [0,00] TBD- 10 138" xfId="43129"/>
    <cellStyle name="Currency [0,00] TBD 10 139" xfId="43130"/>
    <cellStyle name="Currency [0,00] TBD- 10 139" xfId="43131"/>
    <cellStyle name="Currency [0,00] TBD 10 14" xfId="43132"/>
    <cellStyle name="Currency [0,00] TBD- 10 14" xfId="43133"/>
    <cellStyle name="Currency [0,00] TBD 10 140" xfId="43134"/>
    <cellStyle name="Currency [0,00] TBD- 10 140" xfId="43135"/>
    <cellStyle name="Currency [0,00] TBD 10 141" xfId="43136"/>
    <cellStyle name="Currency [0,00] TBD- 10 141" xfId="43137"/>
    <cellStyle name="Currency [0,00] TBD 10 142" xfId="43138"/>
    <cellStyle name="Currency [0,00] TBD- 10 142" xfId="43139"/>
    <cellStyle name="Currency [0,00] TBD 10 143" xfId="43140"/>
    <cellStyle name="Currency [0,00] TBD- 10 143" xfId="43141"/>
    <cellStyle name="Currency [0,00] TBD 10 144" xfId="43142"/>
    <cellStyle name="Currency [0,00] TBD- 10 144" xfId="43143"/>
    <cellStyle name="Currency [0,00] TBD 10 145" xfId="43144"/>
    <cellStyle name="Currency [0,00] TBD- 10 145" xfId="43145"/>
    <cellStyle name="Currency [0,00] TBD 10 146" xfId="43146"/>
    <cellStyle name="Currency [0,00] TBD- 10 146" xfId="43147"/>
    <cellStyle name="Currency [0,00] TBD 10 147" xfId="43148"/>
    <cellStyle name="Currency [0,00] TBD- 10 147" xfId="43149"/>
    <cellStyle name="Currency [0,00] TBD 10 148" xfId="43150"/>
    <cellStyle name="Currency [0,00] TBD- 10 148" xfId="43151"/>
    <cellStyle name="Currency [0,00] TBD 10 149" xfId="43152"/>
    <cellStyle name="Currency [0,00] TBD- 10 149" xfId="43153"/>
    <cellStyle name="Currency [0,00] TBD 10 15" xfId="43154"/>
    <cellStyle name="Currency [0,00] TBD- 10 15" xfId="43155"/>
    <cellStyle name="Currency [0,00] TBD 10 150" xfId="43156"/>
    <cellStyle name="Currency [0,00] TBD- 10 150" xfId="43157"/>
    <cellStyle name="Currency [0,00] TBD 10 151" xfId="43158"/>
    <cellStyle name="Currency [0,00] TBD- 10 151" xfId="43159"/>
    <cellStyle name="Currency [0,00] TBD 10 152" xfId="43160"/>
    <cellStyle name="Currency [0,00] TBD- 10 152" xfId="43161"/>
    <cellStyle name="Currency [0,00] TBD 10 153" xfId="43162"/>
    <cellStyle name="Currency [0,00] TBD- 10 153" xfId="43163"/>
    <cellStyle name="Currency [0,00] TBD 10 16" xfId="43164"/>
    <cellStyle name="Currency [0,00] TBD- 10 16" xfId="43165"/>
    <cellStyle name="Currency [0,00] TBD 10 17" xfId="43166"/>
    <cellStyle name="Currency [0,00] TBD- 10 17" xfId="43167"/>
    <cellStyle name="Currency [0,00] TBD 10 18" xfId="43168"/>
    <cellStyle name="Currency [0,00] TBD- 10 18" xfId="43169"/>
    <cellStyle name="Currency [0,00] TBD 10 19" xfId="43170"/>
    <cellStyle name="Currency [0,00] TBD- 10 19" xfId="43171"/>
    <cellStyle name="Currency [0,00] TBD 10 2" xfId="43172"/>
    <cellStyle name="Currency [0,00] TBD- 10 2" xfId="43173"/>
    <cellStyle name="Currency [0,00] TBD 10 20" xfId="43174"/>
    <cellStyle name="Currency [0,00] TBD- 10 20" xfId="43175"/>
    <cellStyle name="Currency [0,00] TBD 10 21" xfId="43176"/>
    <cellStyle name="Currency [0,00] TBD- 10 21" xfId="43177"/>
    <cellStyle name="Currency [0,00] TBD 10 22" xfId="43178"/>
    <cellStyle name="Currency [0,00] TBD- 10 22" xfId="43179"/>
    <cellStyle name="Currency [0,00] TBD 10 23" xfId="43180"/>
    <cellStyle name="Currency [0,00] TBD- 10 23" xfId="43181"/>
    <cellStyle name="Currency [0,00] TBD 10 24" xfId="43182"/>
    <cellStyle name="Currency [0,00] TBD- 10 24" xfId="43183"/>
    <cellStyle name="Currency [0,00] TBD 10 25" xfId="43184"/>
    <cellStyle name="Currency [0,00] TBD- 10 25" xfId="43185"/>
    <cellStyle name="Currency [0,00] TBD 10 26" xfId="43186"/>
    <cellStyle name="Currency [0,00] TBD- 10 26" xfId="43187"/>
    <cellStyle name="Currency [0,00] TBD 10 27" xfId="43188"/>
    <cellStyle name="Currency [0,00] TBD- 10 27" xfId="43189"/>
    <cellStyle name="Currency [0,00] TBD 10 28" xfId="43190"/>
    <cellStyle name="Currency [0,00] TBD- 10 28" xfId="43191"/>
    <cellStyle name="Currency [0,00] TBD 10 29" xfId="43192"/>
    <cellStyle name="Currency [0,00] TBD- 10 29" xfId="43193"/>
    <cellStyle name="Currency [0,00] TBD 10 3" xfId="43194"/>
    <cellStyle name="Currency [0,00] TBD- 10 3" xfId="43195"/>
    <cellStyle name="Currency [0,00] TBD 10 30" xfId="43196"/>
    <cellStyle name="Currency [0,00] TBD- 10 30" xfId="43197"/>
    <cellStyle name="Currency [0,00] TBD 10 31" xfId="43198"/>
    <cellStyle name="Currency [0,00] TBD- 10 31" xfId="43199"/>
    <cellStyle name="Currency [0,00] TBD 10 32" xfId="43200"/>
    <cellStyle name="Currency [0,00] TBD- 10 32" xfId="43201"/>
    <cellStyle name="Currency [0,00] TBD 10 33" xfId="43202"/>
    <cellStyle name="Currency [0,00] TBD- 10 33" xfId="43203"/>
    <cellStyle name="Currency [0,00] TBD 10 34" xfId="43204"/>
    <cellStyle name="Currency [0,00] TBD- 10 34" xfId="43205"/>
    <cellStyle name="Currency [0,00] TBD 10 35" xfId="43206"/>
    <cellStyle name="Currency [0,00] TBD- 10 35" xfId="43207"/>
    <cellStyle name="Currency [0,00] TBD 10 36" xfId="43208"/>
    <cellStyle name="Currency [0,00] TBD- 10 36" xfId="43209"/>
    <cellStyle name="Currency [0,00] TBD 10 37" xfId="43210"/>
    <cellStyle name="Currency [0,00] TBD- 10 37" xfId="43211"/>
    <cellStyle name="Currency [0,00] TBD 10 38" xfId="43212"/>
    <cellStyle name="Currency [0,00] TBD- 10 38" xfId="43213"/>
    <cellStyle name="Currency [0,00] TBD 10 39" xfId="43214"/>
    <cellStyle name="Currency [0,00] TBD- 10 39" xfId="43215"/>
    <cellStyle name="Currency [0,00] TBD 10 4" xfId="43216"/>
    <cellStyle name="Currency [0,00] TBD- 10 4" xfId="43217"/>
    <cellStyle name="Currency [0,00] TBD 10 40" xfId="43218"/>
    <cellStyle name="Currency [0,00] TBD- 10 40" xfId="43219"/>
    <cellStyle name="Currency [0,00] TBD 10 41" xfId="43220"/>
    <cellStyle name="Currency [0,00] TBD- 10 41" xfId="43221"/>
    <cellStyle name="Currency [0,00] TBD 10 42" xfId="43222"/>
    <cellStyle name="Currency [0,00] TBD- 10 42" xfId="43223"/>
    <cellStyle name="Currency [0,00] TBD 10 43" xfId="43224"/>
    <cellStyle name="Currency [0,00] TBD- 10 43" xfId="43225"/>
    <cellStyle name="Currency [0,00] TBD 10 44" xfId="43226"/>
    <cellStyle name="Currency [0,00] TBD- 10 44" xfId="43227"/>
    <cellStyle name="Currency [0,00] TBD 10 45" xfId="43228"/>
    <cellStyle name="Currency [0,00] TBD- 10 45" xfId="43229"/>
    <cellStyle name="Currency [0,00] TBD 10 46" xfId="43230"/>
    <cellStyle name="Currency [0,00] TBD- 10 46" xfId="43231"/>
    <cellStyle name="Currency [0,00] TBD 10 47" xfId="43232"/>
    <cellStyle name="Currency [0,00] TBD- 10 47" xfId="43233"/>
    <cellStyle name="Currency [0,00] TBD 10 48" xfId="43234"/>
    <cellStyle name="Currency [0,00] TBD- 10 48" xfId="43235"/>
    <cellStyle name="Currency [0,00] TBD 10 49" xfId="43236"/>
    <cellStyle name="Currency [0,00] TBD- 10 49" xfId="43237"/>
    <cellStyle name="Currency [0,00] TBD 10 5" xfId="43238"/>
    <cellStyle name="Currency [0,00] TBD- 10 5" xfId="43239"/>
    <cellStyle name="Currency [0,00] TBD 10 50" xfId="43240"/>
    <cellStyle name="Currency [0,00] TBD- 10 50" xfId="43241"/>
    <cellStyle name="Currency [0,00] TBD 10 51" xfId="43242"/>
    <cellStyle name="Currency [0,00] TBD- 10 51" xfId="43243"/>
    <cellStyle name="Currency [0,00] TBD 10 52" xfId="43244"/>
    <cellStyle name="Currency [0,00] TBD- 10 52" xfId="43245"/>
    <cellStyle name="Currency [0,00] TBD 10 53" xfId="43246"/>
    <cellStyle name="Currency [0,00] TBD- 10 53" xfId="43247"/>
    <cellStyle name="Currency [0,00] TBD 10 54" xfId="43248"/>
    <cellStyle name="Currency [0,00] TBD- 10 54" xfId="43249"/>
    <cellStyle name="Currency [0,00] TBD 10 55" xfId="43250"/>
    <cellStyle name="Currency [0,00] TBD- 10 55" xfId="43251"/>
    <cellStyle name="Currency [0,00] TBD 10 56" xfId="43252"/>
    <cellStyle name="Currency [0,00] TBD- 10 56" xfId="43253"/>
    <cellStyle name="Currency [0,00] TBD 10 57" xfId="43254"/>
    <cellStyle name="Currency [0,00] TBD- 10 57" xfId="43255"/>
    <cellStyle name="Currency [0,00] TBD 10 58" xfId="43256"/>
    <cellStyle name="Currency [0,00] TBD- 10 58" xfId="43257"/>
    <cellStyle name="Currency [0,00] TBD 10 59" xfId="43258"/>
    <cellStyle name="Currency [0,00] TBD- 10 59" xfId="43259"/>
    <cellStyle name="Currency [0,00] TBD 10 6" xfId="43260"/>
    <cellStyle name="Currency [0,00] TBD- 10 6" xfId="43261"/>
    <cellStyle name="Currency [0,00] TBD 10 60" xfId="43262"/>
    <cellStyle name="Currency [0,00] TBD- 10 60" xfId="43263"/>
    <cellStyle name="Currency [0,00] TBD 10 61" xfId="43264"/>
    <cellStyle name="Currency [0,00] TBD- 10 61" xfId="43265"/>
    <cellStyle name="Currency [0,00] TBD 10 62" xfId="43266"/>
    <cellStyle name="Currency [0,00] TBD- 10 62" xfId="43267"/>
    <cellStyle name="Currency [0,00] TBD 10 63" xfId="43268"/>
    <cellStyle name="Currency [0,00] TBD- 10 63" xfId="43269"/>
    <cellStyle name="Currency [0,00] TBD 10 64" xfId="43270"/>
    <cellStyle name="Currency [0,00] TBD- 10 64" xfId="43271"/>
    <cellStyle name="Currency [0,00] TBD 10 65" xfId="43272"/>
    <cellStyle name="Currency [0,00] TBD- 10 65" xfId="43273"/>
    <cellStyle name="Currency [0,00] TBD 10 66" xfId="43274"/>
    <cellStyle name="Currency [0,00] TBD- 10 66" xfId="43275"/>
    <cellStyle name="Currency [0,00] TBD 10 67" xfId="43276"/>
    <cellStyle name="Currency [0,00] TBD- 10 67" xfId="43277"/>
    <cellStyle name="Currency [0,00] TBD 10 68" xfId="43278"/>
    <cellStyle name="Currency [0,00] TBD- 10 68" xfId="43279"/>
    <cellStyle name="Currency [0,00] TBD 10 69" xfId="43280"/>
    <cellStyle name="Currency [0,00] TBD- 10 69" xfId="43281"/>
    <cellStyle name="Currency [0,00] TBD 10 7" xfId="43282"/>
    <cellStyle name="Currency [0,00] TBD- 10 7" xfId="43283"/>
    <cellStyle name="Currency [0,00] TBD 10 70" xfId="43284"/>
    <cellStyle name="Currency [0,00] TBD- 10 70" xfId="43285"/>
    <cellStyle name="Currency [0,00] TBD 10 71" xfId="43286"/>
    <cellStyle name="Currency [0,00] TBD- 10 71" xfId="43287"/>
    <cellStyle name="Currency [0,00] TBD 10 72" xfId="43288"/>
    <cellStyle name="Currency [0,00] TBD- 10 72" xfId="43289"/>
    <cellStyle name="Currency [0,00] TBD 10 73" xfId="43290"/>
    <cellStyle name="Currency [0,00] TBD- 10 73" xfId="43291"/>
    <cellStyle name="Currency [0,00] TBD 10 74" xfId="43292"/>
    <cellStyle name="Currency [0,00] TBD- 10 74" xfId="43293"/>
    <cellStyle name="Currency [0,00] TBD 10 75" xfId="43294"/>
    <cellStyle name="Currency [0,00] TBD- 10 75" xfId="43295"/>
    <cellStyle name="Currency [0,00] TBD 10 76" xfId="43296"/>
    <cellStyle name="Currency [0,00] TBD- 10 76" xfId="43297"/>
    <cellStyle name="Currency [0,00] TBD 10 77" xfId="43298"/>
    <cellStyle name="Currency [0,00] TBD- 10 77" xfId="43299"/>
    <cellStyle name="Currency [0,00] TBD 10 78" xfId="43300"/>
    <cellStyle name="Currency [0,00] TBD- 10 78" xfId="43301"/>
    <cellStyle name="Currency [0,00] TBD 10 79" xfId="43302"/>
    <cellStyle name="Currency [0,00] TBD- 10 79" xfId="43303"/>
    <cellStyle name="Currency [0,00] TBD 10 8" xfId="43304"/>
    <cellStyle name="Currency [0,00] TBD- 10 8" xfId="43305"/>
    <cellStyle name="Currency [0,00] TBD 10 80" xfId="43306"/>
    <cellStyle name="Currency [0,00] TBD- 10 80" xfId="43307"/>
    <cellStyle name="Currency [0,00] TBD 10 81" xfId="43308"/>
    <cellStyle name="Currency [0,00] TBD- 10 81" xfId="43309"/>
    <cellStyle name="Currency [0,00] TBD 10 82" xfId="43310"/>
    <cellStyle name="Currency [0,00] TBD- 10 82" xfId="43311"/>
    <cellStyle name="Currency [0,00] TBD 10 83" xfId="43312"/>
    <cellStyle name="Currency [0,00] TBD- 10 83" xfId="43313"/>
    <cellStyle name="Currency [0,00] TBD 10 84" xfId="43314"/>
    <cellStyle name="Currency [0,00] TBD- 10 84" xfId="43315"/>
    <cellStyle name="Currency [0,00] TBD 10 85" xfId="43316"/>
    <cellStyle name="Currency [0,00] TBD- 10 85" xfId="43317"/>
    <cellStyle name="Currency [0,00] TBD 10 86" xfId="43318"/>
    <cellStyle name="Currency [0,00] TBD- 10 86" xfId="43319"/>
    <cellStyle name="Currency [0,00] TBD 10 87" xfId="43320"/>
    <cellStyle name="Currency [0,00] TBD- 10 87" xfId="43321"/>
    <cellStyle name="Currency [0,00] TBD 10 88" xfId="43322"/>
    <cellStyle name="Currency [0,00] TBD- 10 88" xfId="43323"/>
    <cellStyle name="Currency [0,00] TBD 10 89" xfId="43324"/>
    <cellStyle name="Currency [0,00] TBD- 10 89" xfId="43325"/>
    <cellStyle name="Currency [0,00] TBD 10 9" xfId="43326"/>
    <cellStyle name="Currency [0,00] TBD- 10 9" xfId="43327"/>
    <cellStyle name="Currency [0,00] TBD 10 90" xfId="43328"/>
    <cellStyle name="Currency [0,00] TBD- 10 90" xfId="43329"/>
    <cellStyle name="Currency [0,00] TBD 10 91" xfId="43330"/>
    <cellStyle name="Currency [0,00] TBD- 10 91" xfId="43331"/>
    <cellStyle name="Currency [0,00] TBD 10 92" xfId="43332"/>
    <cellStyle name="Currency [0,00] TBD- 10 92" xfId="43333"/>
    <cellStyle name="Currency [0,00] TBD 10 93" xfId="43334"/>
    <cellStyle name="Currency [0,00] TBD- 10 93" xfId="43335"/>
    <cellStyle name="Currency [0,00] TBD 10 94" xfId="43336"/>
    <cellStyle name="Currency [0,00] TBD- 10 94" xfId="43337"/>
    <cellStyle name="Currency [0,00] TBD 10 95" xfId="43338"/>
    <cellStyle name="Currency [0,00] TBD- 10 95" xfId="43339"/>
    <cellStyle name="Currency [0,00] TBD 10 96" xfId="43340"/>
    <cellStyle name="Currency [0,00] TBD- 10 96" xfId="43341"/>
    <cellStyle name="Currency [0,00] TBD 10 97" xfId="43342"/>
    <cellStyle name="Currency [0,00] TBD- 10 97" xfId="43343"/>
    <cellStyle name="Currency [0,00] TBD 10 98" xfId="43344"/>
    <cellStyle name="Currency [0,00] TBD- 10 98" xfId="43345"/>
    <cellStyle name="Currency [0,00] TBD 10 99" xfId="43346"/>
    <cellStyle name="Currency [0,00] TBD- 10 99" xfId="43347"/>
    <cellStyle name="Currency [0,00] TBD 11" xfId="43348"/>
    <cellStyle name="Currency [0,00] TBD- 11" xfId="43349"/>
    <cellStyle name="Currency [0,00] TBD 11 10" xfId="43350"/>
    <cellStyle name="Currency [0,00] TBD- 11 10" xfId="43351"/>
    <cellStyle name="Currency [0,00] TBD 11 100" xfId="43352"/>
    <cellStyle name="Currency [0,00] TBD- 11 100" xfId="43353"/>
    <cellStyle name="Currency [0,00] TBD 11 101" xfId="43354"/>
    <cellStyle name="Currency [0,00] TBD- 11 101" xfId="43355"/>
    <cellStyle name="Currency [0,00] TBD 11 102" xfId="43356"/>
    <cellStyle name="Currency [0,00] TBD- 11 102" xfId="43357"/>
    <cellStyle name="Currency [0,00] TBD 11 103" xfId="43358"/>
    <cellStyle name="Currency [0,00] TBD- 11 103" xfId="43359"/>
    <cellStyle name="Currency [0,00] TBD 11 104" xfId="43360"/>
    <cellStyle name="Currency [0,00] TBD- 11 104" xfId="43361"/>
    <cellStyle name="Currency [0,00] TBD 11 105" xfId="43362"/>
    <cellStyle name="Currency [0,00] TBD- 11 105" xfId="43363"/>
    <cellStyle name="Currency [0,00] TBD 11 106" xfId="43364"/>
    <cellStyle name="Currency [0,00] TBD- 11 106" xfId="43365"/>
    <cellStyle name="Currency [0,00] TBD 11 107" xfId="43366"/>
    <cellStyle name="Currency [0,00] TBD- 11 107" xfId="43367"/>
    <cellStyle name="Currency [0,00] TBD 11 108" xfId="43368"/>
    <cellStyle name="Currency [0,00] TBD- 11 108" xfId="43369"/>
    <cellStyle name="Currency [0,00] TBD 11 109" xfId="43370"/>
    <cellStyle name="Currency [0,00] TBD- 11 109" xfId="43371"/>
    <cellStyle name="Currency [0,00] TBD 11 11" xfId="43372"/>
    <cellStyle name="Currency [0,00] TBD- 11 11" xfId="43373"/>
    <cellStyle name="Currency [0,00] TBD 11 110" xfId="43374"/>
    <cellStyle name="Currency [0,00] TBD- 11 110" xfId="43375"/>
    <cellStyle name="Currency [0,00] TBD 11 111" xfId="43376"/>
    <cellStyle name="Currency [0,00] TBD- 11 111" xfId="43377"/>
    <cellStyle name="Currency [0,00] TBD 11 112" xfId="43378"/>
    <cellStyle name="Currency [0,00] TBD- 11 112" xfId="43379"/>
    <cellStyle name="Currency [0,00] TBD 11 113" xfId="43380"/>
    <cellStyle name="Currency [0,00] TBD- 11 113" xfId="43381"/>
    <cellStyle name="Currency [0,00] TBD 11 114" xfId="43382"/>
    <cellStyle name="Currency [0,00] TBD- 11 114" xfId="43383"/>
    <cellStyle name="Currency [0,00] TBD 11 115" xfId="43384"/>
    <cellStyle name="Currency [0,00] TBD- 11 115" xfId="43385"/>
    <cellStyle name="Currency [0,00] TBD 11 116" xfId="43386"/>
    <cellStyle name="Currency [0,00] TBD- 11 116" xfId="43387"/>
    <cellStyle name="Currency [0,00] TBD 11 117" xfId="43388"/>
    <cellStyle name="Currency [0,00] TBD- 11 117" xfId="43389"/>
    <cellStyle name="Currency [0,00] TBD 11 118" xfId="43390"/>
    <cellStyle name="Currency [0,00] TBD- 11 118" xfId="43391"/>
    <cellStyle name="Currency [0,00] TBD 11 119" xfId="43392"/>
    <cellStyle name="Currency [0,00] TBD- 11 119" xfId="43393"/>
    <cellStyle name="Currency [0,00] TBD 11 12" xfId="43394"/>
    <cellStyle name="Currency [0,00] TBD- 11 12" xfId="43395"/>
    <cellStyle name="Currency [0,00] TBD 11 120" xfId="43396"/>
    <cellStyle name="Currency [0,00] TBD- 11 120" xfId="43397"/>
    <cellStyle name="Currency [0,00] TBD 11 121" xfId="43398"/>
    <cellStyle name="Currency [0,00] TBD- 11 121" xfId="43399"/>
    <cellStyle name="Currency [0,00] TBD 11 122" xfId="43400"/>
    <cellStyle name="Currency [0,00] TBD- 11 122" xfId="43401"/>
    <cellStyle name="Currency [0,00] TBD 11 123" xfId="43402"/>
    <cellStyle name="Currency [0,00] TBD- 11 123" xfId="43403"/>
    <cellStyle name="Currency [0,00] TBD 11 124" xfId="43404"/>
    <cellStyle name="Currency [0,00] TBD- 11 124" xfId="43405"/>
    <cellStyle name="Currency [0,00] TBD 11 125" xfId="43406"/>
    <cellStyle name="Currency [0,00] TBD- 11 125" xfId="43407"/>
    <cellStyle name="Currency [0,00] TBD 11 126" xfId="43408"/>
    <cellStyle name="Currency [0,00] TBD- 11 126" xfId="43409"/>
    <cellStyle name="Currency [0,00] TBD 11 127" xfId="43410"/>
    <cellStyle name="Currency [0,00] TBD- 11 127" xfId="43411"/>
    <cellStyle name="Currency [0,00] TBD 11 128" xfId="43412"/>
    <cellStyle name="Currency [0,00] TBD- 11 128" xfId="43413"/>
    <cellStyle name="Currency [0,00] TBD 11 129" xfId="43414"/>
    <cellStyle name="Currency [0,00] TBD- 11 129" xfId="43415"/>
    <cellStyle name="Currency [0,00] TBD 11 13" xfId="43416"/>
    <cellStyle name="Currency [0,00] TBD- 11 13" xfId="43417"/>
    <cellStyle name="Currency [0,00] TBD 11 130" xfId="43418"/>
    <cellStyle name="Currency [0,00] TBD- 11 130" xfId="43419"/>
    <cellStyle name="Currency [0,00] TBD 11 131" xfId="43420"/>
    <cellStyle name="Currency [0,00] TBD- 11 131" xfId="43421"/>
    <cellStyle name="Currency [0,00] TBD 11 132" xfId="43422"/>
    <cellStyle name="Currency [0,00] TBD- 11 132" xfId="43423"/>
    <cellStyle name="Currency [0,00] TBD 11 133" xfId="43424"/>
    <cellStyle name="Currency [0,00] TBD- 11 133" xfId="43425"/>
    <cellStyle name="Currency [0,00] TBD 11 134" xfId="43426"/>
    <cellStyle name="Currency [0,00] TBD- 11 134" xfId="43427"/>
    <cellStyle name="Currency [0,00] TBD 11 135" xfId="43428"/>
    <cellStyle name="Currency [0,00] TBD- 11 135" xfId="43429"/>
    <cellStyle name="Currency [0,00] TBD 11 136" xfId="43430"/>
    <cellStyle name="Currency [0,00] TBD- 11 136" xfId="43431"/>
    <cellStyle name="Currency [0,00] TBD 11 137" xfId="43432"/>
    <cellStyle name="Currency [0,00] TBD- 11 137" xfId="43433"/>
    <cellStyle name="Currency [0,00] TBD 11 138" xfId="43434"/>
    <cellStyle name="Currency [0,00] TBD- 11 138" xfId="43435"/>
    <cellStyle name="Currency [0,00] TBD 11 139" xfId="43436"/>
    <cellStyle name="Currency [0,00] TBD- 11 139" xfId="43437"/>
    <cellStyle name="Currency [0,00] TBD 11 14" xfId="43438"/>
    <cellStyle name="Currency [0,00] TBD- 11 14" xfId="43439"/>
    <cellStyle name="Currency [0,00] TBD 11 140" xfId="43440"/>
    <cellStyle name="Currency [0,00] TBD- 11 140" xfId="43441"/>
    <cellStyle name="Currency [0,00] TBD 11 141" xfId="43442"/>
    <cellStyle name="Currency [0,00] TBD- 11 141" xfId="43443"/>
    <cellStyle name="Currency [0,00] TBD 11 142" xfId="43444"/>
    <cellStyle name="Currency [0,00] TBD- 11 142" xfId="43445"/>
    <cellStyle name="Currency [0,00] TBD 11 143" xfId="43446"/>
    <cellStyle name="Currency [0,00] TBD- 11 143" xfId="43447"/>
    <cellStyle name="Currency [0,00] TBD 11 144" xfId="43448"/>
    <cellStyle name="Currency [0,00] TBD- 11 144" xfId="43449"/>
    <cellStyle name="Currency [0,00] TBD 11 145" xfId="43450"/>
    <cellStyle name="Currency [0,00] TBD- 11 145" xfId="43451"/>
    <cellStyle name="Currency [0,00] TBD 11 146" xfId="43452"/>
    <cellStyle name="Currency [0,00] TBD- 11 146" xfId="43453"/>
    <cellStyle name="Currency [0,00] TBD 11 147" xfId="43454"/>
    <cellStyle name="Currency [0,00] TBD- 11 147" xfId="43455"/>
    <cellStyle name="Currency [0,00] TBD 11 148" xfId="43456"/>
    <cellStyle name="Currency [0,00] TBD- 11 148" xfId="43457"/>
    <cellStyle name="Currency [0,00] TBD 11 149" xfId="43458"/>
    <cellStyle name="Currency [0,00] TBD- 11 149" xfId="43459"/>
    <cellStyle name="Currency [0,00] TBD 11 15" xfId="43460"/>
    <cellStyle name="Currency [0,00] TBD- 11 15" xfId="43461"/>
    <cellStyle name="Currency [0,00] TBD 11 150" xfId="43462"/>
    <cellStyle name="Currency [0,00] TBD- 11 150" xfId="43463"/>
    <cellStyle name="Currency [0,00] TBD 11 151" xfId="43464"/>
    <cellStyle name="Currency [0,00] TBD- 11 151" xfId="43465"/>
    <cellStyle name="Currency [0,00] TBD 11 152" xfId="43466"/>
    <cellStyle name="Currency [0,00] TBD- 11 152" xfId="43467"/>
    <cellStyle name="Currency [0,00] TBD 11 153" xfId="43468"/>
    <cellStyle name="Currency [0,00] TBD- 11 153" xfId="43469"/>
    <cellStyle name="Currency [0,00] TBD 11 16" xfId="43470"/>
    <cellStyle name="Currency [0,00] TBD- 11 16" xfId="43471"/>
    <cellStyle name="Currency [0,00] TBD 11 17" xfId="43472"/>
    <cellStyle name="Currency [0,00] TBD- 11 17" xfId="43473"/>
    <cellStyle name="Currency [0,00] TBD 11 18" xfId="43474"/>
    <cellStyle name="Currency [0,00] TBD- 11 18" xfId="43475"/>
    <cellStyle name="Currency [0,00] TBD 11 19" xfId="43476"/>
    <cellStyle name="Currency [0,00] TBD- 11 19" xfId="43477"/>
    <cellStyle name="Currency [0,00] TBD 11 2" xfId="43478"/>
    <cellStyle name="Currency [0,00] TBD- 11 2" xfId="43479"/>
    <cellStyle name="Currency [0,00] TBD 11 20" xfId="43480"/>
    <cellStyle name="Currency [0,00] TBD- 11 20" xfId="43481"/>
    <cellStyle name="Currency [0,00] TBD 11 21" xfId="43482"/>
    <cellStyle name="Currency [0,00] TBD- 11 21" xfId="43483"/>
    <cellStyle name="Currency [0,00] TBD 11 22" xfId="43484"/>
    <cellStyle name="Currency [0,00] TBD- 11 22" xfId="43485"/>
    <cellStyle name="Currency [0,00] TBD 11 23" xfId="43486"/>
    <cellStyle name="Currency [0,00] TBD- 11 23" xfId="43487"/>
    <cellStyle name="Currency [0,00] TBD 11 24" xfId="43488"/>
    <cellStyle name="Currency [0,00] TBD- 11 24" xfId="43489"/>
    <cellStyle name="Currency [0,00] TBD 11 25" xfId="43490"/>
    <cellStyle name="Currency [0,00] TBD- 11 25" xfId="43491"/>
    <cellStyle name="Currency [0,00] TBD 11 26" xfId="43492"/>
    <cellStyle name="Currency [0,00] TBD- 11 26" xfId="43493"/>
    <cellStyle name="Currency [0,00] TBD 11 27" xfId="43494"/>
    <cellStyle name="Currency [0,00] TBD- 11 27" xfId="43495"/>
    <cellStyle name="Currency [0,00] TBD 11 28" xfId="43496"/>
    <cellStyle name="Currency [0,00] TBD- 11 28" xfId="43497"/>
    <cellStyle name="Currency [0,00] TBD 11 29" xfId="43498"/>
    <cellStyle name="Currency [0,00] TBD- 11 29" xfId="43499"/>
    <cellStyle name="Currency [0,00] TBD 11 3" xfId="43500"/>
    <cellStyle name="Currency [0,00] TBD- 11 3" xfId="43501"/>
    <cellStyle name="Currency [0,00] TBD 11 30" xfId="43502"/>
    <cellStyle name="Currency [0,00] TBD- 11 30" xfId="43503"/>
    <cellStyle name="Currency [0,00] TBD 11 31" xfId="43504"/>
    <cellStyle name="Currency [0,00] TBD- 11 31" xfId="43505"/>
    <cellStyle name="Currency [0,00] TBD 11 32" xfId="43506"/>
    <cellStyle name="Currency [0,00] TBD- 11 32" xfId="43507"/>
    <cellStyle name="Currency [0,00] TBD 11 33" xfId="43508"/>
    <cellStyle name="Currency [0,00] TBD- 11 33" xfId="43509"/>
    <cellStyle name="Currency [0,00] TBD 11 34" xfId="43510"/>
    <cellStyle name="Currency [0,00] TBD- 11 34" xfId="43511"/>
    <cellStyle name="Currency [0,00] TBD 11 35" xfId="43512"/>
    <cellStyle name="Currency [0,00] TBD- 11 35" xfId="43513"/>
    <cellStyle name="Currency [0,00] TBD 11 36" xfId="43514"/>
    <cellStyle name="Currency [0,00] TBD- 11 36" xfId="43515"/>
    <cellStyle name="Currency [0,00] TBD 11 37" xfId="43516"/>
    <cellStyle name="Currency [0,00] TBD- 11 37" xfId="43517"/>
    <cellStyle name="Currency [0,00] TBD 11 38" xfId="43518"/>
    <cellStyle name="Currency [0,00] TBD- 11 38" xfId="43519"/>
    <cellStyle name="Currency [0,00] TBD 11 39" xfId="43520"/>
    <cellStyle name="Currency [0,00] TBD- 11 39" xfId="43521"/>
    <cellStyle name="Currency [0,00] TBD 11 4" xfId="43522"/>
    <cellStyle name="Currency [0,00] TBD- 11 4" xfId="43523"/>
    <cellStyle name="Currency [0,00] TBD 11 40" xfId="43524"/>
    <cellStyle name="Currency [0,00] TBD- 11 40" xfId="43525"/>
    <cellStyle name="Currency [0,00] TBD 11 41" xfId="43526"/>
    <cellStyle name="Currency [0,00] TBD- 11 41" xfId="43527"/>
    <cellStyle name="Currency [0,00] TBD 11 42" xfId="43528"/>
    <cellStyle name="Currency [0,00] TBD- 11 42" xfId="43529"/>
    <cellStyle name="Currency [0,00] TBD 11 43" xfId="43530"/>
    <cellStyle name="Currency [0,00] TBD- 11 43" xfId="43531"/>
    <cellStyle name="Currency [0,00] TBD 11 44" xfId="43532"/>
    <cellStyle name="Currency [0,00] TBD- 11 44" xfId="43533"/>
    <cellStyle name="Currency [0,00] TBD 11 45" xfId="43534"/>
    <cellStyle name="Currency [0,00] TBD- 11 45" xfId="43535"/>
    <cellStyle name="Currency [0,00] TBD 11 46" xfId="43536"/>
    <cellStyle name="Currency [0,00] TBD- 11 46" xfId="43537"/>
    <cellStyle name="Currency [0,00] TBD 11 47" xfId="43538"/>
    <cellStyle name="Currency [0,00] TBD- 11 47" xfId="43539"/>
    <cellStyle name="Currency [0,00] TBD 11 48" xfId="43540"/>
    <cellStyle name="Currency [0,00] TBD- 11 48" xfId="43541"/>
    <cellStyle name="Currency [0,00] TBD 11 49" xfId="43542"/>
    <cellStyle name="Currency [0,00] TBD- 11 49" xfId="43543"/>
    <cellStyle name="Currency [0,00] TBD 11 5" xfId="43544"/>
    <cellStyle name="Currency [0,00] TBD- 11 5" xfId="43545"/>
    <cellStyle name="Currency [0,00] TBD 11 50" xfId="43546"/>
    <cellStyle name="Currency [0,00] TBD- 11 50" xfId="43547"/>
    <cellStyle name="Currency [0,00] TBD 11 51" xfId="43548"/>
    <cellStyle name="Currency [0,00] TBD- 11 51" xfId="43549"/>
    <cellStyle name="Currency [0,00] TBD 11 52" xfId="43550"/>
    <cellStyle name="Currency [0,00] TBD- 11 52" xfId="43551"/>
    <cellStyle name="Currency [0,00] TBD 11 53" xfId="43552"/>
    <cellStyle name="Currency [0,00] TBD- 11 53" xfId="43553"/>
    <cellStyle name="Currency [0,00] TBD 11 54" xfId="43554"/>
    <cellStyle name="Currency [0,00] TBD- 11 54" xfId="43555"/>
    <cellStyle name="Currency [0,00] TBD 11 55" xfId="43556"/>
    <cellStyle name="Currency [0,00] TBD- 11 55" xfId="43557"/>
    <cellStyle name="Currency [0,00] TBD 11 56" xfId="43558"/>
    <cellStyle name="Currency [0,00] TBD- 11 56" xfId="43559"/>
    <cellStyle name="Currency [0,00] TBD 11 57" xfId="43560"/>
    <cellStyle name="Currency [0,00] TBD- 11 57" xfId="43561"/>
    <cellStyle name="Currency [0,00] TBD 11 58" xfId="43562"/>
    <cellStyle name="Currency [0,00] TBD- 11 58" xfId="43563"/>
    <cellStyle name="Currency [0,00] TBD 11 59" xfId="43564"/>
    <cellStyle name="Currency [0,00] TBD- 11 59" xfId="43565"/>
    <cellStyle name="Currency [0,00] TBD 11 6" xfId="43566"/>
    <cellStyle name="Currency [0,00] TBD- 11 6" xfId="43567"/>
    <cellStyle name="Currency [0,00] TBD 11 60" xfId="43568"/>
    <cellStyle name="Currency [0,00] TBD- 11 60" xfId="43569"/>
    <cellStyle name="Currency [0,00] TBD 11 61" xfId="43570"/>
    <cellStyle name="Currency [0,00] TBD- 11 61" xfId="43571"/>
    <cellStyle name="Currency [0,00] TBD 11 62" xfId="43572"/>
    <cellStyle name="Currency [0,00] TBD- 11 62" xfId="43573"/>
    <cellStyle name="Currency [0,00] TBD 11 63" xfId="43574"/>
    <cellStyle name="Currency [0,00] TBD- 11 63" xfId="43575"/>
    <cellStyle name="Currency [0,00] TBD 11 64" xfId="43576"/>
    <cellStyle name="Currency [0,00] TBD- 11 64" xfId="43577"/>
    <cellStyle name="Currency [0,00] TBD 11 65" xfId="43578"/>
    <cellStyle name="Currency [0,00] TBD- 11 65" xfId="43579"/>
    <cellStyle name="Currency [0,00] TBD 11 66" xfId="43580"/>
    <cellStyle name="Currency [0,00] TBD- 11 66" xfId="43581"/>
    <cellStyle name="Currency [0,00] TBD 11 67" xfId="43582"/>
    <cellStyle name="Currency [0,00] TBD- 11 67" xfId="43583"/>
    <cellStyle name="Currency [0,00] TBD 11 68" xfId="43584"/>
    <cellStyle name="Currency [0,00] TBD- 11 68" xfId="43585"/>
    <cellStyle name="Currency [0,00] TBD 11 69" xfId="43586"/>
    <cellStyle name="Currency [0,00] TBD- 11 69" xfId="43587"/>
    <cellStyle name="Currency [0,00] TBD 11 7" xfId="43588"/>
    <cellStyle name="Currency [0,00] TBD- 11 7" xfId="43589"/>
    <cellStyle name="Currency [0,00] TBD 11 70" xfId="43590"/>
    <cellStyle name="Currency [0,00] TBD- 11 70" xfId="43591"/>
    <cellStyle name="Currency [0,00] TBD 11 71" xfId="43592"/>
    <cellStyle name="Currency [0,00] TBD- 11 71" xfId="43593"/>
    <cellStyle name="Currency [0,00] TBD 11 72" xfId="43594"/>
    <cellStyle name="Currency [0,00] TBD- 11 72" xfId="43595"/>
    <cellStyle name="Currency [0,00] TBD 11 73" xfId="43596"/>
    <cellStyle name="Currency [0,00] TBD- 11 73" xfId="43597"/>
    <cellStyle name="Currency [0,00] TBD 11 74" xfId="43598"/>
    <cellStyle name="Currency [0,00] TBD- 11 74" xfId="43599"/>
    <cellStyle name="Currency [0,00] TBD 11 75" xfId="43600"/>
    <cellStyle name="Currency [0,00] TBD- 11 75" xfId="43601"/>
    <cellStyle name="Currency [0,00] TBD 11 76" xfId="43602"/>
    <cellStyle name="Currency [0,00] TBD- 11 76" xfId="43603"/>
    <cellStyle name="Currency [0,00] TBD 11 77" xfId="43604"/>
    <cellStyle name="Currency [0,00] TBD- 11 77" xfId="43605"/>
    <cellStyle name="Currency [0,00] TBD 11 78" xfId="43606"/>
    <cellStyle name="Currency [0,00] TBD- 11 78" xfId="43607"/>
    <cellStyle name="Currency [0,00] TBD 11 79" xfId="43608"/>
    <cellStyle name="Currency [0,00] TBD- 11 79" xfId="43609"/>
    <cellStyle name="Currency [0,00] TBD 11 8" xfId="43610"/>
    <cellStyle name="Currency [0,00] TBD- 11 8" xfId="43611"/>
    <cellStyle name="Currency [0,00] TBD 11 80" xfId="43612"/>
    <cellStyle name="Currency [0,00] TBD- 11 80" xfId="43613"/>
    <cellStyle name="Currency [0,00] TBD 11 81" xfId="43614"/>
    <cellStyle name="Currency [0,00] TBD- 11 81" xfId="43615"/>
    <cellStyle name="Currency [0,00] TBD 11 82" xfId="43616"/>
    <cellStyle name="Currency [0,00] TBD- 11 82" xfId="43617"/>
    <cellStyle name="Currency [0,00] TBD 11 83" xfId="43618"/>
    <cellStyle name="Currency [0,00] TBD- 11 83" xfId="43619"/>
    <cellStyle name="Currency [0,00] TBD 11 84" xfId="43620"/>
    <cellStyle name="Currency [0,00] TBD- 11 84" xfId="43621"/>
    <cellStyle name="Currency [0,00] TBD 11 85" xfId="43622"/>
    <cellStyle name="Currency [0,00] TBD- 11 85" xfId="43623"/>
    <cellStyle name="Currency [0,00] TBD 11 86" xfId="43624"/>
    <cellStyle name="Currency [0,00] TBD- 11 86" xfId="43625"/>
    <cellStyle name="Currency [0,00] TBD 11 87" xfId="43626"/>
    <cellStyle name="Currency [0,00] TBD- 11 87" xfId="43627"/>
    <cellStyle name="Currency [0,00] TBD 11 88" xfId="43628"/>
    <cellStyle name="Currency [0,00] TBD- 11 88" xfId="43629"/>
    <cellStyle name="Currency [0,00] TBD 11 89" xfId="43630"/>
    <cellStyle name="Currency [0,00] TBD- 11 89" xfId="43631"/>
    <cellStyle name="Currency [0,00] TBD 11 9" xfId="43632"/>
    <cellStyle name="Currency [0,00] TBD- 11 9" xfId="43633"/>
    <cellStyle name="Currency [0,00] TBD 11 90" xfId="43634"/>
    <cellStyle name="Currency [0,00] TBD- 11 90" xfId="43635"/>
    <cellStyle name="Currency [0,00] TBD 11 91" xfId="43636"/>
    <cellStyle name="Currency [0,00] TBD- 11 91" xfId="43637"/>
    <cellStyle name="Currency [0,00] TBD 11 92" xfId="43638"/>
    <cellStyle name="Currency [0,00] TBD- 11 92" xfId="43639"/>
    <cellStyle name="Currency [0,00] TBD 11 93" xfId="43640"/>
    <cellStyle name="Currency [0,00] TBD- 11 93" xfId="43641"/>
    <cellStyle name="Currency [0,00] TBD 11 94" xfId="43642"/>
    <cellStyle name="Currency [0,00] TBD- 11 94" xfId="43643"/>
    <cellStyle name="Currency [0,00] TBD 11 95" xfId="43644"/>
    <cellStyle name="Currency [0,00] TBD- 11 95" xfId="43645"/>
    <cellStyle name="Currency [0,00] TBD 11 96" xfId="43646"/>
    <cellStyle name="Currency [0,00] TBD- 11 96" xfId="43647"/>
    <cellStyle name="Currency [0,00] TBD 11 97" xfId="43648"/>
    <cellStyle name="Currency [0,00] TBD- 11 97" xfId="43649"/>
    <cellStyle name="Currency [0,00] TBD 11 98" xfId="43650"/>
    <cellStyle name="Currency [0,00] TBD- 11 98" xfId="43651"/>
    <cellStyle name="Currency [0,00] TBD 11 99" xfId="43652"/>
    <cellStyle name="Currency [0,00] TBD- 11 99" xfId="43653"/>
    <cellStyle name="Currency [0,00] TBD 12" xfId="43654"/>
    <cellStyle name="Currency [0,00] TBD- 12" xfId="43655"/>
    <cellStyle name="Currency [0,00] TBD 12 10" xfId="43656"/>
    <cellStyle name="Currency [0,00] TBD- 12 10" xfId="43657"/>
    <cellStyle name="Currency [0,00] TBD 12 100" xfId="43658"/>
    <cellStyle name="Currency [0,00] TBD- 12 100" xfId="43659"/>
    <cellStyle name="Currency [0,00] TBD 12 101" xfId="43660"/>
    <cellStyle name="Currency [0,00] TBD- 12 101" xfId="43661"/>
    <cellStyle name="Currency [0,00] TBD 12 102" xfId="43662"/>
    <cellStyle name="Currency [0,00] TBD- 12 102" xfId="43663"/>
    <cellStyle name="Currency [0,00] TBD 12 103" xfId="43664"/>
    <cellStyle name="Currency [0,00] TBD- 12 103" xfId="43665"/>
    <cellStyle name="Currency [0,00] TBD 12 104" xfId="43666"/>
    <cellStyle name="Currency [0,00] TBD- 12 104" xfId="43667"/>
    <cellStyle name="Currency [0,00] TBD 12 105" xfId="43668"/>
    <cellStyle name="Currency [0,00] TBD- 12 105" xfId="43669"/>
    <cellStyle name="Currency [0,00] TBD 12 106" xfId="43670"/>
    <cellStyle name="Currency [0,00] TBD- 12 106" xfId="43671"/>
    <cellStyle name="Currency [0,00] TBD 12 107" xfId="43672"/>
    <cellStyle name="Currency [0,00] TBD- 12 107" xfId="43673"/>
    <cellStyle name="Currency [0,00] TBD 12 108" xfId="43674"/>
    <cellStyle name="Currency [0,00] TBD- 12 108" xfId="43675"/>
    <cellStyle name="Currency [0,00] TBD 12 109" xfId="43676"/>
    <cellStyle name="Currency [0,00] TBD- 12 109" xfId="43677"/>
    <cellStyle name="Currency [0,00] TBD 12 11" xfId="43678"/>
    <cellStyle name="Currency [0,00] TBD- 12 11" xfId="43679"/>
    <cellStyle name="Currency [0,00] TBD 12 110" xfId="43680"/>
    <cellStyle name="Currency [0,00] TBD- 12 110" xfId="43681"/>
    <cellStyle name="Currency [0,00] TBD 12 111" xfId="43682"/>
    <cellStyle name="Currency [0,00] TBD- 12 111" xfId="43683"/>
    <cellStyle name="Currency [0,00] TBD 12 112" xfId="43684"/>
    <cellStyle name="Currency [0,00] TBD- 12 112" xfId="43685"/>
    <cellStyle name="Currency [0,00] TBD 12 113" xfId="43686"/>
    <cellStyle name="Currency [0,00] TBD- 12 113" xfId="43687"/>
    <cellStyle name="Currency [0,00] TBD 12 114" xfId="43688"/>
    <cellStyle name="Currency [0,00] TBD- 12 114" xfId="43689"/>
    <cellStyle name="Currency [0,00] TBD 12 115" xfId="43690"/>
    <cellStyle name="Currency [0,00] TBD- 12 115" xfId="43691"/>
    <cellStyle name="Currency [0,00] TBD 12 116" xfId="43692"/>
    <cellStyle name="Currency [0,00] TBD- 12 116" xfId="43693"/>
    <cellStyle name="Currency [0,00] TBD 12 117" xfId="43694"/>
    <cellStyle name="Currency [0,00] TBD- 12 117" xfId="43695"/>
    <cellStyle name="Currency [0,00] TBD 12 118" xfId="43696"/>
    <cellStyle name="Currency [0,00] TBD- 12 118" xfId="43697"/>
    <cellStyle name="Currency [0,00] TBD 12 119" xfId="43698"/>
    <cellStyle name="Currency [0,00] TBD- 12 119" xfId="43699"/>
    <cellStyle name="Currency [0,00] TBD 12 12" xfId="43700"/>
    <cellStyle name="Currency [0,00] TBD- 12 12" xfId="43701"/>
    <cellStyle name="Currency [0,00] TBD 12 120" xfId="43702"/>
    <cellStyle name="Currency [0,00] TBD- 12 120" xfId="43703"/>
    <cellStyle name="Currency [0,00] TBD 12 121" xfId="43704"/>
    <cellStyle name="Currency [0,00] TBD- 12 121" xfId="43705"/>
    <cellStyle name="Currency [0,00] TBD 12 122" xfId="43706"/>
    <cellStyle name="Currency [0,00] TBD- 12 122" xfId="43707"/>
    <cellStyle name="Currency [0,00] TBD 12 123" xfId="43708"/>
    <cellStyle name="Currency [0,00] TBD- 12 123" xfId="43709"/>
    <cellStyle name="Currency [0,00] TBD 12 124" xfId="43710"/>
    <cellStyle name="Currency [0,00] TBD- 12 124" xfId="43711"/>
    <cellStyle name="Currency [0,00] TBD 12 125" xfId="43712"/>
    <cellStyle name="Currency [0,00] TBD- 12 125" xfId="43713"/>
    <cellStyle name="Currency [0,00] TBD 12 126" xfId="43714"/>
    <cellStyle name="Currency [0,00] TBD- 12 126" xfId="43715"/>
    <cellStyle name="Currency [0,00] TBD 12 127" xfId="43716"/>
    <cellStyle name="Currency [0,00] TBD- 12 127" xfId="43717"/>
    <cellStyle name="Currency [0,00] TBD 12 128" xfId="43718"/>
    <cellStyle name="Currency [0,00] TBD- 12 128" xfId="43719"/>
    <cellStyle name="Currency [0,00] TBD 12 129" xfId="43720"/>
    <cellStyle name="Currency [0,00] TBD- 12 129" xfId="43721"/>
    <cellStyle name="Currency [0,00] TBD 12 13" xfId="43722"/>
    <cellStyle name="Currency [0,00] TBD- 12 13" xfId="43723"/>
    <cellStyle name="Currency [0,00] TBD 12 130" xfId="43724"/>
    <cellStyle name="Currency [0,00] TBD- 12 130" xfId="43725"/>
    <cellStyle name="Currency [0,00] TBD 12 131" xfId="43726"/>
    <cellStyle name="Currency [0,00] TBD- 12 131" xfId="43727"/>
    <cellStyle name="Currency [0,00] TBD 12 132" xfId="43728"/>
    <cellStyle name="Currency [0,00] TBD- 12 132" xfId="43729"/>
    <cellStyle name="Currency [0,00] TBD 12 133" xfId="43730"/>
    <cellStyle name="Currency [0,00] TBD- 12 133" xfId="43731"/>
    <cellStyle name="Currency [0,00] TBD 12 134" xfId="43732"/>
    <cellStyle name="Currency [0,00] TBD- 12 134" xfId="43733"/>
    <cellStyle name="Currency [0,00] TBD 12 135" xfId="43734"/>
    <cellStyle name="Currency [0,00] TBD- 12 135" xfId="43735"/>
    <cellStyle name="Currency [0,00] TBD 12 136" xfId="43736"/>
    <cellStyle name="Currency [0,00] TBD- 12 136" xfId="43737"/>
    <cellStyle name="Currency [0,00] TBD 12 137" xfId="43738"/>
    <cellStyle name="Currency [0,00] TBD- 12 137" xfId="43739"/>
    <cellStyle name="Currency [0,00] TBD 12 138" xfId="43740"/>
    <cellStyle name="Currency [0,00] TBD- 12 138" xfId="43741"/>
    <cellStyle name="Currency [0,00] TBD 12 139" xfId="43742"/>
    <cellStyle name="Currency [0,00] TBD- 12 139" xfId="43743"/>
    <cellStyle name="Currency [0,00] TBD 12 14" xfId="43744"/>
    <cellStyle name="Currency [0,00] TBD- 12 14" xfId="43745"/>
    <cellStyle name="Currency [0,00] TBD 12 140" xfId="43746"/>
    <cellStyle name="Currency [0,00] TBD- 12 140" xfId="43747"/>
    <cellStyle name="Currency [0,00] TBD 12 141" xfId="43748"/>
    <cellStyle name="Currency [0,00] TBD- 12 141" xfId="43749"/>
    <cellStyle name="Currency [0,00] TBD 12 142" xfId="43750"/>
    <cellStyle name="Currency [0,00] TBD- 12 142" xfId="43751"/>
    <cellStyle name="Currency [0,00] TBD 12 143" xfId="43752"/>
    <cellStyle name="Currency [0,00] TBD- 12 143" xfId="43753"/>
    <cellStyle name="Currency [0,00] TBD 12 144" xfId="43754"/>
    <cellStyle name="Currency [0,00] TBD- 12 144" xfId="43755"/>
    <cellStyle name="Currency [0,00] TBD 12 145" xfId="43756"/>
    <cellStyle name="Currency [0,00] TBD- 12 145" xfId="43757"/>
    <cellStyle name="Currency [0,00] TBD 12 146" xfId="43758"/>
    <cellStyle name="Currency [0,00] TBD- 12 146" xfId="43759"/>
    <cellStyle name="Currency [0,00] TBD 12 147" xfId="43760"/>
    <cellStyle name="Currency [0,00] TBD- 12 147" xfId="43761"/>
    <cellStyle name="Currency [0,00] TBD 12 148" xfId="43762"/>
    <cellStyle name="Currency [0,00] TBD- 12 148" xfId="43763"/>
    <cellStyle name="Currency [0,00] TBD 12 149" xfId="43764"/>
    <cellStyle name="Currency [0,00] TBD- 12 149" xfId="43765"/>
    <cellStyle name="Currency [0,00] TBD 12 15" xfId="43766"/>
    <cellStyle name="Currency [0,00] TBD- 12 15" xfId="43767"/>
    <cellStyle name="Currency [0,00] TBD 12 150" xfId="43768"/>
    <cellStyle name="Currency [0,00] TBD- 12 150" xfId="43769"/>
    <cellStyle name="Currency [0,00] TBD 12 151" xfId="43770"/>
    <cellStyle name="Currency [0,00] TBD- 12 151" xfId="43771"/>
    <cellStyle name="Currency [0,00] TBD 12 152" xfId="43772"/>
    <cellStyle name="Currency [0,00] TBD- 12 152" xfId="43773"/>
    <cellStyle name="Currency [0,00] TBD 12 153" xfId="43774"/>
    <cellStyle name="Currency [0,00] TBD- 12 153" xfId="43775"/>
    <cellStyle name="Currency [0,00] TBD 12 16" xfId="43776"/>
    <cellStyle name="Currency [0,00] TBD- 12 16" xfId="43777"/>
    <cellStyle name="Currency [0,00] TBD 12 17" xfId="43778"/>
    <cellStyle name="Currency [0,00] TBD- 12 17" xfId="43779"/>
    <cellStyle name="Currency [0,00] TBD 12 18" xfId="43780"/>
    <cellStyle name="Currency [0,00] TBD- 12 18" xfId="43781"/>
    <cellStyle name="Currency [0,00] TBD 12 19" xfId="43782"/>
    <cellStyle name="Currency [0,00] TBD- 12 19" xfId="43783"/>
    <cellStyle name="Currency [0,00] TBD 12 2" xfId="43784"/>
    <cellStyle name="Currency [0,00] TBD- 12 2" xfId="43785"/>
    <cellStyle name="Currency [0,00] TBD 12 20" xfId="43786"/>
    <cellStyle name="Currency [0,00] TBD- 12 20" xfId="43787"/>
    <cellStyle name="Currency [0,00] TBD 12 21" xfId="43788"/>
    <cellStyle name="Currency [0,00] TBD- 12 21" xfId="43789"/>
    <cellStyle name="Currency [0,00] TBD 12 22" xfId="43790"/>
    <cellStyle name="Currency [0,00] TBD- 12 22" xfId="43791"/>
    <cellStyle name="Currency [0,00] TBD 12 23" xfId="43792"/>
    <cellStyle name="Currency [0,00] TBD- 12 23" xfId="43793"/>
    <cellStyle name="Currency [0,00] TBD 12 24" xfId="43794"/>
    <cellStyle name="Currency [0,00] TBD- 12 24" xfId="43795"/>
    <cellStyle name="Currency [0,00] TBD 12 25" xfId="43796"/>
    <cellStyle name="Currency [0,00] TBD- 12 25" xfId="43797"/>
    <cellStyle name="Currency [0,00] TBD 12 26" xfId="43798"/>
    <cellStyle name="Currency [0,00] TBD- 12 26" xfId="43799"/>
    <cellStyle name="Currency [0,00] TBD 12 27" xfId="43800"/>
    <cellStyle name="Currency [0,00] TBD- 12 27" xfId="43801"/>
    <cellStyle name="Currency [0,00] TBD 12 28" xfId="43802"/>
    <cellStyle name="Currency [0,00] TBD- 12 28" xfId="43803"/>
    <cellStyle name="Currency [0,00] TBD 12 29" xfId="43804"/>
    <cellStyle name="Currency [0,00] TBD- 12 29" xfId="43805"/>
    <cellStyle name="Currency [0,00] TBD 12 3" xfId="43806"/>
    <cellStyle name="Currency [0,00] TBD- 12 3" xfId="43807"/>
    <cellStyle name="Currency [0,00] TBD 12 30" xfId="43808"/>
    <cellStyle name="Currency [0,00] TBD- 12 30" xfId="43809"/>
    <cellStyle name="Currency [0,00] TBD 12 31" xfId="43810"/>
    <cellStyle name="Currency [0,00] TBD- 12 31" xfId="43811"/>
    <cellStyle name="Currency [0,00] TBD 12 32" xfId="43812"/>
    <cellStyle name="Currency [0,00] TBD- 12 32" xfId="43813"/>
    <cellStyle name="Currency [0,00] TBD 12 33" xfId="43814"/>
    <cellStyle name="Currency [0,00] TBD- 12 33" xfId="43815"/>
    <cellStyle name="Currency [0,00] TBD 12 34" xfId="43816"/>
    <cellStyle name="Currency [0,00] TBD- 12 34" xfId="43817"/>
    <cellStyle name="Currency [0,00] TBD 12 35" xfId="43818"/>
    <cellStyle name="Currency [0,00] TBD- 12 35" xfId="43819"/>
    <cellStyle name="Currency [0,00] TBD 12 36" xfId="43820"/>
    <cellStyle name="Currency [0,00] TBD- 12 36" xfId="43821"/>
    <cellStyle name="Currency [0,00] TBD 12 37" xfId="43822"/>
    <cellStyle name="Currency [0,00] TBD- 12 37" xfId="43823"/>
    <cellStyle name="Currency [0,00] TBD 12 38" xfId="43824"/>
    <cellStyle name="Currency [0,00] TBD- 12 38" xfId="43825"/>
    <cellStyle name="Currency [0,00] TBD 12 39" xfId="43826"/>
    <cellStyle name="Currency [0,00] TBD- 12 39" xfId="43827"/>
    <cellStyle name="Currency [0,00] TBD 12 4" xfId="43828"/>
    <cellStyle name="Currency [0,00] TBD- 12 4" xfId="43829"/>
    <cellStyle name="Currency [0,00] TBD 12 40" xfId="43830"/>
    <cellStyle name="Currency [0,00] TBD- 12 40" xfId="43831"/>
    <cellStyle name="Currency [0,00] TBD 12 41" xfId="43832"/>
    <cellStyle name="Currency [0,00] TBD- 12 41" xfId="43833"/>
    <cellStyle name="Currency [0,00] TBD 12 42" xfId="43834"/>
    <cellStyle name="Currency [0,00] TBD- 12 42" xfId="43835"/>
    <cellStyle name="Currency [0,00] TBD 12 43" xfId="43836"/>
    <cellStyle name="Currency [0,00] TBD- 12 43" xfId="43837"/>
    <cellStyle name="Currency [0,00] TBD 12 44" xfId="43838"/>
    <cellStyle name="Currency [0,00] TBD- 12 44" xfId="43839"/>
    <cellStyle name="Currency [0,00] TBD 12 45" xfId="43840"/>
    <cellStyle name="Currency [0,00] TBD- 12 45" xfId="43841"/>
    <cellStyle name="Currency [0,00] TBD 12 46" xfId="43842"/>
    <cellStyle name="Currency [0,00] TBD- 12 46" xfId="43843"/>
    <cellStyle name="Currency [0,00] TBD 12 47" xfId="43844"/>
    <cellStyle name="Currency [0,00] TBD- 12 47" xfId="43845"/>
    <cellStyle name="Currency [0,00] TBD 12 48" xfId="43846"/>
    <cellStyle name="Currency [0,00] TBD- 12 48" xfId="43847"/>
    <cellStyle name="Currency [0,00] TBD 12 49" xfId="43848"/>
    <cellStyle name="Currency [0,00] TBD- 12 49" xfId="43849"/>
    <cellStyle name="Currency [0,00] TBD 12 5" xfId="43850"/>
    <cellStyle name="Currency [0,00] TBD- 12 5" xfId="43851"/>
    <cellStyle name="Currency [0,00] TBD 12 50" xfId="43852"/>
    <cellStyle name="Currency [0,00] TBD- 12 50" xfId="43853"/>
    <cellStyle name="Currency [0,00] TBD 12 51" xfId="43854"/>
    <cellStyle name="Currency [0,00] TBD- 12 51" xfId="43855"/>
    <cellStyle name="Currency [0,00] TBD 12 52" xfId="43856"/>
    <cellStyle name="Currency [0,00] TBD- 12 52" xfId="43857"/>
    <cellStyle name="Currency [0,00] TBD 12 53" xfId="43858"/>
    <cellStyle name="Currency [0,00] TBD- 12 53" xfId="43859"/>
    <cellStyle name="Currency [0,00] TBD 12 54" xfId="43860"/>
    <cellStyle name="Currency [0,00] TBD- 12 54" xfId="43861"/>
    <cellStyle name="Currency [0,00] TBD 12 55" xfId="43862"/>
    <cellStyle name="Currency [0,00] TBD- 12 55" xfId="43863"/>
    <cellStyle name="Currency [0,00] TBD 12 56" xfId="43864"/>
    <cellStyle name="Currency [0,00] TBD- 12 56" xfId="43865"/>
    <cellStyle name="Currency [0,00] TBD 12 57" xfId="43866"/>
    <cellStyle name="Currency [0,00] TBD- 12 57" xfId="43867"/>
    <cellStyle name="Currency [0,00] TBD 12 58" xfId="43868"/>
    <cellStyle name="Currency [0,00] TBD- 12 58" xfId="43869"/>
    <cellStyle name="Currency [0,00] TBD 12 59" xfId="43870"/>
    <cellStyle name="Currency [0,00] TBD- 12 59" xfId="43871"/>
    <cellStyle name="Currency [0,00] TBD 12 6" xfId="43872"/>
    <cellStyle name="Currency [0,00] TBD- 12 6" xfId="43873"/>
    <cellStyle name="Currency [0,00] TBD 12 60" xfId="43874"/>
    <cellStyle name="Currency [0,00] TBD- 12 60" xfId="43875"/>
    <cellStyle name="Currency [0,00] TBD 12 61" xfId="43876"/>
    <cellStyle name="Currency [0,00] TBD- 12 61" xfId="43877"/>
    <cellStyle name="Currency [0,00] TBD 12 62" xfId="43878"/>
    <cellStyle name="Currency [0,00] TBD- 12 62" xfId="43879"/>
    <cellStyle name="Currency [0,00] TBD 12 63" xfId="43880"/>
    <cellStyle name="Currency [0,00] TBD- 12 63" xfId="43881"/>
    <cellStyle name="Currency [0,00] TBD 12 64" xfId="43882"/>
    <cellStyle name="Currency [0,00] TBD- 12 64" xfId="43883"/>
    <cellStyle name="Currency [0,00] TBD 12 65" xfId="43884"/>
    <cellStyle name="Currency [0,00] TBD- 12 65" xfId="43885"/>
    <cellStyle name="Currency [0,00] TBD 12 66" xfId="43886"/>
    <cellStyle name="Currency [0,00] TBD- 12 66" xfId="43887"/>
    <cellStyle name="Currency [0,00] TBD 12 67" xfId="43888"/>
    <cellStyle name="Currency [0,00] TBD- 12 67" xfId="43889"/>
    <cellStyle name="Currency [0,00] TBD 12 68" xfId="43890"/>
    <cellStyle name="Currency [0,00] TBD- 12 68" xfId="43891"/>
    <cellStyle name="Currency [0,00] TBD 12 69" xfId="43892"/>
    <cellStyle name="Currency [0,00] TBD- 12 69" xfId="43893"/>
    <cellStyle name="Currency [0,00] TBD 12 7" xfId="43894"/>
    <cellStyle name="Currency [0,00] TBD- 12 7" xfId="43895"/>
    <cellStyle name="Currency [0,00] TBD 12 70" xfId="43896"/>
    <cellStyle name="Currency [0,00] TBD- 12 70" xfId="43897"/>
    <cellStyle name="Currency [0,00] TBD 12 71" xfId="43898"/>
    <cellStyle name="Currency [0,00] TBD- 12 71" xfId="43899"/>
    <cellStyle name="Currency [0,00] TBD 12 72" xfId="43900"/>
    <cellStyle name="Currency [0,00] TBD- 12 72" xfId="43901"/>
    <cellStyle name="Currency [0,00] TBD 12 73" xfId="43902"/>
    <cellStyle name="Currency [0,00] TBD- 12 73" xfId="43903"/>
    <cellStyle name="Currency [0,00] TBD 12 74" xfId="43904"/>
    <cellStyle name="Currency [0,00] TBD- 12 74" xfId="43905"/>
    <cellStyle name="Currency [0,00] TBD 12 75" xfId="43906"/>
    <cellStyle name="Currency [0,00] TBD- 12 75" xfId="43907"/>
    <cellStyle name="Currency [0,00] TBD 12 76" xfId="43908"/>
    <cellStyle name="Currency [0,00] TBD- 12 76" xfId="43909"/>
    <cellStyle name="Currency [0,00] TBD 12 77" xfId="43910"/>
    <cellStyle name="Currency [0,00] TBD- 12 77" xfId="43911"/>
    <cellStyle name="Currency [0,00] TBD 12 78" xfId="43912"/>
    <cellStyle name="Currency [0,00] TBD- 12 78" xfId="43913"/>
    <cellStyle name="Currency [0,00] TBD 12 79" xfId="43914"/>
    <cellStyle name="Currency [0,00] TBD- 12 79" xfId="43915"/>
    <cellStyle name="Currency [0,00] TBD 12 8" xfId="43916"/>
    <cellStyle name="Currency [0,00] TBD- 12 8" xfId="43917"/>
    <cellStyle name="Currency [0,00] TBD 12 80" xfId="43918"/>
    <cellStyle name="Currency [0,00] TBD- 12 80" xfId="43919"/>
    <cellStyle name="Currency [0,00] TBD 12 81" xfId="43920"/>
    <cellStyle name="Currency [0,00] TBD- 12 81" xfId="43921"/>
    <cellStyle name="Currency [0,00] TBD 12 82" xfId="43922"/>
    <cellStyle name="Currency [0,00] TBD- 12 82" xfId="43923"/>
    <cellStyle name="Currency [0,00] TBD 12 83" xfId="43924"/>
    <cellStyle name="Currency [0,00] TBD- 12 83" xfId="43925"/>
    <cellStyle name="Currency [0,00] TBD 12 84" xfId="43926"/>
    <cellStyle name="Currency [0,00] TBD- 12 84" xfId="43927"/>
    <cellStyle name="Currency [0,00] TBD 12 85" xfId="43928"/>
    <cellStyle name="Currency [0,00] TBD- 12 85" xfId="43929"/>
    <cellStyle name="Currency [0,00] TBD 12 86" xfId="43930"/>
    <cellStyle name="Currency [0,00] TBD- 12 86" xfId="43931"/>
    <cellStyle name="Currency [0,00] TBD 12 87" xfId="43932"/>
    <cellStyle name="Currency [0,00] TBD- 12 87" xfId="43933"/>
    <cellStyle name="Currency [0,00] TBD 12 88" xfId="43934"/>
    <cellStyle name="Currency [0,00] TBD- 12 88" xfId="43935"/>
    <cellStyle name="Currency [0,00] TBD 12 89" xfId="43936"/>
    <cellStyle name="Currency [0,00] TBD- 12 89" xfId="43937"/>
    <cellStyle name="Currency [0,00] TBD 12 9" xfId="43938"/>
    <cellStyle name="Currency [0,00] TBD- 12 9" xfId="43939"/>
    <cellStyle name="Currency [0,00] TBD 12 90" xfId="43940"/>
    <cellStyle name="Currency [0,00] TBD- 12 90" xfId="43941"/>
    <cellStyle name="Currency [0,00] TBD 12 91" xfId="43942"/>
    <cellStyle name="Currency [0,00] TBD- 12 91" xfId="43943"/>
    <cellStyle name="Currency [0,00] TBD 12 92" xfId="43944"/>
    <cellStyle name="Currency [0,00] TBD- 12 92" xfId="43945"/>
    <cellStyle name="Currency [0,00] TBD 12 93" xfId="43946"/>
    <cellStyle name="Currency [0,00] TBD- 12 93" xfId="43947"/>
    <cellStyle name="Currency [0,00] TBD 12 94" xfId="43948"/>
    <cellStyle name="Currency [0,00] TBD- 12 94" xfId="43949"/>
    <cellStyle name="Currency [0,00] TBD 12 95" xfId="43950"/>
    <cellStyle name="Currency [0,00] TBD- 12 95" xfId="43951"/>
    <cellStyle name="Currency [0,00] TBD 12 96" xfId="43952"/>
    <cellStyle name="Currency [0,00] TBD- 12 96" xfId="43953"/>
    <cellStyle name="Currency [0,00] TBD 12 97" xfId="43954"/>
    <cellStyle name="Currency [0,00] TBD- 12 97" xfId="43955"/>
    <cellStyle name="Currency [0,00] TBD 12 98" xfId="43956"/>
    <cellStyle name="Currency [0,00] TBD- 12 98" xfId="43957"/>
    <cellStyle name="Currency [0,00] TBD 12 99" xfId="43958"/>
    <cellStyle name="Currency [0,00] TBD- 12 99" xfId="43959"/>
    <cellStyle name="Currency [0,00] TBD 13" xfId="43960"/>
    <cellStyle name="Currency [0,00] TBD- 13" xfId="43961"/>
    <cellStyle name="Currency [0,00] TBD 13 10" xfId="43962"/>
    <cellStyle name="Currency [0,00] TBD- 13 10" xfId="43963"/>
    <cellStyle name="Currency [0,00] TBD 13 100" xfId="43964"/>
    <cellStyle name="Currency [0,00] TBD- 13 100" xfId="43965"/>
    <cellStyle name="Currency [0,00] TBD 13 101" xfId="43966"/>
    <cellStyle name="Currency [0,00] TBD- 13 101" xfId="43967"/>
    <cellStyle name="Currency [0,00] TBD 13 102" xfId="43968"/>
    <cellStyle name="Currency [0,00] TBD- 13 102" xfId="43969"/>
    <cellStyle name="Currency [0,00] TBD 13 103" xfId="43970"/>
    <cellStyle name="Currency [0,00] TBD- 13 103" xfId="43971"/>
    <cellStyle name="Currency [0,00] TBD 13 104" xfId="43972"/>
    <cellStyle name="Currency [0,00] TBD- 13 104" xfId="43973"/>
    <cellStyle name="Currency [0,00] TBD 13 105" xfId="43974"/>
    <cellStyle name="Currency [0,00] TBD- 13 105" xfId="43975"/>
    <cellStyle name="Currency [0,00] TBD 13 106" xfId="43976"/>
    <cellStyle name="Currency [0,00] TBD- 13 106" xfId="43977"/>
    <cellStyle name="Currency [0,00] TBD 13 107" xfId="43978"/>
    <cellStyle name="Currency [0,00] TBD- 13 107" xfId="43979"/>
    <cellStyle name="Currency [0,00] TBD 13 108" xfId="43980"/>
    <cellStyle name="Currency [0,00] TBD- 13 108" xfId="43981"/>
    <cellStyle name="Currency [0,00] TBD 13 109" xfId="43982"/>
    <cellStyle name="Currency [0,00] TBD- 13 109" xfId="43983"/>
    <cellStyle name="Currency [0,00] TBD 13 11" xfId="43984"/>
    <cellStyle name="Currency [0,00] TBD- 13 11" xfId="43985"/>
    <cellStyle name="Currency [0,00] TBD 13 110" xfId="43986"/>
    <cellStyle name="Currency [0,00] TBD- 13 110" xfId="43987"/>
    <cellStyle name="Currency [0,00] TBD 13 111" xfId="43988"/>
    <cellStyle name="Currency [0,00] TBD- 13 111" xfId="43989"/>
    <cellStyle name="Currency [0,00] TBD 13 112" xfId="43990"/>
    <cellStyle name="Currency [0,00] TBD- 13 112" xfId="43991"/>
    <cellStyle name="Currency [0,00] TBD 13 113" xfId="43992"/>
    <cellStyle name="Currency [0,00] TBD- 13 113" xfId="43993"/>
    <cellStyle name="Currency [0,00] TBD 13 114" xfId="43994"/>
    <cellStyle name="Currency [0,00] TBD- 13 114" xfId="43995"/>
    <cellStyle name="Currency [0,00] TBD 13 115" xfId="43996"/>
    <cellStyle name="Currency [0,00] TBD- 13 115" xfId="43997"/>
    <cellStyle name="Currency [0,00] TBD 13 116" xfId="43998"/>
    <cellStyle name="Currency [0,00] TBD- 13 116" xfId="43999"/>
    <cellStyle name="Currency [0,00] TBD 13 117" xfId="44000"/>
    <cellStyle name="Currency [0,00] TBD- 13 117" xfId="44001"/>
    <cellStyle name="Currency [0,00] TBD 13 118" xfId="44002"/>
    <cellStyle name="Currency [0,00] TBD- 13 118" xfId="44003"/>
    <cellStyle name="Currency [0,00] TBD 13 119" xfId="44004"/>
    <cellStyle name="Currency [0,00] TBD- 13 119" xfId="44005"/>
    <cellStyle name="Currency [0,00] TBD 13 12" xfId="44006"/>
    <cellStyle name="Currency [0,00] TBD- 13 12" xfId="44007"/>
    <cellStyle name="Currency [0,00] TBD 13 120" xfId="44008"/>
    <cellStyle name="Currency [0,00] TBD- 13 120" xfId="44009"/>
    <cellStyle name="Currency [0,00] TBD 13 121" xfId="44010"/>
    <cellStyle name="Currency [0,00] TBD- 13 121" xfId="44011"/>
    <cellStyle name="Currency [0,00] TBD 13 122" xfId="44012"/>
    <cellStyle name="Currency [0,00] TBD- 13 122" xfId="44013"/>
    <cellStyle name="Currency [0,00] TBD 13 123" xfId="44014"/>
    <cellStyle name="Currency [0,00] TBD- 13 123" xfId="44015"/>
    <cellStyle name="Currency [0,00] TBD 13 124" xfId="44016"/>
    <cellStyle name="Currency [0,00] TBD- 13 124" xfId="44017"/>
    <cellStyle name="Currency [0,00] TBD 13 125" xfId="44018"/>
    <cellStyle name="Currency [0,00] TBD- 13 125" xfId="44019"/>
    <cellStyle name="Currency [0,00] TBD 13 126" xfId="44020"/>
    <cellStyle name="Currency [0,00] TBD- 13 126" xfId="44021"/>
    <cellStyle name="Currency [0,00] TBD 13 127" xfId="44022"/>
    <cellStyle name="Currency [0,00] TBD- 13 127" xfId="44023"/>
    <cellStyle name="Currency [0,00] TBD 13 128" xfId="44024"/>
    <cellStyle name="Currency [0,00] TBD- 13 128" xfId="44025"/>
    <cellStyle name="Currency [0,00] TBD 13 129" xfId="44026"/>
    <cellStyle name="Currency [0,00] TBD- 13 129" xfId="44027"/>
    <cellStyle name="Currency [0,00] TBD 13 13" xfId="44028"/>
    <cellStyle name="Currency [0,00] TBD- 13 13" xfId="44029"/>
    <cellStyle name="Currency [0,00] TBD 13 130" xfId="44030"/>
    <cellStyle name="Currency [0,00] TBD- 13 130" xfId="44031"/>
    <cellStyle name="Currency [0,00] TBD 13 131" xfId="44032"/>
    <cellStyle name="Currency [0,00] TBD- 13 131" xfId="44033"/>
    <cellStyle name="Currency [0,00] TBD 13 132" xfId="44034"/>
    <cellStyle name="Currency [0,00] TBD- 13 132" xfId="44035"/>
    <cellStyle name="Currency [0,00] TBD 13 133" xfId="44036"/>
    <cellStyle name="Currency [0,00] TBD- 13 133" xfId="44037"/>
    <cellStyle name="Currency [0,00] TBD 13 134" xfId="44038"/>
    <cellStyle name="Currency [0,00] TBD- 13 134" xfId="44039"/>
    <cellStyle name="Currency [0,00] TBD 13 135" xfId="44040"/>
    <cellStyle name="Currency [0,00] TBD- 13 135" xfId="44041"/>
    <cellStyle name="Currency [0,00] TBD 13 136" xfId="44042"/>
    <cellStyle name="Currency [0,00] TBD- 13 136" xfId="44043"/>
    <cellStyle name="Currency [0,00] TBD 13 137" xfId="44044"/>
    <cellStyle name="Currency [0,00] TBD- 13 137" xfId="44045"/>
    <cellStyle name="Currency [0,00] TBD 13 138" xfId="44046"/>
    <cellStyle name="Currency [0,00] TBD- 13 138" xfId="44047"/>
    <cellStyle name="Currency [0,00] TBD 13 139" xfId="44048"/>
    <cellStyle name="Currency [0,00] TBD- 13 139" xfId="44049"/>
    <cellStyle name="Currency [0,00] TBD 13 14" xfId="44050"/>
    <cellStyle name="Currency [0,00] TBD- 13 14" xfId="44051"/>
    <cellStyle name="Currency [0,00] TBD 13 140" xfId="44052"/>
    <cellStyle name="Currency [0,00] TBD- 13 140" xfId="44053"/>
    <cellStyle name="Currency [0,00] TBD 13 141" xfId="44054"/>
    <cellStyle name="Currency [0,00] TBD- 13 141" xfId="44055"/>
    <cellStyle name="Currency [0,00] TBD 13 142" xfId="44056"/>
    <cellStyle name="Currency [0,00] TBD- 13 142" xfId="44057"/>
    <cellStyle name="Currency [0,00] TBD 13 143" xfId="44058"/>
    <cellStyle name="Currency [0,00] TBD- 13 143" xfId="44059"/>
    <cellStyle name="Currency [0,00] TBD 13 144" xfId="44060"/>
    <cellStyle name="Currency [0,00] TBD- 13 144" xfId="44061"/>
    <cellStyle name="Currency [0,00] TBD 13 145" xfId="44062"/>
    <cellStyle name="Currency [0,00] TBD- 13 145" xfId="44063"/>
    <cellStyle name="Currency [0,00] TBD 13 146" xfId="44064"/>
    <cellStyle name="Currency [0,00] TBD- 13 146" xfId="44065"/>
    <cellStyle name="Currency [0,00] TBD 13 147" xfId="44066"/>
    <cellStyle name="Currency [0,00] TBD- 13 147" xfId="44067"/>
    <cellStyle name="Currency [0,00] TBD 13 148" xfId="44068"/>
    <cellStyle name="Currency [0,00] TBD- 13 148" xfId="44069"/>
    <cellStyle name="Currency [0,00] TBD 13 149" xfId="44070"/>
    <cellStyle name="Currency [0,00] TBD- 13 149" xfId="44071"/>
    <cellStyle name="Currency [0,00] TBD 13 15" xfId="44072"/>
    <cellStyle name="Currency [0,00] TBD- 13 15" xfId="44073"/>
    <cellStyle name="Currency [0,00] TBD 13 150" xfId="44074"/>
    <cellStyle name="Currency [0,00] TBD- 13 150" xfId="44075"/>
    <cellStyle name="Currency [0,00] TBD 13 151" xfId="44076"/>
    <cellStyle name="Currency [0,00] TBD- 13 151" xfId="44077"/>
    <cellStyle name="Currency [0,00] TBD 13 152" xfId="44078"/>
    <cellStyle name="Currency [0,00] TBD- 13 152" xfId="44079"/>
    <cellStyle name="Currency [0,00] TBD 13 153" xfId="44080"/>
    <cellStyle name="Currency [0,00] TBD- 13 153" xfId="44081"/>
    <cellStyle name="Currency [0,00] TBD 13 16" xfId="44082"/>
    <cellStyle name="Currency [0,00] TBD- 13 16" xfId="44083"/>
    <cellStyle name="Currency [0,00] TBD 13 17" xfId="44084"/>
    <cellStyle name="Currency [0,00] TBD- 13 17" xfId="44085"/>
    <cellStyle name="Currency [0,00] TBD 13 18" xfId="44086"/>
    <cellStyle name="Currency [0,00] TBD- 13 18" xfId="44087"/>
    <cellStyle name="Currency [0,00] TBD 13 19" xfId="44088"/>
    <cellStyle name="Currency [0,00] TBD- 13 19" xfId="44089"/>
    <cellStyle name="Currency [0,00] TBD 13 2" xfId="44090"/>
    <cellStyle name="Currency [0,00] TBD- 13 2" xfId="44091"/>
    <cellStyle name="Currency [0,00] TBD 13 20" xfId="44092"/>
    <cellStyle name="Currency [0,00] TBD- 13 20" xfId="44093"/>
    <cellStyle name="Currency [0,00] TBD 13 21" xfId="44094"/>
    <cellStyle name="Currency [0,00] TBD- 13 21" xfId="44095"/>
    <cellStyle name="Currency [0,00] TBD 13 22" xfId="44096"/>
    <cellStyle name="Currency [0,00] TBD- 13 22" xfId="44097"/>
    <cellStyle name="Currency [0,00] TBD 13 23" xfId="44098"/>
    <cellStyle name="Currency [0,00] TBD- 13 23" xfId="44099"/>
    <cellStyle name="Currency [0,00] TBD 13 24" xfId="44100"/>
    <cellStyle name="Currency [0,00] TBD- 13 24" xfId="44101"/>
    <cellStyle name="Currency [0,00] TBD 13 25" xfId="44102"/>
    <cellStyle name="Currency [0,00] TBD- 13 25" xfId="44103"/>
    <cellStyle name="Currency [0,00] TBD 13 26" xfId="44104"/>
    <cellStyle name="Currency [0,00] TBD- 13 26" xfId="44105"/>
    <cellStyle name="Currency [0,00] TBD 13 27" xfId="44106"/>
    <cellStyle name="Currency [0,00] TBD- 13 27" xfId="44107"/>
    <cellStyle name="Currency [0,00] TBD 13 28" xfId="44108"/>
    <cellStyle name="Currency [0,00] TBD- 13 28" xfId="44109"/>
    <cellStyle name="Currency [0,00] TBD 13 29" xfId="44110"/>
    <cellStyle name="Currency [0,00] TBD- 13 29" xfId="44111"/>
    <cellStyle name="Currency [0,00] TBD 13 3" xfId="44112"/>
    <cellStyle name="Currency [0,00] TBD- 13 3" xfId="44113"/>
    <cellStyle name="Currency [0,00] TBD 13 30" xfId="44114"/>
    <cellStyle name="Currency [0,00] TBD- 13 30" xfId="44115"/>
    <cellStyle name="Currency [0,00] TBD 13 31" xfId="44116"/>
    <cellStyle name="Currency [0,00] TBD- 13 31" xfId="44117"/>
    <cellStyle name="Currency [0,00] TBD 13 32" xfId="44118"/>
    <cellStyle name="Currency [0,00] TBD- 13 32" xfId="44119"/>
    <cellStyle name="Currency [0,00] TBD 13 33" xfId="44120"/>
    <cellStyle name="Currency [0,00] TBD- 13 33" xfId="44121"/>
    <cellStyle name="Currency [0,00] TBD 13 34" xfId="44122"/>
    <cellStyle name="Currency [0,00] TBD- 13 34" xfId="44123"/>
    <cellStyle name="Currency [0,00] TBD 13 35" xfId="44124"/>
    <cellStyle name="Currency [0,00] TBD- 13 35" xfId="44125"/>
    <cellStyle name="Currency [0,00] TBD 13 36" xfId="44126"/>
    <cellStyle name="Currency [0,00] TBD- 13 36" xfId="44127"/>
    <cellStyle name="Currency [0,00] TBD 13 37" xfId="44128"/>
    <cellStyle name="Currency [0,00] TBD- 13 37" xfId="44129"/>
    <cellStyle name="Currency [0,00] TBD 13 38" xfId="44130"/>
    <cellStyle name="Currency [0,00] TBD- 13 38" xfId="44131"/>
    <cellStyle name="Currency [0,00] TBD 13 39" xfId="44132"/>
    <cellStyle name="Currency [0,00] TBD- 13 39" xfId="44133"/>
    <cellStyle name="Currency [0,00] TBD 13 4" xfId="44134"/>
    <cellStyle name="Currency [0,00] TBD- 13 4" xfId="44135"/>
    <cellStyle name="Currency [0,00] TBD 13 40" xfId="44136"/>
    <cellStyle name="Currency [0,00] TBD- 13 40" xfId="44137"/>
    <cellStyle name="Currency [0,00] TBD 13 41" xfId="44138"/>
    <cellStyle name="Currency [0,00] TBD- 13 41" xfId="44139"/>
    <cellStyle name="Currency [0,00] TBD 13 42" xfId="44140"/>
    <cellStyle name="Currency [0,00] TBD- 13 42" xfId="44141"/>
    <cellStyle name="Currency [0,00] TBD 13 43" xfId="44142"/>
    <cellStyle name="Currency [0,00] TBD- 13 43" xfId="44143"/>
    <cellStyle name="Currency [0,00] TBD 13 44" xfId="44144"/>
    <cellStyle name="Currency [0,00] TBD- 13 44" xfId="44145"/>
    <cellStyle name="Currency [0,00] TBD 13 45" xfId="44146"/>
    <cellStyle name="Currency [0,00] TBD- 13 45" xfId="44147"/>
    <cellStyle name="Currency [0,00] TBD 13 46" xfId="44148"/>
    <cellStyle name="Currency [0,00] TBD- 13 46" xfId="44149"/>
    <cellStyle name="Currency [0,00] TBD 13 47" xfId="44150"/>
    <cellStyle name="Currency [0,00] TBD- 13 47" xfId="44151"/>
    <cellStyle name="Currency [0,00] TBD 13 48" xfId="44152"/>
    <cellStyle name="Currency [0,00] TBD- 13 48" xfId="44153"/>
    <cellStyle name="Currency [0,00] TBD 13 49" xfId="44154"/>
    <cellStyle name="Currency [0,00] TBD- 13 49" xfId="44155"/>
    <cellStyle name="Currency [0,00] TBD 13 5" xfId="44156"/>
    <cellStyle name="Currency [0,00] TBD- 13 5" xfId="44157"/>
    <cellStyle name="Currency [0,00] TBD 13 50" xfId="44158"/>
    <cellStyle name="Currency [0,00] TBD- 13 50" xfId="44159"/>
    <cellStyle name="Currency [0,00] TBD 13 51" xfId="44160"/>
    <cellStyle name="Currency [0,00] TBD- 13 51" xfId="44161"/>
    <cellStyle name="Currency [0,00] TBD 13 52" xfId="44162"/>
    <cellStyle name="Currency [0,00] TBD- 13 52" xfId="44163"/>
    <cellStyle name="Currency [0,00] TBD 13 53" xfId="44164"/>
    <cellStyle name="Currency [0,00] TBD- 13 53" xfId="44165"/>
    <cellStyle name="Currency [0,00] TBD 13 54" xfId="44166"/>
    <cellStyle name="Currency [0,00] TBD- 13 54" xfId="44167"/>
    <cellStyle name="Currency [0,00] TBD 13 55" xfId="44168"/>
    <cellStyle name="Currency [0,00] TBD- 13 55" xfId="44169"/>
    <cellStyle name="Currency [0,00] TBD 13 56" xfId="44170"/>
    <cellStyle name="Currency [0,00] TBD- 13 56" xfId="44171"/>
    <cellStyle name="Currency [0,00] TBD 13 57" xfId="44172"/>
    <cellStyle name="Currency [0,00] TBD- 13 57" xfId="44173"/>
    <cellStyle name="Currency [0,00] TBD 13 58" xfId="44174"/>
    <cellStyle name="Currency [0,00] TBD- 13 58" xfId="44175"/>
    <cellStyle name="Currency [0,00] TBD 13 59" xfId="44176"/>
    <cellStyle name="Currency [0,00] TBD- 13 59" xfId="44177"/>
    <cellStyle name="Currency [0,00] TBD 13 6" xfId="44178"/>
    <cellStyle name="Currency [0,00] TBD- 13 6" xfId="44179"/>
    <cellStyle name="Currency [0,00] TBD 13 60" xfId="44180"/>
    <cellStyle name="Currency [0,00] TBD- 13 60" xfId="44181"/>
    <cellStyle name="Currency [0,00] TBD 13 61" xfId="44182"/>
    <cellStyle name="Currency [0,00] TBD- 13 61" xfId="44183"/>
    <cellStyle name="Currency [0,00] TBD 13 62" xfId="44184"/>
    <cellStyle name="Currency [0,00] TBD- 13 62" xfId="44185"/>
    <cellStyle name="Currency [0,00] TBD 13 63" xfId="44186"/>
    <cellStyle name="Currency [0,00] TBD- 13 63" xfId="44187"/>
    <cellStyle name="Currency [0,00] TBD 13 64" xfId="44188"/>
    <cellStyle name="Currency [0,00] TBD- 13 64" xfId="44189"/>
    <cellStyle name="Currency [0,00] TBD 13 65" xfId="44190"/>
    <cellStyle name="Currency [0,00] TBD- 13 65" xfId="44191"/>
    <cellStyle name="Currency [0,00] TBD 13 66" xfId="44192"/>
    <cellStyle name="Currency [0,00] TBD- 13 66" xfId="44193"/>
    <cellStyle name="Currency [0,00] TBD 13 67" xfId="44194"/>
    <cellStyle name="Currency [0,00] TBD- 13 67" xfId="44195"/>
    <cellStyle name="Currency [0,00] TBD 13 68" xfId="44196"/>
    <cellStyle name="Currency [0,00] TBD- 13 68" xfId="44197"/>
    <cellStyle name="Currency [0,00] TBD 13 69" xfId="44198"/>
    <cellStyle name="Currency [0,00] TBD- 13 69" xfId="44199"/>
    <cellStyle name="Currency [0,00] TBD 13 7" xfId="44200"/>
    <cellStyle name="Currency [0,00] TBD- 13 7" xfId="44201"/>
    <cellStyle name="Currency [0,00] TBD 13 70" xfId="44202"/>
    <cellStyle name="Currency [0,00] TBD- 13 70" xfId="44203"/>
    <cellStyle name="Currency [0,00] TBD 13 71" xfId="44204"/>
    <cellStyle name="Currency [0,00] TBD- 13 71" xfId="44205"/>
    <cellStyle name="Currency [0,00] TBD 13 72" xfId="44206"/>
    <cellStyle name="Currency [0,00] TBD- 13 72" xfId="44207"/>
    <cellStyle name="Currency [0,00] TBD 13 73" xfId="44208"/>
    <cellStyle name="Currency [0,00] TBD- 13 73" xfId="44209"/>
    <cellStyle name="Currency [0,00] TBD 13 74" xfId="44210"/>
    <cellStyle name="Currency [0,00] TBD- 13 74" xfId="44211"/>
    <cellStyle name="Currency [0,00] TBD 13 75" xfId="44212"/>
    <cellStyle name="Currency [0,00] TBD- 13 75" xfId="44213"/>
    <cellStyle name="Currency [0,00] TBD 13 76" xfId="44214"/>
    <cellStyle name="Currency [0,00] TBD- 13 76" xfId="44215"/>
    <cellStyle name="Currency [0,00] TBD 13 77" xfId="44216"/>
    <cellStyle name="Currency [0,00] TBD- 13 77" xfId="44217"/>
    <cellStyle name="Currency [0,00] TBD 13 78" xfId="44218"/>
    <cellStyle name="Currency [0,00] TBD- 13 78" xfId="44219"/>
    <cellStyle name="Currency [0,00] TBD 13 79" xfId="44220"/>
    <cellStyle name="Currency [0,00] TBD- 13 79" xfId="44221"/>
    <cellStyle name="Currency [0,00] TBD 13 8" xfId="44222"/>
    <cellStyle name="Currency [0,00] TBD- 13 8" xfId="44223"/>
    <cellStyle name="Currency [0,00] TBD 13 80" xfId="44224"/>
    <cellStyle name="Currency [0,00] TBD- 13 80" xfId="44225"/>
    <cellStyle name="Currency [0,00] TBD 13 81" xfId="44226"/>
    <cellStyle name="Currency [0,00] TBD- 13 81" xfId="44227"/>
    <cellStyle name="Currency [0,00] TBD 13 82" xfId="44228"/>
    <cellStyle name="Currency [0,00] TBD- 13 82" xfId="44229"/>
    <cellStyle name="Currency [0,00] TBD 13 83" xfId="44230"/>
    <cellStyle name="Currency [0,00] TBD- 13 83" xfId="44231"/>
    <cellStyle name="Currency [0,00] TBD 13 84" xfId="44232"/>
    <cellStyle name="Currency [0,00] TBD- 13 84" xfId="44233"/>
    <cellStyle name="Currency [0,00] TBD 13 85" xfId="44234"/>
    <cellStyle name="Currency [0,00] TBD- 13 85" xfId="44235"/>
    <cellStyle name="Currency [0,00] TBD 13 86" xfId="44236"/>
    <cellStyle name="Currency [0,00] TBD- 13 86" xfId="44237"/>
    <cellStyle name="Currency [0,00] TBD 13 87" xfId="44238"/>
    <cellStyle name="Currency [0,00] TBD- 13 87" xfId="44239"/>
    <cellStyle name="Currency [0,00] TBD 13 88" xfId="44240"/>
    <cellStyle name="Currency [0,00] TBD- 13 88" xfId="44241"/>
    <cellStyle name="Currency [0,00] TBD 13 89" xfId="44242"/>
    <cellStyle name="Currency [0,00] TBD- 13 89" xfId="44243"/>
    <cellStyle name="Currency [0,00] TBD 13 9" xfId="44244"/>
    <cellStyle name="Currency [0,00] TBD- 13 9" xfId="44245"/>
    <cellStyle name="Currency [0,00] TBD 13 90" xfId="44246"/>
    <cellStyle name="Currency [0,00] TBD- 13 90" xfId="44247"/>
    <cellStyle name="Currency [0,00] TBD 13 91" xfId="44248"/>
    <cellStyle name="Currency [0,00] TBD- 13 91" xfId="44249"/>
    <cellStyle name="Currency [0,00] TBD 13 92" xfId="44250"/>
    <cellStyle name="Currency [0,00] TBD- 13 92" xfId="44251"/>
    <cellStyle name="Currency [0,00] TBD 13 93" xfId="44252"/>
    <cellStyle name="Currency [0,00] TBD- 13 93" xfId="44253"/>
    <cellStyle name="Currency [0,00] TBD 13 94" xfId="44254"/>
    <cellStyle name="Currency [0,00] TBD- 13 94" xfId="44255"/>
    <cellStyle name="Currency [0,00] TBD 13 95" xfId="44256"/>
    <cellStyle name="Currency [0,00] TBD- 13 95" xfId="44257"/>
    <cellStyle name="Currency [0,00] TBD 13 96" xfId="44258"/>
    <cellStyle name="Currency [0,00] TBD- 13 96" xfId="44259"/>
    <cellStyle name="Currency [0,00] TBD 13 97" xfId="44260"/>
    <cellStyle name="Currency [0,00] TBD- 13 97" xfId="44261"/>
    <cellStyle name="Currency [0,00] TBD 13 98" xfId="44262"/>
    <cellStyle name="Currency [0,00] TBD- 13 98" xfId="44263"/>
    <cellStyle name="Currency [0,00] TBD 13 99" xfId="44264"/>
    <cellStyle name="Currency [0,00] TBD- 13 99" xfId="44265"/>
    <cellStyle name="Currency [0,00] TBD 14" xfId="44266"/>
    <cellStyle name="Currency [0,00] TBD- 14" xfId="44267"/>
    <cellStyle name="Currency [0,00] TBD 14 10" xfId="44268"/>
    <cellStyle name="Currency [0,00] TBD- 14 10" xfId="44269"/>
    <cellStyle name="Currency [0,00] TBD 14 100" xfId="44270"/>
    <cellStyle name="Currency [0,00] TBD- 14 100" xfId="44271"/>
    <cellStyle name="Currency [0,00] TBD 14 101" xfId="44272"/>
    <cellStyle name="Currency [0,00] TBD- 14 101" xfId="44273"/>
    <cellStyle name="Currency [0,00] TBD 14 102" xfId="44274"/>
    <cellStyle name="Currency [0,00] TBD- 14 102" xfId="44275"/>
    <cellStyle name="Currency [0,00] TBD 14 103" xfId="44276"/>
    <cellStyle name="Currency [0,00] TBD- 14 103" xfId="44277"/>
    <cellStyle name="Currency [0,00] TBD 14 104" xfId="44278"/>
    <cellStyle name="Currency [0,00] TBD- 14 104" xfId="44279"/>
    <cellStyle name="Currency [0,00] TBD 14 105" xfId="44280"/>
    <cellStyle name="Currency [0,00] TBD- 14 105" xfId="44281"/>
    <cellStyle name="Currency [0,00] TBD 14 106" xfId="44282"/>
    <cellStyle name="Currency [0,00] TBD- 14 106" xfId="44283"/>
    <cellStyle name="Currency [0,00] TBD 14 107" xfId="44284"/>
    <cellStyle name="Currency [0,00] TBD- 14 107" xfId="44285"/>
    <cellStyle name="Currency [0,00] TBD 14 108" xfId="44286"/>
    <cellStyle name="Currency [0,00] TBD- 14 108" xfId="44287"/>
    <cellStyle name="Currency [0,00] TBD 14 109" xfId="44288"/>
    <cellStyle name="Currency [0,00] TBD- 14 109" xfId="44289"/>
    <cellStyle name="Currency [0,00] TBD 14 11" xfId="44290"/>
    <cellStyle name="Currency [0,00] TBD- 14 11" xfId="44291"/>
    <cellStyle name="Currency [0,00] TBD 14 110" xfId="44292"/>
    <cellStyle name="Currency [0,00] TBD- 14 110" xfId="44293"/>
    <cellStyle name="Currency [0,00] TBD 14 111" xfId="44294"/>
    <cellStyle name="Currency [0,00] TBD- 14 111" xfId="44295"/>
    <cellStyle name="Currency [0,00] TBD 14 112" xfId="44296"/>
    <cellStyle name="Currency [0,00] TBD- 14 112" xfId="44297"/>
    <cellStyle name="Currency [0,00] TBD 14 113" xfId="44298"/>
    <cellStyle name="Currency [0,00] TBD- 14 113" xfId="44299"/>
    <cellStyle name="Currency [0,00] TBD 14 114" xfId="44300"/>
    <cellStyle name="Currency [0,00] TBD- 14 114" xfId="44301"/>
    <cellStyle name="Currency [0,00] TBD 14 115" xfId="44302"/>
    <cellStyle name="Currency [0,00] TBD- 14 115" xfId="44303"/>
    <cellStyle name="Currency [0,00] TBD 14 116" xfId="44304"/>
    <cellStyle name="Currency [0,00] TBD- 14 116" xfId="44305"/>
    <cellStyle name="Currency [0,00] TBD 14 117" xfId="44306"/>
    <cellStyle name="Currency [0,00] TBD- 14 117" xfId="44307"/>
    <cellStyle name="Currency [0,00] TBD 14 118" xfId="44308"/>
    <cellStyle name="Currency [0,00] TBD- 14 118" xfId="44309"/>
    <cellStyle name="Currency [0,00] TBD 14 119" xfId="44310"/>
    <cellStyle name="Currency [0,00] TBD- 14 119" xfId="44311"/>
    <cellStyle name="Currency [0,00] TBD 14 12" xfId="44312"/>
    <cellStyle name="Currency [0,00] TBD- 14 12" xfId="44313"/>
    <cellStyle name="Currency [0,00] TBD 14 120" xfId="44314"/>
    <cellStyle name="Currency [0,00] TBD- 14 120" xfId="44315"/>
    <cellStyle name="Currency [0,00] TBD 14 121" xfId="44316"/>
    <cellStyle name="Currency [0,00] TBD- 14 121" xfId="44317"/>
    <cellStyle name="Currency [0,00] TBD 14 122" xfId="44318"/>
    <cellStyle name="Currency [0,00] TBD- 14 122" xfId="44319"/>
    <cellStyle name="Currency [0,00] TBD 14 123" xfId="44320"/>
    <cellStyle name="Currency [0,00] TBD- 14 123" xfId="44321"/>
    <cellStyle name="Currency [0,00] TBD 14 124" xfId="44322"/>
    <cellStyle name="Currency [0,00] TBD- 14 124" xfId="44323"/>
    <cellStyle name="Currency [0,00] TBD 14 125" xfId="44324"/>
    <cellStyle name="Currency [0,00] TBD- 14 125" xfId="44325"/>
    <cellStyle name="Currency [0,00] TBD 14 126" xfId="44326"/>
    <cellStyle name="Currency [0,00] TBD- 14 126" xfId="44327"/>
    <cellStyle name="Currency [0,00] TBD 14 127" xfId="44328"/>
    <cellStyle name="Currency [0,00] TBD- 14 127" xfId="44329"/>
    <cellStyle name="Currency [0,00] TBD 14 128" xfId="44330"/>
    <cellStyle name="Currency [0,00] TBD- 14 128" xfId="44331"/>
    <cellStyle name="Currency [0,00] TBD 14 129" xfId="44332"/>
    <cellStyle name="Currency [0,00] TBD- 14 129" xfId="44333"/>
    <cellStyle name="Currency [0,00] TBD 14 13" xfId="44334"/>
    <cellStyle name="Currency [0,00] TBD- 14 13" xfId="44335"/>
    <cellStyle name="Currency [0,00] TBD 14 130" xfId="44336"/>
    <cellStyle name="Currency [0,00] TBD- 14 130" xfId="44337"/>
    <cellStyle name="Currency [0,00] TBD 14 131" xfId="44338"/>
    <cellStyle name="Currency [0,00] TBD- 14 131" xfId="44339"/>
    <cellStyle name="Currency [0,00] TBD 14 132" xfId="44340"/>
    <cellStyle name="Currency [0,00] TBD- 14 132" xfId="44341"/>
    <cellStyle name="Currency [0,00] TBD 14 133" xfId="44342"/>
    <cellStyle name="Currency [0,00] TBD- 14 133" xfId="44343"/>
    <cellStyle name="Currency [0,00] TBD 14 134" xfId="44344"/>
    <cellStyle name="Currency [0,00] TBD- 14 134" xfId="44345"/>
    <cellStyle name="Currency [0,00] TBD 14 135" xfId="44346"/>
    <cellStyle name="Currency [0,00] TBD- 14 135" xfId="44347"/>
    <cellStyle name="Currency [0,00] TBD 14 136" xfId="44348"/>
    <cellStyle name="Currency [0,00] TBD- 14 136" xfId="44349"/>
    <cellStyle name="Currency [0,00] TBD 14 137" xfId="44350"/>
    <cellStyle name="Currency [0,00] TBD- 14 137" xfId="44351"/>
    <cellStyle name="Currency [0,00] TBD 14 138" xfId="44352"/>
    <cellStyle name="Currency [0,00] TBD- 14 138" xfId="44353"/>
    <cellStyle name="Currency [0,00] TBD 14 139" xfId="44354"/>
    <cellStyle name="Currency [0,00] TBD- 14 139" xfId="44355"/>
    <cellStyle name="Currency [0,00] TBD 14 14" xfId="44356"/>
    <cellStyle name="Currency [0,00] TBD- 14 14" xfId="44357"/>
    <cellStyle name="Currency [0,00] TBD 14 140" xfId="44358"/>
    <cellStyle name="Currency [0,00] TBD- 14 140" xfId="44359"/>
    <cellStyle name="Currency [0,00] TBD 14 141" xfId="44360"/>
    <cellStyle name="Currency [0,00] TBD- 14 141" xfId="44361"/>
    <cellStyle name="Currency [0,00] TBD 14 142" xfId="44362"/>
    <cellStyle name="Currency [0,00] TBD- 14 142" xfId="44363"/>
    <cellStyle name="Currency [0,00] TBD 14 143" xfId="44364"/>
    <cellStyle name="Currency [0,00] TBD- 14 143" xfId="44365"/>
    <cellStyle name="Currency [0,00] TBD 14 144" xfId="44366"/>
    <cellStyle name="Currency [0,00] TBD- 14 144" xfId="44367"/>
    <cellStyle name="Currency [0,00] TBD 14 145" xfId="44368"/>
    <cellStyle name="Currency [0,00] TBD- 14 145" xfId="44369"/>
    <cellStyle name="Currency [0,00] TBD 14 146" xfId="44370"/>
    <cellStyle name="Currency [0,00] TBD- 14 146" xfId="44371"/>
    <cellStyle name="Currency [0,00] TBD 14 147" xfId="44372"/>
    <cellStyle name="Currency [0,00] TBD- 14 147" xfId="44373"/>
    <cellStyle name="Currency [0,00] TBD 14 148" xfId="44374"/>
    <cellStyle name="Currency [0,00] TBD- 14 148" xfId="44375"/>
    <cellStyle name="Currency [0,00] TBD 14 149" xfId="44376"/>
    <cellStyle name="Currency [0,00] TBD- 14 149" xfId="44377"/>
    <cellStyle name="Currency [0,00] TBD 14 15" xfId="44378"/>
    <cellStyle name="Currency [0,00] TBD- 14 15" xfId="44379"/>
    <cellStyle name="Currency [0,00] TBD 14 150" xfId="44380"/>
    <cellStyle name="Currency [0,00] TBD- 14 150" xfId="44381"/>
    <cellStyle name="Currency [0,00] TBD 14 151" xfId="44382"/>
    <cellStyle name="Currency [0,00] TBD- 14 151" xfId="44383"/>
    <cellStyle name="Currency [0,00] TBD 14 152" xfId="44384"/>
    <cellStyle name="Currency [0,00] TBD- 14 152" xfId="44385"/>
    <cellStyle name="Currency [0,00] TBD 14 153" xfId="44386"/>
    <cellStyle name="Currency [0,00] TBD- 14 153" xfId="44387"/>
    <cellStyle name="Currency [0,00] TBD 14 16" xfId="44388"/>
    <cellStyle name="Currency [0,00] TBD- 14 16" xfId="44389"/>
    <cellStyle name="Currency [0,00] TBD 14 17" xfId="44390"/>
    <cellStyle name="Currency [0,00] TBD- 14 17" xfId="44391"/>
    <cellStyle name="Currency [0,00] TBD 14 18" xfId="44392"/>
    <cellStyle name="Currency [0,00] TBD- 14 18" xfId="44393"/>
    <cellStyle name="Currency [0,00] TBD 14 19" xfId="44394"/>
    <cellStyle name="Currency [0,00] TBD- 14 19" xfId="44395"/>
    <cellStyle name="Currency [0,00] TBD 14 2" xfId="44396"/>
    <cellStyle name="Currency [0,00] TBD- 14 2" xfId="44397"/>
    <cellStyle name="Currency [0,00] TBD 14 20" xfId="44398"/>
    <cellStyle name="Currency [0,00] TBD- 14 20" xfId="44399"/>
    <cellStyle name="Currency [0,00] TBD 14 21" xfId="44400"/>
    <cellStyle name="Currency [0,00] TBD- 14 21" xfId="44401"/>
    <cellStyle name="Currency [0,00] TBD 14 22" xfId="44402"/>
    <cellStyle name="Currency [0,00] TBD- 14 22" xfId="44403"/>
    <cellStyle name="Currency [0,00] TBD 14 23" xfId="44404"/>
    <cellStyle name="Currency [0,00] TBD- 14 23" xfId="44405"/>
    <cellStyle name="Currency [0,00] TBD 14 24" xfId="44406"/>
    <cellStyle name="Currency [0,00] TBD- 14 24" xfId="44407"/>
    <cellStyle name="Currency [0,00] TBD 14 25" xfId="44408"/>
    <cellStyle name="Currency [0,00] TBD- 14 25" xfId="44409"/>
    <cellStyle name="Currency [0,00] TBD 14 26" xfId="44410"/>
    <cellStyle name="Currency [0,00] TBD- 14 26" xfId="44411"/>
    <cellStyle name="Currency [0,00] TBD 14 27" xfId="44412"/>
    <cellStyle name="Currency [0,00] TBD- 14 27" xfId="44413"/>
    <cellStyle name="Currency [0,00] TBD 14 28" xfId="44414"/>
    <cellStyle name="Currency [0,00] TBD- 14 28" xfId="44415"/>
    <cellStyle name="Currency [0,00] TBD 14 29" xfId="44416"/>
    <cellStyle name="Currency [0,00] TBD- 14 29" xfId="44417"/>
    <cellStyle name="Currency [0,00] TBD 14 3" xfId="44418"/>
    <cellStyle name="Currency [0,00] TBD- 14 3" xfId="44419"/>
    <cellStyle name="Currency [0,00] TBD 14 30" xfId="44420"/>
    <cellStyle name="Currency [0,00] TBD- 14 30" xfId="44421"/>
    <cellStyle name="Currency [0,00] TBD 14 31" xfId="44422"/>
    <cellStyle name="Currency [0,00] TBD- 14 31" xfId="44423"/>
    <cellStyle name="Currency [0,00] TBD 14 32" xfId="44424"/>
    <cellStyle name="Currency [0,00] TBD- 14 32" xfId="44425"/>
    <cellStyle name="Currency [0,00] TBD 14 33" xfId="44426"/>
    <cellStyle name="Currency [0,00] TBD- 14 33" xfId="44427"/>
    <cellStyle name="Currency [0,00] TBD 14 34" xfId="44428"/>
    <cellStyle name="Currency [0,00] TBD- 14 34" xfId="44429"/>
    <cellStyle name="Currency [0,00] TBD 14 35" xfId="44430"/>
    <cellStyle name="Currency [0,00] TBD- 14 35" xfId="44431"/>
    <cellStyle name="Currency [0,00] TBD 14 36" xfId="44432"/>
    <cellStyle name="Currency [0,00] TBD- 14 36" xfId="44433"/>
    <cellStyle name="Currency [0,00] TBD 14 37" xfId="44434"/>
    <cellStyle name="Currency [0,00] TBD- 14 37" xfId="44435"/>
    <cellStyle name="Currency [0,00] TBD 14 38" xfId="44436"/>
    <cellStyle name="Currency [0,00] TBD- 14 38" xfId="44437"/>
    <cellStyle name="Currency [0,00] TBD 14 39" xfId="44438"/>
    <cellStyle name="Currency [0,00] TBD- 14 39" xfId="44439"/>
    <cellStyle name="Currency [0,00] TBD 14 4" xfId="44440"/>
    <cellStyle name="Currency [0,00] TBD- 14 4" xfId="44441"/>
    <cellStyle name="Currency [0,00] TBD 14 40" xfId="44442"/>
    <cellStyle name="Currency [0,00] TBD- 14 40" xfId="44443"/>
    <cellStyle name="Currency [0,00] TBD 14 41" xfId="44444"/>
    <cellStyle name="Currency [0,00] TBD- 14 41" xfId="44445"/>
    <cellStyle name="Currency [0,00] TBD 14 42" xfId="44446"/>
    <cellStyle name="Currency [0,00] TBD- 14 42" xfId="44447"/>
    <cellStyle name="Currency [0,00] TBD 14 43" xfId="44448"/>
    <cellStyle name="Currency [0,00] TBD- 14 43" xfId="44449"/>
    <cellStyle name="Currency [0,00] TBD 14 44" xfId="44450"/>
    <cellStyle name="Currency [0,00] TBD- 14 44" xfId="44451"/>
    <cellStyle name="Currency [0,00] TBD 14 45" xfId="44452"/>
    <cellStyle name="Currency [0,00] TBD- 14 45" xfId="44453"/>
    <cellStyle name="Currency [0,00] TBD 14 46" xfId="44454"/>
    <cellStyle name="Currency [0,00] TBD- 14 46" xfId="44455"/>
    <cellStyle name="Currency [0,00] TBD 14 47" xfId="44456"/>
    <cellStyle name="Currency [0,00] TBD- 14 47" xfId="44457"/>
    <cellStyle name="Currency [0,00] TBD 14 48" xfId="44458"/>
    <cellStyle name="Currency [0,00] TBD- 14 48" xfId="44459"/>
    <cellStyle name="Currency [0,00] TBD 14 49" xfId="44460"/>
    <cellStyle name="Currency [0,00] TBD- 14 49" xfId="44461"/>
    <cellStyle name="Currency [0,00] TBD 14 5" xfId="44462"/>
    <cellStyle name="Currency [0,00] TBD- 14 5" xfId="44463"/>
    <cellStyle name="Currency [0,00] TBD 14 50" xfId="44464"/>
    <cellStyle name="Currency [0,00] TBD- 14 50" xfId="44465"/>
    <cellStyle name="Currency [0,00] TBD 14 51" xfId="44466"/>
    <cellStyle name="Currency [0,00] TBD- 14 51" xfId="44467"/>
    <cellStyle name="Currency [0,00] TBD 14 52" xfId="44468"/>
    <cellStyle name="Currency [0,00] TBD- 14 52" xfId="44469"/>
    <cellStyle name="Currency [0,00] TBD 14 53" xfId="44470"/>
    <cellStyle name="Currency [0,00] TBD- 14 53" xfId="44471"/>
    <cellStyle name="Currency [0,00] TBD 14 54" xfId="44472"/>
    <cellStyle name="Currency [0,00] TBD- 14 54" xfId="44473"/>
    <cellStyle name="Currency [0,00] TBD 14 55" xfId="44474"/>
    <cellStyle name="Currency [0,00] TBD- 14 55" xfId="44475"/>
    <cellStyle name="Currency [0,00] TBD 14 56" xfId="44476"/>
    <cellStyle name="Currency [0,00] TBD- 14 56" xfId="44477"/>
    <cellStyle name="Currency [0,00] TBD 14 57" xfId="44478"/>
    <cellStyle name="Currency [0,00] TBD- 14 57" xfId="44479"/>
    <cellStyle name="Currency [0,00] TBD 14 58" xfId="44480"/>
    <cellStyle name="Currency [0,00] TBD- 14 58" xfId="44481"/>
    <cellStyle name="Currency [0,00] TBD 14 59" xfId="44482"/>
    <cellStyle name="Currency [0,00] TBD- 14 59" xfId="44483"/>
    <cellStyle name="Currency [0,00] TBD 14 6" xfId="44484"/>
    <cellStyle name="Currency [0,00] TBD- 14 6" xfId="44485"/>
    <cellStyle name="Currency [0,00] TBD 14 60" xfId="44486"/>
    <cellStyle name="Currency [0,00] TBD- 14 60" xfId="44487"/>
    <cellStyle name="Currency [0,00] TBD 14 61" xfId="44488"/>
    <cellStyle name="Currency [0,00] TBD- 14 61" xfId="44489"/>
    <cellStyle name="Currency [0,00] TBD 14 62" xfId="44490"/>
    <cellStyle name="Currency [0,00] TBD- 14 62" xfId="44491"/>
    <cellStyle name="Currency [0,00] TBD 14 63" xfId="44492"/>
    <cellStyle name="Currency [0,00] TBD- 14 63" xfId="44493"/>
    <cellStyle name="Currency [0,00] TBD 14 64" xfId="44494"/>
    <cellStyle name="Currency [0,00] TBD- 14 64" xfId="44495"/>
    <cellStyle name="Currency [0,00] TBD 14 65" xfId="44496"/>
    <cellStyle name="Currency [0,00] TBD- 14 65" xfId="44497"/>
    <cellStyle name="Currency [0,00] TBD 14 66" xfId="44498"/>
    <cellStyle name="Currency [0,00] TBD- 14 66" xfId="44499"/>
    <cellStyle name="Currency [0,00] TBD 14 67" xfId="44500"/>
    <cellStyle name="Currency [0,00] TBD- 14 67" xfId="44501"/>
    <cellStyle name="Currency [0,00] TBD 14 68" xfId="44502"/>
    <cellStyle name="Currency [0,00] TBD- 14 68" xfId="44503"/>
    <cellStyle name="Currency [0,00] TBD 14 69" xfId="44504"/>
    <cellStyle name="Currency [0,00] TBD- 14 69" xfId="44505"/>
    <cellStyle name="Currency [0,00] TBD 14 7" xfId="44506"/>
    <cellStyle name="Currency [0,00] TBD- 14 7" xfId="44507"/>
    <cellStyle name="Currency [0,00] TBD 14 70" xfId="44508"/>
    <cellStyle name="Currency [0,00] TBD- 14 70" xfId="44509"/>
    <cellStyle name="Currency [0,00] TBD 14 71" xfId="44510"/>
    <cellStyle name="Currency [0,00] TBD- 14 71" xfId="44511"/>
    <cellStyle name="Currency [0,00] TBD 14 72" xfId="44512"/>
    <cellStyle name="Currency [0,00] TBD- 14 72" xfId="44513"/>
    <cellStyle name="Currency [0,00] TBD 14 73" xfId="44514"/>
    <cellStyle name="Currency [0,00] TBD- 14 73" xfId="44515"/>
    <cellStyle name="Currency [0,00] TBD 14 74" xfId="44516"/>
    <cellStyle name="Currency [0,00] TBD- 14 74" xfId="44517"/>
    <cellStyle name="Currency [0,00] TBD 14 75" xfId="44518"/>
    <cellStyle name="Currency [0,00] TBD- 14 75" xfId="44519"/>
    <cellStyle name="Currency [0,00] TBD 14 76" xfId="44520"/>
    <cellStyle name="Currency [0,00] TBD- 14 76" xfId="44521"/>
    <cellStyle name="Currency [0,00] TBD 14 77" xfId="44522"/>
    <cellStyle name="Currency [0,00] TBD- 14 77" xfId="44523"/>
    <cellStyle name="Currency [0,00] TBD 14 78" xfId="44524"/>
    <cellStyle name="Currency [0,00] TBD- 14 78" xfId="44525"/>
    <cellStyle name="Currency [0,00] TBD 14 79" xfId="44526"/>
    <cellStyle name="Currency [0,00] TBD- 14 79" xfId="44527"/>
    <cellStyle name="Currency [0,00] TBD 14 8" xfId="44528"/>
    <cellStyle name="Currency [0,00] TBD- 14 8" xfId="44529"/>
    <cellStyle name="Currency [0,00] TBD 14 80" xfId="44530"/>
    <cellStyle name="Currency [0,00] TBD- 14 80" xfId="44531"/>
    <cellStyle name="Currency [0,00] TBD 14 81" xfId="44532"/>
    <cellStyle name="Currency [0,00] TBD- 14 81" xfId="44533"/>
    <cellStyle name="Currency [0,00] TBD 14 82" xfId="44534"/>
    <cellStyle name="Currency [0,00] TBD- 14 82" xfId="44535"/>
    <cellStyle name="Currency [0,00] TBD 14 83" xfId="44536"/>
    <cellStyle name="Currency [0,00] TBD- 14 83" xfId="44537"/>
    <cellStyle name="Currency [0,00] TBD 14 84" xfId="44538"/>
    <cellStyle name="Currency [0,00] TBD- 14 84" xfId="44539"/>
    <cellStyle name="Currency [0,00] TBD 14 85" xfId="44540"/>
    <cellStyle name="Currency [0,00] TBD- 14 85" xfId="44541"/>
    <cellStyle name="Currency [0,00] TBD 14 86" xfId="44542"/>
    <cellStyle name="Currency [0,00] TBD- 14 86" xfId="44543"/>
    <cellStyle name="Currency [0,00] TBD 14 87" xfId="44544"/>
    <cellStyle name="Currency [0,00] TBD- 14 87" xfId="44545"/>
    <cellStyle name="Currency [0,00] TBD 14 88" xfId="44546"/>
    <cellStyle name="Currency [0,00] TBD- 14 88" xfId="44547"/>
    <cellStyle name="Currency [0,00] TBD 14 89" xfId="44548"/>
    <cellStyle name="Currency [0,00] TBD- 14 89" xfId="44549"/>
    <cellStyle name="Currency [0,00] TBD 14 9" xfId="44550"/>
    <cellStyle name="Currency [0,00] TBD- 14 9" xfId="44551"/>
    <cellStyle name="Currency [0,00] TBD 14 90" xfId="44552"/>
    <cellStyle name="Currency [0,00] TBD- 14 90" xfId="44553"/>
    <cellStyle name="Currency [0,00] TBD 14 91" xfId="44554"/>
    <cellStyle name="Currency [0,00] TBD- 14 91" xfId="44555"/>
    <cellStyle name="Currency [0,00] TBD 14 92" xfId="44556"/>
    <cellStyle name="Currency [0,00] TBD- 14 92" xfId="44557"/>
    <cellStyle name="Currency [0,00] TBD 14 93" xfId="44558"/>
    <cellStyle name="Currency [0,00] TBD- 14 93" xfId="44559"/>
    <cellStyle name="Currency [0,00] TBD 14 94" xfId="44560"/>
    <cellStyle name="Currency [0,00] TBD- 14 94" xfId="44561"/>
    <cellStyle name="Currency [0,00] TBD 14 95" xfId="44562"/>
    <cellStyle name="Currency [0,00] TBD- 14 95" xfId="44563"/>
    <cellStyle name="Currency [0,00] TBD 14 96" xfId="44564"/>
    <cellStyle name="Currency [0,00] TBD- 14 96" xfId="44565"/>
    <cellStyle name="Currency [0,00] TBD 14 97" xfId="44566"/>
    <cellStyle name="Currency [0,00] TBD- 14 97" xfId="44567"/>
    <cellStyle name="Currency [0,00] TBD 14 98" xfId="44568"/>
    <cellStyle name="Currency [0,00] TBD- 14 98" xfId="44569"/>
    <cellStyle name="Currency [0,00] TBD 14 99" xfId="44570"/>
    <cellStyle name="Currency [0,00] TBD- 14 99" xfId="44571"/>
    <cellStyle name="Currency [0,00] TBD 15" xfId="44572"/>
    <cellStyle name="Currency [0,00] TBD- 15" xfId="44573"/>
    <cellStyle name="Currency [0,00] TBD 2" xfId="44574"/>
    <cellStyle name="Currency [0,00] TBD- 2" xfId="44575"/>
    <cellStyle name="Currency [0,00] TBD 2 10" xfId="44576"/>
    <cellStyle name="Currency [0,00] TBD- 2 10" xfId="44577"/>
    <cellStyle name="Currency [0,00] TBD 2 100" xfId="44578"/>
    <cellStyle name="Currency [0,00] TBD- 2 100" xfId="44579"/>
    <cellStyle name="Currency [0,00] TBD 2 101" xfId="44580"/>
    <cellStyle name="Currency [0,00] TBD- 2 101" xfId="44581"/>
    <cellStyle name="Currency [0,00] TBD 2 102" xfId="44582"/>
    <cellStyle name="Currency [0,00] TBD- 2 102" xfId="44583"/>
    <cellStyle name="Currency [0,00] TBD 2 103" xfId="44584"/>
    <cellStyle name="Currency [0,00] TBD- 2 103" xfId="44585"/>
    <cellStyle name="Currency [0,00] TBD 2 104" xfId="44586"/>
    <cellStyle name="Currency [0,00] TBD- 2 104" xfId="44587"/>
    <cellStyle name="Currency [0,00] TBD 2 105" xfId="44588"/>
    <cellStyle name="Currency [0,00] TBD- 2 105" xfId="44589"/>
    <cellStyle name="Currency [0,00] TBD 2 106" xfId="44590"/>
    <cellStyle name="Currency [0,00] TBD- 2 106" xfId="44591"/>
    <cellStyle name="Currency [0,00] TBD 2 107" xfId="44592"/>
    <cellStyle name="Currency [0,00] TBD- 2 107" xfId="44593"/>
    <cellStyle name="Currency [0,00] TBD 2 108" xfId="44594"/>
    <cellStyle name="Currency [0,00] TBD- 2 108" xfId="44595"/>
    <cellStyle name="Currency [0,00] TBD 2 109" xfId="44596"/>
    <cellStyle name="Currency [0,00] TBD- 2 109" xfId="44597"/>
    <cellStyle name="Currency [0,00] TBD 2 11" xfId="44598"/>
    <cellStyle name="Currency [0,00] TBD- 2 11" xfId="44599"/>
    <cellStyle name="Currency [0,00] TBD 2 110" xfId="44600"/>
    <cellStyle name="Currency [0,00] TBD- 2 110" xfId="44601"/>
    <cellStyle name="Currency [0,00] TBD 2 111" xfId="44602"/>
    <cellStyle name="Currency [0,00] TBD- 2 111" xfId="44603"/>
    <cellStyle name="Currency [0,00] TBD 2 112" xfId="44604"/>
    <cellStyle name="Currency [0,00] TBD- 2 112" xfId="44605"/>
    <cellStyle name="Currency [0,00] TBD 2 113" xfId="44606"/>
    <cellStyle name="Currency [0,00] TBD- 2 113" xfId="44607"/>
    <cellStyle name="Currency [0,00] TBD 2 114" xfId="44608"/>
    <cellStyle name="Currency [0,00] TBD- 2 114" xfId="44609"/>
    <cellStyle name="Currency [0,00] TBD 2 115" xfId="44610"/>
    <cellStyle name="Currency [0,00] TBD- 2 115" xfId="44611"/>
    <cellStyle name="Currency [0,00] TBD 2 116" xfId="44612"/>
    <cellStyle name="Currency [0,00] TBD- 2 116" xfId="44613"/>
    <cellStyle name="Currency [0,00] TBD 2 117" xfId="44614"/>
    <cellStyle name="Currency [0,00] TBD- 2 117" xfId="44615"/>
    <cellStyle name="Currency [0,00] TBD 2 118" xfId="44616"/>
    <cellStyle name="Currency [0,00] TBD- 2 118" xfId="44617"/>
    <cellStyle name="Currency [0,00] TBD 2 119" xfId="44618"/>
    <cellStyle name="Currency [0,00] TBD- 2 119" xfId="44619"/>
    <cellStyle name="Currency [0,00] TBD 2 12" xfId="44620"/>
    <cellStyle name="Currency [0,00] TBD- 2 12" xfId="44621"/>
    <cellStyle name="Currency [0,00] TBD 2 120" xfId="44622"/>
    <cellStyle name="Currency [0,00] TBD- 2 120" xfId="44623"/>
    <cellStyle name="Currency [0,00] TBD 2 121" xfId="44624"/>
    <cellStyle name="Currency [0,00] TBD- 2 121" xfId="44625"/>
    <cellStyle name="Currency [0,00] TBD 2 122" xfId="44626"/>
    <cellStyle name="Currency [0,00] TBD- 2 122" xfId="44627"/>
    <cellStyle name="Currency [0,00] TBD 2 123" xfId="44628"/>
    <cellStyle name="Currency [0,00] TBD- 2 123" xfId="44629"/>
    <cellStyle name="Currency [0,00] TBD 2 124" xfId="44630"/>
    <cellStyle name="Currency [0,00] TBD- 2 124" xfId="44631"/>
    <cellStyle name="Currency [0,00] TBD 2 125" xfId="44632"/>
    <cellStyle name="Currency [0,00] TBD- 2 125" xfId="44633"/>
    <cellStyle name="Currency [0,00] TBD 2 126" xfId="44634"/>
    <cellStyle name="Currency [0,00] TBD- 2 126" xfId="44635"/>
    <cellStyle name="Currency [0,00] TBD 2 127" xfId="44636"/>
    <cellStyle name="Currency [0,00] TBD- 2 127" xfId="44637"/>
    <cellStyle name="Currency [0,00] TBD 2 128" xfId="44638"/>
    <cellStyle name="Currency [0,00] TBD- 2 128" xfId="44639"/>
    <cellStyle name="Currency [0,00] TBD 2 129" xfId="44640"/>
    <cellStyle name="Currency [0,00] TBD- 2 129" xfId="44641"/>
    <cellStyle name="Currency [0,00] TBD 2 13" xfId="44642"/>
    <cellStyle name="Currency [0,00] TBD- 2 13" xfId="44643"/>
    <cellStyle name="Currency [0,00] TBD 2 130" xfId="44644"/>
    <cellStyle name="Currency [0,00] TBD- 2 130" xfId="44645"/>
    <cellStyle name="Currency [0,00] TBD 2 131" xfId="44646"/>
    <cellStyle name="Currency [0,00] TBD- 2 131" xfId="44647"/>
    <cellStyle name="Currency [0,00] TBD 2 132" xfId="44648"/>
    <cellStyle name="Currency [0,00] TBD- 2 132" xfId="44649"/>
    <cellStyle name="Currency [0,00] TBD 2 133" xfId="44650"/>
    <cellStyle name="Currency [0,00] TBD- 2 133" xfId="44651"/>
    <cellStyle name="Currency [0,00] TBD 2 134" xfId="44652"/>
    <cellStyle name="Currency [0,00] TBD- 2 134" xfId="44653"/>
    <cellStyle name="Currency [0,00] TBD 2 135" xfId="44654"/>
    <cellStyle name="Currency [0,00] TBD- 2 135" xfId="44655"/>
    <cellStyle name="Currency [0,00] TBD 2 136" xfId="44656"/>
    <cellStyle name="Currency [0,00] TBD- 2 136" xfId="44657"/>
    <cellStyle name="Currency [0,00] TBD 2 137" xfId="44658"/>
    <cellStyle name="Currency [0,00] TBD- 2 137" xfId="44659"/>
    <cellStyle name="Currency [0,00] TBD 2 138" xfId="44660"/>
    <cellStyle name="Currency [0,00] TBD- 2 138" xfId="44661"/>
    <cellStyle name="Currency [0,00] TBD 2 139" xfId="44662"/>
    <cellStyle name="Currency [0,00] TBD- 2 139" xfId="44663"/>
    <cellStyle name="Currency [0,00] TBD 2 14" xfId="44664"/>
    <cellStyle name="Currency [0,00] TBD- 2 14" xfId="44665"/>
    <cellStyle name="Currency [0,00] TBD 2 140" xfId="44666"/>
    <cellStyle name="Currency [0,00] TBD- 2 140" xfId="44667"/>
    <cellStyle name="Currency [0,00] TBD 2 141" xfId="44668"/>
    <cellStyle name="Currency [0,00] TBD- 2 141" xfId="44669"/>
    <cellStyle name="Currency [0,00] TBD 2 142" xfId="44670"/>
    <cellStyle name="Currency [0,00] TBD- 2 142" xfId="44671"/>
    <cellStyle name="Currency [0,00] TBD 2 143" xfId="44672"/>
    <cellStyle name="Currency [0,00] TBD- 2 143" xfId="44673"/>
    <cellStyle name="Currency [0,00] TBD 2 144" xfId="44674"/>
    <cellStyle name="Currency [0,00] TBD- 2 144" xfId="44675"/>
    <cellStyle name="Currency [0,00] TBD 2 145" xfId="44676"/>
    <cellStyle name="Currency [0,00] TBD- 2 145" xfId="44677"/>
    <cellStyle name="Currency [0,00] TBD 2 146" xfId="44678"/>
    <cellStyle name="Currency [0,00] TBD- 2 146" xfId="44679"/>
    <cellStyle name="Currency [0,00] TBD 2 147" xfId="44680"/>
    <cellStyle name="Currency [0,00] TBD- 2 147" xfId="44681"/>
    <cellStyle name="Currency [0,00] TBD 2 148" xfId="44682"/>
    <cellStyle name="Currency [0,00] TBD- 2 148" xfId="44683"/>
    <cellStyle name="Currency [0,00] TBD 2 149" xfId="44684"/>
    <cellStyle name="Currency [0,00] TBD- 2 149" xfId="44685"/>
    <cellStyle name="Currency [0,00] TBD 2 15" xfId="44686"/>
    <cellStyle name="Currency [0,00] TBD- 2 15" xfId="44687"/>
    <cellStyle name="Currency [0,00] TBD 2 150" xfId="44688"/>
    <cellStyle name="Currency [0,00] TBD- 2 150" xfId="44689"/>
    <cellStyle name="Currency [0,00] TBD 2 151" xfId="44690"/>
    <cellStyle name="Currency [0,00] TBD- 2 151" xfId="44691"/>
    <cellStyle name="Currency [0,00] TBD 2 152" xfId="44692"/>
    <cellStyle name="Currency [0,00] TBD- 2 152" xfId="44693"/>
    <cellStyle name="Currency [0,00] TBD 2 153" xfId="44694"/>
    <cellStyle name="Currency [0,00] TBD- 2 153" xfId="44695"/>
    <cellStyle name="Currency [0,00] TBD 2 154" xfId="44696"/>
    <cellStyle name="Currency [0,00] TBD- 2 154" xfId="44697"/>
    <cellStyle name="Currency [0,00] TBD 2 16" xfId="44698"/>
    <cellStyle name="Currency [0,00] TBD- 2 16" xfId="44699"/>
    <cellStyle name="Currency [0,00] TBD 2 17" xfId="44700"/>
    <cellStyle name="Currency [0,00] TBD- 2 17" xfId="44701"/>
    <cellStyle name="Currency [0,00] TBD 2 18" xfId="44702"/>
    <cellStyle name="Currency [0,00] TBD- 2 18" xfId="44703"/>
    <cellStyle name="Currency [0,00] TBD 2 19" xfId="44704"/>
    <cellStyle name="Currency [0,00] TBD- 2 19" xfId="44705"/>
    <cellStyle name="Currency [0,00] TBD 2 2" xfId="44706"/>
    <cellStyle name="Currency [0,00] TBD- 2 2" xfId="44707"/>
    <cellStyle name="Currency [0,00] TBD 2 2 2" xfId="44708"/>
    <cellStyle name="Currency [0,00] TBD- 2 2 2" xfId="44709"/>
    <cellStyle name="Currency [0,00] TBD 2 20" xfId="44710"/>
    <cellStyle name="Currency [0,00] TBD- 2 20" xfId="44711"/>
    <cellStyle name="Currency [0,00] TBD 2 21" xfId="44712"/>
    <cellStyle name="Currency [0,00] TBD- 2 21" xfId="44713"/>
    <cellStyle name="Currency [0,00] TBD 2 22" xfId="44714"/>
    <cellStyle name="Currency [0,00] TBD- 2 22" xfId="44715"/>
    <cellStyle name="Currency [0,00] TBD 2 23" xfId="44716"/>
    <cellStyle name="Currency [0,00] TBD- 2 23" xfId="44717"/>
    <cellStyle name="Currency [0,00] TBD 2 24" xfId="44718"/>
    <cellStyle name="Currency [0,00] TBD- 2 24" xfId="44719"/>
    <cellStyle name="Currency [0,00] TBD 2 25" xfId="44720"/>
    <cellStyle name="Currency [0,00] TBD- 2 25" xfId="44721"/>
    <cellStyle name="Currency [0,00] TBD 2 26" xfId="44722"/>
    <cellStyle name="Currency [0,00] TBD- 2 26" xfId="44723"/>
    <cellStyle name="Currency [0,00] TBD 2 27" xfId="44724"/>
    <cellStyle name="Currency [0,00] TBD- 2 27" xfId="44725"/>
    <cellStyle name="Currency [0,00] TBD 2 28" xfId="44726"/>
    <cellStyle name="Currency [0,00] TBD- 2 28" xfId="44727"/>
    <cellStyle name="Currency [0,00] TBD 2 29" xfId="44728"/>
    <cellStyle name="Currency [0,00] TBD- 2 29" xfId="44729"/>
    <cellStyle name="Currency [0,00] TBD 2 3" xfId="44730"/>
    <cellStyle name="Currency [0,00] TBD- 2 3" xfId="44731"/>
    <cellStyle name="Currency [0,00] TBD 2 30" xfId="44732"/>
    <cellStyle name="Currency [0,00] TBD- 2 30" xfId="44733"/>
    <cellStyle name="Currency [0,00] TBD 2 31" xfId="44734"/>
    <cellStyle name="Currency [0,00] TBD- 2 31" xfId="44735"/>
    <cellStyle name="Currency [0,00] TBD 2 32" xfId="44736"/>
    <cellStyle name="Currency [0,00] TBD- 2 32" xfId="44737"/>
    <cellStyle name="Currency [0,00] TBD 2 33" xfId="44738"/>
    <cellStyle name="Currency [0,00] TBD- 2 33" xfId="44739"/>
    <cellStyle name="Currency [0,00] TBD 2 34" xfId="44740"/>
    <cellStyle name="Currency [0,00] TBD- 2 34" xfId="44741"/>
    <cellStyle name="Currency [0,00] TBD 2 35" xfId="44742"/>
    <cellStyle name="Currency [0,00] TBD- 2 35" xfId="44743"/>
    <cellStyle name="Currency [0,00] TBD 2 36" xfId="44744"/>
    <cellStyle name="Currency [0,00] TBD- 2 36" xfId="44745"/>
    <cellStyle name="Currency [0,00] TBD 2 37" xfId="44746"/>
    <cellStyle name="Currency [0,00] TBD- 2 37" xfId="44747"/>
    <cellStyle name="Currency [0,00] TBD 2 38" xfId="44748"/>
    <cellStyle name="Currency [0,00] TBD- 2 38" xfId="44749"/>
    <cellStyle name="Currency [0,00] TBD 2 39" xfId="44750"/>
    <cellStyle name="Currency [0,00] TBD- 2 39" xfId="44751"/>
    <cellStyle name="Currency [0,00] TBD 2 4" xfId="44752"/>
    <cellStyle name="Currency [0,00] TBD- 2 4" xfId="44753"/>
    <cellStyle name="Currency [0,00] TBD 2 40" xfId="44754"/>
    <cellStyle name="Currency [0,00] TBD- 2 40" xfId="44755"/>
    <cellStyle name="Currency [0,00] TBD 2 41" xfId="44756"/>
    <cellStyle name="Currency [0,00] TBD- 2 41" xfId="44757"/>
    <cellStyle name="Currency [0,00] TBD 2 42" xfId="44758"/>
    <cellStyle name="Currency [0,00] TBD- 2 42" xfId="44759"/>
    <cellStyle name="Currency [0,00] TBD 2 43" xfId="44760"/>
    <cellStyle name="Currency [0,00] TBD- 2 43" xfId="44761"/>
    <cellStyle name="Currency [0,00] TBD 2 44" xfId="44762"/>
    <cellStyle name="Currency [0,00] TBD- 2 44" xfId="44763"/>
    <cellStyle name="Currency [0,00] TBD 2 45" xfId="44764"/>
    <cellStyle name="Currency [0,00] TBD- 2 45" xfId="44765"/>
    <cellStyle name="Currency [0,00] TBD 2 46" xfId="44766"/>
    <cellStyle name="Currency [0,00] TBD- 2 46" xfId="44767"/>
    <cellStyle name="Currency [0,00] TBD 2 47" xfId="44768"/>
    <cellStyle name="Currency [0,00] TBD- 2 47" xfId="44769"/>
    <cellStyle name="Currency [0,00] TBD 2 48" xfId="44770"/>
    <cellStyle name="Currency [0,00] TBD- 2 48" xfId="44771"/>
    <cellStyle name="Currency [0,00] TBD 2 49" xfId="44772"/>
    <cellStyle name="Currency [0,00] TBD- 2 49" xfId="44773"/>
    <cellStyle name="Currency [0,00] TBD 2 5" xfId="44774"/>
    <cellStyle name="Currency [0,00] TBD- 2 5" xfId="44775"/>
    <cellStyle name="Currency [0,00] TBD 2 50" xfId="44776"/>
    <cellStyle name="Currency [0,00] TBD- 2 50" xfId="44777"/>
    <cellStyle name="Currency [0,00] TBD 2 51" xfId="44778"/>
    <cellStyle name="Currency [0,00] TBD- 2 51" xfId="44779"/>
    <cellStyle name="Currency [0,00] TBD 2 52" xfId="44780"/>
    <cellStyle name="Currency [0,00] TBD- 2 52" xfId="44781"/>
    <cellStyle name="Currency [0,00] TBD 2 53" xfId="44782"/>
    <cellStyle name="Currency [0,00] TBD- 2 53" xfId="44783"/>
    <cellStyle name="Currency [0,00] TBD 2 54" xfId="44784"/>
    <cellStyle name="Currency [0,00] TBD- 2 54" xfId="44785"/>
    <cellStyle name="Currency [0,00] TBD 2 55" xfId="44786"/>
    <cellStyle name="Currency [0,00] TBD- 2 55" xfId="44787"/>
    <cellStyle name="Currency [0,00] TBD 2 56" xfId="44788"/>
    <cellStyle name="Currency [0,00] TBD- 2 56" xfId="44789"/>
    <cellStyle name="Currency [0,00] TBD 2 57" xfId="44790"/>
    <cellStyle name="Currency [0,00] TBD- 2 57" xfId="44791"/>
    <cellStyle name="Currency [0,00] TBD 2 58" xfId="44792"/>
    <cellStyle name="Currency [0,00] TBD- 2 58" xfId="44793"/>
    <cellStyle name="Currency [0,00] TBD 2 59" xfId="44794"/>
    <cellStyle name="Currency [0,00] TBD- 2 59" xfId="44795"/>
    <cellStyle name="Currency [0,00] TBD 2 6" xfId="44796"/>
    <cellStyle name="Currency [0,00] TBD- 2 6" xfId="44797"/>
    <cellStyle name="Currency [0,00] TBD 2 60" xfId="44798"/>
    <cellStyle name="Currency [0,00] TBD- 2 60" xfId="44799"/>
    <cellStyle name="Currency [0,00] TBD 2 61" xfId="44800"/>
    <cellStyle name="Currency [0,00] TBD- 2 61" xfId="44801"/>
    <cellStyle name="Currency [0,00] TBD 2 62" xfId="44802"/>
    <cellStyle name="Currency [0,00] TBD- 2 62" xfId="44803"/>
    <cellStyle name="Currency [0,00] TBD 2 63" xfId="44804"/>
    <cellStyle name="Currency [0,00] TBD- 2 63" xfId="44805"/>
    <cellStyle name="Currency [0,00] TBD 2 64" xfId="44806"/>
    <cellStyle name="Currency [0,00] TBD- 2 64" xfId="44807"/>
    <cellStyle name="Currency [0,00] TBD 2 65" xfId="44808"/>
    <cellStyle name="Currency [0,00] TBD- 2 65" xfId="44809"/>
    <cellStyle name="Currency [0,00] TBD 2 66" xfId="44810"/>
    <cellStyle name="Currency [0,00] TBD- 2 66" xfId="44811"/>
    <cellStyle name="Currency [0,00] TBD 2 67" xfId="44812"/>
    <cellStyle name="Currency [0,00] TBD- 2 67" xfId="44813"/>
    <cellStyle name="Currency [0,00] TBD 2 68" xfId="44814"/>
    <cellStyle name="Currency [0,00] TBD- 2 68" xfId="44815"/>
    <cellStyle name="Currency [0,00] TBD 2 69" xfId="44816"/>
    <cellStyle name="Currency [0,00] TBD- 2 69" xfId="44817"/>
    <cellStyle name="Currency [0,00] TBD 2 7" xfId="44818"/>
    <cellStyle name="Currency [0,00] TBD- 2 7" xfId="44819"/>
    <cellStyle name="Currency [0,00] TBD 2 70" xfId="44820"/>
    <cellStyle name="Currency [0,00] TBD- 2 70" xfId="44821"/>
    <cellStyle name="Currency [0,00] TBD 2 71" xfId="44822"/>
    <cellStyle name="Currency [0,00] TBD- 2 71" xfId="44823"/>
    <cellStyle name="Currency [0,00] TBD 2 72" xfId="44824"/>
    <cellStyle name="Currency [0,00] TBD- 2 72" xfId="44825"/>
    <cellStyle name="Currency [0,00] TBD 2 73" xfId="44826"/>
    <cellStyle name="Currency [0,00] TBD- 2 73" xfId="44827"/>
    <cellStyle name="Currency [0,00] TBD 2 74" xfId="44828"/>
    <cellStyle name="Currency [0,00] TBD- 2 74" xfId="44829"/>
    <cellStyle name="Currency [0,00] TBD 2 75" xfId="44830"/>
    <cellStyle name="Currency [0,00] TBD- 2 75" xfId="44831"/>
    <cellStyle name="Currency [0,00] TBD 2 76" xfId="44832"/>
    <cellStyle name="Currency [0,00] TBD- 2 76" xfId="44833"/>
    <cellStyle name="Currency [0,00] TBD 2 77" xfId="44834"/>
    <cellStyle name="Currency [0,00] TBD- 2 77" xfId="44835"/>
    <cellStyle name="Currency [0,00] TBD 2 78" xfId="44836"/>
    <cellStyle name="Currency [0,00] TBD- 2 78" xfId="44837"/>
    <cellStyle name="Currency [0,00] TBD 2 79" xfId="44838"/>
    <cellStyle name="Currency [0,00] TBD- 2 79" xfId="44839"/>
    <cellStyle name="Currency [0,00] TBD 2 8" xfId="44840"/>
    <cellStyle name="Currency [0,00] TBD- 2 8" xfId="44841"/>
    <cellStyle name="Currency [0,00] TBD 2 80" xfId="44842"/>
    <cellStyle name="Currency [0,00] TBD- 2 80" xfId="44843"/>
    <cellStyle name="Currency [0,00] TBD 2 81" xfId="44844"/>
    <cellStyle name="Currency [0,00] TBD- 2 81" xfId="44845"/>
    <cellStyle name="Currency [0,00] TBD 2 82" xfId="44846"/>
    <cellStyle name="Currency [0,00] TBD- 2 82" xfId="44847"/>
    <cellStyle name="Currency [0,00] TBD 2 83" xfId="44848"/>
    <cellStyle name="Currency [0,00] TBD- 2 83" xfId="44849"/>
    <cellStyle name="Currency [0,00] TBD 2 84" xfId="44850"/>
    <cellStyle name="Currency [0,00] TBD- 2 84" xfId="44851"/>
    <cellStyle name="Currency [0,00] TBD 2 85" xfId="44852"/>
    <cellStyle name="Currency [0,00] TBD- 2 85" xfId="44853"/>
    <cellStyle name="Currency [0,00] TBD 2 86" xfId="44854"/>
    <cellStyle name="Currency [0,00] TBD- 2 86" xfId="44855"/>
    <cellStyle name="Currency [0,00] TBD 2 87" xfId="44856"/>
    <cellStyle name="Currency [0,00] TBD- 2 87" xfId="44857"/>
    <cellStyle name="Currency [0,00] TBD 2 88" xfId="44858"/>
    <cellStyle name="Currency [0,00] TBD- 2 88" xfId="44859"/>
    <cellStyle name="Currency [0,00] TBD 2 89" xfId="44860"/>
    <cellStyle name="Currency [0,00] TBD- 2 89" xfId="44861"/>
    <cellStyle name="Currency [0,00] TBD 2 9" xfId="44862"/>
    <cellStyle name="Currency [0,00] TBD- 2 9" xfId="44863"/>
    <cellStyle name="Currency [0,00] TBD 2 90" xfId="44864"/>
    <cellStyle name="Currency [0,00] TBD- 2 90" xfId="44865"/>
    <cellStyle name="Currency [0,00] TBD 2 91" xfId="44866"/>
    <cellStyle name="Currency [0,00] TBD- 2 91" xfId="44867"/>
    <cellStyle name="Currency [0,00] TBD 2 92" xfId="44868"/>
    <cellStyle name="Currency [0,00] TBD- 2 92" xfId="44869"/>
    <cellStyle name="Currency [0,00] TBD 2 93" xfId="44870"/>
    <cellStyle name="Currency [0,00] TBD- 2 93" xfId="44871"/>
    <cellStyle name="Currency [0,00] TBD 2 94" xfId="44872"/>
    <cellStyle name="Currency [0,00] TBD- 2 94" xfId="44873"/>
    <cellStyle name="Currency [0,00] TBD 2 95" xfId="44874"/>
    <cellStyle name="Currency [0,00] TBD- 2 95" xfId="44875"/>
    <cellStyle name="Currency [0,00] TBD 2 96" xfId="44876"/>
    <cellStyle name="Currency [0,00] TBD- 2 96" xfId="44877"/>
    <cellStyle name="Currency [0,00] TBD 2 97" xfId="44878"/>
    <cellStyle name="Currency [0,00] TBD- 2 97" xfId="44879"/>
    <cellStyle name="Currency [0,00] TBD 2 98" xfId="44880"/>
    <cellStyle name="Currency [0,00] TBD- 2 98" xfId="44881"/>
    <cellStyle name="Currency [0,00] TBD 2 99" xfId="44882"/>
    <cellStyle name="Currency [0,00] TBD- 2 99" xfId="44883"/>
    <cellStyle name="Currency [0,00] TBD 3" xfId="44884"/>
    <cellStyle name="Currency [0,00] TBD- 3" xfId="44885"/>
    <cellStyle name="Currency [0,00] TBD 3 10" xfId="44886"/>
    <cellStyle name="Currency [0,00] TBD- 3 10" xfId="44887"/>
    <cellStyle name="Currency [0,00] TBD 3 100" xfId="44888"/>
    <cellStyle name="Currency [0,00] TBD- 3 100" xfId="44889"/>
    <cellStyle name="Currency [0,00] TBD 3 101" xfId="44890"/>
    <cellStyle name="Currency [0,00] TBD- 3 101" xfId="44891"/>
    <cellStyle name="Currency [0,00] TBD 3 102" xfId="44892"/>
    <cellStyle name="Currency [0,00] TBD- 3 102" xfId="44893"/>
    <cellStyle name="Currency [0,00] TBD 3 103" xfId="44894"/>
    <cellStyle name="Currency [0,00] TBD- 3 103" xfId="44895"/>
    <cellStyle name="Currency [0,00] TBD 3 104" xfId="44896"/>
    <cellStyle name="Currency [0,00] TBD- 3 104" xfId="44897"/>
    <cellStyle name="Currency [0,00] TBD 3 105" xfId="44898"/>
    <cellStyle name="Currency [0,00] TBD- 3 105" xfId="44899"/>
    <cellStyle name="Currency [0,00] TBD 3 106" xfId="44900"/>
    <cellStyle name="Currency [0,00] TBD- 3 106" xfId="44901"/>
    <cellStyle name="Currency [0,00] TBD 3 107" xfId="44902"/>
    <cellStyle name="Currency [0,00] TBD- 3 107" xfId="44903"/>
    <cellStyle name="Currency [0,00] TBD 3 108" xfId="44904"/>
    <cellStyle name="Currency [0,00] TBD- 3 108" xfId="44905"/>
    <cellStyle name="Currency [0,00] TBD 3 109" xfId="44906"/>
    <cellStyle name="Currency [0,00] TBD- 3 109" xfId="44907"/>
    <cellStyle name="Currency [0,00] TBD 3 11" xfId="44908"/>
    <cellStyle name="Currency [0,00] TBD- 3 11" xfId="44909"/>
    <cellStyle name="Currency [0,00] TBD 3 110" xfId="44910"/>
    <cellStyle name="Currency [0,00] TBD- 3 110" xfId="44911"/>
    <cellStyle name="Currency [0,00] TBD 3 111" xfId="44912"/>
    <cellStyle name="Currency [0,00] TBD- 3 111" xfId="44913"/>
    <cellStyle name="Currency [0,00] TBD 3 112" xfId="44914"/>
    <cellStyle name="Currency [0,00] TBD- 3 112" xfId="44915"/>
    <cellStyle name="Currency [0,00] TBD 3 113" xfId="44916"/>
    <cellStyle name="Currency [0,00] TBD- 3 113" xfId="44917"/>
    <cellStyle name="Currency [0,00] TBD 3 114" xfId="44918"/>
    <cellStyle name="Currency [0,00] TBD- 3 114" xfId="44919"/>
    <cellStyle name="Currency [0,00] TBD 3 115" xfId="44920"/>
    <cellStyle name="Currency [0,00] TBD- 3 115" xfId="44921"/>
    <cellStyle name="Currency [0,00] TBD 3 116" xfId="44922"/>
    <cellStyle name="Currency [0,00] TBD- 3 116" xfId="44923"/>
    <cellStyle name="Currency [0,00] TBD 3 117" xfId="44924"/>
    <cellStyle name="Currency [0,00] TBD- 3 117" xfId="44925"/>
    <cellStyle name="Currency [0,00] TBD 3 118" xfId="44926"/>
    <cellStyle name="Currency [0,00] TBD- 3 118" xfId="44927"/>
    <cellStyle name="Currency [0,00] TBD 3 119" xfId="44928"/>
    <cellStyle name="Currency [0,00] TBD- 3 119" xfId="44929"/>
    <cellStyle name="Currency [0,00] TBD 3 12" xfId="44930"/>
    <cellStyle name="Currency [0,00] TBD- 3 12" xfId="44931"/>
    <cellStyle name="Currency [0,00] TBD 3 120" xfId="44932"/>
    <cellStyle name="Currency [0,00] TBD- 3 120" xfId="44933"/>
    <cellStyle name="Currency [0,00] TBD 3 121" xfId="44934"/>
    <cellStyle name="Currency [0,00] TBD- 3 121" xfId="44935"/>
    <cellStyle name="Currency [0,00] TBD 3 122" xfId="44936"/>
    <cellStyle name="Currency [0,00] TBD- 3 122" xfId="44937"/>
    <cellStyle name="Currency [0,00] TBD 3 123" xfId="44938"/>
    <cellStyle name="Currency [0,00] TBD- 3 123" xfId="44939"/>
    <cellStyle name="Currency [0,00] TBD 3 124" xfId="44940"/>
    <cellStyle name="Currency [0,00] TBD- 3 124" xfId="44941"/>
    <cellStyle name="Currency [0,00] TBD 3 125" xfId="44942"/>
    <cellStyle name="Currency [0,00] TBD- 3 125" xfId="44943"/>
    <cellStyle name="Currency [0,00] TBD 3 126" xfId="44944"/>
    <cellStyle name="Currency [0,00] TBD- 3 126" xfId="44945"/>
    <cellStyle name="Currency [0,00] TBD 3 127" xfId="44946"/>
    <cellStyle name="Currency [0,00] TBD- 3 127" xfId="44947"/>
    <cellStyle name="Currency [0,00] TBD 3 128" xfId="44948"/>
    <cellStyle name="Currency [0,00] TBD- 3 128" xfId="44949"/>
    <cellStyle name="Currency [0,00] TBD 3 129" xfId="44950"/>
    <cellStyle name="Currency [0,00] TBD- 3 129" xfId="44951"/>
    <cellStyle name="Currency [0,00] TBD 3 13" xfId="44952"/>
    <cellStyle name="Currency [0,00] TBD- 3 13" xfId="44953"/>
    <cellStyle name="Currency [0,00] TBD 3 130" xfId="44954"/>
    <cellStyle name="Currency [0,00] TBD- 3 130" xfId="44955"/>
    <cellStyle name="Currency [0,00] TBD 3 131" xfId="44956"/>
    <cellStyle name="Currency [0,00] TBD- 3 131" xfId="44957"/>
    <cellStyle name="Currency [0,00] TBD 3 132" xfId="44958"/>
    <cellStyle name="Currency [0,00] TBD- 3 132" xfId="44959"/>
    <cellStyle name="Currency [0,00] TBD 3 133" xfId="44960"/>
    <cellStyle name="Currency [0,00] TBD- 3 133" xfId="44961"/>
    <cellStyle name="Currency [0,00] TBD 3 134" xfId="44962"/>
    <cellStyle name="Currency [0,00] TBD- 3 134" xfId="44963"/>
    <cellStyle name="Currency [0,00] TBD 3 135" xfId="44964"/>
    <cellStyle name="Currency [0,00] TBD- 3 135" xfId="44965"/>
    <cellStyle name="Currency [0,00] TBD 3 136" xfId="44966"/>
    <cellStyle name="Currency [0,00] TBD- 3 136" xfId="44967"/>
    <cellStyle name="Currency [0,00] TBD 3 137" xfId="44968"/>
    <cellStyle name="Currency [0,00] TBD- 3 137" xfId="44969"/>
    <cellStyle name="Currency [0,00] TBD 3 138" xfId="44970"/>
    <cellStyle name="Currency [0,00] TBD- 3 138" xfId="44971"/>
    <cellStyle name="Currency [0,00] TBD 3 139" xfId="44972"/>
    <cellStyle name="Currency [0,00] TBD- 3 139" xfId="44973"/>
    <cellStyle name="Currency [0,00] TBD 3 14" xfId="44974"/>
    <cellStyle name="Currency [0,00] TBD- 3 14" xfId="44975"/>
    <cellStyle name="Currency [0,00] TBD 3 140" xfId="44976"/>
    <cellStyle name="Currency [0,00] TBD- 3 140" xfId="44977"/>
    <cellStyle name="Currency [0,00] TBD 3 141" xfId="44978"/>
    <cellStyle name="Currency [0,00] TBD- 3 141" xfId="44979"/>
    <cellStyle name="Currency [0,00] TBD 3 142" xfId="44980"/>
    <cellStyle name="Currency [0,00] TBD- 3 142" xfId="44981"/>
    <cellStyle name="Currency [0,00] TBD 3 143" xfId="44982"/>
    <cellStyle name="Currency [0,00] TBD- 3 143" xfId="44983"/>
    <cellStyle name="Currency [0,00] TBD 3 144" xfId="44984"/>
    <cellStyle name="Currency [0,00] TBD- 3 144" xfId="44985"/>
    <cellStyle name="Currency [0,00] TBD 3 145" xfId="44986"/>
    <cellStyle name="Currency [0,00] TBD- 3 145" xfId="44987"/>
    <cellStyle name="Currency [0,00] TBD 3 146" xfId="44988"/>
    <cellStyle name="Currency [0,00] TBD- 3 146" xfId="44989"/>
    <cellStyle name="Currency [0,00] TBD 3 147" xfId="44990"/>
    <cellStyle name="Currency [0,00] TBD- 3 147" xfId="44991"/>
    <cellStyle name="Currency [0,00] TBD 3 148" xfId="44992"/>
    <cellStyle name="Currency [0,00] TBD- 3 148" xfId="44993"/>
    <cellStyle name="Currency [0,00] TBD 3 149" xfId="44994"/>
    <cellStyle name="Currency [0,00] TBD- 3 149" xfId="44995"/>
    <cellStyle name="Currency [0,00] TBD 3 15" xfId="44996"/>
    <cellStyle name="Currency [0,00] TBD- 3 15" xfId="44997"/>
    <cellStyle name="Currency [0,00] TBD 3 150" xfId="44998"/>
    <cellStyle name="Currency [0,00] TBD- 3 150" xfId="44999"/>
    <cellStyle name="Currency [0,00] TBD 3 151" xfId="45000"/>
    <cellStyle name="Currency [0,00] TBD- 3 151" xfId="45001"/>
    <cellStyle name="Currency [0,00] TBD 3 152" xfId="45002"/>
    <cellStyle name="Currency [0,00] TBD- 3 152" xfId="45003"/>
    <cellStyle name="Currency [0,00] TBD 3 153" xfId="45004"/>
    <cellStyle name="Currency [0,00] TBD- 3 153" xfId="45005"/>
    <cellStyle name="Currency [0,00] TBD 3 154" xfId="45006"/>
    <cellStyle name="Currency [0,00] TBD- 3 154" xfId="45007"/>
    <cellStyle name="Currency [0,00] TBD 3 16" xfId="45008"/>
    <cellStyle name="Currency [0,00] TBD- 3 16" xfId="45009"/>
    <cellStyle name="Currency [0,00] TBD 3 17" xfId="45010"/>
    <cellStyle name="Currency [0,00] TBD- 3 17" xfId="45011"/>
    <cellStyle name="Currency [0,00] TBD 3 18" xfId="45012"/>
    <cellStyle name="Currency [0,00] TBD- 3 18" xfId="45013"/>
    <cellStyle name="Currency [0,00] TBD 3 19" xfId="45014"/>
    <cellStyle name="Currency [0,00] TBD- 3 19" xfId="45015"/>
    <cellStyle name="Currency [0,00] TBD 3 2" xfId="45016"/>
    <cellStyle name="Currency [0,00] TBD- 3 2" xfId="45017"/>
    <cellStyle name="Currency [0,00] TBD 3 2 2" xfId="45018"/>
    <cellStyle name="Currency [0,00] TBD- 3 2 2" xfId="45019"/>
    <cellStyle name="Currency [0,00] TBD 3 20" xfId="45020"/>
    <cellStyle name="Currency [0,00] TBD- 3 20" xfId="45021"/>
    <cellStyle name="Currency [0,00] TBD 3 21" xfId="45022"/>
    <cellStyle name="Currency [0,00] TBD- 3 21" xfId="45023"/>
    <cellStyle name="Currency [0,00] TBD 3 22" xfId="45024"/>
    <cellStyle name="Currency [0,00] TBD- 3 22" xfId="45025"/>
    <cellStyle name="Currency [0,00] TBD 3 23" xfId="45026"/>
    <cellStyle name="Currency [0,00] TBD- 3 23" xfId="45027"/>
    <cellStyle name="Currency [0,00] TBD 3 24" xfId="45028"/>
    <cellStyle name="Currency [0,00] TBD- 3 24" xfId="45029"/>
    <cellStyle name="Currency [0,00] TBD 3 25" xfId="45030"/>
    <cellStyle name="Currency [0,00] TBD- 3 25" xfId="45031"/>
    <cellStyle name="Currency [0,00] TBD 3 26" xfId="45032"/>
    <cellStyle name="Currency [0,00] TBD- 3 26" xfId="45033"/>
    <cellStyle name="Currency [0,00] TBD 3 27" xfId="45034"/>
    <cellStyle name="Currency [0,00] TBD- 3 27" xfId="45035"/>
    <cellStyle name="Currency [0,00] TBD 3 28" xfId="45036"/>
    <cellStyle name="Currency [0,00] TBD- 3 28" xfId="45037"/>
    <cellStyle name="Currency [0,00] TBD 3 29" xfId="45038"/>
    <cellStyle name="Currency [0,00] TBD- 3 29" xfId="45039"/>
    <cellStyle name="Currency [0,00] TBD 3 3" xfId="45040"/>
    <cellStyle name="Currency [0,00] TBD- 3 3" xfId="45041"/>
    <cellStyle name="Currency [0,00] TBD 3 30" xfId="45042"/>
    <cellStyle name="Currency [0,00] TBD- 3 30" xfId="45043"/>
    <cellStyle name="Currency [0,00] TBD 3 31" xfId="45044"/>
    <cellStyle name="Currency [0,00] TBD- 3 31" xfId="45045"/>
    <cellStyle name="Currency [0,00] TBD 3 32" xfId="45046"/>
    <cellStyle name="Currency [0,00] TBD- 3 32" xfId="45047"/>
    <cellStyle name="Currency [0,00] TBD 3 33" xfId="45048"/>
    <cellStyle name="Currency [0,00] TBD- 3 33" xfId="45049"/>
    <cellStyle name="Currency [0,00] TBD 3 34" xfId="45050"/>
    <cellStyle name="Currency [0,00] TBD- 3 34" xfId="45051"/>
    <cellStyle name="Currency [0,00] TBD 3 35" xfId="45052"/>
    <cellStyle name="Currency [0,00] TBD- 3 35" xfId="45053"/>
    <cellStyle name="Currency [0,00] TBD 3 36" xfId="45054"/>
    <cellStyle name="Currency [0,00] TBD- 3 36" xfId="45055"/>
    <cellStyle name="Currency [0,00] TBD 3 37" xfId="45056"/>
    <cellStyle name="Currency [0,00] TBD- 3 37" xfId="45057"/>
    <cellStyle name="Currency [0,00] TBD 3 38" xfId="45058"/>
    <cellStyle name="Currency [0,00] TBD- 3 38" xfId="45059"/>
    <cellStyle name="Currency [0,00] TBD 3 39" xfId="45060"/>
    <cellStyle name="Currency [0,00] TBD- 3 39" xfId="45061"/>
    <cellStyle name="Currency [0,00] TBD 3 4" xfId="45062"/>
    <cellStyle name="Currency [0,00] TBD- 3 4" xfId="45063"/>
    <cellStyle name="Currency [0,00] TBD 3 40" xfId="45064"/>
    <cellStyle name="Currency [0,00] TBD- 3 40" xfId="45065"/>
    <cellStyle name="Currency [0,00] TBD 3 41" xfId="45066"/>
    <cellStyle name="Currency [0,00] TBD- 3 41" xfId="45067"/>
    <cellStyle name="Currency [0,00] TBD 3 42" xfId="45068"/>
    <cellStyle name="Currency [0,00] TBD- 3 42" xfId="45069"/>
    <cellStyle name="Currency [0,00] TBD 3 43" xfId="45070"/>
    <cellStyle name="Currency [0,00] TBD- 3 43" xfId="45071"/>
    <cellStyle name="Currency [0,00] TBD 3 44" xfId="45072"/>
    <cellStyle name="Currency [0,00] TBD- 3 44" xfId="45073"/>
    <cellStyle name="Currency [0,00] TBD 3 45" xfId="45074"/>
    <cellStyle name="Currency [0,00] TBD- 3 45" xfId="45075"/>
    <cellStyle name="Currency [0,00] TBD 3 46" xfId="45076"/>
    <cellStyle name="Currency [0,00] TBD- 3 46" xfId="45077"/>
    <cellStyle name="Currency [0,00] TBD 3 47" xfId="45078"/>
    <cellStyle name="Currency [0,00] TBD- 3 47" xfId="45079"/>
    <cellStyle name="Currency [0,00] TBD 3 48" xfId="45080"/>
    <cellStyle name="Currency [0,00] TBD- 3 48" xfId="45081"/>
    <cellStyle name="Currency [0,00] TBD 3 49" xfId="45082"/>
    <cellStyle name="Currency [0,00] TBD- 3 49" xfId="45083"/>
    <cellStyle name="Currency [0,00] TBD 3 5" xfId="45084"/>
    <cellStyle name="Currency [0,00] TBD- 3 5" xfId="45085"/>
    <cellStyle name="Currency [0,00] TBD 3 50" xfId="45086"/>
    <cellStyle name="Currency [0,00] TBD- 3 50" xfId="45087"/>
    <cellStyle name="Currency [0,00] TBD 3 51" xfId="45088"/>
    <cellStyle name="Currency [0,00] TBD- 3 51" xfId="45089"/>
    <cellStyle name="Currency [0,00] TBD 3 52" xfId="45090"/>
    <cellStyle name="Currency [0,00] TBD- 3 52" xfId="45091"/>
    <cellStyle name="Currency [0,00] TBD 3 53" xfId="45092"/>
    <cellStyle name="Currency [0,00] TBD- 3 53" xfId="45093"/>
    <cellStyle name="Currency [0,00] TBD 3 54" xfId="45094"/>
    <cellStyle name="Currency [0,00] TBD- 3 54" xfId="45095"/>
    <cellStyle name="Currency [0,00] TBD 3 55" xfId="45096"/>
    <cellStyle name="Currency [0,00] TBD- 3 55" xfId="45097"/>
    <cellStyle name="Currency [0,00] TBD 3 56" xfId="45098"/>
    <cellStyle name="Currency [0,00] TBD- 3 56" xfId="45099"/>
    <cellStyle name="Currency [0,00] TBD 3 57" xfId="45100"/>
    <cellStyle name="Currency [0,00] TBD- 3 57" xfId="45101"/>
    <cellStyle name="Currency [0,00] TBD 3 58" xfId="45102"/>
    <cellStyle name="Currency [0,00] TBD- 3 58" xfId="45103"/>
    <cellStyle name="Currency [0,00] TBD 3 59" xfId="45104"/>
    <cellStyle name="Currency [0,00] TBD- 3 59" xfId="45105"/>
    <cellStyle name="Currency [0,00] TBD 3 6" xfId="45106"/>
    <cellStyle name="Currency [0,00] TBD- 3 6" xfId="45107"/>
    <cellStyle name="Currency [0,00] TBD 3 60" xfId="45108"/>
    <cellStyle name="Currency [0,00] TBD- 3 60" xfId="45109"/>
    <cellStyle name="Currency [0,00] TBD 3 61" xfId="45110"/>
    <cellStyle name="Currency [0,00] TBD- 3 61" xfId="45111"/>
    <cellStyle name="Currency [0,00] TBD 3 62" xfId="45112"/>
    <cellStyle name="Currency [0,00] TBD- 3 62" xfId="45113"/>
    <cellStyle name="Currency [0,00] TBD 3 63" xfId="45114"/>
    <cellStyle name="Currency [0,00] TBD- 3 63" xfId="45115"/>
    <cellStyle name="Currency [0,00] TBD 3 64" xfId="45116"/>
    <cellStyle name="Currency [0,00] TBD- 3 64" xfId="45117"/>
    <cellStyle name="Currency [0,00] TBD 3 65" xfId="45118"/>
    <cellStyle name="Currency [0,00] TBD- 3 65" xfId="45119"/>
    <cellStyle name="Currency [0,00] TBD 3 66" xfId="45120"/>
    <cellStyle name="Currency [0,00] TBD- 3 66" xfId="45121"/>
    <cellStyle name="Currency [0,00] TBD 3 67" xfId="45122"/>
    <cellStyle name="Currency [0,00] TBD- 3 67" xfId="45123"/>
    <cellStyle name="Currency [0,00] TBD 3 68" xfId="45124"/>
    <cellStyle name="Currency [0,00] TBD- 3 68" xfId="45125"/>
    <cellStyle name="Currency [0,00] TBD 3 69" xfId="45126"/>
    <cellStyle name="Currency [0,00] TBD- 3 69" xfId="45127"/>
    <cellStyle name="Currency [0,00] TBD 3 7" xfId="45128"/>
    <cellStyle name="Currency [0,00] TBD- 3 7" xfId="45129"/>
    <cellStyle name="Currency [0,00] TBD 3 70" xfId="45130"/>
    <cellStyle name="Currency [0,00] TBD- 3 70" xfId="45131"/>
    <cellStyle name="Currency [0,00] TBD 3 71" xfId="45132"/>
    <cellStyle name="Currency [0,00] TBD- 3 71" xfId="45133"/>
    <cellStyle name="Currency [0,00] TBD 3 72" xfId="45134"/>
    <cellStyle name="Currency [0,00] TBD- 3 72" xfId="45135"/>
    <cellStyle name="Currency [0,00] TBD 3 73" xfId="45136"/>
    <cellStyle name="Currency [0,00] TBD- 3 73" xfId="45137"/>
    <cellStyle name="Currency [0,00] TBD 3 74" xfId="45138"/>
    <cellStyle name="Currency [0,00] TBD- 3 74" xfId="45139"/>
    <cellStyle name="Currency [0,00] TBD 3 75" xfId="45140"/>
    <cellStyle name="Currency [0,00] TBD- 3 75" xfId="45141"/>
    <cellStyle name="Currency [0,00] TBD 3 76" xfId="45142"/>
    <cellStyle name="Currency [0,00] TBD- 3 76" xfId="45143"/>
    <cellStyle name="Currency [0,00] TBD 3 77" xfId="45144"/>
    <cellStyle name="Currency [0,00] TBD- 3 77" xfId="45145"/>
    <cellStyle name="Currency [0,00] TBD 3 78" xfId="45146"/>
    <cellStyle name="Currency [0,00] TBD- 3 78" xfId="45147"/>
    <cellStyle name="Currency [0,00] TBD 3 79" xfId="45148"/>
    <cellStyle name="Currency [0,00] TBD- 3 79" xfId="45149"/>
    <cellStyle name="Currency [0,00] TBD 3 8" xfId="45150"/>
    <cellStyle name="Currency [0,00] TBD- 3 8" xfId="45151"/>
    <cellStyle name="Currency [0,00] TBD 3 80" xfId="45152"/>
    <cellStyle name="Currency [0,00] TBD- 3 80" xfId="45153"/>
    <cellStyle name="Currency [0,00] TBD 3 81" xfId="45154"/>
    <cellStyle name="Currency [0,00] TBD- 3 81" xfId="45155"/>
    <cellStyle name="Currency [0,00] TBD 3 82" xfId="45156"/>
    <cellStyle name="Currency [0,00] TBD- 3 82" xfId="45157"/>
    <cellStyle name="Currency [0,00] TBD 3 83" xfId="45158"/>
    <cellStyle name="Currency [0,00] TBD- 3 83" xfId="45159"/>
    <cellStyle name="Currency [0,00] TBD 3 84" xfId="45160"/>
    <cellStyle name="Currency [0,00] TBD- 3 84" xfId="45161"/>
    <cellStyle name="Currency [0,00] TBD 3 85" xfId="45162"/>
    <cellStyle name="Currency [0,00] TBD- 3 85" xfId="45163"/>
    <cellStyle name="Currency [0,00] TBD 3 86" xfId="45164"/>
    <cellStyle name="Currency [0,00] TBD- 3 86" xfId="45165"/>
    <cellStyle name="Currency [0,00] TBD 3 87" xfId="45166"/>
    <cellStyle name="Currency [0,00] TBD- 3 87" xfId="45167"/>
    <cellStyle name="Currency [0,00] TBD 3 88" xfId="45168"/>
    <cellStyle name="Currency [0,00] TBD- 3 88" xfId="45169"/>
    <cellStyle name="Currency [0,00] TBD 3 89" xfId="45170"/>
    <cellStyle name="Currency [0,00] TBD- 3 89" xfId="45171"/>
    <cellStyle name="Currency [0,00] TBD 3 9" xfId="45172"/>
    <cellStyle name="Currency [0,00] TBD- 3 9" xfId="45173"/>
    <cellStyle name="Currency [0,00] TBD 3 90" xfId="45174"/>
    <cellStyle name="Currency [0,00] TBD- 3 90" xfId="45175"/>
    <cellStyle name="Currency [0,00] TBD 3 91" xfId="45176"/>
    <cellStyle name="Currency [0,00] TBD- 3 91" xfId="45177"/>
    <cellStyle name="Currency [0,00] TBD 3 92" xfId="45178"/>
    <cellStyle name="Currency [0,00] TBD- 3 92" xfId="45179"/>
    <cellStyle name="Currency [0,00] TBD 3 93" xfId="45180"/>
    <cellStyle name="Currency [0,00] TBD- 3 93" xfId="45181"/>
    <cellStyle name="Currency [0,00] TBD 3 94" xfId="45182"/>
    <cellStyle name="Currency [0,00] TBD- 3 94" xfId="45183"/>
    <cellStyle name="Currency [0,00] TBD 3 95" xfId="45184"/>
    <cellStyle name="Currency [0,00] TBD- 3 95" xfId="45185"/>
    <cellStyle name="Currency [0,00] TBD 3 96" xfId="45186"/>
    <cellStyle name="Currency [0,00] TBD- 3 96" xfId="45187"/>
    <cellStyle name="Currency [0,00] TBD 3 97" xfId="45188"/>
    <cellStyle name="Currency [0,00] TBD- 3 97" xfId="45189"/>
    <cellStyle name="Currency [0,00] TBD 3 98" xfId="45190"/>
    <cellStyle name="Currency [0,00] TBD- 3 98" xfId="45191"/>
    <cellStyle name="Currency [0,00] TBD 3 99" xfId="45192"/>
    <cellStyle name="Currency [0,00] TBD- 3 99" xfId="45193"/>
    <cellStyle name="Currency [0,00] TBD 4" xfId="45194"/>
    <cellStyle name="Currency [0,00] TBD- 4" xfId="45195"/>
    <cellStyle name="Currency [0,00] TBD 4 10" xfId="45196"/>
    <cellStyle name="Currency [0,00] TBD- 4 10" xfId="45197"/>
    <cellStyle name="Currency [0,00] TBD 4 100" xfId="45198"/>
    <cellStyle name="Currency [0,00] TBD- 4 100" xfId="45199"/>
    <cellStyle name="Currency [0,00] TBD 4 101" xfId="45200"/>
    <cellStyle name="Currency [0,00] TBD- 4 101" xfId="45201"/>
    <cellStyle name="Currency [0,00] TBD 4 102" xfId="45202"/>
    <cellStyle name="Currency [0,00] TBD- 4 102" xfId="45203"/>
    <cellStyle name="Currency [0,00] TBD 4 103" xfId="45204"/>
    <cellStyle name="Currency [0,00] TBD- 4 103" xfId="45205"/>
    <cellStyle name="Currency [0,00] TBD 4 104" xfId="45206"/>
    <cellStyle name="Currency [0,00] TBD- 4 104" xfId="45207"/>
    <cellStyle name="Currency [0,00] TBD 4 105" xfId="45208"/>
    <cellStyle name="Currency [0,00] TBD- 4 105" xfId="45209"/>
    <cellStyle name="Currency [0,00] TBD 4 106" xfId="45210"/>
    <cellStyle name="Currency [0,00] TBD- 4 106" xfId="45211"/>
    <cellStyle name="Currency [0,00] TBD 4 107" xfId="45212"/>
    <cellStyle name="Currency [0,00] TBD- 4 107" xfId="45213"/>
    <cellStyle name="Currency [0,00] TBD 4 108" xfId="45214"/>
    <cellStyle name="Currency [0,00] TBD- 4 108" xfId="45215"/>
    <cellStyle name="Currency [0,00] TBD 4 109" xfId="45216"/>
    <cellStyle name="Currency [0,00] TBD- 4 109" xfId="45217"/>
    <cellStyle name="Currency [0,00] TBD 4 11" xfId="45218"/>
    <cellStyle name="Currency [0,00] TBD- 4 11" xfId="45219"/>
    <cellStyle name="Currency [0,00] TBD 4 110" xfId="45220"/>
    <cellStyle name="Currency [0,00] TBD- 4 110" xfId="45221"/>
    <cellStyle name="Currency [0,00] TBD 4 111" xfId="45222"/>
    <cellStyle name="Currency [0,00] TBD- 4 111" xfId="45223"/>
    <cellStyle name="Currency [0,00] TBD 4 112" xfId="45224"/>
    <cellStyle name="Currency [0,00] TBD- 4 112" xfId="45225"/>
    <cellStyle name="Currency [0,00] TBD 4 113" xfId="45226"/>
    <cellStyle name="Currency [0,00] TBD- 4 113" xfId="45227"/>
    <cellStyle name="Currency [0,00] TBD 4 114" xfId="45228"/>
    <cellStyle name="Currency [0,00] TBD- 4 114" xfId="45229"/>
    <cellStyle name="Currency [0,00] TBD 4 115" xfId="45230"/>
    <cellStyle name="Currency [0,00] TBD- 4 115" xfId="45231"/>
    <cellStyle name="Currency [0,00] TBD 4 116" xfId="45232"/>
    <cellStyle name="Currency [0,00] TBD- 4 116" xfId="45233"/>
    <cellStyle name="Currency [0,00] TBD 4 117" xfId="45234"/>
    <cellStyle name="Currency [0,00] TBD- 4 117" xfId="45235"/>
    <cellStyle name="Currency [0,00] TBD 4 118" xfId="45236"/>
    <cellStyle name="Currency [0,00] TBD- 4 118" xfId="45237"/>
    <cellStyle name="Currency [0,00] TBD 4 119" xfId="45238"/>
    <cellStyle name="Currency [0,00] TBD- 4 119" xfId="45239"/>
    <cellStyle name="Currency [0,00] TBD 4 12" xfId="45240"/>
    <cellStyle name="Currency [0,00] TBD- 4 12" xfId="45241"/>
    <cellStyle name="Currency [0,00] TBD 4 120" xfId="45242"/>
    <cellStyle name="Currency [0,00] TBD- 4 120" xfId="45243"/>
    <cellStyle name="Currency [0,00] TBD 4 121" xfId="45244"/>
    <cellStyle name="Currency [0,00] TBD- 4 121" xfId="45245"/>
    <cellStyle name="Currency [0,00] TBD 4 122" xfId="45246"/>
    <cellStyle name="Currency [0,00] TBD- 4 122" xfId="45247"/>
    <cellStyle name="Currency [0,00] TBD 4 123" xfId="45248"/>
    <cellStyle name="Currency [0,00] TBD- 4 123" xfId="45249"/>
    <cellStyle name="Currency [0,00] TBD 4 124" xfId="45250"/>
    <cellStyle name="Currency [0,00] TBD- 4 124" xfId="45251"/>
    <cellStyle name="Currency [0,00] TBD 4 125" xfId="45252"/>
    <cellStyle name="Currency [0,00] TBD- 4 125" xfId="45253"/>
    <cellStyle name="Currency [0,00] TBD 4 126" xfId="45254"/>
    <cellStyle name="Currency [0,00] TBD- 4 126" xfId="45255"/>
    <cellStyle name="Currency [0,00] TBD 4 127" xfId="45256"/>
    <cellStyle name="Currency [0,00] TBD- 4 127" xfId="45257"/>
    <cellStyle name="Currency [0,00] TBD 4 128" xfId="45258"/>
    <cellStyle name="Currency [0,00] TBD- 4 128" xfId="45259"/>
    <cellStyle name="Currency [0,00] TBD 4 129" xfId="45260"/>
    <cellStyle name="Currency [0,00] TBD- 4 129" xfId="45261"/>
    <cellStyle name="Currency [0,00] TBD 4 13" xfId="45262"/>
    <cellStyle name="Currency [0,00] TBD- 4 13" xfId="45263"/>
    <cellStyle name="Currency [0,00] TBD 4 130" xfId="45264"/>
    <cellStyle name="Currency [0,00] TBD- 4 130" xfId="45265"/>
    <cellStyle name="Currency [0,00] TBD 4 131" xfId="45266"/>
    <cellStyle name="Currency [0,00] TBD- 4 131" xfId="45267"/>
    <cellStyle name="Currency [0,00] TBD 4 132" xfId="45268"/>
    <cellStyle name="Currency [0,00] TBD- 4 132" xfId="45269"/>
    <cellStyle name="Currency [0,00] TBD 4 133" xfId="45270"/>
    <cellStyle name="Currency [0,00] TBD- 4 133" xfId="45271"/>
    <cellStyle name="Currency [0,00] TBD 4 134" xfId="45272"/>
    <cellStyle name="Currency [0,00] TBD- 4 134" xfId="45273"/>
    <cellStyle name="Currency [0,00] TBD 4 135" xfId="45274"/>
    <cellStyle name="Currency [0,00] TBD- 4 135" xfId="45275"/>
    <cellStyle name="Currency [0,00] TBD 4 136" xfId="45276"/>
    <cellStyle name="Currency [0,00] TBD- 4 136" xfId="45277"/>
    <cellStyle name="Currency [0,00] TBD 4 137" xfId="45278"/>
    <cellStyle name="Currency [0,00] TBD- 4 137" xfId="45279"/>
    <cellStyle name="Currency [0,00] TBD 4 138" xfId="45280"/>
    <cellStyle name="Currency [0,00] TBD- 4 138" xfId="45281"/>
    <cellStyle name="Currency [0,00] TBD 4 139" xfId="45282"/>
    <cellStyle name="Currency [0,00] TBD- 4 139" xfId="45283"/>
    <cellStyle name="Currency [0,00] TBD 4 14" xfId="45284"/>
    <cellStyle name="Currency [0,00] TBD- 4 14" xfId="45285"/>
    <cellStyle name="Currency [0,00] TBD 4 140" xfId="45286"/>
    <cellStyle name="Currency [0,00] TBD- 4 140" xfId="45287"/>
    <cellStyle name="Currency [0,00] TBD 4 141" xfId="45288"/>
    <cellStyle name="Currency [0,00] TBD- 4 141" xfId="45289"/>
    <cellStyle name="Currency [0,00] TBD 4 142" xfId="45290"/>
    <cellStyle name="Currency [0,00] TBD- 4 142" xfId="45291"/>
    <cellStyle name="Currency [0,00] TBD 4 143" xfId="45292"/>
    <cellStyle name="Currency [0,00] TBD- 4 143" xfId="45293"/>
    <cellStyle name="Currency [0,00] TBD 4 144" xfId="45294"/>
    <cellStyle name="Currency [0,00] TBD- 4 144" xfId="45295"/>
    <cellStyle name="Currency [0,00] TBD 4 145" xfId="45296"/>
    <cellStyle name="Currency [0,00] TBD- 4 145" xfId="45297"/>
    <cellStyle name="Currency [0,00] TBD 4 146" xfId="45298"/>
    <cellStyle name="Currency [0,00] TBD- 4 146" xfId="45299"/>
    <cellStyle name="Currency [0,00] TBD 4 147" xfId="45300"/>
    <cellStyle name="Currency [0,00] TBD- 4 147" xfId="45301"/>
    <cellStyle name="Currency [0,00] TBD 4 148" xfId="45302"/>
    <cellStyle name="Currency [0,00] TBD- 4 148" xfId="45303"/>
    <cellStyle name="Currency [0,00] TBD 4 149" xfId="45304"/>
    <cellStyle name="Currency [0,00] TBD- 4 149" xfId="45305"/>
    <cellStyle name="Currency [0,00] TBD 4 15" xfId="45306"/>
    <cellStyle name="Currency [0,00] TBD- 4 15" xfId="45307"/>
    <cellStyle name="Currency [0,00] TBD 4 150" xfId="45308"/>
    <cellStyle name="Currency [0,00] TBD- 4 150" xfId="45309"/>
    <cellStyle name="Currency [0,00] TBD 4 151" xfId="45310"/>
    <cellStyle name="Currency [0,00] TBD- 4 151" xfId="45311"/>
    <cellStyle name="Currency [0,00] TBD 4 152" xfId="45312"/>
    <cellStyle name="Currency [0,00] TBD- 4 152" xfId="45313"/>
    <cellStyle name="Currency [0,00] TBD 4 153" xfId="45314"/>
    <cellStyle name="Currency [0,00] TBD- 4 153" xfId="45315"/>
    <cellStyle name="Currency [0,00] TBD 4 154" xfId="45316"/>
    <cellStyle name="Currency [0,00] TBD- 4 154" xfId="45317"/>
    <cellStyle name="Currency [0,00] TBD 4 16" xfId="45318"/>
    <cellStyle name="Currency [0,00] TBD- 4 16" xfId="45319"/>
    <cellStyle name="Currency [0,00] TBD 4 17" xfId="45320"/>
    <cellStyle name="Currency [0,00] TBD- 4 17" xfId="45321"/>
    <cellStyle name="Currency [0,00] TBD 4 18" xfId="45322"/>
    <cellStyle name="Currency [0,00] TBD- 4 18" xfId="45323"/>
    <cellStyle name="Currency [0,00] TBD 4 19" xfId="45324"/>
    <cellStyle name="Currency [0,00] TBD- 4 19" xfId="45325"/>
    <cellStyle name="Currency [0,00] TBD 4 2" xfId="45326"/>
    <cellStyle name="Currency [0,00] TBD- 4 2" xfId="45327"/>
    <cellStyle name="Currency [0,00] TBD 4 20" xfId="45328"/>
    <cellStyle name="Currency [0,00] TBD- 4 20" xfId="45329"/>
    <cellStyle name="Currency [0,00] TBD 4 21" xfId="45330"/>
    <cellStyle name="Currency [0,00] TBD- 4 21" xfId="45331"/>
    <cellStyle name="Currency [0,00] TBD 4 22" xfId="45332"/>
    <cellStyle name="Currency [0,00] TBD- 4 22" xfId="45333"/>
    <cellStyle name="Currency [0,00] TBD 4 23" xfId="45334"/>
    <cellStyle name="Currency [0,00] TBD- 4 23" xfId="45335"/>
    <cellStyle name="Currency [0,00] TBD 4 24" xfId="45336"/>
    <cellStyle name="Currency [0,00] TBD- 4 24" xfId="45337"/>
    <cellStyle name="Currency [0,00] TBD 4 25" xfId="45338"/>
    <cellStyle name="Currency [0,00] TBD- 4 25" xfId="45339"/>
    <cellStyle name="Currency [0,00] TBD 4 26" xfId="45340"/>
    <cellStyle name="Currency [0,00] TBD- 4 26" xfId="45341"/>
    <cellStyle name="Currency [0,00] TBD 4 27" xfId="45342"/>
    <cellStyle name="Currency [0,00] TBD- 4 27" xfId="45343"/>
    <cellStyle name="Currency [0,00] TBD 4 28" xfId="45344"/>
    <cellStyle name="Currency [0,00] TBD- 4 28" xfId="45345"/>
    <cellStyle name="Currency [0,00] TBD 4 29" xfId="45346"/>
    <cellStyle name="Currency [0,00] TBD- 4 29" xfId="45347"/>
    <cellStyle name="Currency [0,00] TBD 4 3" xfId="45348"/>
    <cellStyle name="Currency [0,00] TBD- 4 3" xfId="45349"/>
    <cellStyle name="Currency [0,00] TBD 4 30" xfId="45350"/>
    <cellStyle name="Currency [0,00] TBD- 4 30" xfId="45351"/>
    <cellStyle name="Currency [0,00] TBD 4 31" xfId="45352"/>
    <cellStyle name="Currency [0,00] TBD- 4 31" xfId="45353"/>
    <cellStyle name="Currency [0,00] TBD 4 32" xfId="45354"/>
    <cellStyle name="Currency [0,00] TBD- 4 32" xfId="45355"/>
    <cellStyle name="Currency [0,00] TBD 4 33" xfId="45356"/>
    <cellStyle name="Currency [0,00] TBD- 4 33" xfId="45357"/>
    <cellStyle name="Currency [0,00] TBD 4 34" xfId="45358"/>
    <cellStyle name="Currency [0,00] TBD- 4 34" xfId="45359"/>
    <cellStyle name="Currency [0,00] TBD 4 35" xfId="45360"/>
    <cellStyle name="Currency [0,00] TBD- 4 35" xfId="45361"/>
    <cellStyle name="Currency [0,00] TBD 4 36" xfId="45362"/>
    <cellStyle name="Currency [0,00] TBD- 4 36" xfId="45363"/>
    <cellStyle name="Currency [0,00] TBD 4 37" xfId="45364"/>
    <cellStyle name="Currency [0,00] TBD- 4 37" xfId="45365"/>
    <cellStyle name="Currency [0,00] TBD 4 38" xfId="45366"/>
    <cellStyle name="Currency [0,00] TBD- 4 38" xfId="45367"/>
    <cellStyle name="Currency [0,00] TBD 4 39" xfId="45368"/>
    <cellStyle name="Currency [0,00] TBD- 4 39" xfId="45369"/>
    <cellStyle name="Currency [0,00] TBD 4 4" xfId="45370"/>
    <cellStyle name="Currency [0,00] TBD- 4 4" xfId="45371"/>
    <cellStyle name="Currency [0,00] TBD 4 40" xfId="45372"/>
    <cellStyle name="Currency [0,00] TBD- 4 40" xfId="45373"/>
    <cellStyle name="Currency [0,00] TBD 4 41" xfId="45374"/>
    <cellStyle name="Currency [0,00] TBD- 4 41" xfId="45375"/>
    <cellStyle name="Currency [0,00] TBD 4 42" xfId="45376"/>
    <cellStyle name="Currency [0,00] TBD- 4 42" xfId="45377"/>
    <cellStyle name="Currency [0,00] TBD 4 43" xfId="45378"/>
    <cellStyle name="Currency [0,00] TBD- 4 43" xfId="45379"/>
    <cellStyle name="Currency [0,00] TBD 4 44" xfId="45380"/>
    <cellStyle name="Currency [0,00] TBD- 4 44" xfId="45381"/>
    <cellStyle name="Currency [0,00] TBD 4 45" xfId="45382"/>
    <cellStyle name="Currency [0,00] TBD- 4 45" xfId="45383"/>
    <cellStyle name="Currency [0,00] TBD 4 46" xfId="45384"/>
    <cellStyle name="Currency [0,00] TBD- 4 46" xfId="45385"/>
    <cellStyle name="Currency [0,00] TBD 4 47" xfId="45386"/>
    <cellStyle name="Currency [0,00] TBD- 4 47" xfId="45387"/>
    <cellStyle name="Currency [0,00] TBD 4 48" xfId="45388"/>
    <cellStyle name="Currency [0,00] TBD- 4 48" xfId="45389"/>
    <cellStyle name="Currency [0,00] TBD 4 49" xfId="45390"/>
    <cellStyle name="Currency [0,00] TBD- 4 49" xfId="45391"/>
    <cellStyle name="Currency [0,00] TBD 4 5" xfId="45392"/>
    <cellStyle name="Currency [0,00] TBD- 4 5" xfId="45393"/>
    <cellStyle name="Currency [0,00] TBD 4 50" xfId="45394"/>
    <cellStyle name="Currency [0,00] TBD- 4 50" xfId="45395"/>
    <cellStyle name="Currency [0,00] TBD 4 51" xfId="45396"/>
    <cellStyle name="Currency [0,00] TBD- 4 51" xfId="45397"/>
    <cellStyle name="Currency [0,00] TBD 4 52" xfId="45398"/>
    <cellStyle name="Currency [0,00] TBD- 4 52" xfId="45399"/>
    <cellStyle name="Currency [0,00] TBD 4 53" xfId="45400"/>
    <cellStyle name="Currency [0,00] TBD- 4 53" xfId="45401"/>
    <cellStyle name="Currency [0,00] TBD 4 54" xfId="45402"/>
    <cellStyle name="Currency [0,00] TBD- 4 54" xfId="45403"/>
    <cellStyle name="Currency [0,00] TBD 4 55" xfId="45404"/>
    <cellStyle name="Currency [0,00] TBD- 4 55" xfId="45405"/>
    <cellStyle name="Currency [0,00] TBD 4 56" xfId="45406"/>
    <cellStyle name="Currency [0,00] TBD- 4 56" xfId="45407"/>
    <cellStyle name="Currency [0,00] TBD 4 57" xfId="45408"/>
    <cellStyle name="Currency [0,00] TBD- 4 57" xfId="45409"/>
    <cellStyle name="Currency [0,00] TBD 4 58" xfId="45410"/>
    <cellStyle name="Currency [0,00] TBD- 4 58" xfId="45411"/>
    <cellStyle name="Currency [0,00] TBD 4 59" xfId="45412"/>
    <cellStyle name="Currency [0,00] TBD- 4 59" xfId="45413"/>
    <cellStyle name="Currency [0,00] TBD 4 6" xfId="45414"/>
    <cellStyle name="Currency [0,00] TBD- 4 6" xfId="45415"/>
    <cellStyle name="Currency [0,00] TBD 4 60" xfId="45416"/>
    <cellStyle name="Currency [0,00] TBD- 4 60" xfId="45417"/>
    <cellStyle name="Currency [0,00] TBD 4 61" xfId="45418"/>
    <cellStyle name="Currency [0,00] TBD- 4 61" xfId="45419"/>
    <cellStyle name="Currency [0,00] TBD 4 62" xfId="45420"/>
    <cellStyle name="Currency [0,00] TBD- 4 62" xfId="45421"/>
    <cellStyle name="Currency [0,00] TBD 4 63" xfId="45422"/>
    <cellStyle name="Currency [0,00] TBD- 4 63" xfId="45423"/>
    <cellStyle name="Currency [0,00] TBD 4 64" xfId="45424"/>
    <cellStyle name="Currency [0,00] TBD- 4 64" xfId="45425"/>
    <cellStyle name="Currency [0,00] TBD 4 65" xfId="45426"/>
    <cellStyle name="Currency [0,00] TBD- 4 65" xfId="45427"/>
    <cellStyle name="Currency [0,00] TBD 4 66" xfId="45428"/>
    <cellStyle name="Currency [0,00] TBD- 4 66" xfId="45429"/>
    <cellStyle name="Currency [0,00] TBD 4 67" xfId="45430"/>
    <cellStyle name="Currency [0,00] TBD- 4 67" xfId="45431"/>
    <cellStyle name="Currency [0,00] TBD 4 68" xfId="45432"/>
    <cellStyle name="Currency [0,00] TBD- 4 68" xfId="45433"/>
    <cellStyle name="Currency [0,00] TBD 4 69" xfId="45434"/>
    <cellStyle name="Currency [0,00] TBD- 4 69" xfId="45435"/>
    <cellStyle name="Currency [0,00] TBD 4 7" xfId="45436"/>
    <cellStyle name="Currency [0,00] TBD- 4 7" xfId="45437"/>
    <cellStyle name="Currency [0,00] TBD 4 70" xfId="45438"/>
    <cellStyle name="Currency [0,00] TBD- 4 70" xfId="45439"/>
    <cellStyle name="Currency [0,00] TBD 4 71" xfId="45440"/>
    <cellStyle name="Currency [0,00] TBD- 4 71" xfId="45441"/>
    <cellStyle name="Currency [0,00] TBD 4 72" xfId="45442"/>
    <cellStyle name="Currency [0,00] TBD- 4 72" xfId="45443"/>
    <cellStyle name="Currency [0,00] TBD 4 73" xfId="45444"/>
    <cellStyle name="Currency [0,00] TBD- 4 73" xfId="45445"/>
    <cellStyle name="Currency [0,00] TBD 4 74" xfId="45446"/>
    <cellStyle name="Currency [0,00] TBD- 4 74" xfId="45447"/>
    <cellStyle name="Currency [0,00] TBD 4 75" xfId="45448"/>
    <cellStyle name="Currency [0,00] TBD- 4 75" xfId="45449"/>
    <cellStyle name="Currency [0,00] TBD 4 76" xfId="45450"/>
    <cellStyle name="Currency [0,00] TBD- 4 76" xfId="45451"/>
    <cellStyle name="Currency [0,00] TBD 4 77" xfId="45452"/>
    <cellStyle name="Currency [0,00] TBD- 4 77" xfId="45453"/>
    <cellStyle name="Currency [0,00] TBD 4 78" xfId="45454"/>
    <cellStyle name="Currency [0,00] TBD- 4 78" xfId="45455"/>
    <cellStyle name="Currency [0,00] TBD 4 79" xfId="45456"/>
    <cellStyle name="Currency [0,00] TBD- 4 79" xfId="45457"/>
    <cellStyle name="Currency [0,00] TBD 4 8" xfId="45458"/>
    <cellStyle name="Currency [0,00] TBD- 4 8" xfId="45459"/>
    <cellStyle name="Currency [0,00] TBD 4 80" xfId="45460"/>
    <cellStyle name="Currency [0,00] TBD- 4 80" xfId="45461"/>
    <cellStyle name="Currency [0,00] TBD 4 81" xfId="45462"/>
    <cellStyle name="Currency [0,00] TBD- 4 81" xfId="45463"/>
    <cellStyle name="Currency [0,00] TBD 4 82" xfId="45464"/>
    <cellStyle name="Currency [0,00] TBD- 4 82" xfId="45465"/>
    <cellStyle name="Currency [0,00] TBD 4 83" xfId="45466"/>
    <cellStyle name="Currency [0,00] TBD- 4 83" xfId="45467"/>
    <cellStyle name="Currency [0,00] TBD 4 84" xfId="45468"/>
    <cellStyle name="Currency [0,00] TBD- 4 84" xfId="45469"/>
    <cellStyle name="Currency [0,00] TBD 4 85" xfId="45470"/>
    <cellStyle name="Currency [0,00] TBD- 4 85" xfId="45471"/>
    <cellStyle name="Currency [0,00] TBD 4 86" xfId="45472"/>
    <cellStyle name="Currency [0,00] TBD- 4 86" xfId="45473"/>
    <cellStyle name="Currency [0,00] TBD 4 87" xfId="45474"/>
    <cellStyle name="Currency [0,00] TBD- 4 87" xfId="45475"/>
    <cellStyle name="Currency [0,00] TBD 4 88" xfId="45476"/>
    <cellStyle name="Currency [0,00] TBD- 4 88" xfId="45477"/>
    <cellStyle name="Currency [0,00] TBD 4 89" xfId="45478"/>
    <cellStyle name="Currency [0,00] TBD- 4 89" xfId="45479"/>
    <cellStyle name="Currency [0,00] TBD 4 9" xfId="45480"/>
    <cellStyle name="Currency [0,00] TBD- 4 9" xfId="45481"/>
    <cellStyle name="Currency [0,00] TBD 4 90" xfId="45482"/>
    <cellStyle name="Currency [0,00] TBD- 4 90" xfId="45483"/>
    <cellStyle name="Currency [0,00] TBD 4 91" xfId="45484"/>
    <cellStyle name="Currency [0,00] TBD- 4 91" xfId="45485"/>
    <cellStyle name="Currency [0,00] TBD 4 92" xfId="45486"/>
    <cellStyle name="Currency [0,00] TBD- 4 92" xfId="45487"/>
    <cellStyle name="Currency [0,00] TBD 4 93" xfId="45488"/>
    <cellStyle name="Currency [0,00] TBD- 4 93" xfId="45489"/>
    <cellStyle name="Currency [0,00] TBD 4 94" xfId="45490"/>
    <cellStyle name="Currency [0,00] TBD- 4 94" xfId="45491"/>
    <cellStyle name="Currency [0,00] TBD 4 95" xfId="45492"/>
    <cellStyle name="Currency [0,00] TBD- 4 95" xfId="45493"/>
    <cellStyle name="Currency [0,00] TBD 4 96" xfId="45494"/>
    <cellStyle name="Currency [0,00] TBD- 4 96" xfId="45495"/>
    <cellStyle name="Currency [0,00] TBD 4 97" xfId="45496"/>
    <cellStyle name="Currency [0,00] TBD- 4 97" xfId="45497"/>
    <cellStyle name="Currency [0,00] TBD 4 98" xfId="45498"/>
    <cellStyle name="Currency [0,00] TBD- 4 98" xfId="45499"/>
    <cellStyle name="Currency [0,00] TBD 4 99" xfId="45500"/>
    <cellStyle name="Currency [0,00] TBD- 4 99" xfId="45501"/>
    <cellStyle name="Currency [0,00] TBD 5" xfId="45502"/>
    <cellStyle name="Currency [0,00] TBD- 5" xfId="45503"/>
    <cellStyle name="Currency [0,00] TBD 5 10" xfId="45504"/>
    <cellStyle name="Currency [0,00] TBD- 5 10" xfId="45505"/>
    <cellStyle name="Currency [0,00] TBD 5 100" xfId="45506"/>
    <cellStyle name="Currency [0,00] TBD- 5 100" xfId="45507"/>
    <cellStyle name="Currency [0,00] TBD 5 101" xfId="45508"/>
    <cellStyle name="Currency [0,00] TBD- 5 101" xfId="45509"/>
    <cellStyle name="Currency [0,00] TBD 5 102" xfId="45510"/>
    <cellStyle name="Currency [0,00] TBD- 5 102" xfId="45511"/>
    <cellStyle name="Currency [0,00] TBD 5 103" xfId="45512"/>
    <cellStyle name="Currency [0,00] TBD- 5 103" xfId="45513"/>
    <cellStyle name="Currency [0,00] TBD 5 104" xfId="45514"/>
    <cellStyle name="Currency [0,00] TBD- 5 104" xfId="45515"/>
    <cellStyle name="Currency [0,00] TBD 5 105" xfId="45516"/>
    <cellStyle name="Currency [0,00] TBD- 5 105" xfId="45517"/>
    <cellStyle name="Currency [0,00] TBD 5 106" xfId="45518"/>
    <cellStyle name="Currency [0,00] TBD- 5 106" xfId="45519"/>
    <cellStyle name="Currency [0,00] TBD 5 107" xfId="45520"/>
    <cellStyle name="Currency [0,00] TBD- 5 107" xfId="45521"/>
    <cellStyle name="Currency [0,00] TBD 5 108" xfId="45522"/>
    <cellStyle name="Currency [0,00] TBD- 5 108" xfId="45523"/>
    <cellStyle name="Currency [0,00] TBD 5 109" xfId="45524"/>
    <cellStyle name="Currency [0,00] TBD- 5 109" xfId="45525"/>
    <cellStyle name="Currency [0,00] TBD 5 11" xfId="45526"/>
    <cellStyle name="Currency [0,00] TBD- 5 11" xfId="45527"/>
    <cellStyle name="Currency [0,00] TBD 5 110" xfId="45528"/>
    <cellStyle name="Currency [0,00] TBD- 5 110" xfId="45529"/>
    <cellStyle name="Currency [0,00] TBD 5 111" xfId="45530"/>
    <cellStyle name="Currency [0,00] TBD- 5 111" xfId="45531"/>
    <cellStyle name="Currency [0,00] TBD 5 112" xfId="45532"/>
    <cellStyle name="Currency [0,00] TBD- 5 112" xfId="45533"/>
    <cellStyle name="Currency [0,00] TBD 5 113" xfId="45534"/>
    <cellStyle name="Currency [0,00] TBD- 5 113" xfId="45535"/>
    <cellStyle name="Currency [0,00] TBD 5 114" xfId="45536"/>
    <cellStyle name="Currency [0,00] TBD- 5 114" xfId="45537"/>
    <cellStyle name="Currency [0,00] TBD 5 115" xfId="45538"/>
    <cellStyle name="Currency [0,00] TBD- 5 115" xfId="45539"/>
    <cellStyle name="Currency [0,00] TBD 5 116" xfId="45540"/>
    <cellStyle name="Currency [0,00] TBD- 5 116" xfId="45541"/>
    <cellStyle name="Currency [0,00] TBD 5 117" xfId="45542"/>
    <cellStyle name="Currency [0,00] TBD- 5 117" xfId="45543"/>
    <cellStyle name="Currency [0,00] TBD 5 118" xfId="45544"/>
    <cellStyle name="Currency [0,00] TBD- 5 118" xfId="45545"/>
    <cellStyle name="Currency [0,00] TBD 5 119" xfId="45546"/>
    <cellStyle name="Currency [0,00] TBD- 5 119" xfId="45547"/>
    <cellStyle name="Currency [0,00] TBD 5 12" xfId="45548"/>
    <cellStyle name="Currency [0,00] TBD- 5 12" xfId="45549"/>
    <cellStyle name="Currency [0,00] TBD 5 120" xfId="45550"/>
    <cellStyle name="Currency [0,00] TBD- 5 120" xfId="45551"/>
    <cellStyle name="Currency [0,00] TBD 5 121" xfId="45552"/>
    <cellStyle name="Currency [0,00] TBD- 5 121" xfId="45553"/>
    <cellStyle name="Currency [0,00] TBD 5 122" xfId="45554"/>
    <cellStyle name="Currency [0,00] TBD- 5 122" xfId="45555"/>
    <cellStyle name="Currency [0,00] TBD 5 123" xfId="45556"/>
    <cellStyle name="Currency [0,00] TBD- 5 123" xfId="45557"/>
    <cellStyle name="Currency [0,00] TBD 5 124" xfId="45558"/>
    <cellStyle name="Currency [0,00] TBD- 5 124" xfId="45559"/>
    <cellStyle name="Currency [0,00] TBD 5 125" xfId="45560"/>
    <cellStyle name="Currency [0,00] TBD- 5 125" xfId="45561"/>
    <cellStyle name="Currency [0,00] TBD 5 126" xfId="45562"/>
    <cellStyle name="Currency [0,00] TBD- 5 126" xfId="45563"/>
    <cellStyle name="Currency [0,00] TBD 5 127" xfId="45564"/>
    <cellStyle name="Currency [0,00] TBD- 5 127" xfId="45565"/>
    <cellStyle name="Currency [0,00] TBD 5 128" xfId="45566"/>
    <cellStyle name="Currency [0,00] TBD- 5 128" xfId="45567"/>
    <cellStyle name="Currency [0,00] TBD 5 129" xfId="45568"/>
    <cellStyle name="Currency [0,00] TBD- 5 129" xfId="45569"/>
    <cellStyle name="Currency [0,00] TBD 5 13" xfId="45570"/>
    <cellStyle name="Currency [0,00] TBD- 5 13" xfId="45571"/>
    <cellStyle name="Currency [0,00] TBD 5 130" xfId="45572"/>
    <cellStyle name="Currency [0,00] TBD- 5 130" xfId="45573"/>
    <cellStyle name="Currency [0,00] TBD 5 131" xfId="45574"/>
    <cellStyle name="Currency [0,00] TBD- 5 131" xfId="45575"/>
    <cellStyle name="Currency [0,00] TBD 5 132" xfId="45576"/>
    <cellStyle name="Currency [0,00] TBD- 5 132" xfId="45577"/>
    <cellStyle name="Currency [0,00] TBD 5 133" xfId="45578"/>
    <cellStyle name="Currency [0,00] TBD- 5 133" xfId="45579"/>
    <cellStyle name="Currency [0,00] TBD 5 134" xfId="45580"/>
    <cellStyle name="Currency [0,00] TBD- 5 134" xfId="45581"/>
    <cellStyle name="Currency [0,00] TBD 5 135" xfId="45582"/>
    <cellStyle name="Currency [0,00] TBD- 5 135" xfId="45583"/>
    <cellStyle name="Currency [0,00] TBD 5 136" xfId="45584"/>
    <cellStyle name="Currency [0,00] TBD- 5 136" xfId="45585"/>
    <cellStyle name="Currency [0,00] TBD 5 137" xfId="45586"/>
    <cellStyle name="Currency [0,00] TBD- 5 137" xfId="45587"/>
    <cellStyle name="Currency [0,00] TBD 5 138" xfId="45588"/>
    <cellStyle name="Currency [0,00] TBD- 5 138" xfId="45589"/>
    <cellStyle name="Currency [0,00] TBD 5 139" xfId="45590"/>
    <cellStyle name="Currency [0,00] TBD- 5 139" xfId="45591"/>
    <cellStyle name="Currency [0,00] TBD 5 14" xfId="45592"/>
    <cellStyle name="Currency [0,00] TBD- 5 14" xfId="45593"/>
    <cellStyle name="Currency [0,00] TBD 5 140" xfId="45594"/>
    <cellStyle name="Currency [0,00] TBD- 5 140" xfId="45595"/>
    <cellStyle name="Currency [0,00] TBD 5 141" xfId="45596"/>
    <cellStyle name="Currency [0,00] TBD- 5 141" xfId="45597"/>
    <cellStyle name="Currency [0,00] TBD 5 142" xfId="45598"/>
    <cellStyle name="Currency [0,00] TBD- 5 142" xfId="45599"/>
    <cellStyle name="Currency [0,00] TBD 5 143" xfId="45600"/>
    <cellStyle name="Currency [0,00] TBD- 5 143" xfId="45601"/>
    <cellStyle name="Currency [0,00] TBD 5 144" xfId="45602"/>
    <cellStyle name="Currency [0,00] TBD- 5 144" xfId="45603"/>
    <cellStyle name="Currency [0,00] TBD 5 145" xfId="45604"/>
    <cellStyle name="Currency [0,00] TBD- 5 145" xfId="45605"/>
    <cellStyle name="Currency [0,00] TBD 5 146" xfId="45606"/>
    <cellStyle name="Currency [0,00] TBD- 5 146" xfId="45607"/>
    <cellStyle name="Currency [0,00] TBD 5 147" xfId="45608"/>
    <cellStyle name="Currency [0,00] TBD- 5 147" xfId="45609"/>
    <cellStyle name="Currency [0,00] TBD 5 148" xfId="45610"/>
    <cellStyle name="Currency [0,00] TBD- 5 148" xfId="45611"/>
    <cellStyle name="Currency [0,00] TBD 5 149" xfId="45612"/>
    <cellStyle name="Currency [0,00] TBD- 5 149" xfId="45613"/>
    <cellStyle name="Currency [0,00] TBD 5 15" xfId="45614"/>
    <cellStyle name="Currency [0,00] TBD- 5 15" xfId="45615"/>
    <cellStyle name="Currency [0,00] TBD 5 150" xfId="45616"/>
    <cellStyle name="Currency [0,00] TBD- 5 150" xfId="45617"/>
    <cellStyle name="Currency [0,00] TBD 5 151" xfId="45618"/>
    <cellStyle name="Currency [0,00] TBD- 5 151" xfId="45619"/>
    <cellStyle name="Currency [0,00] TBD 5 152" xfId="45620"/>
    <cellStyle name="Currency [0,00] TBD- 5 152" xfId="45621"/>
    <cellStyle name="Currency [0,00] TBD 5 153" xfId="45622"/>
    <cellStyle name="Currency [0,00] TBD- 5 153" xfId="45623"/>
    <cellStyle name="Currency [0,00] TBD 5 16" xfId="45624"/>
    <cellStyle name="Currency [0,00] TBD- 5 16" xfId="45625"/>
    <cellStyle name="Currency [0,00] TBD 5 17" xfId="45626"/>
    <cellStyle name="Currency [0,00] TBD- 5 17" xfId="45627"/>
    <cellStyle name="Currency [0,00] TBD 5 18" xfId="45628"/>
    <cellStyle name="Currency [0,00] TBD- 5 18" xfId="45629"/>
    <cellStyle name="Currency [0,00] TBD 5 19" xfId="45630"/>
    <cellStyle name="Currency [0,00] TBD- 5 19" xfId="45631"/>
    <cellStyle name="Currency [0,00] TBD 5 2" xfId="45632"/>
    <cellStyle name="Currency [0,00] TBD- 5 2" xfId="45633"/>
    <cellStyle name="Currency [0,00] TBD 5 20" xfId="45634"/>
    <cellStyle name="Currency [0,00] TBD- 5 20" xfId="45635"/>
    <cellStyle name="Currency [0,00] TBD 5 21" xfId="45636"/>
    <cellStyle name="Currency [0,00] TBD- 5 21" xfId="45637"/>
    <cellStyle name="Currency [0,00] TBD 5 22" xfId="45638"/>
    <cellStyle name="Currency [0,00] TBD- 5 22" xfId="45639"/>
    <cellStyle name="Currency [0,00] TBD 5 23" xfId="45640"/>
    <cellStyle name="Currency [0,00] TBD- 5 23" xfId="45641"/>
    <cellStyle name="Currency [0,00] TBD 5 24" xfId="45642"/>
    <cellStyle name="Currency [0,00] TBD- 5 24" xfId="45643"/>
    <cellStyle name="Currency [0,00] TBD 5 25" xfId="45644"/>
    <cellStyle name="Currency [0,00] TBD- 5 25" xfId="45645"/>
    <cellStyle name="Currency [0,00] TBD 5 26" xfId="45646"/>
    <cellStyle name="Currency [0,00] TBD- 5 26" xfId="45647"/>
    <cellStyle name="Currency [0,00] TBD 5 27" xfId="45648"/>
    <cellStyle name="Currency [0,00] TBD- 5 27" xfId="45649"/>
    <cellStyle name="Currency [0,00] TBD 5 28" xfId="45650"/>
    <cellStyle name="Currency [0,00] TBD- 5 28" xfId="45651"/>
    <cellStyle name="Currency [0,00] TBD 5 29" xfId="45652"/>
    <cellStyle name="Currency [0,00] TBD- 5 29" xfId="45653"/>
    <cellStyle name="Currency [0,00] TBD 5 3" xfId="45654"/>
    <cellStyle name="Currency [0,00] TBD- 5 3" xfId="45655"/>
    <cellStyle name="Currency [0,00] TBD 5 30" xfId="45656"/>
    <cellStyle name="Currency [0,00] TBD- 5 30" xfId="45657"/>
    <cellStyle name="Currency [0,00] TBD 5 31" xfId="45658"/>
    <cellStyle name="Currency [0,00] TBD- 5 31" xfId="45659"/>
    <cellStyle name="Currency [0,00] TBD 5 32" xfId="45660"/>
    <cellStyle name="Currency [0,00] TBD- 5 32" xfId="45661"/>
    <cellStyle name="Currency [0,00] TBD 5 33" xfId="45662"/>
    <cellStyle name="Currency [0,00] TBD- 5 33" xfId="45663"/>
    <cellStyle name="Currency [0,00] TBD 5 34" xfId="45664"/>
    <cellStyle name="Currency [0,00] TBD- 5 34" xfId="45665"/>
    <cellStyle name="Currency [0,00] TBD 5 35" xfId="45666"/>
    <cellStyle name="Currency [0,00] TBD- 5 35" xfId="45667"/>
    <cellStyle name="Currency [0,00] TBD 5 36" xfId="45668"/>
    <cellStyle name="Currency [0,00] TBD- 5 36" xfId="45669"/>
    <cellStyle name="Currency [0,00] TBD 5 37" xfId="45670"/>
    <cellStyle name="Currency [0,00] TBD- 5 37" xfId="45671"/>
    <cellStyle name="Currency [0,00] TBD 5 38" xfId="45672"/>
    <cellStyle name="Currency [0,00] TBD- 5 38" xfId="45673"/>
    <cellStyle name="Currency [0,00] TBD 5 39" xfId="45674"/>
    <cellStyle name="Currency [0,00] TBD- 5 39" xfId="45675"/>
    <cellStyle name="Currency [0,00] TBD 5 4" xfId="45676"/>
    <cellStyle name="Currency [0,00] TBD- 5 4" xfId="45677"/>
    <cellStyle name="Currency [0,00] TBD 5 40" xfId="45678"/>
    <cellStyle name="Currency [0,00] TBD- 5 40" xfId="45679"/>
    <cellStyle name="Currency [0,00] TBD 5 41" xfId="45680"/>
    <cellStyle name="Currency [0,00] TBD- 5 41" xfId="45681"/>
    <cellStyle name="Currency [0,00] TBD 5 42" xfId="45682"/>
    <cellStyle name="Currency [0,00] TBD- 5 42" xfId="45683"/>
    <cellStyle name="Currency [0,00] TBD 5 43" xfId="45684"/>
    <cellStyle name="Currency [0,00] TBD- 5 43" xfId="45685"/>
    <cellStyle name="Currency [0,00] TBD 5 44" xfId="45686"/>
    <cellStyle name="Currency [0,00] TBD- 5 44" xfId="45687"/>
    <cellStyle name="Currency [0,00] TBD 5 45" xfId="45688"/>
    <cellStyle name="Currency [0,00] TBD- 5 45" xfId="45689"/>
    <cellStyle name="Currency [0,00] TBD 5 46" xfId="45690"/>
    <cellStyle name="Currency [0,00] TBD- 5 46" xfId="45691"/>
    <cellStyle name="Currency [0,00] TBD 5 47" xfId="45692"/>
    <cellStyle name="Currency [0,00] TBD- 5 47" xfId="45693"/>
    <cellStyle name="Currency [0,00] TBD 5 48" xfId="45694"/>
    <cellStyle name="Currency [0,00] TBD- 5 48" xfId="45695"/>
    <cellStyle name="Currency [0,00] TBD 5 49" xfId="45696"/>
    <cellStyle name="Currency [0,00] TBD- 5 49" xfId="45697"/>
    <cellStyle name="Currency [0,00] TBD 5 5" xfId="45698"/>
    <cellStyle name="Currency [0,00] TBD- 5 5" xfId="45699"/>
    <cellStyle name="Currency [0,00] TBD 5 50" xfId="45700"/>
    <cellStyle name="Currency [0,00] TBD- 5 50" xfId="45701"/>
    <cellStyle name="Currency [0,00] TBD 5 51" xfId="45702"/>
    <cellStyle name="Currency [0,00] TBD- 5 51" xfId="45703"/>
    <cellStyle name="Currency [0,00] TBD 5 52" xfId="45704"/>
    <cellStyle name="Currency [0,00] TBD- 5 52" xfId="45705"/>
    <cellStyle name="Currency [0,00] TBD 5 53" xfId="45706"/>
    <cellStyle name="Currency [0,00] TBD- 5 53" xfId="45707"/>
    <cellStyle name="Currency [0,00] TBD 5 54" xfId="45708"/>
    <cellStyle name="Currency [0,00] TBD- 5 54" xfId="45709"/>
    <cellStyle name="Currency [0,00] TBD 5 55" xfId="45710"/>
    <cellStyle name="Currency [0,00] TBD- 5 55" xfId="45711"/>
    <cellStyle name="Currency [0,00] TBD 5 56" xfId="45712"/>
    <cellStyle name="Currency [0,00] TBD- 5 56" xfId="45713"/>
    <cellStyle name="Currency [0,00] TBD 5 57" xfId="45714"/>
    <cellStyle name="Currency [0,00] TBD- 5 57" xfId="45715"/>
    <cellStyle name="Currency [0,00] TBD 5 58" xfId="45716"/>
    <cellStyle name="Currency [0,00] TBD- 5 58" xfId="45717"/>
    <cellStyle name="Currency [0,00] TBD 5 59" xfId="45718"/>
    <cellStyle name="Currency [0,00] TBD- 5 59" xfId="45719"/>
    <cellStyle name="Currency [0,00] TBD 5 6" xfId="45720"/>
    <cellStyle name="Currency [0,00] TBD- 5 6" xfId="45721"/>
    <cellStyle name="Currency [0,00] TBD 5 60" xfId="45722"/>
    <cellStyle name="Currency [0,00] TBD- 5 60" xfId="45723"/>
    <cellStyle name="Currency [0,00] TBD 5 61" xfId="45724"/>
    <cellStyle name="Currency [0,00] TBD- 5 61" xfId="45725"/>
    <cellStyle name="Currency [0,00] TBD 5 62" xfId="45726"/>
    <cellStyle name="Currency [0,00] TBD- 5 62" xfId="45727"/>
    <cellStyle name="Currency [0,00] TBD 5 63" xfId="45728"/>
    <cellStyle name="Currency [0,00] TBD- 5 63" xfId="45729"/>
    <cellStyle name="Currency [0,00] TBD 5 64" xfId="45730"/>
    <cellStyle name="Currency [0,00] TBD- 5 64" xfId="45731"/>
    <cellStyle name="Currency [0,00] TBD 5 65" xfId="45732"/>
    <cellStyle name="Currency [0,00] TBD- 5 65" xfId="45733"/>
    <cellStyle name="Currency [0,00] TBD 5 66" xfId="45734"/>
    <cellStyle name="Currency [0,00] TBD- 5 66" xfId="45735"/>
    <cellStyle name="Currency [0,00] TBD 5 67" xfId="45736"/>
    <cellStyle name="Currency [0,00] TBD- 5 67" xfId="45737"/>
    <cellStyle name="Currency [0,00] TBD 5 68" xfId="45738"/>
    <cellStyle name="Currency [0,00] TBD- 5 68" xfId="45739"/>
    <cellStyle name="Currency [0,00] TBD 5 69" xfId="45740"/>
    <cellStyle name="Currency [0,00] TBD- 5 69" xfId="45741"/>
    <cellStyle name="Currency [0,00] TBD 5 7" xfId="45742"/>
    <cellStyle name="Currency [0,00] TBD- 5 7" xfId="45743"/>
    <cellStyle name="Currency [0,00] TBD 5 70" xfId="45744"/>
    <cellStyle name="Currency [0,00] TBD- 5 70" xfId="45745"/>
    <cellStyle name="Currency [0,00] TBD 5 71" xfId="45746"/>
    <cellStyle name="Currency [0,00] TBD- 5 71" xfId="45747"/>
    <cellStyle name="Currency [0,00] TBD 5 72" xfId="45748"/>
    <cellStyle name="Currency [0,00] TBD- 5 72" xfId="45749"/>
    <cellStyle name="Currency [0,00] TBD 5 73" xfId="45750"/>
    <cellStyle name="Currency [0,00] TBD- 5 73" xfId="45751"/>
    <cellStyle name="Currency [0,00] TBD 5 74" xfId="45752"/>
    <cellStyle name="Currency [0,00] TBD- 5 74" xfId="45753"/>
    <cellStyle name="Currency [0,00] TBD 5 75" xfId="45754"/>
    <cellStyle name="Currency [0,00] TBD- 5 75" xfId="45755"/>
    <cellStyle name="Currency [0,00] TBD 5 76" xfId="45756"/>
    <cellStyle name="Currency [0,00] TBD- 5 76" xfId="45757"/>
    <cellStyle name="Currency [0,00] TBD 5 77" xfId="45758"/>
    <cellStyle name="Currency [0,00] TBD- 5 77" xfId="45759"/>
    <cellStyle name="Currency [0,00] TBD 5 78" xfId="45760"/>
    <cellStyle name="Currency [0,00] TBD- 5 78" xfId="45761"/>
    <cellStyle name="Currency [0,00] TBD 5 79" xfId="45762"/>
    <cellStyle name="Currency [0,00] TBD- 5 79" xfId="45763"/>
    <cellStyle name="Currency [0,00] TBD 5 8" xfId="45764"/>
    <cellStyle name="Currency [0,00] TBD- 5 8" xfId="45765"/>
    <cellStyle name="Currency [0,00] TBD 5 80" xfId="45766"/>
    <cellStyle name="Currency [0,00] TBD- 5 80" xfId="45767"/>
    <cellStyle name="Currency [0,00] TBD 5 81" xfId="45768"/>
    <cellStyle name="Currency [0,00] TBD- 5 81" xfId="45769"/>
    <cellStyle name="Currency [0,00] TBD 5 82" xfId="45770"/>
    <cellStyle name="Currency [0,00] TBD- 5 82" xfId="45771"/>
    <cellStyle name="Currency [0,00] TBD 5 83" xfId="45772"/>
    <cellStyle name="Currency [0,00] TBD- 5 83" xfId="45773"/>
    <cellStyle name="Currency [0,00] TBD 5 84" xfId="45774"/>
    <cellStyle name="Currency [0,00] TBD- 5 84" xfId="45775"/>
    <cellStyle name="Currency [0,00] TBD 5 85" xfId="45776"/>
    <cellStyle name="Currency [0,00] TBD- 5 85" xfId="45777"/>
    <cellStyle name="Currency [0,00] TBD 5 86" xfId="45778"/>
    <cellStyle name="Currency [0,00] TBD- 5 86" xfId="45779"/>
    <cellStyle name="Currency [0,00] TBD 5 87" xfId="45780"/>
    <cellStyle name="Currency [0,00] TBD- 5 87" xfId="45781"/>
    <cellStyle name="Currency [0,00] TBD 5 88" xfId="45782"/>
    <cellStyle name="Currency [0,00] TBD- 5 88" xfId="45783"/>
    <cellStyle name="Currency [0,00] TBD 5 89" xfId="45784"/>
    <cellStyle name="Currency [0,00] TBD- 5 89" xfId="45785"/>
    <cellStyle name="Currency [0,00] TBD 5 9" xfId="45786"/>
    <cellStyle name="Currency [0,00] TBD- 5 9" xfId="45787"/>
    <cellStyle name="Currency [0,00] TBD 5 90" xfId="45788"/>
    <cellStyle name="Currency [0,00] TBD- 5 90" xfId="45789"/>
    <cellStyle name="Currency [0,00] TBD 5 91" xfId="45790"/>
    <cellStyle name="Currency [0,00] TBD- 5 91" xfId="45791"/>
    <cellStyle name="Currency [0,00] TBD 5 92" xfId="45792"/>
    <cellStyle name="Currency [0,00] TBD- 5 92" xfId="45793"/>
    <cellStyle name="Currency [0,00] TBD 5 93" xfId="45794"/>
    <cellStyle name="Currency [0,00] TBD- 5 93" xfId="45795"/>
    <cellStyle name="Currency [0,00] TBD 5 94" xfId="45796"/>
    <cellStyle name="Currency [0,00] TBD- 5 94" xfId="45797"/>
    <cellStyle name="Currency [0,00] TBD 5 95" xfId="45798"/>
    <cellStyle name="Currency [0,00] TBD- 5 95" xfId="45799"/>
    <cellStyle name="Currency [0,00] TBD 5 96" xfId="45800"/>
    <cellStyle name="Currency [0,00] TBD- 5 96" xfId="45801"/>
    <cellStyle name="Currency [0,00] TBD 5 97" xfId="45802"/>
    <cellStyle name="Currency [0,00] TBD- 5 97" xfId="45803"/>
    <cellStyle name="Currency [0,00] TBD 5 98" xfId="45804"/>
    <cellStyle name="Currency [0,00] TBD- 5 98" xfId="45805"/>
    <cellStyle name="Currency [0,00] TBD 5 99" xfId="45806"/>
    <cellStyle name="Currency [0,00] TBD- 5 99" xfId="45807"/>
    <cellStyle name="Currency [0,00] TBD 6" xfId="45808"/>
    <cellStyle name="Currency [0,00] TBD- 6" xfId="45809"/>
    <cellStyle name="Currency [0,00] TBD 6 10" xfId="45810"/>
    <cellStyle name="Currency [0,00] TBD- 6 10" xfId="45811"/>
    <cellStyle name="Currency [0,00] TBD 6 100" xfId="45812"/>
    <cellStyle name="Currency [0,00] TBD- 6 100" xfId="45813"/>
    <cellStyle name="Currency [0,00] TBD 6 101" xfId="45814"/>
    <cellStyle name="Currency [0,00] TBD- 6 101" xfId="45815"/>
    <cellStyle name="Currency [0,00] TBD 6 102" xfId="45816"/>
    <cellStyle name="Currency [0,00] TBD- 6 102" xfId="45817"/>
    <cellStyle name="Currency [0,00] TBD 6 103" xfId="45818"/>
    <cellStyle name="Currency [0,00] TBD- 6 103" xfId="45819"/>
    <cellStyle name="Currency [0,00] TBD 6 104" xfId="45820"/>
    <cellStyle name="Currency [0,00] TBD- 6 104" xfId="45821"/>
    <cellStyle name="Currency [0,00] TBD 6 105" xfId="45822"/>
    <cellStyle name="Currency [0,00] TBD- 6 105" xfId="45823"/>
    <cellStyle name="Currency [0,00] TBD 6 106" xfId="45824"/>
    <cellStyle name="Currency [0,00] TBD- 6 106" xfId="45825"/>
    <cellStyle name="Currency [0,00] TBD 6 107" xfId="45826"/>
    <cellStyle name="Currency [0,00] TBD- 6 107" xfId="45827"/>
    <cellStyle name="Currency [0,00] TBD 6 108" xfId="45828"/>
    <cellStyle name="Currency [0,00] TBD- 6 108" xfId="45829"/>
    <cellStyle name="Currency [0,00] TBD 6 109" xfId="45830"/>
    <cellStyle name="Currency [0,00] TBD- 6 109" xfId="45831"/>
    <cellStyle name="Currency [0,00] TBD 6 11" xfId="45832"/>
    <cellStyle name="Currency [0,00] TBD- 6 11" xfId="45833"/>
    <cellStyle name="Currency [0,00] TBD 6 110" xfId="45834"/>
    <cellStyle name="Currency [0,00] TBD- 6 110" xfId="45835"/>
    <cellStyle name="Currency [0,00] TBD 6 111" xfId="45836"/>
    <cellStyle name="Currency [0,00] TBD- 6 111" xfId="45837"/>
    <cellStyle name="Currency [0,00] TBD 6 112" xfId="45838"/>
    <cellStyle name="Currency [0,00] TBD- 6 112" xfId="45839"/>
    <cellStyle name="Currency [0,00] TBD 6 113" xfId="45840"/>
    <cellStyle name="Currency [0,00] TBD- 6 113" xfId="45841"/>
    <cellStyle name="Currency [0,00] TBD 6 114" xfId="45842"/>
    <cellStyle name="Currency [0,00] TBD- 6 114" xfId="45843"/>
    <cellStyle name="Currency [0,00] TBD 6 115" xfId="45844"/>
    <cellStyle name="Currency [0,00] TBD- 6 115" xfId="45845"/>
    <cellStyle name="Currency [0,00] TBD 6 116" xfId="45846"/>
    <cellStyle name="Currency [0,00] TBD- 6 116" xfId="45847"/>
    <cellStyle name="Currency [0,00] TBD 6 117" xfId="45848"/>
    <cellStyle name="Currency [0,00] TBD- 6 117" xfId="45849"/>
    <cellStyle name="Currency [0,00] TBD 6 118" xfId="45850"/>
    <cellStyle name="Currency [0,00] TBD- 6 118" xfId="45851"/>
    <cellStyle name="Currency [0,00] TBD 6 119" xfId="45852"/>
    <cellStyle name="Currency [0,00] TBD- 6 119" xfId="45853"/>
    <cellStyle name="Currency [0,00] TBD 6 12" xfId="45854"/>
    <cellStyle name="Currency [0,00] TBD- 6 12" xfId="45855"/>
    <cellStyle name="Currency [0,00] TBD 6 120" xfId="45856"/>
    <cellStyle name="Currency [0,00] TBD- 6 120" xfId="45857"/>
    <cellStyle name="Currency [0,00] TBD 6 121" xfId="45858"/>
    <cellStyle name="Currency [0,00] TBD- 6 121" xfId="45859"/>
    <cellStyle name="Currency [0,00] TBD 6 122" xfId="45860"/>
    <cellStyle name="Currency [0,00] TBD- 6 122" xfId="45861"/>
    <cellStyle name="Currency [0,00] TBD 6 123" xfId="45862"/>
    <cellStyle name="Currency [0,00] TBD- 6 123" xfId="45863"/>
    <cellStyle name="Currency [0,00] TBD 6 124" xfId="45864"/>
    <cellStyle name="Currency [0,00] TBD- 6 124" xfId="45865"/>
    <cellStyle name="Currency [0,00] TBD 6 125" xfId="45866"/>
    <cellStyle name="Currency [0,00] TBD- 6 125" xfId="45867"/>
    <cellStyle name="Currency [0,00] TBD 6 126" xfId="45868"/>
    <cellStyle name="Currency [0,00] TBD- 6 126" xfId="45869"/>
    <cellStyle name="Currency [0,00] TBD 6 127" xfId="45870"/>
    <cellStyle name="Currency [0,00] TBD- 6 127" xfId="45871"/>
    <cellStyle name="Currency [0,00] TBD 6 128" xfId="45872"/>
    <cellStyle name="Currency [0,00] TBD- 6 128" xfId="45873"/>
    <cellStyle name="Currency [0,00] TBD 6 129" xfId="45874"/>
    <cellStyle name="Currency [0,00] TBD- 6 129" xfId="45875"/>
    <cellStyle name="Currency [0,00] TBD 6 13" xfId="45876"/>
    <cellStyle name="Currency [0,00] TBD- 6 13" xfId="45877"/>
    <cellStyle name="Currency [0,00] TBD 6 130" xfId="45878"/>
    <cellStyle name="Currency [0,00] TBD- 6 130" xfId="45879"/>
    <cellStyle name="Currency [0,00] TBD 6 131" xfId="45880"/>
    <cellStyle name="Currency [0,00] TBD- 6 131" xfId="45881"/>
    <cellStyle name="Currency [0,00] TBD 6 132" xfId="45882"/>
    <cellStyle name="Currency [0,00] TBD- 6 132" xfId="45883"/>
    <cellStyle name="Currency [0,00] TBD 6 133" xfId="45884"/>
    <cellStyle name="Currency [0,00] TBD- 6 133" xfId="45885"/>
    <cellStyle name="Currency [0,00] TBD 6 134" xfId="45886"/>
    <cellStyle name="Currency [0,00] TBD- 6 134" xfId="45887"/>
    <cellStyle name="Currency [0,00] TBD 6 135" xfId="45888"/>
    <cellStyle name="Currency [0,00] TBD- 6 135" xfId="45889"/>
    <cellStyle name="Currency [0,00] TBD 6 136" xfId="45890"/>
    <cellStyle name="Currency [0,00] TBD- 6 136" xfId="45891"/>
    <cellStyle name="Currency [0,00] TBD 6 137" xfId="45892"/>
    <cellStyle name="Currency [0,00] TBD- 6 137" xfId="45893"/>
    <cellStyle name="Currency [0,00] TBD 6 138" xfId="45894"/>
    <cellStyle name="Currency [0,00] TBD- 6 138" xfId="45895"/>
    <cellStyle name="Currency [0,00] TBD 6 139" xfId="45896"/>
    <cellStyle name="Currency [0,00] TBD- 6 139" xfId="45897"/>
    <cellStyle name="Currency [0,00] TBD 6 14" xfId="45898"/>
    <cellStyle name="Currency [0,00] TBD- 6 14" xfId="45899"/>
    <cellStyle name="Currency [0,00] TBD 6 140" xfId="45900"/>
    <cellStyle name="Currency [0,00] TBD- 6 140" xfId="45901"/>
    <cellStyle name="Currency [0,00] TBD 6 141" xfId="45902"/>
    <cellStyle name="Currency [0,00] TBD- 6 141" xfId="45903"/>
    <cellStyle name="Currency [0,00] TBD 6 142" xfId="45904"/>
    <cellStyle name="Currency [0,00] TBD- 6 142" xfId="45905"/>
    <cellStyle name="Currency [0,00] TBD 6 143" xfId="45906"/>
    <cellStyle name="Currency [0,00] TBD- 6 143" xfId="45907"/>
    <cellStyle name="Currency [0,00] TBD 6 144" xfId="45908"/>
    <cellStyle name="Currency [0,00] TBD- 6 144" xfId="45909"/>
    <cellStyle name="Currency [0,00] TBD 6 145" xfId="45910"/>
    <cellStyle name="Currency [0,00] TBD- 6 145" xfId="45911"/>
    <cellStyle name="Currency [0,00] TBD 6 146" xfId="45912"/>
    <cellStyle name="Currency [0,00] TBD- 6 146" xfId="45913"/>
    <cellStyle name="Currency [0,00] TBD 6 147" xfId="45914"/>
    <cellStyle name="Currency [0,00] TBD- 6 147" xfId="45915"/>
    <cellStyle name="Currency [0,00] TBD 6 148" xfId="45916"/>
    <cellStyle name="Currency [0,00] TBD- 6 148" xfId="45917"/>
    <cellStyle name="Currency [0,00] TBD 6 149" xfId="45918"/>
    <cellStyle name="Currency [0,00] TBD- 6 149" xfId="45919"/>
    <cellStyle name="Currency [0,00] TBD 6 15" xfId="45920"/>
    <cellStyle name="Currency [0,00] TBD- 6 15" xfId="45921"/>
    <cellStyle name="Currency [0,00] TBD 6 150" xfId="45922"/>
    <cellStyle name="Currency [0,00] TBD- 6 150" xfId="45923"/>
    <cellStyle name="Currency [0,00] TBD 6 151" xfId="45924"/>
    <cellStyle name="Currency [0,00] TBD- 6 151" xfId="45925"/>
    <cellStyle name="Currency [0,00] TBD 6 152" xfId="45926"/>
    <cellStyle name="Currency [0,00] TBD- 6 152" xfId="45927"/>
    <cellStyle name="Currency [0,00] TBD 6 153" xfId="45928"/>
    <cellStyle name="Currency [0,00] TBD- 6 153" xfId="45929"/>
    <cellStyle name="Currency [0,00] TBD 6 16" xfId="45930"/>
    <cellStyle name="Currency [0,00] TBD- 6 16" xfId="45931"/>
    <cellStyle name="Currency [0,00] TBD 6 17" xfId="45932"/>
    <cellStyle name="Currency [0,00] TBD- 6 17" xfId="45933"/>
    <cellStyle name="Currency [0,00] TBD 6 18" xfId="45934"/>
    <cellStyle name="Currency [0,00] TBD- 6 18" xfId="45935"/>
    <cellStyle name="Currency [0,00] TBD 6 19" xfId="45936"/>
    <cellStyle name="Currency [0,00] TBD- 6 19" xfId="45937"/>
    <cellStyle name="Currency [0,00] TBD 6 2" xfId="45938"/>
    <cellStyle name="Currency [0,00] TBD- 6 2" xfId="45939"/>
    <cellStyle name="Currency [0,00] TBD 6 20" xfId="45940"/>
    <cellStyle name="Currency [0,00] TBD- 6 20" xfId="45941"/>
    <cellStyle name="Currency [0,00] TBD 6 21" xfId="45942"/>
    <cellStyle name="Currency [0,00] TBD- 6 21" xfId="45943"/>
    <cellStyle name="Currency [0,00] TBD 6 22" xfId="45944"/>
    <cellStyle name="Currency [0,00] TBD- 6 22" xfId="45945"/>
    <cellStyle name="Currency [0,00] TBD 6 23" xfId="45946"/>
    <cellStyle name="Currency [0,00] TBD- 6 23" xfId="45947"/>
    <cellStyle name="Currency [0,00] TBD 6 24" xfId="45948"/>
    <cellStyle name="Currency [0,00] TBD- 6 24" xfId="45949"/>
    <cellStyle name="Currency [0,00] TBD 6 25" xfId="45950"/>
    <cellStyle name="Currency [0,00] TBD- 6 25" xfId="45951"/>
    <cellStyle name="Currency [0,00] TBD 6 26" xfId="45952"/>
    <cellStyle name="Currency [0,00] TBD- 6 26" xfId="45953"/>
    <cellStyle name="Currency [0,00] TBD 6 27" xfId="45954"/>
    <cellStyle name="Currency [0,00] TBD- 6 27" xfId="45955"/>
    <cellStyle name="Currency [0,00] TBD 6 28" xfId="45956"/>
    <cellStyle name="Currency [0,00] TBD- 6 28" xfId="45957"/>
    <cellStyle name="Currency [0,00] TBD 6 29" xfId="45958"/>
    <cellStyle name="Currency [0,00] TBD- 6 29" xfId="45959"/>
    <cellStyle name="Currency [0,00] TBD 6 3" xfId="45960"/>
    <cellStyle name="Currency [0,00] TBD- 6 3" xfId="45961"/>
    <cellStyle name="Currency [0,00] TBD 6 30" xfId="45962"/>
    <cellStyle name="Currency [0,00] TBD- 6 30" xfId="45963"/>
    <cellStyle name="Currency [0,00] TBD 6 31" xfId="45964"/>
    <cellStyle name="Currency [0,00] TBD- 6 31" xfId="45965"/>
    <cellStyle name="Currency [0,00] TBD 6 32" xfId="45966"/>
    <cellStyle name="Currency [0,00] TBD- 6 32" xfId="45967"/>
    <cellStyle name="Currency [0,00] TBD 6 33" xfId="45968"/>
    <cellStyle name="Currency [0,00] TBD- 6 33" xfId="45969"/>
    <cellStyle name="Currency [0,00] TBD 6 34" xfId="45970"/>
    <cellStyle name="Currency [0,00] TBD- 6 34" xfId="45971"/>
    <cellStyle name="Currency [0,00] TBD 6 35" xfId="45972"/>
    <cellStyle name="Currency [0,00] TBD- 6 35" xfId="45973"/>
    <cellStyle name="Currency [0,00] TBD 6 36" xfId="45974"/>
    <cellStyle name="Currency [0,00] TBD- 6 36" xfId="45975"/>
    <cellStyle name="Currency [0,00] TBD 6 37" xfId="45976"/>
    <cellStyle name="Currency [0,00] TBD- 6 37" xfId="45977"/>
    <cellStyle name="Currency [0,00] TBD 6 38" xfId="45978"/>
    <cellStyle name="Currency [0,00] TBD- 6 38" xfId="45979"/>
    <cellStyle name="Currency [0,00] TBD 6 39" xfId="45980"/>
    <cellStyle name="Currency [0,00] TBD- 6 39" xfId="45981"/>
    <cellStyle name="Currency [0,00] TBD 6 4" xfId="45982"/>
    <cellStyle name="Currency [0,00] TBD- 6 4" xfId="45983"/>
    <cellStyle name="Currency [0,00] TBD 6 40" xfId="45984"/>
    <cellStyle name="Currency [0,00] TBD- 6 40" xfId="45985"/>
    <cellStyle name="Currency [0,00] TBD 6 41" xfId="45986"/>
    <cellStyle name="Currency [0,00] TBD- 6 41" xfId="45987"/>
    <cellStyle name="Currency [0,00] TBD 6 42" xfId="45988"/>
    <cellStyle name="Currency [0,00] TBD- 6 42" xfId="45989"/>
    <cellStyle name="Currency [0,00] TBD 6 43" xfId="45990"/>
    <cellStyle name="Currency [0,00] TBD- 6 43" xfId="45991"/>
    <cellStyle name="Currency [0,00] TBD 6 44" xfId="45992"/>
    <cellStyle name="Currency [0,00] TBD- 6 44" xfId="45993"/>
    <cellStyle name="Currency [0,00] TBD 6 45" xfId="45994"/>
    <cellStyle name="Currency [0,00] TBD- 6 45" xfId="45995"/>
    <cellStyle name="Currency [0,00] TBD 6 46" xfId="45996"/>
    <cellStyle name="Currency [0,00] TBD- 6 46" xfId="45997"/>
    <cellStyle name="Currency [0,00] TBD 6 47" xfId="45998"/>
    <cellStyle name="Currency [0,00] TBD- 6 47" xfId="45999"/>
    <cellStyle name="Currency [0,00] TBD 6 48" xfId="46000"/>
    <cellStyle name="Currency [0,00] TBD- 6 48" xfId="46001"/>
    <cellStyle name="Currency [0,00] TBD 6 49" xfId="46002"/>
    <cellStyle name="Currency [0,00] TBD- 6 49" xfId="46003"/>
    <cellStyle name="Currency [0,00] TBD 6 5" xfId="46004"/>
    <cellStyle name="Currency [0,00] TBD- 6 5" xfId="46005"/>
    <cellStyle name="Currency [0,00] TBD 6 50" xfId="46006"/>
    <cellStyle name="Currency [0,00] TBD- 6 50" xfId="46007"/>
    <cellStyle name="Currency [0,00] TBD 6 51" xfId="46008"/>
    <cellStyle name="Currency [0,00] TBD- 6 51" xfId="46009"/>
    <cellStyle name="Currency [0,00] TBD 6 52" xfId="46010"/>
    <cellStyle name="Currency [0,00] TBD- 6 52" xfId="46011"/>
    <cellStyle name="Currency [0,00] TBD 6 53" xfId="46012"/>
    <cellStyle name="Currency [0,00] TBD- 6 53" xfId="46013"/>
    <cellStyle name="Currency [0,00] TBD 6 54" xfId="46014"/>
    <cellStyle name="Currency [0,00] TBD- 6 54" xfId="46015"/>
    <cellStyle name="Currency [0,00] TBD 6 55" xfId="46016"/>
    <cellStyle name="Currency [0,00] TBD- 6 55" xfId="46017"/>
    <cellStyle name="Currency [0,00] TBD 6 56" xfId="46018"/>
    <cellStyle name="Currency [0,00] TBD- 6 56" xfId="46019"/>
    <cellStyle name="Currency [0,00] TBD 6 57" xfId="46020"/>
    <cellStyle name="Currency [0,00] TBD- 6 57" xfId="46021"/>
    <cellStyle name="Currency [0,00] TBD 6 58" xfId="46022"/>
    <cellStyle name="Currency [0,00] TBD- 6 58" xfId="46023"/>
    <cellStyle name="Currency [0,00] TBD 6 59" xfId="46024"/>
    <cellStyle name="Currency [0,00] TBD- 6 59" xfId="46025"/>
    <cellStyle name="Currency [0,00] TBD 6 6" xfId="46026"/>
    <cellStyle name="Currency [0,00] TBD- 6 6" xfId="46027"/>
    <cellStyle name="Currency [0,00] TBD 6 60" xfId="46028"/>
    <cellStyle name="Currency [0,00] TBD- 6 60" xfId="46029"/>
    <cellStyle name="Currency [0,00] TBD 6 61" xfId="46030"/>
    <cellStyle name="Currency [0,00] TBD- 6 61" xfId="46031"/>
    <cellStyle name="Currency [0,00] TBD 6 62" xfId="46032"/>
    <cellStyle name="Currency [0,00] TBD- 6 62" xfId="46033"/>
    <cellStyle name="Currency [0,00] TBD 6 63" xfId="46034"/>
    <cellStyle name="Currency [0,00] TBD- 6 63" xfId="46035"/>
    <cellStyle name="Currency [0,00] TBD 6 64" xfId="46036"/>
    <cellStyle name="Currency [0,00] TBD- 6 64" xfId="46037"/>
    <cellStyle name="Currency [0,00] TBD 6 65" xfId="46038"/>
    <cellStyle name="Currency [0,00] TBD- 6 65" xfId="46039"/>
    <cellStyle name="Currency [0,00] TBD 6 66" xfId="46040"/>
    <cellStyle name="Currency [0,00] TBD- 6 66" xfId="46041"/>
    <cellStyle name="Currency [0,00] TBD 6 67" xfId="46042"/>
    <cellStyle name="Currency [0,00] TBD- 6 67" xfId="46043"/>
    <cellStyle name="Currency [0,00] TBD 6 68" xfId="46044"/>
    <cellStyle name="Currency [0,00] TBD- 6 68" xfId="46045"/>
    <cellStyle name="Currency [0,00] TBD 6 69" xfId="46046"/>
    <cellStyle name="Currency [0,00] TBD- 6 69" xfId="46047"/>
    <cellStyle name="Currency [0,00] TBD 6 7" xfId="46048"/>
    <cellStyle name="Currency [0,00] TBD- 6 7" xfId="46049"/>
    <cellStyle name="Currency [0,00] TBD 6 70" xfId="46050"/>
    <cellStyle name="Currency [0,00] TBD- 6 70" xfId="46051"/>
    <cellStyle name="Currency [0,00] TBD 6 71" xfId="46052"/>
    <cellStyle name="Currency [0,00] TBD- 6 71" xfId="46053"/>
    <cellStyle name="Currency [0,00] TBD 6 72" xfId="46054"/>
    <cellStyle name="Currency [0,00] TBD- 6 72" xfId="46055"/>
    <cellStyle name="Currency [0,00] TBD 6 73" xfId="46056"/>
    <cellStyle name="Currency [0,00] TBD- 6 73" xfId="46057"/>
    <cellStyle name="Currency [0,00] TBD 6 74" xfId="46058"/>
    <cellStyle name="Currency [0,00] TBD- 6 74" xfId="46059"/>
    <cellStyle name="Currency [0,00] TBD 6 75" xfId="46060"/>
    <cellStyle name="Currency [0,00] TBD- 6 75" xfId="46061"/>
    <cellStyle name="Currency [0,00] TBD 6 76" xfId="46062"/>
    <cellStyle name="Currency [0,00] TBD- 6 76" xfId="46063"/>
    <cellStyle name="Currency [0,00] TBD 6 77" xfId="46064"/>
    <cellStyle name="Currency [0,00] TBD- 6 77" xfId="46065"/>
    <cellStyle name="Currency [0,00] TBD 6 78" xfId="46066"/>
    <cellStyle name="Currency [0,00] TBD- 6 78" xfId="46067"/>
    <cellStyle name="Currency [0,00] TBD 6 79" xfId="46068"/>
    <cellStyle name="Currency [0,00] TBD- 6 79" xfId="46069"/>
    <cellStyle name="Currency [0,00] TBD 6 8" xfId="46070"/>
    <cellStyle name="Currency [0,00] TBD- 6 8" xfId="46071"/>
    <cellStyle name="Currency [0,00] TBD 6 80" xfId="46072"/>
    <cellStyle name="Currency [0,00] TBD- 6 80" xfId="46073"/>
    <cellStyle name="Currency [0,00] TBD 6 81" xfId="46074"/>
    <cellStyle name="Currency [0,00] TBD- 6 81" xfId="46075"/>
    <cellStyle name="Currency [0,00] TBD 6 82" xfId="46076"/>
    <cellStyle name="Currency [0,00] TBD- 6 82" xfId="46077"/>
    <cellStyle name="Currency [0,00] TBD 6 83" xfId="46078"/>
    <cellStyle name="Currency [0,00] TBD- 6 83" xfId="46079"/>
    <cellStyle name="Currency [0,00] TBD 6 84" xfId="46080"/>
    <cellStyle name="Currency [0,00] TBD- 6 84" xfId="46081"/>
    <cellStyle name="Currency [0,00] TBD 6 85" xfId="46082"/>
    <cellStyle name="Currency [0,00] TBD- 6 85" xfId="46083"/>
    <cellStyle name="Currency [0,00] TBD 6 86" xfId="46084"/>
    <cellStyle name="Currency [0,00] TBD- 6 86" xfId="46085"/>
    <cellStyle name="Currency [0,00] TBD 6 87" xfId="46086"/>
    <cellStyle name="Currency [0,00] TBD- 6 87" xfId="46087"/>
    <cellStyle name="Currency [0,00] TBD 6 88" xfId="46088"/>
    <cellStyle name="Currency [0,00] TBD- 6 88" xfId="46089"/>
    <cellStyle name="Currency [0,00] TBD 6 89" xfId="46090"/>
    <cellStyle name="Currency [0,00] TBD- 6 89" xfId="46091"/>
    <cellStyle name="Currency [0,00] TBD 6 9" xfId="46092"/>
    <cellStyle name="Currency [0,00] TBD- 6 9" xfId="46093"/>
    <cellStyle name="Currency [0,00] TBD 6 90" xfId="46094"/>
    <cellStyle name="Currency [0,00] TBD- 6 90" xfId="46095"/>
    <cellStyle name="Currency [0,00] TBD 6 91" xfId="46096"/>
    <cellStyle name="Currency [0,00] TBD- 6 91" xfId="46097"/>
    <cellStyle name="Currency [0,00] TBD 6 92" xfId="46098"/>
    <cellStyle name="Currency [0,00] TBD- 6 92" xfId="46099"/>
    <cellStyle name="Currency [0,00] TBD 6 93" xfId="46100"/>
    <cellStyle name="Currency [0,00] TBD- 6 93" xfId="46101"/>
    <cellStyle name="Currency [0,00] TBD 6 94" xfId="46102"/>
    <cellStyle name="Currency [0,00] TBD- 6 94" xfId="46103"/>
    <cellStyle name="Currency [0,00] TBD 6 95" xfId="46104"/>
    <cellStyle name="Currency [0,00] TBD- 6 95" xfId="46105"/>
    <cellStyle name="Currency [0,00] TBD 6 96" xfId="46106"/>
    <cellStyle name="Currency [0,00] TBD- 6 96" xfId="46107"/>
    <cellStyle name="Currency [0,00] TBD 6 97" xfId="46108"/>
    <cellStyle name="Currency [0,00] TBD- 6 97" xfId="46109"/>
    <cellStyle name="Currency [0,00] TBD 6 98" xfId="46110"/>
    <cellStyle name="Currency [0,00] TBD- 6 98" xfId="46111"/>
    <cellStyle name="Currency [0,00] TBD 6 99" xfId="46112"/>
    <cellStyle name="Currency [0,00] TBD- 6 99" xfId="46113"/>
    <cellStyle name="Currency [0,00] TBD 7" xfId="46114"/>
    <cellStyle name="Currency [0,00] TBD- 7" xfId="46115"/>
    <cellStyle name="Currency [0,00] TBD 7 10" xfId="46116"/>
    <cellStyle name="Currency [0,00] TBD- 7 10" xfId="46117"/>
    <cellStyle name="Currency [0,00] TBD 7 100" xfId="46118"/>
    <cellStyle name="Currency [0,00] TBD- 7 100" xfId="46119"/>
    <cellStyle name="Currency [0,00] TBD 7 101" xfId="46120"/>
    <cellStyle name="Currency [0,00] TBD- 7 101" xfId="46121"/>
    <cellStyle name="Currency [0,00] TBD 7 102" xfId="46122"/>
    <cellStyle name="Currency [0,00] TBD- 7 102" xfId="46123"/>
    <cellStyle name="Currency [0,00] TBD 7 103" xfId="46124"/>
    <cellStyle name="Currency [0,00] TBD- 7 103" xfId="46125"/>
    <cellStyle name="Currency [0,00] TBD 7 104" xfId="46126"/>
    <cellStyle name="Currency [0,00] TBD- 7 104" xfId="46127"/>
    <cellStyle name="Currency [0,00] TBD 7 105" xfId="46128"/>
    <cellStyle name="Currency [0,00] TBD- 7 105" xfId="46129"/>
    <cellStyle name="Currency [0,00] TBD 7 106" xfId="46130"/>
    <cellStyle name="Currency [0,00] TBD- 7 106" xfId="46131"/>
    <cellStyle name="Currency [0,00] TBD 7 107" xfId="46132"/>
    <cellStyle name="Currency [0,00] TBD- 7 107" xfId="46133"/>
    <cellStyle name="Currency [0,00] TBD 7 108" xfId="46134"/>
    <cellStyle name="Currency [0,00] TBD- 7 108" xfId="46135"/>
    <cellStyle name="Currency [0,00] TBD 7 109" xfId="46136"/>
    <cellStyle name="Currency [0,00] TBD- 7 109" xfId="46137"/>
    <cellStyle name="Currency [0,00] TBD 7 11" xfId="46138"/>
    <cellStyle name="Currency [0,00] TBD- 7 11" xfId="46139"/>
    <cellStyle name="Currency [0,00] TBD 7 110" xfId="46140"/>
    <cellStyle name="Currency [0,00] TBD- 7 110" xfId="46141"/>
    <cellStyle name="Currency [0,00] TBD 7 111" xfId="46142"/>
    <cellStyle name="Currency [0,00] TBD- 7 111" xfId="46143"/>
    <cellStyle name="Currency [0,00] TBD 7 112" xfId="46144"/>
    <cellStyle name="Currency [0,00] TBD- 7 112" xfId="46145"/>
    <cellStyle name="Currency [0,00] TBD 7 113" xfId="46146"/>
    <cellStyle name="Currency [0,00] TBD- 7 113" xfId="46147"/>
    <cellStyle name="Currency [0,00] TBD 7 114" xfId="46148"/>
    <cellStyle name="Currency [0,00] TBD- 7 114" xfId="46149"/>
    <cellStyle name="Currency [0,00] TBD 7 115" xfId="46150"/>
    <cellStyle name="Currency [0,00] TBD- 7 115" xfId="46151"/>
    <cellStyle name="Currency [0,00] TBD 7 116" xfId="46152"/>
    <cellStyle name="Currency [0,00] TBD- 7 116" xfId="46153"/>
    <cellStyle name="Currency [0,00] TBD 7 117" xfId="46154"/>
    <cellStyle name="Currency [0,00] TBD- 7 117" xfId="46155"/>
    <cellStyle name="Currency [0,00] TBD 7 118" xfId="46156"/>
    <cellStyle name="Currency [0,00] TBD- 7 118" xfId="46157"/>
    <cellStyle name="Currency [0,00] TBD 7 119" xfId="46158"/>
    <cellStyle name="Currency [0,00] TBD- 7 119" xfId="46159"/>
    <cellStyle name="Currency [0,00] TBD 7 12" xfId="46160"/>
    <cellStyle name="Currency [0,00] TBD- 7 12" xfId="46161"/>
    <cellStyle name="Currency [0,00] TBD 7 120" xfId="46162"/>
    <cellStyle name="Currency [0,00] TBD- 7 120" xfId="46163"/>
    <cellStyle name="Currency [0,00] TBD 7 121" xfId="46164"/>
    <cellStyle name="Currency [0,00] TBD- 7 121" xfId="46165"/>
    <cellStyle name="Currency [0,00] TBD 7 122" xfId="46166"/>
    <cellStyle name="Currency [0,00] TBD- 7 122" xfId="46167"/>
    <cellStyle name="Currency [0,00] TBD 7 123" xfId="46168"/>
    <cellStyle name="Currency [0,00] TBD- 7 123" xfId="46169"/>
    <cellStyle name="Currency [0,00] TBD 7 124" xfId="46170"/>
    <cellStyle name="Currency [0,00] TBD- 7 124" xfId="46171"/>
    <cellStyle name="Currency [0,00] TBD 7 125" xfId="46172"/>
    <cellStyle name="Currency [0,00] TBD- 7 125" xfId="46173"/>
    <cellStyle name="Currency [0,00] TBD 7 126" xfId="46174"/>
    <cellStyle name="Currency [0,00] TBD- 7 126" xfId="46175"/>
    <cellStyle name="Currency [0,00] TBD 7 127" xfId="46176"/>
    <cellStyle name="Currency [0,00] TBD- 7 127" xfId="46177"/>
    <cellStyle name="Currency [0,00] TBD 7 128" xfId="46178"/>
    <cellStyle name="Currency [0,00] TBD- 7 128" xfId="46179"/>
    <cellStyle name="Currency [0,00] TBD 7 129" xfId="46180"/>
    <cellStyle name="Currency [0,00] TBD- 7 129" xfId="46181"/>
    <cellStyle name="Currency [0,00] TBD 7 13" xfId="46182"/>
    <cellStyle name="Currency [0,00] TBD- 7 13" xfId="46183"/>
    <cellStyle name="Currency [0,00] TBD 7 130" xfId="46184"/>
    <cellStyle name="Currency [0,00] TBD- 7 130" xfId="46185"/>
    <cellStyle name="Currency [0,00] TBD 7 131" xfId="46186"/>
    <cellStyle name="Currency [0,00] TBD- 7 131" xfId="46187"/>
    <cellStyle name="Currency [0,00] TBD 7 132" xfId="46188"/>
    <cellStyle name="Currency [0,00] TBD- 7 132" xfId="46189"/>
    <cellStyle name="Currency [0,00] TBD 7 133" xfId="46190"/>
    <cellStyle name="Currency [0,00] TBD- 7 133" xfId="46191"/>
    <cellStyle name="Currency [0,00] TBD 7 134" xfId="46192"/>
    <cellStyle name="Currency [0,00] TBD- 7 134" xfId="46193"/>
    <cellStyle name="Currency [0,00] TBD 7 135" xfId="46194"/>
    <cellStyle name="Currency [0,00] TBD- 7 135" xfId="46195"/>
    <cellStyle name="Currency [0,00] TBD 7 136" xfId="46196"/>
    <cellStyle name="Currency [0,00] TBD- 7 136" xfId="46197"/>
    <cellStyle name="Currency [0,00] TBD 7 137" xfId="46198"/>
    <cellStyle name="Currency [0,00] TBD- 7 137" xfId="46199"/>
    <cellStyle name="Currency [0,00] TBD 7 138" xfId="46200"/>
    <cellStyle name="Currency [0,00] TBD- 7 138" xfId="46201"/>
    <cellStyle name="Currency [0,00] TBD 7 139" xfId="46202"/>
    <cellStyle name="Currency [0,00] TBD- 7 139" xfId="46203"/>
    <cellStyle name="Currency [0,00] TBD 7 14" xfId="46204"/>
    <cellStyle name="Currency [0,00] TBD- 7 14" xfId="46205"/>
    <cellStyle name="Currency [0,00] TBD 7 140" xfId="46206"/>
    <cellStyle name="Currency [0,00] TBD- 7 140" xfId="46207"/>
    <cellStyle name="Currency [0,00] TBD 7 141" xfId="46208"/>
    <cellStyle name="Currency [0,00] TBD- 7 141" xfId="46209"/>
    <cellStyle name="Currency [0,00] TBD 7 142" xfId="46210"/>
    <cellStyle name="Currency [0,00] TBD- 7 142" xfId="46211"/>
    <cellStyle name="Currency [0,00] TBD 7 143" xfId="46212"/>
    <cellStyle name="Currency [0,00] TBD- 7 143" xfId="46213"/>
    <cellStyle name="Currency [0,00] TBD 7 144" xfId="46214"/>
    <cellStyle name="Currency [0,00] TBD- 7 144" xfId="46215"/>
    <cellStyle name="Currency [0,00] TBD 7 145" xfId="46216"/>
    <cellStyle name="Currency [0,00] TBD- 7 145" xfId="46217"/>
    <cellStyle name="Currency [0,00] TBD 7 146" xfId="46218"/>
    <cellStyle name="Currency [0,00] TBD- 7 146" xfId="46219"/>
    <cellStyle name="Currency [0,00] TBD 7 147" xfId="46220"/>
    <cellStyle name="Currency [0,00] TBD- 7 147" xfId="46221"/>
    <cellStyle name="Currency [0,00] TBD 7 148" xfId="46222"/>
    <cellStyle name="Currency [0,00] TBD- 7 148" xfId="46223"/>
    <cellStyle name="Currency [0,00] TBD 7 149" xfId="46224"/>
    <cellStyle name="Currency [0,00] TBD- 7 149" xfId="46225"/>
    <cellStyle name="Currency [0,00] TBD 7 15" xfId="46226"/>
    <cellStyle name="Currency [0,00] TBD- 7 15" xfId="46227"/>
    <cellStyle name="Currency [0,00] TBD 7 150" xfId="46228"/>
    <cellStyle name="Currency [0,00] TBD- 7 150" xfId="46229"/>
    <cellStyle name="Currency [0,00] TBD 7 151" xfId="46230"/>
    <cellStyle name="Currency [0,00] TBD- 7 151" xfId="46231"/>
    <cellStyle name="Currency [0,00] TBD 7 152" xfId="46232"/>
    <cellStyle name="Currency [0,00] TBD- 7 152" xfId="46233"/>
    <cellStyle name="Currency [0,00] TBD 7 153" xfId="46234"/>
    <cellStyle name="Currency [0,00] TBD- 7 153" xfId="46235"/>
    <cellStyle name="Currency [0,00] TBD 7 16" xfId="46236"/>
    <cellStyle name="Currency [0,00] TBD- 7 16" xfId="46237"/>
    <cellStyle name="Currency [0,00] TBD 7 17" xfId="46238"/>
    <cellStyle name="Currency [0,00] TBD- 7 17" xfId="46239"/>
    <cellStyle name="Currency [0,00] TBD 7 18" xfId="46240"/>
    <cellStyle name="Currency [0,00] TBD- 7 18" xfId="46241"/>
    <cellStyle name="Currency [0,00] TBD 7 19" xfId="46242"/>
    <cellStyle name="Currency [0,00] TBD- 7 19" xfId="46243"/>
    <cellStyle name="Currency [0,00] TBD 7 2" xfId="46244"/>
    <cellStyle name="Currency [0,00] TBD- 7 2" xfId="46245"/>
    <cellStyle name="Currency [0,00] TBD 7 20" xfId="46246"/>
    <cellStyle name="Currency [0,00] TBD- 7 20" xfId="46247"/>
    <cellStyle name="Currency [0,00] TBD 7 21" xfId="46248"/>
    <cellStyle name="Currency [0,00] TBD- 7 21" xfId="46249"/>
    <cellStyle name="Currency [0,00] TBD 7 22" xfId="46250"/>
    <cellStyle name="Currency [0,00] TBD- 7 22" xfId="46251"/>
    <cellStyle name="Currency [0,00] TBD 7 23" xfId="46252"/>
    <cellStyle name="Currency [0,00] TBD- 7 23" xfId="46253"/>
    <cellStyle name="Currency [0,00] TBD 7 24" xfId="46254"/>
    <cellStyle name="Currency [0,00] TBD- 7 24" xfId="46255"/>
    <cellStyle name="Currency [0,00] TBD 7 25" xfId="46256"/>
    <cellStyle name="Currency [0,00] TBD- 7 25" xfId="46257"/>
    <cellStyle name="Currency [0,00] TBD 7 26" xfId="46258"/>
    <cellStyle name="Currency [0,00] TBD- 7 26" xfId="46259"/>
    <cellStyle name="Currency [0,00] TBD 7 27" xfId="46260"/>
    <cellStyle name="Currency [0,00] TBD- 7 27" xfId="46261"/>
    <cellStyle name="Currency [0,00] TBD 7 28" xfId="46262"/>
    <cellStyle name="Currency [0,00] TBD- 7 28" xfId="46263"/>
    <cellStyle name="Currency [0,00] TBD 7 29" xfId="46264"/>
    <cellStyle name="Currency [0,00] TBD- 7 29" xfId="46265"/>
    <cellStyle name="Currency [0,00] TBD 7 3" xfId="46266"/>
    <cellStyle name="Currency [0,00] TBD- 7 3" xfId="46267"/>
    <cellStyle name="Currency [0,00] TBD 7 30" xfId="46268"/>
    <cellStyle name="Currency [0,00] TBD- 7 30" xfId="46269"/>
    <cellStyle name="Currency [0,00] TBD 7 31" xfId="46270"/>
    <cellStyle name="Currency [0,00] TBD- 7 31" xfId="46271"/>
    <cellStyle name="Currency [0,00] TBD 7 32" xfId="46272"/>
    <cellStyle name="Currency [0,00] TBD- 7 32" xfId="46273"/>
    <cellStyle name="Currency [0,00] TBD 7 33" xfId="46274"/>
    <cellStyle name="Currency [0,00] TBD- 7 33" xfId="46275"/>
    <cellStyle name="Currency [0,00] TBD 7 34" xfId="46276"/>
    <cellStyle name="Currency [0,00] TBD- 7 34" xfId="46277"/>
    <cellStyle name="Currency [0,00] TBD 7 35" xfId="46278"/>
    <cellStyle name="Currency [0,00] TBD- 7 35" xfId="46279"/>
    <cellStyle name="Currency [0,00] TBD 7 36" xfId="46280"/>
    <cellStyle name="Currency [0,00] TBD- 7 36" xfId="46281"/>
    <cellStyle name="Currency [0,00] TBD 7 37" xfId="46282"/>
    <cellStyle name="Currency [0,00] TBD- 7 37" xfId="46283"/>
    <cellStyle name="Currency [0,00] TBD 7 38" xfId="46284"/>
    <cellStyle name="Currency [0,00] TBD- 7 38" xfId="46285"/>
    <cellStyle name="Currency [0,00] TBD 7 39" xfId="46286"/>
    <cellStyle name="Currency [0,00] TBD- 7 39" xfId="46287"/>
    <cellStyle name="Currency [0,00] TBD 7 4" xfId="46288"/>
    <cellStyle name="Currency [0,00] TBD- 7 4" xfId="46289"/>
    <cellStyle name="Currency [0,00] TBD 7 40" xfId="46290"/>
    <cellStyle name="Currency [0,00] TBD- 7 40" xfId="46291"/>
    <cellStyle name="Currency [0,00] TBD 7 41" xfId="46292"/>
    <cellStyle name="Currency [0,00] TBD- 7 41" xfId="46293"/>
    <cellStyle name="Currency [0,00] TBD 7 42" xfId="46294"/>
    <cellStyle name="Currency [0,00] TBD- 7 42" xfId="46295"/>
    <cellStyle name="Currency [0,00] TBD 7 43" xfId="46296"/>
    <cellStyle name="Currency [0,00] TBD- 7 43" xfId="46297"/>
    <cellStyle name="Currency [0,00] TBD 7 44" xfId="46298"/>
    <cellStyle name="Currency [0,00] TBD- 7 44" xfId="46299"/>
    <cellStyle name="Currency [0,00] TBD 7 45" xfId="46300"/>
    <cellStyle name="Currency [0,00] TBD- 7 45" xfId="46301"/>
    <cellStyle name="Currency [0,00] TBD 7 46" xfId="46302"/>
    <cellStyle name="Currency [0,00] TBD- 7 46" xfId="46303"/>
    <cellStyle name="Currency [0,00] TBD 7 47" xfId="46304"/>
    <cellStyle name="Currency [0,00] TBD- 7 47" xfId="46305"/>
    <cellStyle name="Currency [0,00] TBD 7 48" xfId="46306"/>
    <cellStyle name="Currency [0,00] TBD- 7 48" xfId="46307"/>
    <cellStyle name="Currency [0,00] TBD 7 49" xfId="46308"/>
    <cellStyle name="Currency [0,00] TBD- 7 49" xfId="46309"/>
    <cellStyle name="Currency [0,00] TBD 7 5" xfId="46310"/>
    <cellStyle name="Currency [0,00] TBD- 7 5" xfId="46311"/>
    <cellStyle name="Currency [0,00] TBD 7 50" xfId="46312"/>
    <cellStyle name="Currency [0,00] TBD- 7 50" xfId="46313"/>
    <cellStyle name="Currency [0,00] TBD 7 51" xfId="46314"/>
    <cellStyle name="Currency [0,00] TBD- 7 51" xfId="46315"/>
    <cellStyle name="Currency [0,00] TBD 7 52" xfId="46316"/>
    <cellStyle name="Currency [0,00] TBD- 7 52" xfId="46317"/>
    <cellStyle name="Currency [0,00] TBD 7 53" xfId="46318"/>
    <cellStyle name="Currency [0,00] TBD- 7 53" xfId="46319"/>
    <cellStyle name="Currency [0,00] TBD 7 54" xfId="46320"/>
    <cellStyle name="Currency [0,00] TBD- 7 54" xfId="46321"/>
    <cellStyle name="Currency [0,00] TBD 7 55" xfId="46322"/>
    <cellStyle name="Currency [0,00] TBD- 7 55" xfId="46323"/>
    <cellStyle name="Currency [0,00] TBD 7 56" xfId="46324"/>
    <cellStyle name="Currency [0,00] TBD- 7 56" xfId="46325"/>
    <cellStyle name="Currency [0,00] TBD 7 57" xfId="46326"/>
    <cellStyle name="Currency [0,00] TBD- 7 57" xfId="46327"/>
    <cellStyle name="Currency [0,00] TBD 7 58" xfId="46328"/>
    <cellStyle name="Currency [0,00] TBD- 7 58" xfId="46329"/>
    <cellStyle name="Currency [0,00] TBD 7 59" xfId="46330"/>
    <cellStyle name="Currency [0,00] TBD- 7 59" xfId="46331"/>
    <cellStyle name="Currency [0,00] TBD 7 6" xfId="46332"/>
    <cellStyle name="Currency [0,00] TBD- 7 6" xfId="46333"/>
    <cellStyle name="Currency [0,00] TBD 7 60" xfId="46334"/>
    <cellStyle name="Currency [0,00] TBD- 7 60" xfId="46335"/>
    <cellStyle name="Currency [0,00] TBD 7 61" xfId="46336"/>
    <cellStyle name="Currency [0,00] TBD- 7 61" xfId="46337"/>
    <cellStyle name="Currency [0,00] TBD 7 62" xfId="46338"/>
    <cellStyle name="Currency [0,00] TBD- 7 62" xfId="46339"/>
    <cellStyle name="Currency [0,00] TBD 7 63" xfId="46340"/>
    <cellStyle name="Currency [0,00] TBD- 7 63" xfId="46341"/>
    <cellStyle name="Currency [0,00] TBD 7 64" xfId="46342"/>
    <cellStyle name="Currency [0,00] TBD- 7 64" xfId="46343"/>
    <cellStyle name="Currency [0,00] TBD 7 65" xfId="46344"/>
    <cellStyle name="Currency [0,00] TBD- 7 65" xfId="46345"/>
    <cellStyle name="Currency [0,00] TBD 7 66" xfId="46346"/>
    <cellStyle name="Currency [0,00] TBD- 7 66" xfId="46347"/>
    <cellStyle name="Currency [0,00] TBD 7 67" xfId="46348"/>
    <cellStyle name="Currency [0,00] TBD- 7 67" xfId="46349"/>
    <cellStyle name="Currency [0,00] TBD 7 68" xfId="46350"/>
    <cellStyle name="Currency [0,00] TBD- 7 68" xfId="46351"/>
    <cellStyle name="Currency [0,00] TBD 7 69" xfId="46352"/>
    <cellStyle name="Currency [0,00] TBD- 7 69" xfId="46353"/>
    <cellStyle name="Currency [0,00] TBD 7 7" xfId="46354"/>
    <cellStyle name="Currency [0,00] TBD- 7 7" xfId="46355"/>
    <cellStyle name="Currency [0,00] TBD 7 70" xfId="46356"/>
    <cellStyle name="Currency [0,00] TBD- 7 70" xfId="46357"/>
    <cellStyle name="Currency [0,00] TBD 7 71" xfId="46358"/>
    <cellStyle name="Currency [0,00] TBD- 7 71" xfId="46359"/>
    <cellStyle name="Currency [0,00] TBD 7 72" xfId="46360"/>
    <cellStyle name="Currency [0,00] TBD- 7 72" xfId="46361"/>
    <cellStyle name="Currency [0,00] TBD 7 73" xfId="46362"/>
    <cellStyle name="Currency [0,00] TBD- 7 73" xfId="46363"/>
    <cellStyle name="Currency [0,00] TBD 7 74" xfId="46364"/>
    <cellStyle name="Currency [0,00] TBD- 7 74" xfId="46365"/>
    <cellStyle name="Currency [0,00] TBD 7 75" xfId="46366"/>
    <cellStyle name="Currency [0,00] TBD- 7 75" xfId="46367"/>
    <cellStyle name="Currency [0,00] TBD 7 76" xfId="46368"/>
    <cellStyle name="Currency [0,00] TBD- 7 76" xfId="46369"/>
    <cellStyle name="Currency [0,00] TBD 7 77" xfId="46370"/>
    <cellStyle name="Currency [0,00] TBD- 7 77" xfId="46371"/>
    <cellStyle name="Currency [0,00] TBD 7 78" xfId="46372"/>
    <cellStyle name="Currency [0,00] TBD- 7 78" xfId="46373"/>
    <cellStyle name="Currency [0,00] TBD 7 79" xfId="46374"/>
    <cellStyle name="Currency [0,00] TBD- 7 79" xfId="46375"/>
    <cellStyle name="Currency [0,00] TBD 7 8" xfId="46376"/>
    <cellStyle name="Currency [0,00] TBD- 7 8" xfId="46377"/>
    <cellStyle name="Currency [0,00] TBD 7 80" xfId="46378"/>
    <cellStyle name="Currency [0,00] TBD- 7 80" xfId="46379"/>
    <cellStyle name="Currency [0,00] TBD 7 81" xfId="46380"/>
    <cellStyle name="Currency [0,00] TBD- 7 81" xfId="46381"/>
    <cellStyle name="Currency [0,00] TBD 7 82" xfId="46382"/>
    <cellStyle name="Currency [0,00] TBD- 7 82" xfId="46383"/>
    <cellStyle name="Currency [0,00] TBD 7 83" xfId="46384"/>
    <cellStyle name="Currency [0,00] TBD- 7 83" xfId="46385"/>
    <cellStyle name="Currency [0,00] TBD 7 84" xfId="46386"/>
    <cellStyle name="Currency [0,00] TBD- 7 84" xfId="46387"/>
    <cellStyle name="Currency [0,00] TBD 7 85" xfId="46388"/>
    <cellStyle name="Currency [0,00] TBD- 7 85" xfId="46389"/>
    <cellStyle name="Currency [0,00] TBD 7 86" xfId="46390"/>
    <cellStyle name="Currency [0,00] TBD- 7 86" xfId="46391"/>
    <cellStyle name="Currency [0,00] TBD 7 87" xfId="46392"/>
    <cellStyle name="Currency [0,00] TBD- 7 87" xfId="46393"/>
    <cellStyle name="Currency [0,00] TBD 7 88" xfId="46394"/>
    <cellStyle name="Currency [0,00] TBD- 7 88" xfId="46395"/>
    <cellStyle name="Currency [0,00] TBD 7 89" xfId="46396"/>
    <cellStyle name="Currency [0,00] TBD- 7 89" xfId="46397"/>
    <cellStyle name="Currency [0,00] TBD 7 9" xfId="46398"/>
    <cellStyle name="Currency [0,00] TBD- 7 9" xfId="46399"/>
    <cellStyle name="Currency [0,00] TBD 7 90" xfId="46400"/>
    <cellStyle name="Currency [0,00] TBD- 7 90" xfId="46401"/>
    <cellStyle name="Currency [0,00] TBD 7 91" xfId="46402"/>
    <cellStyle name="Currency [0,00] TBD- 7 91" xfId="46403"/>
    <cellStyle name="Currency [0,00] TBD 7 92" xfId="46404"/>
    <cellStyle name="Currency [0,00] TBD- 7 92" xfId="46405"/>
    <cellStyle name="Currency [0,00] TBD 7 93" xfId="46406"/>
    <cellStyle name="Currency [0,00] TBD- 7 93" xfId="46407"/>
    <cellStyle name="Currency [0,00] TBD 7 94" xfId="46408"/>
    <cellStyle name="Currency [0,00] TBD- 7 94" xfId="46409"/>
    <cellStyle name="Currency [0,00] TBD 7 95" xfId="46410"/>
    <cellStyle name="Currency [0,00] TBD- 7 95" xfId="46411"/>
    <cellStyle name="Currency [0,00] TBD 7 96" xfId="46412"/>
    <cellStyle name="Currency [0,00] TBD- 7 96" xfId="46413"/>
    <cellStyle name="Currency [0,00] TBD 7 97" xfId="46414"/>
    <cellStyle name="Currency [0,00] TBD- 7 97" xfId="46415"/>
    <cellStyle name="Currency [0,00] TBD 7 98" xfId="46416"/>
    <cellStyle name="Currency [0,00] TBD- 7 98" xfId="46417"/>
    <cellStyle name="Currency [0,00] TBD 7 99" xfId="46418"/>
    <cellStyle name="Currency [0,00] TBD- 7 99" xfId="46419"/>
    <cellStyle name="Currency [0,00] TBD 8" xfId="46420"/>
    <cellStyle name="Currency [0,00] TBD- 8" xfId="46421"/>
    <cellStyle name="Currency [0,00] TBD 8 10" xfId="46422"/>
    <cellStyle name="Currency [0,00] TBD- 8 10" xfId="46423"/>
    <cellStyle name="Currency [0,00] TBD 8 100" xfId="46424"/>
    <cellStyle name="Currency [0,00] TBD- 8 100" xfId="46425"/>
    <cellStyle name="Currency [0,00] TBD 8 101" xfId="46426"/>
    <cellStyle name="Currency [0,00] TBD- 8 101" xfId="46427"/>
    <cellStyle name="Currency [0,00] TBD 8 102" xfId="46428"/>
    <cellStyle name="Currency [0,00] TBD- 8 102" xfId="46429"/>
    <cellStyle name="Currency [0,00] TBD 8 103" xfId="46430"/>
    <cellStyle name="Currency [0,00] TBD- 8 103" xfId="46431"/>
    <cellStyle name="Currency [0,00] TBD 8 104" xfId="46432"/>
    <cellStyle name="Currency [0,00] TBD- 8 104" xfId="46433"/>
    <cellStyle name="Currency [0,00] TBD 8 105" xfId="46434"/>
    <cellStyle name="Currency [0,00] TBD- 8 105" xfId="46435"/>
    <cellStyle name="Currency [0,00] TBD 8 106" xfId="46436"/>
    <cellStyle name="Currency [0,00] TBD- 8 106" xfId="46437"/>
    <cellStyle name="Currency [0,00] TBD 8 107" xfId="46438"/>
    <cellStyle name="Currency [0,00] TBD- 8 107" xfId="46439"/>
    <cellStyle name="Currency [0,00] TBD 8 108" xfId="46440"/>
    <cellStyle name="Currency [0,00] TBD- 8 108" xfId="46441"/>
    <cellStyle name="Currency [0,00] TBD 8 109" xfId="46442"/>
    <cellStyle name="Currency [0,00] TBD- 8 109" xfId="46443"/>
    <cellStyle name="Currency [0,00] TBD 8 11" xfId="46444"/>
    <cellStyle name="Currency [0,00] TBD- 8 11" xfId="46445"/>
    <cellStyle name="Currency [0,00] TBD 8 110" xfId="46446"/>
    <cellStyle name="Currency [0,00] TBD- 8 110" xfId="46447"/>
    <cellStyle name="Currency [0,00] TBD 8 111" xfId="46448"/>
    <cellStyle name="Currency [0,00] TBD- 8 111" xfId="46449"/>
    <cellStyle name="Currency [0,00] TBD 8 112" xfId="46450"/>
    <cellStyle name="Currency [0,00] TBD- 8 112" xfId="46451"/>
    <cellStyle name="Currency [0,00] TBD 8 113" xfId="46452"/>
    <cellStyle name="Currency [0,00] TBD- 8 113" xfId="46453"/>
    <cellStyle name="Currency [0,00] TBD 8 114" xfId="46454"/>
    <cellStyle name="Currency [0,00] TBD- 8 114" xfId="46455"/>
    <cellStyle name="Currency [0,00] TBD 8 115" xfId="46456"/>
    <cellStyle name="Currency [0,00] TBD- 8 115" xfId="46457"/>
    <cellStyle name="Currency [0,00] TBD 8 116" xfId="46458"/>
    <cellStyle name="Currency [0,00] TBD- 8 116" xfId="46459"/>
    <cellStyle name="Currency [0,00] TBD 8 117" xfId="46460"/>
    <cellStyle name="Currency [0,00] TBD- 8 117" xfId="46461"/>
    <cellStyle name="Currency [0,00] TBD 8 118" xfId="46462"/>
    <cellStyle name="Currency [0,00] TBD- 8 118" xfId="46463"/>
    <cellStyle name="Currency [0,00] TBD 8 119" xfId="46464"/>
    <cellStyle name="Currency [0,00] TBD- 8 119" xfId="46465"/>
    <cellStyle name="Currency [0,00] TBD 8 12" xfId="46466"/>
    <cellStyle name="Currency [0,00] TBD- 8 12" xfId="46467"/>
    <cellStyle name="Currency [0,00] TBD 8 120" xfId="46468"/>
    <cellStyle name="Currency [0,00] TBD- 8 120" xfId="46469"/>
    <cellStyle name="Currency [0,00] TBD 8 121" xfId="46470"/>
    <cellStyle name="Currency [0,00] TBD- 8 121" xfId="46471"/>
    <cellStyle name="Currency [0,00] TBD 8 122" xfId="46472"/>
    <cellStyle name="Currency [0,00] TBD- 8 122" xfId="46473"/>
    <cellStyle name="Currency [0,00] TBD 8 123" xfId="46474"/>
    <cellStyle name="Currency [0,00] TBD- 8 123" xfId="46475"/>
    <cellStyle name="Currency [0,00] TBD 8 124" xfId="46476"/>
    <cellStyle name="Currency [0,00] TBD- 8 124" xfId="46477"/>
    <cellStyle name="Currency [0,00] TBD 8 125" xfId="46478"/>
    <cellStyle name="Currency [0,00] TBD- 8 125" xfId="46479"/>
    <cellStyle name="Currency [0,00] TBD 8 126" xfId="46480"/>
    <cellStyle name="Currency [0,00] TBD- 8 126" xfId="46481"/>
    <cellStyle name="Currency [0,00] TBD 8 127" xfId="46482"/>
    <cellStyle name="Currency [0,00] TBD- 8 127" xfId="46483"/>
    <cellStyle name="Currency [0,00] TBD 8 128" xfId="46484"/>
    <cellStyle name="Currency [0,00] TBD- 8 128" xfId="46485"/>
    <cellStyle name="Currency [0,00] TBD 8 129" xfId="46486"/>
    <cellStyle name="Currency [0,00] TBD- 8 129" xfId="46487"/>
    <cellStyle name="Currency [0,00] TBD 8 13" xfId="46488"/>
    <cellStyle name="Currency [0,00] TBD- 8 13" xfId="46489"/>
    <cellStyle name="Currency [0,00] TBD 8 130" xfId="46490"/>
    <cellStyle name="Currency [0,00] TBD- 8 130" xfId="46491"/>
    <cellStyle name="Currency [0,00] TBD 8 131" xfId="46492"/>
    <cellStyle name="Currency [0,00] TBD- 8 131" xfId="46493"/>
    <cellStyle name="Currency [0,00] TBD 8 132" xfId="46494"/>
    <cellStyle name="Currency [0,00] TBD- 8 132" xfId="46495"/>
    <cellStyle name="Currency [0,00] TBD 8 133" xfId="46496"/>
    <cellStyle name="Currency [0,00] TBD- 8 133" xfId="46497"/>
    <cellStyle name="Currency [0,00] TBD 8 134" xfId="46498"/>
    <cellStyle name="Currency [0,00] TBD- 8 134" xfId="46499"/>
    <cellStyle name="Currency [0,00] TBD 8 135" xfId="46500"/>
    <cellStyle name="Currency [0,00] TBD- 8 135" xfId="46501"/>
    <cellStyle name="Currency [0,00] TBD 8 136" xfId="46502"/>
    <cellStyle name="Currency [0,00] TBD- 8 136" xfId="46503"/>
    <cellStyle name="Currency [0,00] TBD 8 137" xfId="46504"/>
    <cellStyle name="Currency [0,00] TBD- 8 137" xfId="46505"/>
    <cellStyle name="Currency [0,00] TBD 8 138" xfId="46506"/>
    <cellStyle name="Currency [0,00] TBD- 8 138" xfId="46507"/>
    <cellStyle name="Currency [0,00] TBD 8 139" xfId="46508"/>
    <cellStyle name="Currency [0,00] TBD- 8 139" xfId="46509"/>
    <cellStyle name="Currency [0,00] TBD 8 14" xfId="46510"/>
    <cellStyle name="Currency [0,00] TBD- 8 14" xfId="46511"/>
    <cellStyle name="Currency [0,00] TBD 8 140" xfId="46512"/>
    <cellStyle name="Currency [0,00] TBD- 8 140" xfId="46513"/>
    <cellStyle name="Currency [0,00] TBD 8 141" xfId="46514"/>
    <cellStyle name="Currency [0,00] TBD- 8 141" xfId="46515"/>
    <cellStyle name="Currency [0,00] TBD 8 142" xfId="46516"/>
    <cellStyle name="Currency [0,00] TBD- 8 142" xfId="46517"/>
    <cellStyle name="Currency [0,00] TBD 8 143" xfId="46518"/>
    <cellStyle name="Currency [0,00] TBD- 8 143" xfId="46519"/>
    <cellStyle name="Currency [0,00] TBD 8 144" xfId="46520"/>
    <cellStyle name="Currency [0,00] TBD- 8 144" xfId="46521"/>
    <cellStyle name="Currency [0,00] TBD 8 145" xfId="46522"/>
    <cellStyle name="Currency [0,00] TBD- 8 145" xfId="46523"/>
    <cellStyle name="Currency [0,00] TBD 8 146" xfId="46524"/>
    <cellStyle name="Currency [0,00] TBD- 8 146" xfId="46525"/>
    <cellStyle name="Currency [0,00] TBD 8 147" xfId="46526"/>
    <cellStyle name="Currency [0,00] TBD- 8 147" xfId="46527"/>
    <cellStyle name="Currency [0,00] TBD 8 148" xfId="46528"/>
    <cellStyle name="Currency [0,00] TBD- 8 148" xfId="46529"/>
    <cellStyle name="Currency [0,00] TBD 8 149" xfId="46530"/>
    <cellStyle name="Currency [0,00] TBD- 8 149" xfId="46531"/>
    <cellStyle name="Currency [0,00] TBD 8 15" xfId="46532"/>
    <cellStyle name="Currency [0,00] TBD- 8 15" xfId="46533"/>
    <cellStyle name="Currency [0,00] TBD 8 150" xfId="46534"/>
    <cellStyle name="Currency [0,00] TBD- 8 150" xfId="46535"/>
    <cellStyle name="Currency [0,00] TBD 8 151" xfId="46536"/>
    <cellStyle name="Currency [0,00] TBD- 8 151" xfId="46537"/>
    <cellStyle name="Currency [0,00] TBD 8 152" xfId="46538"/>
    <cellStyle name="Currency [0,00] TBD- 8 152" xfId="46539"/>
    <cellStyle name="Currency [0,00] TBD 8 153" xfId="46540"/>
    <cellStyle name="Currency [0,00] TBD- 8 153" xfId="46541"/>
    <cellStyle name="Currency [0,00] TBD 8 16" xfId="46542"/>
    <cellStyle name="Currency [0,00] TBD- 8 16" xfId="46543"/>
    <cellStyle name="Currency [0,00] TBD 8 17" xfId="46544"/>
    <cellStyle name="Currency [0,00] TBD- 8 17" xfId="46545"/>
    <cellStyle name="Currency [0,00] TBD 8 18" xfId="46546"/>
    <cellStyle name="Currency [0,00] TBD- 8 18" xfId="46547"/>
    <cellStyle name="Currency [0,00] TBD 8 19" xfId="46548"/>
    <cellStyle name="Currency [0,00] TBD- 8 19" xfId="46549"/>
    <cellStyle name="Currency [0,00] TBD 8 2" xfId="46550"/>
    <cellStyle name="Currency [0,00] TBD- 8 2" xfId="46551"/>
    <cellStyle name="Currency [0,00] TBD 8 20" xfId="46552"/>
    <cellStyle name="Currency [0,00] TBD- 8 20" xfId="46553"/>
    <cellStyle name="Currency [0,00] TBD 8 21" xfId="46554"/>
    <cellStyle name="Currency [0,00] TBD- 8 21" xfId="46555"/>
    <cellStyle name="Currency [0,00] TBD 8 22" xfId="46556"/>
    <cellStyle name="Currency [0,00] TBD- 8 22" xfId="46557"/>
    <cellStyle name="Currency [0,00] TBD 8 23" xfId="46558"/>
    <cellStyle name="Currency [0,00] TBD- 8 23" xfId="46559"/>
    <cellStyle name="Currency [0,00] TBD 8 24" xfId="46560"/>
    <cellStyle name="Currency [0,00] TBD- 8 24" xfId="46561"/>
    <cellStyle name="Currency [0,00] TBD 8 25" xfId="46562"/>
    <cellStyle name="Currency [0,00] TBD- 8 25" xfId="46563"/>
    <cellStyle name="Currency [0,00] TBD 8 26" xfId="46564"/>
    <cellStyle name="Currency [0,00] TBD- 8 26" xfId="46565"/>
    <cellStyle name="Currency [0,00] TBD 8 27" xfId="46566"/>
    <cellStyle name="Currency [0,00] TBD- 8 27" xfId="46567"/>
    <cellStyle name="Currency [0,00] TBD 8 28" xfId="46568"/>
    <cellStyle name="Currency [0,00] TBD- 8 28" xfId="46569"/>
    <cellStyle name="Currency [0,00] TBD 8 29" xfId="46570"/>
    <cellStyle name="Currency [0,00] TBD- 8 29" xfId="46571"/>
    <cellStyle name="Currency [0,00] TBD 8 3" xfId="46572"/>
    <cellStyle name="Currency [0,00] TBD- 8 3" xfId="46573"/>
    <cellStyle name="Currency [0,00] TBD 8 30" xfId="46574"/>
    <cellStyle name="Currency [0,00] TBD- 8 30" xfId="46575"/>
    <cellStyle name="Currency [0,00] TBD 8 31" xfId="46576"/>
    <cellStyle name="Currency [0,00] TBD- 8 31" xfId="46577"/>
    <cellStyle name="Currency [0,00] TBD 8 32" xfId="46578"/>
    <cellStyle name="Currency [0,00] TBD- 8 32" xfId="46579"/>
    <cellStyle name="Currency [0,00] TBD 8 33" xfId="46580"/>
    <cellStyle name="Currency [0,00] TBD- 8 33" xfId="46581"/>
    <cellStyle name="Currency [0,00] TBD 8 34" xfId="46582"/>
    <cellStyle name="Currency [0,00] TBD- 8 34" xfId="46583"/>
    <cellStyle name="Currency [0,00] TBD 8 35" xfId="46584"/>
    <cellStyle name="Currency [0,00] TBD- 8 35" xfId="46585"/>
    <cellStyle name="Currency [0,00] TBD 8 36" xfId="46586"/>
    <cellStyle name="Currency [0,00] TBD- 8 36" xfId="46587"/>
    <cellStyle name="Currency [0,00] TBD 8 37" xfId="46588"/>
    <cellStyle name="Currency [0,00] TBD- 8 37" xfId="46589"/>
    <cellStyle name="Currency [0,00] TBD 8 38" xfId="46590"/>
    <cellStyle name="Currency [0,00] TBD- 8 38" xfId="46591"/>
    <cellStyle name="Currency [0,00] TBD 8 39" xfId="46592"/>
    <cellStyle name="Currency [0,00] TBD- 8 39" xfId="46593"/>
    <cellStyle name="Currency [0,00] TBD 8 4" xfId="46594"/>
    <cellStyle name="Currency [0,00] TBD- 8 4" xfId="46595"/>
    <cellStyle name="Currency [0,00] TBD 8 40" xfId="46596"/>
    <cellStyle name="Currency [0,00] TBD- 8 40" xfId="46597"/>
    <cellStyle name="Currency [0,00] TBD 8 41" xfId="46598"/>
    <cellStyle name="Currency [0,00] TBD- 8 41" xfId="46599"/>
    <cellStyle name="Currency [0,00] TBD 8 42" xfId="46600"/>
    <cellStyle name="Currency [0,00] TBD- 8 42" xfId="46601"/>
    <cellStyle name="Currency [0,00] TBD 8 43" xfId="46602"/>
    <cellStyle name="Currency [0,00] TBD- 8 43" xfId="46603"/>
    <cellStyle name="Currency [0,00] TBD 8 44" xfId="46604"/>
    <cellStyle name="Currency [0,00] TBD- 8 44" xfId="46605"/>
    <cellStyle name="Currency [0,00] TBD 8 45" xfId="46606"/>
    <cellStyle name="Currency [0,00] TBD- 8 45" xfId="46607"/>
    <cellStyle name="Currency [0,00] TBD 8 46" xfId="46608"/>
    <cellStyle name="Currency [0,00] TBD- 8 46" xfId="46609"/>
    <cellStyle name="Currency [0,00] TBD 8 47" xfId="46610"/>
    <cellStyle name="Currency [0,00] TBD- 8 47" xfId="46611"/>
    <cellStyle name="Currency [0,00] TBD 8 48" xfId="46612"/>
    <cellStyle name="Currency [0,00] TBD- 8 48" xfId="46613"/>
    <cellStyle name="Currency [0,00] TBD 8 49" xfId="46614"/>
    <cellStyle name="Currency [0,00] TBD- 8 49" xfId="46615"/>
    <cellStyle name="Currency [0,00] TBD 8 5" xfId="46616"/>
    <cellStyle name="Currency [0,00] TBD- 8 5" xfId="46617"/>
    <cellStyle name="Currency [0,00] TBD 8 50" xfId="46618"/>
    <cellStyle name="Currency [0,00] TBD- 8 50" xfId="46619"/>
    <cellStyle name="Currency [0,00] TBD 8 51" xfId="46620"/>
    <cellStyle name="Currency [0,00] TBD- 8 51" xfId="46621"/>
    <cellStyle name="Currency [0,00] TBD 8 52" xfId="46622"/>
    <cellStyle name="Currency [0,00] TBD- 8 52" xfId="46623"/>
    <cellStyle name="Currency [0,00] TBD 8 53" xfId="46624"/>
    <cellStyle name="Currency [0,00] TBD- 8 53" xfId="46625"/>
    <cellStyle name="Currency [0,00] TBD 8 54" xfId="46626"/>
    <cellStyle name="Currency [0,00] TBD- 8 54" xfId="46627"/>
    <cellStyle name="Currency [0,00] TBD 8 55" xfId="46628"/>
    <cellStyle name="Currency [0,00] TBD- 8 55" xfId="46629"/>
    <cellStyle name="Currency [0,00] TBD 8 56" xfId="46630"/>
    <cellStyle name="Currency [0,00] TBD- 8 56" xfId="46631"/>
    <cellStyle name="Currency [0,00] TBD 8 57" xfId="46632"/>
    <cellStyle name="Currency [0,00] TBD- 8 57" xfId="46633"/>
    <cellStyle name="Currency [0,00] TBD 8 58" xfId="46634"/>
    <cellStyle name="Currency [0,00] TBD- 8 58" xfId="46635"/>
    <cellStyle name="Currency [0,00] TBD 8 59" xfId="46636"/>
    <cellStyle name="Currency [0,00] TBD- 8 59" xfId="46637"/>
    <cellStyle name="Currency [0,00] TBD 8 6" xfId="46638"/>
    <cellStyle name="Currency [0,00] TBD- 8 6" xfId="46639"/>
    <cellStyle name="Currency [0,00] TBD 8 60" xfId="46640"/>
    <cellStyle name="Currency [0,00] TBD- 8 60" xfId="46641"/>
    <cellStyle name="Currency [0,00] TBD 8 61" xfId="46642"/>
    <cellStyle name="Currency [0,00] TBD- 8 61" xfId="46643"/>
    <cellStyle name="Currency [0,00] TBD 8 62" xfId="46644"/>
    <cellStyle name="Currency [0,00] TBD- 8 62" xfId="46645"/>
    <cellStyle name="Currency [0,00] TBD 8 63" xfId="46646"/>
    <cellStyle name="Currency [0,00] TBD- 8 63" xfId="46647"/>
    <cellStyle name="Currency [0,00] TBD 8 64" xfId="46648"/>
    <cellStyle name="Currency [0,00] TBD- 8 64" xfId="46649"/>
    <cellStyle name="Currency [0,00] TBD 8 65" xfId="46650"/>
    <cellStyle name="Currency [0,00] TBD- 8 65" xfId="46651"/>
    <cellStyle name="Currency [0,00] TBD 8 66" xfId="46652"/>
    <cellStyle name="Currency [0,00] TBD- 8 66" xfId="46653"/>
    <cellStyle name="Currency [0,00] TBD 8 67" xfId="46654"/>
    <cellStyle name="Currency [0,00] TBD- 8 67" xfId="46655"/>
    <cellStyle name="Currency [0,00] TBD 8 68" xfId="46656"/>
    <cellStyle name="Currency [0,00] TBD- 8 68" xfId="46657"/>
    <cellStyle name="Currency [0,00] TBD 8 69" xfId="46658"/>
    <cellStyle name="Currency [0,00] TBD- 8 69" xfId="46659"/>
    <cellStyle name="Currency [0,00] TBD 8 7" xfId="46660"/>
    <cellStyle name="Currency [0,00] TBD- 8 7" xfId="46661"/>
    <cellStyle name="Currency [0,00] TBD 8 70" xfId="46662"/>
    <cellStyle name="Currency [0,00] TBD- 8 70" xfId="46663"/>
    <cellStyle name="Currency [0,00] TBD 8 71" xfId="46664"/>
    <cellStyle name="Currency [0,00] TBD- 8 71" xfId="46665"/>
    <cellStyle name="Currency [0,00] TBD 8 72" xfId="46666"/>
    <cellStyle name="Currency [0,00] TBD- 8 72" xfId="46667"/>
    <cellStyle name="Currency [0,00] TBD 8 73" xfId="46668"/>
    <cellStyle name="Currency [0,00] TBD- 8 73" xfId="46669"/>
    <cellStyle name="Currency [0,00] TBD 8 74" xfId="46670"/>
    <cellStyle name="Currency [0,00] TBD- 8 74" xfId="46671"/>
    <cellStyle name="Currency [0,00] TBD 8 75" xfId="46672"/>
    <cellStyle name="Currency [0,00] TBD- 8 75" xfId="46673"/>
    <cellStyle name="Currency [0,00] TBD 8 76" xfId="46674"/>
    <cellStyle name="Currency [0,00] TBD- 8 76" xfId="46675"/>
    <cellStyle name="Currency [0,00] TBD 8 77" xfId="46676"/>
    <cellStyle name="Currency [0,00] TBD- 8 77" xfId="46677"/>
    <cellStyle name="Currency [0,00] TBD 8 78" xfId="46678"/>
    <cellStyle name="Currency [0,00] TBD- 8 78" xfId="46679"/>
    <cellStyle name="Currency [0,00] TBD 8 79" xfId="46680"/>
    <cellStyle name="Currency [0,00] TBD- 8 79" xfId="46681"/>
    <cellStyle name="Currency [0,00] TBD 8 8" xfId="46682"/>
    <cellStyle name="Currency [0,00] TBD- 8 8" xfId="46683"/>
    <cellStyle name="Currency [0,00] TBD 8 80" xfId="46684"/>
    <cellStyle name="Currency [0,00] TBD- 8 80" xfId="46685"/>
    <cellStyle name="Currency [0,00] TBD 8 81" xfId="46686"/>
    <cellStyle name="Currency [0,00] TBD- 8 81" xfId="46687"/>
    <cellStyle name="Currency [0,00] TBD 8 82" xfId="46688"/>
    <cellStyle name="Currency [0,00] TBD- 8 82" xfId="46689"/>
    <cellStyle name="Currency [0,00] TBD 8 83" xfId="46690"/>
    <cellStyle name="Currency [0,00] TBD- 8 83" xfId="46691"/>
    <cellStyle name="Currency [0,00] TBD 8 84" xfId="46692"/>
    <cellStyle name="Currency [0,00] TBD- 8 84" xfId="46693"/>
    <cellStyle name="Currency [0,00] TBD 8 85" xfId="46694"/>
    <cellStyle name="Currency [0,00] TBD- 8 85" xfId="46695"/>
    <cellStyle name="Currency [0,00] TBD 8 86" xfId="46696"/>
    <cellStyle name="Currency [0,00] TBD- 8 86" xfId="46697"/>
    <cellStyle name="Currency [0,00] TBD 8 87" xfId="46698"/>
    <cellStyle name="Currency [0,00] TBD- 8 87" xfId="46699"/>
    <cellStyle name="Currency [0,00] TBD 8 88" xfId="46700"/>
    <cellStyle name="Currency [0,00] TBD- 8 88" xfId="46701"/>
    <cellStyle name="Currency [0,00] TBD 8 89" xfId="46702"/>
    <cellStyle name="Currency [0,00] TBD- 8 89" xfId="46703"/>
    <cellStyle name="Currency [0,00] TBD 8 9" xfId="46704"/>
    <cellStyle name="Currency [0,00] TBD- 8 9" xfId="46705"/>
    <cellStyle name="Currency [0,00] TBD 8 90" xfId="46706"/>
    <cellStyle name="Currency [0,00] TBD- 8 90" xfId="46707"/>
    <cellStyle name="Currency [0,00] TBD 8 91" xfId="46708"/>
    <cellStyle name="Currency [0,00] TBD- 8 91" xfId="46709"/>
    <cellStyle name="Currency [0,00] TBD 8 92" xfId="46710"/>
    <cellStyle name="Currency [0,00] TBD- 8 92" xfId="46711"/>
    <cellStyle name="Currency [0,00] TBD 8 93" xfId="46712"/>
    <cellStyle name="Currency [0,00] TBD- 8 93" xfId="46713"/>
    <cellStyle name="Currency [0,00] TBD 8 94" xfId="46714"/>
    <cellStyle name="Currency [0,00] TBD- 8 94" xfId="46715"/>
    <cellStyle name="Currency [0,00] TBD 8 95" xfId="46716"/>
    <cellStyle name="Currency [0,00] TBD- 8 95" xfId="46717"/>
    <cellStyle name="Currency [0,00] TBD 8 96" xfId="46718"/>
    <cellStyle name="Currency [0,00] TBD- 8 96" xfId="46719"/>
    <cellStyle name="Currency [0,00] TBD 8 97" xfId="46720"/>
    <cellStyle name="Currency [0,00] TBD- 8 97" xfId="46721"/>
    <cellStyle name="Currency [0,00] TBD 8 98" xfId="46722"/>
    <cellStyle name="Currency [0,00] TBD- 8 98" xfId="46723"/>
    <cellStyle name="Currency [0,00] TBD 8 99" xfId="46724"/>
    <cellStyle name="Currency [0,00] TBD- 8 99" xfId="46725"/>
    <cellStyle name="Currency [0,00] TBD 9" xfId="46726"/>
    <cellStyle name="Currency [0,00] TBD- 9" xfId="46727"/>
    <cellStyle name="Currency [0,00] TBD 9 10" xfId="46728"/>
    <cellStyle name="Currency [0,00] TBD- 9 10" xfId="46729"/>
    <cellStyle name="Currency [0,00] TBD 9 100" xfId="46730"/>
    <cellStyle name="Currency [0,00] TBD- 9 100" xfId="46731"/>
    <cellStyle name="Currency [0,00] TBD 9 101" xfId="46732"/>
    <cellStyle name="Currency [0,00] TBD- 9 101" xfId="46733"/>
    <cellStyle name="Currency [0,00] TBD 9 102" xfId="46734"/>
    <cellStyle name="Currency [0,00] TBD- 9 102" xfId="46735"/>
    <cellStyle name="Currency [0,00] TBD 9 103" xfId="46736"/>
    <cellStyle name="Currency [0,00] TBD- 9 103" xfId="46737"/>
    <cellStyle name="Currency [0,00] TBD 9 104" xfId="46738"/>
    <cellStyle name="Currency [0,00] TBD- 9 104" xfId="46739"/>
    <cellStyle name="Currency [0,00] TBD 9 105" xfId="46740"/>
    <cellStyle name="Currency [0,00] TBD- 9 105" xfId="46741"/>
    <cellStyle name="Currency [0,00] TBD 9 106" xfId="46742"/>
    <cellStyle name="Currency [0,00] TBD- 9 106" xfId="46743"/>
    <cellStyle name="Currency [0,00] TBD 9 107" xfId="46744"/>
    <cellStyle name="Currency [0,00] TBD- 9 107" xfId="46745"/>
    <cellStyle name="Currency [0,00] TBD 9 108" xfId="46746"/>
    <cellStyle name="Currency [0,00] TBD- 9 108" xfId="46747"/>
    <cellStyle name="Currency [0,00] TBD 9 109" xfId="46748"/>
    <cellStyle name="Currency [0,00] TBD- 9 109" xfId="46749"/>
    <cellStyle name="Currency [0,00] TBD 9 11" xfId="46750"/>
    <cellStyle name="Currency [0,00] TBD- 9 11" xfId="46751"/>
    <cellStyle name="Currency [0,00] TBD 9 110" xfId="46752"/>
    <cellStyle name="Currency [0,00] TBD- 9 110" xfId="46753"/>
    <cellStyle name="Currency [0,00] TBD 9 111" xfId="46754"/>
    <cellStyle name="Currency [0,00] TBD- 9 111" xfId="46755"/>
    <cellStyle name="Currency [0,00] TBD 9 112" xfId="46756"/>
    <cellStyle name="Currency [0,00] TBD- 9 112" xfId="46757"/>
    <cellStyle name="Currency [0,00] TBD 9 113" xfId="46758"/>
    <cellStyle name="Currency [0,00] TBD- 9 113" xfId="46759"/>
    <cellStyle name="Currency [0,00] TBD 9 114" xfId="46760"/>
    <cellStyle name="Currency [0,00] TBD- 9 114" xfId="46761"/>
    <cellStyle name="Currency [0,00] TBD 9 115" xfId="46762"/>
    <cellStyle name="Currency [0,00] TBD- 9 115" xfId="46763"/>
    <cellStyle name="Currency [0,00] TBD 9 116" xfId="46764"/>
    <cellStyle name="Currency [0,00] TBD- 9 116" xfId="46765"/>
    <cellStyle name="Currency [0,00] TBD 9 117" xfId="46766"/>
    <cellStyle name="Currency [0,00] TBD- 9 117" xfId="46767"/>
    <cellStyle name="Currency [0,00] TBD 9 118" xfId="46768"/>
    <cellStyle name="Currency [0,00] TBD- 9 118" xfId="46769"/>
    <cellStyle name="Currency [0,00] TBD 9 119" xfId="46770"/>
    <cellStyle name="Currency [0,00] TBD- 9 119" xfId="46771"/>
    <cellStyle name="Currency [0,00] TBD 9 12" xfId="46772"/>
    <cellStyle name="Currency [0,00] TBD- 9 12" xfId="46773"/>
    <cellStyle name="Currency [0,00] TBD 9 120" xfId="46774"/>
    <cellStyle name="Currency [0,00] TBD- 9 120" xfId="46775"/>
    <cellStyle name="Currency [0,00] TBD 9 121" xfId="46776"/>
    <cellStyle name="Currency [0,00] TBD- 9 121" xfId="46777"/>
    <cellStyle name="Currency [0,00] TBD 9 122" xfId="46778"/>
    <cellStyle name="Currency [0,00] TBD- 9 122" xfId="46779"/>
    <cellStyle name="Currency [0,00] TBD 9 123" xfId="46780"/>
    <cellStyle name="Currency [0,00] TBD- 9 123" xfId="46781"/>
    <cellStyle name="Currency [0,00] TBD 9 124" xfId="46782"/>
    <cellStyle name="Currency [0,00] TBD- 9 124" xfId="46783"/>
    <cellStyle name="Currency [0,00] TBD 9 125" xfId="46784"/>
    <cellStyle name="Currency [0,00] TBD- 9 125" xfId="46785"/>
    <cellStyle name="Currency [0,00] TBD 9 126" xfId="46786"/>
    <cellStyle name="Currency [0,00] TBD- 9 126" xfId="46787"/>
    <cellStyle name="Currency [0,00] TBD 9 127" xfId="46788"/>
    <cellStyle name="Currency [0,00] TBD- 9 127" xfId="46789"/>
    <cellStyle name="Currency [0,00] TBD 9 128" xfId="46790"/>
    <cellStyle name="Currency [0,00] TBD- 9 128" xfId="46791"/>
    <cellStyle name="Currency [0,00] TBD 9 129" xfId="46792"/>
    <cellStyle name="Currency [0,00] TBD- 9 129" xfId="46793"/>
    <cellStyle name="Currency [0,00] TBD 9 13" xfId="46794"/>
    <cellStyle name="Currency [0,00] TBD- 9 13" xfId="46795"/>
    <cellStyle name="Currency [0,00] TBD 9 130" xfId="46796"/>
    <cellStyle name="Currency [0,00] TBD- 9 130" xfId="46797"/>
    <cellStyle name="Currency [0,00] TBD 9 131" xfId="46798"/>
    <cellStyle name="Currency [0,00] TBD- 9 131" xfId="46799"/>
    <cellStyle name="Currency [0,00] TBD 9 132" xfId="46800"/>
    <cellStyle name="Currency [0,00] TBD- 9 132" xfId="46801"/>
    <cellStyle name="Currency [0,00] TBD 9 133" xfId="46802"/>
    <cellStyle name="Currency [0,00] TBD- 9 133" xfId="46803"/>
    <cellStyle name="Currency [0,00] TBD 9 134" xfId="46804"/>
    <cellStyle name="Currency [0,00] TBD- 9 134" xfId="46805"/>
    <cellStyle name="Currency [0,00] TBD 9 135" xfId="46806"/>
    <cellStyle name="Currency [0,00] TBD- 9 135" xfId="46807"/>
    <cellStyle name="Currency [0,00] TBD 9 136" xfId="46808"/>
    <cellStyle name="Currency [0,00] TBD- 9 136" xfId="46809"/>
    <cellStyle name="Currency [0,00] TBD 9 137" xfId="46810"/>
    <cellStyle name="Currency [0,00] TBD- 9 137" xfId="46811"/>
    <cellStyle name="Currency [0,00] TBD 9 138" xfId="46812"/>
    <cellStyle name="Currency [0,00] TBD- 9 138" xfId="46813"/>
    <cellStyle name="Currency [0,00] TBD 9 139" xfId="46814"/>
    <cellStyle name="Currency [0,00] TBD- 9 139" xfId="46815"/>
    <cellStyle name="Currency [0,00] TBD 9 14" xfId="46816"/>
    <cellStyle name="Currency [0,00] TBD- 9 14" xfId="46817"/>
    <cellStyle name="Currency [0,00] TBD 9 140" xfId="46818"/>
    <cellStyle name="Currency [0,00] TBD- 9 140" xfId="46819"/>
    <cellStyle name="Currency [0,00] TBD 9 141" xfId="46820"/>
    <cellStyle name="Currency [0,00] TBD- 9 141" xfId="46821"/>
    <cellStyle name="Currency [0,00] TBD 9 142" xfId="46822"/>
    <cellStyle name="Currency [0,00] TBD- 9 142" xfId="46823"/>
    <cellStyle name="Currency [0,00] TBD 9 143" xfId="46824"/>
    <cellStyle name="Currency [0,00] TBD- 9 143" xfId="46825"/>
    <cellStyle name="Currency [0,00] TBD 9 144" xfId="46826"/>
    <cellStyle name="Currency [0,00] TBD- 9 144" xfId="46827"/>
    <cellStyle name="Currency [0,00] TBD 9 145" xfId="46828"/>
    <cellStyle name="Currency [0,00] TBD- 9 145" xfId="46829"/>
    <cellStyle name="Currency [0,00] TBD 9 146" xfId="46830"/>
    <cellStyle name="Currency [0,00] TBD- 9 146" xfId="46831"/>
    <cellStyle name="Currency [0,00] TBD 9 147" xfId="46832"/>
    <cellStyle name="Currency [0,00] TBD- 9 147" xfId="46833"/>
    <cellStyle name="Currency [0,00] TBD 9 148" xfId="46834"/>
    <cellStyle name="Currency [0,00] TBD- 9 148" xfId="46835"/>
    <cellStyle name="Currency [0,00] TBD 9 149" xfId="46836"/>
    <cellStyle name="Currency [0,00] TBD- 9 149" xfId="46837"/>
    <cellStyle name="Currency [0,00] TBD 9 15" xfId="46838"/>
    <cellStyle name="Currency [0,00] TBD- 9 15" xfId="46839"/>
    <cellStyle name="Currency [0,00] TBD 9 150" xfId="46840"/>
    <cellStyle name="Currency [0,00] TBD- 9 150" xfId="46841"/>
    <cellStyle name="Currency [0,00] TBD 9 151" xfId="46842"/>
    <cellStyle name="Currency [0,00] TBD- 9 151" xfId="46843"/>
    <cellStyle name="Currency [0,00] TBD 9 152" xfId="46844"/>
    <cellStyle name="Currency [0,00] TBD- 9 152" xfId="46845"/>
    <cellStyle name="Currency [0,00] TBD 9 153" xfId="46846"/>
    <cellStyle name="Currency [0,00] TBD- 9 153" xfId="46847"/>
    <cellStyle name="Currency [0,00] TBD 9 16" xfId="46848"/>
    <cellStyle name="Currency [0,00] TBD- 9 16" xfId="46849"/>
    <cellStyle name="Currency [0,00] TBD 9 17" xfId="46850"/>
    <cellStyle name="Currency [0,00] TBD- 9 17" xfId="46851"/>
    <cellStyle name="Currency [0,00] TBD 9 18" xfId="46852"/>
    <cellStyle name="Currency [0,00] TBD- 9 18" xfId="46853"/>
    <cellStyle name="Currency [0,00] TBD 9 19" xfId="46854"/>
    <cellStyle name="Currency [0,00] TBD- 9 19" xfId="46855"/>
    <cellStyle name="Currency [0,00] TBD 9 2" xfId="46856"/>
    <cellStyle name="Currency [0,00] TBD- 9 2" xfId="46857"/>
    <cellStyle name="Currency [0,00] TBD 9 20" xfId="46858"/>
    <cellStyle name="Currency [0,00] TBD- 9 20" xfId="46859"/>
    <cellStyle name="Currency [0,00] TBD 9 21" xfId="46860"/>
    <cellStyle name="Currency [0,00] TBD- 9 21" xfId="46861"/>
    <cellStyle name="Currency [0,00] TBD 9 22" xfId="46862"/>
    <cellStyle name="Currency [0,00] TBD- 9 22" xfId="46863"/>
    <cellStyle name="Currency [0,00] TBD 9 23" xfId="46864"/>
    <cellStyle name="Currency [0,00] TBD- 9 23" xfId="46865"/>
    <cellStyle name="Currency [0,00] TBD 9 24" xfId="46866"/>
    <cellStyle name="Currency [0,00] TBD- 9 24" xfId="46867"/>
    <cellStyle name="Currency [0,00] TBD 9 25" xfId="46868"/>
    <cellStyle name="Currency [0,00] TBD- 9 25" xfId="46869"/>
    <cellStyle name="Currency [0,00] TBD 9 26" xfId="46870"/>
    <cellStyle name="Currency [0,00] TBD- 9 26" xfId="46871"/>
    <cellStyle name="Currency [0,00] TBD 9 27" xfId="46872"/>
    <cellStyle name="Currency [0,00] TBD- 9 27" xfId="46873"/>
    <cellStyle name="Currency [0,00] TBD 9 28" xfId="46874"/>
    <cellStyle name="Currency [0,00] TBD- 9 28" xfId="46875"/>
    <cellStyle name="Currency [0,00] TBD 9 29" xfId="46876"/>
    <cellStyle name="Currency [0,00] TBD- 9 29" xfId="46877"/>
    <cellStyle name="Currency [0,00] TBD 9 3" xfId="46878"/>
    <cellStyle name="Currency [0,00] TBD- 9 3" xfId="46879"/>
    <cellStyle name="Currency [0,00] TBD 9 30" xfId="46880"/>
    <cellStyle name="Currency [0,00] TBD- 9 30" xfId="46881"/>
    <cellStyle name="Currency [0,00] TBD 9 31" xfId="46882"/>
    <cellStyle name="Currency [0,00] TBD- 9 31" xfId="46883"/>
    <cellStyle name="Currency [0,00] TBD 9 32" xfId="46884"/>
    <cellStyle name="Currency [0,00] TBD- 9 32" xfId="46885"/>
    <cellStyle name="Currency [0,00] TBD 9 33" xfId="46886"/>
    <cellStyle name="Currency [0,00] TBD- 9 33" xfId="46887"/>
    <cellStyle name="Currency [0,00] TBD 9 34" xfId="46888"/>
    <cellStyle name="Currency [0,00] TBD- 9 34" xfId="46889"/>
    <cellStyle name="Currency [0,00] TBD 9 35" xfId="46890"/>
    <cellStyle name="Currency [0,00] TBD- 9 35" xfId="46891"/>
    <cellStyle name="Currency [0,00] TBD 9 36" xfId="46892"/>
    <cellStyle name="Currency [0,00] TBD- 9 36" xfId="46893"/>
    <cellStyle name="Currency [0,00] TBD 9 37" xfId="46894"/>
    <cellStyle name="Currency [0,00] TBD- 9 37" xfId="46895"/>
    <cellStyle name="Currency [0,00] TBD 9 38" xfId="46896"/>
    <cellStyle name="Currency [0,00] TBD- 9 38" xfId="46897"/>
    <cellStyle name="Currency [0,00] TBD 9 39" xfId="46898"/>
    <cellStyle name="Currency [0,00] TBD- 9 39" xfId="46899"/>
    <cellStyle name="Currency [0,00] TBD 9 4" xfId="46900"/>
    <cellStyle name="Currency [0,00] TBD- 9 4" xfId="46901"/>
    <cellStyle name="Currency [0,00] TBD 9 40" xfId="46902"/>
    <cellStyle name="Currency [0,00] TBD- 9 40" xfId="46903"/>
    <cellStyle name="Currency [0,00] TBD 9 41" xfId="46904"/>
    <cellStyle name="Currency [0,00] TBD- 9 41" xfId="46905"/>
    <cellStyle name="Currency [0,00] TBD 9 42" xfId="46906"/>
    <cellStyle name="Currency [0,00] TBD- 9 42" xfId="46907"/>
    <cellStyle name="Currency [0,00] TBD 9 43" xfId="46908"/>
    <cellStyle name="Currency [0,00] TBD- 9 43" xfId="46909"/>
    <cellStyle name="Currency [0,00] TBD 9 44" xfId="46910"/>
    <cellStyle name="Currency [0,00] TBD- 9 44" xfId="46911"/>
    <cellStyle name="Currency [0,00] TBD 9 45" xfId="46912"/>
    <cellStyle name="Currency [0,00] TBD- 9 45" xfId="46913"/>
    <cellStyle name="Currency [0,00] TBD 9 46" xfId="46914"/>
    <cellStyle name="Currency [0,00] TBD- 9 46" xfId="46915"/>
    <cellStyle name="Currency [0,00] TBD 9 47" xfId="46916"/>
    <cellStyle name="Currency [0,00] TBD- 9 47" xfId="46917"/>
    <cellStyle name="Currency [0,00] TBD 9 48" xfId="46918"/>
    <cellStyle name="Currency [0,00] TBD- 9 48" xfId="46919"/>
    <cellStyle name="Currency [0,00] TBD 9 49" xfId="46920"/>
    <cellStyle name="Currency [0,00] TBD- 9 49" xfId="46921"/>
    <cellStyle name="Currency [0,00] TBD 9 5" xfId="46922"/>
    <cellStyle name="Currency [0,00] TBD- 9 5" xfId="46923"/>
    <cellStyle name="Currency [0,00] TBD 9 50" xfId="46924"/>
    <cellStyle name="Currency [0,00] TBD- 9 50" xfId="46925"/>
    <cellStyle name="Currency [0,00] TBD 9 51" xfId="46926"/>
    <cellStyle name="Currency [0,00] TBD- 9 51" xfId="46927"/>
    <cellStyle name="Currency [0,00] TBD 9 52" xfId="46928"/>
    <cellStyle name="Currency [0,00] TBD- 9 52" xfId="46929"/>
    <cellStyle name="Currency [0,00] TBD 9 53" xfId="46930"/>
    <cellStyle name="Currency [0,00] TBD- 9 53" xfId="46931"/>
    <cellStyle name="Currency [0,00] TBD 9 54" xfId="46932"/>
    <cellStyle name="Currency [0,00] TBD- 9 54" xfId="46933"/>
    <cellStyle name="Currency [0,00] TBD 9 55" xfId="46934"/>
    <cellStyle name="Currency [0,00] TBD- 9 55" xfId="46935"/>
    <cellStyle name="Currency [0,00] TBD 9 56" xfId="46936"/>
    <cellStyle name="Currency [0,00] TBD- 9 56" xfId="46937"/>
    <cellStyle name="Currency [0,00] TBD 9 57" xfId="46938"/>
    <cellStyle name="Currency [0,00] TBD- 9 57" xfId="46939"/>
    <cellStyle name="Currency [0,00] TBD 9 58" xfId="46940"/>
    <cellStyle name="Currency [0,00] TBD- 9 58" xfId="46941"/>
    <cellStyle name="Currency [0,00] TBD 9 59" xfId="46942"/>
    <cellStyle name="Currency [0,00] TBD- 9 59" xfId="46943"/>
    <cellStyle name="Currency [0,00] TBD 9 6" xfId="46944"/>
    <cellStyle name="Currency [0,00] TBD- 9 6" xfId="46945"/>
    <cellStyle name="Currency [0,00] TBD 9 60" xfId="46946"/>
    <cellStyle name="Currency [0,00] TBD- 9 60" xfId="46947"/>
    <cellStyle name="Currency [0,00] TBD 9 61" xfId="46948"/>
    <cellStyle name="Currency [0,00] TBD- 9 61" xfId="46949"/>
    <cellStyle name="Currency [0,00] TBD 9 62" xfId="46950"/>
    <cellStyle name="Currency [0,00] TBD- 9 62" xfId="46951"/>
    <cellStyle name="Currency [0,00] TBD 9 63" xfId="46952"/>
    <cellStyle name="Currency [0,00] TBD- 9 63" xfId="46953"/>
    <cellStyle name="Currency [0,00] TBD 9 64" xfId="46954"/>
    <cellStyle name="Currency [0,00] TBD- 9 64" xfId="46955"/>
    <cellStyle name="Currency [0,00] TBD 9 65" xfId="46956"/>
    <cellStyle name="Currency [0,00] TBD- 9 65" xfId="46957"/>
    <cellStyle name="Currency [0,00] TBD 9 66" xfId="46958"/>
    <cellStyle name="Currency [0,00] TBD- 9 66" xfId="46959"/>
    <cellStyle name="Currency [0,00] TBD 9 67" xfId="46960"/>
    <cellStyle name="Currency [0,00] TBD- 9 67" xfId="46961"/>
    <cellStyle name="Currency [0,00] TBD 9 68" xfId="46962"/>
    <cellStyle name="Currency [0,00] TBD- 9 68" xfId="46963"/>
    <cellStyle name="Currency [0,00] TBD 9 69" xfId="46964"/>
    <cellStyle name="Currency [0,00] TBD- 9 69" xfId="46965"/>
    <cellStyle name="Currency [0,00] TBD 9 7" xfId="46966"/>
    <cellStyle name="Currency [0,00] TBD- 9 7" xfId="46967"/>
    <cellStyle name="Currency [0,00] TBD 9 70" xfId="46968"/>
    <cellStyle name="Currency [0,00] TBD- 9 70" xfId="46969"/>
    <cellStyle name="Currency [0,00] TBD 9 71" xfId="46970"/>
    <cellStyle name="Currency [0,00] TBD- 9 71" xfId="46971"/>
    <cellStyle name="Currency [0,00] TBD 9 72" xfId="46972"/>
    <cellStyle name="Currency [0,00] TBD- 9 72" xfId="46973"/>
    <cellStyle name="Currency [0,00] TBD 9 73" xfId="46974"/>
    <cellStyle name="Currency [0,00] TBD- 9 73" xfId="46975"/>
    <cellStyle name="Currency [0,00] TBD 9 74" xfId="46976"/>
    <cellStyle name="Currency [0,00] TBD- 9 74" xfId="46977"/>
    <cellStyle name="Currency [0,00] TBD 9 75" xfId="46978"/>
    <cellStyle name="Currency [0,00] TBD- 9 75" xfId="46979"/>
    <cellStyle name="Currency [0,00] TBD 9 76" xfId="46980"/>
    <cellStyle name="Currency [0,00] TBD- 9 76" xfId="46981"/>
    <cellStyle name="Currency [0,00] TBD 9 77" xfId="46982"/>
    <cellStyle name="Currency [0,00] TBD- 9 77" xfId="46983"/>
    <cellStyle name="Currency [0,00] TBD 9 78" xfId="46984"/>
    <cellStyle name="Currency [0,00] TBD- 9 78" xfId="46985"/>
    <cellStyle name="Currency [0,00] TBD 9 79" xfId="46986"/>
    <cellStyle name="Currency [0,00] TBD- 9 79" xfId="46987"/>
    <cellStyle name="Currency [0,00] TBD 9 8" xfId="46988"/>
    <cellStyle name="Currency [0,00] TBD- 9 8" xfId="46989"/>
    <cellStyle name="Currency [0,00] TBD 9 80" xfId="46990"/>
    <cellStyle name="Currency [0,00] TBD- 9 80" xfId="46991"/>
    <cellStyle name="Currency [0,00] TBD 9 81" xfId="46992"/>
    <cellStyle name="Currency [0,00] TBD- 9 81" xfId="46993"/>
    <cellStyle name="Currency [0,00] TBD 9 82" xfId="46994"/>
    <cellStyle name="Currency [0,00] TBD- 9 82" xfId="46995"/>
    <cellStyle name="Currency [0,00] TBD 9 83" xfId="46996"/>
    <cellStyle name="Currency [0,00] TBD- 9 83" xfId="46997"/>
    <cellStyle name="Currency [0,00] TBD 9 84" xfId="46998"/>
    <cellStyle name="Currency [0,00] TBD- 9 84" xfId="46999"/>
    <cellStyle name="Currency [0,00] TBD 9 85" xfId="47000"/>
    <cellStyle name="Currency [0,00] TBD- 9 85" xfId="47001"/>
    <cellStyle name="Currency [0,00] TBD 9 86" xfId="47002"/>
    <cellStyle name="Currency [0,00] TBD- 9 86" xfId="47003"/>
    <cellStyle name="Currency [0,00] TBD 9 87" xfId="47004"/>
    <cellStyle name="Currency [0,00] TBD- 9 87" xfId="47005"/>
    <cellStyle name="Currency [0,00] TBD 9 88" xfId="47006"/>
    <cellStyle name="Currency [0,00] TBD- 9 88" xfId="47007"/>
    <cellStyle name="Currency [0,00] TBD 9 89" xfId="47008"/>
    <cellStyle name="Currency [0,00] TBD- 9 89" xfId="47009"/>
    <cellStyle name="Currency [0,00] TBD 9 9" xfId="47010"/>
    <cellStyle name="Currency [0,00] TBD- 9 9" xfId="47011"/>
    <cellStyle name="Currency [0,00] TBD 9 90" xfId="47012"/>
    <cellStyle name="Currency [0,00] TBD- 9 90" xfId="47013"/>
    <cellStyle name="Currency [0,00] TBD 9 91" xfId="47014"/>
    <cellStyle name="Currency [0,00] TBD- 9 91" xfId="47015"/>
    <cellStyle name="Currency [0,00] TBD 9 92" xfId="47016"/>
    <cellStyle name="Currency [0,00] TBD- 9 92" xfId="47017"/>
    <cellStyle name="Currency [0,00] TBD 9 93" xfId="47018"/>
    <cellStyle name="Currency [0,00] TBD- 9 93" xfId="47019"/>
    <cellStyle name="Currency [0,00] TBD 9 94" xfId="47020"/>
    <cellStyle name="Currency [0,00] TBD- 9 94" xfId="47021"/>
    <cellStyle name="Currency [0,00] TBD 9 95" xfId="47022"/>
    <cellStyle name="Currency [0,00] TBD- 9 95" xfId="47023"/>
    <cellStyle name="Currency [0,00] TBD 9 96" xfId="47024"/>
    <cellStyle name="Currency [0,00] TBD- 9 96" xfId="47025"/>
    <cellStyle name="Currency [0,00] TBD 9 97" xfId="47026"/>
    <cellStyle name="Currency [0,00] TBD- 9 97" xfId="47027"/>
    <cellStyle name="Currency [0,00] TBD 9 98" xfId="47028"/>
    <cellStyle name="Currency [0,00] TBD- 9 98" xfId="47029"/>
    <cellStyle name="Currency [0,00] TBD 9 99" xfId="47030"/>
    <cellStyle name="Currency [0,00] TBD- 9 99" xfId="47031"/>
    <cellStyle name="Currency [0,00] TBD_1f" xfId="47032"/>
    <cellStyle name="Currency [0,00] TBD-_Europe Region" xfId="47033"/>
    <cellStyle name="Currency [0,00] TBD_Key Data (2f)" xfId="47034"/>
    <cellStyle name="Currency [0,00] TBD-_Page 2f (2)" xfId="47035"/>
    <cellStyle name="Currency [0,00] TBD_Tab 1" xfId="47036"/>
    <cellStyle name="Currency [0,00] TBD-_YoY" xfId="47037"/>
    <cellStyle name="Currency [0,00] TBD_YoY (4)" xfId="47038"/>
    <cellStyle name="Currency [0,00] TBD-_YoY 2" xfId="47039"/>
    <cellStyle name="Currency [0,00]_Europe Region" xfId="47040"/>
    <cellStyle name="Currency [0,000]" xfId="47041"/>
    <cellStyle name="Currency [0,000] -" xfId="47042"/>
    <cellStyle name="Currency [0,000] - 2" xfId="47043"/>
    <cellStyle name="Currency [0,000] - 2 2" xfId="47044"/>
    <cellStyle name="Currency [0,000] - 2 2 2" xfId="47045"/>
    <cellStyle name="Currency [0,000] - 2 3" xfId="47046"/>
    <cellStyle name="Currency [0,000] - 3" xfId="47047"/>
    <cellStyle name="Currency [0,000] - 3 2" xfId="47048"/>
    <cellStyle name="Currency [0,000] - 3 3" xfId="47049"/>
    <cellStyle name="Currency [0,000] - 4" xfId="47050"/>
    <cellStyle name="Currency [0,000] 10" xfId="47051"/>
    <cellStyle name="Currency [0,000] 10 2" xfId="47052"/>
    <cellStyle name="Currency [0,000] 11" xfId="47053"/>
    <cellStyle name="Currency [0,000] 11 2" xfId="47054"/>
    <cellStyle name="Currency [0,000] 12" xfId="47055"/>
    <cellStyle name="Currency [0,000] 12 2" xfId="47056"/>
    <cellStyle name="Currency [0,000] 13" xfId="47057"/>
    <cellStyle name="Currency [0,000] 13 2" xfId="47058"/>
    <cellStyle name="Currency [0,000] 14" xfId="47059"/>
    <cellStyle name="Currency [0,000] 14 2" xfId="47060"/>
    <cellStyle name="Currency [0,000] 15" xfId="47061"/>
    <cellStyle name="Currency [0,000] 2" xfId="47062"/>
    <cellStyle name="Currency [0,000] 2 2" xfId="47063"/>
    <cellStyle name="Currency [0,000] 2 2 2" xfId="47064"/>
    <cellStyle name="Currency [0,000] 2 3" xfId="47065"/>
    <cellStyle name="Currency [0,000] 3" xfId="47066"/>
    <cellStyle name="Currency [0,000] 3 2" xfId="47067"/>
    <cellStyle name="Currency [0,000] 3 2 2" xfId="47068"/>
    <cellStyle name="Currency [0,000] 3 3" xfId="47069"/>
    <cellStyle name="Currency [0,000] 4" xfId="47070"/>
    <cellStyle name="Currency [0,000] 4 2" xfId="47071"/>
    <cellStyle name="Currency [0,000] 4 3" xfId="47072"/>
    <cellStyle name="Currency [0,000] 5" xfId="47073"/>
    <cellStyle name="Currency [0,000] 5 2" xfId="47074"/>
    <cellStyle name="Currency [0,000] 6" xfId="47075"/>
    <cellStyle name="Currency [0,000] 6 2" xfId="47076"/>
    <cellStyle name="Currency [0,000] 7" xfId="47077"/>
    <cellStyle name="Currency [0,000] 7 2" xfId="47078"/>
    <cellStyle name="Currency [0,000] 8" xfId="47079"/>
    <cellStyle name="Currency [0,000] 8 2" xfId="47080"/>
    <cellStyle name="Currency [0,000] 9" xfId="47081"/>
    <cellStyle name="Currency [0,000] 9 2" xfId="47082"/>
    <cellStyle name="Currency [0,000] incl." xfId="47083"/>
    <cellStyle name="Currency [0,000] incl. 2" xfId="47084"/>
    <cellStyle name="Currency [0,000] incl. 2 2" xfId="47085"/>
    <cellStyle name="Currency [0,000] incl. 2 2 2" xfId="47086"/>
    <cellStyle name="Currency [0,000] incl. 2 3" xfId="47087"/>
    <cellStyle name="Currency [0,000] incl. 3" xfId="47088"/>
    <cellStyle name="Currency [0,000] incl. 3 2" xfId="47089"/>
    <cellStyle name="Currency [0,000] incl. 3 3" xfId="47090"/>
    <cellStyle name="Currency [0,000] incl. 4" xfId="47091"/>
    <cellStyle name="Currency [0,000] N/A" xfId="47092"/>
    <cellStyle name="Currency [0,000] N/A 2" xfId="47093"/>
    <cellStyle name="Currency [0,000] N/A 2 2" xfId="47094"/>
    <cellStyle name="Currency [0,000] N/A 2 2 2" xfId="47095"/>
    <cellStyle name="Currency [0,000] N/A 2 3" xfId="47096"/>
    <cellStyle name="Currency [0,000] N/A 3" xfId="47097"/>
    <cellStyle name="Currency [0,000] N/A 3 2" xfId="47098"/>
    <cellStyle name="Currency [0,000] N/A 3 3" xfId="47099"/>
    <cellStyle name="Currency [0,000] N/A 4" xfId="47100"/>
    <cellStyle name="Currency [0,000] TBD" xfId="47101"/>
    <cellStyle name="Currency [0,000] TBD-" xfId="47102"/>
    <cellStyle name="Currency [0,000] TBD 10" xfId="47103"/>
    <cellStyle name="Currency [0,000] TBD- 10" xfId="47104"/>
    <cellStyle name="Currency [0,000] TBD 10 10" xfId="47105"/>
    <cellStyle name="Currency [0,000] TBD- 10 10" xfId="47106"/>
    <cellStyle name="Currency [0,000] TBD 10 100" xfId="47107"/>
    <cellStyle name="Currency [0,000] TBD- 10 100" xfId="47108"/>
    <cellStyle name="Currency [0,000] TBD 10 101" xfId="47109"/>
    <cellStyle name="Currency [0,000] TBD- 10 101" xfId="47110"/>
    <cellStyle name="Currency [0,000] TBD 10 102" xfId="47111"/>
    <cellStyle name="Currency [0,000] TBD- 10 102" xfId="47112"/>
    <cellStyle name="Currency [0,000] TBD 10 103" xfId="47113"/>
    <cellStyle name="Currency [0,000] TBD- 10 103" xfId="47114"/>
    <cellStyle name="Currency [0,000] TBD 10 104" xfId="47115"/>
    <cellStyle name="Currency [0,000] TBD- 10 104" xfId="47116"/>
    <cellStyle name="Currency [0,000] TBD 10 105" xfId="47117"/>
    <cellStyle name="Currency [0,000] TBD- 10 105" xfId="47118"/>
    <cellStyle name="Currency [0,000] TBD 10 106" xfId="47119"/>
    <cellStyle name="Currency [0,000] TBD- 10 106" xfId="47120"/>
    <cellStyle name="Currency [0,000] TBD 10 107" xfId="47121"/>
    <cellStyle name="Currency [0,000] TBD- 10 107" xfId="47122"/>
    <cellStyle name="Currency [0,000] TBD 10 108" xfId="47123"/>
    <cellStyle name="Currency [0,000] TBD- 10 108" xfId="47124"/>
    <cellStyle name="Currency [0,000] TBD 10 109" xfId="47125"/>
    <cellStyle name="Currency [0,000] TBD- 10 109" xfId="47126"/>
    <cellStyle name="Currency [0,000] TBD 10 11" xfId="47127"/>
    <cellStyle name="Currency [0,000] TBD- 10 11" xfId="47128"/>
    <cellStyle name="Currency [0,000] TBD 10 110" xfId="47129"/>
    <cellStyle name="Currency [0,000] TBD- 10 110" xfId="47130"/>
    <cellStyle name="Currency [0,000] TBD 10 111" xfId="47131"/>
    <cellStyle name="Currency [0,000] TBD- 10 111" xfId="47132"/>
    <cellStyle name="Currency [0,000] TBD 10 112" xfId="47133"/>
    <cellStyle name="Currency [0,000] TBD- 10 112" xfId="47134"/>
    <cellStyle name="Currency [0,000] TBD 10 113" xfId="47135"/>
    <cellStyle name="Currency [0,000] TBD- 10 113" xfId="47136"/>
    <cellStyle name="Currency [0,000] TBD 10 114" xfId="47137"/>
    <cellStyle name="Currency [0,000] TBD- 10 114" xfId="47138"/>
    <cellStyle name="Currency [0,000] TBD 10 115" xfId="47139"/>
    <cellStyle name="Currency [0,000] TBD- 10 115" xfId="47140"/>
    <cellStyle name="Currency [0,000] TBD 10 116" xfId="47141"/>
    <cellStyle name="Currency [0,000] TBD- 10 116" xfId="47142"/>
    <cellStyle name="Currency [0,000] TBD 10 117" xfId="47143"/>
    <cellStyle name="Currency [0,000] TBD- 10 117" xfId="47144"/>
    <cellStyle name="Currency [0,000] TBD 10 118" xfId="47145"/>
    <cellStyle name="Currency [0,000] TBD- 10 118" xfId="47146"/>
    <cellStyle name="Currency [0,000] TBD 10 119" xfId="47147"/>
    <cellStyle name="Currency [0,000] TBD- 10 119" xfId="47148"/>
    <cellStyle name="Currency [0,000] TBD 10 12" xfId="47149"/>
    <cellStyle name="Currency [0,000] TBD- 10 12" xfId="47150"/>
    <cellStyle name="Currency [0,000] TBD 10 120" xfId="47151"/>
    <cellStyle name="Currency [0,000] TBD- 10 120" xfId="47152"/>
    <cellStyle name="Currency [0,000] TBD 10 121" xfId="47153"/>
    <cellStyle name="Currency [0,000] TBD- 10 121" xfId="47154"/>
    <cellStyle name="Currency [0,000] TBD 10 122" xfId="47155"/>
    <cellStyle name="Currency [0,000] TBD- 10 122" xfId="47156"/>
    <cellStyle name="Currency [0,000] TBD 10 123" xfId="47157"/>
    <cellStyle name="Currency [0,000] TBD- 10 123" xfId="47158"/>
    <cellStyle name="Currency [0,000] TBD 10 124" xfId="47159"/>
    <cellStyle name="Currency [0,000] TBD- 10 124" xfId="47160"/>
    <cellStyle name="Currency [0,000] TBD 10 125" xfId="47161"/>
    <cellStyle name="Currency [0,000] TBD- 10 125" xfId="47162"/>
    <cellStyle name="Currency [0,000] TBD 10 126" xfId="47163"/>
    <cellStyle name="Currency [0,000] TBD- 10 126" xfId="47164"/>
    <cellStyle name="Currency [0,000] TBD 10 127" xfId="47165"/>
    <cellStyle name="Currency [0,000] TBD- 10 127" xfId="47166"/>
    <cellStyle name="Currency [0,000] TBD 10 128" xfId="47167"/>
    <cellStyle name="Currency [0,000] TBD- 10 128" xfId="47168"/>
    <cellStyle name="Currency [0,000] TBD 10 129" xfId="47169"/>
    <cellStyle name="Currency [0,000] TBD- 10 129" xfId="47170"/>
    <cellStyle name="Currency [0,000] TBD 10 13" xfId="47171"/>
    <cellStyle name="Currency [0,000] TBD- 10 13" xfId="47172"/>
    <cellStyle name="Currency [0,000] TBD 10 130" xfId="47173"/>
    <cellStyle name="Currency [0,000] TBD- 10 130" xfId="47174"/>
    <cellStyle name="Currency [0,000] TBD 10 131" xfId="47175"/>
    <cellStyle name="Currency [0,000] TBD- 10 131" xfId="47176"/>
    <cellStyle name="Currency [0,000] TBD 10 132" xfId="47177"/>
    <cellStyle name="Currency [0,000] TBD- 10 132" xfId="47178"/>
    <cellStyle name="Currency [0,000] TBD 10 133" xfId="47179"/>
    <cellStyle name="Currency [0,000] TBD- 10 133" xfId="47180"/>
    <cellStyle name="Currency [0,000] TBD 10 134" xfId="47181"/>
    <cellStyle name="Currency [0,000] TBD- 10 134" xfId="47182"/>
    <cellStyle name="Currency [0,000] TBD 10 135" xfId="47183"/>
    <cellStyle name="Currency [0,000] TBD- 10 135" xfId="47184"/>
    <cellStyle name="Currency [0,000] TBD 10 136" xfId="47185"/>
    <cellStyle name="Currency [0,000] TBD- 10 136" xfId="47186"/>
    <cellStyle name="Currency [0,000] TBD 10 137" xfId="47187"/>
    <cellStyle name="Currency [0,000] TBD- 10 137" xfId="47188"/>
    <cellStyle name="Currency [0,000] TBD 10 138" xfId="47189"/>
    <cellStyle name="Currency [0,000] TBD- 10 138" xfId="47190"/>
    <cellStyle name="Currency [0,000] TBD 10 139" xfId="47191"/>
    <cellStyle name="Currency [0,000] TBD- 10 139" xfId="47192"/>
    <cellStyle name="Currency [0,000] TBD 10 14" xfId="47193"/>
    <cellStyle name="Currency [0,000] TBD- 10 14" xfId="47194"/>
    <cellStyle name="Currency [0,000] TBD 10 140" xfId="47195"/>
    <cellStyle name="Currency [0,000] TBD- 10 140" xfId="47196"/>
    <cellStyle name="Currency [0,000] TBD 10 141" xfId="47197"/>
    <cellStyle name="Currency [0,000] TBD- 10 141" xfId="47198"/>
    <cellStyle name="Currency [0,000] TBD 10 142" xfId="47199"/>
    <cellStyle name="Currency [0,000] TBD- 10 142" xfId="47200"/>
    <cellStyle name="Currency [0,000] TBD 10 143" xfId="47201"/>
    <cellStyle name="Currency [0,000] TBD- 10 143" xfId="47202"/>
    <cellStyle name="Currency [0,000] TBD 10 144" xfId="47203"/>
    <cellStyle name="Currency [0,000] TBD- 10 144" xfId="47204"/>
    <cellStyle name="Currency [0,000] TBD 10 145" xfId="47205"/>
    <cellStyle name="Currency [0,000] TBD- 10 145" xfId="47206"/>
    <cellStyle name="Currency [0,000] TBD 10 146" xfId="47207"/>
    <cellStyle name="Currency [0,000] TBD- 10 146" xfId="47208"/>
    <cellStyle name="Currency [0,000] TBD 10 147" xfId="47209"/>
    <cellStyle name="Currency [0,000] TBD- 10 147" xfId="47210"/>
    <cellStyle name="Currency [0,000] TBD 10 148" xfId="47211"/>
    <cellStyle name="Currency [0,000] TBD- 10 148" xfId="47212"/>
    <cellStyle name="Currency [0,000] TBD 10 149" xfId="47213"/>
    <cellStyle name="Currency [0,000] TBD- 10 149" xfId="47214"/>
    <cellStyle name="Currency [0,000] TBD 10 15" xfId="47215"/>
    <cellStyle name="Currency [0,000] TBD- 10 15" xfId="47216"/>
    <cellStyle name="Currency [0,000] TBD 10 150" xfId="47217"/>
    <cellStyle name="Currency [0,000] TBD- 10 150" xfId="47218"/>
    <cellStyle name="Currency [0,000] TBD 10 151" xfId="47219"/>
    <cellStyle name="Currency [0,000] TBD- 10 151" xfId="47220"/>
    <cellStyle name="Currency [0,000] TBD 10 152" xfId="47221"/>
    <cellStyle name="Currency [0,000] TBD- 10 152" xfId="47222"/>
    <cellStyle name="Currency [0,000] TBD 10 153" xfId="47223"/>
    <cellStyle name="Currency [0,000] TBD- 10 153" xfId="47224"/>
    <cellStyle name="Currency [0,000] TBD 10 16" xfId="47225"/>
    <cellStyle name="Currency [0,000] TBD- 10 16" xfId="47226"/>
    <cellStyle name="Currency [0,000] TBD 10 17" xfId="47227"/>
    <cellStyle name="Currency [0,000] TBD- 10 17" xfId="47228"/>
    <cellStyle name="Currency [0,000] TBD 10 18" xfId="47229"/>
    <cellStyle name="Currency [0,000] TBD- 10 18" xfId="47230"/>
    <cellStyle name="Currency [0,000] TBD 10 19" xfId="47231"/>
    <cellStyle name="Currency [0,000] TBD- 10 19" xfId="47232"/>
    <cellStyle name="Currency [0,000] TBD 10 2" xfId="47233"/>
    <cellStyle name="Currency [0,000] TBD- 10 2" xfId="47234"/>
    <cellStyle name="Currency [0,000] TBD 10 20" xfId="47235"/>
    <cellStyle name="Currency [0,000] TBD- 10 20" xfId="47236"/>
    <cellStyle name="Currency [0,000] TBD 10 21" xfId="47237"/>
    <cellStyle name="Currency [0,000] TBD- 10 21" xfId="47238"/>
    <cellStyle name="Currency [0,000] TBD 10 22" xfId="47239"/>
    <cellStyle name="Currency [0,000] TBD- 10 22" xfId="47240"/>
    <cellStyle name="Currency [0,000] TBD 10 23" xfId="47241"/>
    <cellStyle name="Currency [0,000] TBD- 10 23" xfId="47242"/>
    <cellStyle name="Currency [0,000] TBD 10 24" xfId="47243"/>
    <cellStyle name="Currency [0,000] TBD- 10 24" xfId="47244"/>
    <cellStyle name="Currency [0,000] TBD 10 25" xfId="47245"/>
    <cellStyle name="Currency [0,000] TBD- 10 25" xfId="47246"/>
    <cellStyle name="Currency [0,000] TBD 10 26" xfId="47247"/>
    <cellStyle name="Currency [0,000] TBD- 10 26" xfId="47248"/>
    <cellStyle name="Currency [0,000] TBD 10 27" xfId="47249"/>
    <cellStyle name="Currency [0,000] TBD- 10 27" xfId="47250"/>
    <cellStyle name="Currency [0,000] TBD 10 28" xfId="47251"/>
    <cellStyle name="Currency [0,000] TBD- 10 28" xfId="47252"/>
    <cellStyle name="Currency [0,000] TBD 10 29" xfId="47253"/>
    <cellStyle name="Currency [0,000] TBD- 10 29" xfId="47254"/>
    <cellStyle name="Currency [0,000] TBD 10 3" xfId="47255"/>
    <cellStyle name="Currency [0,000] TBD- 10 3" xfId="47256"/>
    <cellStyle name="Currency [0,000] TBD 10 30" xfId="47257"/>
    <cellStyle name="Currency [0,000] TBD- 10 30" xfId="47258"/>
    <cellStyle name="Currency [0,000] TBD 10 31" xfId="47259"/>
    <cellStyle name="Currency [0,000] TBD- 10 31" xfId="47260"/>
    <cellStyle name="Currency [0,000] TBD 10 32" xfId="47261"/>
    <cellStyle name="Currency [0,000] TBD- 10 32" xfId="47262"/>
    <cellStyle name="Currency [0,000] TBD 10 33" xfId="47263"/>
    <cellStyle name="Currency [0,000] TBD- 10 33" xfId="47264"/>
    <cellStyle name="Currency [0,000] TBD 10 34" xfId="47265"/>
    <cellStyle name="Currency [0,000] TBD- 10 34" xfId="47266"/>
    <cellStyle name="Currency [0,000] TBD 10 35" xfId="47267"/>
    <cellStyle name="Currency [0,000] TBD- 10 35" xfId="47268"/>
    <cellStyle name="Currency [0,000] TBD 10 36" xfId="47269"/>
    <cellStyle name="Currency [0,000] TBD- 10 36" xfId="47270"/>
    <cellStyle name="Currency [0,000] TBD 10 37" xfId="47271"/>
    <cellStyle name="Currency [0,000] TBD- 10 37" xfId="47272"/>
    <cellStyle name="Currency [0,000] TBD 10 38" xfId="47273"/>
    <cellStyle name="Currency [0,000] TBD- 10 38" xfId="47274"/>
    <cellStyle name="Currency [0,000] TBD 10 39" xfId="47275"/>
    <cellStyle name="Currency [0,000] TBD- 10 39" xfId="47276"/>
    <cellStyle name="Currency [0,000] TBD 10 4" xfId="47277"/>
    <cellStyle name="Currency [0,000] TBD- 10 4" xfId="47278"/>
    <cellStyle name="Currency [0,000] TBD 10 40" xfId="47279"/>
    <cellStyle name="Currency [0,000] TBD- 10 40" xfId="47280"/>
    <cellStyle name="Currency [0,000] TBD 10 41" xfId="47281"/>
    <cellStyle name="Currency [0,000] TBD- 10 41" xfId="47282"/>
    <cellStyle name="Currency [0,000] TBD 10 42" xfId="47283"/>
    <cellStyle name="Currency [0,000] TBD- 10 42" xfId="47284"/>
    <cellStyle name="Currency [0,000] TBD 10 43" xfId="47285"/>
    <cellStyle name="Currency [0,000] TBD- 10 43" xfId="47286"/>
    <cellStyle name="Currency [0,000] TBD 10 44" xfId="47287"/>
    <cellStyle name="Currency [0,000] TBD- 10 44" xfId="47288"/>
    <cellStyle name="Currency [0,000] TBD 10 45" xfId="47289"/>
    <cellStyle name="Currency [0,000] TBD- 10 45" xfId="47290"/>
    <cellStyle name="Currency [0,000] TBD 10 46" xfId="47291"/>
    <cellStyle name="Currency [0,000] TBD- 10 46" xfId="47292"/>
    <cellStyle name="Currency [0,000] TBD 10 47" xfId="47293"/>
    <cellStyle name="Currency [0,000] TBD- 10 47" xfId="47294"/>
    <cellStyle name="Currency [0,000] TBD 10 48" xfId="47295"/>
    <cellStyle name="Currency [0,000] TBD- 10 48" xfId="47296"/>
    <cellStyle name="Currency [0,000] TBD 10 49" xfId="47297"/>
    <cellStyle name="Currency [0,000] TBD- 10 49" xfId="47298"/>
    <cellStyle name="Currency [0,000] TBD 10 5" xfId="47299"/>
    <cellStyle name="Currency [0,000] TBD- 10 5" xfId="47300"/>
    <cellStyle name="Currency [0,000] TBD 10 50" xfId="47301"/>
    <cellStyle name="Currency [0,000] TBD- 10 50" xfId="47302"/>
    <cellStyle name="Currency [0,000] TBD 10 51" xfId="47303"/>
    <cellStyle name="Currency [0,000] TBD- 10 51" xfId="47304"/>
    <cellStyle name="Currency [0,000] TBD 10 52" xfId="47305"/>
    <cellStyle name="Currency [0,000] TBD- 10 52" xfId="47306"/>
    <cellStyle name="Currency [0,000] TBD 10 53" xfId="47307"/>
    <cellStyle name="Currency [0,000] TBD- 10 53" xfId="47308"/>
    <cellStyle name="Currency [0,000] TBD 10 54" xfId="47309"/>
    <cellStyle name="Currency [0,000] TBD- 10 54" xfId="47310"/>
    <cellStyle name="Currency [0,000] TBD 10 55" xfId="47311"/>
    <cellStyle name="Currency [0,000] TBD- 10 55" xfId="47312"/>
    <cellStyle name="Currency [0,000] TBD 10 56" xfId="47313"/>
    <cellStyle name="Currency [0,000] TBD- 10 56" xfId="47314"/>
    <cellStyle name="Currency [0,000] TBD 10 57" xfId="47315"/>
    <cellStyle name="Currency [0,000] TBD- 10 57" xfId="47316"/>
    <cellStyle name="Currency [0,000] TBD 10 58" xfId="47317"/>
    <cellStyle name="Currency [0,000] TBD- 10 58" xfId="47318"/>
    <cellStyle name="Currency [0,000] TBD 10 59" xfId="47319"/>
    <cellStyle name="Currency [0,000] TBD- 10 59" xfId="47320"/>
    <cellStyle name="Currency [0,000] TBD 10 6" xfId="47321"/>
    <cellStyle name="Currency [0,000] TBD- 10 6" xfId="47322"/>
    <cellStyle name="Currency [0,000] TBD 10 60" xfId="47323"/>
    <cellStyle name="Currency [0,000] TBD- 10 60" xfId="47324"/>
    <cellStyle name="Currency [0,000] TBD 10 61" xfId="47325"/>
    <cellStyle name="Currency [0,000] TBD- 10 61" xfId="47326"/>
    <cellStyle name="Currency [0,000] TBD 10 62" xfId="47327"/>
    <cellStyle name="Currency [0,000] TBD- 10 62" xfId="47328"/>
    <cellStyle name="Currency [0,000] TBD 10 63" xfId="47329"/>
    <cellStyle name="Currency [0,000] TBD- 10 63" xfId="47330"/>
    <cellStyle name="Currency [0,000] TBD 10 64" xfId="47331"/>
    <cellStyle name="Currency [0,000] TBD- 10 64" xfId="47332"/>
    <cellStyle name="Currency [0,000] TBD 10 65" xfId="47333"/>
    <cellStyle name="Currency [0,000] TBD- 10 65" xfId="47334"/>
    <cellStyle name="Currency [0,000] TBD 10 66" xfId="47335"/>
    <cellStyle name="Currency [0,000] TBD- 10 66" xfId="47336"/>
    <cellStyle name="Currency [0,000] TBD 10 67" xfId="47337"/>
    <cellStyle name="Currency [0,000] TBD- 10 67" xfId="47338"/>
    <cellStyle name="Currency [0,000] TBD 10 68" xfId="47339"/>
    <cellStyle name="Currency [0,000] TBD- 10 68" xfId="47340"/>
    <cellStyle name="Currency [0,000] TBD 10 69" xfId="47341"/>
    <cellStyle name="Currency [0,000] TBD- 10 69" xfId="47342"/>
    <cellStyle name="Currency [0,000] TBD 10 7" xfId="47343"/>
    <cellStyle name="Currency [0,000] TBD- 10 7" xfId="47344"/>
    <cellStyle name="Currency [0,000] TBD 10 70" xfId="47345"/>
    <cellStyle name="Currency [0,000] TBD- 10 70" xfId="47346"/>
    <cellStyle name="Currency [0,000] TBD 10 71" xfId="47347"/>
    <cellStyle name="Currency [0,000] TBD- 10 71" xfId="47348"/>
    <cellStyle name="Currency [0,000] TBD 10 72" xfId="47349"/>
    <cellStyle name="Currency [0,000] TBD- 10 72" xfId="47350"/>
    <cellStyle name="Currency [0,000] TBD 10 73" xfId="47351"/>
    <cellStyle name="Currency [0,000] TBD- 10 73" xfId="47352"/>
    <cellStyle name="Currency [0,000] TBD 10 74" xfId="47353"/>
    <cellStyle name="Currency [0,000] TBD- 10 74" xfId="47354"/>
    <cellStyle name="Currency [0,000] TBD 10 75" xfId="47355"/>
    <cellStyle name="Currency [0,000] TBD- 10 75" xfId="47356"/>
    <cellStyle name="Currency [0,000] TBD 10 76" xfId="47357"/>
    <cellStyle name="Currency [0,000] TBD- 10 76" xfId="47358"/>
    <cellStyle name="Currency [0,000] TBD 10 77" xfId="47359"/>
    <cellStyle name="Currency [0,000] TBD- 10 77" xfId="47360"/>
    <cellStyle name="Currency [0,000] TBD 10 78" xfId="47361"/>
    <cellStyle name="Currency [0,000] TBD- 10 78" xfId="47362"/>
    <cellStyle name="Currency [0,000] TBD 10 79" xfId="47363"/>
    <cellStyle name="Currency [0,000] TBD- 10 79" xfId="47364"/>
    <cellStyle name="Currency [0,000] TBD 10 8" xfId="47365"/>
    <cellStyle name="Currency [0,000] TBD- 10 8" xfId="47366"/>
    <cellStyle name="Currency [0,000] TBD 10 80" xfId="47367"/>
    <cellStyle name="Currency [0,000] TBD- 10 80" xfId="47368"/>
    <cellStyle name="Currency [0,000] TBD 10 81" xfId="47369"/>
    <cellStyle name="Currency [0,000] TBD- 10 81" xfId="47370"/>
    <cellStyle name="Currency [0,000] TBD 10 82" xfId="47371"/>
    <cellStyle name="Currency [0,000] TBD- 10 82" xfId="47372"/>
    <cellStyle name="Currency [0,000] TBD 10 83" xfId="47373"/>
    <cellStyle name="Currency [0,000] TBD- 10 83" xfId="47374"/>
    <cellStyle name="Currency [0,000] TBD 10 84" xfId="47375"/>
    <cellStyle name="Currency [0,000] TBD- 10 84" xfId="47376"/>
    <cellStyle name="Currency [0,000] TBD 10 85" xfId="47377"/>
    <cellStyle name="Currency [0,000] TBD- 10 85" xfId="47378"/>
    <cellStyle name="Currency [0,000] TBD 10 86" xfId="47379"/>
    <cellStyle name="Currency [0,000] TBD- 10 86" xfId="47380"/>
    <cellStyle name="Currency [0,000] TBD 10 87" xfId="47381"/>
    <cellStyle name="Currency [0,000] TBD- 10 87" xfId="47382"/>
    <cellStyle name="Currency [0,000] TBD 10 88" xfId="47383"/>
    <cellStyle name="Currency [0,000] TBD- 10 88" xfId="47384"/>
    <cellStyle name="Currency [0,000] TBD 10 89" xfId="47385"/>
    <cellStyle name="Currency [0,000] TBD- 10 89" xfId="47386"/>
    <cellStyle name="Currency [0,000] TBD 10 9" xfId="47387"/>
    <cellStyle name="Currency [0,000] TBD- 10 9" xfId="47388"/>
    <cellStyle name="Currency [0,000] TBD 10 90" xfId="47389"/>
    <cellStyle name="Currency [0,000] TBD- 10 90" xfId="47390"/>
    <cellStyle name="Currency [0,000] TBD 10 91" xfId="47391"/>
    <cellStyle name="Currency [0,000] TBD- 10 91" xfId="47392"/>
    <cellStyle name="Currency [0,000] TBD 10 92" xfId="47393"/>
    <cellStyle name="Currency [0,000] TBD- 10 92" xfId="47394"/>
    <cellStyle name="Currency [0,000] TBD 10 93" xfId="47395"/>
    <cellStyle name="Currency [0,000] TBD- 10 93" xfId="47396"/>
    <cellStyle name="Currency [0,000] TBD 10 94" xfId="47397"/>
    <cellStyle name="Currency [0,000] TBD- 10 94" xfId="47398"/>
    <cellStyle name="Currency [0,000] TBD 10 95" xfId="47399"/>
    <cellStyle name="Currency [0,000] TBD- 10 95" xfId="47400"/>
    <cellStyle name="Currency [0,000] TBD 10 96" xfId="47401"/>
    <cellStyle name="Currency [0,000] TBD- 10 96" xfId="47402"/>
    <cellStyle name="Currency [0,000] TBD 10 97" xfId="47403"/>
    <cellStyle name="Currency [0,000] TBD- 10 97" xfId="47404"/>
    <cellStyle name="Currency [0,000] TBD 10 98" xfId="47405"/>
    <cellStyle name="Currency [0,000] TBD- 10 98" xfId="47406"/>
    <cellStyle name="Currency [0,000] TBD 10 99" xfId="47407"/>
    <cellStyle name="Currency [0,000] TBD- 10 99" xfId="47408"/>
    <cellStyle name="Currency [0,000] TBD 11" xfId="47409"/>
    <cellStyle name="Currency [0,000] TBD- 11" xfId="47410"/>
    <cellStyle name="Currency [0,000] TBD 11 10" xfId="47411"/>
    <cellStyle name="Currency [0,000] TBD- 11 10" xfId="47412"/>
    <cellStyle name="Currency [0,000] TBD 11 100" xfId="47413"/>
    <cellStyle name="Currency [0,000] TBD- 11 100" xfId="47414"/>
    <cellStyle name="Currency [0,000] TBD 11 101" xfId="47415"/>
    <cellStyle name="Currency [0,000] TBD- 11 101" xfId="47416"/>
    <cellStyle name="Currency [0,000] TBD 11 102" xfId="47417"/>
    <cellStyle name="Currency [0,000] TBD- 11 102" xfId="47418"/>
    <cellStyle name="Currency [0,000] TBD 11 103" xfId="47419"/>
    <cellStyle name="Currency [0,000] TBD- 11 103" xfId="47420"/>
    <cellStyle name="Currency [0,000] TBD 11 104" xfId="47421"/>
    <cellStyle name="Currency [0,000] TBD- 11 104" xfId="47422"/>
    <cellStyle name="Currency [0,000] TBD 11 105" xfId="47423"/>
    <cellStyle name="Currency [0,000] TBD- 11 105" xfId="47424"/>
    <cellStyle name="Currency [0,000] TBD 11 106" xfId="47425"/>
    <cellStyle name="Currency [0,000] TBD- 11 106" xfId="47426"/>
    <cellStyle name="Currency [0,000] TBD 11 107" xfId="47427"/>
    <cellStyle name="Currency [0,000] TBD- 11 107" xfId="47428"/>
    <cellStyle name="Currency [0,000] TBD 11 108" xfId="47429"/>
    <cellStyle name="Currency [0,000] TBD- 11 108" xfId="47430"/>
    <cellStyle name="Currency [0,000] TBD 11 109" xfId="47431"/>
    <cellStyle name="Currency [0,000] TBD- 11 109" xfId="47432"/>
    <cellStyle name="Currency [0,000] TBD 11 11" xfId="47433"/>
    <cellStyle name="Currency [0,000] TBD- 11 11" xfId="47434"/>
    <cellStyle name="Currency [0,000] TBD 11 110" xfId="47435"/>
    <cellStyle name="Currency [0,000] TBD- 11 110" xfId="47436"/>
    <cellStyle name="Currency [0,000] TBD 11 111" xfId="47437"/>
    <cellStyle name="Currency [0,000] TBD- 11 111" xfId="47438"/>
    <cellStyle name="Currency [0,000] TBD 11 112" xfId="47439"/>
    <cellStyle name="Currency [0,000] TBD- 11 112" xfId="47440"/>
    <cellStyle name="Currency [0,000] TBD 11 113" xfId="47441"/>
    <cellStyle name="Currency [0,000] TBD- 11 113" xfId="47442"/>
    <cellStyle name="Currency [0,000] TBD 11 114" xfId="47443"/>
    <cellStyle name="Currency [0,000] TBD- 11 114" xfId="47444"/>
    <cellStyle name="Currency [0,000] TBD 11 115" xfId="47445"/>
    <cellStyle name="Currency [0,000] TBD- 11 115" xfId="47446"/>
    <cellStyle name="Currency [0,000] TBD 11 116" xfId="47447"/>
    <cellStyle name="Currency [0,000] TBD- 11 116" xfId="47448"/>
    <cellStyle name="Currency [0,000] TBD 11 117" xfId="47449"/>
    <cellStyle name="Currency [0,000] TBD- 11 117" xfId="47450"/>
    <cellStyle name="Currency [0,000] TBD 11 118" xfId="47451"/>
    <cellStyle name="Currency [0,000] TBD- 11 118" xfId="47452"/>
    <cellStyle name="Currency [0,000] TBD 11 119" xfId="47453"/>
    <cellStyle name="Currency [0,000] TBD- 11 119" xfId="47454"/>
    <cellStyle name="Currency [0,000] TBD 11 12" xfId="47455"/>
    <cellStyle name="Currency [0,000] TBD- 11 12" xfId="47456"/>
    <cellStyle name="Currency [0,000] TBD 11 120" xfId="47457"/>
    <cellStyle name="Currency [0,000] TBD- 11 120" xfId="47458"/>
    <cellStyle name="Currency [0,000] TBD 11 121" xfId="47459"/>
    <cellStyle name="Currency [0,000] TBD- 11 121" xfId="47460"/>
    <cellStyle name="Currency [0,000] TBD 11 122" xfId="47461"/>
    <cellStyle name="Currency [0,000] TBD- 11 122" xfId="47462"/>
    <cellStyle name="Currency [0,000] TBD 11 123" xfId="47463"/>
    <cellStyle name="Currency [0,000] TBD- 11 123" xfId="47464"/>
    <cellStyle name="Currency [0,000] TBD 11 124" xfId="47465"/>
    <cellStyle name="Currency [0,000] TBD- 11 124" xfId="47466"/>
    <cellStyle name="Currency [0,000] TBD 11 125" xfId="47467"/>
    <cellStyle name="Currency [0,000] TBD- 11 125" xfId="47468"/>
    <cellStyle name="Currency [0,000] TBD 11 126" xfId="47469"/>
    <cellStyle name="Currency [0,000] TBD- 11 126" xfId="47470"/>
    <cellStyle name="Currency [0,000] TBD 11 127" xfId="47471"/>
    <cellStyle name="Currency [0,000] TBD- 11 127" xfId="47472"/>
    <cellStyle name="Currency [0,000] TBD 11 128" xfId="47473"/>
    <cellStyle name="Currency [0,000] TBD- 11 128" xfId="47474"/>
    <cellStyle name="Currency [0,000] TBD 11 129" xfId="47475"/>
    <cellStyle name="Currency [0,000] TBD- 11 129" xfId="47476"/>
    <cellStyle name="Currency [0,000] TBD 11 13" xfId="47477"/>
    <cellStyle name="Currency [0,000] TBD- 11 13" xfId="47478"/>
    <cellStyle name="Currency [0,000] TBD 11 130" xfId="47479"/>
    <cellStyle name="Currency [0,000] TBD- 11 130" xfId="47480"/>
    <cellStyle name="Currency [0,000] TBD 11 131" xfId="47481"/>
    <cellStyle name="Currency [0,000] TBD- 11 131" xfId="47482"/>
    <cellStyle name="Currency [0,000] TBD 11 132" xfId="47483"/>
    <cellStyle name="Currency [0,000] TBD- 11 132" xfId="47484"/>
    <cellStyle name="Currency [0,000] TBD 11 133" xfId="47485"/>
    <cellStyle name="Currency [0,000] TBD- 11 133" xfId="47486"/>
    <cellStyle name="Currency [0,000] TBD 11 134" xfId="47487"/>
    <cellStyle name="Currency [0,000] TBD- 11 134" xfId="47488"/>
    <cellStyle name="Currency [0,000] TBD 11 135" xfId="47489"/>
    <cellStyle name="Currency [0,000] TBD- 11 135" xfId="47490"/>
    <cellStyle name="Currency [0,000] TBD 11 136" xfId="47491"/>
    <cellStyle name="Currency [0,000] TBD- 11 136" xfId="47492"/>
    <cellStyle name="Currency [0,000] TBD 11 137" xfId="47493"/>
    <cellStyle name="Currency [0,000] TBD- 11 137" xfId="47494"/>
    <cellStyle name="Currency [0,000] TBD 11 138" xfId="47495"/>
    <cellStyle name="Currency [0,000] TBD- 11 138" xfId="47496"/>
    <cellStyle name="Currency [0,000] TBD 11 139" xfId="47497"/>
    <cellStyle name="Currency [0,000] TBD- 11 139" xfId="47498"/>
    <cellStyle name="Currency [0,000] TBD 11 14" xfId="47499"/>
    <cellStyle name="Currency [0,000] TBD- 11 14" xfId="47500"/>
    <cellStyle name="Currency [0,000] TBD 11 140" xfId="47501"/>
    <cellStyle name="Currency [0,000] TBD- 11 140" xfId="47502"/>
    <cellStyle name="Currency [0,000] TBD 11 141" xfId="47503"/>
    <cellStyle name="Currency [0,000] TBD- 11 141" xfId="47504"/>
    <cellStyle name="Currency [0,000] TBD 11 142" xfId="47505"/>
    <cellStyle name="Currency [0,000] TBD- 11 142" xfId="47506"/>
    <cellStyle name="Currency [0,000] TBD 11 143" xfId="47507"/>
    <cellStyle name="Currency [0,000] TBD- 11 143" xfId="47508"/>
    <cellStyle name="Currency [0,000] TBD 11 144" xfId="47509"/>
    <cellStyle name="Currency [0,000] TBD- 11 144" xfId="47510"/>
    <cellStyle name="Currency [0,000] TBD 11 145" xfId="47511"/>
    <cellStyle name="Currency [0,000] TBD- 11 145" xfId="47512"/>
    <cellStyle name="Currency [0,000] TBD 11 146" xfId="47513"/>
    <cellStyle name="Currency [0,000] TBD- 11 146" xfId="47514"/>
    <cellStyle name="Currency [0,000] TBD 11 147" xfId="47515"/>
    <cellStyle name="Currency [0,000] TBD- 11 147" xfId="47516"/>
    <cellStyle name="Currency [0,000] TBD 11 148" xfId="47517"/>
    <cellStyle name="Currency [0,000] TBD- 11 148" xfId="47518"/>
    <cellStyle name="Currency [0,000] TBD 11 149" xfId="47519"/>
    <cellStyle name="Currency [0,000] TBD- 11 149" xfId="47520"/>
    <cellStyle name="Currency [0,000] TBD 11 15" xfId="47521"/>
    <cellStyle name="Currency [0,000] TBD- 11 15" xfId="47522"/>
    <cellStyle name="Currency [0,000] TBD 11 150" xfId="47523"/>
    <cellStyle name="Currency [0,000] TBD- 11 150" xfId="47524"/>
    <cellStyle name="Currency [0,000] TBD 11 151" xfId="47525"/>
    <cellStyle name="Currency [0,000] TBD- 11 151" xfId="47526"/>
    <cellStyle name="Currency [0,000] TBD 11 152" xfId="47527"/>
    <cellStyle name="Currency [0,000] TBD- 11 152" xfId="47528"/>
    <cellStyle name="Currency [0,000] TBD 11 153" xfId="47529"/>
    <cellStyle name="Currency [0,000] TBD- 11 153" xfId="47530"/>
    <cellStyle name="Currency [0,000] TBD 11 16" xfId="47531"/>
    <cellStyle name="Currency [0,000] TBD- 11 16" xfId="47532"/>
    <cellStyle name="Currency [0,000] TBD 11 17" xfId="47533"/>
    <cellStyle name="Currency [0,000] TBD- 11 17" xfId="47534"/>
    <cellStyle name="Currency [0,000] TBD 11 18" xfId="47535"/>
    <cellStyle name="Currency [0,000] TBD- 11 18" xfId="47536"/>
    <cellStyle name="Currency [0,000] TBD 11 19" xfId="47537"/>
    <cellStyle name="Currency [0,000] TBD- 11 19" xfId="47538"/>
    <cellStyle name="Currency [0,000] TBD 11 2" xfId="47539"/>
    <cellStyle name="Currency [0,000] TBD- 11 2" xfId="47540"/>
    <cellStyle name="Currency [0,000] TBD 11 20" xfId="47541"/>
    <cellStyle name="Currency [0,000] TBD- 11 20" xfId="47542"/>
    <cellStyle name="Currency [0,000] TBD 11 21" xfId="47543"/>
    <cellStyle name="Currency [0,000] TBD- 11 21" xfId="47544"/>
    <cellStyle name="Currency [0,000] TBD 11 22" xfId="47545"/>
    <cellStyle name="Currency [0,000] TBD- 11 22" xfId="47546"/>
    <cellStyle name="Currency [0,000] TBD 11 23" xfId="47547"/>
    <cellStyle name="Currency [0,000] TBD- 11 23" xfId="47548"/>
    <cellStyle name="Currency [0,000] TBD 11 24" xfId="47549"/>
    <cellStyle name="Currency [0,000] TBD- 11 24" xfId="47550"/>
    <cellStyle name="Currency [0,000] TBD 11 25" xfId="47551"/>
    <cellStyle name="Currency [0,000] TBD- 11 25" xfId="47552"/>
    <cellStyle name="Currency [0,000] TBD 11 26" xfId="47553"/>
    <cellStyle name="Currency [0,000] TBD- 11 26" xfId="47554"/>
    <cellStyle name="Currency [0,000] TBD 11 27" xfId="47555"/>
    <cellStyle name="Currency [0,000] TBD- 11 27" xfId="47556"/>
    <cellStyle name="Currency [0,000] TBD 11 28" xfId="47557"/>
    <cellStyle name="Currency [0,000] TBD- 11 28" xfId="47558"/>
    <cellStyle name="Currency [0,000] TBD 11 29" xfId="47559"/>
    <cellStyle name="Currency [0,000] TBD- 11 29" xfId="47560"/>
    <cellStyle name="Currency [0,000] TBD 11 3" xfId="47561"/>
    <cellStyle name="Currency [0,000] TBD- 11 3" xfId="47562"/>
    <cellStyle name="Currency [0,000] TBD 11 30" xfId="47563"/>
    <cellStyle name="Currency [0,000] TBD- 11 30" xfId="47564"/>
    <cellStyle name="Currency [0,000] TBD 11 31" xfId="47565"/>
    <cellStyle name="Currency [0,000] TBD- 11 31" xfId="47566"/>
    <cellStyle name="Currency [0,000] TBD 11 32" xfId="47567"/>
    <cellStyle name="Currency [0,000] TBD- 11 32" xfId="47568"/>
    <cellStyle name="Currency [0,000] TBD 11 33" xfId="47569"/>
    <cellStyle name="Currency [0,000] TBD- 11 33" xfId="47570"/>
    <cellStyle name="Currency [0,000] TBD 11 34" xfId="47571"/>
    <cellStyle name="Currency [0,000] TBD- 11 34" xfId="47572"/>
    <cellStyle name="Currency [0,000] TBD 11 35" xfId="47573"/>
    <cellStyle name="Currency [0,000] TBD- 11 35" xfId="47574"/>
    <cellStyle name="Currency [0,000] TBD 11 36" xfId="47575"/>
    <cellStyle name="Currency [0,000] TBD- 11 36" xfId="47576"/>
    <cellStyle name="Currency [0,000] TBD 11 37" xfId="47577"/>
    <cellStyle name="Currency [0,000] TBD- 11 37" xfId="47578"/>
    <cellStyle name="Currency [0,000] TBD 11 38" xfId="47579"/>
    <cellStyle name="Currency [0,000] TBD- 11 38" xfId="47580"/>
    <cellStyle name="Currency [0,000] TBD 11 39" xfId="47581"/>
    <cellStyle name="Currency [0,000] TBD- 11 39" xfId="47582"/>
    <cellStyle name="Currency [0,000] TBD 11 4" xfId="47583"/>
    <cellStyle name="Currency [0,000] TBD- 11 4" xfId="47584"/>
    <cellStyle name="Currency [0,000] TBD 11 40" xfId="47585"/>
    <cellStyle name="Currency [0,000] TBD- 11 40" xfId="47586"/>
    <cellStyle name="Currency [0,000] TBD 11 41" xfId="47587"/>
    <cellStyle name="Currency [0,000] TBD- 11 41" xfId="47588"/>
    <cellStyle name="Currency [0,000] TBD 11 42" xfId="47589"/>
    <cellStyle name="Currency [0,000] TBD- 11 42" xfId="47590"/>
    <cellStyle name="Currency [0,000] TBD 11 43" xfId="47591"/>
    <cellStyle name="Currency [0,000] TBD- 11 43" xfId="47592"/>
    <cellStyle name="Currency [0,000] TBD 11 44" xfId="47593"/>
    <cellStyle name="Currency [0,000] TBD- 11 44" xfId="47594"/>
    <cellStyle name="Currency [0,000] TBD 11 45" xfId="47595"/>
    <cellStyle name="Currency [0,000] TBD- 11 45" xfId="47596"/>
    <cellStyle name="Currency [0,000] TBD 11 46" xfId="47597"/>
    <cellStyle name="Currency [0,000] TBD- 11 46" xfId="47598"/>
    <cellStyle name="Currency [0,000] TBD 11 47" xfId="47599"/>
    <cellStyle name="Currency [0,000] TBD- 11 47" xfId="47600"/>
    <cellStyle name="Currency [0,000] TBD 11 48" xfId="47601"/>
    <cellStyle name="Currency [0,000] TBD- 11 48" xfId="47602"/>
    <cellStyle name="Currency [0,000] TBD 11 49" xfId="47603"/>
    <cellStyle name="Currency [0,000] TBD- 11 49" xfId="47604"/>
    <cellStyle name="Currency [0,000] TBD 11 5" xfId="47605"/>
    <cellStyle name="Currency [0,000] TBD- 11 5" xfId="47606"/>
    <cellStyle name="Currency [0,000] TBD 11 50" xfId="47607"/>
    <cellStyle name="Currency [0,000] TBD- 11 50" xfId="47608"/>
    <cellStyle name="Currency [0,000] TBD 11 51" xfId="47609"/>
    <cellStyle name="Currency [0,000] TBD- 11 51" xfId="47610"/>
    <cellStyle name="Currency [0,000] TBD 11 52" xfId="47611"/>
    <cellStyle name="Currency [0,000] TBD- 11 52" xfId="47612"/>
    <cellStyle name="Currency [0,000] TBD 11 53" xfId="47613"/>
    <cellStyle name="Currency [0,000] TBD- 11 53" xfId="47614"/>
    <cellStyle name="Currency [0,000] TBD 11 54" xfId="47615"/>
    <cellStyle name="Currency [0,000] TBD- 11 54" xfId="47616"/>
    <cellStyle name="Currency [0,000] TBD 11 55" xfId="47617"/>
    <cellStyle name="Currency [0,000] TBD- 11 55" xfId="47618"/>
    <cellStyle name="Currency [0,000] TBD 11 56" xfId="47619"/>
    <cellStyle name="Currency [0,000] TBD- 11 56" xfId="47620"/>
    <cellStyle name="Currency [0,000] TBD 11 57" xfId="47621"/>
    <cellStyle name="Currency [0,000] TBD- 11 57" xfId="47622"/>
    <cellStyle name="Currency [0,000] TBD 11 58" xfId="47623"/>
    <cellStyle name="Currency [0,000] TBD- 11 58" xfId="47624"/>
    <cellStyle name="Currency [0,000] TBD 11 59" xfId="47625"/>
    <cellStyle name="Currency [0,000] TBD- 11 59" xfId="47626"/>
    <cellStyle name="Currency [0,000] TBD 11 6" xfId="47627"/>
    <cellStyle name="Currency [0,000] TBD- 11 6" xfId="47628"/>
    <cellStyle name="Currency [0,000] TBD 11 60" xfId="47629"/>
    <cellStyle name="Currency [0,000] TBD- 11 60" xfId="47630"/>
    <cellStyle name="Currency [0,000] TBD 11 61" xfId="47631"/>
    <cellStyle name="Currency [0,000] TBD- 11 61" xfId="47632"/>
    <cellStyle name="Currency [0,000] TBD 11 62" xfId="47633"/>
    <cellStyle name="Currency [0,000] TBD- 11 62" xfId="47634"/>
    <cellStyle name="Currency [0,000] TBD 11 63" xfId="47635"/>
    <cellStyle name="Currency [0,000] TBD- 11 63" xfId="47636"/>
    <cellStyle name="Currency [0,000] TBD 11 64" xfId="47637"/>
    <cellStyle name="Currency [0,000] TBD- 11 64" xfId="47638"/>
    <cellStyle name="Currency [0,000] TBD 11 65" xfId="47639"/>
    <cellStyle name="Currency [0,000] TBD- 11 65" xfId="47640"/>
    <cellStyle name="Currency [0,000] TBD 11 66" xfId="47641"/>
    <cellStyle name="Currency [0,000] TBD- 11 66" xfId="47642"/>
    <cellStyle name="Currency [0,000] TBD 11 67" xfId="47643"/>
    <cellStyle name="Currency [0,000] TBD- 11 67" xfId="47644"/>
    <cellStyle name="Currency [0,000] TBD 11 68" xfId="47645"/>
    <cellStyle name="Currency [0,000] TBD- 11 68" xfId="47646"/>
    <cellStyle name="Currency [0,000] TBD 11 69" xfId="47647"/>
    <cellStyle name="Currency [0,000] TBD- 11 69" xfId="47648"/>
    <cellStyle name="Currency [0,000] TBD 11 7" xfId="47649"/>
    <cellStyle name="Currency [0,000] TBD- 11 7" xfId="47650"/>
    <cellStyle name="Currency [0,000] TBD 11 70" xfId="47651"/>
    <cellStyle name="Currency [0,000] TBD- 11 70" xfId="47652"/>
    <cellStyle name="Currency [0,000] TBD 11 71" xfId="47653"/>
    <cellStyle name="Currency [0,000] TBD- 11 71" xfId="47654"/>
    <cellStyle name="Currency [0,000] TBD 11 72" xfId="47655"/>
    <cellStyle name="Currency [0,000] TBD- 11 72" xfId="47656"/>
    <cellStyle name="Currency [0,000] TBD 11 73" xfId="47657"/>
    <cellStyle name="Currency [0,000] TBD- 11 73" xfId="47658"/>
    <cellStyle name="Currency [0,000] TBD 11 74" xfId="47659"/>
    <cellStyle name="Currency [0,000] TBD- 11 74" xfId="47660"/>
    <cellStyle name="Currency [0,000] TBD 11 75" xfId="47661"/>
    <cellStyle name="Currency [0,000] TBD- 11 75" xfId="47662"/>
    <cellStyle name="Currency [0,000] TBD 11 76" xfId="47663"/>
    <cellStyle name="Currency [0,000] TBD- 11 76" xfId="47664"/>
    <cellStyle name="Currency [0,000] TBD 11 77" xfId="47665"/>
    <cellStyle name="Currency [0,000] TBD- 11 77" xfId="47666"/>
    <cellStyle name="Currency [0,000] TBD 11 78" xfId="47667"/>
    <cellStyle name="Currency [0,000] TBD- 11 78" xfId="47668"/>
    <cellStyle name="Currency [0,000] TBD 11 79" xfId="47669"/>
    <cellStyle name="Currency [0,000] TBD- 11 79" xfId="47670"/>
    <cellStyle name="Currency [0,000] TBD 11 8" xfId="47671"/>
    <cellStyle name="Currency [0,000] TBD- 11 8" xfId="47672"/>
    <cellStyle name="Currency [0,000] TBD 11 80" xfId="47673"/>
    <cellStyle name="Currency [0,000] TBD- 11 80" xfId="47674"/>
    <cellStyle name="Currency [0,000] TBD 11 81" xfId="47675"/>
    <cellStyle name="Currency [0,000] TBD- 11 81" xfId="47676"/>
    <cellStyle name="Currency [0,000] TBD 11 82" xfId="47677"/>
    <cellStyle name="Currency [0,000] TBD- 11 82" xfId="47678"/>
    <cellStyle name="Currency [0,000] TBD 11 83" xfId="47679"/>
    <cellStyle name="Currency [0,000] TBD- 11 83" xfId="47680"/>
    <cellStyle name="Currency [0,000] TBD 11 84" xfId="47681"/>
    <cellStyle name="Currency [0,000] TBD- 11 84" xfId="47682"/>
    <cellStyle name="Currency [0,000] TBD 11 85" xfId="47683"/>
    <cellStyle name="Currency [0,000] TBD- 11 85" xfId="47684"/>
    <cellStyle name="Currency [0,000] TBD 11 86" xfId="47685"/>
    <cellStyle name="Currency [0,000] TBD- 11 86" xfId="47686"/>
    <cellStyle name="Currency [0,000] TBD 11 87" xfId="47687"/>
    <cellStyle name="Currency [0,000] TBD- 11 87" xfId="47688"/>
    <cellStyle name="Currency [0,000] TBD 11 88" xfId="47689"/>
    <cellStyle name="Currency [0,000] TBD- 11 88" xfId="47690"/>
    <cellStyle name="Currency [0,000] TBD 11 89" xfId="47691"/>
    <cellStyle name="Currency [0,000] TBD- 11 89" xfId="47692"/>
    <cellStyle name="Currency [0,000] TBD 11 9" xfId="47693"/>
    <cellStyle name="Currency [0,000] TBD- 11 9" xfId="47694"/>
    <cellStyle name="Currency [0,000] TBD 11 90" xfId="47695"/>
    <cellStyle name="Currency [0,000] TBD- 11 90" xfId="47696"/>
    <cellStyle name="Currency [0,000] TBD 11 91" xfId="47697"/>
    <cellStyle name="Currency [0,000] TBD- 11 91" xfId="47698"/>
    <cellStyle name="Currency [0,000] TBD 11 92" xfId="47699"/>
    <cellStyle name="Currency [0,000] TBD- 11 92" xfId="47700"/>
    <cellStyle name="Currency [0,000] TBD 11 93" xfId="47701"/>
    <cellStyle name="Currency [0,000] TBD- 11 93" xfId="47702"/>
    <cellStyle name="Currency [0,000] TBD 11 94" xfId="47703"/>
    <cellStyle name="Currency [0,000] TBD- 11 94" xfId="47704"/>
    <cellStyle name="Currency [0,000] TBD 11 95" xfId="47705"/>
    <cellStyle name="Currency [0,000] TBD- 11 95" xfId="47706"/>
    <cellStyle name="Currency [0,000] TBD 11 96" xfId="47707"/>
    <cellStyle name="Currency [0,000] TBD- 11 96" xfId="47708"/>
    <cellStyle name="Currency [0,000] TBD 11 97" xfId="47709"/>
    <cellStyle name="Currency [0,000] TBD- 11 97" xfId="47710"/>
    <cellStyle name="Currency [0,000] TBD 11 98" xfId="47711"/>
    <cellStyle name="Currency [0,000] TBD- 11 98" xfId="47712"/>
    <cellStyle name="Currency [0,000] TBD 11 99" xfId="47713"/>
    <cellStyle name="Currency [0,000] TBD- 11 99" xfId="47714"/>
    <cellStyle name="Currency [0,000] TBD 12" xfId="47715"/>
    <cellStyle name="Currency [0,000] TBD- 12" xfId="47716"/>
    <cellStyle name="Currency [0,000] TBD 12 10" xfId="47717"/>
    <cellStyle name="Currency [0,000] TBD- 12 10" xfId="47718"/>
    <cellStyle name="Currency [0,000] TBD 12 100" xfId="47719"/>
    <cellStyle name="Currency [0,000] TBD- 12 100" xfId="47720"/>
    <cellStyle name="Currency [0,000] TBD 12 101" xfId="47721"/>
    <cellStyle name="Currency [0,000] TBD- 12 101" xfId="47722"/>
    <cellStyle name="Currency [0,000] TBD 12 102" xfId="47723"/>
    <cellStyle name="Currency [0,000] TBD- 12 102" xfId="47724"/>
    <cellStyle name="Currency [0,000] TBD 12 103" xfId="47725"/>
    <cellStyle name="Currency [0,000] TBD- 12 103" xfId="47726"/>
    <cellStyle name="Currency [0,000] TBD 12 104" xfId="47727"/>
    <cellStyle name="Currency [0,000] TBD- 12 104" xfId="47728"/>
    <cellStyle name="Currency [0,000] TBD 12 105" xfId="47729"/>
    <cellStyle name="Currency [0,000] TBD- 12 105" xfId="47730"/>
    <cellStyle name="Currency [0,000] TBD 12 106" xfId="47731"/>
    <cellStyle name="Currency [0,000] TBD- 12 106" xfId="47732"/>
    <cellStyle name="Currency [0,000] TBD 12 107" xfId="47733"/>
    <cellStyle name="Currency [0,000] TBD- 12 107" xfId="47734"/>
    <cellStyle name="Currency [0,000] TBD 12 108" xfId="47735"/>
    <cellStyle name="Currency [0,000] TBD- 12 108" xfId="47736"/>
    <cellStyle name="Currency [0,000] TBD 12 109" xfId="47737"/>
    <cellStyle name="Currency [0,000] TBD- 12 109" xfId="47738"/>
    <cellStyle name="Currency [0,000] TBD 12 11" xfId="47739"/>
    <cellStyle name="Currency [0,000] TBD- 12 11" xfId="47740"/>
    <cellStyle name="Currency [0,000] TBD 12 110" xfId="47741"/>
    <cellStyle name="Currency [0,000] TBD- 12 110" xfId="47742"/>
    <cellStyle name="Currency [0,000] TBD 12 111" xfId="47743"/>
    <cellStyle name="Currency [0,000] TBD- 12 111" xfId="47744"/>
    <cellStyle name="Currency [0,000] TBD 12 112" xfId="47745"/>
    <cellStyle name="Currency [0,000] TBD- 12 112" xfId="47746"/>
    <cellStyle name="Currency [0,000] TBD 12 113" xfId="47747"/>
    <cellStyle name="Currency [0,000] TBD- 12 113" xfId="47748"/>
    <cellStyle name="Currency [0,000] TBD 12 114" xfId="47749"/>
    <cellStyle name="Currency [0,000] TBD- 12 114" xfId="47750"/>
    <cellStyle name="Currency [0,000] TBD 12 115" xfId="47751"/>
    <cellStyle name="Currency [0,000] TBD- 12 115" xfId="47752"/>
    <cellStyle name="Currency [0,000] TBD 12 116" xfId="47753"/>
    <cellStyle name="Currency [0,000] TBD- 12 116" xfId="47754"/>
    <cellStyle name="Currency [0,000] TBD 12 117" xfId="47755"/>
    <cellStyle name="Currency [0,000] TBD- 12 117" xfId="47756"/>
    <cellStyle name="Currency [0,000] TBD 12 118" xfId="47757"/>
    <cellStyle name="Currency [0,000] TBD- 12 118" xfId="47758"/>
    <cellStyle name="Currency [0,000] TBD 12 119" xfId="47759"/>
    <cellStyle name="Currency [0,000] TBD- 12 119" xfId="47760"/>
    <cellStyle name="Currency [0,000] TBD 12 12" xfId="47761"/>
    <cellStyle name="Currency [0,000] TBD- 12 12" xfId="47762"/>
    <cellStyle name="Currency [0,000] TBD 12 120" xfId="47763"/>
    <cellStyle name="Currency [0,000] TBD- 12 120" xfId="47764"/>
    <cellStyle name="Currency [0,000] TBD 12 121" xfId="47765"/>
    <cellStyle name="Currency [0,000] TBD- 12 121" xfId="47766"/>
    <cellStyle name="Currency [0,000] TBD 12 122" xfId="47767"/>
    <cellStyle name="Currency [0,000] TBD- 12 122" xfId="47768"/>
    <cellStyle name="Currency [0,000] TBD 12 123" xfId="47769"/>
    <cellStyle name="Currency [0,000] TBD- 12 123" xfId="47770"/>
    <cellStyle name="Currency [0,000] TBD 12 124" xfId="47771"/>
    <cellStyle name="Currency [0,000] TBD- 12 124" xfId="47772"/>
    <cellStyle name="Currency [0,000] TBD 12 125" xfId="47773"/>
    <cellStyle name="Currency [0,000] TBD- 12 125" xfId="47774"/>
    <cellStyle name="Currency [0,000] TBD 12 126" xfId="47775"/>
    <cellStyle name="Currency [0,000] TBD- 12 126" xfId="47776"/>
    <cellStyle name="Currency [0,000] TBD 12 127" xfId="47777"/>
    <cellStyle name="Currency [0,000] TBD- 12 127" xfId="47778"/>
    <cellStyle name="Currency [0,000] TBD 12 128" xfId="47779"/>
    <cellStyle name="Currency [0,000] TBD- 12 128" xfId="47780"/>
    <cellStyle name="Currency [0,000] TBD 12 129" xfId="47781"/>
    <cellStyle name="Currency [0,000] TBD- 12 129" xfId="47782"/>
    <cellStyle name="Currency [0,000] TBD 12 13" xfId="47783"/>
    <cellStyle name="Currency [0,000] TBD- 12 13" xfId="47784"/>
    <cellStyle name="Currency [0,000] TBD 12 130" xfId="47785"/>
    <cellStyle name="Currency [0,000] TBD- 12 130" xfId="47786"/>
    <cellStyle name="Currency [0,000] TBD 12 131" xfId="47787"/>
    <cellStyle name="Currency [0,000] TBD- 12 131" xfId="47788"/>
    <cellStyle name="Currency [0,000] TBD 12 132" xfId="47789"/>
    <cellStyle name="Currency [0,000] TBD- 12 132" xfId="47790"/>
    <cellStyle name="Currency [0,000] TBD 12 133" xfId="47791"/>
    <cellStyle name="Currency [0,000] TBD- 12 133" xfId="47792"/>
    <cellStyle name="Currency [0,000] TBD 12 134" xfId="47793"/>
    <cellStyle name="Currency [0,000] TBD- 12 134" xfId="47794"/>
    <cellStyle name="Currency [0,000] TBD 12 135" xfId="47795"/>
    <cellStyle name="Currency [0,000] TBD- 12 135" xfId="47796"/>
    <cellStyle name="Currency [0,000] TBD 12 136" xfId="47797"/>
    <cellStyle name="Currency [0,000] TBD- 12 136" xfId="47798"/>
    <cellStyle name="Currency [0,000] TBD 12 137" xfId="47799"/>
    <cellStyle name="Currency [0,000] TBD- 12 137" xfId="47800"/>
    <cellStyle name="Currency [0,000] TBD 12 138" xfId="47801"/>
    <cellStyle name="Currency [0,000] TBD- 12 138" xfId="47802"/>
    <cellStyle name="Currency [0,000] TBD 12 139" xfId="47803"/>
    <cellStyle name="Currency [0,000] TBD- 12 139" xfId="47804"/>
    <cellStyle name="Currency [0,000] TBD 12 14" xfId="47805"/>
    <cellStyle name="Currency [0,000] TBD- 12 14" xfId="47806"/>
    <cellStyle name="Currency [0,000] TBD 12 140" xfId="47807"/>
    <cellStyle name="Currency [0,000] TBD- 12 140" xfId="47808"/>
    <cellStyle name="Currency [0,000] TBD 12 141" xfId="47809"/>
    <cellStyle name="Currency [0,000] TBD- 12 141" xfId="47810"/>
    <cellStyle name="Currency [0,000] TBD 12 142" xfId="47811"/>
    <cellStyle name="Currency [0,000] TBD- 12 142" xfId="47812"/>
    <cellStyle name="Currency [0,000] TBD 12 143" xfId="47813"/>
    <cellStyle name="Currency [0,000] TBD- 12 143" xfId="47814"/>
    <cellStyle name="Currency [0,000] TBD 12 144" xfId="47815"/>
    <cellStyle name="Currency [0,000] TBD- 12 144" xfId="47816"/>
    <cellStyle name="Currency [0,000] TBD 12 145" xfId="47817"/>
    <cellStyle name="Currency [0,000] TBD- 12 145" xfId="47818"/>
    <cellStyle name="Currency [0,000] TBD 12 146" xfId="47819"/>
    <cellStyle name="Currency [0,000] TBD- 12 146" xfId="47820"/>
    <cellStyle name="Currency [0,000] TBD 12 147" xfId="47821"/>
    <cellStyle name="Currency [0,000] TBD- 12 147" xfId="47822"/>
    <cellStyle name="Currency [0,000] TBD 12 148" xfId="47823"/>
    <cellStyle name="Currency [0,000] TBD- 12 148" xfId="47824"/>
    <cellStyle name="Currency [0,000] TBD 12 149" xfId="47825"/>
    <cellStyle name="Currency [0,000] TBD- 12 149" xfId="47826"/>
    <cellStyle name="Currency [0,000] TBD 12 15" xfId="47827"/>
    <cellStyle name="Currency [0,000] TBD- 12 15" xfId="47828"/>
    <cellStyle name="Currency [0,000] TBD 12 150" xfId="47829"/>
    <cellStyle name="Currency [0,000] TBD- 12 150" xfId="47830"/>
    <cellStyle name="Currency [0,000] TBD 12 151" xfId="47831"/>
    <cellStyle name="Currency [0,000] TBD- 12 151" xfId="47832"/>
    <cellStyle name="Currency [0,000] TBD 12 152" xfId="47833"/>
    <cellStyle name="Currency [0,000] TBD- 12 152" xfId="47834"/>
    <cellStyle name="Currency [0,000] TBD 12 153" xfId="47835"/>
    <cellStyle name="Currency [0,000] TBD- 12 153" xfId="47836"/>
    <cellStyle name="Currency [0,000] TBD 12 16" xfId="47837"/>
    <cellStyle name="Currency [0,000] TBD- 12 16" xfId="47838"/>
    <cellStyle name="Currency [0,000] TBD 12 17" xfId="47839"/>
    <cellStyle name="Currency [0,000] TBD- 12 17" xfId="47840"/>
    <cellStyle name="Currency [0,000] TBD 12 18" xfId="47841"/>
    <cellStyle name="Currency [0,000] TBD- 12 18" xfId="47842"/>
    <cellStyle name="Currency [0,000] TBD 12 19" xfId="47843"/>
    <cellStyle name="Currency [0,000] TBD- 12 19" xfId="47844"/>
    <cellStyle name="Currency [0,000] TBD 12 2" xfId="47845"/>
    <cellStyle name="Currency [0,000] TBD- 12 2" xfId="47846"/>
    <cellStyle name="Currency [0,000] TBD 12 20" xfId="47847"/>
    <cellStyle name="Currency [0,000] TBD- 12 20" xfId="47848"/>
    <cellStyle name="Currency [0,000] TBD 12 21" xfId="47849"/>
    <cellStyle name="Currency [0,000] TBD- 12 21" xfId="47850"/>
    <cellStyle name="Currency [0,000] TBD 12 22" xfId="47851"/>
    <cellStyle name="Currency [0,000] TBD- 12 22" xfId="47852"/>
    <cellStyle name="Currency [0,000] TBD 12 23" xfId="47853"/>
    <cellStyle name="Currency [0,000] TBD- 12 23" xfId="47854"/>
    <cellStyle name="Currency [0,000] TBD 12 24" xfId="47855"/>
    <cellStyle name="Currency [0,000] TBD- 12 24" xfId="47856"/>
    <cellStyle name="Currency [0,000] TBD 12 25" xfId="47857"/>
    <cellStyle name="Currency [0,000] TBD- 12 25" xfId="47858"/>
    <cellStyle name="Currency [0,000] TBD 12 26" xfId="47859"/>
    <cellStyle name="Currency [0,000] TBD- 12 26" xfId="47860"/>
    <cellStyle name="Currency [0,000] TBD 12 27" xfId="47861"/>
    <cellStyle name="Currency [0,000] TBD- 12 27" xfId="47862"/>
    <cellStyle name="Currency [0,000] TBD 12 28" xfId="47863"/>
    <cellStyle name="Currency [0,000] TBD- 12 28" xfId="47864"/>
    <cellStyle name="Currency [0,000] TBD 12 29" xfId="47865"/>
    <cellStyle name="Currency [0,000] TBD- 12 29" xfId="47866"/>
    <cellStyle name="Currency [0,000] TBD 12 3" xfId="47867"/>
    <cellStyle name="Currency [0,000] TBD- 12 3" xfId="47868"/>
    <cellStyle name="Currency [0,000] TBD 12 30" xfId="47869"/>
    <cellStyle name="Currency [0,000] TBD- 12 30" xfId="47870"/>
    <cellStyle name="Currency [0,000] TBD 12 31" xfId="47871"/>
    <cellStyle name="Currency [0,000] TBD- 12 31" xfId="47872"/>
    <cellStyle name="Currency [0,000] TBD 12 32" xfId="47873"/>
    <cellStyle name="Currency [0,000] TBD- 12 32" xfId="47874"/>
    <cellStyle name="Currency [0,000] TBD 12 33" xfId="47875"/>
    <cellStyle name="Currency [0,000] TBD- 12 33" xfId="47876"/>
    <cellStyle name="Currency [0,000] TBD 12 34" xfId="47877"/>
    <cellStyle name="Currency [0,000] TBD- 12 34" xfId="47878"/>
    <cellStyle name="Currency [0,000] TBD 12 35" xfId="47879"/>
    <cellStyle name="Currency [0,000] TBD- 12 35" xfId="47880"/>
    <cellStyle name="Currency [0,000] TBD 12 36" xfId="47881"/>
    <cellStyle name="Currency [0,000] TBD- 12 36" xfId="47882"/>
    <cellStyle name="Currency [0,000] TBD 12 37" xfId="47883"/>
    <cellStyle name="Currency [0,000] TBD- 12 37" xfId="47884"/>
    <cellStyle name="Currency [0,000] TBD 12 38" xfId="47885"/>
    <cellStyle name="Currency [0,000] TBD- 12 38" xfId="47886"/>
    <cellStyle name="Currency [0,000] TBD 12 39" xfId="47887"/>
    <cellStyle name="Currency [0,000] TBD- 12 39" xfId="47888"/>
    <cellStyle name="Currency [0,000] TBD 12 4" xfId="47889"/>
    <cellStyle name="Currency [0,000] TBD- 12 4" xfId="47890"/>
    <cellStyle name="Currency [0,000] TBD 12 40" xfId="47891"/>
    <cellStyle name="Currency [0,000] TBD- 12 40" xfId="47892"/>
    <cellStyle name="Currency [0,000] TBD 12 41" xfId="47893"/>
    <cellStyle name="Currency [0,000] TBD- 12 41" xfId="47894"/>
    <cellStyle name="Currency [0,000] TBD 12 42" xfId="47895"/>
    <cellStyle name="Currency [0,000] TBD- 12 42" xfId="47896"/>
    <cellStyle name="Currency [0,000] TBD 12 43" xfId="47897"/>
    <cellStyle name="Currency [0,000] TBD- 12 43" xfId="47898"/>
    <cellStyle name="Currency [0,000] TBD 12 44" xfId="47899"/>
    <cellStyle name="Currency [0,000] TBD- 12 44" xfId="47900"/>
    <cellStyle name="Currency [0,000] TBD 12 45" xfId="47901"/>
    <cellStyle name="Currency [0,000] TBD- 12 45" xfId="47902"/>
    <cellStyle name="Currency [0,000] TBD 12 46" xfId="47903"/>
    <cellStyle name="Currency [0,000] TBD- 12 46" xfId="47904"/>
    <cellStyle name="Currency [0,000] TBD 12 47" xfId="47905"/>
    <cellStyle name="Currency [0,000] TBD- 12 47" xfId="47906"/>
    <cellStyle name="Currency [0,000] TBD 12 48" xfId="47907"/>
    <cellStyle name="Currency [0,000] TBD- 12 48" xfId="47908"/>
    <cellStyle name="Currency [0,000] TBD 12 49" xfId="47909"/>
    <cellStyle name="Currency [0,000] TBD- 12 49" xfId="47910"/>
    <cellStyle name="Currency [0,000] TBD 12 5" xfId="47911"/>
    <cellStyle name="Currency [0,000] TBD- 12 5" xfId="47912"/>
    <cellStyle name="Currency [0,000] TBD 12 50" xfId="47913"/>
    <cellStyle name="Currency [0,000] TBD- 12 50" xfId="47914"/>
    <cellStyle name="Currency [0,000] TBD 12 51" xfId="47915"/>
    <cellStyle name="Currency [0,000] TBD- 12 51" xfId="47916"/>
    <cellStyle name="Currency [0,000] TBD 12 52" xfId="47917"/>
    <cellStyle name="Currency [0,000] TBD- 12 52" xfId="47918"/>
    <cellStyle name="Currency [0,000] TBD 12 53" xfId="47919"/>
    <cellStyle name="Currency [0,000] TBD- 12 53" xfId="47920"/>
    <cellStyle name="Currency [0,000] TBD 12 54" xfId="47921"/>
    <cellStyle name="Currency [0,000] TBD- 12 54" xfId="47922"/>
    <cellStyle name="Currency [0,000] TBD 12 55" xfId="47923"/>
    <cellStyle name="Currency [0,000] TBD- 12 55" xfId="47924"/>
    <cellStyle name="Currency [0,000] TBD 12 56" xfId="47925"/>
    <cellStyle name="Currency [0,000] TBD- 12 56" xfId="47926"/>
    <cellStyle name="Currency [0,000] TBD 12 57" xfId="47927"/>
    <cellStyle name="Currency [0,000] TBD- 12 57" xfId="47928"/>
    <cellStyle name="Currency [0,000] TBD 12 58" xfId="47929"/>
    <cellStyle name="Currency [0,000] TBD- 12 58" xfId="47930"/>
    <cellStyle name="Currency [0,000] TBD 12 59" xfId="47931"/>
    <cellStyle name="Currency [0,000] TBD- 12 59" xfId="47932"/>
    <cellStyle name="Currency [0,000] TBD 12 6" xfId="47933"/>
    <cellStyle name="Currency [0,000] TBD- 12 6" xfId="47934"/>
    <cellStyle name="Currency [0,000] TBD 12 60" xfId="47935"/>
    <cellStyle name="Currency [0,000] TBD- 12 60" xfId="47936"/>
    <cellStyle name="Currency [0,000] TBD 12 61" xfId="47937"/>
    <cellStyle name="Currency [0,000] TBD- 12 61" xfId="47938"/>
    <cellStyle name="Currency [0,000] TBD 12 62" xfId="47939"/>
    <cellStyle name="Currency [0,000] TBD- 12 62" xfId="47940"/>
    <cellStyle name="Currency [0,000] TBD 12 63" xfId="47941"/>
    <cellStyle name="Currency [0,000] TBD- 12 63" xfId="47942"/>
    <cellStyle name="Currency [0,000] TBD 12 64" xfId="47943"/>
    <cellStyle name="Currency [0,000] TBD- 12 64" xfId="47944"/>
    <cellStyle name="Currency [0,000] TBD 12 65" xfId="47945"/>
    <cellStyle name="Currency [0,000] TBD- 12 65" xfId="47946"/>
    <cellStyle name="Currency [0,000] TBD 12 66" xfId="47947"/>
    <cellStyle name="Currency [0,000] TBD- 12 66" xfId="47948"/>
    <cellStyle name="Currency [0,000] TBD 12 67" xfId="47949"/>
    <cellStyle name="Currency [0,000] TBD- 12 67" xfId="47950"/>
    <cellStyle name="Currency [0,000] TBD 12 68" xfId="47951"/>
    <cellStyle name="Currency [0,000] TBD- 12 68" xfId="47952"/>
    <cellStyle name="Currency [0,000] TBD 12 69" xfId="47953"/>
    <cellStyle name="Currency [0,000] TBD- 12 69" xfId="47954"/>
    <cellStyle name="Currency [0,000] TBD 12 7" xfId="47955"/>
    <cellStyle name="Currency [0,000] TBD- 12 7" xfId="47956"/>
    <cellStyle name="Currency [0,000] TBD 12 70" xfId="47957"/>
    <cellStyle name="Currency [0,000] TBD- 12 70" xfId="47958"/>
    <cellStyle name="Currency [0,000] TBD 12 71" xfId="47959"/>
    <cellStyle name="Currency [0,000] TBD- 12 71" xfId="47960"/>
    <cellStyle name="Currency [0,000] TBD 12 72" xfId="47961"/>
    <cellStyle name="Currency [0,000] TBD- 12 72" xfId="47962"/>
    <cellStyle name="Currency [0,000] TBD 12 73" xfId="47963"/>
    <cellStyle name="Currency [0,000] TBD- 12 73" xfId="47964"/>
    <cellStyle name="Currency [0,000] TBD 12 74" xfId="47965"/>
    <cellStyle name="Currency [0,000] TBD- 12 74" xfId="47966"/>
    <cellStyle name="Currency [0,000] TBD 12 75" xfId="47967"/>
    <cellStyle name="Currency [0,000] TBD- 12 75" xfId="47968"/>
    <cellStyle name="Currency [0,000] TBD 12 76" xfId="47969"/>
    <cellStyle name="Currency [0,000] TBD- 12 76" xfId="47970"/>
    <cellStyle name="Currency [0,000] TBD 12 77" xfId="47971"/>
    <cellStyle name="Currency [0,000] TBD- 12 77" xfId="47972"/>
    <cellStyle name="Currency [0,000] TBD 12 78" xfId="47973"/>
    <cellStyle name="Currency [0,000] TBD- 12 78" xfId="47974"/>
    <cellStyle name="Currency [0,000] TBD 12 79" xfId="47975"/>
    <cellStyle name="Currency [0,000] TBD- 12 79" xfId="47976"/>
    <cellStyle name="Currency [0,000] TBD 12 8" xfId="47977"/>
    <cellStyle name="Currency [0,000] TBD- 12 8" xfId="47978"/>
    <cellStyle name="Currency [0,000] TBD 12 80" xfId="47979"/>
    <cellStyle name="Currency [0,000] TBD- 12 80" xfId="47980"/>
    <cellStyle name="Currency [0,000] TBD 12 81" xfId="47981"/>
    <cellStyle name="Currency [0,000] TBD- 12 81" xfId="47982"/>
    <cellStyle name="Currency [0,000] TBD 12 82" xfId="47983"/>
    <cellStyle name="Currency [0,000] TBD- 12 82" xfId="47984"/>
    <cellStyle name="Currency [0,000] TBD 12 83" xfId="47985"/>
    <cellStyle name="Currency [0,000] TBD- 12 83" xfId="47986"/>
    <cellStyle name="Currency [0,000] TBD 12 84" xfId="47987"/>
    <cellStyle name="Currency [0,000] TBD- 12 84" xfId="47988"/>
    <cellStyle name="Currency [0,000] TBD 12 85" xfId="47989"/>
    <cellStyle name="Currency [0,000] TBD- 12 85" xfId="47990"/>
    <cellStyle name="Currency [0,000] TBD 12 86" xfId="47991"/>
    <cellStyle name="Currency [0,000] TBD- 12 86" xfId="47992"/>
    <cellStyle name="Currency [0,000] TBD 12 87" xfId="47993"/>
    <cellStyle name="Currency [0,000] TBD- 12 87" xfId="47994"/>
    <cellStyle name="Currency [0,000] TBD 12 88" xfId="47995"/>
    <cellStyle name="Currency [0,000] TBD- 12 88" xfId="47996"/>
    <cellStyle name="Currency [0,000] TBD 12 89" xfId="47997"/>
    <cellStyle name="Currency [0,000] TBD- 12 89" xfId="47998"/>
    <cellStyle name="Currency [0,000] TBD 12 9" xfId="47999"/>
    <cellStyle name="Currency [0,000] TBD- 12 9" xfId="48000"/>
    <cellStyle name="Currency [0,000] TBD 12 90" xfId="48001"/>
    <cellStyle name="Currency [0,000] TBD- 12 90" xfId="48002"/>
    <cellStyle name="Currency [0,000] TBD 12 91" xfId="48003"/>
    <cellStyle name="Currency [0,000] TBD- 12 91" xfId="48004"/>
    <cellStyle name="Currency [0,000] TBD 12 92" xfId="48005"/>
    <cellStyle name="Currency [0,000] TBD- 12 92" xfId="48006"/>
    <cellStyle name="Currency [0,000] TBD 12 93" xfId="48007"/>
    <cellStyle name="Currency [0,000] TBD- 12 93" xfId="48008"/>
    <cellStyle name="Currency [0,000] TBD 12 94" xfId="48009"/>
    <cellStyle name="Currency [0,000] TBD- 12 94" xfId="48010"/>
    <cellStyle name="Currency [0,000] TBD 12 95" xfId="48011"/>
    <cellStyle name="Currency [0,000] TBD- 12 95" xfId="48012"/>
    <cellStyle name="Currency [0,000] TBD 12 96" xfId="48013"/>
    <cellStyle name="Currency [0,000] TBD- 12 96" xfId="48014"/>
    <cellStyle name="Currency [0,000] TBD 12 97" xfId="48015"/>
    <cellStyle name="Currency [0,000] TBD- 12 97" xfId="48016"/>
    <cellStyle name="Currency [0,000] TBD 12 98" xfId="48017"/>
    <cellStyle name="Currency [0,000] TBD- 12 98" xfId="48018"/>
    <cellStyle name="Currency [0,000] TBD 12 99" xfId="48019"/>
    <cellStyle name="Currency [0,000] TBD- 12 99" xfId="48020"/>
    <cellStyle name="Currency [0,000] TBD 13" xfId="48021"/>
    <cellStyle name="Currency [0,000] TBD- 13" xfId="48022"/>
    <cellStyle name="Currency [0,000] TBD 13 10" xfId="48023"/>
    <cellStyle name="Currency [0,000] TBD- 13 10" xfId="48024"/>
    <cellStyle name="Currency [0,000] TBD 13 100" xfId="48025"/>
    <cellStyle name="Currency [0,000] TBD- 13 100" xfId="48026"/>
    <cellStyle name="Currency [0,000] TBD 13 101" xfId="48027"/>
    <cellStyle name="Currency [0,000] TBD- 13 101" xfId="48028"/>
    <cellStyle name="Currency [0,000] TBD 13 102" xfId="48029"/>
    <cellStyle name="Currency [0,000] TBD- 13 102" xfId="48030"/>
    <cellStyle name="Currency [0,000] TBD 13 103" xfId="48031"/>
    <cellStyle name="Currency [0,000] TBD- 13 103" xfId="48032"/>
    <cellStyle name="Currency [0,000] TBD 13 104" xfId="48033"/>
    <cellStyle name="Currency [0,000] TBD- 13 104" xfId="48034"/>
    <cellStyle name="Currency [0,000] TBD 13 105" xfId="48035"/>
    <cellStyle name="Currency [0,000] TBD- 13 105" xfId="48036"/>
    <cellStyle name="Currency [0,000] TBD 13 106" xfId="48037"/>
    <cellStyle name="Currency [0,000] TBD- 13 106" xfId="48038"/>
    <cellStyle name="Currency [0,000] TBD 13 107" xfId="48039"/>
    <cellStyle name="Currency [0,000] TBD- 13 107" xfId="48040"/>
    <cellStyle name="Currency [0,000] TBD 13 108" xfId="48041"/>
    <cellStyle name="Currency [0,000] TBD- 13 108" xfId="48042"/>
    <cellStyle name="Currency [0,000] TBD 13 109" xfId="48043"/>
    <cellStyle name="Currency [0,000] TBD- 13 109" xfId="48044"/>
    <cellStyle name="Currency [0,000] TBD 13 11" xfId="48045"/>
    <cellStyle name="Currency [0,000] TBD- 13 11" xfId="48046"/>
    <cellStyle name="Currency [0,000] TBD 13 110" xfId="48047"/>
    <cellStyle name="Currency [0,000] TBD- 13 110" xfId="48048"/>
    <cellStyle name="Currency [0,000] TBD 13 111" xfId="48049"/>
    <cellStyle name="Currency [0,000] TBD- 13 111" xfId="48050"/>
    <cellStyle name="Currency [0,000] TBD 13 112" xfId="48051"/>
    <cellStyle name="Currency [0,000] TBD- 13 112" xfId="48052"/>
    <cellStyle name="Currency [0,000] TBD 13 113" xfId="48053"/>
    <cellStyle name="Currency [0,000] TBD- 13 113" xfId="48054"/>
    <cellStyle name="Currency [0,000] TBD 13 114" xfId="48055"/>
    <cellStyle name="Currency [0,000] TBD- 13 114" xfId="48056"/>
    <cellStyle name="Currency [0,000] TBD 13 115" xfId="48057"/>
    <cellStyle name="Currency [0,000] TBD- 13 115" xfId="48058"/>
    <cellStyle name="Currency [0,000] TBD 13 116" xfId="48059"/>
    <cellStyle name="Currency [0,000] TBD- 13 116" xfId="48060"/>
    <cellStyle name="Currency [0,000] TBD 13 117" xfId="48061"/>
    <cellStyle name="Currency [0,000] TBD- 13 117" xfId="48062"/>
    <cellStyle name="Currency [0,000] TBD 13 118" xfId="48063"/>
    <cellStyle name="Currency [0,000] TBD- 13 118" xfId="48064"/>
    <cellStyle name="Currency [0,000] TBD 13 119" xfId="48065"/>
    <cellStyle name="Currency [0,000] TBD- 13 119" xfId="48066"/>
    <cellStyle name="Currency [0,000] TBD 13 12" xfId="48067"/>
    <cellStyle name="Currency [0,000] TBD- 13 12" xfId="48068"/>
    <cellStyle name="Currency [0,000] TBD 13 120" xfId="48069"/>
    <cellStyle name="Currency [0,000] TBD- 13 120" xfId="48070"/>
    <cellStyle name="Currency [0,000] TBD 13 121" xfId="48071"/>
    <cellStyle name="Currency [0,000] TBD- 13 121" xfId="48072"/>
    <cellStyle name="Currency [0,000] TBD 13 122" xfId="48073"/>
    <cellStyle name="Currency [0,000] TBD- 13 122" xfId="48074"/>
    <cellStyle name="Currency [0,000] TBD 13 123" xfId="48075"/>
    <cellStyle name="Currency [0,000] TBD- 13 123" xfId="48076"/>
    <cellStyle name="Currency [0,000] TBD 13 124" xfId="48077"/>
    <cellStyle name="Currency [0,000] TBD- 13 124" xfId="48078"/>
    <cellStyle name="Currency [0,000] TBD 13 125" xfId="48079"/>
    <cellStyle name="Currency [0,000] TBD- 13 125" xfId="48080"/>
    <cellStyle name="Currency [0,000] TBD 13 126" xfId="48081"/>
    <cellStyle name="Currency [0,000] TBD- 13 126" xfId="48082"/>
    <cellStyle name="Currency [0,000] TBD 13 127" xfId="48083"/>
    <cellStyle name="Currency [0,000] TBD- 13 127" xfId="48084"/>
    <cellStyle name="Currency [0,000] TBD 13 128" xfId="48085"/>
    <cellStyle name="Currency [0,000] TBD- 13 128" xfId="48086"/>
    <cellStyle name="Currency [0,000] TBD 13 129" xfId="48087"/>
    <cellStyle name="Currency [0,000] TBD- 13 129" xfId="48088"/>
    <cellStyle name="Currency [0,000] TBD 13 13" xfId="48089"/>
    <cellStyle name="Currency [0,000] TBD- 13 13" xfId="48090"/>
    <cellStyle name="Currency [0,000] TBD 13 130" xfId="48091"/>
    <cellStyle name="Currency [0,000] TBD- 13 130" xfId="48092"/>
    <cellStyle name="Currency [0,000] TBD 13 131" xfId="48093"/>
    <cellStyle name="Currency [0,000] TBD- 13 131" xfId="48094"/>
    <cellStyle name="Currency [0,000] TBD 13 132" xfId="48095"/>
    <cellStyle name="Currency [0,000] TBD- 13 132" xfId="48096"/>
    <cellStyle name="Currency [0,000] TBD 13 133" xfId="48097"/>
    <cellStyle name="Currency [0,000] TBD- 13 133" xfId="48098"/>
    <cellStyle name="Currency [0,000] TBD 13 134" xfId="48099"/>
    <cellStyle name="Currency [0,000] TBD- 13 134" xfId="48100"/>
    <cellStyle name="Currency [0,000] TBD 13 135" xfId="48101"/>
    <cellStyle name="Currency [0,000] TBD- 13 135" xfId="48102"/>
    <cellStyle name="Currency [0,000] TBD 13 136" xfId="48103"/>
    <cellStyle name="Currency [0,000] TBD- 13 136" xfId="48104"/>
    <cellStyle name="Currency [0,000] TBD 13 137" xfId="48105"/>
    <cellStyle name="Currency [0,000] TBD- 13 137" xfId="48106"/>
    <cellStyle name="Currency [0,000] TBD 13 138" xfId="48107"/>
    <cellStyle name="Currency [0,000] TBD- 13 138" xfId="48108"/>
    <cellStyle name="Currency [0,000] TBD 13 139" xfId="48109"/>
    <cellStyle name="Currency [0,000] TBD- 13 139" xfId="48110"/>
    <cellStyle name="Currency [0,000] TBD 13 14" xfId="48111"/>
    <cellStyle name="Currency [0,000] TBD- 13 14" xfId="48112"/>
    <cellStyle name="Currency [0,000] TBD 13 140" xfId="48113"/>
    <cellStyle name="Currency [0,000] TBD- 13 140" xfId="48114"/>
    <cellStyle name="Currency [0,000] TBD 13 141" xfId="48115"/>
    <cellStyle name="Currency [0,000] TBD- 13 141" xfId="48116"/>
    <cellStyle name="Currency [0,000] TBD 13 142" xfId="48117"/>
    <cellStyle name="Currency [0,000] TBD- 13 142" xfId="48118"/>
    <cellStyle name="Currency [0,000] TBD 13 143" xfId="48119"/>
    <cellStyle name="Currency [0,000] TBD- 13 143" xfId="48120"/>
    <cellStyle name="Currency [0,000] TBD 13 144" xfId="48121"/>
    <cellStyle name="Currency [0,000] TBD- 13 144" xfId="48122"/>
    <cellStyle name="Currency [0,000] TBD 13 145" xfId="48123"/>
    <cellStyle name="Currency [0,000] TBD- 13 145" xfId="48124"/>
    <cellStyle name="Currency [0,000] TBD 13 146" xfId="48125"/>
    <cellStyle name="Currency [0,000] TBD- 13 146" xfId="48126"/>
    <cellStyle name="Currency [0,000] TBD 13 147" xfId="48127"/>
    <cellStyle name="Currency [0,000] TBD- 13 147" xfId="48128"/>
    <cellStyle name="Currency [0,000] TBD 13 148" xfId="48129"/>
    <cellStyle name="Currency [0,000] TBD- 13 148" xfId="48130"/>
    <cellStyle name="Currency [0,000] TBD 13 149" xfId="48131"/>
    <cellStyle name="Currency [0,000] TBD- 13 149" xfId="48132"/>
    <cellStyle name="Currency [0,000] TBD 13 15" xfId="48133"/>
    <cellStyle name="Currency [0,000] TBD- 13 15" xfId="48134"/>
    <cellStyle name="Currency [0,000] TBD 13 150" xfId="48135"/>
    <cellStyle name="Currency [0,000] TBD- 13 150" xfId="48136"/>
    <cellStyle name="Currency [0,000] TBD 13 151" xfId="48137"/>
    <cellStyle name="Currency [0,000] TBD- 13 151" xfId="48138"/>
    <cellStyle name="Currency [0,000] TBD 13 152" xfId="48139"/>
    <cellStyle name="Currency [0,000] TBD- 13 152" xfId="48140"/>
    <cellStyle name="Currency [0,000] TBD 13 153" xfId="48141"/>
    <cellStyle name="Currency [0,000] TBD- 13 153" xfId="48142"/>
    <cellStyle name="Currency [0,000] TBD 13 16" xfId="48143"/>
    <cellStyle name="Currency [0,000] TBD- 13 16" xfId="48144"/>
    <cellStyle name="Currency [0,000] TBD 13 17" xfId="48145"/>
    <cellStyle name="Currency [0,000] TBD- 13 17" xfId="48146"/>
    <cellStyle name="Currency [0,000] TBD 13 18" xfId="48147"/>
    <cellStyle name="Currency [0,000] TBD- 13 18" xfId="48148"/>
    <cellStyle name="Currency [0,000] TBD 13 19" xfId="48149"/>
    <cellStyle name="Currency [0,000] TBD- 13 19" xfId="48150"/>
    <cellStyle name="Currency [0,000] TBD 13 2" xfId="48151"/>
    <cellStyle name="Currency [0,000] TBD- 13 2" xfId="48152"/>
    <cellStyle name="Currency [0,000] TBD 13 20" xfId="48153"/>
    <cellStyle name="Currency [0,000] TBD- 13 20" xfId="48154"/>
    <cellStyle name="Currency [0,000] TBD 13 21" xfId="48155"/>
    <cellStyle name="Currency [0,000] TBD- 13 21" xfId="48156"/>
    <cellStyle name="Currency [0,000] TBD 13 22" xfId="48157"/>
    <cellStyle name="Currency [0,000] TBD- 13 22" xfId="48158"/>
    <cellStyle name="Currency [0,000] TBD 13 23" xfId="48159"/>
    <cellStyle name="Currency [0,000] TBD- 13 23" xfId="48160"/>
    <cellStyle name="Currency [0,000] TBD 13 24" xfId="48161"/>
    <cellStyle name="Currency [0,000] TBD- 13 24" xfId="48162"/>
    <cellStyle name="Currency [0,000] TBD 13 25" xfId="48163"/>
    <cellStyle name="Currency [0,000] TBD- 13 25" xfId="48164"/>
    <cellStyle name="Currency [0,000] TBD 13 26" xfId="48165"/>
    <cellStyle name="Currency [0,000] TBD- 13 26" xfId="48166"/>
    <cellStyle name="Currency [0,000] TBD 13 27" xfId="48167"/>
    <cellStyle name="Currency [0,000] TBD- 13 27" xfId="48168"/>
    <cellStyle name="Currency [0,000] TBD 13 28" xfId="48169"/>
    <cellStyle name="Currency [0,000] TBD- 13 28" xfId="48170"/>
    <cellStyle name="Currency [0,000] TBD 13 29" xfId="48171"/>
    <cellStyle name="Currency [0,000] TBD- 13 29" xfId="48172"/>
    <cellStyle name="Currency [0,000] TBD 13 3" xfId="48173"/>
    <cellStyle name="Currency [0,000] TBD- 13 3" xfId="48174"/>
    <cellStyle name="Currency [0,000] TBD 13 30" xfId="48175"/>
    <cellStyle name="Currency [0,000] TBD- 13 30" xfId="48176"/>
    <cellStyle name="Currency [0,000] TBD 13 31" xfId="48177"/>
    <cellStyle name="Currency [0,000] TBD- 13 31" xfId="48178"/>
    <cellStyle name="Currency [0,000] TBD 13 32" xfId="48179"/>
    <cellStyle name="Currency [0,000] TBD- 13 32" xfId="48180"/>
    <cellStyle name="Currency [0,000] TBD 13 33" xfId="48181"/>
    <cellStyle name="Currency [0,000] TBD- 13 33" xfId="48182"/>
    <cellStyle name="Currency [0,000] TBD 13 34" xfId="48183"/>
    <cellStyle name="Currency [0,000] TBD- 13 34" xfId="48184"/>
    <cellStyle name="Currency [0,000] TBD 13 35" xfId="48185"/>
    <cellStyle name="Currency [0,000] TBD- 13 35" xfId="48186"/>
    <cellStyle name="Currency [0,000] TBD 13 36" xfId="48187"/>
    <cellStyle name="Currency [0,000] TBD- 13 36" xfId="48188"/>
    <cellStyle name="Currency [0,000] TBD 13 37" xfId="48189"/>
    <cellStyle name="Currency [0,000] TBD- 13 37" xfId="48190"/>
    <cellStyle name="Currency [0,000] TBD 13 38" xfId="48191"/>
    <cellStyle name="Currency [0,000] TBD- 13 38" xfId="48192"/>
    <cellStyle name="Currency [0,000] TBD 13 39" xfId="48193"/>
    <cellStyle name="Currency [0,000] TBD- 13 39" xfId="48194"/>
    <cellStyle name="Currency [0,000] TBD 13 4" xfId="48195"/>
    <cellStyle name="Currency [0,000] TBD- 13 4" xfId="48196"/>
    <cellStyle name="Currency [0,000] TBD 13 40" xfId="48197"/>
    <cellStyle name="Currency [0,000] TBD- 13 40" xfId="48198"/>
    <cellStyle name="Currency [0,000] TBD 13 41" xfId="48199"/>
    <cellStyle name="Currency [0,000] TBD- 13 41" xfId="48200"/>
    <cellStyle name="Currency [0,000] TBD 13 42" xfId="48201"/>
    <cellStyle name="Currency [0,000] TBD- 13 42" xfId="48202"/>
    <cellStyle name="Currency [0,000] TBD 13 43" xfId="48203"/>
    <cellStyle name="Currency [0,000] TBD- 13 43" xfId="48204"/>
    <cellStyle name="Currency [0,000] TBD 13 44" xfId="48205"/>
    <cellStyle name="Currency [0,000] TBD- 13 44" xfId="48206"/>
    <cellStyle name="Currency [0,000] TBD 13 45" xfId="48207"/>
    <cellStyle name="Currency [0,000] TBD- 13 45" xfId="48208"/>
    <cellStyle name="Currency [0,000] TBD 13 46" xfId="48209"/>
    <cellStyle name="Currency [0,000] TBD- 13 46" xfId="48210"/>
    <cellStyle name="Currency [0,000] TBD 13 47" xfId="48211"/>
    <cellStyle name="Currency [0,000] TBD- 13 47" xfId="48212"/>
    <cellStyle name="Currency [0,000] TBD 13 48" xfId="48213"/>
    <cellStyle name="Currency [0,000] TBD- 13 48" xfId="48214"/>
    <cellStyle name="Currency [0,000] TBD 13 49" xfId="48215"/>
    <cellStyle name="Currency [0,000] TBD- 13 49" xfId="48216"/>
    <cellStyle name="Currency [0,000] TBD 13 5" xfId="48217"/>
    <cellStyle name="Currency [0,000] TBD- 13 5" xfId="48218"/>
    <cellStyle name="Currency [0,000] TBD 13 50" xfId="48219"/>
    <cellStyle name="Currency [0,000] TBD- 13 50" xfId="48220"/>
    <cellStyle name="Currency [0,000] TBD 13 51" xfId="48221"/>
    <cellStyle name="Currency [0,000] TBD- 13 51" xfId="48222"/>
    <cellStyle name="Currency [0,000] TBD 13 52" xfId="48223"/>
    <cellStyle name="Currency [0,000] TBD- 13 52" xfId="48224"/>
    <cellStyle name="Currency [0,000] TBD 13 53" xfId="48225"/>
    <cellStyle name="Currency [0,000] TBD- 13 53" xfId="48226"/>
    <cellStyle name="Currency [0,000] TBD 13 54" xfId="48227"/>
    <cellStyle name="Currency [0,000] TBD- 13 54" xfId="48228"/>
    <cellStyle name="Currency [0,000] TBD 13 55" xfId="48229"/>
    <cellStyle name="Currency [0,000] TBD- 13 55" xfId="48230"/>
    <cellStyle name="Currency [0,000] TBD 13 56" xfId="48231"/>
    <cellStyle name="Currency [0,000] TBD- 13 56" xfId="48232"/>
    <cellStyle name="Currency [0,000] TBD 13 57" xfId="48233"/>
    <cellStyle name="Currency [0,000] TBD- 13 57" xfId="48234"/>
    <cellStyle name="Currency [0,000] TBD 13 58" xfId="48235"/>
    <cellStyle name="Currency [0,000] TBD- 13 58" xfId="48236"/>
    <cellStyle name="Currency [0,000] TBD 13 59" xfId="48237"/>
    <cellStyle name="Currency [0,000] TBD- 13 59" xfId="48238"/>
    <cellStyle name="Currency [0,000] TBD 13 6" xfId="48239"/>
    <cellStyle name="Currency [0,000] TBD- 13 6" xfId="48240"/>
    <cellStyle name="Currency [0,000] TBD 13 60" xfId="48241"/>
    <cellStyle name="Currency [0,000] TBD- 13 60" xfId="48242"/>
    <cellStyle name="Currency [0,000] TBD 13 61" xfId="48243"/>
    <cellStyle name="Currency [0,000] TBD- 13 61" xfId="48244"/>
    <cellStyle name="Currency [0,000] TBD 13 62" xfId="48245"/>
    <cellStyle name="Currency [0,000] TBD- 13 62" xfId="48246"/>
    <cellStyle name="Currency [0,000] TBD 13 63" xfId="48247"/>
    <cellStyle name="Currency [0,000] TBD- 13 63" xfId="48248"/>
    <cellStyle name="Currency [0,000] TBD 13 64" xfId="48249"/>
    <cellStyle name="Currency [0,000] TBD- 13 64" xfId="48250"/>
    <cellStyle name="Currency [0,000] TBD 13 65" xfId="48251"/>
    <cellStyle name="Currency [0,000] TBD- 13 65" xfId="48252"/>
    <cellStyle name="Currency [0,000] TBD 13 66" xfId="48253"/>
    <cellStyle name="Currency [0,000] TBD- 13 66" xfId="48254"/>
    <cellStyle name="Currency [0,000] TBD 13 67" xfId="48255"/>
    <cellStyle name="Currency [0,000] TBD- 13 67" xfId="48256"/>
    <cellStyle name="Currency [0,000] TBD 13 68" xfId="48257"/>
    <cellStyle name="Currency [0,000] TBD- 13 68" xfId="48258"/>
    <cellStyle name="Currency [0,000] TBD 13 69" xfId="48259"/>
    <cellStyle name="Currency [0,000] TBD- 13 69" xfId="48260"/>
    <cellStyle name="Currency [0,000] TBD 13 7" xfId="48261"/>
    <cellStyle name="Currency [0,000] TBD- 13 7" xfId="48262"/>
    <cellStyle name="Currency [0,000] TBD 13 70" xfId="48263"/>
    <cellStyle name="Currency [0,000] TBD- 13 70" xfId="48264"/>
    <cellStyle name="Currency [0,000] TBD 13 71" xfId="48265"/>
    <cellStyle name="Currency [0,000] TBD- 13 71" xfId="48266"/>
    <cellStyle name="Currency [0,000] TBD 13 72" xfId="48267"/>
    <cellStyle name="Currency [0,000] TBD- 13 72" xfId="48268"/>
    <cellStyle name="Currency [0,000] TBD 13 73" xfId="48269"/>
    <cellStyle name="Currency [0,000] TBD- 13 73" xfId="48270"/>
    <cellStyle name="Currency [0,000] TBD 13 74" xfId="48271"/>
    <cellStyle name="Currency [0,000] TBD- 13 74" xfId="48272"/>
    <cellStyle name="Currency [0,000] TBD 13 75" xfId="48273"/>
    <cellStyle name="Currency [0,000] TBD- 13 75" xfId="48274"/>
    <cellStyle name="Currency [0,000] TBD 13 76" xfId="48275"/>
    <cellStyle name="Currency [0,000] TBD- 13 76" xfId="48276"/>
    <cellStyle name="Currency [0,000] TBD 13 77" xfId="48277"/>
    <cellStyle name="Currency [0,000] TBD- 13 77" xfId="48278"/>
    <cellStyle name="Currency [0,000] TBD 13 78" xfId="48279"/>
    <cellStyle name="Currency [0,000] TBD- 13 78" xfId="48280"/>
    <cellStyle name="Currency [0,000] TBD 13 79" xfId="48281"/>
    <cellStyle name="Currency [0,000] TBD- 13 79" xfId="48282"/>
    <cellStyle name="Currency [0,000] TBD 13 8" xfId="48283"/>
    <cellStyle name="Currency [0,000] TBD- 13 8" xfId="48284"/>
    <cellStyle name="Currency [0,000] TBD 13 80" xfId="48285"/>
    <cellStyle name="Currency [0,000] TBD- 13 80" xfId="48286"/>
    <cellStyle name="Currency [0,000] TBD 13 81" xfId="48287"/>
    <cellStyle name="Currency [0,000] TBD- 13 81" xfId="48288"/>
    <cellStyle name="Currency [0,000] TBD 13 82" xfId="48289"/>
    <cellStyle name="Currency [0,000] TBD- 13 82" xfId="48290"/>
    <cellStyle name="Currency [0,000] TBD 13 83" xfId="48291"/>
    <cellStyle name="Currency [0,000] TBD- 13 83" xfId="48292"/>
    <cellStyle name="Currency [0,000] TBD 13 84" xfId="48293"/>
    <cellStyle name="Currency [0,000] TBD- 13 84" xfId="48294"/>
    <cellStyle name="Currency [0,000] TBD 13 85" xfId="48295"/>
    <cellStyle name="Currency [0,000] TBD- 13 85" xfId="48296"/>
    <cellStyle name="Currency [0,000] TBD 13 86" xfId="48297"/>
    <cellStyle name="Currency [0,000] TBD- 13 86" xfId="48298"/>
    <cellStyle name="Currency [0,000] TBD 13 87" xfId="48299"/>
    <cellStyle name="Currency [0,000] TBD- 13 87" xfId="48300"/>
    <cellStyle name="Currency [0,000] TBD 13 88" xfId="48301"/>
    <cellStyle name="Currency [0,000] TBD- 13 88" xfId="48302"/>
    <cellStyle name="Currency [0,000] TBD 13 89" xfId="48303"/>
    <cellStyle name="Currency [0,000] TBD- 13 89" xfId="48304"/>
    <cellStyle name="Currency [0,000] TBD 13 9" xfId="48305"/>
    <cellStyle name="Currency [0,000] TBD- 13 9" xfId="48306"/>
    <cellStyle name="Currency [0,000] TBD 13 90" xfId="48307"/>
    <cellStyle name="Currency [0,000] TBD- 13 90" xfId="48308"/>
    <cellStyle name="Currency [0,000] TBD 13 91" xfId="48309"/>
    <cellStyle name="Currency [0,000] TBD- 13 91" xfId="48310"/>
    <cellStyle name="Currency [0,000] TBD 13 92" xfId="48311"/>
    <cellStyle name="Currency [0,000] TBD- 13 92" xfId="48312"/>
    <cellStyle name="Currency [0,000] TBD 13 93" xfId="48313"/>
    <cellStyle name="Currency [0,000] TBD- 13 93" xfId="48314"/>
    <cellStyle name="Currency [0,000] TBD 13 94" xfId="48315"/>
    <cellStyle name="Currency [0,000] TBD- 13 94" xfId="48316"/>
    <cellStyle name="Currency [0,000] TBD 13 95" xfId="48317"/>
    <cellStyle name="Currency [0,000] TBD- 13 95" xfId="48318"/>
    <cellStyle name="Currency [0,000] TBD 13 96" xfId="48319"/>
    <cellStyle name="Currency [0,000] TBD- 13 96" xfId="48320"/>
    <cellStyle name="Currency [0,000] TBD 13 97" xfId="48321"/>
    <cellStyle name="Currency [0,000] TBD- 13 97" xfId="48322"/>
    <cellStyle name="Currency [0,000] TBD 13 98" xfId="48323"/>
    <cellStyle name="Currency [0,000] TBD- 13 98" xfId="48324"/>
    <cellStyle name="Currency [0,000] TBD 13 99" xfId="48325"/>
    <cellStyle name="Currency [0,000] TBD- 13 99" xfId="48326"/>
    <cellStyle name="Currency [0,000] TBD 14" xfId="48327"/>
    <cellStyle name="Currency [0,000] TBD- 14" xfId="48328"/>
    <cellStyle name="Currency [0,000] TBD 14 10" xfId="48329"/>
    <cellStyle name="Currency [0,000] TBD- 14 10" xfId="48330"/>
    <cellStyle name="Currency [0,000] TBD 14 100" xfId="48331"/>
    <cellStyle name="Currency [0,000] TBD- 14 100" xfId="48332"/>
    <cellStyle name="Currency [0,000] TBD 14 101" xfId="48333"/>
    <cellStyle name="Currency [0,000] TBD- 14 101" xfId="48334"/>
    <cellStyle name="Currency [0,000] TBD 14 102" xfId="48335"/>
    <cellStyle name="Currency [0,000] TBD- 14 102" xfId="48336"/>
    <cellStyle name="Currency [0,000] TBD 14 103" xfId="48337"/>
    <cellStyle name="Currency [0,000] TBD- 14 103" xfId="48338"/>
    <cellStyle name="Currency [0,000] TBD 14 104" xfId="48339"/>
    <cellStyle name="Currency [0,000] TBD- 14 104" xfId="48340"/>
    <cellStyle name="Currency [0,000] TBD 14 105" xfId="48341"/>
    <cellStyle name="Currency [0,000] TBD- 14 105" xfId="48342"/>
    <cellStyle name="Currency [0,000] TBD 14 106" xfId="48343"/>
    <cellStyle name="Currency [0,000] TBD- 14 106" xfId="48344"/>
    <cellStyle name="Currency [0,000] TBD 14 107" xfId="48345"/>
    <cellStyle name="Currency [0,000] TBD- 14 107" xfId="48346"/>
    <cellStyle name="Currency [0,000] TBD 14 108" xfId="48347"/>
    <cellStyle name="Currency [0,000] TBD- 14 108" xfId="48348"/>
    <cellStyle name="Currency [0,000] TBD 14 109" xfId="48349"/>
    <cellStyle name="Currency [0,000] TBD- 14 109" xfId="48350"/>
    <cellStyle name="Currency [0,000] TBD 14 11" xfId="48351"/>
    <cellStyle name="Currency [0,000] TBD- 14 11" xfId="48352"/>
    <cellStyle name="Currency [0,000] TBD 14 110" xfId="48353"/>
    <cellStyle name="Currency [0,000] TBD- 14 110" xfId="48354"/>
    <cellStyle name="Currency [0,000] TBD 14 111" xfId="48355"/>
    <cellStyle name="Currency [0,000] TBD- 14 111" xfId="48356"/>
    <cellStyle name="Currency [0,000] TBD 14 112" xfId="48357"/>
    <cellStyle name="Currency [0,000] TBD- 14 112" xfId="48358"/>
    <cellStyle name="Currency [0,000] TBD 14 113" xfId="48359"/>
    <cellStyle name="Currency [0,000] TBD- 14 113" xfId="48360"/>
    <cellStyle name="Currency [0,000] TBD 14 114" xfId="48361"/>
    <cellStyle name="Currency [0,000] TBD- 14 114" xfId="48362"/>
    <cellStyle name="Currency [0,000] TBD 14 115" xfId="48363"/>
    <cellStyle name="Currency [0,000] TBD- 14 115" xfId="48364"/>
    <cellStyle name="Currency [0,000] TBD 14 116" xfId="48365"/>
    <cellStyle name="Currency [0,000] TBD- 14 116" xfId="48366"/>
    <cellStyle name="Currency [0,000] TBD 14 117" xfId="48367"/>
    <cellStyle name="Currency [0,000] TBD- 14 117" xfId="48368"/>
    <cellStyle name="Currency [0,000] TBD 14 118" xfId="48369"/>
    <cellStyle name="Currency [0,000] TBD- 14 118" xfId="48370"/>
    <cellStyle name="Currency [0,000] TBD 14 119" xfId="48371"/>
    <cellStyle name="Currency [0,000] TBD- 14 119" xfId="48372"/>
    <cellStyle name="Currency [0,000] TBD 14 12" xfId="48373"/>
    <cellStyle name="Currency [0,000] TBD- 14 12" xfId="48374"/>
    <cellStyle name="Currency [0,000] TBD 14 120" xfId="48375"/>
    <cellStyle name="Currency [0,000] TBD- 14 120" xfId="48376"/>
    <cellStyle name="Currency [0,000] TBD 14 121" xfId="48377"/>
    <cellStyle name="Currency [0,000] TBD- 14 121" xfId="48378"/>
    <cellStyle name="Currency [0,000] TBD 14 122" xfId="48379"/>
    <cellStyle name="Currency [0,000] TBD- 14 122" xfId="48380"/>
    <cellStyle name="Currency [0,000] TBD 14 123" xfId="48381"/>
    <cellStyle name="Currency [0,000] TBD- 14 123" xfId="48382"/>
    <cellStyle name="Currency [0,000] TBD 14 124" xfId="48383"/>
    <cellStyle name="Currency [0,000] TBD- 14 124" xfId="48384"/>
    <cellStyle name="Currency [0,000] TBD 14 125" xfId="48385"/>
    <cellStyle name="Currency [0,000] TBD- 14 125" xfId="48386"/>
    <cellStyle name="Currency [0,000] TBD 14 126" xfId="48387"/>
    <cellStyle name="Currency [0,000] TBD- 14 126" xfId="48388"/>
    <cellStyle name="Currency [0,000] TBD 14 127" xfId="48389"/>
    <cellStyle name="Currency [0,000] TBD- 14 127" xfId="48390"/>
    <cellStyle name="Currency [0,000] TBD 14 128" xfId="48391"/>
    <cellStyle name="Currency [0,000] TBD- 14 128" xfId="48392"/>
    <cellStyle name="Currency [0,000] TBD 14 129" xfId="48393"/>
    <cellStyle name="Currency [0,000] TBD- 14 129" xfId="48394"/>
    <cellStyle name="Currency [0,000] TBD 14 13" xfId="48395"/>
    <cellStyle name="Currency [0,000] TBD- 14 13" xfId="48396"/>
    <cellStyle name="Currency [0,000] TBD 14 130" xfId="48397"/>
    <cellStyle name="Currency [0,000] TBD- 14 130" xfId="48398"/>
    <cellStyle name="Currency [0,000] TBD 14 131" xfId="48399"/>
    <cellStyle name="Currency [0,000] TBD- 14 131" xfId="48400"/>
    <cellStyle name="Currency [0,000] TBD 14 132" xfId="48401"/>
    <cellStyle name="Currency [0,000] TBD- 14 132" xfId="48402"/>
    <cellStyle name="Currency [0,000] TBD 14 133" xfId="48403"/>
    <cellStyle name="Currency [0,000] TBD- 14 133" xfId="48404"/>
    <cellStyle name="Currency [0,000] TBD 14 134" xfId="48405"/>
    <cellStyle name="Currency [0,000] TBD- 14 134" xfId="48406"/>
    <cellStyle name="Currency [0,000] TBD 14 135" xfId="48407"/>
    <cellStyle name="Currency [0,000] TBD- 14 135" xfId="48408"/>
    <cellStyle name="Currency [0,000] TBD 14 136" xfId="48409"/>
    <cellStyle name="Currency [0,000] TBD- 14 136" xfId="48410"/>
    <cellStyle name="Currency [0,000] TBD 14 137" xfId="48411"/>
    <cellStyle name="Currency [0,000] TBD- 14 137" xfId="48412"/>
    <cellStyle name="Currency [0,000] TBD 14 138" xfId="48413"/>
    <cellStyle name="Currency [0,000] TBD- 14 138" xfId="48414"/>
    <cellStyle name="Currency [0,000] TBD 14 139" xfId="48415"/>
    <cellStyle name="Currency [0,000] TBD- 14 139" xfId="48416"/>
    <cellStyle name="Currency [0,000] TBD 14 14" xfId="48417"/>
    <cellStyle name="Currency [0,000] TBD- 14 14" xfId="48418"/>
    <cellStyle name="Currency [0,000] TBD 14 140" xfId="48419"/>
    <cellStyle name="Currency [0,000] TBD- 14 140" xfId="48420"/>
    <cellStyle name="Currency [0,000] TBD 14 141" xfId="48421"/>
    <cellStyle name="Currency [0,000] TBD- 14 141" xfId="48422"/>
    <cellStyle name="Currency [0,000] TBD 14 142" xfId="48423"/>
    <cellStyle name="Currency [0,000] TBD- 14 142" xfId="48424"/>
    <cellStyle name="Currency [0,000] TBD 14 143" xfId="48425"/>
    <cellStyle name="Currency [0,000] TBD- 14 143" xfId="48426"/>
    <cellStyle name="Currency [0,000] TBD 14 144" xfId="48427"/>
    <cellStyle name="Currency [0,000] TBD- 14 144" xfId="48428"/>
    <cellStyle name="Currency [0,000] TBD 14 145" xfId="48429"/>
    <cellStyle name="Currency [0,000] TBD- 14 145" xfId="48430"/>
    <cellStyle name="Currency [0,000] TBD 14 146" xfId="48431"/>
    <cellStyle name="Currency [0,000] TBD- 14 146" xfId="48432"/>
    <cellStyle name="Currency [0,000] TBD 14 147" xfId="48433"/>
    <cellStyle name="Currency [0,000] TBD- 14 147" xfId="48434"/>
    <cellStyle name="Currency [0,000] TBD 14 148" xfId="48435"/>
    <cellStyle name="Currency [0,000] TBD- 14 148" xfId="48436"/>
    <cellStyle name="Currency [0,000] TBD 14 149" xfId="48437"/>
    <cellStyle name="Currency [0,000] TBD- 14 149" xfId="48438"/>
    <cellStyle name="Currency [0,000] TBD 14 15" xfId="48439"/>
    <cellStyle name="Currency [0,000] TBD- 14 15" xfId="48440"/>
    <cellStyle name="Currency [0,000] TBD 14 150" xfId="48441"/>
    <cellStyle name="Currency [0,000] TBD- 14 150" xfId="48442"/>
    <cellStyle name="Currency [0,000] TBD 14 151" xfId="48443"/>
    <cellStyle name="Currency [0,000] TBD- 14 151" xfId="48444"/>
    <cellStyle name="Currency [0,000] TBD 14 152" xfId="48445"/>
    <cellStyle name="Currency [0,000] TBD- 14 152" xfId="48446"/>
    <cellStyle name="Currency [0,000] TBD 14 153" xfId="48447"/>
    <cellStyle name="Currency [0,000] TBD- 14 153" xfId="48448"/>
    <cellStyle name="Currency [0,000] TBD 14 16" xfId="48449"/>
    <cellStyle name="Currency [0,000] TBD- 14 16" xfId="48450"/>
    <cellStyle name="Currency [0,000] TBD 14 17" xfId="48451"/>
    <cellStyle name="Currency [0,000] TBD- 14 17" xfId="48452"/>
    <cellStyle name="Currency [0,000] TBD 14 18" xfId="48453"/>
    <cellStyle name="Currency [0,000] TBD- 14 18" xfId="48454"/>
    <cellStyle name="Currency [0,000] TBD 14 19" xfId="48455"/>
    <cellStyle name="Currency [0,000] TBD- 14 19" xfId="48456"/>
    <cellStyle name="Currency [0,000] TBD 14 2" xfId="48457"/>
    <cellStyle name="Currency [0,000] TBD- 14 2" xfId="48458"/>
    <cellStyle name="Currency [0,000] TBD 14 20" xfId="48459"/>
    <cellStyle name="Currency [0,000] TBD- 14 20" xfId="48460"/>
    <cellStyle name="Currency [0,000] TBD 14 21" xfId="48461"/>
    <cellStyle name="Currency [0,000] TBD- 14 21" xfId="48462"/>
    <cellStyle name="Currency [0,000] TBD 14 22" xfId="48463"/>
    <cellStyle name="Currency [0,000] TBD- 14 22" xfId="48464"/>
    <cellStyle name="Currency [0,000] TBD 14 23" xfId="48465"/>
    <cellStyle name="Currency [0,000] TBD- 14 23" xfId="48466"/>
    <cellStyle name="Currency [0,000] TBD 14 24" xfId="48467"/>
    <cellStyle name="Currency [0,000] TBD- 14 24" xfId="48468"/>
    <cellStyle name="Currency [0,000] TBD 14 25" xfId="48469"/>
    <cellStyle name="Currency [0,000] TBD- 14 25" xfId="48470"/>
    <cellStyle name="Currency [0,000] TBD 14 26" xfId="48471"/>
    <cellStyle name="Currency [0,000] TBD- 14 26" xfId="48472"/>
    <cellStyle name="Currency [0,000] TBD 14 27" xfId="48473"/>
    <cellStyle name="Currency [0,000] TBD- 14 27" xfId="48474"/>
    <cellStyle name="Currency [0,000] TBD 14 28" xfId="48475"/>
    <cellStyle name="Currency [0,000] TBD- 14 28" xfId="48476"/>
    <cellStyle name="Currency [0,000] TBD 14 29" xfId="48477"/>
    <cellStyle name="Currency [0,000] TBD- 14 29" xfId="48478"/>
    <cellStyle name="Currency [0,000] TBD 14 3" xfId="48479"/>
    <cellStyle name="Currency [0,000] TBD- 14 3" xfId="48480"/>
    <cellStyle name="Currency [0,000] TBD 14 30" xfId="48481"/>
    <cellStyle name="Currency [0,000] TBD- 14 30" xfId="48482"/>
    <cellStyle name="Currency [0,000] TBD 14 31" xfId="48483"/>
    <cellStyle name="Currency [0,000] TBD- 14 31" xfId="48484"/>
    <cellStyle name="Currency [0,000] TBD 14 32" xfId="48485"/>
    <cellStyle name="Currency [0,000] TBD- 14 32" xfId="48486"/>
    <cellStyle name="Currency [0,000] TBD 14 33" xfId="48487"/>
    <cellStyle name="Currency [0,000] TBD- 14 33" xfId="48488"/>
    <cellStyle name="Currency [0,000] TBD 14 34" xfId="48489"/>
    <cellStyle name="Currency [0,000] TBD- 14 34" xfId="48490"/>
    <cellStyle name="Currency [0,000] TBD 14 35" xfId="48491"/>
    <cellStyle name="Currency [0,000] TBD- 14 35" xfId="48492"/>
    <cellStyle name="Currency [0,000] TBD 14 36" xfId="48493"/>
    <cellStyle name="Currency [0,000] TBD- 14 36" xfId="48494"/>
    <cellStyle name="Currency [0,000] TBD 14 37" xfId="48495"/>
    <cellStyle name="Currency [0,000] TBD- 14 37" xfId="48496"/>
    <cellStyle name="Currency [0,000] TBD 14 38" xfId="48497"/>
    <cellStyle name="Currency [0,000] TBD- 14 38" xfId="48498"/>
    <cellStyle name="Currency [0,000] TBD 14 39" xfId="48499"/>
    <cellStyle name="Currency [0,000] TBD- 14 39" xfId="48500"/>
    <cellStyle name="Currency [0,000] TBD 14 4" xfId="48501"/>
    <cellStyle name="Currency [0,000] TBD- 14 4" xfId="48502"/>
    <cellStyle name="Currency [0,000] TBD 14 40" xfId="48503"/>
    <cellStyle name="Currency [0,000] TBD- 14 40" xfId="48504"/>
    <cellStyle name="Currency [0,000] TBD 14 41" xfId="48505"/>
    <cellStyle name="Currency [0,000] TBD- 14 41" xfId="48506"/>
    <cellStyle name="Currency [0,000] TBD 14 42" xfId="48507"/>
    <cellStyle name="Currency [0,000] TBD- 14 42" xfId="48508"/>
    <cellStyle name="Currency [0,000] TBD 14 43" xfId="48509"/>
    <cellStyle name="Currency [0,000] TBD- 14 43" xfId="48510"/>
    <cellStyle name="Currency [0,000] TBD 14 44" xfId="48511"/>
    <cellStyle name="Currency [0,000] TBD- 14 44" xfId="48512"/>
    <cellStyle name="Currency [0,000] TBD 14 45" xfId="48513"/>
    <cellStyle name="Currency [0,000] TBD- 14 45" xfId="48514"/>
    <cellStyle name="Currency [0,000] TBD 14 46" xfId="48515"/>
    <cellStyle name="Currency [0,000] TBD- 14 46" xfId="48516"/>
    <cellStyle name="Currency [0,000] TBD 14 47" xfId="48517"/>
    <cellStyle name="Currency [0,000] TBD- 14 47" xfId="48518"/>
    <cellStyle name="Currency [0,000] TBD 14 48" xfId="48519"/>
    <cellStyle name="Currency [0,000] TBD- 14 48" xfId="48520"/>
    <cellStyle name="Currency [0,000] TBD 14 49" xfId="48521"/>
    <cellStyle name="Currency [0,000] TBD- 14 49" xfId="48522"/>
    <cellStyle name="Currency [0,000] TBD 14 5" xfId="48523"/>
    <cellStyle name="Currency [0,000] TBD- 14 5" xfId="48524"/>
    <cellStyle name="Currency [0,000] TBD 14 50" xfId="48525"/>
    <cellStyle name="Currency [0,000] TBD- 14 50" xfId="48526"/>
    <cellStyle name="Currency [0,000] TBD 14 51" xfId="48527"/>
    <cellStyle name="Currency [0,000] TBD- 14 51" xfId="48528"/>
    <cellStyle name="Currency [0,000] TBD 14 52" xfId="48529"/>
    <cellStyle name="Currency [0,000] TBD- 14 52" xfId="48530"/>
    <cellStyle name="Currency [0,000] TBD 14 53" xfId="48531"/>
    <cellStyle name="Currency [0,000] TBD- 14 53" xfId="48532"/>
    <cellStyle name="Currency [0,000] TBD 14 54" xfId="48533"/>
    <cellStyle name="Currency [0,000] TBD- 14 54" xfId="48534"/>
    <cellStyle name="Currency [0,000] TBD 14 55" xfId="48535"/>
    <cellStyle name="Currency [0,000] TBD- 14 55" xfId="48536"/>
    <cellStyle name="Currency [0,000] TBD 14 56" xfId="48537"/>
    <cellStyle name="Currency [0,000] TBD- 14 56" xfId="48538"/>
    <cellStyle name="Currency [0,000] TBD 14 57" xfId="48539"/>
    <cellStyle name="Currency [0,000] TBD- 14 57" xfId="48540"/>
    <cellStyle name="Currency [0,000] TBD 14 58" xfId="48541"/>
    <cellStyle name="Currency [0,000] TBD- 14 58" xfId="48542"/>
    <cellStyle name="Currency [0,000] TBD 14 59" xfId="48543"/>
    <cellStyle name="Currency [0,000] TBD- 14 59" xfId="48544"/>
    <cellStyle name="Currency [0,000] TBD 14 6" xfId="48545"/>
    <cellStyle name="Currency [0,000] TBD- 14 6" xfId="48546"/>
    <cellStyle name="Currency [0,000] TBD 14 60" xfId="48547"/>
    <cellStyle name="Currency [0,000] TBD- 14 60" xfId="48548"/>
    <cellStyle name="Currency [0,000] TBD 14 61" xfId="48549"/>
    <cellStyle name="Currency [0,000] TBD- 14 61" xfId="48550"/>
    <cellStyle name="Currency [0,000] TBD 14 62" xfId="48551"/>
    <cellStyle name="Currency [0,000] TBD- 14 62" xfId="48552"/>
    <cellStyle name="Currency [0,000] TBD 14 63" xfId="48553"/>
    <cellStyle name="Currency [0,000] TBD- 14 63" xfId="48554"/>
    <cellStyle name="Currency [0,000] TBD 14 64" xfId="48555"/>
    <cellStyle name="Currency [0,000] TBD- 14 64" xfId="48556"/>
    <cellStyle name="Currency [0,000] TBD 14 65" xfId="48557"/>
    <cellStyle name="Currency [0,000] TBD- 14 65" xfId="48558"/>
    <cellStyle name="Currency [0,000] TBD 14 66" xfId="48559"/>
    <cellStyle name="Currency [0,000] TBD- 14 66" xfId="48560"/>
    <cellStyle name="Currency [0,000] TBD 14 67" xfId="48561"/>
    <cellStyle name="Currency [0,000] TBD- 14 67" xfId="48562"/>
    <cellStyle name="Currency [0,000] TBD 14 68" xfId="48563"/>
    <cellStyle name="Currency [0,000] TBD- 14 68" xfId="48564"/>
    <cellStyle name="Currency [0,000] TBD 14 69" xfId="48565"/>
    <cellStyle name="Currency [0,000] TBD- 14 69" xfId="48566"/>
    <cellStyle name="Currency [0,000] TBD 14 7" xfId="48567"/>
    <cellStyle name="Currency [0,000] TBD- 14 7" xfId="48568"/>
    <cellStyle name="Currency [0,000] TBD 14 70" xfId="48569"/>
    <cellStyle name="Currency [0,000] TBD- 14 70" xfId="48570"/>
    <cellStyle name="Currency [0,000] TBD 14 71" xfId="48571"/>
    <cellStyle name="Currency [0,000] TBD- 14 71" xfId="48572"/>
    <cellStyle name="Currency [0,000] TBD 14 72" xfId="48573"/>
    <cellStyle name="Currency [0,000] TBD- 14 72" xfId="48574"/>
    <cellStyle name="Currency [0,000] TBD 14 73" xfId="48575"/>
    <cellStyle name="Currency [0,000] TBD- 14 73" xfId="48576"/>
    <cellStyle name="Currency [0,000] TBD 14 74" xfId="48577"/>
    <cellStyle name="Currency [0,000] TBD- 14 74" xfId="48578"/>
    <cellStyle name="Currency [0,000] TBD 14 75" xfId="48579"/>
    <cellStyle name="Currency [0,000] TBD- 14 75" xfId="48580"/>
    <cellStyle name="Currency [0,000] TBD 14 76" xfId="48581"/>
    <cellStyle name="Currency [0,000] TBD- 14 76" xfId="48582"/>
    <cellStyle name="Currency [0,000] TBD 14 77" xfId="48583"/>
    <cellStyle name="Currency [0,000] TBD- 14 77" xfId="48584"/>
    <cellStyle name="Currency [0,000] TBD 14 78" xfId="48585"/>
    <cellStyle name="Currency [0,000] TBD- 14 78" xfId="48586"/>
    <cellStyle name="Currency [0,000] TBD 14 79" xfId="48587"/>
    <cellStyle name="Currency [0,000] TBD- 14 79" xfId="48588"/>
    <cellStyle name="Currency [0,000] TBD 14 8" xfId="48589"/>
    <cellStyle name="Currency [0,000] TBD- 14 8" xfId="48590"/>
    <cellStyle name="Currency [0,000] TBD 14 80" xfId="48591"/>
    <cellStyle name="Currency [0,000] TBD- 14 80" xfId="48592"/>
    <cellStyle name="Currency [0,000] TBD 14 81" xfId="48593"/>
    <cellStyle name="Currency [0,000] TBD- 14 81" xfId="48594"/>
    <cellStyle name="Currency [0,000] TBD 14 82" xfId="48595"/>
    <cellStyle name="Currency [0,000] TBD- 14 82" xfId="48596"/>
    <cellStyle name="Currency [0,000] TBD 14 83" xfId="48597"/>
    <cellStyle name="Currency [0,000] TBD- 14 83" xfId="48598"/>
    <cellStyle name="Currency [0,000] TBD 14 84" xfId="48599"/>
    <cellStyle name="Currency [0,000] TBD- 14 84" xfId="48600"/>
    <cellStyle name="Currency [0,000] TBD 14 85" xfId="48601"/>
    <cellStyle name="Currency [0,000] TBD- 14 85" xfId="48602"/>
    <cellStyle name="Currency [0,000] TBD 14 86" xfId="48603"/>
    <cellStyle name="Currency [0,000] TBD- 14 86" xfId="48604"/>
    <cellStyle name="Currency [0,000] TBD 14 87" xfId="48605"/>
    <cellStyle name="Currency [0,000] TBD- 14 87" xfId="48606"/>
    <cellStyle name="Currency [0,000] TBD 14 88" xfId="48607"/>
    <cellStyle name="Currency [0,000] TBD- 14 88" xfId="48608"/>
    <cellStyle name="Currency [0,000] TBD 14 89" xfId="48609"/>
    <cellStyle name="Currency [0,000] TBD- 14 89" xfId="48610"/>
    <cellStyle name="Currency [0,000] TBD 14 9" xfId="48611"/>
    <cellStyle name="Currency [0,000] TBD- 14 9" xfId="48612"/>
    <cellStyle name="Currency [0,000] TBD 14 90" xfId="48613"/>
    <cellStyle name="Currency [0,000] TBD- 14 90" xfId="48614"/>
    <cellStyle name="Currency [0,000] TBD 14 91" xfId="48615"/>
    <cellStyle name="Currency [0,000] TBD- 14 91" xfId="48616"/>
    <cellStyle name="Currency [0,000] TBD 14 92" xfId="48617"/>
    <cellStyle name="Currency [0,000] TBD- 14 92" xfId="48618"/>
    <cellStyle name="Currency [0,000] TBD 14 93" xfId="48619"/>
    <cellStyle name="Currency [0,000] TBD- 14 93" xfId="48620"/>
    <cellStyle name="Currency [0,000] TBD 14 94" xfId="48621"/>
    <cellStyle name="Currency [0,000] TBD- 14 94" xfId="48622"/>
    <cellStyle name="Currency [0,000] TBD 14 95" xfId="48623"/>
    <cellStyle name="Currency [0,000] TBD- 14 95" xfId="48624"/>
    <cellStyle name="Currency [0,000] TBD 14 96" xfId="48625"/>
    <cellStyle name="Currency [0,000] TBD- 14 96" xfId="48626"/>
    <cellStyle name="Currency [0,000] TBD 14 97" xfId="48627"/>
    <cellStyle name="Currency [0,000] TBD- 14 97" xfId="48628"/>
    <cellStyle name="Currency [0,000] TBD 14 98" xfId="48629"/>
    <cellStyle name="Currency [0,000] TBD- 14 98" xfId="48630"/>
    <cellStyle name="Currency [0,000] TBD 14 99" xfId="48631"/>
    <cellStyle name="Currency [0,000] TBD- 14 99" xfId="48632"/>
    <cellStyle name="Currency [0,000] TBD 15" xfId="48633"/>
    <cellStyle name="Currency [0,000] TBD- 15" xfId="48634"/>
    <cellStyle name="Currency [0,000] TBD 2" xfId="48635"/>
    <cellStyle name="Currency [0,000] TBD- 2" xfId="48636"/>
    <cellStyle name="Currency [0,000] TBD 2 10" xfId="48637"/>
    <cellStyle name="Currency [0,000] TBD- 2 10" xfId="48638"/>
    <cellStyle name="Currency [0,000] TBD 2 100" xfId="48639"/>
    <cellStyle name="Currency [0,000] TBD- 2 100" xfId="48640"/>
    <cellStyle name="Currency [0,000] TBD 2 101" xfId="48641"/>
    <cellStyle name="Currency [0,000] TBD- 2 101" xfId="48642"/>
    <cellStyle name="Currency [0,000] TBD 2 102" xfId="48643"/>
    <cellStyle name="Currency [0,000] TBD- 2 102" xfId="48644"/>
    <cellStyle name="Currency [0,000] TBD 2 103" xfId="48645"/>
    <cellStyle name="Currency [0,000] TBD- 2 103" xfId="48646"/>
    <cellStyle name="Currency [0,000] TBD 2 104" xfId="48647"/>
    <cellStyle name="Currency [0,000] TBD- 2 104" xfId="48648"/>
    <cellStyle name="Currency [0,000] TBD 2 105" xfId="48649"/>
    <cellStyle name="Currency [0,000] TBD- 2 105" xfId="48650"/>
    <cellStyle name="Currency [0,000] TBD 2 106" xfId="48651"/>
    <cellStyle name="Currency [0,000] TBD- 2 106" xfId="48652"/>
    <cellStyle name="Currency [0,000] TBD 2 107" xfId="48653"/>
    <cellStyle name="Currency [0,000] TBD- 2 107" xfId="48654"/>
    <cellStyle name="Currency [0,000] TBD 2 108" xfId="48655"/>
    <cellStyle name="Currency [0,000] TBD- 2 108" xfId="48656"/>
    <cellStyle name="Currency [0,000] TBD 2 109" xfId="48657"/>
    <cellStyle name="Currency [0,000] TBD- 2 109" xfId="48658"/>
    <cellStyle name="Currency [0,000] TBD 2 11" xfId="48659"/>
    <cellStyle name="Currency [0,000] TBD- 2 11" xfId="48660"/>
    <cellStyle name="Currency [0,000] TBD 2 110" xfId="48661"/>
    <cellStyle name="Currency [0,000] TBD- 2 110" xfId="48662"/>
    <cellStyle name="Currency [0,000] TBD 2 111" xfId="48663"/>
    <cellStyle name="Currency [0,000] TBD- 2 111" xfId="48664"/>
    <cellStyle name="Currency [0,000] TBD 2 112" xfId="48665"/>
    <cellStyle name="Currency [0,000] TBD- 2 112" xfId="48666"/>
    <cellStyle name="Currency [0,000] TBD 2 113" xfId="48667"/>
    <cellStyle name="Currency [0,000] TBD- 2 113" xfId="48668"/>
    <cellStyle name="Currency [0,000] TBD 2 114" xfId="48669"/>
    <cellStyle name="Currency [0,000] TBD- 2 114" xfId="48670"/>
    <cellStyle name="Currency [0,000] TBD 2 115" xfId="48671"/>
    <cellStyle name="Currency [0,000] TBD- 2 115" xfId="48672"/>
    <cellStyle name="Currency [0,000] TBD 2 116" xfId="48673"/>
    <cellStyle name="Currency [0,000] TBD- 2 116" xfId="48674"/>
    <cellStyle name="Currency [0,000] TBD 2 117" xfId="48675"/>
    <cellStyle name="Currency [0,000] TBD- 2 117" xfId="48676"/>
    <cellStyle name="Currency [0,000] TBD 2 118" xfId="48677"/>
    <cellStyle name="Currency [0,000] TBD- 2 118" xfId="48678"/>
    <cellStyle name="Currency [0,000] TBD 2 119" xfId="48679"/>
    <cellStyle name="Currency [0,000] TBD- 2 119" xfId="48680"/>
    <cellStyle name="Currency [0,000] TBD 2 12" xfId="48681"/>
    <cellStyle name="Currency [0,000] TBD- 2 12" xfId="48682"/>
    <cellStyle name="Currency [0,000] TBD 2 120" xfId="48683"/>
    <cellStyle name="Currency [0,000] TBD- 2 120" xfId="48684"/>
    <cellStyle name="Currency [0,000] TBD 2 121" xfId="48685"/>
    <cellStyle name="Currency [0,000] TBD- 2 121" xfId="48686"/>
    <cellStyle name="Currency [0,000] TBD 2 122" xfId="48687"/>
    <cellStyle name="Currency [0,000] TBD- 2 122" xfId="48688"/>
    <cellStyle name="Currency [0,000] TBD 2 123" xfId="48689"/>
    <cellStyle name="Currency [0,000] TBD- 2 123" xfId="48690"/>
    <cellStyle name="Currency [0,000] TBD 2 124" xfId="48691"/>
    <cellStyle name="Currency [0,000] TBD- 2 124" xfId="48692"/>
    <cellStyle name="Currency [0,000] TBD 2 125" xfId="48693"/>
    <cellStyle name="Currency [0,000] TBD- 2 125" xfId="48694"/>
    <cellStyle name="Currency [0,000] TBD 2 126" xfId="48695"/>
    <cellStyle name="Currency [0,000] TBD- 2 126" xfId="48696"/>
    <cellStyle name="Currency [0,000] TBD 2 127" xfId="48697"/>
    <cellStyle name="Currency [0,000] TBD- 2 127" xfId="48698"/>
    <cellStyle name="Currency [0,000] TBD 2 128" xfId="48699"/>
    <cellStyle name="Currency [0,000] TBD- 2 128" xfId="48700"/>
    <cellStyle name="Currency [0,000] TBD 2 129" xfId="48701"/>
    <cellStyle name="Currency [0,000] TBD- 2 129" xfId="48702"/>
    <cellStyle name="Currency [0,000] TBD 2 13" xfId="48703"/>
    <cellStyle name="Currency [0,000] TBD- 2 13" xfId="48704"/>
    <cellStyle name="Currency [0,000] TBD 2 130" xfId="48705"/>
    <cellStyle name="Currency [0,000] TBD- 2 130" xfId="48706"/>
    <cellStyle name="Currency [0,000] TBD 2 131" xfId="48707"/>
    <cellStyle name="Currency [0,000] TBD- 2 131" xfId="48708"/>
    <cellStyle name="Currency [0,000] TBD 2 132" xfId="48709"/>
    <cellStyle name="Currency [0,000] TBD- 2 132" xfId="48710"/>
    <cellStyle name="Currency [0,000] TBD 2 133" xfId="48711"/>
    <cellStyle name="Currency [0,000] TBD- 2 133" xfId="48712"/>
    <cellStyle name="Currency [0,000] TBD 2 134" xfId="48713"/>
    <cellStyle name="Currency [0,000] TBD- 2 134" xfId="48714"/>
    <cellStyle name="Currency [0,000] TBD 2 135" xfId="48715"/>
    <cellStyle name="Currency [0,000] TBD- 2 135" xfId="48716"/>
    <cellStyle name="Currency [0,000] TBD 2 136" xfId="48717"/>
    <cellStyle name="Currency [0,000] TBD- 2 136" xfId="48718"/>
    <cellStyle name="Currency [0,000] TBD 2 137" xfId="48719"/>
    <cellStyle name="Currency [0,000] TBD- 2 137" xfId="48720"/>
    <cellStyle name="Currency [0,000] TBD 2 138" xfId="48721"/>
    <cellStyle name="Currency [0,000] TBD- 2 138" xfId="48722"/>
    <cellStyle name="Currency [0,000] TBD 2 139" xfId="48723"/>
    <cellStyle name="Currency [0,000] TBD- 2 139" xfId="48724"/>
    <cellStyle name="Currency [0,000] TBD 2 14" xfId="48725"/>
    <cellStyle name="Currency [0,000] TBD- 2 14" xfId="48726"/>
    <cellStyle name="Currency [0,000] TBD 2 140" xfId="48727"/>
    <cellStyle name="Currency [0,000] TBD- 2 140" xfId="48728"/>
    <cellStyle name="Currency [0,000] TBD 2 141" xfId="48729"/>
    <cellStyle name="Currency [0,000] TBD- 2 141" xfId="48730"/>
    <cellStyle name="Currency [0,000] TBD 2 142" xfId="48731"/>
    <cellStyle name="Currency [0,000] TBD- 2 142" xfId="48732"/>
    <cellStyle name="Currency [0,000] TBD 2 143" xfId="48733"/>
    <cellStyle name="Currency [0,000] TBD- 2 143" xfId="48734"/>
    <cellStyle name="Currency [0,000] TBD 2 144" xfId="48735"/>
    <cellStyle name="Currency [0,000] TBD- 2 144" xfId="48736"/>
    <cellStyle name="Currency [0,000] TBD 2 145" xfId="48737"/>
    <cellStyle name="Currency [0,000] TBD- 2 145" xfId="48738"/>
    <cellStyle name="Currency [0,000] TBD 2 146" xfId="48739"/>
    <cellStyle name="Currency [0,000] TBD- 2 146" xfId="48740"/>
    <cellStyle name="Currency [0,000] TBD 2 147" xfId="48741"/>
    <cellStyle name="Currency [0,000] TBD- 2 147" xfId="48742"/>
    <cellStyle name="Currency [0,000] TBD 2 148" xfId="48743"/>
    <cellStyle name="Currency [0,000] TBD- 2 148" xfId="48744"/>
    <cellStyle name="Currency [0,000] TBD 2 149" xfId="48745"/>
    <cellStyle name="Currency [0,000] TBD- 2 149" xfId="48746"/>
    <cellStyle name="Currency [0,000] TBD 2 15" xfId="48747"/>
    <cellStyle name="Currency [0,000] TBD- 2 15" xfId="48748"/>
    <cellStyle name="Currency [0,000] TBD 2 150" xfId="48749"/>
    <cellStyle name="Currency [0,000] TBD- 2 150" xfId="48750"/>
    <cellStyle name="Currency [0,000] TBD 2 151" xfId="48751"/>
    <cellStyle name="Currency [0,000] TBD- 2 151" xfId="48752"/>
    <cellStyle name="Currency [0,000] TBD 2 152" xfId="48753"/>
    <cellStyle name="Currency [0,000] TBD- 2 152" xfId="48754"/>
    <cellStyle name="Currency [0,000] TBD 2 153" xfId="48755"/>
    <cellStyle name="Currency [0,000] TBD- 2 153" xfId="48756"/>
    <cellStyle name="Currency [0,000] TBD 2 154" xfId="48757"/>
    <cellStyle name="Currency [0,000] TBD- 2 154" xfId="48758"/>
    <cellStyle name="Currency [0,000] TBD 2 16" xfId="48759"/>
    <cellStyle name="Currency [0,000] TBD- 2 16" xfId="48760"/>
    <cellStyle name="Currency [0,000] TBD 2 17" xfId="48761"/>
    <cellStyle name="Currency [0,000] TBD- 2 17" xfId="48762"/>
    <cellStyle name="Currency [0,000] TBD 2 18" xfId="48763"/>
    <cellStyle name="Currency [0,000] TBD- 2 18" xfId="48764"/>
    <cellStyle name="Currency [0,000] TBD 2 19" xfId="48765"/>
    <cellStyle name="Currency [0,000] TBD- 2 19" xfId="48766"/>
    <cellStyle name="Currency [0,000] TBD 2 2" xfId="48767"/>
    <cellStyle name="Currency [0,000] TBD- 2 2" xfId="48768"/>
    <cellStyle name="Currency [0,000] TBD 2 2 2" xfId="48769"/>
    <cellStyle name="Currency [0,000] TBD- 2 2 2" xfId="48770"/>
    <cellStyle name="Currency [0,000] TBD 2 20" xfId="48771"/>
    <cellStyle name="Currency [0,000] TBD- 2 20" xfId="48772"/>
    <cellStyle name="Currency [0,000] TBD 2 21" xfId="48773"/>
    <cellStyle name="Currency [0,000] TBD- 2 21" xfId="48774"/>
    <cellStyle name="Currency [0,000] TBD 2 22" xfId="48775"/>
    <cellStyle name="Currency [0,000] TBD- 2 22" xfId="48776"/>
    <cellStyle name="Currency [0,000] TBD 2 23" xfId="48777"/>
    <cellStyle name="Currency [0,000] TBD- 2 23" xfId="48778"/>
    <cellStyle name="Currency [0,000] TBD 2 24" xfId="48779"/>
    <cellStyle name="Currency [0,000] TBD- 2 24" xfId="48780"/>
    <cellStyle name="Currency [0,000] TBD 2 25" xfId="48781"/>
    <cellStyle name="Currency [0,000] TBD- 2 25" xfId="48782"/>
    <cellStyle name="Currency [0,000] TBD 2 26" xfId="48783"/>
    <cellStyle name="Currency [0,000] TBD- 2 26" xfId="48784"/>
    <cellStyle name="Currency [0,000] TBD 2 27" xfId="48785"/>
    <cellStyle name="Currency [0,000] TBD- 2 27" xfId="48786"/>
    <cellStyle name="Currency [0,000] TBD 2 28" xfId="48787"/>
    <cellStyle name="Currency [0,000] TBD- 2 28" xfId="48788"/>
    <cellStyle name="Currency [0,000] TBD 2 29" xfId="48789"/>
    <cellStyle name="Currency [0,000] TBD- 2 29" xfId="48790"/>
    <cellStyle name="Currency [0,000] TBD 2 3" xfId="48791"/>
    <cellStyle name="Currency [0,000] TBD- 2 3" xfId="48792"/>
    <cellStyle name="Currency [0,000] TBD 2 30" xfId="48793"/>
    <cellStyle name="Currency [0,000] TBD- 2 30" xfId="48794"/>
    <cellStyle name="Currency [0,000] TBD 2 31" xfId="48795"/>
    <cellStyle name="Currency [0,000] TBD- 2 31" xfId="48796"/>
    <cellStyle name="Currency [0,000] TBD 2 32" xfId="48797"/>
    <cellStyle name="Currency [0,000] TBD- 2 32" xfId="48798"/>
    <cellStyle name="Currency [0,000] TBD 2 33" xfId="48799"/>
    <cellStyle name="Currency [0,000] TBD- 2 33" xfId="48800"/>
    <cellStyle name="Currency [0,000] TBD 2 34" xfId="48801"/>
    <cellStyle name="Currency [0,000] TBD- 2 34" xfId="48802"/>
    <cellStyle name="Currency [0,000] TBD 2 35" xfId="48803"/>
    <cellStyle name="Currency [0,000] TBD- 2 35" xfId="48804"/>
    <cellStyle name="Currency [0,000] TBD 2 36" xfId="48805"/>
    <cellStyle name="Currency [0,000] TBD- 2 36" xfId="48806"/>
    <cellStyle name="Currency [0,000] TBD 2 37" xfId="48807"/>
    <cellStyle name="Currency [0,000] TBD- 2 37" xfId="48808"/>
    <cellStyle name="Currency [0,000] TBD 2 38" xfId="48809"/>
    <cellStyle name="Currency [0,000] TBD- 2 38" xfId="48810"/>
    <cellStyle name="Currency [0,000] TBD 2 39" xfId="48811"/>
    <cellStyle name="Currency [0,000] TBD- 2 39" xfId="48812"/>
    <cellStyle name="Currency [0,000] TBD 2 4" xfId="48813"/>
    <cellStyle name="Currency [0,000] TBD- 2 4" xfId="48814"/>
    <cellStyle name="Currency [0,000] TBD 2 40" xfId="48815"/>
    <cellStyle name="Currency [0,000] TBD- 2 40" xfId="48816"/>
    <cellStyle name="Currency [0,000] TBD 2 41" xfId="48817"/>
    <cellStyle name="Currency [0,000] TBD- 2 41" xfId="48818"/>
    <cellStyle name="Currency [0,000] TBD 2 42" xfId="48819"/>
    <cellStyle name="Currency [0,000] TBD- 2 42" xfId="48820"/>
    <cellStyle name="Currency [0,000] TBD 2 43" xfId="48821"/>
    <cellStyle name="Currency [0,000] TBD- 2 43" xfId="48822"/>
    <cellStyle name="Currency [0,000] TBD 2 44" xfId="48823"/>
    <cellStyle name="Currency [0,000] TBD- 2 44" xfId="48824"/>
    <cellStyle name="Currency [0,000] TBD 2 45" xfId="48825"/>
    <cellStyle name="Currency [0,000] TBD- 2 45" xfId="48826"/>
    <cellStyle name="Currency [0,000] TBD 2 46" xfId="48827"/>
    <cellStyle name="Currency [0,000] TBD- 2 46" xfId="48828"/>
    <cellStyle name="Currency [0,000] TBD 2 47" xfId="48829"/>
    <cellStyle name="Currency [0,000] TBD- 2 47" xfId="48830"/>
    <cellStyle name="Currency [0,000] TBD 2 48" xfId="48831"/>
    <cellStyle name="Currency [0,000] TBD- 2 48" xfId="48832"/>
    <cellStyle name="Currency [0,000] TBD 2 49" xfId="48833"/>
    <cellStyle name="Currency [0,000] TBD- 2 49" xfId="48834"/>
    <cellStyle name="Currency [0,000] TBD 2 5" xfId="48835"/>
    <cellStyle name="Currency [0,000] TBD- 2 5" xfId="48836"/>
    <cellStyle name="Currency [0,000] TBD 2 50" xfId="48837"/>
    <cellStyle name="Currency [0,000] TBD- 2 50" xfId="48838"/>
    <cellStyle name="Currency [0,000] TBD 2 51" xfId="48839"/>
    <cellStyle name="Currency [0,000] TBD- 2 51" xfId="48840"/>
    <cellStyle name="Currency [0,000] TBD 2 52" xfId="48841"/>
    <cellStyle name="Currency [0,000] TBD- 2 52" xfId="48842"/>
    <cellStyle name="Currency [0,000] TBD 2 53" xfId="48843"/>
    <cellStyle name="Currency [0,000] TBD- 2 53" xfId="48844"/>
    <cellStyle name="Currency [0,000] TBD 2 54" xfId="48845"/>
    <cellStyle name="Currency [0,000] TBD- 2 54" xfId="48846"/>
    <cellStyle name="Currency [0,000] TBD 2 55" xfId="48847"/>
    <cellStyle name="Currency [0,000] TBD- 2 55" xfId="48848"/>
    <cellStyle name="Currency [0,000] TBD 2 56" xfId="48849"/>
    <cellStyle name="Currency [0,000] TBD- 2 56" xfId="48850"/>
    <cellStyle name="Currency [0,000] TBD 2 57" xfId="48851"/>
    <cellStyle name="Currency [0,000] TBD- 2 57" xfId="48852"/>
    <cellStyle name="Currency [0,000] TBD 2 58" xfId="48853"/>
    <cellStyle name="Currency [0,000] TBD- 2 58" xfId="48854"/>
    <cellStyle name="Currency [0,000] TBD 2 59" xfId="48855"/>
    <cellStyle name="Currency [0,000] TBD- 2 59" xfId="48856"/>
    <cellStyle name="Currency [0,000] TBD 2 6" xfId="48857"/>
    <cellStyle name="Currency [0,000] TBD- 2 6" xfId="48858"/>
    <cellStyle name="Currency [0,000] TBD 2 60" xfId="48859"/>
    <cellStyle name="Currency [0,000] TBD- 2 60" xfId="48860"/>
    <cellStyle name="Currency [0,000] TBD 2 61" xfId="48861"/>
    <cellStyle name="Currency [0,000] TBD- 2 61" xfId="48862"/>
    <cellStyle name="Currency [0,000] TBD 2 62" xfId="48863"/>
    <cellStyle name="Currency [0,000] TBD- 2 62" xfId="48864"/>
    <cellStyle name="Currency [0,000] TBD 2 63" xfId="48865"/>
    <cellStyle name="Currency [0,000] TBD- 2 63" xfId="48866"/>
    <cellStyle name="Currency [0,000] TBD 2 64" xfId="48867"/>
    <cellStyle name="Currency [0,000] TBD- 2 64" xfId="48868"/>
    <cellStyle name="Currency [0,000] TBD 2 65" xfId="48869"/>
    <cellStyle name="Currency [0,000] TBD- 2 65" xfId="48870"/>
    <cellStyle name="Currency [0,000] TBD 2 66" xfId="48871"/>
    <cellStyle name="Currency [0,000] TBD- 2 66" xfId="48872"/>
    <cellStyle name="Currency [0,000] TBD 2 67" xfId="48873"/>
    <cellStyle name="Currency [0,000] TBD- 2 67" xfId="48874"/>
    <cellStyle name="Currency [0,000] TBD 2 68" xfId="48875"/>
    <cellStyle name="Currency [0,000] TBD- 2 68" xfId="48876"/>
    <cellStyle name="Currency [0,000] TBD 2 69" xfId="48877"/>
    <cellStyle name="Currency [0,000] TBD- 2 69" xfId="48878"/>
    <cellStyle name="Currency [0,000] TBD 2 7" xfId="48879"/>
    <cellStyle name="Currency [0,000] TBD- 2 7" xfId="48880"/>
    <cellStyle name="Currency [0,000] TBD 2 70" xfId="48881"/>
    <cellStyle name="Currency [0,000] TBD- 2 70" xfId="48882"/>
    <cellStyle name="Currency [0,000] TBD 2 71" xfId="48883"/>
    <cellStyle name="Currency [0,000] TBD- 2 71" xfId="48884"/>
    <cellStyle name="Currency [0,000] TBD 2 72" xfId="48885"/>
    <cellStyle name="Currency [0,000] TBD- 2 72" xfId="48886"/>
    <cellStyle name="Currency [0,000] TBD 2 73" xfId="48887"/>
    <cellStyle name="Currency [0,000] TBD- 2 73" xfId="48888"/>
    <cellStyle name="Currency [0,000] TBD 2 74" xfId="48889"/>
    <cellStyle name="Currency [0,000] TBD- 2 74" xfId="48890"/>
    <cellStyle name="Currency [0,000] TBD 2 75" xfId="48891"/>
    <cellStyle name="Currency [0,000] TBD- 2 75" xfId="48892"/>
    <cellStyle name="Currency [0,000] TBD 2 76" xfId="48893"/>
    <cellStyle name="Currency [0,000] TBD- 2 76" xfId="48894"/>
    <cellStyle name="Currency [0,000] TBD 2 77" xfId="48895"/>
    <cellStyle name="Currency [0,000] TBD- 2 77" xfId="48896"/>
    <cellStyle name="Currency [0,000] TBD 2 78" xfId="48897"/>
    <cellStyle name="Currency [0,000] TBD- 2 78" xfId="48898"/>
    <cellStyle name="Currency [0,000] TBD 2 79" xfId="48899"/>
    <cellStyle name="Currency [0,000] TBD- 2 79" xfId="48900"/>
    <cellStyle name="Currency [0,000] TBD 2 8" xfId="48901"/>
    <cellStyle name="Currency [0,000] TBD- 2 8" xfId="48902"/>
    <cellStyle name="Currency [0,000] TBD 2 80" xfId="48903"/>
    <cellStyle name="Currency [0,000] TBD- 2 80" xfId="48904"/>
    <cellStyle name="Currency [0,000] TBD 2 81" xfId="48905"/>
    <cellStyle name="Currency [0,000] TBD- 2 81" xfId="48906"/>
    <cellStyle name="Currency [0,000] TBD 2 82" xfId="48907"/>
    <cellStyle name="Currency [0,000] TBD- 2 82" xfId="48908"/>
    <cellStyle name="Currency [0,000] TBD 2 83" xfId="48909"/>
    <cellStyle name="Currency [0,000] TBD- 2 83" xfId="48910"/>
    <cellStyle name="Currency [0,000] TBD 2 84" xfId="48911"/>
    <cellStyle name="Currency [0,000] TBD- 2 84" xfId="48912"/>
    <cellStyle name="Currency [0,000] TBD 2 85" xfId="48913"/>
    <cellStyle name="Currency [0,000] TBD- 2 85" xfId="48914"/>
    <cellStyle name="Currency [0,000] TBD 2 86" xfId="48915"/>
    <cellStyle name="Currency [0,000] TBD- 2 86" xfId="48916"/>
    <cellStyle name="Currency [0,000] TBD 2 87" xfId="48917"/>
    <cellStyle name="Currency [0,000] TBD- 2 87" xfId="48918"/>
    <cellStyle name="Currency [0,000] TBD 2 88" xfId="48919"/>
    <cellStyle name="Currency [0,000] TBD- 2 88" xfId="48920"/>
    <cellStyle name="Currency [0,000] TBD 2 89" xfId="48921"/>
    <cellStyle name="Currency [0,000] TBD- 2 89" xfId="48922"/>
    <cellStyle name="Currency [0,000] TBD 2 9" xfId="48923"/>
    <cellStyle name="Currency [0,000] TBD- 2 9" xfId="48924"/>
    <cellStyle name="Currency [0,000] TBD 2 90" xfId="48925"/>
    <cellStyle name="Currency [0,000] TBD- 2 90" xfId="48926"/>
    <cellStyle name="Currency [0,000] TBD 2 91" xfId="48927"/>
    <cellStyle name="Currency [0,000] TBD- 2 91" xfId="48928"/>
    <cellStyle name="Currency [0,000] TBD 2 92" xfId="48929"/>
    <cellStyle name="Currency [0,000] TBD- 2 92" xfId="48930"/>
    <cellStyle name="Currency [0,000] TBD 2 93" xfId="48931"/>
    <cellStyle name="Currency [0,000] TBD- 2 93" xfId="48932"/>
    <cellStyle name="Currency [0,000] TBD 2 94" xfId="48933"/>
    <cellStyle name="Currency [0,000] TBD- 2 94" xfId="48934"/>
    <cellStyle name="Currency [0,000] TBD 2 95" xfId="48935"/>
    <cellStyle name="Currency [0,000] TBD- 2 95" xfId="48936"/>
    <cellStyle name="Currency [0,000] TBD 2 96" xfId="48937"/>
    <cellStyle name="Currency [0,000] TBD- 2 96" xfId="48938"/>
    <cellStyle name="Currency [0,000] TBD 2 97" xfId="48939"/>
    <cellStyle name="Currency [0,000] TBD- 2 97" xfId="48940"/>
    <cellStyle name="Currency [0,000] TBD 2 98" xfId="48941"/>
    <cellStyle name="Currency [0,000] TBD- 2 98" xfId="48942"/>
    <cellStyle name="Currency [0,000] TBD 2 99" xfId="48943"/>
    <cellStyle name="Currency [0,000] TBD- 2 99" xfId="48944"/>
    <cellStyle name="Currency [0,000] TBD 3" xfId="48945"/>
    <cellStyle name="Currency [0,000] TBD- 3" xfId="48946"/>
    <cellStyle name="Currency [0,000] TBD 3 10" xfId="48947"/>
    <cellStyle name="Currency [0,000] TBD- 3 10" xfId="48948"/>
    <cellStyle name="Currency [0,000] TBD 3 100" xfId="48949"/>
    <cellStyle name="Currency [0,000] TBD- 3 100" xfId="48950"/>
    <cellStyle name="Currency [0,000] TBD 3 101" xfId="48951"/>
    <cellStyle name="Currency [0,000] TBD- 3 101" xfId="48952"/>
    <cellStyle name="Currency [0,000] TBD 3 102" xfId="48953"/>
    <cellStyle name="Currency [0,000] TBD- 3 102" xfId="48954"/>
    <cellStyle name="Currency [0,000] TBD 3 103" xfId="48955"/>
    <cellStyle name="Currency [0,000] TBD- 3 103" xfId="48956"/>
    <cellStyle name="Currency [0,000] TBD 3 104" xfId="48957"/>
    <cellStyle name="Currency [0,000] TBD- 3 104" xfId="48958"/>
    <cellStyle name="Currency [0,000] TBD 3 105" xfId="48959"/>
    <cellStyle name="Currency [0,000] TBD- 3 105" xfId="48960"/>
    <cellStyle name="Currency [0,000] TBD 3 106" xfId="48961"/>
    <cellStyle name="Currency [0,000] TBD- 3 106" xfId="48962"/>
    <cellStyle name="Currency [0,000] TBD 3 107" xfId="48963"/>
    <cellStyle name="Currency [0,000] TBD- 3 107" xfId="48964"/>
    <cellStyle name="Currency [0,000] TBD 3 108" xfId="48965"/>
    <cellStyle name="Currency [0,000] TBD- 3 108" xfId="48966"/>
    <cellStyle name="Currency [0,000] TBD 3 109" xfId="48967"/>
    <cellStyle name="Currency [0,000] TBD- 3 109" xfId="48968"/>
    <cellStyle name="Currency [0,000] TBD 3 11" xfId="48969"/>
    <cellStyle name="Currency [0,000] TBD- 3 11" xfId="48970"/>
    <cellStyle name="Currency [0,000] TBD 3 110" xfId="48971"/>
    <cellStyle name="Currency [0,000] TBD- 3 110" xfId="48972"/>
    <cellStyle name="Currency [0,000] TBD 3 111" xfId="48973"/>
    <cellStyle name="Currency [0,000] TBD- 3 111" xfId="48974"/>
    <cellStyle name="Currency [0,000] TBD 3 112" xfId="48975"/>
    <cellStyle name="Currency [0,000] TBD- 3 112" xfId="48976"/>
    <cellStyle name="Currency [0,000] TBD 3 113" xfId="48977"/>
    <cellStyle name="Currency [0,000] TBD- 3 113" xfId="48978"/>
    <cellStyle name="Currency [0,000] TBD 3 114" xfId="48979"/>
    <cellStyle name="Currency [0,000] TBD- 3 114" xfId="48980"/>
    <cellStyle name="Currency [0,000] TBD 3 115" xfId="48981"/>
    <cellStyle name="Currency [0,000] TBD- 3 115" xfId="48982"/>
    <cellStyle name="Currency [0,000] TBD 3 116" xfId="48983"/>
    <cellStyle name="Currency [0,000] TBD- 3 116" xfId="48984"/>
    <cellStyle name="Currency [0,000] TBD 3 117" xfId="48985"/>
    <cellStyle name="Currency [0,000] TBD- 3 117" xfId="48986"/>
    <cellStyle name="Currency [0,000] TBD 3 118" xfId="48987"/>
    <cellStyle name="Currency [0,000] TBD- 3 118" xfId="48988"/>
    <cellStyle name="Currency [0,000] TBD 3 119" xfId="48989"/>
    <cellStyle name="Currency [0,000] TBD- 3 119" xfId="48990"/>
    <cellStyle name="Currency [0,000] TBD 3 12" xfId="48991"/>
    <cellStyle name="Currency [0,000] TBD- 3 12" xfId="48992"/>
    <cellStyle name="Currency [0,000] TBD 3 120" xfId="48993"/>
    <cellStyle name="Currency [0,000] TBD- 3 120" xfId="48994"/>
    <cellStyle name="Currency [0,000] TBD 3 121" xfId="48995"/>
    <cellStyle name="Currency [0,000] TBD- 3 121" xfId="48996"/>
    <cellStyle name="Currency [0,000] TBD 3 122" xfId="48997"/>
    <cellStyle name="Currency [0,000] TBD- 3 122" xfId="48998"/>
    <cellStyle name="Currency [0,000] TBD 3 123" xfId="48999"/>
    <cellStyle name="Currency [0,000] TBD- 3 123" xfId="49000"/>
    <cellStyle name="Currency [0,000] TBD 3 124" xfId="49001"/>
    <cellStyle name="Currency [0,000] TBD- 3 124" xfId="49002"/>
    <cellStyle name="Currency [0,000] TBD 3 125" xfId="49003"/>
    <cellStyle name="Currency [0,000] TBD- 3 125" xfId="49004"/>
    <cellStyle name="Currency [0,000] TBD 3 126" xfId="49005"/>
    <cellStyle name="Currency [0,000] TBD- 3 126" xfId="49006"/>
    <cellStyle name="Currency [0,000] TBD 3 127" xfId="49007"/>
    <cellStyle name="Currency [0,000] TBD- 3 127" xfId="49008"/>
    <cellStyle name="Currency [0,000] TBD 3 128" xfId="49009"/>
    <cellStyle name="Currency [0,000] TBD- 3 128" xfId="49010"/>
    <cellStyle name="Currency [0,000] TBD 3 129" xfId="49011"/>
    <cellStyle name="Currency [0,000] TBD- 3 129" xfId="49012"/>
    <cellStyle name="Currency [0,000] TBD 3 13" xfId="49013"/>
    <cellStyle name="Currency [0,000] TBD- 3 13" xfId="49014"/>
    <cellStyle name="Currency [0,000] TBD 3 130" xfId="49015"/>
    <cellStyle name="Currency [0,000] TBD- 3 130" xfId="49016"/>
    <cellStyle name="Currency [0,000] TBD 3 131" xfId="49017"/>
    <cellStyle name="Currency [0,000] TBD- 3 131" xfId="49018"/>
    <cellStyle name="Currency [0,000] TBD 3 132" xfId="49019"/>
    <cellStyle name="Currency [0,000] TBD- 3 132" xfId="49020"/>
    <cellStyle name="Currency [0,000] TBD 3 133" xfId="49021"/>
    <cellStyle name="Currency [0,000] TBD- 3 133" xfId="49022"/>
    <cellStyle name="Currency [0,000] TBD 3 134" xfId="49023"/>
    <cellStyle name="Currency [0,000] TBD- 3 134" xfId="49024"/>
    <cellStyle name="Currency [0,000] TBD 3 135" xfId="49025"/>
    <cellStyle name="Currency [0,000] TBD- 3 135" xfId="49026"/>
    <cellStyle name="Currency [0,000] TBD 3 136" xfId="49027"/>
    <cellStyle name="Currency [0,000] TBD- 3 136" xfId="49028"/>
    <cellStyle name="Currency [0,000] TBD 3 137" xfId="49029"/>
    <cellStyle name="Currency [0,000] TBD- 3 137" xfId="49030"/>
    <cellStyle name="Currency [0,000] TBD 3 138" xfId="49031"/>
    <cellStyle name="Currency [0,000] TBD- 3 138" xfId="49032"/>
    <cellStyle name="Currency [0,000] TBD 3 139" xfId="49033"/>
    <cellStyle name="Currency [0,000] TBD- 3 139" xfId="49034"/>
    <cellStyle name="Currency [0,000] TBD 3 14" xfId="49035"/>
    <cellStyle name="Currency [0,000] TBD- 3 14" xfId="49036"/>
    <cellStyle name="Currency [0,000] TBD 3 140" xfId="49037"/>
    <cellStyle name="Currency [0,000] TBD- 3 140" xfId="49038"/>
    <cellStyle name="Currency [0,000] TBD 3 141" xfId="49039"/>
    <cellStyle name="Currency [0,000] TBD- 3 141" xfId="49040"/>
    <cellStyle name="Currency [0,000] TBD 3 142" xfId="49041"/>
    <cellStyle name="Currency [0,000] TBD- 3 142" xfId="49042"/>
    <cellStyle name="Currency [0,000] TBD 3 143" xfId="49043"/>
    <cellStyle name="Currency [0,000] TBD- 3 143" xfId="49044"/>
    <cellStyle name="Currency [0,000] TBD 3 144" xfId="49045"/>
    <cellStyle name="Currency [0,000] TBD- 3 144" xfId="49046"/>
    <cellStyle name="Currency [0,000] TBD 3 145" xfId="49047"/>
    <cellStyle name="Currency [0,000] TBD- 3 145" xfId="49048"/>
    <cellStyle name="Currency [0,000] TBD 3 146" xfId="49049"/>
    <cellStyle name="Currency [0,000] TBD- 3 146" xfId="49050"/>
    <cellStyle name="Currency [0,000] TBD 3 147" xfId="49051"/>
    <cellStyle name="Currency [0,000] TBD- 3 147" xfId="49052"/>
    <cellStyle name="Currency [0,000] TBD 3 148" xfId="49053"/>
    <cellStyle name="Currency [0,000] TBD- 3 148" xfId="49054"/>
    <cellStyle name="Currency [0,000] TBD 3 149" xfId="49055"/>
    <cellStyle name="Currency [0,000] TBD- 3 149" xfId="49056"/>
    <cellStyle name="Currency [0,000] TBD 3 15" xfId="49057"/>
    <cellStyle name="Currency [0,000] TBD- 3 15" xfId="49058"/>
    <cellStyle name="Currency [0,000] TBD 3 150" xfId="49059"/>
    <cellStyle name="Currency [0,000] TBD- 3 150" xfId="49060"/>
    <cellStyle name="Currency [0,000] TBD 3 151" xfId="49061"/>
    <cellStyle name="Currency [0,000] TBD- 3 151" xfId="49062"/>
    <cellStyle name="Currency [0,000] TBD 3 152" xfId="49063"/>
    <cellStyle name="Currency [0,000] TBD- 3 152" xfId="49064"/>
    <cellStyle name="Currency [0,000] TBD 3 153" xfId="49065"/>
    <cellStyle name="Currency [0,000] TBD- 3 153" xfId="49066"/>
    <cellStyle name="Currency [0,000] TBD 3 154" xfId="49067"/>
    <cellStyle name="Currency [0,000] TBD- 3 154" xfId="49068"/>
    <cellStyle name="Currency [0,000] TBD 3 16" xfId="49069"/>
    <cellStyle name="Currency [0,000] TBD- 3 16" xfId="49070"/>
    <cellStyle name="Currency [0,000] TBD 3 17" xfId="49071"/>
    <cellStyle name="Currency [0,000] TBD- 3 17" xfId="49072"/>
    <cellStyle name="Currency [0,000] TBD 3 18" xfId="49073"/>
    <cellStyle name="Currency [0,000] TBD- 3 18" xfId="49074"/>
    <cellStyle name="Currency [0,000] TBD 3 19" xfId="49075"/>
    <cellStyle name="Currency [0,000] TBD- 3 19" xfId="49076"/>
    <cellStyle name="Currency [0,000] TBD 3 2" xfId="49077"/>
    <cellStyle name="Currency [0,000] TBD- 3 2" xfId="49078"/>
    <cellStyle name="Currency [0,000] TBD 3 2 2" xfId="49079"/>
    <cellStyle name="Currency [0,000] TBD- 3 2 2" xfId="49080"/>
    <cellStyle name="Currency [0,000] TBD 3 20" xfId="49081"/>
    <cellStyle name="Currency [0,000] TBD- 3 20" xfId="49082"/>
    <cellStyle name="Currency [0,000] TBD 3 21" xfId="49083"/>
    <cellStyle name="Currency [0,000] TBD- 3 21" xfId="49084"/>
    <cellStyle name="Currency [0,000] TBD 3 22" xfId="49085"/>
    <cellStyle name="Currency [0,000] TBD- 3 22" xfId="49086"/>
    <cellStyle name="Currency [0,000] TBD 3 23" xfId="49087"/>
    <cellStyle name="Currency [0,000] TBD- 3 23" xfId="49088"/>
    <cellStyle name="Currency [0,000] TBD 3 24" xfId="49089"/>
    <cellStyle name="Currency [0,000] TBD- 3 24" xfId="49090"/>
    <cellStyle name="Currency [0,000] TBD 3 25" xfId="49091"/>
    <cellStyle name="Currency [0,000] TBD- 3 25" xfId="49092"/>
    <cellStyle name="Currency [0,000] TBD 3 26" xfId="49093"/>
    <cellStyle name="Currency [0,000] TBD- 3 26" xfId="49094"/>
    <cellStyle name="Currency [0,000] TBD 3 27" xfId="49095"/>
    <cellStyle name="Currency [0,000] TBD- 3 27" xfId="49096"/>
    <cellStyle name="Currency [0,000] TBD 3 28" xfId="49097"/>
    <cellStyle name="Currency [0,000] TBD- 3 28" xfId="49098"/>
    <cellStyle name="Currency [0,000] TBD 3 29" xfId="49099"/>
    <cellStyle name="Currency [0,000] TBD- 3 29" xfId="49100"/>
    <cellStyle name="Currency [0,000] TBD 3 3" xfId="49101"/>
    <cellStyle name="Currency [0,000] TBD- 3 3" xfId="49102"/>
    <cellStyle name="Currency [0,000] TBD 3 30" xfId="49103"/>
    <cellStyle name="Currency [0,000] TBD- 3 30" xfId="49104"/>
    <cellStyle name="Currency [0,000] TBD 3 31" xfId="49105"/>
    <cellStyle name="Currency [0,000] TBD- 3 31" xfId="49106"/>
    <cellStyle name="Currency [0,000] TBD 3 32" xfId="49107"/>
    <cellStyle name="Currency [0,000] TBD- 3 32" xfId="49108"/>
    <cellStyle name="Currency [0,000] TBD 3 33" xfId="49109"/>
    <cellStyle name="Currency [0,000] TBD- 3 33" xfId="49110"/>
    <cellStyle name="Currency [0,000] TBD 3 34" xfId="49111"/>
    <cellStyle name="Currency [0,000] TBD- 3 34" xfId="49112"/>
    <cellStyle name="Currency [0,000] TBD 3 35" xfId="49113"/>
    <cellStyle name="Currency [0,000] TBD- 3 35" xfId="49114"/>
    <cellStyle name="Currency [0,000] TBD 3 36" xfId="49115"/>
    <cellStyle name="Currency [0,000] TBD- 3 36" xfId="49116"/>
    <cellStyle name="Currency [0,000] TBD 3 37" xfId="49117"/>
    <cellStyle name="Currency [0,000] TBD- 3 37" xfId="49118"/>
    <cellStyle name="Currency [0,000] TBD 3 38" xfId="49119"/>
    <cellStyle name="Currency [0,000] TBD- 3 38" xfId="49120"/>
    <cellStyle name="Currency [0,000] TBD 3 39" xfId="49121"/>
    <cellStyle name="Currency [0,000] TBD- 3 39" xfId="49122"/>
    <cellStyle name="Currency [0,000] TBD 3 4" xfId="49123"/>
    <cellStyle name="Currency [0,000] TBD- 3 4" xfId="49124"/>
    <cellStyle name="Currency [0,000] TBD 3 40" xfId="49125"/>
    <cellStyle name="Currency [0,000] TBD- 3 40" xfId="49126"/>
    <cellStyle name="Currency [0,000] TBD 3 41" xfId="49127"/>
    <cellStyle name="Currency [0,000] TBD- 3 41" xfId="49128"/>
    <cellStyle name="Currency [0,000] TBD 3 42" xfId="49129"/>
    <cellStyle name="Currency [0,000] TBD- 3 42" xfId="49130"/>
    <cellStyle name="Currency [0,000] TBD 3 43" xfId="49131"/>
    <cellStyle name="Currency [0,000] TBD- 3 43" xfId="49132"/>
    <cellStyle name="Currency [0,000] TBD 3 44" xfId="49133"/>
    <cellStyle name="Currency [0,000] TBD- 3 44" xfId="49134"/>
    <cellStyle name="Currency [0,000] TBD 3 45" xfId="49135"/>
    <cellStyle name="Currency [0,000] TBD- 3 45" xfId="49136"/>
    <cellStyle name="Currency [0,000] TBD 3 46" xfId="49137"/>
    <cellStyle name="Currency [0,000] TBD- 3 46" xfId="49138"/>
    <cellStyle name="Currency [0,000] TBD 3 47" xfId="49139"/>
    <cellStyle name="Currency [0,000] TBD- 3 47" xfId="49140"/>
    <cellStyle name="Currency [0,000] TBD 3 48" xfId="49141"/>
    <cellStyle name="Currency [0,000] TBD- 3 48" xfId="49142"/>
    <cellStyle name="Currency [0,000] TBD 3 49" xfId="49143"/>
    <cellStyle name="Currency [0,000] TBD- 3 49" xfId="49144"/>
    <cellStyle name="Currency [0,000] TBD 3 5" xfId="49145"/>
    <cellStyle name="Currency [0,000] TBD- 3 5" xfId="49146"/>
    <cellStyle name="Currency [0,000] TBD 3 50" xfId="49147"/>
    <cellStyle name="Currency [0,000] TBD- 3 50" xfId="49148"/>
    <cellStyle name="Currency [0,000] TBD 3 51" xfId="49149"/>
    <cellStyle name="Currency [0,000] TBD- 3 51" xfId="49150"/>
    <cellStyle name="Currency [0,000] TBD 3 52" xfId="49151"/>
    <cellStyle name="Currency [0,000] TBD- 3 52" xfId="49152"/>
    <cellStyle name="Currency [0,000] TBD 3 53" xfId="49153"/>
    <cellStyle name="Currency [0,000] TBD- 3 53" xfId="49154"/>
    <cellStyle name="Currency [0,000] TBD 3 54" xfId="49155"/>
    <cellStyle name="Currency [0,000] TBD- 3 54" xfId="49156"/>
    <cellStyle name="Currency [0,000] TBD 3 55" xfId="49157"/>
    <cellStyle name="Currency [0,000] TBD- 3 55" xfId="49158"/>
    <cellStyle name="Currency [0,000] TBD 3 56" xfId="49159"/>
    <cellStyle name="Currency [0,000] TBD- 3 56" xfId="49160"/>
    <cellStyle name="Currency [0,000] TBD 3 57" xfId="49161"/>
    <cellStyle name="Currency [0,000] TBD- 3 57" xfId="49162"/>
    <cellStyle name="Currency [0,000] TBD 3 58" xfId="49163"/>
    <cellStyle name="Currency [0,000] TBD- 3 58" xfId="49164"/>
    <cellStyle name="Currency [0,000] TBD 3 59" xfId="49165"/>
    <cellStyle name="Currency [0,000] TBD- 3 59" xfId="49166"/>
    <cellStyle name="Currency [0,000] TBD 3 6" xfId="49167"/>
    <cellStyle name="Currency [0,000] TBD- 3 6" xfId="49168"/>
    <cellStyle name="Currency [0,000] TBD 3 60" xfId="49169"/>
    <cellStyle name="Currency [0,000] TBD- 3 60" xfId="49170"/>
    <cellStyle name="Currency [0,000] TBD 3 61" xfId="49171"/>
    <cellStyle name="Currency [0,000] TBD- 3 61" xfId="49172"/>
    <cellStyle name="Currency [0,000] TBD 3 62" xfId="49173"/>
    <cellStyle name="Currency [0,000] TBD- 3 62" xfId="49174"/>
    <cellStyle name="Currency [0,000] TBD 3 63" xfId="49175"/>
    <cellStyle name="Currency [0,000] TBD- 3 63" xfId="49176"/>
    <cellStyle name="Currency [0,000] TBD 3 64" xfId="49177"/>
    <cellStyle name="Currency [0,000] TBD- 3 64" xfId="49178"/>
    <cellStyle name="Currency [0,000] TBD 3 65" xfId="49179"/>
    <cellStyle name="Currency [0,000] TBD- 3 65" xfId="49180"/>
    <cellStyle name="Currency [0,000] TBD 3 66" xfId="49181"/>
    <cellStyle name="Currency [0,000] TBD- 3 66" xfId="49182"/>
    <cellStyle name="Currency [0,000] TBD 3 67" xfId="49183"/>
    <cellStyle name="Currency [0,000] TBD- 3 67" xfId="49184"/>
    <cellStyle name="Currency [0,000] TBD 3 68" xfId="49185"/>
    <cellStyle name="Currency [0,000] TBD- 3 68" xfId="49186"/>
    <cellStyle name="Currency [0,000] TBD 3 69" xfId="49187"/>
    <cellStyle name="Currency [0,000] TBD- 3 69" xfId="49188"/>
    <cellStyle name="Currency [0,000] TBD 3 7" xfId="49189"/>
    <cellStyle name="Currency [0,000] TBD- 3 7" xfId="49190"/>
    <cellStyle name="Currency [0,000] TBD 3 70" xfId="49191"/>
    <cellStyle name="Currency [0,000] TBD- 3 70" xfId="49192"/>
    <cellStyle name="Currency [0,000] TBD 3 71" xfId="49193"/>
    <cellStyle name="Currency [0,000] TBD- 3 71" xfId="49194"/>
    <cellStyle name="Currency [0,000] TBD 3 72" xfId="49195"/>
    <cellStyle name="Currency [0,000] TBD- 3 72" xfId="49196"/>
    <cellStyle name="Currency [0,000] TBD 3 73" xfId="49197"/>
    <cellStyle name="Currency [0,000] TBD- 3 73" xfId="49198"/>
    <cellStyle name="Currency [0,000] TBD 3 74" xfId="49199"/>
    <cellStyle name="Currency [0,000] TBD- 3 74" xfId="49200"/>
    <cellStyle name="Currency [0,000] TBD 3 75" xfId="49201"/>
    <cellStyle name="Currency [0,000] TBD- 3 75" xfId="49202"/>
    <cellStyle name="Currency [0,000] TBD 3 76" xfId="49203"/>
    <cellStyle name="Currency [0,000] TBD- 3 76" xfId="49204"/>
    <cellStyle name="Currency [0,000] TBD 3 77" xfId="49205"/>
    <cellStyle name="Currency [0,000] TBD- 3 77" xfId="49206"/>
    <cellStyle name="Currency [0,000] TBD 3 78" xfId="49207"/>
    <cellStyle name="Currency [0,000] TBD- 3 78" xfId="49208"/>
    <cellStyle name="Currency [0,000] TBD 3 79" xfId="49209"/>
    <cellStyle name="Currency [0,000] TBD- 3 79" xfId="49210"/>
    <cellStyle name="Currency [0,000] TBD 3 8" xfId="49211"/>
    <cellStyle name="Currency [0,000] TBD- 3 8" xfId="49212"/>
    <cellStyle name="Currency [0,000] TBD 3 80" xfId="49213"/>
    <cellStyle name="Currency [0,000] TBD- 3 80" xfId="49214"/>
    <cellStyle name="Currency [0,000] TBD 3 81" xfId="49215"/>
    <cellStyle name="Currency [0,000] TBD- 3 81" xfId="49216"/>
    <cellStyle name="Currency [0,000] TBD 3 82" xfId="49217"/>
    <cellStyle name="Currency [0,000] TBD- 3 82" xfId="49218"/>
    <cellStyle name="Currency [0,000] TBD 3 83" xfId="49219"/>
    <cellStyle name="Currency [0,000] TBD- 3 83" xfId="49220"/>
    <cellStyle name="Currency [0,000] TBD 3 84" xfId="49221"/>
    <cellStyle name="Currency [0,000] TBD- 3 84" xfId="49222"/>
    <cellStyle name="Currency [0,000] TBD 3 85" xfId="49223"/>
    <cellStyle name="Currency [0,000] TBD- 3 85" xfId="49224"/>
    <cellStyle name="Currency [0,000] TBD 3 86" xfId="49225"/>
    <cellStyle name="Currency [0,000] TBD- 3 86" xfId="49226"/>
    <cellStyle name="Currency [0,000] TBD 3 87" xfId="49227"/>
    <cellStyle name="Currency [0,000] TBD- 3 87" xfId="49228"/>
    <cellStyle name="Currency [0,000] TBD 3 88" xfId="49229"/>
    <cellStyle name="Currency [0,000] TBD- 3 88" xfId="49230"/>
    <cellStyle name="Currency [0,000] TBD 3 89" xfId="49231"/>
    <cellStyle name="Currency [0,000] TBD- 3 89" xfId="49232"/>
    <cellStyle name="Currency [0,000] TBD 3 9" xfId="49233"/>
    <cellStyle name="Currency [0,000] TBD- 3 9" xfId="49234"/>
    <cellStyle name="Currency [0,000] TBD 3 90" xfId="49235"/>
    <cellStyle name="Currency [0,000] TBD- 3 90" xfId="49236"/>
    <cellStyle name="Currency [0,000] TBD 3 91" xfId="49237"/>
    <cellStyle name="Currency [0,000] TBD- 3 91" xfId="49238"/>
    <cellStyle name="Currency [0,000] TBD 3 92" xfId="49239"/>
    <cellStyle name="Currency [0,000] TBD- 3 92" xfId="49240"/>
    <cellStyle name="Currency [0,000] TBD 3 93" xfId="49241"/>
    <cellStyle name="Currency [0,000] TBD- 3 93" xfId="49242"/>
    <cellStyle name="Currency [0,000] TBD 3 94" xfId="49243"/>
    <cellStyle name="Currency [0,000] TBD- 3 94" xfId="49244"/>
    <cellStyle name="Currency [0,000] TBD 3 95" xfId="49245"/>
    <cellStyle name="Currency [0,000] TBD- 3 95" xfId="49246"/>
    <cellStyle name="Currency [0,000] TBD 3 96" xfId="49247"/>
    <cellStyle name="Currency [0,000] TBD- 3 96" xfId="49248"/>
    <cellStyle name="Currency [0,000] TBD 3 97" xfId="49249"/>
    <cellStyle name="Currency [0,000] TBD- 3 97" xfId="49250"/>
    <cellStyle name="Currency [0,000] TBD 3 98" xfId="49251"/>
    <cellStyle name="Currency [0,000] TBD- 3 98" xfId="49252"/>
    <cellStyle name="Currency [0,000] TBD 3 99" xfId="49253"/>
    <cellStyle name="Currency [0,000] TBD- 3 99" xfId="49254"/>
    <cellStyle name="Currency [0,000] TBD 4" xfId="49255"/>
    <cellStyle name="Currency [0,000] TBD- 4" xfId="49256"/>
    <cellStyle name="Currency [0,000] TBD 4 10" xfId="49257"/>
    <cellStyle name="Currency [0,000] TBD- 4 10" xfId="49258"/>
    <cellStyle name="Currency [0,000] TBD 4 100" xfId="49259"/>
    <cellStyle name="Currency [0,000] TBD- 4 100" xfId="49260"/>
    <cellStyle name="Currency [0,000] TBD 4 101" xfId="49261"/>
    <cellStyle name="Currency [0,000] TBD- 4 101" xfId="49262"/>
    <cellStyle name="Currency [0,000] TBD 4 102" xfId="49263"/>
    <cellStyle name="Currency [0,000] TBD- 4 102" xfId="49264"/>
    <cellStyle name="Currency [0,000] TBD 4 103" xfId="49265"/>
    <cellStyle name="Currency [0,000] TBD- 4 103" xfId="49266"/>
    <cellStyle name="Currency [0,000] TBD 4 104" xfId="49267"/>
    <cellStyle name="Currency [0,000] TBD- 4 104" xfId="49268"/>
    <cellStyle name="Currency [0,000] TBD 4 105" xfId="49269"/>
    <cellStyle name="Currency [0,000] TBD- 4 105" xfId="49270"/>
    <cellStyle name="Currency [0,000] TBD 4 106" xfId="49271"/>
    <cellStyle name="Currency [0,000] TBD- 4 106" xfId="49272"/>
    <cellStyle name="Currency [0,000] TBD 4 107" xfId="49273"/>
    <cellStyle name="Currency [0,000] TBD- 4 107" xfId="49274"/>
    <cellStyle name="Currency [0,000] TBD 4 108" xfId="49275"/>
    <cellStyle name="Currency [0,000] TBD- 4 108" xfId="49276"/>
    <cellStyle name="Currency [0,000] TBD 4 109" xfId="49277"/>
    <cellStyle name="Currency [0,000] TBD- 4 109" xfId="49278"/>
    <cellStyle name="Currency [0,000] TBD 4 11" xfId="49279"/>
    <cellStyle name="Currency [0,000] TBD- 4 11" xfId="49280"/>
    <cellStyle name="Currency [0,000] TBD 4 110" xfId="49281"/>
    <cellStyle name="Currency [0,000] TBD- 4 110" xfId="49282"/>
    <cellStyle name="Currency [0,000] TBD 4 111" xfId="49283"/>
    <cellStyle name="Currency [0,000] TBD- 4 111" xfId="49284"/>
    <cellStyle name="Currency [0,000] TBD 4 112" xfId="49285"/>
    <cellStyle name="Currency [0,000] TBD- 4 112" xfId="49286"/>
    <cellStyle name="Currency [0,000] TBD 4 113" xfId="49287"/>
    <cellStyle name="Currency [0,000] TBD- 4 113" xfId="49288"/>
    <cellStyle name="Currency [0,000] TBD 4 114" xfId="49289"/>
    <cellStyle name="Currency [0,000] TBD- 4 114" xfId="49290"/>
    <cellStyle name="Currency [0,000] TBD 4 115" xfId="49291"/>
    <cellStyle name="Currency [0,000] TBD- 4 115" xfId="49292"/>
    <cellStyle name="Currency [0,000] TBD 4 116" xfId="49293"/>
    <cellStyle name="Currency [0,000] TBD- 4 116" xfId="49294"/>
    <cellStyle name="Currency [0,000] TBD 4 117" xfId="49295"/>
    <cellStyle name="Currency [0,000] TBD- 4 117" xfId="49296"/>
    <cellStyle name="Currency [0,000] TBD 4 118" xfId="49297"/>
    <cellStyle name="Currency [0,000] TBD- 4 118" xfId="49298"/>
    <cellStyle name="Currency [0,000] TBD 4 119" xfId="49299"/>
    <cellStyle name="Currency [0,000] TBD- 4 119" xfId="49300"/>
    <cellStyle name="Currency [0,000] TBD 4 12" xfId="49301"/>
    <cellStyle name="Currency [0,000] TBD- 4 12" xfId="49302"/>
    <cellStyle name="Currency [0,000] TBD 4 120" xfId="49303"/>
    <cellStyle name="Currency [0,000] TBD- 4 120" xfId="49304"/>
    <cellStyle name="Currency [0,000] TBD 4 121" xfId="49305"/>
    <cellStyle name="Currency [0,000] TBD- 4 121" xfId="49306"/>
    <cellStyle name="Currency [0,000] TBD 4 122" xfId="49307"/>
    <cellStyle name="Currency [0,000] TBD- 4 122" xfId="49308"/>
    <cellStyle name="Currency [0,000] TBD 4 123" xfId="49309"/>
    <cellStyle name="Currency [0,000] TBD- 4 123" xfId="49310"/>
    <cellStyle name="Currency [0,000] TBD 4 124" xfId="49311"/>
    <cellStyle name="Currency [0,000] TBD- 4 124" xfId="49312"/>
    <cellStyle name="Currency [0,000] TBD 4 125" xfId="49313"/>
    <cellStyle name="Currency [0,000] TBD- 4 125" xfId="49314"/>
    <cellStyle name="Currency [0,000] TBD 4 126" xfId="49315"/>
    <cellStyle name="Currency [0,000] TBD- 4 126" xfId="49316"/>
    <cellStyle name="Currency [0,000] TBD 4 127" xfId="49317"/>
    <cellStyle name="Currency [0,000] TBD- 4 127" xfId="49318"/>
    <cellStyle name="Currency [0,000] TBD 4 128" xfId="49319"/>
    <cellStyle name="Currency [0,000] TBD- 4 128" xfId="49320"/>
    <cellStyle name="Currency [0,000] TBD 4 129" xfId="49321"/>
    <cellStyle name="Currency [0,000] TBD- 4 129" xfId="49322"/>
    <cellStyle name="Currency [0,000] TBD 4 13" xfId="49323"/>
    <cellStyle name="Currency [0,000] TBD- 4 13" xfId="49324"/>
    <cellStyle name="Currency [0,000] TBD 4 130" xfId="49325"/>
    <cellStyle name="Currency [0,000] TBD- 4 130" xfId="49326"/>
    <cellStyle name="Currency [0,000] TBD 4 131" xfId="49327"/>
    <cellStyle name="Currency [0,000] TBD- 4 131" xfId="49328"/>
    <cellStyle name="Currency [0,000] TBD 4 132" xfId="49329"/>
    <cellStyle name="Currency [0,000] TBD- 4 132" xfId="49330"/>
    <cellStyle name="Currency [0,000] TBD 4 133" xfId="49331"/>
    <cellStyle name="Currency [0,000] TBD- 4 133" xfId="49332"/>
    <cellStyle name="Currency [0,000] TBD 4 134" xfId="49333"/>
    <cellStyle name="Currency [0,000] TBD- 4 134" xfId="49334"/>
    <cellStyle name="Currency [0,000] TBD 4 135" xfId="49335"/>
    <cellStyle name="Currency [0,000] TBD- 4 135" xfId="49336"/>
    <cellStyle name="Currency [0,000] TBD 4 136" xfId="49337"/>
    <cellStyle name="Currency [0,000] TBD- 4 136" xfId="49338"/>
    <cellStyle name="Currency [0,000] TBD 4 137" xfId="49339"/>
    <cellStyle name="Currency [0,000] TBD- 4 137" xfId="49340"/>
    <cellStyle name="Currency [0,000] TBD 4 138" xfId="49341"/>
    <cellStyle name="Currency [0,000] TBD- 4 138" xfId="49342"/>
    <cellStyle name="Currency [0,000] TBD 4 139" xfId="49343"/>
    <cellStyle name="Currency [0,000] TBD- 4 139" xfId="49344"/>
    <cellStyle name="Currency [0,000] TBD 4 14" xfId="49345"/>
    <cellStyle name="Currency [0,000] TBD- 4 14" xfId="49346"/>
    <cellStyle name="Currency [0,000] TBD 4 140" xfId="49347"/>
    <cellStyle name="Currency [0,000] TBD- 4 140" xfId="49348"/>
    <cellStyle name="Currency [0,000] TBD 4 141" xfId="49349"/>
    <cellStyle name="Currency [0,000] TBD- 4 141" xfId="49350"/>
    <cellStyle name="Currency [0,000] TBD 4 142" xfId="49351"/>
    <cellStyle name="Currency [0,000] TBD- 4 142" xfId="49352"/>
    <cellStyle name="Currency [0,000] TBD 4 143" xfId="49353"/>
    <cellStyle name="Currency [0,000] TBD- 4 143" xfId="49354"/>
    <cellStyle name="Currency [0,000] TBD 4 144" xfId="49355"/>
    <cellStyle name="Currency [0,000] TBD- 4 144" xfId="49356"/>
    <cellStyle name="Currency [0,000] TBD 4 145" xfId="49357"/>
    <cellStyle name="Currency [0,000] TBD- 4 145" xfId="49358"/>
    <cellStyle name="Currency [0,000] TBD 4 146" xfId="49359"/>
    <cellStyle name="Currency [0,000] TBD- 4 146" xfId="49360"/>
    <cellStyle name="Currency [0,000] TBD 4 147" xfId="49361"/>
    <cellStyle name="Currency [0,000] TBD- 4 147" xfId="49362"/>
    <cellStyle name="Currency [0,000] TBD 4 148" xfId="49363"/>
    <cellStyle name="Currency [0,000] TBD- 4 148" xfId="49364"/>
    <cellStyle name="Currency [0,000] TBD 4 149" xfId="49365"/>
    <cellStyle name="Currency [0,000] TBD- 4 149" xfId="49366"/>
    <cellStyle name="Currency [0,000] TBD 4 15" xfId="49367"/>
    <cellStyle name="Currency [0,000] TBD- 4 15" xfId="49368"/>
    <cellStyle name="Currency [0,000] TBD 4 150" xfId="49369"/>
    <cellStyle name="Currency [0,000] TBD- 4 150" xfId="49370"/>
    <cellStyle name="Currency [0,000] TBD 4 151" xfId="49371"/>
    <cellStyle name="Currency [0,000] TBD- 4 151" xfId="49372"/>
    <cellStyle name="Currency [0,000] TBD 4 152" xfId="49373"/>
    <cellStyle name="Currency [0,000] TBD- 4 152" xfId="49374"/>
    <cellStyle name="Currency [0,000] TBD 4 153" xfId="49375"/>
    <cellStyle name="Currency [0,000] TBD- 4 153" xfId="49376"/>
    <cellStyle name="Currency [0,000] TBD 4 154" xfId="49377"/>
    <cellStyle name="Currency [0,000] TBD- 4 154" xfId="49378"/>
    <cellStyle name="Currency [0,000] TBD 4 16" xfId="49379"/>
    <cellStyle name="Currency [0,000] TBD- 4 16" xfId="49380"/>
    <cellStyle name="Currency [0,000] TBD 4 17" xfId="49381"/>
    <cellStyle name="Currency [0,000] TBD- 4 17" xfId="49382"/>
    <cellStyle name="Currency [0,000] TBD 4 18" xfId="49383"/>
    <cellStyle name="Currency [0,000] TBD- 4 18" xfId="49384"/>
    <cellStyle name="Currency [0,000] TBD 4 19" xfId="49385"/>
    <cellStyle name="Currency [0,000] TBD- 4 19" xfId="49386"/>
    <cellStyle name="Currency [0,000] TBD 4 2" xfId="49387"/>
    <cellStyle name="Currency [0,000] TBD- 4 2" xfId="49388"/>
    <cellStyle name="Currency [0,000] TBD 4 20" xfId="49389"/>
    <cellStyle name="Currency [0,000] TBD- 4 20" xfId="49390"/>
    <cellStyle name="Currency [0,000] TBD 4 21" xfId="49391"/>
    <cellStyle name="Currency [0,000] TBD- 4 21" xfId="49392"/>
    <cellStyle name="Currency [0,000] TBD 4 22" xfId="49393"/>
    <cellStyle name="Currency [0,000] TBD- 4 22" xfId="49394"/>
    <cellStyle name="Currency [0,000] TBD 4 23" xfId="49395"/>
    <cellStyle name="Currency [0,000] TBD- 4 23" xfId="49396"/>
    <cellStyle name="Currency [0,000] TBD 4 24" xfId="49397"/>
    <cellStyle name="Currency [0,000] TBD- 4 24" xfId="49398"/>
    <cellStyle name="Currency [0,000] TBD 4 25" xfId="49399"/>
    <cellStyle name="Currency [0,000] TBD- 4 25" xfId="49400"/>
    <cellStyle name="Currency [0,000] TBD 4 26" xfId="49401"/>
    <cellStyle name="Currency [0,000] TBD- 4 26" xfId="49402"/>
    <cellStyle name="Currency [0,000] TBD 4 27" xfId="49403"/>
    <cellStyle name="Currency [0,000] TBD- 4 27" xfId="49404"/>
    <cellStyle name="Currency [0,000] TBD 4 28" xfId="49405"/>
    <cellStyle name="Currency [0,000] TBD- 4 28" xfId="49406"/>
    <cellStyle name="Currency [0,000] TBD 4 29" xfId="49407"/>
    <cellStyle name="Currency [0,000] TBD- 4 29" xfId="49408"/>
    <cellStyle name="Currency [0,000] TBD 4 3" xfId="49409"/>
    <cellStyle name="Currency [0,000] TBD- 4 3" xfId="49410"/>
    <cellStyle name="Currency [0,000] TBD 4 30" xfId="49411"/>
    <cellStyle name="Currency [0,000] TBD- 4 30" xfId="49412"/>
    <cellStyle name="Currency [0,000] TBD 4 31" xfId="49413"/>
    <cellStyle name="Currency [0,000] TBD- 4 31" xfId="49414"/>
    <cellStyle name="Currency [0,000] TBD 4 32" xfId="49415"/>
    <cellStyle name="Currency [0,000] TBD- 4 32" xfId="49416"/>
    <cellStyle name="Currency [0,000] TBD 4 33" xfId="49417"/>
    <cellStyle name="Currency [0,000] TBD- 4 33" xfId="49418"/>
    <cellStyle name="Currency [0,000] TBD 4 34" xfId="49419"/>
    <cellStyle name="Currency [0,000] TBD- 4 34" xfId="49420"/>
    <cellStyle name="Currency [0,000] TBD 4 35" xfId="49421"/>
    <cellStyle name="Currency [0,000] TBD- 4 35" xfId="49422"/>
    <cellStyle name="Currency [0,000] TBD 4 36" xfId="49423"/>
    <cellStyle name="Currency [0,000] TBD- 4 36" xfId="49424"/>
    <cellStyle name="Currency [0,000] TBD 4 37" xfId="49425"/>
    <cellStyle name="Currency [0,000] TBD- 4 37" xfId="49426"/>
    <cellStyle name="Currency [0,000] TBD 4 38" xfId="49427"/>
    <cellStyle name="Currency [0,000] TBD- 4 38" xfId="49428"/>
    <cellStyle name="Currency [0,000] TBD 4 39" xfId="49429"/>
    <cellStyle name="Currency [0,000] TBD- 4 39" xfId="49430"/>
    <cellStyle name="Currency [0,000] TBD 4 4" xfId="49431"/>
    <cellStyle name="Currency [0,000] TBD- 4 4" xfId="49432"/>
    <cellStyle name="Currency [0,000] TBD 4 40" xfId="49433"/>
    <cellStyle name="Currency [0,000] TBD- 4 40" xfId="49434"/>
    <cellStyle name="Currency [0,000] TBD 4 41" xfId="49435"/>
    <cellStyle name="Currency [0,000] TBD- 4 41" xfId="49436"/>
    <cellStyle name="Currency [0,000] TBD 4 42" xfId="49437"/>
    <cellStyle name="Currency [0,000] TBD- 4 42" xfId="49438"/>
    <cellStyle name="Currency [0,000] TBD 4 43" xfId="49439"/>
    <cellStyle name="Currency [0,000] TBD- 4 43" xfId="49440"/>
    <cellStyle name="Currency [0,000] TBD 4 44" xfId="49441"/>
    <cellStyle name="Currency [0,000] TBD- 4 44" xfId="49442"/>
    <cellStyle name="Currency [0,000] TBD 4 45" xfId="49443"/>
    <cellStyle name="Currency [0,000] TBD- 4 45" xfId="49444"/>
    <cellStyle name="Currency [0,000] TBD 4 46" xfId="49445"/>
    <cellStyle name="Currency [0,000] TBD- 4 46" xfId="49446"/>
    <cellStyle name="Currency [0,000] TBD 4 47" xfId="49447"/>
    <cellStyle name="Currency [0,000] TBD- 4 47" xfId="49448"/>
    <cellStyle name="Currency [0,000] TBD 4 48" xfId="49449"/>
    <cellStyle name="Currency [0,000] TBD- 4 48" xfId="49450"/>
    <cellStyle name="Currency [0,000] TBD 4 49" xfId="49451"/>
    <cellStyle name="Currency [0,000] TBD- 4 49" xfId="49452"/>
    <cellStyle name="Currency [0,000] TBD 4 5" xfId="49453"/>
    <cellStyle name="Currency [0,000] TBD- 4 5" xfId="49454"/>
    <cellStyle name="Currency [0,000] TBD 4 50" xfId="49455"/>
    <cellStyle name="Currency [0,000] TBD- 4 50" xfId="49456"/>
    <cellStyle name="Currency [0,000] TBD 4 51" xfId="49457"/>
    <cellStyle name="Currency [0,000] TBD- 4 51" xfId="49458"/>
    <cellStyle name="Currency [0,000] TBD 4 52" xfId="49459"/>
    <cellStyle name="Currency [0,000] TBD- 4 52" xfId="49460"/>
    <cellStyle name="Currency [0,000] TBD 4 53" xfId="49461"/>
    <cellStyle name="Currency [0,000] TBD- 4 53" xfId="49462"/>
    <cellStyle name="Currency [0,000] TBD 4 54" xfId="49463"/>
    <cellStyle name="Currency [0,000] TBD- 4 54" xfId="49464"/>
    <cellStyle name="Currency [0,000] TBD 4 55" xfId="49465"/>
    <cellStyle name="Currency [0,000] TBD- 4 55" xfId="49466"/>
    <cellStyle name="Currency [0,000] TBD 4 56" xfId="49467"/>
    <cellStyle name="Currency [0,000] TBD- 4 56" xfId="49468"/>
    <cellStyle name="Currency [0,000] TBD 4 57" xfId="49469"/>
    <cellStyle name="Currency [0,000] TBD- 4 57" xfId="49470"/>
    <cellStyle name="Currency [0,000] TBD 4 58" xfId="49471"/>
    <cellStyle name="Currency [0,000] TBD- 4 58" xfId="49472"/>
    <cellStyle name="Currency [0,000] TBD 4 59" xfId="49473"/>
    <cellStyle name="Currency [0,000] TBD- 4 59" xfId="49474"/>
    <cellStyle name="Currency [0,000] TBD 4 6" xfId="49475"/>
    <cellStyle name="Currency [0,000] TBD- 4 6" xfId="49476"/>
    <cellStyle name="Currency [0,000] TBD 4 60" xfId="49477"/>
    <cellStyle name="Currency [0,000] TBD- 4 60" xfId="49478"/>
    <cellStyle name="Currency [0,000] TBD 4 61" xfId="49479"/>
    <cellStyle name="Currency [0,000] TBD- 4 61" xfId="49480"/>
    <cellStyle name="Currency [0,000] TBD 4 62" xfId="49481"/>
    <cellStyle name="Currency [0,000] TBD- 4 62" xfId="49482"/>
    <cellStyle name="Currency [0,000] TBD 4 63" xfId="49483"/>
    <cellStyle name="Currency [0,000] TBD- 4 63" xfId="49484"/>
    <cellStyle name="Currency [0,000] TBD 4 64" xfId="49485"/>
    <cellStyle name="Currency [0,000] TBD- 4 64" xfId="49486"/>
    <cellStyle name="Currency [0,000] TBD 4 65" xfId="49487"/>
    <cellStyle name="Currency [0,000] TBD- 4 65" xfId="49488"/>
    <cellStyle name="Currency [0,000] TBD 4 66" xfId="49489"/>
    <cellStyle name="Currency [0,000] TBD- 4 66" xfId="49490"/>
    <cellStyle name="Currency [0,000] TBD 4 67" xfId="49491"/>
    <cellStyle name="Currency [0,000] TBD- 4 67" xfId="49492"/>
    <cellStyle name="Currency [0,000] TBD 4 68" xfId="49493"/>
    <cellStyle name="Currency [0,000] TBD- 4 68" xfId="49494"/>
    <cellStyle name="Currency [0,000] TBD 4 69" xfId="49495"/>
    <cellStyle name="Currency [0,000] TBD- 4 69" xfId="49496"/>
    <cellStyle name="Currency [0,000] TBD 4 7" xfId="49497"/>
    <cellStyle name="Currency [0,000] TBD- 4 7" xfId="49498"/>
    <cellStyle name="Currency [0,000] TBD 4 70" xfId="49499"/>
    <cellStyle name="Currency [0,000] TBD- 4 70" xfId="49500"/>
    <cellStyle name="Currency [0,000] TBD 4 71" xfId="49501"/>
    <cellStyle name="Currency [0,000] TBD- 4 71" xfId="49502"/>
    <cellStyle name="Currency [0,000] TBD 4 72" xfId="49503"/>
    <cellStyle name="Currency [0,000] TBD- 4 72" xfId="49504"/>
    <cellStyle name="Currency [0,000] TBD 4 73" xfId="49505"/>
    <cellStyle name="Currency [0,000] TBD- 4 73" xfId="49506"/>
    <cellStyle name="Currency [0,000] TBD 4 74" xfId="49507"/>
    <cellStyle name="Currency [0,000] TBD- 4 74" xfId="49508"/>
    <cellStyle name="Currency [0,000] TBD 4 75" xfId="49509"/>
    <cellStyle name="Currency [0,000] TBD- 4 75" xfId="49510"/>
    <cellStyle name="Currency [0,000] TBD 4 76" xfId="49511"/>
    <cellStyle name="Currency [0,000] TBD- 4 76" xfId="49512"/>
    <cellStyle name="Currency [0,000] TBD 4 77" xfId="49513"/>
    <cellStyle name="Currency [0,000] TBD- 4 77" xfId="49514"/>
    <cellStyle name="Currency [0,000] TBD 4 78" xfId="49515"/>
    <cellStyle name="Currency [0,000] TBD- 4 78" xfId="49516"/>
    <cellStyle name="Currency [0,000] TBD 4 79" xfId="49517"/>
    <cellStyle name="Currency [0,000] TBD- 4 79" xfId="49518"/>
    <cellStyle name="Currency [0,000] TBD 4 8" xfId="49519"/>
    <cellStyle name="Currency [0,000] TBD- 4 8" xfId="49520"/>
    <cellStyle name="Currency [0,000] TBD 4 80" xfId="49521"/>
    <cellStyle name="Currency [0,000] TBD- 4 80" xfId="49522"/>
    <cellStyle name="Currency [0,000] TBD 4 81" xfId="49523"/>
    <cellStyle name="Currency [0,000] TBD- 4 81" xfId="49524"/>
    <cellStyle name="Currency [0,000] TBD 4 82" xfId="49525"/>
    <cellStyle name="Currency [0,000] TBD- 4 82" xfId="49526"/>
    <cellStyle name="Currency [0,000] TBD 4 83" xfId="49527"/>
    <cellStyle name="Currency [0,000] TBD- 4 83" xfId="49528"/>
    <cellStyle name="Currency [0,000] TBD 4 84" xfId="49529"/>
    <cellStyle name="Currency [0,000] TBD- 4 84" xfId="49530"/>
    <cellStyle name="Currency [0,000] TBD 4 85" xfId="49531"/>
    <cellStyle name="Currency [0,000] TBD- 4 85" xfId="49532"/>
    <cellStyle name="Currency [0,000] TBD 4 86" xfId="49533"/>
    <cellStyle name="Currency [0,000] TBD- 4 86" xfId="49534"/>
    <cellStyle name="Currency [0,000] TBD 4 87" xfId="49535"/>
    <cellStyle name="Currency [0,000] TBD- 4 87" xfId="49536"/>
    <cellStyle name="Currency [0,000] TBD 4 88" xfId="49537"/>
    <cellStyle name="Currency [0,000] TBD- 4 88" xfId="49538"/>
    <cellStyle name="Currency [0,000] TBD 4 89" xfId="49539"/>
    <cellStyle name="Currency [0,000] TBD- 4 89" xfId="49540"/>
    <cellStyle name="Currency [0,000] TBD 4 9" xfId="49541"/>
    <cellStyle name="Currency [0,000] TBD- 4 9" xfId="49542"/>
    <cellStyle name="Currency [0,000] TBD 4 90" xfId="49543"/>
    <cellStyle name="Currency [0,000] TBD- 4 90" xfId="49544"/>
    <cellStyle name="Currency [0,000] TBD 4 91" xfId="49545"/>
    <cellStyle name="Currency [0,000] TBD- 4 91" xfId="49546"/>
    <cellStyle name="Currency [0,000] TBD 4 92" xfId="49547"/>
    <cellStyle name="Currency [0,000] TBD- 4 92" xfId="49548"/>
    <cellStyle name="Currency [0,000] TBD 4 93" xfId="49549"/>
    <cellStyle name="Currency [0,000] TBD- 4 93" xfId="49550"/>
    <cellStyle name="Currency [0,000] TBD 4 94" xfId="49551"/>
    <cellStyle name="Currency [0,000] TBD- 4 94" xfId="49552"/>
    <cellStyle name="Currency [0,000] TBD 4 95" xfId="49553"/>
    <cellStyle name="Currency [0,000] TBD- 4 95" xfId="49554"/>
    <cellStyle name="Currency [0,000] TBD 4 96" xfId="49555"/>
    <cellStyle name="Currency [0,000] TBD- 4 96" xfId="49556"/>
    <cellStyle name="Currency [0,000] TBD 4 97" xfId="49557"/>
    <cellStyle name="Currency [0,000] TBD- 4 97" xfId="49558"/>
    <cellStyle name="Currency [0,000] TBD 4 98" xfId="49559"/>
    <cellStyle name="Currency [0,000] TBD- 4 98" xfId="49560"/>
    <cellStyle name="Currency [0,000] TBD 4 99" xfId="49561"/>
    <cellStyle name="Currency [0,000] TBD- 4 99" xfId="49562"/>
    <cellStyle name="Currency [0,000] TBD 5" xfId="49563"/>
    <cellStyle name="Currency [0,000] TBD- 5" xfId="49564"/>
    <cellStyle name="Currency [0,000] TBD 5 10" xfId="49565"/>
    <cellStyle name="Currency [0,000] TBD- 5 10" xfId="49566"/>
    <cellStyle name="Currency [0,000] TBD 5 100" xfId="49567"/>
    <cellStyle name="Currency [0,000] TBD- 5 100" xfId="49568"/>
    <cellStyle name="Currency [0,000] TBD 5 101" xfId="49569"/>
    <cellStyle name="Currency [0,000] TBD- 5 101" xfId="49570"/>
    <cellStyle name="Currency [0,000] TBD 5 102" xfId="49571"/>
    <cellStyle name="Currency [0,000] TBD- 5 102" xfId="49572"/>
    <cellStyle name="Currency [0,000] TBD 5 103" xfId="49573"/>
    <cellStyle name="Currency [0,000] TBD- 5 103" xfId="49574"/>
    <cellStyle name="Currency [0,000] TBD 5 104" xfId="49575"/>
    <cellStyle name="Currency [0,000] TBD- 5 104" xfId="49576"/>
    <cellStyle name="Currency [0,000] TBD 5 105" xfId="49577"/>
    <cellStyle name="Currency [0,000] TBD- 5 105" xfId="49578"/>
    <cellStyle name="Currency [0,000] TBD 5 106" xfId="49579"/>
    <cellStyle name="Currency [0,000] TBD- 5 106" xfId="49580"/>
    <cellStyle name="Currency [0,000] TBD 5 107" xfId="49581"/>
    <cellStyle name="Currency [0,000] TBD- 5 107" xfId="49582"/>
    <cellStyle name="Currency [0,000] TBD 5 108" xfId="49583"/>
    <cellStyle name="Currency [0,000] TBD- 5 108" xfId="49584"/>
    <cellStyle name="Currency [0,000] TBD 5 109" xfId="49585"/>
    <cellStyle name="Currency [0,000] TBD- 5 109" xfId="49586"/>
    <cellStyle name="Currency [0,000] TBD 5 11" xfId="49587"/>
    <cellStyle name="Currency [0,000] TBD- 5 11" xfId="49588"/>
    <cellStyle name="Currency [0,000] TBD 5 110" xfId="49589"/>
    <cellStyle name="Currency [0,000] TBD- 5 110" xfId="49590"/>
    <cellStyle name="Currency [0,000] TBD 5 111" xfId="49591"/>
    <cellStyle name="Currency [0,000] TBD- 5 111" xfId="49592"/>
    <cellStyle name="Currency [0,000] TBD 5 112" xfId="49593"/>
    <cellStyle name="Currency [0,000] TBD- 5 112" xfId="49594"/>
    <cellStyle name="Currency [0,000] TBD 5 113" xfId="49595"/>
    <cellStyle name="Currency [0,000] TBD- 5 113" xfId="49596"/>
    <cellStyle name="Currency [0,000] TBD 5 114" xfId="49597"/>
    <cellStyle name="Currency [0,000] TBD- 5 114" xfId="49598"/>
    <cellStyle name="Currency [0,000] TBD 5 115" xfId="49599"/>
    <cellStyle name="Currency [0,000] TBD- 5 115" xfId="49600"/>
    <cellStyle name="Currency [0,000] TBD 5 116" xfId="49601"/>
    <cellStyle name="Currency [0,000] TBD- 5 116" xfId="49602"/>
    <cellStyle name="Currency [0,000] TBD 5 117" xfId="49603"/>
    <cellStyle name="Currency [0,000] TBD- 5 117" xfId="49604"/>
    <cellStyle name="Currency [0,000] TBD 5 118" xfId="49605"/>
    <cellStyle name="Currency [0,000] TBD- 5 118" xfId="49606"/>
    <cellStyle name="Currency [0,000] TBD 5 119" xfId="49607"/>
    <cellStyle name="Currency [0,000] TBD- 5 119" xfId="49608"/>
    <cellStyle name="Currency [0,000] TBD 5 12" xfId="49609"/>
    <cellStyle name="Currency [0,000] TBD- 5 12" xfId="49610"/>
    <cellStyle name="Currency [0,000] TBD 5 120" xfId="49611"/>
    <cellStyle name="Currency [0,000] TBD- 5 120" xfId="49612"/>
    <cellStyle name="Currency [0,000] TBD 5 121" xfId="49613"/>
    <cellStyle name="Currency [0,000] TBD- 5 121" xfId="49614"/>
    <cellStyle name="Currency [0,000] TBD 5 122" xfId="49615"/>
    <cellStyle name="Currency [0,000] TBD- 5 122" xfId="49616"/>
    <cellStyle name="Currency [0,000] TBD 5 123" xfId="49617"/>
    <cellStyle name="Currency [0,000] TBD- 5 123" xfId="49618"/>
    <cellStyle name="Currency [0,000] TBD 5 124" xfId="49619"/>
    <cellStyle name="Currency [0,000] TBD- 5 124" xfId="49620"/>
    <cellStyle name="Currency [0,000] TBD 5 125" xfId="49621"/>
    <cellStyle name="Currency [0,000] TBD- 5 125" xfId="49622"/>
    <cellStyle name="Currency [0,000] TBD 5 126" xfId="49623"/>
    <cellStyle name="Currency [0,000] TBD- 5 126" xfId="49624"/>
    <cellStyle name="Currency [0,000] TBD 5 127" xfId="49625"/>
    <cellStyle name="Currency [0,000] TBD- 5 127" xfId="49626"/>
    <cellStyle name="Currency [0,000] TBD 5 128" xfId="49627"/>
    <cellStyle name="Currency [0,000] TBD- 5 128" xfId="49628"/>
    <cellStyle name="Currency [0,000] TBD 5 129" xfId="49629"/>
    <cellStyle name="Currency [0,000] TBD- 5 129" xfId="49630"/>
    <cellStyle name="Currency [0,000] TBD 5 13" xfId="49631"/>
    <cellStyle name="Currency [0,000] TBD- 5 13" xfId="49632"/>
    <cellStyle name="Currency [0,000] TBD 5 130" xfId="49633"/>
    <cellStyle name="Currency [0,000] TBD- 5 130" xfId="49634"/>
    <cellStyle name="Currency [0,000] TBD 5 131" xfId="49635"/>
    <cellStyle name="Currency [0,000] TBD- 5 131" xfId="49636"/>
    <cellStyle name="Currency [0,000] TBD 5 132" xfId="49637"/>
    <cellStyle name="Currency [0,000] TBD- 5 132" xfId="49638"/>
    <cellStyle name="Currency [0,000] TBD 5 133" xfId="49639"/>
    <cellStyle name="Currency [0,000] TBD- 5 133" xfId="49640"/>
    <cellStyle name="Currency [0,000] TBD 5 134" xfId="49641"/>
    <cellStyle name="Currency [0,000] TBD- 5 134" xfId="49642"/>
    <cellStyle name="Currency [0,000] TBD 5 135" xfId="49643"/>
    <cellStyle name="Currency [0,000] TBD- 5 135" xfId="49644"/>
    <cellStyle name="Currency [0,000] TBD 5 136" xfId="49645"/>
    <cellStyle name="Currency [0,000] TBD- 5 136" xfId="49646"/>
    <cellStyle name="Currency [0,000] TBD 5 137" xfId="49647"/>
    <cellStyle name="Currency [0,000] TBD- 5 137" xfId="49648"/>
    <cellStyle name="Currency [0,000] TBD 5 138" xfId="49649"/>
    <cellStyle name="Currency [0,000] TBD- 5 138" xfId="49650"/>
    <cellStyle name="Currency [0,000] TBD 5 139" xfId="49651"/>
    <cellStyle name="Currency [0,000] TBD- 5 139" xfId="49652"/>
    <cellStyle name="Currency [0,000] TBD 5 14" xfId="49653"/>
    <cellStyle name="Currency [0,000] TBD- 5 14" xfId="49654"/>
    <cellStyle name="Currency [0,000] TBD 5 140" xfId="49655"/>
    <cellStyle name="Currency [0,000] TBD- 5 140" xfId="49656"/>
    <cellStyle name="Currency [0,000] TBD 5 141" xfId="49657"/>
    <cellStyle name="Currency [0,000] TBD- 5 141" xfId="49658"/>
    <cellStyle name="Currency [0,000] TBD 5 142" xfId="49659"/>
    <cellStyle name="Currency [0,000] TBD- 5 142" xfId="49660"/>
    <cellStyle name="Currency [0,000] TBD 5 143" xfId="49661"/>
    <cellStyle name="Currency [0,000] TBD- 5 143" xfId="49662"/>
    <cellStyle name="Currency [0,000] TBD 5 144" xfId="49663"/>
    <cellStyle name="Currency [0,000] TBD- 5 144" xfId="49664"/>
    <cellStyle name="Currency [0,000] TBD 5 145" xfId="49665"/>
    <cellStyle name="Currency [0,000] TBD- 5 145" xfId="49666"/>
    <cellStyle name="Currency [0,000] TBD 5 146" xfId="49667"/>
    <cellStyle name="Currency [0,000] TBD- 5 146" xfId="49668"/>
    <cellStyle name="Currency [0,000] TBD 5 147" xfId="49669"/>
    <cellStyle name="Currency [0,000] TBD- 5 147" xfId="49670"/>
    <cellStyle name="Currency [0,000] TBD 5 148" xfId="49671"/>
    <cellStyle name="Currency [0,000] TBD- 5 148" xfId="49672"/>
    <cellStyle name="Currency [0,000] TBD 5 149" xfId="49673"/>
    <cellStyle name="Currency [0,000] TBD- 5 149" xfId="49674"/>
    <cellStyle name="Currency [0,000] TBD 5 15" xfId="49675"/>
    <cellStyle name="Currency [0,000] TBD- 5 15" xfId="49676"/>
    <cellStyle name="Currency [0,000] TBD 5 150" xfId="49677"/>
    <cellStyle name="Currency [0,000] TBD- 5 150" xfId="49678"/>
    <cellStyle name="Currency [0,000] TBD 5 151" xfId="49679"/>
    <cellStyle name="Currency [0,000] TBD- 5 151" xfId="49680"/>
    <cellStyle name="Currency [0,000] TBD 5 152" xfId="49681"/>
    <cellStyle name="Currency [0,000] TBD- 5 152" xfId="49682"/>
    <cellStyle name="Currency [0,000] TBD 5 153" xfId="49683"/>
    <cellStyle name="Currency [0,000] TBD- 5 153" xfId="49684"/>
    <cellStyle name="Currency [0,000] TBD 5 16" xfId="49685"/>
    <cellStyle name="Currency [0,000] TBD- 5 16" xfId="49686"/>
    <cellStyle name="Currency [0,000] TBD 5 17" xfId="49687"/>
    <cellStyle name="Currency [0,000] TBD- 5 17" xfId="49688"/>
    <cellStyle name="Currency [0,000] TBD 5 18" xfId="49689"/>
    <cellStyle name="Currency [0,000] TBD- 5 18" xfId="49690"/>
    <cellStyle name="Currency [0,000] TBD 5 19" xfId="49691"/>
    <cellStyle name="Currency [0,000] TBD- 5 19" xfId="49692"/>
    <cellStyle name="Currency [0,000] TBD 5 2" xfId="49693"/>
    <cellStyle name="Currency [0,000] TBD- 5 2" xfId="49694"/>
    <cellStyle name="Currency [0,000] TBD 5 20" xfId="49695"/>
    <cellStyle name="Currency [0,000] TBD- 5 20" xfId="49696"/>
    <cellStyle name="Currency [0,000] TBD 5 21" xfId="49697"/>
    <cellStyle name="Currency [0,000] TBD- 5 21" xfId="49698"/>
    <cellStyle name="Currency [0,000] TBD 5 22" xfId="49699"/>
    <cellStyle name="Currency [0,000] TBD- 5 22" xfId="49700"/>
    <cellStyle name="Currency [0,000] TBD 5 23" xfId="49701"/>
    <cellStyle name="Currency [0,000] TBD- 5 23" xfId="49702"/>
    <cellStyle name="Currency [0,000] TBD 5 24" xfId="49703"/>
    <cellStyle name="Currency [0,000] TBD- 5 24" xfId="49704"/>
    <cellStyle name="Currency [0,000] TBD 5 25" xfId="49705"/>
    <cellStyle name="Currency [0,000] TBD- 5 25" xfId="49706"/>
    <cellStyle name="Currency [0,000] TBD 5 26" xfId="49707"/>
    <cellStyle name="Currency [0,000] TBD- 5 26" xfId="49708"/>
    <cellStyle name="Currency [0,000] TBD 5 27" xfId="49709"/>
    <cellStyle name="Currency [0,000] TBD- 5 27" xfId="49710"/>
    <cellStyle name="Currency [0,000] TBD 5 28" xfId="49711"/>
    <cellStyle name="Currency [0,000] TBD- 5 28" xfId="49712"/>
    <cellStyle name="Currency [0,000] TBD 5 29" xfId="49713"/>
    <cellStyle name="Currency [0,000] TBD- 5 29" xfId="49714"/>
    <cellStyle name="Currency [0,000] TBD 5 3" xfId="49715"/>
    <cellStyle name="Currency [0,000] TBD- 5 3" xfId="49716"/>
    <cellStyle name="Currency [0,000] TBD 5 30" xfId="49717"/>
    <cellStyle name="Currency [0,000] TBD- 5 30" xfId="49718"/>
    <cellStyle name="Currency [0,000] TBD 5 31" xfId="49719"/>
    <cellStyle name="Currency [0,000] TBD- 5 31" xfId="49720"/>
    <cellStyle name="Currency [0,000] TBD 5 32" xfId="49721"/>
    <cellStyle name="Currency [0,000] TBD- 5 32" xfId="49722"/>
    <cellStyle name="Currency [0,000] TBD 5 33" xfId="49723"/>
    <cellStyle name="Currency [0,000] TBD- 5 33" xfId="49724"/>
    <cellStyle name="Currency [0,000] TBD 5 34" xfId="49725"/>
    <cellStyle name="Currency [0,000] TBD- 5 34" xfId="49726"/>
    <cellStyle name="Currency [0,000] TBD 5 35" xfId="49727"/>
    <cellStyle name="Currency [0,000] TBD- 5 35" xfId="49728"/>
    <cellStyle name="Currency [0,000] TBD 5 36" xfId="49729"/>
    <cellStyle name="Currency [0,000] TBD- 5 36" xfId="49730"/>
    <cellStyle name="Currency [0,000] TBD 5 37" xfId="49731"/>
    <cellStyle name="Currency [0,000] TBD- 5 37" xfId="49732"/>
    <cellStyle name="Currency [0,000] TBD 5 38" xfId="49733"/>
    <cellStyle name="Currency [0,000] TBD- 5 38" xfId="49734"/>
    <cellStyle name="Currency [0,000] TBD 5 39" xfId="49735"/>
    <cellStyle name="Currency [0,000] TBD- 5 39" xfId="49736"/>
    <cellStyle name="Currency [0,000] TBD 5 4" xfId="49737"/>
    <cellStyle name="Currency [0,000] TBD- 5 4" xfId="49738"/>
    <cellStyle name="Currency [0,000] TBD 5 40" xfId="49739"/>
    <cellStyle name="Currency [0,000] TBD- 5 40" xfId="49740"/>
    <cellStyle name="Currency [0,000] TBD 5 41" xfId="49741"/>
    <cellStyle name="Currency [0,000] TBD- 5 41" xfId="49742"/>
    <cellStyle name="Currency [0,000] TBD 5 42" xfId="49743"/>
    <cellStyle name="Currency [0,000] TBD- 5 42" xfId="49744"/>
    <cellStyle name="Currency [0,000] TBD 5 43" xfId="49745"/>
    <cellStyle name="Currency [0,000] TBD- 5 43" xfId="49746"/>
    <cellStyle name="Currency [0,000] TBD 5 44" xfId="49747"/>
    <cellStyle name="Currency [0,000] TBD- 5 44" xfId="49748"/>
    <cellStyle name="Currency [0,000] TBD 5 45" xfId="49749"/>
    <cellStyle name="Currency [0,000] TBD- 5 45" xfId="49750"/>
    <cellStyle name="Currency [0,000] TBD 5 46" xfId="49751"/>
    <cellStyle name="Currency [0,000] TBD- 5 46" xfId="49752"/>
    <cellStyle name="Currency [0,000] TBD 5 47" xfId="49753"/>
    <cellStyle name="Currency [0,000] TBD- 5 47" xfId="49754"/>
    <cellStyle name="Currency [0,000] TBD 5 48" xfId="49755"/>
    <cellStyle name="Currency [0,000] TBD- 5 48" xfId="49756"/>
    <cellStyle name="Currency [0,000] TBD 5 49" xfId="49757"/>
    <cellStyle name="Currency [0,000] TBD- 5 49" xfId="49758"/>
    <cellStyle name="Currency [0,000] TBD 5 5" xfId="49759"/>
    <cellStyle name="Currency [0,000] TBD- 5 5" xfId="49760"/>
    <cellStyle name="Currency [0,000] TBD 5 50" xfId="49761"/>
    <cellStyle name="Currency [0,000] TBD- 5 50" xfId="49762"/>
    <cellStyle name="Currency [0,000] TBD 5 51" xfId="49763"/>
    <cellStyle name="Currency [0,000] TBD- 5 51" xfId="49764"/>
    <cellStyle name="Currency [0,000] TBD 5 52" xfId="49765"/>
    <cellStyle name="Currency [0,000] TBD- 5 52" xfId="49766"/>
    <cellStyle name="Currency [0,000] TBD 5 53" xfId="49767"/>
    <cellStyle name="Currency [0,000] TBD- 5 53" xfId="49768"/>
    <cellStyle name="Currency [0,000] TBD 5 54" xfId="49769"/>
    <cellStyle name="Currency [0,000] TBD- 5 54" xfId="49770"/>
    <cellStyle name="Currency [0,000] TBD 5 55" xfId="49771"/>
    <cellStyle name="Currency [0,000] TBD- 5 55" xfId="49772"/>
    <cellStyle name="Currency [0,000] TBD 5 56" xfId="49773"/>
    <cellStyle name="Currency [0,000] TBD- 5 56" xfId="49774"/>
    <cellStyle name="Currency [0,000] TBD 5 57" xfId="49775"/>
    <cellStyle name="Currency [0,000] TBD- 5 57" xfId="49776"/>
    <cellStyle name="Currency [0,000] TBD 5 58" xfId="49777"/>
    <cellStyle name="Currency [0,000] TBD- 5 58" xfId="49778"/>
    <cellStyle name="Currency [0,000] TBD 5 59" xfId="49779"/>
    <cellStyle name="Currency [0,000] TBD- 5 59" xfId="49780"/>
    <cellStyle name="Currency [0,000] TBD 5 6" xfId="49781"/>
    <cellStyle name="Currency [0,000] TBD- 5 6" xfId="49782"/>
    <cellStyle name="Currency [0,000] TBD 5 60" xfId="49783"/>
    <cellStyle name="Currency [0,000] TBD- 5 60" xfId="49784"/>
    <cellStyle name="Currency [0,000] TBD 5 61" xfId="49785"/>
    <cellStyle name="Currency [0,000] TBD- 5 61" xfId="49786"/>
    <cellStyle name="Currency [0,000] TBD 5 62" xfId="49787"/>
    <cellStyle name="Currency [0,000] TBD- 5 62" xfId="49788"/>
    <cellStyle name="Currency [0,000] TBD 5 63" xfId="49789"/>
    <cellStyle name="Currency [0,000] TBD- 5 63" xfId="49790"/>
    <cellStyle name="Currency [0,000] TBD 5 64" xfId="49791"/>
    <cellStyle name="Currency [0,000] TBD- 5 64" xfId="49792"/>
    <cellStyle name="Currency [0,000] TBD 5 65" xfId="49793"/>
    <cellStyle name="Currency [0,000] TBD- 5 65" xfId="49794"/>
    <cellStyle name="Currency [0,000] TBD 5 66" xfId="49795"/>
    <cellStyle name="Currency [0,000] TBD- 5 66" xfId="49796"/>
    <cellStyle name="Currency [0,000] TBD 5 67" xfId="49797"/>
    <cellStyle name="Currency [0,000] TBD- 5 67" xfId="49798"/>
    <cellStyle name="Currency [0,000] TBD 5 68" xfId="49799"/>
    <cellStyle name="Currency [0,000] TBD- 5 68" xfId="49800"/>
    <cellStyle name="Currency [0,000] TBD 5 69" xfId="49801"/>
    <cellStyle name="Currency [0,000] TBD- 5 69" xfId="49802"/>
    <cellStyle name="Currency [0,000] TBD 5 7" xfId="49803"/>
    <cellStyle name="Currency [0,000] TBD- 5 7" xfId="49804"/>
    <cellStyle name="Currency [0,000] TBD 5 70" xfId="49805"/>
    <cellStyle name="Currency [0,000] TBD- 5 70" xfId="49806"/>
    <cellStyle name="Currency [0,000] TBD 5 71" xfId="49807"/>
    <cellStyle name="Currency [0,000] TBD- 5 71" xfId="49808"/>
    <cellStyle name="Currency [0,000] TBD 5 72" xfId="49809"/>
    <cellStyle name="Currency [0,000] TBD- 5 72" xfId="49810"/>
    <cellStyle name="Currency [0,000] TBD 5 73" xfId="49811"/>
    <cellStyle name="Currency [0,000] TBD- 5 73" xfId="49812"/>
    <cellStyle name="Currency [0,000] TBD 5 74" xfId="49813"/>
    <cellStyle name="Currency [0,000] TBD- 5 74" xfId="49814"/>
    <cellStyle name="Currency [0,000] TBD 5 75" xfId="49815"/>
    <cellStyle name="Currency [0,000] TBD- 5 75" xfId="49816"/>
    <cellStyle name="Currency [0,000] TBD 5 76" xfId="49817"/>
    <cellStyle name="Currency [0,000] TBD- 5 76" xfId="49818"/>
    <cellStyle name="Currency [0,000] TBD 5 77" xfId="49819"/>
    <cellStyle name="Currency [0,000] TBD- 5 77" xfId="49820"/>
    <cellStyle name="Currency [0,000] TBD 5 78" xfId="49821"/>
    <cellStyle name="Currency [0,000] TBD- 5 78" xfId="49822"/>
    <cellStyle name="Currency [0,000] TBD 5 79" xfId="49823"/>
    <cellStyle name="Currency [0,000] TBD- 5 79" xfId="49824"/>
    <cellStyle name="Currency [0,000] TBD 5 8" xfId="49825"/>
    <cellStyle name="Currency [0,000] TBD- 5 8" xfId="49826"/>
    <cellStyle name="Currency [0,000] TBD 5 80" xfId="49827"/>
    <cellStyle name="Currency [0,000] TBD- 5 80" xfId="49828"/>
    <cellStyle name="Currency [0,000] TBD 5 81" xfId="49829"/>
    <cellStyle name="Currency [0,000] TBD- 5 81" xfId="49830"/>
    <cellStyle name="Currency [0,000] TBD 5 82" xfId="49831"/>
    <cellStyle name="Currency [0,000] TBD- 5 82" xfId="49832"/>
    <cellStyle name="Currency [0,000] TBD 5 83" xfId="49833"/>
    <cellStyle name="Currency [0,000] TBD- 5 83" xfId="49834"/>
    <cellStyle name="Currency [0,000] TBD 5 84" xfId="49835"/>
    <cellStyle name="Currency [0,000] TBD- 5 84" xfId="49836"/>
    <cellStyle name="Currency [0,000] TBD 5 85" xfId="49837"/>
    <cellStyle name="Currency [0,000] TBD- 5 85" xfId="49838"/>
    <cellStyle name="Currency [0,000] TBD 5 86" xfId="49839"/>
    <cellStyle name="Currency [0,000] TBD- 5 86" xfId="49840"/>
    <cellStyle name="Currency [0,000] TBD 5 87" xfId="49841"/>
    <cellStyle name="Currency [0,000] TBD- 5 87" xfId="49842"/>
    <cellStyle name="Currency [0,000] TBD 5 88" xfId="49843"/>
    <cellStyle name="Currency [0,000] TBD- 5 88" xfId="49844"/>
    <cellStyle name="Currency [0,000] TBD 5 89" xfId="49845"/>
    <cellStyle name="Currency [0,000] TBD- 5 89" xfId="49846"/>
    <cellStyle name="Currency [0,000] TBD 5 9" xfId="49847"/>
    <cellStyle name="Currency [0,000] TBD- 5 9" xfId="49848"/>
    <cellStyle name="Currency [0,000] TBD 5 90" xfId="49849"/>
    <cellStyle name="Currency [0,000] TBD- 5 90" xfId="49850"/>
    <cellStyle name="Currency [0,000] TBD 5 91" xfId="49851"/>
    <cellStyle name="Currency [0,000] TBD- 5 91" xfId="49852"/>
    <cellStyle name="Currency [0,000] TBD 5 92" xfId="49853"/>
    <cellStyle name="Currency [0,000] TBD- 5 92" xfId="49854"/>
    <cellStyle name="Currency [0,000] TBD 5 93" xfId="49855"/>
    <cellStyle name="Currency [0,000] TBD- 5 93" xfId="49856"/>
    <cellStyle name="Currency [0,000] TBD 5 94" xfId="49857"/>
    <cellStyle name="Currency [0,000] TBD- 5 94" xfId="49858"/>
    <cellStyle name="Currency [0,000] TBD 5 95" xfId="49859"/>
    <cellStyle name="Currency [0,000] TBD- 5 95" xfId="49860"/>
    <cellStyle name="Currency [0,000] TBD 5 96" xfId="49861"/>
    <cellStyle name="Currency [0,000] TBD- 5 96" xfId="49862"/>
    <cellStyle name="Currency [0,000] TBD 5 97" xfId="49863"/>
    <cellStyle name="Currency [0,000] TBD- 5 97" xfId="49864"/>
    <cellStyle name="Currency [0,000] TBD 5 98" xfId="49865"/>
    <cellStyle name="Currency [0,000] TBD- 5 98" xfId="49866"/>
    <cellStyle name="Currency [0,000] TBD 5 99" xfId="49867"/>
    <cellStyle name="Currency [0,000] TBD- 5 99" xfId="49868"/>
    <cellStyle name="Currency [0,000] TBD 6" xfId="49869"/>
    <cellStyle name="Currency [0,000] TBD- 6" xfId="49870"/>
    <cellStyle name="Currency [0,000] TBD 6 10" xfId="49871"/>
    <cellStyle name="Currency [0,000] TBD- 6 10" xfId="49872"/>
    <cellStyle name="Currency [0,000] TBD 6 100" xfId="49873"/>
    <cellStyle name="Currency [0,000] TBD- 6 100" xfId="49874"/>
    <cellStyle name="Currency [0,000] TBD 6 101" xfId="49875"/>
    <cellStyle name="Currency [0,000] TBD- 6 101" xfId="49876"/>
    <cellStyle name="Currency [0,000] TBD 6 102" xfId="49877"/>
    <cellStyle name="Currency [0,000] TBD- 6 102" xfId="49878"/>
    <cellStyle name="Currency [0,000] TBD 6 103" xfId="49879"/>
    <cellStyle name="Currency [0,000] TBD- 6 103" xfId="49880"/>
    <cellStyle name="Currency [0,000] TBD 6 104" xfId="49881"/>
    <cellStyle name="Currency [0,000] TBD- 6 104" xfId="49882"/>
    <cellStyle name="Currency [0,000] TBD 6 105" xfId="49883"/>
    <cellStyle name="Currency [0,000] TBD- 6 105" xfId="49884"/>
    <cellStyle name="Currency [0,000] TBD 6 106" xfId="49885"/>
    <cellStyle name="Currency [0,000] TBD- 6 106" xfId="49886"/>
    <cellStyle name="Currency [0,000] TBD 6 107" xfId="49887"/>
    <cellStyle name="Currency [0,000] TBD- 6 107" xfId="49888"/>
    <cellStyle name="Currency [0,000] TBD 6 108" xfId="49889"/>
    <cellStyle name="Currency [0,000] TBD- 6 108" xfId="49890"/>
    <cellStyle name="Currency [0,000] TBD 6 109" xfId="49891"/>
    <cellStyle name="Currency [0,000] TBD- 6 109" xfId="49892"/>
    <cellStyle name="Currency [0,000] TBD 6 11" xfId="49893"/>
    <cellStyle name="Currency [0,000] TBD- 6 11" xfId="49894"/>
    <cellStyle name="Currency [0,000] TBD 6 110" xfId="49895"/>
    <cellStyle name="Currency [0,000] TBD- 6 110" xfId="49896"/>
    <cellStyle name="Currency [0,000] TBD 6 111" xfId="49897"/>
    <cellStyle name="Currency [0,000] TBD- 6 111" xfId="49898"/>
    <cellStyle name="Currency [0,000] TBD 6 112" xfId="49899"/>
    <cellStyle name="Currency [0,000] TBD- 6 112" xfId="49900"/>
    <cellStyle name="Currency [0,000] TBD 6 113" xfId="49901"/>
    <cellStyle name="Currency [0,000] TBD- 6 113" xfId="49902"/>
    <cellStyle name="Currency [0,000] TBD 6 114" xfId="49903"/>
    <cellStyle name="Currency [0,000] TBD- 6 114" xfId="49904"/>
    <cellStyle name="Currency [0,000] TBD 6 115" xfId="49905"/>
    <cellStyle name="Currency [0,000] TBD- 6 115" xfId="49906"/>
    <cellStyle name="Currency [0,000] TBD 6 116" xfId="49907"/>
    <cellStyle name="Currency [0,000] TBD- 6 116" xfId="49908"/>
    <cellStyle name="Currency [0,000] TBD 6 117" xfId="49909"/>
    <cellStyle name="Currency [0,000] TBD- 6 117" xfId="49910"/>
    <cellStyle name="Currency [0,000] TBD 6 118" xfId="49911"/>
    <cellStyle name="Currency [0,000] TBD- 6 118" xfId="49912"/>
    <cellStyle name="Currency [0,000] TBD 6 119" xfId="49913"/>
    <cellStyle name="Currency [0,000] TBD- 6 119" xfId="49914"/>
    <cellStyle name="Currency [0,000] TBD 6 12" xfId="49915"/>
    <cellStyle name="Currency [0,000] TBD- 6 12" xfId="49916"/>
    <cellStyle name="Currency [0,000] TBD 6 120" xfId="49917"/>
    <cellStyle name="Currency [0,000] TBD- 6 120" xfId="49918"/>
    <cellStyle name="Currency [0,000] TBD 6 121" xfId="49919"/>
    <cellStyle name="Currency [0,000] TBD- 6 121" xfId="49920"/>
    <cellStyle name="Currency [0,000] TBD 6 122" xfId="49921"/>
    <cellStyle name="Currency [0,000] TBD- 6 122" xfId="49922"/>
    <cellStyle name="Currency [0,000] TBD 6 123" xfId="49923"/>
    <cellStyle name="Currency [0,000] TBD- 6 123" xfId="49924"/>
    <cellStyle name="Currency [0,000] TBD 6 124" xfId="49925"/>
    <cellStyle name="Currency [0,000] TBD- 6 124" xfId="49926"/>
    <cellStyle name="Currency [0,000] TBD 6 125" xfId="49927"/>
    <cellStyle name="Currency [0,000] TBD- 6 125" xfId="49928"/>
    <cellStyle name="Currency [0,000] TBD 6 126" xfId="49929"/>
    <cellStyle name="Currency [0,000] TBD- 6 126" xfId="49930"/>
    <cellStyle name="Currency [0,000] TBD 6 127" xfId="49931"/>
    <cellStyle name="Currency [0,000] TBD- 6 127" xfId="49932"/>
    <cellStyle name="Currency [0,000] TBD 6 128" xfId="49933"/>
    <cellStyle name="Currency [0,000] TBD- 6 128" xfId="49934"/>
    <cellStyle name="Currency [0,000] TBD 6 129" xfId="49935"/>
    <cellStyle name="Currency [0,000] TBD- 6 129" xfId="49936"/>
    <cellStyle name="Currency [0,000] TBD 6 13" xfId="49937"/>
    <cellStyle name="Currency [0,000] TBD- 6 13" xfId="49938"/>
    <cellStyle name="Currency [0,000] TBD 6 130" xfId="49939"/>
    <cellStyle name="Currency [0,000] TBD- 6 130" xfId="49940"/>
    <cellStyle name="Currency [0,000] TBD 6 131" xfId="49941"/>
    <cellStyle name="Currency [0,000] TBD- 6 131" xfId="49942"/>
    <cellStyle name="Currency [0,000] TBD 6 132" xfId="49943"/>
    <cellStyle name="Currency [0,000] TBD- 6 132" xfId="49944"/>
    <cellStyle name="Currency [0,000] TBD 6 133" xfId="49945"/>
    <cellStyle name="Currency [0,000] TBD- 6 133" xfId="49946"/>
    <cellStyle name="Currency [0,000] TBD 6 134" xfId="49947"/>
    <cellStyle name="Currency [0,000] TBD- 6 134" xfId="49948"/>
    <cellStyle name="Currency [0,000] TBD 6 135" xfId="49949"/>
    <cellStyle name="Currency [0,000] TBD- 6 135" xfId="49950"/>
    <cellStyle name="Currency [0,000] TBD 6 136" xfId="49951"/>
    <cellStyle name="Currency [0,000] TBD- 6 136" xfId="49952"/>
    <cellStyle name="Currency [0,000] TBD 6 137" xfId="49953"/>
    <cellStyle name="Currency [0,000] TBD- 6 137" xfId="49954"/>
    <cellStyle name="Currency [0,000] TBD 6 138" xfId="49955"/>
    <cellStyle name="Currency [0,000] TBD- 6 138" xfId="49956"/>
    <cellStyle name="Currency [0,000] TBD 6 139" xfId="49957"/>
    <cellStyle name="Currency [0,000] TBD- 6 139" xfId="49958"/>
    <cellStyle name="Currency [0,000] TBD 6 14" xfId="49959"/>
    <cellStyle name="Currency [0,000] TBD- 6 14" xfId="49960"/>
    <cellStyle name="Currency [0,000] TBD 6 140" xfId="49961"/>
    <cellStyle name="Currency [0,000] TBD- 6 140" xfId="49962"/>
    <cellStyle name="Currency [0,000] TBD 6 141" xfId="49963"/>
    <cellStyle name="Currency [0,000] TBD- 6 141" xfId="49964"/>
    <cellStyle name="Currency [0,000] TBD 6 142" xfId="49965"/>
    <cellStyle name="Currency [0,000] TBD- 6 142" xfId="49966"/>
    <cellStyle name="Currency [0,000] TBD 6 143" xfId="49967"/>
    <cellStyle name="Currency [0,000] TBD- 6 143" xfId="49968"/>
    <cellStyle name="Currency [0,000] TBD 6 144" xfId="49969"/>
    <cellStyle name="Currency [0,000] TBD- 6 144" xfId="49970"/>
    <cellStyle name="Currency [0,000] TBD 6 145" xfId="49971"/>
    <cellStyle name="Currency [0,000] TBD- 6 145" xfId="49972"/>
    <cellStyle name="Currency [0,000] TBD 6 146" xfId="49973"/>
    <cellStyle name="Currency [0,000] TBD- 6 146" xfId="49974"/>
    <cellStyle name="Currency [0,000] TBD 6 147" xfId="49975"/>
    <cellStyle name="Currency [0,000] TBD- 6 147" xfId="49976"/>
    <cellStyle name="Currency [0,000] TBD 6 148" xfId="49977"/>
    <cellStyle name="Currency [0,000] TBD- 6 148" xfId="49978"/>
    <cellStyle name="Currency [0,000] TBD 6 149" xfId="49979"/>
    <cellStyle name="Currency [0,000] TBD- 6 149" xfId="49980"/>
    <cellStyle name="Currency [0,000] TBD 6 15" xfId="49981"/>
    <cellStyle name="Currency [0,000] TBD- 6 15" xfId="49982"/>
    <cellStyle name="Currency [0,000] TBD 6 150" xfId="49983"/>
    <cellStyle name="Currency [0,000] TBD- 6 150" xfId="49984"/>
    <cellStyle name="Currency [0,000] TBD 6 151" xfId="49985"/>
    <cellStyle name="Currency [0,000] TBD- 6 151" xfId="49986"/>
    <cellStyle name="Currency [0,000] TBD 6 152" xfId="49987"/>
    <cellStyle name="Currency [0,000] TBD- 6 152" xfId="49988"/>
    <cellStyle name="Currency [0,000] TBD 6 153" xfId="49989"/>
    <cellStyle name="Currency [0,000] TBD- 6 153" xfId="49990"/>
    <cellStyle name="Currency [0,000] TBD 6 16" xfId="49991"/>
    <cellStyle name="Currency [0,000] TBD- 6 16" xfId="49992"/>
    <cellStyle name="Currency [0,000] TBD 6 17" xfId="49993"/>
    <cellStyle name="Currency [0,000] TBD- 6 17" xfId="49994"/>
    <cellStyle name="Currency [0,000] TBD 6 18" xfId="49995"/>
    <cellStyle name="Currency [0,000] TBD- 6 18" xfId="49996"/>
    <cellStyle name="Currency [0,000] TBD 6 19" xfId="49997"/>
    <cellStyle name="Currency [0,000] TBD- 6 19" xfId="49998"/>
    <cellStyle name="Currency [0,000] TBD 6 2" xfId="49999"/>
    <cellStyle name="Currency [0,000] TBD- 6 2" xfId="50000"/>
    <cellStyle name="Currency [0,000] TBD 6 20" xfId="50001"/>
    <cellStyle name="Currency [0,000] TBD- 6 20" xfId="50002"/>
    <cellStyle name="Currency [0,000] TBD 6 21" xfId="50003"/>
    <cellStyle name="Currency [0,000] TBD- 6 21" xfId="50004"/>
    <cellStyle name="Currency [0,000] TBD 6 22" xfId="50005"/>
    <cellStyle name="Currency [0,000] TBD- 6 22" xfId="50006"/>
    <cellStyle name="Currency [0,000] TBD 6 23" xfId="50007"/>
    <cellStyle name="Currency [0,000] TBD- 6 23" xfId="50008"/>
    <cellStyle name="Currency [0,000] TBD 6 24" xfId="50009"/>
    <cellStyle name="Currency [0,000] TBD- 6 24" xfId="50010"/>
    <cellStyle name="Currency [0,000] TBD 6 25" xfId="50011"/>
    <cellStyle name="Currency [0,000] TBD- 6 25" xfId="50012"/>
    <cellStyle name="Currency [0,000] TBD 6 26" xfId="50013"/>
    <cellStyle name="Currency [0,000] TBD- 6 26" xfId="50014"/>
    <cellStyle name="Currency [0,000] TBD 6 27" xfId="50015"/>
    <cellStyle name="Currency [0,000] TBD- 6 27" xfId="50016"/>
    <cellStyle name="Currency [0,000] TBD 6 28" xfId="50017"/>
    <cellStyle name="Currency [0,000] TBD- 6 28" xfId="50018"/>
    <cellStyle name="Currency [0,000] TBD 6 29" xfId="50019"/>
    <cellStyle name="Currency [0,000] TBD- 6 29" xfId="50020"/>
    <cellStyle name="Currency [0,000] TBD 6 3" xfId="50021"/>
    <cellStyle name="Currency [0,000] TBD- 6 3" xfId="50022"/>
    <cellStyle name="Currency [0,000] TBD 6 30" xfId="50023"/>
    <cellStyle name="Currency [0,000] TBD- 6 30" xfId="50024"/>
    <cellStyle name="Currency [0,000] TBD 6 31" xfId="50025"/>
    <cellStyle name="Currency [0,000] TBD- 6 31" xfId="50026"/>
    <cellStyle name="Currency [0,000] TBD 6 32" xfId="50027"/>
    <cellStyle name="Currency [0,000] TBD- 6 32" xfId="50028"/>
    <cellStyle name="Currency [0,000] TBD 6 33" xfId="50029"/>
    <cellStyle name="Currency [0,000] TBD- 6 33" xfId="50030"/>
    <cellStyle name="Currency [0,000] TBD 6 34" xfId="50031"/>
    <cellStyle name="Currency [0,000] TBD- 6 34" xfId="50032"/>
    <cellStyle name="Currency [0,000] TBD 6 35" xfId="50033"/>
    <cellStyle name="Currency [0,000] TBD- 6 35" xfId="50034"/>
    <cellStyle name="Currency [0,000] TBD 6 36" xfId="50035"/>
    <cellStyle name="Currency [0,000] TBD- 6 36" xfId="50036"/>
    <cellStyle name="Currency [0,000] TBD 6 37" xfId="50037"/>
    <cellStyle name="Currency [0,000] TBD- 6 37" xfId="50038"/>
    <cellStyle name="Currency [0,000] TBD 6 38" xfId="50039"/>
    <cellStyle name="Currency [0,000] TBD- 6 38" xfId="50040"/>
    <cellStyle name="Currency [0,000] TBD 6 39" xfId="50041"/>
    <cellStyle name="Currency [0,000] TBD- 6 39" xfId="50042"/>
    <cellStyle name="Currency [0,000] TBD 6 4" xfId="50043"/>
    <cellStyle name="Currency [0,000] TBD- 6 4" xfId="50044"/>
    <cellStyle name="Currency [0,000] TBD 6 40" xfId="50045"/>
    <cellStyle name="Currency [0,000] TBD- 6 40" xfId="50046"/>
    <cellStyle name="Currency [0,000] TBD 6 41" xfId="50047"/>
    <cellStyle name="Currency [0,000] TBD- 6 41" xfId="50048"/>
    <cellStyle name="Currency [0,000] TBD 6 42" xfId="50049"/>
    <cellStyle name="Currency [0,000] TBD- 6 42" xfId="50050"/>
    <cellStyle name="Currency [0,000] TBD 6 43" xfId="50051"/>
    <cellStyle name="Currency [0,000] TBD- 6 43" xfId="50052"/>
    <cellStyle name="Currency [0,000] TBD 6 44" xfId="50053"/>
    <cellStyle name="Currency [0,000] TBD- 6 44" xfId="50054"/>
    <cellStyle name="Currency [0,000] TBD 6 45" xfId="50055"/>
    <cellStyle name="Currency [0,000] TBD- 6 45" xfId="50056"/>
    <cellStyle name="Currency [0,000] TBD 6 46" xfId="50057"/>
    <cellStyle name="Currency [0,000] TBD- 6 46" xfId="50058"/>
    <cellStyle name="Currency [0,000] TBD 6 47" xfId="50059"/>
    <cellStyle name="Currency [0,000] TBD- 6 47" xfId="50060"/>
    <cellStyle name="Currency [0,000] TBD 6 48" xfId="50061"/>
    <cellStyle name="Currency [0,000] TBD- 6 48" xfId="50062"/>
    <cellStyle name="Currency [0,000] TBD 6 49" xfId="50063"/>
    <cellStyle name="Currency [0,000] TBD- 6 49" xfId="50064"/>
    <cellStyle name="Currency [0,000] TBD 6 5" xfId="50065"/>
    <cellStyle name="Currency [0,000] TBD- 6 5" xfId="50066"/>
    <cellStyle name="Currency [0,000] TBD 6 50" xfId="50067"/>
    <cellStyle name="Currency [0,000] TBD- 6 50" xfId="50068"/>
    <cellStyle name="Currency [0,000] TBD 6 51" xfId="50069"/>
    <cellStyle name="Currency [0,000] TBD- 6 51" xfId="50070"/>
    <cellStyle name="Currency [0,000] TBD 6 52" xfId="50071"/>
    <cellStyle name="Currency [0,000] TBD- 6 52" xfId="50072"/>
    <cellStyle name="Currency [0,000] TBD 6 53" xfId="50073"/>
    <cellStyle name="Currency [0,000] TBD- 6 53" xfId="50074"/>
    <cellStyle name="Currency [0,000] TBD 6 54" xfId="50075"/>
    <cellStyle name="Currency [0,000] TBD- 6 54" xfId="50076"/>
    <cellStyle name="Currency [0,000] TBD 6 55" xfId="50077"/>
    <cellStyle name="Currency [0,000] TBD- 6 55" xfId="50078"/>
    <cellStyle name="Currency [0,000] TBD 6 56" xfId="50079"/>
    <cellStyle name="Currency [0,000] TBD- 6 56" xfId="50080"/>
    <cellStyle name="Currency [0,000] TBD 6 57" xfId="50081"/>
    <cellStyle name="Currency [0,000] TBD- 6 57" xfId="50082"/>
    <cellStyle name="Currency [0,000] TBD 6 58" xfId="50083"/>
    <cellStyle name="Currency [0,000] TBD- 6 58" xfId="50084"/>
    <cellStyle name="Currency [0,000] TBD 6 59" xfId="50085"/>
    <cellStyle name="Currency [0,000] TBD- 6 59" xfId="50086"/>
    <cellStyle name="Currency [0,000] TBD 6 6" xfId="50087"/>
    <cellStyle name="Currency [0,000] TBD- 6 6" xfId="50088"/>
    <cellStyle name="Currency [0,000] TBD 6 60" xfId="50089"/>
    <cellStyle name="Currency [0,000] TBD- 6 60" xfId="50090"/>
    <cellStyle name="Currency [0,000] TBD 6 61" xfId="50091"/>
    <cellStyle name="Currency [0,000] TBD- 6 61" xfId="50092"/>
    <cellStyle name="Currency [0,000] TBD 6 62" xfId="50093"/>
    <cellStyle name="Currency [0,000] TBD- 6 62" xfId="50094"/>
    <cellStyle name="Currency [0,000] TBD 6 63" xfId="50095"/>
    <cellStyle name="Currency [0,000] TBD- 6 63" xfId="50096"/>
    <cellStyle name="Currency [0,000] TBD 6 64" xfId="50097"/>
    <cellStyle name="Currency [0,000] TBD- 6 64" xfId="50098"/>
    <cellStyle name="Currency [0,000] TBD 6 65" xfId="50099"/>
    <cellStyle name="Currency [0,000] TBD- 6 65" xfId="50100"/>
    <cellStyle name="Currency [0,000] TBD 6 66" xfId="50101"/>
    <cellStyle name="Currency [0,000] TBD- 6 66" xfId="50102"/>
    <cellStyle name="Currency [0,000] TBD 6 67" xfId="50103"/>
    <cellStyle name="Currency [0,000] TBD- 6 67" xfId="50104"/>
    <cellStyle name="Currency [0,000] TBD 6 68" xfId="50105"/>
    <cellStyle name="Currency [0,000] TBD- 6 68" xfId="50106"/>
    <cellStyle name="Currency [0,000] TBD 6 69" xfId="50107"/>
    <cellStyle name="Currency [0,000] TBD- 6 69" xfId="50108"/>
    <cellStyle name="Currency [0,000] TBD 6 7" xfId="50109"/>
    <cellStyle name="Currency [0,000] TBD- 6 7" xfId="50110"/>
    <cellStyle name="Currency [0,000] TBD 6 70" xfId="50111"/>
    <cellStyle name="Currency [0,000] TBD- 6 70" xfId="50112"/>
    <cellStyle name="Currency [0,000] TBD 6 71" xfId="50113"/>
    <cellStyle name="Currency [0,000] TBD- 6 71" xfId="50114"/>
    <cellStyle name="Currency [0,000] TBD 6 72" xfId="50115"/>
    <cellStyle name="Currency [0,000] TBD- 6 72" xfId="50116"/>
    <cellStyle name="Currency [0,000] TBD 6 73" xfId="50117"/>
    <cellStyle name="Currency [0,000] TBD- 6 73" xfId="50118"/>
    <cellStyle name="Currency [0,000] TBD 6 74" xfId="50119"/>
    <cellStyle name="Currency [0,000] TBD- 6 74" xfId="50120"/>
    <cellStyle name="Currency [0,000] TBD 6 75" xfId="50121"/>
    <cellStyle name="Currency [0,000] TBD- 6 75" xfId="50122"/>
    <cellStyle name="Currency [0,000] TBD 6 76" xfId="50123"/>
    <cellStyle name="Currency [0,000] TBD- 6 76" xfId="50124"/>
    <cellStyle name="Currency [0,000] TBD 6 77" xfId="50125"/>
    <cellStyle name="Currency [0,000] TBD- 6 77" xfId="50126"/>
    <cellStyle name="Currency [0,000] TBD 6 78" xfId="50127"/>
    <cellStyle name="Currency [0,000] TBD- 6 78" xfId="50128"/>
    <cellStyle name="Currency [0,000] TBD 6 79" xfId="50129"/>
    <cellStyle name="Currency [0,000] TBD- 6 79" xfId="50130"/>
    <cellStyle name="Currency [0,000] TBD 6 8" xfId="50131"/>
    <cellStyle name="Currency [0,000] TBD- 6 8" xfId="50132"/>
    <cellStyle name="Currency [0,000] TBD 6 80" xfId="50133"/>
    <cellStyle name="Currency [0,000] TBD- 6 80" xfId="50134"/>
    <cellStyle name="Currency [0,000] TBD 6 81" xfId="50135"/>
    <cellStyle name="Currency [0,000] TBD- 6 81" xfId="50136"/>
    <cellStyle name="Currency [0,000] TBD 6 82" xfId="50137"/>
    <cellStyle name="Currency [0,000] TBD- 6 82" xfId="50138"/>
    <cellStyle name="Currency [0,000] TBD 6 83" xfId="50139"/>
    <cellStyle name="Currency [0,000] TBD- 6 83" xfId="50140"/>
    <cellStyle name="Currency [0,000] TBD 6 84" xfId="50141"/>
    <cellStyle name="Currency [0,000] TBD- 6 84" xfId="50142"/>
    <cellStyle name="Currency [0,000] TBD 6 85" xfId="50143"/>
    <cellStyle name="Currency [0,000] TBD- 6 85" xfId="50144"/>
    <cellStyle name="Currency [0,000] TBD 6 86" xfId="50145"/>
    <cellStyle name="Currency [0,000] TBD- 6 86" xfId="50146"/>
    <cellStyle name="Currency [0,000] TBD 6 87" xfId="50147"/>
    <cellStyle name="Currency [0,000] TBD- 6 87" xfId="50148"/>
    <cellStyle name="Currency [0,000] TBD 6 88" xfId="50149"/>
    <cellStyle name="Currency [0,000] TBD- 6 88" xfId="50150"/>
    <cellStyle name="Currency [0,000] TBD 6 89" xfId="50151"/>
    <cellStyle name="Currency [0,000] TBD- 6 89" xfId="50152"/>
    <cellStyle name="Currency [0,000] TBD 6 9" xfId="50153"/>
    <cellStyle name="Currency [0,000] TBD- 6 9" xfId="50154"/>
    <cellStyle name="Currency [0,000] TBD 6 90" xfId="50155"/>
    <cellStyle name="Currency [0,000] TBD- 6 90" xfId="50156"/>
    <cellStyle name="Currency [0,000] TBD 6 91" xfId="50157"/>
    <cellStyle name="Currency [0,000] TBD- 6 91" xfId="50158"/>
    <cellStyle name="Currency [0,000] TBD 6 92" xfId="50159"/>
    <cellStyle name="Currency [0,000] TBD- 6 92" xfId="50160"/>
    <cellStyle name="Currency [0,000] TBD 6 93" xfId="50161"/>
    <cellStyle name="Currency [0,000] TBD- 6 93" xfId="50162"/>
    <cellStyle name="Currency [0,000] TBD 6 94" xfId="50163"/>
    <cellStyle name="Currency [0,000] TBD- 6 94" xfId="50164"/>
    <cellStyle name="Currency [0,000] TBD 6 95" xfId="50165"/>
    <cellStyle name="Currency [0,000] TBD- 6 95" xfId="50166"/>
    <cellStyle name="Currency [0,000] TBD 6 96" xfId="50167"/>
    <cellStyle name="Currency [0,000] TBD- 6 96" xfId="50168"/>
    <cellStyle name="Currency [0,000] TBD 6 97" xfId="50169"/>
    <cellStyle name="Currency [0,000] TBD- 6 97" xfId="50170"/>
    <cellStyle name="Currency [0,000] TBD 6 98" xfId="50171"/>
    <cellStyle name="Currency [0,000] TBD- 6 98" xfId="50172"/>
    <cellStyle name="Currency [0,000] TBD 6 99" xfId="50173"/>
    <cellStyle name="Currency [0,000] TBD- 6 99" xfId="50174"/>
    <cellStyle name="Currency [0,000] TBD 7" xfId="50175"/>
    <cellStyle name="Currency [0,000] TBD- 7" xfId="50176"/>
    <cellStyle name="Currency [0,000] TBD 7 10" xfId="50177"/>
    <cellStyle name="Currency [0,000] TBD- 7 10" xfId="50178"/>
    <cellStyle name="Currency [0,000] TBD 7 100" xfId="50179"/>
    <cellStyle name="Currency [0,000] TBD- 7 100" xfId="50180"/>
    <cellStyle name="Currency [0,000] TBD 7 101" xfId="50181"/>
    <cellStyle name="Currency [0,000] TBD- 7 101" xfId="50182"/>
    <cellStyle name="Currency [0,000] TBD 7 102" xfId="50183"/>
    <cellStyle name="Currency [0,000] TBD- 7 102" xfId="50184"/>
    <cellStyle name="Currency [0,000] TBD 7 103" xfId="50185"/>
    <cellStyle name="Currency [0,000] TBD- 7 103" xfId="50186"/>
    <cellStyle name="Currency [0,000] TBD 7 104" xfId="50187"/>
    <cellStyle name="Currency [0,000] TBD- 7 104" xfId="50188"/>
    <cellStyle name="Currency [0,000] TBD 7 105" xfId="50189"/>
    <cellStyle name="Currency [0,000] TBD- 7 105" xfId="50190"/>
    <cellStyle name="Currency [0,000] TBD 7 106" xfId="50191"/>
    <cellStyle name="Currency [0,000] TBD- 7 106" xfId="50192"/>
    <cellStyle name="Currency [0,000] TBD 7 107" xfId="50193"/>
    <cellStyle name="Currency [0,000] TBD- 7 107" xfId="50194"/>
    <cellStyle name="Currency [0,000] TBD 7 108" xfId="50195"/>
    <cellStyle name="Currency [0,000] TBD- 7 108" xfId="50196"/>
    <cellStyle name="Currency [0,000] TBD 7 109" xfId="50197"/>
    <cellStyle name="Currency [0,000] TBD- 7 109" xfId="50198"/>
    <cellStyle name="Currency [0,000] TBD 7 11" xfId="50199"/>
    <cellStyle name="Currency [0,000] TBD- 7 11" xfId="50200"/>
    <cellStyle name="Currency [0,000] TBD 7 110" xfId="50201"/>
    <cellStyle name="Currency [0,000] TBD- 7 110" xfId="50202"/>
    <cellStyle name="Currency [0,000] TBD 7 111" xfId="50203"/>
    <cellStyle name="Currency [0,000] TBD- 7 111" xfId="50204"/>
    <cellStyle name="Currency [0,000] TBD 7 112" xfId="50205"/>
    <cellStyle name="Currency [0,000] TBD- 7 112" xfId="50206"/>
    <cellStyle name="Currency [0,000] TBD 7 113" xfId="50207"/>
    <cellStyle name="Currency [0,000] TBD- 7 113" xfId="50208"/>
    <cellStyle name="Currency [0,000] TBD 7 114" xfId="50209"/>
    <cellStyle name="Currency [0,000] TBD- 7 114" xfId="50210"/>
    <cellStyle name="Currency [0,000] TBD 7 115" xfId="50211"/>
    <cellStyle name="Currency [0,000] TBD- 7 115" xfId="50212"/>
    <cellStyle name="Currency [0,000] TBD 7 116" xfId="50213"/>
    <cellStyle name="Currency [0,000] TBD- 7 116" xfId="50214"/>
    <cellStyle name="Currency [0,000] TBD 7 117" xfId="50215"/>
    <cellStyle name="Currency [0,000] TBD- 7 117" xfId="50216"/>
    <cellStyle name="Currency [0,000] TBD 7 118" xfId="50217"/>
    <cellStyle name="Currency [0,000] TBD- 7 118" xfId="50218"/>
    <cellStyle name="Currency [0,000] TBD 7 119" xfId="50219"/>
    <cellStyle name="Currency [0,000] TBD- 7 119" xfId="50220"/>
    <cellStyle name="Currency [0,000] TBD 7 12" xfId="50221"/>
    <cellStyle name="Currency [0,000] TBD- 7 12" xfId="50222"/>
    <cellStyle name="Currency [0,000] TBD 7 120" xfId="50223"/>
    <cellStyle name="Currency [0,000] TBD- 7 120" xfId="50224"/>
    <cellStyle name="Currency [0,000] TBD 7 121" xfId="50225"/>
    <cellStyle name="Currency [0,000] TBD- 7 121" xfId="50226"/>
    <cellStyle name="Currency [0,000] TBD 7 122" xfId="50227"/>
    <cellStyle name="Currency [0,000] TBD- 7 122" xfId="50228"/>
    <cellStyle name="Currency [0,000] TBD 7 123" xfId="50229"/>
    <cellStyle name="Currency [0,000] TBD- 7 123" xfId="50230"/>
    <cellStyle name="Currency [0,000] TBD 7 124" xfId="50231"/>
    <cellStyle name="Currency [0,000] TBD- 7 124" xfId="50232"/>
    <cellStyle name="Currency [0,000] TBD 7 125" xfId="50233"/>
    <cellStyle name="Currency [0,000] TBD- 7 125" xfId="50234"/>
    <cellStyle name="Currency [0,000] TBD 7 126" xfId="50235"/>
    <cellStyle name="Currency [0,000] TBD- 7 126" xfId="50236"/>
    <cellStyle name="Currency [0,000] TBD 7 127" xfId="50237"/>
    <cellStyle name="Currency [0,000] TBD- 7 127" xfId="50238"/>
    <cellStyle name="Currency [0,000] TBD 7 128" xfId="50239"/>
    <cellStyle name="Currency [0,000] TBD- 7 128" xfId="50240"/>
    <cellStyle name="Currency [0,000] TBD 7 129" xfId="50241"/>
    <cellStyle name="Currency [0,000] TBD- 7 129" xfId="50242"/>
    <cellStyle name="Currency [0,000] TBD 7 13" xfId="50243"/>
    <cellStyle name="Currency [0,000] TBD- 7 13" xfId="50244"/>
    <cellStyle name="Currency [0,000] TBD 7 130" xfId="50245"/>
    <cellStyle name="Currency [0,000] TBD- 7 130" xfId="50246"/>
    <cellStyle name="Currency [0,000] TBD 7 131" xfId="50247"/>
    <cellStyle name="Currency [0,000] TBD- 7 131" xfId="50248"/>
    <cellStyle name="Currency [0,000] TBD 7 132" xfId="50249"/>
    <cellStyle name="Currency [0,000] TBD- 7 132" xfId="50250"/>
    <cellStyle name="Currency [0,000] TBD 7 133" xfId="50251"/>
    <cellStyle name="Currency [0,000] TBD- 7 133" xfId="50252"/>
    <cellStyle name="Currency [0,000] TBD 7 134" xfId="50253"/>
    <cellStyle name="Currency [0,000] TBD- 7 134" xfId="50254"/>
    <cellStyle name="Currency [0,000] TBD 7 135" xfId="50255"/>
    <cellStyle name="Currency [0,000] TBD- 7 135" xfId="50256"/>
    <cellStyle name="Currency [0,000] TBD 7 136" xfId="50257"/>
    <cellStyle name="Currency [0,000] TBD- 7 136" xfId="50258"/>
    <cellStyle name="Currency [0,000] TBD 7 137" xfId="50259"/>
    <cellStyle name="Currency [0,000] TBD- 7 137" xfId="50260"/>
    <cellStyle name="Currency [0,000] TBD 7 138" xfId="50261"/>
    <cellStyle name="Currency [0,000] TBD- 7 138" xfId="50262"/>
    <cellStyle name="Currency [0,000] TBD 7 139" xfId="50263"/>
    <cellStyle name="Currency [0,000] TBD- 7 139" xfId="50264"/>
    <cellStyle name="Currency [0,000] TBD 7 14" xfId="50265"/>
    <cellStyle name="Currency [0,000] TBD- 7 14" xfId="50266"/>
    <cellStyle name="Currency [0,000] TBD 7 140" xfId="50267"/>
    <cellStyle name="Currency [0,000] TBD- 7 140" xfId="50268"/>
    <cellStyle name="Currency [0,000] TBD 7 141" xfId="50269"/>
    <cellStyle name="Currency [0,000] TBD- 7 141" xfId="50270"/>
    <cellStyle name="Currency [0,000] TBD 7 142" xfId="50271"/>
    <cellStyle name="Currency [0,000] TBD- 7 142" xfId="50272"/>
    <cellStyle name="Currency [0,000] TBD 7 143" xfId="50273"/>
    <cellStyle name="Currency [0,000] TBD- 7 143" xfId="50274"/>
    <cellStyle name="Currency [0,000] TBD 7 144" xfId="50275"/>
    <cellStyle name="Currency [0,000] TBD- 7 144" xfId="50276"/>
    <cellStyle name="Currency [0,000] TBD 7 145" xfId="50277"/>
    <cellStyle name="Currency [0,000] TBD- 7 145" xfId="50278"/>
    <cellStyle name="Currency [0,000] TBD 7 146" xfId="50279"/>
    <cellStyle name="Currency [0,000] TBD- 7 146" xfId="50280"/>
    <cellStyle name="Currency [0,000] TBD 7 147" xfId="50281"/>
    <cellStyle name="Currency [0,000] TBD- 7 147" xfId="50282"/>
    <cellStyle name="Currency [0,000] TBD 7 148" xfId="50283"/>
    <cellStyle name="Currency [0,000] TBD- 7 148" xfId="50284"/>
    <cellStyle name="Currency [0,000] TBD 7 149" xfId="50285"/>
    <cellStyle name="Currency [0,000] TBD- 7 149" xfId="50286"/>
    <cellStyle name="Currency [0,000] TBD 7 15" xfId="50287"/>
    <cellStyle name="Currency [0,000] TBD- 7 15" xfId="50288"/>
    <cellStyle name="Currency [0,000] TBD 7 150" xfId="50289"/>
    <cellStyle name="Currency [0,000] TBD- 7 150" xfId="50290"/>
    <cellStyle name="Currency [0,000] TBD 7 151" xfId="50291"/>
    <cellStyle name="Currency [0,000] TBD- 7 151" xfId="50292"/>
    <cellStyle name="Currency [0,000] TBD 7 152" xfId="50293"/>
    <cellStyle name="Currency [0,000] TBD- 7 152" xfId="50294"/>
    <cellStyle name="Currency [0,000] TBD 7 153" xfId="50295"/>
    <cellStyle name="Currency [0,000] TBD- 7 153" xfId="50296"/>
    <cellStyle name="Currency [0,000] TBD 7 16" xfId="50297"/>
    <cellStyle name="Currency [0,000] TBD- 7 16" xfId="50298"/>
    <cellStyle name="Currency [0,000] TBD 7 17" xfId="50299"/>
    <cellStyle name="Currency [0,000] TBD- 7 17" xfId="50300"/>
    <cellStyle name="Currency [0,000] TBD 7 18" xfId="50301"/>
    <cellStyle name="Currency [0,000] TBD- 7 18" xfId="50302"/>
    <cellStyle name="Currency [0,000] TBD 7 19" xfId="50303"/>
    <cellStyle name="Currency [0,000] TBD- 7 19" xfId="50304"/>
    <cellStyle name="Currency [0,000] TBD 7 2" xfId="50305"/>
    <cellStyle name="Currency [0,000] TBD- 7 2" xfId="50306"/>
    <cellStyle name="Currency [0,000] TBD 7 20" xfId="50307"/>
    <cellStyle name="Currency [0,000] TBD- 7 20" xfId="50308"/>
    <cellStyle name="Currency [0,000] TBD 7 21" xfId="50309"/>
    <cellStyle name="Currency [0,000] TBD- 7 21" xfId="50310"/>
    <cellStyle name="Currency [0,000] TBD 7 22" xfId="50311"/>
    <cellStyle name="Currency [0,000] TBD- 7 22" xfId="50312"/>
    <cellStyle name="Currency [0,000] TBD 7 23" xfId="50313"/>
    <cellStyle name="Currency [0,000] TBD- 7 23" xfId="50314"/>
    <cellStyle name="Currency [0,000] TBD 7 24" xfId="50315"/>
    <cellStyle name="Currency [0,000] TBD- 7 24" xfId="50316"/>
    <cellStyle name="Currency [0,000] TBD 7 25" xfId="50317"/>
    <cellStyle name="Currency [0,000] TBD- 7 25" xfId="50318"/>
    <cellStyle name="Currency [0,000] TBD 7 26" xfId="50319"/>
    <cellStyle name="Currency [0,000] TBD- 7 26" xfId="50320"/>
    <cellStyle name="Currency [0,000] TBD 7 27" xfId="50321"/>
    <cellStyle name="Currency [0,000] TBD- 7 27" xfId="50322"/>
    <cellStyle name="Currency [0,000] TBD 7 28" xfId="50323"/>
    <cellStyle name="Currency [0,000] TBD- 7 28" xfId="50324"/>
    <cellStyle name="Currency [0,000] TBD 7 29" xfId="50325"/>
    <cellStyle name="Currency [0,000] TBD- 7 29" xfId="50326"/>
    <cellStyle name="Currency [0,000] TBD 7 3" xfId="50327"/>
    <cellStyle name="Currency [0,000] TBD- 7 3" xfId="50328"/>
    <cellStyle name="Currency [0,000] TBD 7 30" xfId="50329"/>
    <cellStyle name="Currency [0,000] TBD- 7 30" xfId="50330"/>
    <cellStyle name="Currency [0,000] TBD 7 31" xfId="50331"/>
    <cellStyle name="Currency [0,000] TBD- 7 31" xfId="50332"/>
    <cellStyle name="Currency [0,000] TBD 7 32" xfId="50333"/>
    <cellStyle name="Currency [0,000] TBD- 7 32" xfId="50334"/>
    <cellStyle name="Currency [0,000] TBD 7 33" xfId="50335"/>
    <cellStyle name="Currency [0,000] TBD- 7 33" xfId="50336"/>
    <cellStyle name="Currency [0,000] TBD 7 34" xfId="50337"/>
    <cellStyle name="Currency [0,000] TBD- 7 34" xfId="50338"/>
    <cellStyle name="Currency [0,000] TBD 7 35" xfId="50339"/>
    <cellStyle name="Currency [0,000] TBD- 7 35" xfId="50340"/>
    <cellStyle name="Currency [0,000] TBD 7 36" xfId="50341"/>
    <cellStyle name="Currency [0,000] TBD- 7 36" xfId="50342"/>
    <cellStyle name="Currency [0,000] TBD 7 37" xfId="50343"/>
    <cellStyle name="Currency [0,000] TBD- 7 37" xfId="50344"/>
    <cellStyle name="Currency [0,000] TBD 7 38" xfId="50345"/>
    <cellStyle name="Currency [0,000] TBD- 7 38" xfId="50346"/>
    <cellStyle name="Currency [0,000] TBD 7 39" xfId="50347"/>
    <cellStyle name="Currency [0,000] TBD- 7 39" xfId="50348"/>
    <cellStyle name="Currency [0,000] TBD 7 4" xfId="50349"/>
    <cellStyle name="Currency [0,000] TBD- 7 4" xfId="50350"/>
    <cellStyle name="Currency [0,000] TBD 7 40" xfId="50351"/>
    <cellStyle name="Currency [0,000] TBD- 7 40" xfId="50352"/>
    <cellStyle name="Currency [0,000] TBD 7 41" xfId="50353"/>
    <cellStyle name="Currency [0,000] TBD- 7 41" xfId="50354"/>
    <cellStyle name="Currency [0,000] TBD 7 42" xfId="50355"/>
    <cellStyle name="Currency [0,000] TBD- 7 42" xfId="50356"/>
    <cellStyle name="Currency [0,000] TBD 7 43" xfId="50357"/>
    <cellStyle name="Currency [0,000] TBD- 7 43" xfId="50358"/>
    <cellStyle name="Currency [0,000] TBD 7 44" xfId="50359"/>
    <cellStyle name="Currency [0,000] TBD- 7 44" xfId="50360"/>
    <cellStyle name="Currency [0,000] TBD 7 45" xfId="50361"/>
    <cellStyle name="Currency [0,000] TBD- 7 45" xfId="50362"/>
    <cellStyle name="Currency [0,000] TBD 7 46" xfId="50363"/>
    <cellStyle name="Currency [0,000] TBD- 7 46" xfId="50364"/>
    <cellStyle name="Currency [0,000] TBD 7 47" xfId="50365"/>
    <cellStyle name="Currency [0,000] TBD- 7 47" xfId="50366"/>
    <cellStyle name="Currency [0,000] TBD 7 48" xfId="50367"/>
    <cellStyle name="Currency [0,000] TBD- 7 48" xfId="50368"/>
    <cellStyle name="Currency [0,000] TBD 7 49" xfId="50369"/>
    <cellStyle name="Currency [0,000] TBD- 7 49" xfId="50370"/>
    <cellStyle name="Currency [0,000] TBD 7 5" xfId="50371"/>
    <cellStyle name="Currency [0,000] TBD- 7 5" xfId="50372"/>
    <cellStyle name="Currency [0,000] TBD 7 50" xfId="50373"/>
    <cellStyle name="Currency [0,000] TBD- 7 50" xfId="50374"/>
    <cellStyle name="Currency [0,000] TBD 7 51" xfId="50375"/>
    <cellStyle name="Currency [0,000] TBD- 7 51" xfId="50376"/>
    <cellStyle name="Currency [0,000] TBD 7 52" xfId="50377"/>
    <cellStyle name="Currency [0,000] TBD- 7 52" xfId="50378"/>
    <cellStyle name="Currency [0,000] TBD 7 53" xfId="50379"/>
    <cellStyle name="Currency [0,000] TBD- 7 53" xfId="50380"/>
    <cellStyle name="Currency [0,000] TBD 7 54" xfId="50381"/>
    <cellStyle name="Currency [0,000] TBD- 7 54" xfId="50382"/>
    <cellStyle name="Currency [0,000] TBD 7 55" xfId="50383"/>
    <cellStyle name="Currency [0,000] TBD- 7 55" xfId="50384"/>
    <cellStyle name="Currency [0,000] TBD 7 56" xfId="50385"/>
    <cellStyle name="Currency [0,000] TBD- 7 56" xfId="50386"/>
    <cellStyle name="Currency [0,000] TBD 7 57" xfId="50387"/>
    <cellStyle name="Currency [0,000] TBD- 7 57" xfId="50388"/>
    <cellStyle name="Currency [0,000] TBD 7 58" xfId="50389"/>
    <cellStyle name="Currency [0,000] TBD- 7 58" xfId="50390"/>
    <cellStyle name="Currency [0,000] TBD 7 59" xfId="50391"/>
    <cellStyle name="Currency [0,000] TBD- 7 59" xfId="50392"/>
    <cellStyle name="Currency [0,000] TBD 7 6" xfId="50393"/>
    <cellStyle name="Currency [0,000] TBD- 7 6" xfId="50394"/>
    <cellStyle name="Currency [0,000] TBD 7 60" xfId="50395"/>
    <cellStyle name="Currency [0,000] TBD- 7 60" xfId="50396"/>
    <cellStyle name="Currency [0,000] TBD 7 61" xfId="50397"/>
    <cellStyle name="Currency [0,000] TBD- 7 61" xfId="50398"/>
    <cellStyle name="Currency [0,000] TBD 7 62" xfId="50399"/>
    <cellStyle name="Currency [0,000] TBD- 7 62" xfId="50400"/>
    <cellStyle name="Currency [0,000] TBD 7 63" xfId="50401"/>
    <cellStyle name="Currency [0,000] TBD- 7 63" xfId="50402"/>
    <cellStyle name="Currency [0,000] TBD 7 64" xfId="50403"/>
    <cellStyle name="Currency [0,000] TBD- 7 64" xfId="50404"/>
    <cellStyle name="Currency [0,000] TBD 7 65" xfId="50405"/>
    <cellStyle name="Currency [0,000] TBD- 7 65" xfId="50406"/>
    <cellStyle name="Currency [0,000] TBD 7 66" xfId="50407"/>
    <cellStyle name="Currency [0,000] TBD- 7 66" xfId="50408"/>
    <cellStyle name="Currency [0,000] TBD 7 67" xfId="50409"/>
    <cellStyle name="Currency [0,000] TBD- 7 67" xfId="50410"/>
    <cellStyle name="Currency [0,000] TBD 7 68" xfId="50411"/>
    <cellStyle name="Currency [0,000] TBD- 7 68" xfId="50412"/>
    <cellStyle name="Currency [0,000] TBD 7 69" xfId="50413"/>
    <cellStyle name="Currency [0,000] TBD- 7 69" xfId="50414"/>
    <cellStyle name="Currency [0,000] TBD 7 7" xfId="50415"/>
    <cellStyle name="Currency [0,000] TBD- 7 7" xfId="50416"/>
    <cellStyle name="Currency [0,000] TBD 7 70" xfId="50417"/>
    <cellStyle name="Currency [0,000] TBD- 7 70" xfId="50418"/>
    <cellStyle name="Currency [0,000] TBD 7 71" xfId="50419"/>
    <cellStyle name="Currency [0,000] TBD- 7 71" xfId="50420"/>
    <cellStyle name="Currency [0,000] TBD 7 72" xfId="50421"/>
    <cellStyle name="Currency [0,000] TBD- 7 72" xfId="50422"/>
    <cellStyle name="Currency [0,000] TBD 7 73" xfId="50423"/>
    <cellStyle name="Currency [0,000] TBD- 7 73" xfId="50424"/>
    <cellStyle name="Currency [0,000] TBD 7 74" xfId="50425"/>
    <cellStyle name="Currency [0,000] TBD- 7 74" xfId="50426"/>
    <cellStyle name="Currency [0,000] TBD 7 75" xfId="50427"/>
    <cellStyle name="Currency [0,000] TBD- 7 75" xfId="50428"/>
    <cellStyle name="Currency [0,000] TBD 7 76" xfId="50429"/>
    <cellStyle name="Currency [0,000] TBD- 7 76" xfId="50430"/>
    <cellStyle name="Currency [0,000] TBD 7 77" xfId="50431"/>
    <cellStyle name="Currency [0,000] TBD- 7 77" xfId="50432"/>
    <cellStyle name="Currency [0,000] TBD 7 78" xfId="50433"/>
    <cellStyle name="Currency [0,000] TBD- 7 78" xfId="50434"/>
    <cellStyle name="Currency [0,000] TBD 7 79" xfId="50435"/>
    <cellStyle name="Currency [0,000] TBD- 7 79" xfId="50436"/>
    <cellStyle name="Currency [0,000] TBD 7 8" xfId="50437"/>
    <cellStyle name="Currency [0,000] TBD- 7 8" xfId="50438"/>
    <cellStyle name="Currency [0,000] TBD 7 80" xfId="50439"/>
    <cellStyle name="Currency [0,000] TBD- 7 80" xfId="50440"/>
    <cellStyle name="Currency [0,000] TBD 7 81" xfId="50441"/>
    <cellStyle name="Currency [0,000] TBD- 7 81" xfId="50442"/>
    <cellStyle name="Currency [0,000] TBD 7 82" xfId="50443"/>
    <cellStyle name="Currency [0,000] TBD- 7 82" xfId="50444"/>
    <cellStyle name="Currency [0,000] TBD 7 83" xfId="50445"/>
    <cellStyle name="Currency [0,000] TBD- 7 83" xfId="50446"/>
    <cellStyle name="Currency [0,000] TBD 7 84" xfId="50447"/>
    <cellStyle name="Currency [0,000] TBD- 7 84" xfId="50448"/>
    <cellStyle name="Currency [0,000] TBD 7 85" xfId="50449"/>
    <cellStyle name="Currency [0,000] TBD- 7 85" xfId="50450"/>
    <cellStyle name="Currency [0,000] TBD 7 86" xfId="50451"/>
    <cellStyle name="Currency [0,000] TBD- 7 86" xfId="50452"/>
    <cellStyle name="Currency [0,000] TBD 7 87" xfId="50453"/>
    <cellStyle name="Currency [0,000] TBD- 7 87" xfId="50454"/>
    <cellStyle name="Currency [0,000] TBD 7 88" xfId="50455"/>
    <cellStyle name="Currency [0,000] TBD- 7 88" xfId="50456"/>
    <cellStyle name="Currency [0,000] TBD 7 89" xfId="50457"/>
    <cellStyle name="Currency [0,000] TBD- 7 89" xfId="50458"/>
    <cellStyle name="Currency [0,000] TBD 7 9" xfId="50459"/>
    <cellStyle name="Currency [0,000] TBD- 7 9" xfId="50460"/>
    <cellStyle name="Currency [0,000] TBD 7 90" xfId="50461"/>
    <cellStyle name="Currency [0,000] TBD- 7 90" xfId="50462"/>
    <cellStyle name="Currency [0,000] TBD 7 91" xfId="50463"/>
    <cellStyle name="Currency [0,000] TBD- 7 91" xfId="50464"/>
    <cellStyle name="Currency [0,000] TBD 7 92" xfId="50465"/>
    <cellStyle name="Currency [0,000] TBD- 7 92" xfId="50466"/>
    <cellStyle name="Currency [0,000] TBD 7 93" xfId="50467"/>
    <cellStyle name="Currency [0,000] TBD- 7 93" xfId="50468"/>
    <cellStyle name="Currency [0,000] TBD 7 94" xfId="50469"/>
    <cellStyle name="Currency [0,000] TBD- 7 94" xfId="50470"/>
    <cellStyle name="Currency [0,000] TBD 7 95" xfId="50471"/>
    <cellStyle name="Currency [0,000] TBD- 7 95" xfId="50472"/>
    <cellStyle name="Currency [0,000] TBD 7 96" xfId="50473"/>
    <cellStyle name="Currency [0,000] TBD- 7 96" xfId="50474"/>
    <cellStyle name="Currency [0,000] TBD 7 97" xfId="50475"/>
    <cellStyle name="Currency [0,000] TBD- 7 97" xfId="50476"/>
    <cellStyle name="Currency [0,000] TBD 7 98" xfId="50477"/>
    <cellStyle name="Currency [0,000] TBD- 7 98" xfId="50478"/>
    <cellStyle name="Currency [0,000] TBD 7 99" xfId="50479"/>
    <cellStyle name="Currency [0,000] TBD- 7 99" xfId="50480"/>
    <cellStyle name="Currency [0,000] TBD 8" xfId="50481"/>
    <cellStyle name="Currency [0,000] TBD- 8" xfId="50482"/>
    <cellStyle name="Currency [0,000] TBD 8 10" xfId="50483"/>
    <cellStyle name="Currency [0,000] TBD- 8 10" xfId="50484"/>
    <cellStyle name="Currency [0,000] TBD 8 100" xfId="50485"/>
    <cellStyle name="Currency [0,000] TBD- 8 100" xfId="50486"/>
    <cellStyle name="Currency [0,000] TBD 8 101" xfId="50487"/>
    <cellStyle name="Currency [0,000] TBD- 8 101" xfId="50488"/>
    <cellStyle name="Currency [0,000] TBD 8 102" xfId="50489"/>
    <cellStyle name="Currency [0,000] TBD- 8 102" xfId="50490"/>
    <cellStyle name="Currency [0,000] TBD 8 103" xfId="50491"/>
    <cellStyle name="Currency [0,000] TBD- 8 103" xfId="50492"/>
    <cellStyle name="Currency [0,000] TBD 8 104" xfId="50493"/>
    <cellStyle name="Currency [0,000] TBD- 8 104" xfId="50494"/>
    <cellStyle name="Currency [0,000] TBD 8 105" xfId="50495"/>
    <cellStyle name="Currency [0,000] TBD- 8 105" xfId="50496"/>
    <cellStyle name="Currency [0,000] TBD 8 106" xfId="50497"/>
    <cellStyle name="Currency [0,000] TBD- 8 106" xfId="50498"/>
    <cellStyle name="Currency [0,000] TBD 8 107" xfId="50499"/>
    <cellStyle name="Currency [0,000] TBD- 8 107" xfId="50500"/>
    <cellStyle name="Currency [0,000] TBD 8 108" xfId="50501"/>
    <cellStyle name="Currency [0,000] TBD- 8 108" xfId="50502"/>
    <cellStyle name="Currency [0,000] TBD 8 109" xfId="50503"/>
    <cellStyle name="Currency [0,000] TBD- 8 109" xfId="50504"/>
    <cellStyle name="Currency [0,000] TBD 8 11" xfId="50505"/>
    <cellStyle name="Currency [0,000] TBD- 8 11" xfId="50506"/>
    <cellStyle name="Currency [0,000] TBD 8 110" xfId="50507"/>
    <cellStyle name="Currency [0,000] TBD- 8 110" xfId="50508"/>
    <cellStyle name="Currency [0,000] TBD 8 111" xfId="50509"/>
    <cellStyle name="Currency [0,000] TBD- 8 111" xfId="50510"/>
    <cellStyle name="Currency [0,000] TBD 8 112" xfId="50511"/>
    <cellStyle name="Currency [0,000] TBD- 8 112" xfId="50512"/>
    <cellStyle name="Currency [0,000] TBD 8 113" xfId="50513"/>
    <cellStyle name="Currency [0,000] TBD- 8 113" xfId="50514"/>
    <cellStyle name="Currency [0,000] TBD 8 114" xfId="50515"/>
    <cellStyle name="Currency [0,000] TBD- 8 114" xfId="50516"/>
    <cellStyle name="Currency [0,000] TBD 8 115" xfId="50517"/>
    <cellStyle name="Currency [0,000] TBD- 8 115" xfId="50518"/>
    <cellStyle name="Currency [0,000] TBD 8 116" xfId="50519"/>
    <cellStyle name="Currency [0,000] TBD- 8 116" xfId="50520"/>
    <cellStyle name="Currency [0,000] TBD 8 117" xfId="50521"/>
    <cellStyle name="Currency [0,000] TBD- 8 117" xfId="50522"/>
    <cellStyle name="Currency [0,000] TBD 8 118" xfId="50523"/>
    <cellStyle name="Currency [0,000] TBD- 8 118" xfId="50524"/>
    <cellStyle name="Currency [0,000] TBD 8 119" xfId="50525"/>
    <cellStyle name="Currency [0,000] TBD- 8 119" xfId="50526"/>
    <cellStyle name="Currency [0,000] TBD 8 12" xfId="50527"/>
    <cellStyle name="Currency [0,000] TBD- 8 12" xfId="50528"/>
    <cellStyle name="Currency [0,000] TBD 8 120" xfId="50529"/>
    <cellStyle name="Currency [0,000] TBD- 8 120" xfId="50530"/>
    <cellStyle name="Currency [0,000] TBD 8 121" xfId="50531"/>
    <cellStyle name="Currency [0,000] TBD- 8 121" xfId="50532"/>
    <cellStyle name="Currency [0,000] TBD 8 122" xfId="50533"/>
    <cellStyle name="Currency [0,000] TBD- 8 122" xfId="50534"/>
    <cellStyle name="Currency [0,000] TBD 8 123" xfId="50535"/>
    <cellStyle name="Currency [0,000] TBD- 8 123" xfId="50536"/>
    <cellStyle name="Currency [0,000] TBD 8 124" xfId="50537"/>
    <cellStyle name="Currency [0,000] TBD- 8 124" xfId="50538"/>
    <cellStyle name="Currency [0,000] TBD 8 125" xfId="50539"/>
    <cellStyle name="Currency [0,000] TBD- 8 125" xfId="50540"/>
    <cellStyle name="Currency [0,000] TBD 8 126" xfId="50541"/>
    <cellStyle name="Currency [0,000] TBD- 8 126" xfId="50542"/>
    <cellStyle name="Currency [0,000] TBD 8 127" xfId="50543"/>
    <cellStyle name="Currency [0,000] TBD- 8 127" xfId="50544"/>
    <cellStyle name="Currency [0,000] TBD 8 128" xfId="50545"/>
    <cellStyle name="Currency [0,000] TBD- 8 128" xfId="50546"/>
    <cellStyle name="Currency [0,000] TBD 8 129" xfId="50547"/>
    <cellStyle name="Currency [0,000] TBD- 8 129" xfId="50548"/>
    <cellStyle name="Currency [0,000] TBD 8 13" xfId="50549"/>
    <cellStyle name="Currency [0,000] TBD- 8 13" xfId="50550"/>
    <cellStyle name="Currency [0,000] TBD 8 130" xfId="50551"/>
    <cellStyle name="Currency [0,000] TBD- 8 130" xfId="50552"/>
    <cellStyle name="Currency [0,000] TBD 8 131" xfId="50553"/>
    <cellStyle name="Currency [0,000] TBD- 8 131" xfId="50554"/>
    <cellStyle name="Currency [0,000] TBD 8 132" xfId="50555"/>
    <cellStyle name="Currency [0,000] TBD- 8 132" xfId="50556"/>
    <cellStyle name="Currency [0,000] TBD 8 133" xfId="50557"/>
    <cellStyle name="Currency [0,000] TBD- 8 133" xfId="50558"/>
    <cellStyle name="Currency [0,000] TBD 8 134" xfId="50559"/>
    <cellStyle name="Currency [0,000] TBD- 8 134" xfId="50560"/>
    <cellStyle name="Currency [0,000] TBD 8 135" xfId="50561"/>
    <cellStyle name="Currency [0,000] TBD- 8 135" xfId="50562"/>
    <cellStyle name="Currency [0,000] TBD 8 136" xfId="50563"/>
    <cellStyle name="Currency [0,000] TBD- 8 136" xfId="50564"/>
    <cellStyle name="Currency [0,000] TBD 8 137" xfId="50565"/>
    <cellStyle name="Currency [0,000] TBD- 8 137" xfId="50566"/>
    <cellStyle name="Currency [0,000] TBD 8 138" xfId="50567"/>
    <cellStyle name="Currency [0,000] TBD- 8 138" xfId="50568"/>
    <cellStyle name="Currency [0,000] TBD 8 139" xfId="50569"/>
    <cellStyle name="Currency [0,000] TBD- 8 139" xfId="50570"/>
    <cellStyle name="Currency [0,000] TBD 8 14" xfId="50571"/>
    <cellStyle name="Currency [0,000] TBD- 8 14" xfId="50572"/>
    <cellStyle name="Currency [0,000] TBD 8 140" xfId="50573"/>
    <cellStyle name="Currency [0,000] TBD- 8 140" xfId="50574"/>
    <cellStyle name="Currency [0,000] TBD 8 141" xfId="50575"/>
    <cellStyle name="Currency [0,000] TBD- 8 141" xfId="50576"/>
    <cellStyle name="Currency [0,000] TBD 8 142" xfId="50577"/>
    <cellStyle name="Currency [0,000] TBD- 8 142" xfId="50578"/>
    <cellStyle name="Currency [0,000] TBD 8 143" xfId="50579"/>
    <cellStyle name="Currency [0,000] TBD- 8 143" xfId="50580"/>
    <cellStyle name="Currency [0,000] TBD 8 144" xfId="50581"/>
    <cellStyle name="Currency [0,000] TBD- 8 144" xfId="50582"/>
    <cellStyle name="Currency [0,000] TBD 8 145" xfId="50583"/>
    <cellStyle name="Currency [0,000] TBD- 8 145" xfId="50584"/>
    <cellStyle name="Currency [0,000] TBD 8 146" xfId="50585"/>
    <cellStyle name="Currency [0,000] TBD- 8 146" xfId="50586"/>
    <cellStyle name="Currency [0,000] TBD 8 147" xfId="50587"/>
    <cellStyle name="Currency [0,000] TBD- 8 147" xfId="50588"/>
    <cellStyle name="Currency [0,000] TBD 8 148" xfId="50589"/>
    <cellStyle name="Currency [0,000] TBD- 8 148" xfId="50590"/>
    <cellStyle name="Currency [0,000] TBD 8 149" xfId="50591"/>
    <cellStyle name="Currency [0,000] TBD- 8 149" xfId="50592"/>
    <cellStyle name="Currency [0,000] TBD 8 15" xfId="50593"/>
    <cellStyle name="Currency [0,000] TBD- 8 15" xfId="50594"/>
    <cellStyle name="Currency [0,000] TBD 8 150" xfId="50595"/>
    <cellStyle name="Currency [0,000] TBD- 8 150" xfId="50596"/>
    <cellStyle name="Currency [0,000] TBD 8 151" xfId="50597"/>
    <cellStyle name="Currency [0,000] TBD- 8 151" xfId="50598"/>
    <cellStyle name="Currency [0,000] TBD 8 152" xfId="50599"/>
    <cellStyle name="Currency [0,000] TBD- 8 152" xfId="50600"/>
    <cellStyle name="Currency [0,000] TBD 8 153" xfId="50601"/>
    <cellStyle name="Currency [0,000] TBD- 8 153" xfId="50602"/>
    <cellStyle name="Currency [0,000] TBD 8 16" xfId="50603"/>
    <cellStyle name="Currency [0,000] TBD- 8 16" xfId="50604"/>
    <cellStyle name="Currency [0,000] TBD 8 17" xfId="50605"/>
    <cellStyle name="Currency [0,000] TBD- 8 17" xfId="50606"/>
    <cellStyle name="Currency [0,000] TBD 8 18" xfId="50607"/>
    <cellStyle name="Currency [0,000] TBD- 8 18" xfId="50608"/>
    <cellStyle name="Currency [0,000] TBD 8 19" xfId="50609"/>
    <cellStyle name="Currency [0,000] TBD- 8 19" xfId="50610"/>
    <cellStyle name="Currency [0,000] TBD 8 2" xfId="50611"/>
    <cellStyle name="Currency [0,000] TBD- 8 2" xfId="50612"/>
    <cellStyle name="Currency [0,000] TBD 8 20" xfId="50613"/>
    <cellStyle name="Currency [0,000] TBD- 8 20" xfId="50614"/>
    <cellStyle name="Currency [0,000] TBD 8 21" xfId="50615"/>
    <cellStyle name="Currency [0,000] TBD- 8 21" xfId="50616"/>
    <cellStyle name="Currency [0,000] TBD 8 22" xfId="50617"/>
    <cellStyle name="Currency [0,000] TBD- 8 22" xfId="50618"/>
    <cellStyle name="Currency [0,000] TBD 8 23" xfId="50619"/>
    <cellStyle name="Currency [0,000] TBD- 8 23" xfId="50620"/>
    <cellStyle name="Currency [0,000] TBD 8 24" xfId="50621"/>
    <cellStyle name="Currency [0,000] TBD- 8 24" xfId="50622"/>
    <cellStyle name="Currency [0,000] TBD 8 25" xfId="50623"/>
    <cellStyle name="Currency [0,000] TBD- 8 25" xfId="50624"/>
    <cellStyle name="Currency [0,000] TBD 8 26" xfId="50625"/>
    <cellStyle name="Currency [0,000] TBD- 8 26" xfId="50626"/>
    <cellStyle name="Currency [0,000] TBD 8 27" xfId="50627"/>
    <cellStyle name="Currency [0,000] TBD- 8 27" xfId="50628"/>
    <cellStyle name="Currency [0,000] TBD 8 28" xfId="50629"/>
    <cellStyle name="Currency [0,000] TBD- 8 28" xfId="50630"/>
    <cellStyle name="Currency [0,000] TBD 8 29" xfId="50631"/>
    <cellStyle name="Currency [0,000] TBD- 8 29" xfId="50632"/>
    <cellStyle name="Currency [0,000] TBD 8 3" xfId="50633"/>
    <cellStyle name="Currency [0,000] TBD- 8 3" xfId="50634"/>
    <cellStyle name="Currency [0,000] TBD 8 30" xfId="50635"/>
    <cellStyle name="Currency [0,000] TBD- 8 30" xfId="50636"/>
    <cellStyle name="Currency [0,000] TBD 8 31" xfId="50637"/>
    <cellStyle name="Currency [0,000] TBD- 8 31" xfId="50638"/>
    <cellStyle name="Currency [0,000] TBD 8 32" xfId="50639"/>
    <cellStyle name="Currency [0,000] TBD- 8 32" xfId="50640"/>
    <cellStyle name="Currency [0,000] TBD 8 33" xfId="50641"/>
    <cellStyle name="Currency [0,000] TBD- 8 33" xfId="50642"/>
    <cellStyle name="Currency [0,000] TBD 8 34" xfId="50643"/>
    <cellStyle name="Currency [0,000] TBD- 8 34" xfId="50644"/>
    <cellStyle name="Currency [0,000] TBD 8 35" xfId="50645"/>
    <cellStyle name="Currency [0,000] TBD- 8 35" xfId="50646"/>
    <cellStyle name="Currency [0,000] TBD 8 36" xfId="50647"/>
    <cellStyle name="Currency [0,000] TBD- 8 36" xfId="50648"/>
    <cellStyle name="Currency [0,000] TBD 8 37" xfId="50649"/>
    <cellStyle name="Currency [0,000] TBD- 8 37" xfId="50650"/>
    <cellStyle name="Currency [0,000] TBD 8 38" xfId="50651"/>
    <cellStyle name="Currency [0,000] TBD- 8 38" xfId="50652"/>
    <cellStyle name="Currency [0,000] TBD 8 39" xfId="50653"/>
    <cellStyle name="Currency [0,000] TBD- 8 39" xfId="50654"/>
    <cellStyle name="Currency [0,000] TBD 8 4" xfId="50655"/>
    <cellStyle name="Currency [0,000] TBD- 8 4" xfId="50656"/>
    <cellStyle name="Currency [0,000] TBD 8 40" xfId="50657"/>
    <cellStyle name="Currency [0,000] TBD- 8 40" xfId="50658"/>
    <cellStyle name="Currency [0,000] TBD 8 41" xfId="50659"/>
    <cellStyle name="Currency [0,000] TBD- 8 41" xfId="50660"/>
    <cellStyle name="Currency [0,000] TBD 8 42" xfId="50661"/>
    <cellStyle name="Currency [0,000] TBD- 8 42" xfId="50662"/>
    <cellStyle name="Currency [0,000] TBD 8 43" xfId="50663"/>
    <cellStyle name="Currency [0,000] TBD- 8 43" xfId="50664"/>
    <cellStyle name="Currency [0,000] TBD 8 44" xfId="50665"/>
    <cellStyle name="Currency [0,000] TBD- 8 44" xfId="50666"/>
    <cellStyle name="Currency [0,000] TBD 8 45" xfId="50667"/>
    <cellStyle name="Currency [0,000] TBD- 8 45" xfId="50668"/>
    <cellStyle name="Currency [0,000] TBD 8 46" xfId="50669"/>
    <cellStyle name="Currency [0,000] TBD- 8 46" xfId="50670"/>
    <cellStyle name="Currency [0,000] TBD 8 47" xfId="50671"/>
    <cellStyle name="Currency [0,000] TBD- 8 47" xfId="50672"/>
    <cellStyle name="Currency [0,000] TBD 8 48" xfId="50673"/>
    <cellStyle name="Currency [0,000] TBD- 8 48" xfId="50674"/>
    <cellStyle name="Currency [0,000] TBD 8 49" xfId="50675"/>
    <cellStyle name="Currency [0,000] TBD- 8 49" xfId="50676"/>
    <cellStyle name="Currency [0,000] TBD 8 5" xfId="50677"/>
    <cellStyle name="Currency [0,000] TBD- 8 5" xfId="50678"/>
    <cellStyle name="Currency [0,000] TBD 8 50" xfId="50679"/>
    <cellStyle name="Currency [0,000] TBD- 8 50" xfId="50680"/>
    <cellStyle name="Currency [0,000] TBD 8 51" xfId="50681"/>
    <cellStyle name="Currency [0,000] TBD- 8 51" xfId="50682"/>
    <cellStyle name="Currency [0,000] TBD 8 52" xfId="50683"/>
    <cellStyle name="Currency [0,000] TBD- 8 52" xfId="50684"/>
    <cellStyle name="Currency [0,000] TBD 8 53" xfId="50685"/>
    <cellStyle name="Currency [0,000] TBD- 8 53" xfId="50686"/>
    <cellStyle name="Currency [0,000] TBD 8 54" xfId="50687"/>
    <cellStyle name="Currency [0,000] TBD- 8 54" xfId="50688"/>
    <cellStyle name="Currency [0,000] TBD 8 55" xfId="50689"/>
    <cellStyle name="Currency [0,000] TBD- 8 55" xfId="50690"/>
    <cellStyle name="Currency [0,000] TBD 8 56" xfId="50691"/>
    <cellStyle name="Currency [0,000] TBD- 8 56" xfId="50692"/>
    <cellStyle name="Currency [0,000] TBD 8 57" xfId="50693"/>
    <cellStyle name="Currency [0,000] TBD- 8 57" xfId="50694"/>
    <cellStyle name="Currency [0,000] TBD 8 58" xfId="50695"/>
    <cellStyle name="Currency [0,000] TBD- 8 58" xfId="50696"/>
    <cellStyle name="Currency [0,000] TBD 8 59" xfId="50697"/>
    <cellStyle name="Currency [0,000] TBD- 8 59" xfId="50698"/>
    <cellStyle name="Currency [0,000] TBD 8 6" xfId="50699"/>
    <cellStyle name="Currency [0,000] TBD- 8 6" xfId="50700"/>
    <cellStyle name="Currency [0,000] TBD 8 60" xfId="50701"/>
    <cellStyle name="Currency [0,000] TBD- 8 60" xfId="50702"/>
    <cellStyle name="Currency [0,000] TBD 8 61" xfId="50703"/>
    <cellStyle name="Currency [0,000] TBD- 8 61" xfId="50704"/>
    <cellStyle name="Currency [0,000] TBD 8 62" xfId="50705"/>
    <cellStyle name="Currency [0,000] TBD- 8 62" xfId="50706"/>
    <cellStyle name="Currency [0,000] TBD 8 63" xfId="50707"/>
    <cellStyle name="Currency [0,000] TBD- 8 63" xfId="50708"/>
    <cellStyle name="Currency [0,000] TBD 8 64" xfId="50709"/>
    <cellStyle name="Currency [0,000] TBD- 8 64" xfId="50710"/>
    <cellStyle name="Currency [0,000] TBD 8 65" xfId="50711"/>
    <cellStyle name="Currency [0,000] TBD- 8 65" xfId="50712"/>
    <cellStyle name="Currency [0,000] TBD 8 66" xfId="50713"/>
    <cellStyle name="Currency [0,000] TBD- 8 66" xfId="50714"/>
    <cellStyle name="Currency [0,000] TBD 8 67" xfId="50715"/>
    <cellStyle name="Currency [0,000] TBD- 8 67" xfId="50716"/>
    <cellStyle name="Currency [0,000] TBD 8 68" xfId="50717"/>
    <cellStyle name="Currency [0,000] TBD- 8 68" xfId="50718"/>
    <cellStyle name="Currency [0,000] TBD 8 69" xfId="50719"/>
    <cellStyle name="Currency [0,000] TBD- 8 69" xfId="50720"/>
    <cellStyle name="Currency [0,000] TBD 8 7" xfId="50721"/>
    <cellStyle name="Currency [0,000] TBD- 8 7" xfId="50722"/>
    <cellStyle name="Currency [0,000] TBD 8 70" xfId="50723"/>
    <cellStyle name="Currency [0,000] TBD- 8 70" xfId="50724"/>
    <cellStyle name="Currency [0,000] TBD 8 71" xfId="50725"/>
    <cellStyle name="Currency [0,000] TBD- 8 71" xfId="50726"/>
    <cellStyle name="Currency [0,000] TBD 8 72" xfId="50727"/>
    <cellStyle name="Currency [0,000] TBD- 8 72" xfId="50728"/>
    <cellStyle name="Currency [0,000] TBD 8 73" xfId="50729"/>
    <cellStyle name="Currency [0,000] TBD- 8 73" xfId="50730"/>
    <cellStyle name="Currency [0,000] TBD 8 74" xfId="50731"/>
    <cellStyle name="Currency [0,000] TBD- 8 74" xfId="50732"/>
    <cellStyle name="Currency [0,000] TBD 8 75" xfId="50733"/>
    <cellStyle name="Currency [0,000] TBD- 8 75" xfId="50734"/>
    <cellStyle name="Currency [0,000] TBD 8 76" xfId="50735"/>
    <cellStyle name="Currency [0,000] TBD- 8 76" xfId="50736"/>
    <cellStyle name="Currency [0,000] TBD 8 77" xfId="50737"/>
    <cellStyle name="Currency [0,000] TBD- 8 77" xfId="50738"/>
    <cellStyle name="Currency [0,000] TBD 8 78" xfId="50739"/>
    <cellStyle name="Currency [0,000] TBD- 8 78" xfId="50740"/>
    <cellStyle name="Currency [0,000] TBD 8 79" xfId="50741"/>
    <cellStyle name="Currency [0,000] TBD- 8 79" xfId="50742"/>
    <cellStyle name="Currency [0,000] TBD 8 8" xfId="50743"/>
    <cellStyle name="Currency [0,000] TBD- 8 8" xfId="50744"/>
    <cellStyle name="Currency [0,000] TBD 8 80" xfId="50745"/>
    <cellStyle name="Currency [0,000] TBD- 8 80" xfId="50746"/>
    <cellStyle name="Currency [0,000] TBD 8 81" xfId="50747"/>
    <cellStyle name="Currency [0,000] TBD- 8 81" xfId="50748"/>
    <cellStyle name="Currency [0,000] TBD 8 82" xfId="50749"/>
    <cellStyle name="Currency [0,000] TBD- 8 82" xfId="50750"/>
    <cellStyle name="Currency [0,000] TBD 8 83" xfId="50751"/>
    <cellStyle name="Currency [0,000] TBD- 8 83" xfId="50752"/>
    <cellStyle name="Currency [0,000] TBD 8 84" xfId="50753"/>
    <cellStyle name="Currency [0,000] TBD- 8 84" xfId="50754"/>
    <cellStyle name="Currency [0,000] TBD 8 85" xfId="50755"/>
    <cellStyle name="Currency [0,000] TBD- 8 85" xfId="50756"/>
    <cellStyle name="Currency [0,000] TBD 8 86" xfId="50757"/>
    <cellStyle name="Currency [0,000] TBD- 8 86" xfId="50758"/>
    <cellStyle name="Currency [0,000] TBD 8 87" xfId="50759"/>
    <cellStyle name="Currency [0,000] TBD- 8 87" xfId="50760"/>
    <cellStyle name="Currency [0,000] TBD 8 88" xfId="50761"/>
    <cellStyle name="Currency [0,000] TBD- 8 88" xfId="50762"/>
    <cellStyle name="Currency [0,000] TBD 8 89" xfId="50763"/>
    <cellStyle name="Currency [0,000] TBD- 8 89" xfId="50764"/>
    <cellStyle name="Currency [0,000] TBD 8 9" xfId="50765"/>
    <cellStyle name="Currency [0,000] TBD- 8 9" xfId="50766"/>
    <cellStyle name="Currency [0,000] TBD 8 90" xfId="50767"/>
    <cellStyle name="Currency [0,000] TBD- 8 90" xfId="50768"/>
    <cellStyle name="Currency [0,000] TBD 8 91" xfId="50769"/>
    <cellStyle name="Currency [0,000] TBD- 8 91" xfId="50770"/>
    <cellStyle name="Currency [0,000] TBD 8 92" xfId="50771"/>
    <cellStyle name="Currency [0,000] TBD- 8 92" xfId="50772"/>
    <cellStyle name="Currency [0,000] TBD 8 93" xfId="50773"/>
    <cellStyle name="Currency [0,000] TBD- 8 93" xfId="50774"/>
    <cellStyle name="Currency [0,000] TBD 8 94" xfId="50775"/>
    <cellStyle name="Currency [0,000] TBD- 8 94" xfId="50776"/>
    <cellStyle name="Currency [0,000] TBD 8 95" xfId="50777"/>
    <cellStyle name="Currency [0,000] TBD- 8 95" xfId="50778"/>
    <cellStyle name="Currency [0,000] TBD 8 96" xfId="50779"/>
    <cellStyle name="Currency [0,000] TBD- 8 96" xfId="50780"/>
    <cellStyle name="Currency [0,000] TBD 8 97" xfId="50781"/>
    <cellStyle name="Currency [0,000] TBD- 8 97" xfId="50782"/>
    <cellStyle name="Currency [0,000] TBD 8 98" xfId="50783"/>
    <cellStyle name="Currency [0,000] TBD- 8 98" xfId="50784"/>
    <cellStyle name="Currency [0,000] TBD 8 99" xfId="50785"/>
    <cellStyle name="Currency [0,000] TBD- 8 99" xfId="50786"/>
    <cellStyle name="Currency [0,000] TBD 9" xfId="50787"/>
    <cellStyle name="Currency [0,000] TBD- 9" xfId="50788"/>
    <cellStyle name="Currency [0,000] TBD 9 10" xfId="50789"/>
    <cellStyle name="Currency [0,000] TBD- 9 10" xfId="50790"/>
    <cellStyle name="Currency [0,000] TBD 9 100" xfId="50791"/>
    <cellStyle name="Currency [0,000] TBD- 9 100" xfId="50792"/>
    <cellStyle name="Currency [0,000] TBD 9 101" xfId="50793"/>
    <cellStyle name="Currency [0,000] TBD- 9 101" xfId="50794"/>
    <cellStyle name="Currency [0,000] TBD 9 102" xfId="50795"/>
    <cellStyle name="Currency [0,000] TBD- 9 102" xfId="50796"/>
    <cellStyle name="Currency [0,000] TBD 9 103" xfId="50797"/>
    <cellStyle name="Currency [0,000] TBD- 9 103" xfId="50798"/>
    <cellStyle name="Currency [0,000] TBD 9 104" xfId="50799"/>
    <cellStyle name="Currency [0,000] TBD- 9 104" xfId="50800"/>
    <cellStyle name="Currency [0,000] TBD 9 105" xfId="50801"/>
    <cellStyle name="Currency [0,000] TBD- 9 105" xfId="50802"/>
    <cellStyle name="Currency [0,000] TBD 9 106" xfId="50803"/>
    <cellStyle name="Currency [0,000] TBD- 9 106" xfId="50804"/>
    <cellStyle name="Currency [0,000] TBD 9 107" xfId="50805"/>
    <cellStyle name="Currency [0,000] TBD- 9 107" xfId="50806"/>
    <cellStyle name="Currency [0,000] TBD 9 108" xfId="50807"/>
    <cellStyle name="Currency [0,000] TBD- 9 108" xfId="50808"/>
    <cellStyle name="Currency [0,000] TBD 9 109" xfId="50809"/>
    <cellStyle name="Currency [0,000] TBD- 9 109" xfId="50810"/>
    <cellStyle name="Currency [0,000] TBD 9 11" xfId="50811"/>
    <cellStyle name="Currency [0,000] TBD- 9 11" xfId="50812"/>
    <cellStyle name="Currency [0,000] TBD 9 110" xfId="50813"/>
    <cellStyle name="Currency [0,000] TBD- 9 110" xfId="50814"/>
    <cellStyle name="Currency [0,000] TBD 9 111" xfId="50815"/>
    <cellStyle name="Currency [0,000] TBD- 9 111" xfId="50816"/>
    <cellStyle name="Currency [0,000] TBD 9 112" xfId="50817"/>
    <cellStyle name="Currency [0,000] TBD- 9 112" xfId="50818"/>
    <cellStyle name="Currency [0,000] TBD 9 113" xfId="50819"/>
    <cellStyle name="Currency [0,000] TBD- 9 113" xfId="50820"/>
    <cellStyle name="Currency [0,000] TBD 9 114" xfId="50821"/>
    <cellStyle name="Currency [0,000] TBD- 9 114" xfId="50822"/>
    <cellStyle name="Currency [0,000] TBD 9 115" xfId="50823"/>
    <cellStyle name="Currency [0,000] TBD- 9 115" xfId="50824"/>
    <cellStyle name="Currency [0,000] TBD 9 116" xfId="50825"/>
    <cellStyle name="Currency [0,000] TBD- 9 116" xfId="50826"/>
    <cellStyle name="Currency [0,000] TBD 9 117" xfId="50827"/>
    <cellStyle name="Currency [0,000] TBD- 9 117" xfId="50828"/>
    <cellStyle name="Currency [0,000] TBD 9 118" xfId="50829"/>
    <cellStyle name="Currency [0,000] TBD- 9 118" xfId="50830"/>
    <cellStyle name="Currency [0,000] TBD 9 119" xfId="50831"/>
    <cellStyle name="Currency [0,000] TBD- 9 119" xfId="50832"/>
    <cellStyle name="Currency [0,000] TBD 9 12" xfId="50833"/>
    <cellStyle name="Currency [0,000] TBD- 9 12" xfId="50834"/>
    <cellStyle name="Currency [0,000] TBD 9 120" xfId="50835"/>
    <cellStyle name="Currency [0,000] TBD- 9 120" xfId="50836"/>
    <cellStyle name="Currency [0,000] TBD 9 121" xfId="50837"/>
    <cellStyle name="Currency [0,000] TBD- 9 121" xfId="50838"/>
    <cellStyle name="Currency [0,000] TBD 9 122" xfId="50839"/>
    <cellStyle name="Currency [0,000] TBD- 9 122" xfId="50840"/>
    <cellStyle name="Currency [0,000] TBD 9 123" xfId="50841"/>
    <cellStyle name="Currency [0,000] TBD- 9 123" xfId="50842"/>
    <cellStyle name="Currency [0,000] TBD 9 124" xfId="50843"/>
    <cellStyle name="Currency [0,000] TBD- 9 124" xfId="50844"/>
    <cellStyle name="Currency [0,000] TBD 9 125" xfId="50845"/>
    <cellStyle name="Currency [0,000] TBD- 9 125" xfId="50846"/>
    <cellStyle name="Currency [0,000] TBD 9 126" xfId="50847"/>
    <cellStyle name="Currency [0,000] TBD- 9 126" xfId="50848"/>
    <cellStyle name="Currency [0,000] TBD 9 127" xfId="50849"/>
    <cellStyle name="Currency [0,000] TBD- 9 127" xfId="50850"/>
    <cellStyle name="Currency [0,000] TBD 9 128" xfId="50851"/>
    <cellStyle name="Currency [0,000] TBD- 9 128" xfId="50852"/>
    <cellStyle name="Currency [0,000] TBD 9 129" xfId="50853"/>
    <cellStyle name="Currency [0,000] TBD- 9 129" xfId="50854"/>
    <cellStyle name="Currency [0,000] TBD 9 13" xfId="50855"/>
    <cellStyle name="Currency [0,000] TBD- 9 13" xfId="50856"/>
    <cellStyle name="Currency [0,000] TBD 9 130" xfId="50857"/>
    <cellStyle name="Currency [0,000] TBD- 9 130" xfId="50858"/>
    <cellStyle name="Currency [0,000] TBD 9 131" xfId="50859"/>
    <cellStyle name="Currency [0,000] TBD- 9 131" xfId="50860"/>
    <cellStyle name="Currency [0,000] TBD 9 132" xfId="50861"/>
    <cellStyle name="Currency [0,000] TBD- 9 132" xfId="50862"/>
    <cellStyle name="Currency [0,000] TBD 9 133" xfId="50863"/>
    <cellStyle name="Currency [0,000] TBD- 9 133" xfId="50864"/>
    <cellStyle name="Currency [0,000] TBD 9 134" xfId="50865"/>
    <cellStyle name="Currency [0,000] TBD- 9 134" xfId="50866"/>
    <cellStyle name="Currency [0,000] TBD 9 135" xfId="50867"/>
    <cellStyle name="Currency [0,000] TBD- 9 135" xfId="50868"/>
    <cellStyle name="Currency [0,000] TBD 9 136" xfId="50869"/>
    <cellStyle name="Currency [0,000] TBD- 9 136" xfId="50870"/>
    <cellStyle name="Currency [0,000] TBD 9 137" xfId="50871"/>
    <cellStyle name="Currency [0,000] TBD- 9 137" xfId="50872"/>
    <cellStyle name="Currency [0,000] TBD 9 138" xfId="50873"/>
    <cellStyle name="Currency [0,000] TBD- 9 138" xfId="50874"/>
    <cellStyle name="Currency [0,000] TBD 9 139" xfId="50875"/>
    <cellStyle name="Currency [0,000] TBD- 9 139" xfId="50876"/>
    <cellStyle name="Currency [0,000] TBD 9 14" xfId="50877"/>
    <cellStyle name="Currency [0,000] TBD- 9 14" xfId="50878"/>
    <cellStyle name="Currency [0,000] TBD 9 140" xfId="50879"/>
    <cellStyle name="Currency [0,000] TBD- 9 140" xfId="50880"/>
    <cellStyle name="Currency [0,000] TBD 9 141" xfId="50881"/>
    <cellStyle name="Currency [0,000] TBD- 9 141" xfId="50882"/>
    <cellStyle name="Currency [0,000] TBD 9 142" xfId="50883"/>
    <cellStyle name="Currency [0,000] TBD- 9 142" xfId="50884"/>
    <cellStyle name="Currency [0,000] TBD 9 143" xfId="50885"/>
    <cellStyle name="Currency [0,000] TBD- 9 143" xfId="50886"/>
    <cellStyle name="Currency [0,000] TBD 9 144" xfId="50887"/>
    <cellStyle name="Currency [0,000] TBD- 9 144" xfId="50888"/>
    <cellStyle name="Currency [0,000] TBD 9 145" xfId="50889"/>
    <cellStyle name="Currency [0,000] TBD- 9 145" xfId="50890"/>
    <cellStyle name="Currency [0,000] TBD 9 146" xfId="50891"/>
    <cellStyle name="Currency [0,000] TBD- 9 146" xfId="50892"/>
    <cellStyle name="Currency [0,000] TBD 9 147" xfId="50893"/>
    <cellStyle name="Currency [0,000] TBD- 9 147" xfId="50894"/>
    <cellStyle name="Currency [0,000] TBD 9 148" xfId="50895"/>
    <cellStyle name="Currency [0,000] TBD- 9 148" xfId="50896"/>
    <cellStyle name="Currency [0,000] TBD 9 149" xfId="50897"/>
    <cellStyle name="Currency [0,000] TBD- 9 149" xfId="50898"/>
    <cellStyle name="Currency [0,000] TBD 9 15" xfId="50899"/>
    <cellStyle name="Currency [0,000] TBD- 9 15" xfId="50900"/>
    <cellStyle name="Currency [0,000] TBD 9 150" xfId="50901"/>
    <cellStyle name="Currency [0,000] TBD- 9 150" xfId="50902"/>
    <cellStyle name="Currency [0,000] TBD 9 151" xfId="50903"/>
    <cellStyle name="Currency [0,000] TBD- 9 151" xfId="50904"/>
    <cellStyle name="Currency [0,000] TBD 9 152" xfId="50905"/>
    <cellStyle name="Currency [0,000] TBD- 9 152" xfId="50906"/>
    <cellStyle name="Currency [0,000] TBD 9 153" xfId="50907"/>
    <cellStyle name="Currency [0,000] TBD- 9 153" xfId="50908"/>
    <cellStyle name="Currency [0,000] TBD 9 16" xfId="50909"/>
    <cellStyle name="Currency [0,000] TBD- 9 16" xfId="50910"/>
    <cellStyle name="Currency [0,000] TBD 9 17" xfId="50911"/>
    <cellStyle name="Currency [0,000] TBD- 9 17" xfId="50912"/>
    <cellStyle name="Currency [0,000] TBD 9 18" xfId="50913"/>
    <cellStyle name="Currency [0,000] TBD- 9 18" xfId="50914"/>
    <cellStyle name="Currency [0,000] TBD 9 19" xfId="50915"/>
    <cellStyle name="Currency [0,000] TBD- 9 19" xfId="50916"/>
    <cellStyle name="Currency [0,000] TBD 9 2" xfId="50917"/>
    <cellStyle name="Currency [0,000] TBD- 9 2" xfId="50918"/>
    <cellStyle name="Currency [0,000] TBD 9 20" xfId="50919"/>
    <cellStyle name="Currency [0,000] TBD- 9 20" xfId="50920"/>
    <cellStyle name="Currency [0,000] TBD 9 21" xfId="50921"/>
    <cellStyle name="Currency [0,000] TBD- 9 21" xfId="50922"/>
    <cellStyle name="Currency [0,000] TBD 9 22" xfId="50923"/>
    <cellStyle name="Currency [0,000] TBD- 9 22" xfId="50924"/>
    <cellStyle name="Currency [0,000] TBD 9 23" xfId="50925"/>
    <cellStyle name="Currency [0,000] TBD- 9 23" xfId="50926"/>
    <cellStyle name="Currency [0,000] TBD 9 24" xfId="50927"/>
    <cellStyle name="Currency [0,000] TBD- 9 24" xfId="50928"/>
    <cellStyle name="Currency [0,000] TBD 9 25" xfId="50929"/>
    <cellStyle name="Currency [0,000] TBD- 9 25" xfId="50930"/>
    <cellStyle name="Currency [0,000] TBD 9 26" xfId="50931"/>
    <cellStyle name="Currency [0,000] TBD- 9 26" xfId="50932"/>
    <cellStyle name="Currency [0,000] TBD 9 27" xfId="50933"/>
    <cellStyle name="Currency [0,000] TBD- 9 27" xfId="50934"/>
    <cellStyle name="Currency [0,000] TBD 9 28" xfId="50935"/>
    <cellStyle name="Currency [0,000] TBD- 9 28" xfId="50936"/>
    <cellStyle name="Currency [0,000] TBD 9 29" xfId="50937"/>
    <cellStyle name="Currency [0,000] TBD- 9 29" xfId="50938"/>
    <cellStyle name="Currency [0,000] TBD 9 3" xfId="50939"/>
    <cellStyle name="Currency [0,000] TBD- 9 3" xfId="50940"/>
    <cellStyle name="Currency [0,000] TBD 9 30" xfId="50941"/>
    <cellStyle name="Currency [0,000] TBD- 9 30" xfId="50942"/>
    <cellStyle name="Currency [0,000] TBD 9 31" xfId="50943"/>
    <cellStyle name="Currency [0,000] TBD- 9 31" xfId="50944"/>
    <cellStyle name="Currency [0,000] TBD 9 32" xfId="50945"/>
    <cellStyle name="Currency [0,000] TBD- 9 32" xfId="50946"/>
    <cellStyle name="Currency [0,000] TBD 9 33" xfId="50947"/>
    <cellStyle name="Currency [0,000] TBD- 9 33" xfId="50948"/>
    <cellStyle name="Currency [0,000] TBD 9 34" xfId="50949"/>
    <cellStyle name="Currency [0,000] TBD- 9 34" xfId="50950"/>
    <cellStyle name="Currency [0,000] TBD 9 35" xfId="50951"/>
    <cellStyle name="Currency [0,000] TBD- 9 35" xfId="50952"/>
    <cellStyle name="Currency [0,000] TBD 9 36" xfId="50953"/>
    <cellStyle name="Currency [0,000] TBD- 9 36" xfId="50954"/>
    <cellStyle name="Currency [0,000] TBD 9 37" xfId="50955"/>
    <cellStyle name="Currency [0,000] TBD- 9 37" xfId="50956"/>
    <cellStyle name="Currency [0,000] TBD 9 38" xfId="50957"/>
    <cellStyle name="Currency [0,000] TBD- 9 38" xfId="50958"/>
    <cellStyle name="Currency [0,000] TBD 9 39" xfId="50959"/>
    <cellStyle name="Currency [0,000] TBD- 9 39" xfId="50960"/>
    <cellStyle name="Currency [0,000] TBD 9 4" xfId="50961"/>
    <cellStyle name="Currency [0,000] TBD- 9 4" xfId="50962"/>
    <cellStyle name="Currency [0,000] TBD 9 40" xfId="50963"/>
    <cellStyle name="Currency [0,000] TBD- 9 40" xfId="50964"/>
    <cellStyle name="Currency [0,000] TBD 9 41" xfId="50965"/>
    <cellStyle name="Currency [0,000] TBD- 9 41" xfId="50966"/>
    <cellStyle name="Currency [0,000] TBD 9 42" xfId="50967"/>
    <cellStyle name="Currency [0,000] TBD- 9 42" xfId="50968"/>
    <cellStyle name="Currency [0,000] TBD 9 43" xfId="50969"/>
    <cellStyle name="Currency [0,000] TBD- 9 43" xfId="50970"/>
    <cellStyle name="Currency [0,000] TBD 9 44" xfId="50971"/>
    <cellStyle name="Currency [0,000] TBD- 9 44" xfId="50972"/>
    <cellStyle name="Currency [0,000] TBD 9 45" xfId="50973"/>
    <cellStyle name="Currency [0,000] TBD- 9 45" xfId="50974"/>
    <cellStyle name="Currency [0,000] TBD 9 46" xfId="50975"/>
    <cellStyle name="Currency [0,000] TBD- 9 46" xfId="50976"/>
    <cellStyle name="Currency [0,000] TBD 9 47" xfId="50977"/>
    <cellStyle name="Currency [0,000] TBD- 9 47" xfId="50978"/>
    <cellStyle name="Currency [0,000] TBD 9 48" xfId="50979"/>
    <cellStyle name="Currency [0,000] TBD- 9 48" xfId="50980"/>
    <cellStyle name="Currency [0,000] TBD 9 49" xfId="50981"/>
    <cellStyle name="Currency [0,000] TBD- 9 49" xfId="50982"/>
    <cellStyle name="Currency [0,000] TBD 9 5" xfId="50983"/>
    <cellStyle name="Currency [0,000] TBD- 9 5" xfId="50984"/>
    <cellStyle name="Currency [0,000] TBD 9 50" xfId="50985"/>
    <cellStyle name="Currency [0,000] TBD- 9 50" xfId="50986"/>
    <cellStyle name="Currency [0,000] TBD 9 51" xfId="50987"/>
    <cellStyle name="Currency [0,000] TBD- 9 51" xfId="50988"/>
    <cellStyle name="Currency [0,000] TBD 9 52" xfId="50989"/>
    <cellStyle name="Currency [0,000] TBD- 9 52" xfId="50990"/>
    <cellStyle name="Currency [0,000] TBD 9 53" xfId="50991"/>
    <cellStyle name="Currency [0,000] TBD- 9 53" xfId="50992"/>
    <cellStyle name="Currency [0,000] TBD 9 54" xfId="50993"/>
    <cellStyle name="Currency [0,000] TBD- 9 54" xfId="50994"/>
    <cellStyle name="Currency [0,000] TBD 9 55" xfId="50995"/>
    <cellStyle name="Currency [0,000] TBD- 9 55" xfId="50996"/>
    <cellStyle name="Currency [0,000] TBD 9 56" xfId="50997"/>
    <cellStyle name="Currency [0,000] TBD- 9 56" xfId="50998"/>
    <cellStyle name="Currency [0,000] TBD 9 57" xfId="50999"/>
    <cellStyle name="Currency [0,000] TBD- 9 57" xfId="51000"/>
    <cellStyle name="Currency [0,000] TBD 9 58" xfId="51001"/>
    <cellStyle name="Currency [0,000] TBD- 9 58" xfId="51002"/>
    <cellStyle name="Currency [0,000] TBD 9 59" xfId="51003"/>
    <cellStyle name="Currency [0,000] TBD- 9 59" xfId="51004"/>
    <cellStyle name="Currency [0,000] TBD 9 6" xfId="51005"/>
    <cellStyle name="Currency [0,000] TBD- 9 6" xfId="51006"/>
    <cellStyle name="Currency [0,000] TBD 9 60" xfId="51007"/>
    <cellStyle name="Currency [0,000] TBD- 9 60" xfId="51008"/>
    <cellStyle name="Currency [0,000] TBD 9 61" xfId="51009"/>
    <cellStyle name="Currency [0,000] TBD- 9 61" xfId="51010"/>
    <cellStyle name="Currency [0,000] TBD 9 62" xfId="51011"/>
    <cellStyle name="Currency [0,000] TBD- 9 62" xfId="51012"/>
    <cellStyle name="Currency [0,000] TBD 9 63" xfId="51013"/>
    <cellStyle name="Currency [0,000] TBD- 9 63" xfId="51014"/>
    <cellStyle name="Currency [0,000] TBD 9 64" xfId="51015"/>
    <cellStyle name="Currency [0,000] TBD- 9 64" xfId="51016"/>
    <cellStyle name="Currency [0,000] TBD 9 65" xfId="51017"/>
    <cellStyle name="Currency [0,000] TBD- 9 65" xfId="51018"/>
    <cellStyle name="Currency [0,000] TBD 9 66" xfId="51019"/>
    <cellStyle name="Currency [0,000] TBD- 9 66" xfId="51020"/>
    <cellStyle name="Currency [0,000] TBD 9 67" xfId="51021"/>
    <cellStyle name="Currency [0,000] TBD- 9 67" xfId="51022"/>
    <cellStyle name="Currency [0,000] TBD 9 68" xfId="51023"/>
    <cellStyle name="Currency [0,000] TBD- 9 68" xfId="51024"/>
    <cellStyle name="Currency [0,000] TBD 9 69" xfId="51025"/>
    <cellStyle name="Currency [0,000] TBD- 9 69" xfId="51026"/>
    <cellStyle name="Currency [0,000] TBD 9 7" xfId="51027"/>
    <cellStyle name="Currency [0,000] TBD- 9 7" xfId="51028"/>
    <cellStyle name="Currency [0,000] TBD 9 70" xfId="51029"/>
    <cellStyle name="Currency [0,000] TBD- 9 70" xfId="51030"/>
    <cellStyle name="Currency [0,000] TBD 9 71" xfId="51031"/>
    <cellStyle name="Currency [0,000] TBD- 9 71" xfId="51032"/>
    <cellStyle name="Currency [0,000] TBD 9 72" xfId="51033"/>
    <cellStyle name="Currency [0,000] TBD- 9 72" xfId="51034"/>
    <cellStyle name="Currency [0,000] TBD 9 73" xfId="51035"/>
    <cellStyle name="Currency [0,000] TBD- 9 73" xfId="51036"/>
    <cellStyle name="Currency [0,000] TBD 9 74" xfId="51037"/>
    <cellStyle name="Currency [0,000] TBD- 9 74" xfId="51038"/>
    <cellStyle name="Currency [0,000] TBD 9 75" xfId="51039"/>
    <cellStyle name="Currency [0,000] TBD- 9 75" xfId="51040"/>
    <cellStyle name="Currency [0,000] TBD 9 76" xfId="51041"/>
    <cellStyle name="Currency [0,000] TBD- 9 76" xfId="51042"/>
    <cellStyle name="Currency [0,000] TBD 9 77" xfId="51043"/>
    <cellStyle name="Currency [0,000] TBD- 9 77" xfId="51044"/>
    <cellStyle name="Currency [0,000] TBD 9 78" xfId="51045"/>
    <cellStyle name="Currency [0,000] TBD- 9 78" xfId="51046"/>
    <cellStyle name="Currency [0,000] TBD 9 79" xfId="51047"/>
    <cellStyle name="Currency [0,000] TBD- 9 79" xfId="51048"/>
    <cellStyle name="Currency [0,000] TBD 9 8" xfId="51049"/>
    <cellStyle name="Currency [0,000] TBD- 9 8" xfId="51050"/>
    <cellStyle name="Currency [0,000] TBD 9 80" xfId="51051"/>
    <cellStyle name="Currency [0,000] TBD- 9 80" xfId="51052"/>
    <cellStyle name="Currency [0,000] TBD 9 81" xfId="51053"/>
    <cellStyle name="Currency [0,000] TBD- 9 81" xfId="51054"/>
    <cellStyle name="Currency [0,000] TBD 9 82" xfId="51055"/>
    <cellStyle name="Currency [0,000] TBD- 9 82" xfId="51056"/>
    <cellStyle name="Currency [0,000] TBD 9 83" xfId="51057"/>
    <cellStyle name="Currency [0,000] TBD- 9 83" xfId="51058"/>
    <cellStyle name="Currency [0,000] TBD 9 84" xfId="51059"/>
    <cellStyle name="Currency [0,000] TBD- 9 84" xfId="51060"/>
    <cellStyle name="Currency [0,000] TBD 9 85" xfId="51061"/>
    <cellStyle name="Currency [0,000] TBD- 9 85" xfId="51062"/>
    <cellStyle name="Currency [0,000] TBD 9 86" xfId="51063"/>
    <cellStyle name="Currency [0,000] TBD- 9 86" xfId="51064"/>
    <cellStyle name="Currency [0,000] TBD 9 87" xfId="51065"/>
    <cellStyle name="Currency [0,000] TBD- 9 87" xfId="51066"/>
    <cellStyle name="Currency [0,000] TBD 9 88" xfId="51067"/>
    <cellStyle name="Currency [0,000] TBD- 9 88" xfId="51068"/>
    <cellStyle name="Currency [0,000] TBD 9 89" xfId="51069"/>
    <cellStyle name="Currency [0,000] TBD- 9 89" xfId="51070"/>
    <cellStyle name="Currency [0,000] TBD 9 9" xfId="51071"/>
    <cellStyle name="Currency [0,000] TBD- 9 9" xfId="51072"/>
    <cellStyle name="Currency [0,000] TBD 9 90" xfId="51073"/>
    <cellStyle name="Currency [0,000] TBD- 9 90" xfId="51074"/>
    <cellStyle name="Currency [0,000] TBD 9 91" xfId="51075"/>
    <cellStyle name="Currency [0,000] TBD- 9 91" xfId="51076"/>
    <cellStyle name="Currency [0,000] TBD 9 92" xfId="51077"/>
    <cellStyle name="Currency [0,000] TBD- 9 92" xfId="51078"/>
    <cellStyle name="Currency [0,000] TBD 9 93" xfId="51079"/>
    <cellStyle name="Currency [0,000] TBD- 9 93" xfId="51080"/>
    <cellStyle name="Currency [0,000] TBD 9 94" xfId="51081"/>
    <cellStyle name="Currency [0,000] TBD- 9 94" xfId="51082"/>
    <cellStyle name="Currency [0,000] TBD 9 95" xfId="51083"/>
    <cellStyle name="Currency [0,000] TBD- 9 95" xfId="51084"/>
    <cellStyle name="Currency [0,000] TBD 9 96" xfId="51085"/>
    <cellStyle name="Currency [0,000] TBD- 9 96" xfId="51086"/>
    <cellStyle name="Currency [0,000] TBD 9 97" xfId="51087"/>
    <cellStyle name="Currency [0,000] TBD- 9 97" xfId="51088"/>
    <cellStyle name="Currency [0,000] TBD 9 98" xfId="51089"/>
    <cellStyle name="Currency [0,000] TBD- 9 98" xfId="51090"/>
    <cellStyle name="Currency [0,000] TBD 9 99" xfId="51091"/>
    <cellStyle name="Currency [0,000] TBD- 9 99" xfId="51092"/>
    <cellStyle name="Currency [0,000] TBD_Page 2f (2)" xfId="51093"/>
    <cellStyle name="Currency [0,000] TBD-_Page 2f (2)" xfId="51094"/>
    <cellStyle name="Currency [0,000] TBD_Page 2f (2) 10" xfId="51095"/>
    <cellStyle name="Currency [0,000] TBD-_Page 2f (2) 10" xfId="51096"/>
    <cellStyle name="Currency [0,000] TBD_Page 2f (2) 10 10" xfId="51097"/>
    <cellStyle name="Currency [0,000] TBD-_Page 2f (2) 10 10" xfId="51098"/>
    <cellStyle name="Currency [0,000] TBD_Page 2f (2) 10 100" xfId="51099"/>
    <cellStyle name="Currency [0,000] TBD-_Page 2f (2) 10 100" xfId="51100"/>
    <cellStyle name="Currency [0,000] TBD_Page 2f (2) 10 101" xfId="51101"/>
    <cellStyle name="Currency [0,000] TBD-_Page 2f (2) 10 101" xfId="51102"/>
    <cellStyle name="Currency [0,000] TBD_Page 2f (2) 10 102" xfId="51103"/>
    <cellStyle name="Currency [0,000] TBD-_Page 2f (2) 10 102" xfId="51104"/>
    <cellStyle name="Currency [0,000] TBD_Page 2f (2) 10 103" xfId="51105"/>
    <cellStyle name="Currency [0,000] TBD-_Page 2f (2) 10 103" xfId="51106"/>
    <cellStyle name="Currency [0,000] TBD_Page 2f (2) 10 104" xfId="51107"/>
    <cellStyle name="Currency [0,000] TBD-_Page 2f (2) 10 104" xfId="51108"/>
    <cellStyle name="Currency [0,000] TBD_Page 2f (2) 10 105" xfId="51109"/>
    <cellStyle name="Currency [0,000] TBD-_Page 2f (2) 10 105" xfId="51110"/>
    <cellStyle name="Currency [0,000] TBD_Page 2f (2) 10 106" xfId="51111"/>
    <cellStyle name="Currency [0,000] TBD-_Page 2f (2) 10 106" xfId="51112"/>
    <cellStyle name="Currency [0,000] TBD_Page 2f (2) 10 107" xfId="51113"/>
    <cellStyle name="Currency [0,000] TBD-_Page 2f (2) 10 107" xfId="51114"/>
    <cellStyle name="Currency [0,000] TBD_Page 2f (2) 10 108" xfId="51115"/>
    <cellStyle name="Currency [0,000] TBD-_Page 2f (2) 10 108" xfId="51116"/>
    <cellStyle name="Currency [0,000] TBD_Page 2f (2) 10 109" xfId="51117"/>
    <cellStyle name="Currency [0,000] TBD-_Page 2f (2) 10 109" xfId="51118"/>
    <cellStyle name="Currency [0,000] TBD_Page 2f (2) 10 11" xfId="51119"/>
    <cellStyle name="Currency [0,000] TBD-_Page 2f (2) 10 11" xfId="51120"/>
    <cellStyle name="Currency [0,000] TBD_Page 2f (2) 10 110" xfId="51121"/>
    <cellStyle name="Currency [0,000] TBD-_Page 2f (2) 10 110" xfId="51122"/>
    <cellStyle name="Currency [0,000] TBD_Page 2f (2) 10 111" xfId="51123"/>
    <cellStyle name="Currency [0,000] TBD-_Page 2f (2) 10 111" xfId="51124"/>
    <cellStyle name="Currency [0,000] TBD_Page 2f (2) 10 112" xfId="51125"/>
    <cellStyle name="Currency [0,000] TBD-_Page 2f (2) 10 112" xfId="51126"/>
    <cellStyle name="Currency [0,000] TBD_Page 2f (2) 10 113" xfId="51127"/>
    <cellStyle name="Currency [0,000] TBD-_Page 2f (2) 10 113" xfId="51128"/>
    <cellStyle name="Currency [0,000] TBD_Page 2f (2) 10 114" xfId="51129"/>
    <cellStyle name="Currency [0,000] TBD-_Page 2f (2) 10 114" xfId="51130"/>
    <cellStyle name="Currency [0,000] TBD_Page 2f (2) 10 115" xfId="51131"/>
    <cellStyle name="Currency [0,000] TBD-_Page 2f (2) 10 115" xfId="51132"/>
    <cellStyle name="Currency [0,000] TBD_Page 2f (2) 10 116" xfId="51133"/>
    <cellStyle name="Currency [0,000] TBD-_Page 2f (2) 10 116" xfId="51134"/>
    <cellStyle name="Currency [0,000] TBD_Page 2f (2) 10 117" xfId="51135"/>
    <cellStyle name="Currency [0,000] TBD-_Page 2f (2) 10 117" xfId="51136"/>
    <cellStyle name="Currency [0,000] TBD_Page 2f (2) 10 118" xfId="51137"/>
    <cellStyle name="Currency [0,000] TBD-_Page 2f (2) 10 118" xfId="51138"/>
    <cellStyle name="Currency [0,000] TBD_Page 2f (2) 10 119" xfId="51139"/>
    <cellStyle name="Currency [0,000] TBD-_Page 2f (2) 10 119" xfId="51140"/>
    <cellStyle name="Currency [0,000] TBD_Page 2f (2) 10 12" xfId="51141"/>
    <cellStyle name="Currency [0,000] TBD-_Page 2f (2) 10 12" xfId="51142"/>
    <cellStyle name="Currency [0,000] TBD_Page 2f (2) 10 120" xfId="51143"/>
    <cellStyle name="Currency [0,000] TBD-_Page 2f (2) 10 120" xfId="51144"/>
    <cellStyle name="Currency [0,000] TBD_Page 2f (2) 10 121" xfId="51145"/>
    <cellStyle name="Currency [0,000] TBD-_Page 2f (2) 10 121" xfId="51146"/>
    <cellStyle name="Currency [0,000] TBD_Page 2f (2) 10 122" xfId="51147"/>
    <cellStyle name="Currency [0,000] TBD-_Page 2f (2) 10 122" xfId="51148"/>
    <cellStyle name="Currency [0,000] TBD_Page 2f (2) 10 123" xfId="51149"/>
    <cellStyle name="Currency [0,000] TBD-_Page 2f (2) 10 123" xfId="51150"/>
    <cellStyle name="Currency [0,000] TBD_Page 2f (2) 10 124" xfId="51151"/>
    <cellStyle name="Currency [0,000] TBD-_Page 2f (2) 10 124" xfId="51152"/>
    <cellStyle name="Currency [0,000] TBD_Page 2f (2) 10 125" xfId="51153"/>
    <cellStyle name="Currency [0,000] TBD-_Page 2f (2) 10 125" xfId="51154"/>
    <cellStyle name="Currency [0,000] TBD_Page 2f (2) 10 126" xfId="51155"/>
    <cellStyle name="Currency [0,000] TBD-_Page 2f (2) 10 126" xfId="51156"/>
    <cellStyle name="Currency [0,000] TBD_Page 2f (2) 10 127" xfId="51157"/>
    <cellStyle name="Currency [0,000] TBD-_Page 2f (2) 10 127" xfId="51158"/>
    <cellStyle name="Currency [0,000] TBD_Page 2f (2) 10 128" xfId="51159"/>
    <cellStyle name="Currency [0,000] TBD-_Page 2f (2) 10 128" xfId="51160"/>
    <cellStyle name="Currency [0,000] TBD_Page 2f (2) 10 129" xfId="51161"/>
    <cellStyle name="Currency [0,000] TBD-_Page 2f (2) 10 129" xfId="51162"/>
    <cellStyle name="Currency [0,000] TBD_Page 2f (2) 10 13" xfId="51163"/>
    <cellStyle name="Currency [0,000] TBD-_Page 2f (2) 10 13" xfId="51164"/>
    <cellStyle name="Currency [0,000] TBD_Page 2f (2) 10 130" xfId="51165"/>
    <cellStyle name="Currency [0,000] TBD-_Page 2f (2) 10 130" xfId="51166"/>
    <cellStyle name="Currency [0,000] TBD_Page 2f (2) 10 131" xfId="51167"/>
    <cellStyle name="Currency [0,000] TBD-_Page 2f (2) 10 131" xfId="51168"/>
    <cellStyle name="Currency [0,000] TBD_Page 2f (2) 10 132" xfId="51169"/>
    <cellStyle name="Currency [0,000] TBD-_Page 2f (2) 10 132" xfId="51170"/>
    <cellStyle name="Currency [0,000] TBD_Page 2f (2) 10 133" xfId="51171"/>
    <cellStyle name="Currency [0,000] TBD-_Page 2f (2) 10 133" xfId="51172"/>
    <cellStyle name="Currency [0,000] TBD_Page 2f (2) 10 134" xfId="51173"/>
    <cellStyle name="Currency [0,000] TBD-_Page 2f (2) 10 134" xfId="51174"/>
    <cellStyle name="Currency [0,000] TBD_Page 2f (2) 10 135" xfId="51175"/>
    <cellStyle name="Currency [0,000] TBD-_Page 2f (2) 10 135" xfId="51176"/>
    <cellStyle name="Currency [0,000] TBD_Page 2f (2) 10 136" xfId="51177"/>
    <cellStyle name="Currency [0,000] TBD-_Page 2f (2) 10 136" xfId="51178"/>
    <cellStyle name="Currency [0,000] TBD_Page 2f (2) 10 137" xfId="51179"/>
    <cellStyle name="Currency [0,000] TBD-_Page 2f (2) 10 137" xfId="51180"/>
    <cellStyle name="Currency [0,000] TBD_Page 2f (2) 10 138" xfId="51181"/>
    <cellStyle name="Currency [0,000] TBD-_Page 2f (2) 10 138" xfId="51182"/>
    <cellStyle name="Currency [0,000] TBD_Page 2f (2) 10 139" xfId="51183"/>
    <cellStyle name="Currency [0,000] TBD-_Page 2f (2) 10 139" xfId="51184"/>
    <cellStyle name="Currency [0,000] TBD_Page 2f (2) 10 14" xfId="51185"/>
    <cellStyle name="Currency [0,000] TBD-_Page 2f (2) 10 14" xfId="51186"/>
    <cellStyle name="Currency [0,000] TBD_Page 2f (2) 10 140" xfId="51187"/>
    <cellStyle name="Currency [0,000] TBD-_Page 2f (2) 10 140" xfId="51188"/>
    <cellStyle name="Currency [0,000] TBD_Page 2f (2) 10 141" xfId="51189"/>
    <cellStyle name="Currency [0,000] TBD-_Page 2f (2) 10 141" xfId="51190"/>
    <cellStyle name="Currency [0,000] TBD_Page 2f (2) 10 142" xfId="51191"/>
    <cellStyle name="Currency [0,000] TBD-_Page 2f (2) 10 142" xfId="51192"/>
    <cellStyle name="Currency [0,000] TBD_Page 2f (2) 10 143" xfId="51193"/>
    <cellStyle name="Currency [0,000] TBD-_Page 2f (2) 10 143" xfId="51194"/>
    <cellStyle name="Currency [0,000] TBD_Page 2f (2) 10 144" xfId="51195"/>
    <cellStyle name="Currency [0,000] TBD-_Page 2f (2) 10 144" xfId="51196"/>
    <cellStyle name="Currency [0,000] TBD_Page 2f (2) 10 145" xfId="51197"/>
    <cellStyle name="Currency [0,000] TBD-_Page 2f (2) 10 145" xfId="51198"/>
    <cellStyle name="Currency [0,000] TBD_Page 2f (2) 10 146" xfId="51199"/>
    <cellStyle name="Currency [0,000] TBD-_Page 2f (2) 10 146" xfId="51200"/>
    <cellStyle name="Currency [0,000] TBD_Page 2f (2) 10 147" xfId="51201"/>
    <cellStyle name="Currency [0,000] TBD-_Page 2f (2) 10 147" xfId="51202"/>
    <cellStyle name="Currency [0,000] TBD_Page 2f (2) 10 148" xfId="51203"/>
    <cellStyle name="Currency [0,000] TBD-_Page 2f (2) 10 148" xfId="51204"/>
    <cellStyle name="Currency [0,000] TBD_Page 2f (2) 10 149" xfId="51205"/>
    <cellStyle name="Currency [0,000] TBD-_Page 2f (2) 10 149" xfId="51206"/>
    <cellStyle name="Currency [0,000] TBD_Page 2f (2) 10 15" xfId="51207"/>
    <cellStyle name="Currency [0,000] TBD-_Page 2f (2) 10 15" xfId="51208"/>
    <cellStyle name="Currency [0,000] TBD_Page 2f (2) 10 150" xfId="51209"/>
    <cellStyle name="Currency [0,000] TBD-_Page 2f (2) 10 150" xfId="51210"/>
    <cellStyle name="Currency [0,000] TBD_Page 2f (2) 10 151" xfId="51211"/>
    <cellStyle name="Currency [0,000] TBD-_Page 2f (2) 10 151" xfId="51212"/>
    <cellStyle name="Currency [0,000] TBD_Page 2f (2) 10 152" xfId="51213"/>
    <cellStyle name="Currency [0,000] TBD-_Page 2f (2) 10 152" xfId="51214"/>
    <cellStyle name="Currency [0,000] TBD_Page 2f (2) 10 153" xfId="51215"/>
    <cellStyle name="Currency [0,000] TBD-_Page 2f (2) 10 153" xfId="51216"/>
    <cellStyle name="Currency [0,000] TBD_Page 2f (2) 10 16" xfId="51217"/>
    <cellStyle name="Currency [0,000] TBD-_Page 2f (2) 10 16" xfId="51218"/>
    <cellStyle name="Currency [0,000] TBD_Page 2f (2) 10 17" xfId="51219"/>
    <cellStyle name="Currency [0,000] TBD-_Page 2f (2) 10 17" xfId="51220"/>
    <cellStyle name="Currency [0,000] TBD_Page 2f (2) 10 18" xfId="51221"/>
    <cellStyle name="Currency [0,000] TBD-_Page 2f (2) 10 18" xfId="51222"/>
    <cellStyle name="Currency [0,000] TBD_Page 2f (2) 10 19" xfId="51223"/>
    <cellStyle name="Currency [0,000] TBD-_Page 2f (2) 10 19" xfId="51224"/>
    <cellStyle name="Currency [0,000] TBD_Page 2f (2) 10 2" xfId="51225"/>
    <cellStyle name="Currency [0,000] TBD-_Page 2f (2) 10 2" xfId="51226"/>
    <cellStyle name="Currency [0,000] TBD_Page 2f (2) 10 20" xfId="51227"/>
    <cellStyle name="Currency [0,000] TBD-_Page 2f (2) 10 20" xfId="51228"/>
    <cellStyle name="Currency [0,000] TBD_Page 2f (2) 10 21" xfId="51229"/>
    <cellStyle name="Currency [0,000] TBD-_Page 2f (2) 10 21" xfId="51230"/>
    <cellStyle name="Currency [0,000] TBD_Page 2f (2) 10 22" xfId="51231"/>
    <cellStyle name="Currency [0,000] TBD-_Page 2f (2) 10 22" xfId="51232"/>
    <cellStyle name="Currency [0,000] TBD_Page 2f (2) 10 23" xfId="51233"/>
    <cellStyle name="Currency [0,000] TBD-_Page 2f (2) 10 23" xfId="51234"/>
    <cellStyle name="Currency [0,000] TBD_Page 2f (2) 10 24" xfId="51235"/>
    <cellStyle name="Currency [0,000] TBD-_Page 2f (2) 10 24" xfId="51236"/>
    <cellStyle name="Currency [0,000] TBD_Page 2f (2) 10 25" xfId="51237"/>
    <cellStyle name="Currency [0,000] TBD-_Page 2f (2) 10 25" xfId="51238"/>
    <cellStyle name="Currency [0,000] TBD_Page 2f (2) 10 26" xfId="51239"/>
    <cellStyle name="Currency [0,000] TBD-_Page 2f (2) 10 26" xfId="51240"/>
    <cellStyle name="Currency [0,000] TBD_Page 2f (2) 10 27" xfId="51241"/>
    <cellStyle name="Currency [0,000] TBD-_Page 2f (2) 10 27" xfId="51242"/>
    <cellStyle name="Currency [0,000] TBD_Page 2f (2) 10 28" xfId="51243"/>
    <cellStyle name="Currency [0,000] TBD-_Page 2f (2) 10 28" xfId="51244"/>
    <cellStyle name="Currency [0,000] TBD_Page 2f (2) 10 29" xfId="51245"/>
    <cellStyle name="Currency [0,000] TBD-_Page 2f (2) 10 29" xfId="51246"/>
    <cellStyle name="Currency [0,000] TBD_Page 2f (2) 10 3" xfId="51247"/>
    <cellStyle name="Currency [0,000] TBD-_Page 2f (2) 10 3" xfId="51248"/>
    <cellStyle name="Currency [0,000] TBD_Page 2f (2) 10 30" xfId="51249"/>
    <cellStyle name="Currency [0,000] TBD-_Page 2f (2) 10 30" xfId="51250"/>
    <cellStyle name="Currency [0,000] TBD_Page 2f (2) 10 31" xfId="51251"/>
    <cellStyle name="Currency [0,000] TBD-_Page 2f (2) 10 31" xfId="51252"/>
    <cellStyle name="Currency [0,000] TBD_Page 2f (2) 10 32" xfId="51253"/>
    <cellStyle name="Currency [0,000] TBD-_Page 2f (2) 10 32" xfId="51254"/>
    <cellStyle name="Currency [0,000] TBD_Page 2f (2) 10 33" xfId="51255"/>
    <cellStyle name="Currency [0,000] TBD-_Page 2f (2) 10 33" xfId="51256"/>
    <cellStyle name="Currency [0,000] TBD_Page 2f (2) 10 34" xfId="51257"/>
    <cellStyle name="Currency [0,000] TBD-_Page 2f (2) 10 34" xfId="51258"/>
    <cellStyle name="Currency [0,000] TBD_Page 2f (2) 10 35" xfId="51259"/>
    <cellStyle name="Currency [0,000] TBD-_Page 2f (2) 10 35" xfId="51260"/>
    <cellStyle name="Currency [0,000] TBD_Page 2f (2) 10 36" xfId="51261"/>
    <cellStyle name="Currency [0,000] TBD-_Page 2f (2) 10 36" xfId="51262"/>
    <cellStyle name="Currency [0,000] TBD_Page 2f (2) 10 37" xfId="51263"/>
    <cellStyle name="Currency [0,000] TBD-_Page 2f (2) 10 37" xfId="51264"/>
    <cellStyle name="Currency [0,000] TBD_Page 2f (2) 10 38" xfId="51265"/>
    <cellStyle name="Currency [0,000] TBD-_Page 2f (2) 10 38" xfId="51266"/>
    <cellStyle name="Currency [0,000] TBD_Page 2f (2) 10 39" xfId="51267"/>
    <cellStyle name="Currency [0,000] TBD-_Page 2f (2) 10 39" xfId="51268"/>
    <cellStyle name="Currency [0,000] TBD_Page 2f (2) 10 4" xfId="51269"/>
    <cellStyle name="Currency [0,000] TBD-_Page 2f (2) 10 4" xfId="51270"/>
    <cellStyle name="Currency [0,000] TBD_Page 2f (2) 10 40" xfId="51271"/>
    <cellStyle name="Currency [0,000] TBD-_Page 2f (2) 10 40" xfId="51272"/>
    <cellStyle name="Currency [0,000] TBD_Page 2f (2) 10 41" xfId="51273"/>
    <cellStyle name="Currency [0,000] TBD-_Page 2f (2) 10 41" xfId="51274"/>
    <cellStyle name="Currency [0,000] TBD_Page 2f (2) 10 42" xfId="51275"/>
    <cellStyle name="Currency [0,000] TBD-_Page 2f (2) 10 42" xfId="51276"/>
    <cellStyle name="Currency [0,000] TBD_Page 2f (2) 10 43" xfId="51277"/>
    <cellStyle name="Currency [0,000] TBD-_Page 2f (2) 10 43" xfId="51278"/>
    <cellStyle name="Currency [0,000] TBD_Page 2f (2) 10 44" xfId="51279"/>
    <cellStyle name="Currency [0,000] TBD-_Page 2f (2) 10 44" xfId="51280"/>
    <cellStyle name="Currency [0,000] TBD_Page 2f (2) 10 45" xfId="51281"/>
    <cellStyle name="Currency [0,000] TBD-_Page 2f (2) 10 45" xfId="51282"/>
    <cellStyle name="Currency [0,000] TBD_Page 2f (2) 10 46" xfId="51283"/>
    <cellStyle name="Currency [0,000] TBD-_Page 2f (2) 10 46" xfId="51284"/>
    <cellStyle name="Currency [0,000] TBD_Page 2f (2) 10 47" xfId="51285"/>
    <cellStyle name="Currency [0,000] TBD-_Page 2f (2) 10 47" xfId="51286"/>
    <cellStyle name="Currency [0,000] TBD_Page 2f (2) 10 48" xfId="51287"/>
    <cellStyle name="Currency [0,000] TBD-_Page 2f (2) 10 48" xfId="51288"/>
    <cellStyle name="Currency [0,000] TBD_Page 2f (2) 10 49" xfId="51289"/>
    <cellStyle name="Currency [0,000] TBD-_Page 2f (2) 10 49" xfId="51290"/>
    <cellStyle name="Currency [0,000] TBD_Page 2f (2) 10 5" xfId="51291"/>
    <cellStyle name="Currency [0,000] TBD-_Page 2f (2) 10 5" xfId="51292"/>
    <cellStyle name="Currency [0,000] TBD_Page 2f (2) 10 50" xfId="51293"/>
    <cellStyle name="Currency [0,000] TBD-_Page 2f (2) 10 50" xfId="51294"/>
    <cellStyle name="Currency [0,000] TBD_Page 2f (2) 10 51" xfId="51295"/>
    <cellStyle name="Currency [0,000] TBD-_Page 2f (2) 10 51" xfId="51296"/>
    <cellStyle name="Currency [0,000] TBD_Page 2f (2) 10 52" xfId="51297"/>
    <cellStyle name="Currency [0,000] TBD-_Page 2f (2) 10 52" xfId="51298"/>
    <cellStyle name="Currency [0,000] TBD_Page 2f (2) 10 53" xfId="51299"/>
    <cellStyle name="Currency [0,000] TBD-_Page 2f (2) 10 53" xfId="51300"/>
    <cellStyle name="Currency [0,000] TBD_Page 2f (2) 10 54" xfId="51301"/>
    <cellStyle name="Currency [0,000] TBD-_Page 2f (2) 10 54" xfId="51302"/>
    <cellStyle name="Currency [0,000] TBD_Page 2f (2) 10 55" xfId="51303"/>
    <cellStyle name="Currency [0,000] TBD-_Page 2f (2) 10 55" xfId="51304"/>
    <cellStyle name="Currency [0,000] TBD_Page 2f (2) 10 56" xfId="51305"/>
    <cellStyle name="Currency [0,000] TBD-_Page 2f (2) 10 56" xfId="51306"/>
    <cellStyle name="Currency [0,000] TBD_Page 2f (2) 10 57" xfId="51307"/>
    <cellStyle name="Currency [0,000] TBD-_Page 2f (2) 10 57" xfId="51308"/>
    <cellStyle name="Currency [0,000] TBD_Page 2f (2) 10 58" xfId="51309"/>
    <cellStyle name="Currency [0,000] TBD-_Page 2f (2) 10 58" xfId="51310"/>
    <cellStyle name="Currency [0,000] TBD_Page 2f (2) 10 59" xfId="51311"/>
    <cellStyle name="Currency [0,000] TBD-_Page 2f (2) 10 59" xfId="51312"/>
    <cellStyle name="Currency [0,000] TBD_Page 2f (2) 10 6" xfId="51313"/>
    <cellStyle name="Currency [0,000] TBD-_Page 2f (2) 10 6" xfId="51314"/>
    <cellStyle name="Currency [0,000] TBD_Page 2f (2) 10 60" xfId="51315"/>
    <cellStyle name="Currency [0,000] TBD-_Page 2f (2) 10 60" xfId="51316"/>
    <cellStyle name="Currency [0,000] TBD_Page 2f (2) 10 61" xfId="51317"/>
    <cellStyle name="Currency [0,000] TBD-_Page 2f (2) 10 61" xfId="51318"/>
    <cellStyle name="Currency [0,000] TBD_Page 2f (2) 10 62" xfId="51319"/>
    <cellStyle name="Currency [0,000] TBD-_Page 2f (2) 10 62" xfId="51320"/>
    <cellStyle name="Currency [0,000] TBD_Page 2f (2) 10 63" xfId="51321"/>
    <cellStyle name="Currency [0,000] TBD-_Page 2f (2) 10 63" xfId="51322"/>
    <cellStyle name="Currency [0,000] TBD_Page 2f (2) 10 64" xfId="51323"/>
    <cellStyle name="Currency [0,000] TBD-_Page 2f (2) 10 64" xfId="51324"/>
    <cellStyle name="Currency [0,000] TBD_Page 2f (2) 10 65" xfId="51325"/>
    <cellStyle name="Currency [0,000] TBD-_Page 2f (2) 10 65" xfId="51326"/>
    <cellStyle name="Currency [0,000] TBD_Page 2f (2) 10 66" xfId="51327"/>
    <cellStyle name="Currency [0,000] TBD-_Page 2f (2) 10 66" xfId="51328"/>
    <cellStyle name="Currency [0,000] TBD_Page 2f (2) 10 67" xfId="51329"/>
    <cellStyle name="Currency [0,000] TBD-_Page 2f (2) 10 67" xfId="51330"/>
    <cellStyle name="Currency [0,000] TBD_Page 2f (2) 10 68" xfId="51331"/>
    <cellStyle name="Currency [0,000] TBD-_Page 2f (2) 10 68" xfId="51332"/>
    <cellStyle name="Currency [0,000] TBD_Page 2f (2) 10 69" xfId="51333"/>
    <cellStyle name="Currency [0,000] TBD-_Page 2f (2) 10 69" xfId="51334"/>
    <cellStyle name="Currency [0,000] TBD_Page 2f (2) 10 7" xfId="51335"/>
    <cellStyle name="Currency [0,000] TBD-_Page 2f (2) 10 7" xfId="51336"/>
    <cellStyle name="Currency [0,000] TBD_Page 2f (2) 10 70" xfId="51337"/>
    <cellStyle name="Currency [0,000] TBD-_Page 2f (2) 10 70" xfId="51338"/>
    <cellStyle name="Currency [0,000] TBD_Page 2f (2) 10 71" xfId="51339"/>
    <cellStyle name="Currency [0,000] TBD-_Page 2f (2) 10 71" xfId="51340"/>
    <cellStyle name="Currency [0,000] TBD_Page 2f (2) 10 72" xfId="51341"/>
    <cellStyle name="Currency [0,000] TBD-_Page 2f (2) 10 72" xfId="51342"/>
    <cellStyle name="Currency [0,000] TBD_Page 2f (2) 10 73" xfId="51343"/>
    <cellStyle name="Currency [0,000] TBD-_Page 2f (2) 10 73" xfId="51344"/>
    <cellStyle name="Currency [0,000] TBD_Page 2f (2) 10 74" xfId="51345"/>
    <cellStyle name="Currency [0,000] TBD-_Page 2f (2) 10 74" xfId="51346"/>
    <cellStyle name="Currency [0,000] TBD_Page 2f (2) 10 75" xfId="51347"/>
    <cellStyle name="Currency [0,000] TBD-_Page 2f (2) 10 75" xfId="51348"/>
    <cellStyle name="Currency [0,000] TBD_Page 2f (2) 10 76" xfId="51349"/>
    <cellStyle name="Currency [0,000] TBD-_Page 2f (2) 10 76" xfId="51350"/>
    <cellStyle name="Currency [0,000] TBD_Page 2f (2) 10 77" xfId="51351"/>
    <cellStyle name="Currency [0,000] TBD-_Page 2f (2) 10 77" xfId="51352"/>
    <cellStyle name="Currency [0,000] TBD_Page 2f (2) 10 78" xfId="51353"/>
    <cellStyle name="Currency [0,000] TBD-_Page 2f (2) 10 78" xfId="51354"/>
    <cellStyle name="Currency [0,000] TBD_Page 2f (2) 10 79" xfId="51355"/>
    <cellStyle name="Currency [0,000] TBD-_Page 2f (2) 10 79" xfId="51356"/>
    <cellStyle name="Currency [0,000] TBD_Page 2f (2) 10 8" xfId="51357"/>
    <cellStyle name="Currency [0,000] TBD-_Page 2f (2) 10 8" xfId="51358"/>
    <cellStyle name="Currency [0,000] TBD_Page 2f (2) 10 80" xfId="51359"/>
    <cellStyle name="Currency [0,000] TBD-_Page 2f (2) 10 80" xfId="51360"/>
    <cellStyle name="Currency [0,000] TBD_Page 2f (2) 10 81" xfId="51361"/>
    <cellStyle name="Currency [0,000] TBD-_Page 2f (2) 10 81" xfId="51362"/>
    <cellStyle name="Currency [0,000] TBD_Page 2f (2) 10 82" xfId="51363"/>
    <cellStyle name="Currency [0,000] TBD-_Page 2f (2) 10 82" xfId="51364"/>
    <cellStyle name="Currency [0,000] TBD_Page 2f (2) 10 83" xfId="51365"/>
    <cellStyle name="Currency [0,000] TBD-_Page 2f (2) 10 83" xfId="51366"/>
    <cellStyle name="Currency [0,000] TBD_Page 2f (2) 10 84" xfId="51367"/>
    <cellStyle name="Currency [0,000] TBD-_Page 2f (2) 10 84" xfId="51368"/>
    <cellStyle name="Currency [0,000] TBD_Page 2f (2) 10 85" xfId="51369"/>
    <cellStyle name="Currency [0,000] TBD-_Page 2f (2) 10 85" xfId="51370"/>
    <cellStyle name="Currency [0,000] TBD_Page 2f (2) 10 86" xfId="51371"/>
    <cellStyle name="Currency [0,000] TBD-_Page 2f (2) 10 86" xfId="51372"/>
    <cellStyle name="Currency [0,000] TBD_Page 2f (2) 10 87" xfId="51373"/>
    <cellStyle name="Currency [0,000] TBD-_Page 2f (2) 10 87" xfId="51374"/>
    <cellStyle name="Currency [0,000] TBD_Page 2f (2) 10 88" xfId="51375"/>
    <cellStyle name="Currency [0,000] TBD-_Page 2f (2) 10 88" xfId="51376"/>
    <cellStyle name="Currency [0,000] TBD_Page 2f (2) 10 89" xfId="51377"/>
    <cellStyle name="Currency [0,000] TBD-_Page 2f (2) 10 89" xfId="51378"/>
    <cellStyle name="Currency [0,000] TBD_Page 2f (2) 10 9" xfId="51379"/>
    <cellStyle name="Currency [0,000] TBD-_Page 2f (2) 10 9" xfId="51380"/>
    <cellStyle name="Currency [0,000] TBD_Page 2f (2) 10 90" xfId="51381"/>
    <cellStyle name="Currency [0,000] TBD-_Page 2f (2) 10 90" xfId="51382"/>
    <cellStyle name="Currency [0,000] TBD_Page 2f (2) 10 91" xfId="51383"/>
    <cellStyle name="Currency [0,000] TBD-_Page 2f (2) 10 91" xfId="51384"/>
    <cellStyle name="Currency [0,000] TBD_Page 2f (2) 10 92" xfId="51385"/>
    <cellStyle name="Currency [0,000] TBD-_Page 2f (2) 10 92" xfId="51386"/>
    <cellStyle name="Currency [0,000] TBD_Page 2f (2) 10 93" xfId="51387"/>
    <cellStyle name="Currency [0,000] TBD-_Page 2f (2) 10 93" xfId="51388"/>
    <cellStyle name="Currency [0,000] TBD_Page 2f (2) 10 94" xfId="51389"/>
    <cellStyle name="Currency [0,000] TBD-_Page 2f (2) 10 94" xfId="51390"/>
    <cellStyle name="Currency [0,000] TBD_Page 2f (2) 10 95" xfId="51391"/>
    <cellStyle name="Currency [0,000] TBD-_Page 2f (2) 10 95" xfId="51392"/>
    <cellStyle name="Currency [0,000] TBD_Page 2f (2) 10 96" xfId="51393"/>
    <cellStyle name="Currency [0,000] TBD-_Page 2f (2) 10 96" xfId="51394"/>
    <cellStyle name="Currency [0,000] TBD_Page 2f (2) 10 97" xfId="51395"/>
    <cellStyle name="Currency [0,000] TBD-_Page 2f (2) 10 97" xfId="51396"/>
    <cellStyle name="Currency [0,000] TBD_Page 2f (2) 10 98" xfId="51397"/>
    <cellStyle name="Currency [0,000] TBD-_Page 2f (2) 10 98" xfId="51398"/>
    <cellStyle name="Currency [0,000] TBD_Page 2f (2) 10 99" xfId="51399"/>
    <cellStyle name="Currency [0,000] TBD-_Page 2f (2) 10 99" xfId="51400"/>
    <cellStyle name="Currency [0,000] TBD_Page 2f (2) 11" xfId="51401"/>
    <cellStyle name="Currency [0,000] TBD-_Page 2f (2) 11" xfId="51402"/>
    <cellStyle name="Currency [0,000] TBD_Page 2f (2) 11 10" xfId="51403"/>
    <cellStyle name="Currency [0,000] TBD-_Page 2f (2) 11 10" xfId="51404"/>
    <cellStyle name="Currency [0,000] TBD_Page 2f (2) 11 100" xfId="51405"/>
    <cellStyle name="Currency [0,000] TBD-_Page 2f (2) 11 100" xfId="51406"/>
    <cellStyle name="Currency [0,000] TBD_Page 2f (2) 11 101" xfId="51407"/>
    <cellStyle name="Currency [0,000] TBD-_Page 2f (2) 11 101" xfId="51408"/>
    <cellStyle name="Currency [0,000] TBD_Page 2f (2) 11 102" xfId="51409"/>
    <cellStyle name="Currency [0,000] TBD-_Page 2f (2) 11 102" xfId="51410"/>
    <cellStyle name="Currency [0,000] TBD_Page 2f (2) 11 103" xfId="51411"/>
    <cellStyle name="Currency [0,000] TBD-_Page 2f (2) 11 103" xfId="51412"/>
    <cellStyle name="Currency [0,000] TBD_Page 2f (2) 11 104" xfId="51413"/>
    <cellStyle name="Currency [0,000] TBD-_Page 2f (2) 11 104" xfId="51414"/>
    <cellStyle name="Currency [0,000] TBD_Page 2f (2) 11 105" xfId="51415"/>
    <cellStyle name="Currency [0,000] TBD-_Page 2f (2) 11 105" xfId="51416"/>
    <cellStyle name="Currency [0,000] TBD_Page 2f (2) 11 106" xfId="51417"/>
    <cellStyle name="Currency [0,000] TBD-_Page 2f (2) 11 106" xfId="51418"/>
    <cellStyle name="Currency [0,000] TBD_Page 2f (2) 11 107" xfId="51419"/>
    <cellStyle name="Currency [0,000] TBD-_Page 2f (2) 11 107" xfId="51420"/>
    <cellStyle name="Currency [0,000] TBD_Page 2f (2) 11 108" xfId="51421"/>
    <cellStyle name="Currency [0,000] TBD-_Page 2f (2) 11 108" xfId="51422"/>
    <cellStyle name="Currency [0,000] TBD_Page 2f (2) 11 109" xfId="51423"/>
    <cellStyle name="Currency [0,000] TBD-_Page 2f (2) 11 109" xfId="51424"/>
    <cellStyle name="Currency [0,000] TBD_Page 2f (2) 11 11" xfId="51425"/>
    <cellStyle name="Currency [0,000] TBD-_Page 2f (2) 11 11" xfId="51426"/>
    <cellStyle name="Currency [0,000] TBD_Page 2f (2) 11 110" xfId="51427"/>
    <cellStyle name="Currency [0,000] TBD-_Page 2f (2) 11 110" xfId="51428"/>
    <cellStyle name="Currency [0,000] TBD_Page 2f (2) 11 111" xfId="51429"/>
    <cellStyle name="Currency [0,000] TBD-_Page 2f (2) 11 111" xfId="51430"/>
    <cellStyle name="Currency [0,000] TBD_Page 2f (2) 11 112" xfId="51431"/>
    <cellStyle name="Currency [0,000] TBD-_Page 2f (2) 11 112" xfId="51432"/>
    <cellStyle name="Currency [0,000] TBD_Page 2f (2) 11 113" xfId="51433"/>
    <cellStyle name="Currency [0,000] TBD-_Page 2f (2) 11 113" xfId="51434"/>
    <cellStyle name="Currency [0,000] TBD_Page 2f (2) 11 114" xfId="51435"/>
    <cellStyle name="Currency [0,000] TBD-_Page 2f (2) 11 114" xfId="51436"/>
    <cellStyle name="Currency [0,000] TBD_Page 2f (2) 11 115" xfId="51437"/>
    <cellStyle name="Currency [0,000] TBD-_Page 2f (2) 11 115" xfId="51438"/>
    <cellStyle name="Currency [0,000] TBD_Page 2f (2) 11 116" xfId="51439"/>
    <cellStyle name="Currency [0,000] TBD-_Page 2f (2) 11 116" xfId="51440"/>
    <cellStyle name="Currency [0,000] TBD_Page 2f (2) 11 117" xfId="51441"/>
    <cellStyle name="Currency [0,000] TBD-_Page 2f (2) 11 117" xfId="51442"/>
    <cellStyle name="Currency [0,000] TBD_Page 2f (2) 11 118" xfId="51443"/>
    <cellStyle name="Currency [0,000] TBD-_Page 2f (2) 11 118" xfId="51444"/>
    <cellStyle name="Currency [0,000] TBD_Page 2f (2) 11 119" xfId="51445"/>
    <cellStyle name="Currency [0,000] TBD-_Page 2f (2) 11 119" xfId="51446"/>
    <cellStyle name="Currency [0,000] TBD_Page 2f (2) 11 12" xfId="51447"/>
    <cellStyle name="Currency [0,000] TBD-_Page 2f (2) 11 12" xfId="51448"/>
    <cellStyle name="Currency [0,000] TBD_Page 2f (2) 11 120" xfId="51449"/>
    <cellStyle name="Currency [0,000] TBD-_Page 2f (2) 11 120" xfId="51450"/>
    <cellStyle name="Currency [0,000] TBD_Page 2f (2) 11 121" xfId="51451"/>
    <cellStyle name="Currency [0,000] TBD-_Page 2f (2) 11 121" xfId="51452"/>
    <cellStyle name="Currency [0,000] TBD_Page 2f (2) 11 122" xfId="51453"/>
    <cellStyle name="Currency [0,000] TBD-_Page 2f (2) 11 122" xfId="51454"/>
    <cellStyle name="Currency [0,000] TBD_Page 2f (2) 11 123" xfId="51455"/>
    <cellStyle name="Currency [0,000] TBD-_Page 2f (2) 11 123" xfId="51456"/>
    <cellStyle name="Currency [0,000] TBD_Page 2f (2) 11 124" xfId="51457"/>
    <cellStyle name="Currency [0,000] TBD-_Page 2f (2) 11 124" xfId="51458"/>
    <cellStyle name="Currency [0,000] TBD_Page 2f (2) 11 125" xfId="51459"/>
    <cellStyle name="Currency [0,000] TBD-_Page 2f (2) 11 125" xfId="51460"/>
    <cellStyle name="Currency [0,000] TBD_Page 2f (2) 11 126" xfId="51461"/>
    <cellStyle name="Currency [0,000] TBD-_Page 2f (2) 11 126" xfId="51462"/>
    <cellStyle name="Currency [0,000] TBD_Page 2f (2) 11 127" xfId="51463"/>
    <cellStyle name="Currency [0,000] TBD-_Page 2f (2) 11 127" xfId="51464"/>
    <cellStyle name="Currency [0,000] TBD_Page 2f (2) 11 128" xfId="51465"/>
    <cellStyle name="Currency [0,000] TBD-_Page 2f (2) 11 128" xfId="51466"/>
    <cellStyle name="Currency [0,000] TBD_Page 2f (2) 11 129" xfId="51467"/>
    <cellStyle name="Currency [0,000] TBD-_Page 2f (2) 11 129" xfId="51468"/>
    <cellStyle name="Currency [0,000] TBD_Page 2f (2) 11 13" xfId="51469"/>
    <cellStyle name="Currency [0,000] TBD-_Page 2f (2) 11 13" xfId="51470"/>
    <cellStyle name="Currency [0,000] TBD_Page 2f (2) 11 130" xfId="51471"/>
    <cellStyle name="Currency [0,000] TBD-_Page 2f (2) 11 130" xfId="51472"/>
    <cellStyle name="Currency [0,000] TBD_Page 2f (2) 11 131" xfId="51473"/>
    <cellStyle name="Currency [0,000] TBD-_Page 2f (2) 11 131" xfId="51474"/>
    <cellStyle name="Currency [0,000] TBD_Page 2f (2) 11 132" xfId="51475"/>
    <cellStyle name="Currency [0,000] TBD-_Page 2f (2) 11 132" xfId="51476"/>
    <cellStyle name="Currency [0,000] TBD_Page 2f (2) 11 133" xfId="51477"/>
    <cellStyle name="Currency [0,000] TBD-_Page 2f (2) 11 133" xfId="51478"/>
    <cellStyle name="Currency [0,000] TBD_Page 2f (2) 11 134" xfId="51479"/>
    <cellStyle name="Currency [0,000] TBD-_Page 2f (2) 11 134" xfId="51480"/>
    <cellStyle name="Currency [0,000] TBD_Page 2f (2) 11 135" xfId="51481"/>
    <cellStyle name="Currency [0,000] TBD-_Page 2f (2) 11 135" xfId="51482"/>
    <cellStyle name="Currency [0,000] TBD_Page 2f (2) 11 136" xfId="51483"/>
    <cellStyle name="Currency [0,000] TBD-_Page 2f (2) 11 136" xfId="51484"/>
    <cellStyle name="Currency [0,000] TBD_Page 2f (2) 11 137" xfId="51485"/>
    <cellStyle name="Currency [0,000] TBD-_Page 2f (2) 11 137" xfId="51486"/>
    <cellStyle name="Currency [0,000] TBD_Page 2f (2) 11 138" xfId="51487"/>
    <cellStyle name="Currency [0,000] TBD-_Page 2f (2) 11 138" xfId="51488"/>
    <cellStyle name="Currency [0,000] TBD_Page 2f (2) 11 139" xfId="51489"/>
    <cellStyle name="Currency [0,000] TBD-_Page 2f (2) 11 139" xfId="51490"/>
    <cellStyle name="Currency [0,000] TBD_Page 2f (2) 11 14" xfId="51491"/>
    <cellStyle name="Currency [0,000] TBD-_Page 2f (2) 11 14" xfId="51492"/>
    <cellStyle name="Currency [0,000] TBD_Page 2f (2) 11 140" xfId="51493"/>
    <cellStyle name="Currency [0,000] TBD-_Page 2f (2) 11 140" xfId="51494"/>
    <cellStyle name="Currency [0,000] TBD_Page 2f (2) 11 141" xfId="51495"/>
    <cellStyle name="Currency [0,000] TBD-_Page 2f (2) 11 141" xfId="51496"/>
    <cellStyle name="Currency [0,000] TBD_Page 2f (2) 11 142" xfId="51497"/>
    <cellStyle name="Currency [0,000] TBD-_Page 2f (2) 11 142" xfId="51498"/>
    <cellStyle name="Currency [0,000] TBD_Page 2f (2) 11 143" xfId="51499"/>
    <cellStyle name="Currency [0,000] TBD-_Page 2f (2) 11 143" xfId="51500"/>
    <cellStyle name="Currency [0,000] TBD_Page 2f (2) 11 144" xfId="51501"/>
    <cellStyle name="Currency [0,000] TBD-_Page 2f (2) 11 144" xfId="51502"/>
    <cellStyle name="Currency [0,000] TBD_Page 2f (2) 11 145" xfId="51503"/>
    <cellStyle name="Currency [0,000] TBD-_Page 2f (2) 11 145" xfId="51504"/>
    <cellStyle name="Currency [0,000] TBD_Page 2f (2) 11 146" xfId="51505"/>
    <cellStyle name="Currency [0,000] TBD-_Page 2f (2) 11 146" xfId="51506"/>
    <cellStyle name="Currency [0,000] TBD_Page 2f (2) 11 147" xfId="51507"/>
    <cellStyle name="Currency [0,000] TBD-_Page 2f (2) 11 147" xfId="51508"/>
    <cellStyle name="Currency [0,000] TBD_Page 2f (2) 11 148" xfId="51509"/>
    <cellStyle name="Currency [0,000] TBD-_Page 2f (2) 11 148" xfId="51510"/>
    <cellStyle name="Currency [0,000] TBD_Page 2f (2) 11 149" xfId="51511"/>
    <cellStyle name="Currency [0,000] TBD-_Page 2f (2) 11 149" xfId="51512"/>
    <cellStyle name="Currency [0,000] TBD_Page 2f (2) 11 15" xfId="51513"/>
    <cellStyle name="Currency [0,000] TBD-_Page 2f (2) 11 15" xfId="51514"/>
    <cellStyle name="Currency [0,000] TBD_Page 2f (2) 11 150" xfId="51515"/>
    <cellStyle name="Currency [0,000] TBD-_Page 2f (2) 11 150" xfId="51516"/>
    <cellStyle name="Currency [0,000] TBD_Page 2f (2) 11 151" xfId="51517"/>
    <cellStyle name="Currency [0,000] TBD-_Page 2f (2) 11 151" xfId="51518"/>
    <cellStyle name="Currency [0,000] TBD_Page 2f (2) 11 152" xfId="51519"/>
    <cellStyle name="Currency [0,000] TBD-_Page 2f (2) 11 152" xfId="51520"/>
    <cellStyle name="Currency [0,000] TBD_Page 2f (2) 11 153" xfId="51521"/>
    <cellStyle name="Currency [0,000] TBD-_Page 2f (2) 11 153" xfId="51522"/>
    <cellStyle name="Currency [0,000] TBD_Page 2f (2) 11 16" xfId="51523"/>
    <cellStyle name="Currency [0,000] TBD-_Page 2f (2) 11 16" xfId="51524"/>
    <cellStyle name="Currency [0,000] TBD_Page 2f (2) 11 17" xfId="51525"/>
    <cellStyle name="Currency [0,000] TBD-_Page 2f (2) 11 17" xfId="51526"/>
    <cellStyle name="Currency [0,000] TBD_Page 2f (2) 11 18" xfId="51527"/>
    <cellStyle name="Currency [0,000] TBD-_Page 2f (2) 11 18" xfId="51528"/>
    <cellStyle name="Currency [0,000] TBD_Page 2f (2) 11 19" xfId="51529"/>
    <cellStyle name="Currency [0,000] TBD-_Page 2f (2) 11 19" xfId="51530"/>
    <cellStyle name="Currency [0,000] TBD_Page 2f (2) 11 2" xfId="51531"/>
    <cellStyle name="Currency [0,000] TBD-_Page 2f (2) 11 2" xfId="51532"/>
    <cellStyle name="Currency [0,000] TBD_Page 2f (2) 11 20" xfId="51533"/>
    <cellStyle name="Currency [0,000] TBD-_Page 2f (2) 11 20" xfId="51534"/>
    <cellStyle name="Currency [0,000] TBD_Page 2f (2) 11 21" xfId="51535"/>
    <cellStyle name="Currency [0,000] TBD-_Page 2f (2) 11 21" xfId="51536"/>
    <cellStyle name="Currency [0,000] TBD_Page 2f (2) 11 22" xfId="51537"/>
    <cellStyle name="Currency [0,000] TBD-_Page 2f (2) 11 22" xfId="51538"/>
    <cellStyle name="Currency [0,000] TBD_Page 2f (2) 11 23" xfId="51539"/>
    <cellStyle name="Currency [0,000] TBD-_Page 2f (2) 11 23" xfId="51540"/>
    <cellStyle name="Currency [0,000] TBD_Page 2f (2) 11 24" xfId="51541"/>
    <cellStyle name="Currency [0,000] TBD-_Page 2f (2) 11 24" xfId="51542"/>
    <cellStyle name="Currency [0,000] TBD_Page 2f (2) 11 25" xfId="51543"/>
    <cellStyle name="Currency [0,000] TBD-_Page 2f (2) 11 25" xfId="51544"/>
    <cellStyle name="Currency [0,000] TBD_Page 2f (2) 11 26" xfId="51545"/>
    <cellStyle name="Currency [0,000] TBD-_Page 2f (2) 11 26" xfId="51546"/>
    <cellStyle name="Currency [0,000] TBD_Page 2f (2) 11 27" xfId="51547"/>
    <cellStyle name="Currency [0,000] TBD-_Page 2f (2) 11 27" xfId="51548"/>
    <cellStyle name="Currency [0,000] TBD_Page 2f (2) 11 28" xfId="51549"/>
    <cellStyle name="Currency [0,000] TBD-_Page 2f (2) 11 28" xfId="51550"/>
    <cellStyle name="Currency [0,000] TBD_Page 2f (2) 11 29" xfId="51551"/>
    <cellStyle name="Currency [0,000] TBD-_Page 2f (2) 11 29" xfId="51552"/>
    <cellStyle name="Currency [0,000] TBD_Page 2f (2) 11 3" xfId="51553"/>
    <cellStyle name="Currency [0,000] TBD-_Page 2f (2) 11 3" xfId="51554"/>
    <cellStyle name="Currency [0,000] TBD_Page 2f (2) 11 30" xfId="51555"/>
    <cellStyle name="Currency [0,000] TBD-_Page 2f (2) 11 30" xfId="51556"/>
    <cellStyle name="Currency [0,000] TBD_Page 2f (2) 11 31" xfId="51557"/>
    <cellStyle name="Currency [0,000] TBD-_Page 2f (2) 11 31" xfId="51558"/>
    <cellStyle name="Currency [0,000] TBD_Page 2f (2) 11 32" xfId="51559"/>
    <cellStyle name="Currency [0,000] TBD-_Page 2f (2) 11 32" xfId="51560"/>
    <cellStyle name="Currency [0,000] TBD_Page 2f (2) 11 33" xfId="51561"/>
    <cellStyle name="Currency [0,000] TBD-_Page 2f (2) 11 33" xfId="51562"/>
    <cellStyle name="Currency [0,000] TBD_Page 2f (2) 11 34" xfId="51563"/>
    <cellStyle name="Currency [0,000] TBD-_Page 2f (2) 11 34" xfId="51564"/>
    <cellStyle name="Currency [0,000] TBD_Page 2f (2) 11 35" xfId="51565"/>
    <cellStyle name="Currency [0,000] TBD-_Page 2f (2) 11 35" xfId="51566"/>
    <cellStyle name="Currency [0,000] TBD_Page 2f (2) 11 36" xfId="51567"/>
    <cellStyle name="Currency [0,000] TBD-_Page 2f (2) 11 36" xfId="51568"/>
    <cellStyle name="Currency [0,000] TBD_Page 2f (2) 11 37" xfId="51569"/>
    <cellStyle name="Currency [0,000] TBD-_Page 2f (2) 11 37" xfId="51570"/>
    <cellStyle name="Currency [0,000] TBD_Page 2f (2) 11 38" xfId="51571"/>
    <cellStyle name="Currency [0,000] TBD-_Page 2f (2) 11 38" xfId="51572"/>
    <cellStyle name="Currency [0,000] TBD_Page 2f (2) 11 39" xfId="51573"/>
    <cellStyle name="Currency [0,000] TBD-_Page 2f (2) 11 39" xfId="51574"/>
    <cellStyle name="Currency [0,000] TBD_Page 2f (2) 11 4" xfId="51575"/>
    <cellStyle name="Currency [0,000] TBD-_Page 2f (2) 11 4" xfId="51576"/>
    <cellStyle name="Currency [0,000] TBD_Page 2f (2) 11 40" xfId="51577"/>
    <cellStyle name="Currency [0,000] TBD-_Page 2f (2) 11 40" xfId="51578"/>
    <cellStyle name="Currency [0,000] TBD_Page 2f (2) 11 41" xfId="51579"/>
    <cellStyle name="Currency [0,000] TBD-_Page 2f (2) 11 41" xfId="51580"/>
    <cellStyle name="Currency [0,000] TBD_Page 2f (2) 11 42" xfId="51581"/>
    <cellStyle name="Currency [0,000] TBD-_Page 2f (2) 11 42" xfId="51582"/>
    <cellStyle name="Currency [0,000] TBD_Page 2f (2) 11 43" xfId="51583"/>
    <cellStyle name="Currency [0,000] TBD-_Page 2f (2) 11 43" xfId="51584"/>
    <cellStyle name="Currency [0,000] TBD_Page 2f (2) 11 44" xfId="51585"/>
    <cellStyle name="Currency [0,000] TBD-_Page 2f (2) 11 44" xfId="51586"/>
    <cellStyle name="Currency [0,000] TBD_Page 2f (2) 11 45" xfId="51587"/>
    <cellStyle name="Currency [0,000] TBD-_Page 2f (2) 11 45" xfId="51588"/>
    <cellStyle name="Currency [0,000] TBD_Page 2f (2) 11 46" xfId="51589"/>
    <cellStyle name="Currency [0,000] TBD-_Page 2f (2) 11 46" xfId="51590"/>
    <cellStyle name="Currency [0,000] TBD_Page 2f (2) 11 47" xfId="51591"/>
    <cellStyle name="Currency [0,000] TBD-_Page 2f (2) 11 47" xfId="51592"/>
    <cellStyle name="Currency [0,000] TBD_Page 2f (2) 11 48" xfId="51593"/>
    <cellStyle name="Currency [0,000] TBD-_Page 2f (2) 11 48" xfId="51594"/>
    <cellStyle name="Currency [0,000] TBD_Page 2f (2) 11 49" xfId="51595"/>
    <cellStyle name="Currency [0,000] TBD-_Page 2f (2) 11 49" xfId="51596"/>
    <cellStyle name="Currency [0,000] TBD_Page 2f (2) 11 5" xfId="51597"/>
    <cellStyle name="Currency [0,000] TBD-_Page 2f (2) 11 5" xfId="51598"/>
    <cellStyle name="Currency [0,000] TBD_Page 2f (2) 11 50" xfId="51599"/>
    <cellStyle name="Currency [0,000] TBD-_Page 2f (2) 11 50" xfId="51600"/>
    <cellStyle name="Currency [0,000] TBD_Page 2f (2) 11 51" xfId="51601"/>
    <cellStyle name="Currency [0,000] TBD-_Page 2f (2) 11 51" xfId="51602"/>
    <cellStyle name="Currency [0,000] TBD_Page 2f (2) 11 52" xfId="51603"/>
    <cellStyle name="Currency [0,000] TBD-_Page 2f (2) 11 52" xfId="51604"/>
    <cellStyle name="Currency [0,000] TBD_Page 2f (2) 11 53" xfId="51605"/>
    <cellStyle name="Currency [0,000] TBD-_Page 2f (2) 11 53" xfId="51606"/>
    <cellStyle name="Currency [0,000] TBD_Page 2f (2) 11 54" xfId="51607"/>
    <cellStyle name="Currency [0,000] TBD-_Page 2f (2) 11 54" xfId="51608"/>
    <cellStyle name="Currency [0,000] TBD_Page 2f (2) 11 55" xfId="51609"/>
    <cellStyle name="Currency [0,000] TBD-_Page 2f (2) 11 55" xfId="51610"/>
    <cellStyle name="Currency [0,000] TBD_Page 2f (2) 11 56" xfId="51611"/>
    <cellStyle name="Currency [0,000] TBD-_Page 2f (2) 11 56" xfId="51612"/>
    <cellStyle name="Currency [0,000] TBD_Page 2f (2) 11 57" xfId="51613"/>
    <cellStyle name="Currency [0,000] TBD-_Page 2f (2) 11 57" xfId="51614"/>
    <cellStyle name="Currency [0,000] TBD_Page 2f (2) 11 58" xfId="51615"/>
    <cellStyle name="Currency [0,000] TBD-_Page 2f (2) 11 58" xfId="51616"/>
    <cellStyle name="Currency [0,000] TBD_Page 2f (2) 11 59" xfId="51617"/>
    <cellStyle name="Currency [0,000] TBD-_Page 2f (2) 11 59" xfId="51618"/>
    <cellStyle name="Currency [0,000] TBD_Page 2f (2) 11 6" xfId="51619"/>
    <cellStyle name="Currency [0,000] TBD-_Page 2f (2) 11 6" xfId="51620"/>
    <cellStyle name="Currency [0,000] TBD_Page 2f (2) 11 60" xfId="51621"/>
    <cellStyle name="Currency [0,000] TBD-_Page 2f (2) 11 60" xfId="51622"/>
    <cellStyle name="Currency [0,000] TBD_Page 2f (2) 11 61" xfId="51623"/>
    <cellStyle name="Currency [0,000] TBD-_Page 2f (2) 11 61" xfId="51624"/>
    <cellStyle name="Currency [0,000] TBD_Page 2f (2) 11 62" xfId="51625"/>
    <cellStyle name="Currency [0,000] TBD-_Page 2f (2) 11 62" xfId="51626"/>
    <cellStyle name="Currency [0,000] TBD_Page 2f (2) 11 63" xfId="51627"/>
    <cellStyle name="Currency [0,000] TBD-_Page 2f (2) 11 63" xfId="51628"/>
    <cellStyle name="Currency [0,000] TBD_Page 2f (2) 11 64" xfId="51629"/>
    <cellStyle name="Currency [0,000] TBD-_Page 2f (2) 11 64" xfId="51630"/>
    <cellStyle name="Currency [0,000] TBD_Page 2f (2) 11 65" xfId="51631"/>
    <cellStyle name="Currency [0,000] TBD-_Page 2f (2) 11 65" xfId="51632"/>
    <cellStyle name="Currency [0,000] TBD_Page 2f (2) 11 66" xfId="51633"/>
    <cellStyle name="Currency [0,000] TBD-_Page 2f (2) 11 66" xfId="51634"/>
    <cellStyle name="Currency [0,000] TBD_Page 2f (2) 11 67" xfId="51635"/>
    <cellStyle name="Currency [0,000] TBD-_Page 2f (2) 11 67" xfId="51636"/>
    <cellStyle name="Currency [0,000] TBD_Page 2f (2) 11 68" xfId="51637"/>
    <cellStyle name="Currency [0,000] TBD-_Page 2f (2) 11 68" xfId="51638"/>
    <cellStyle name="Currency [0,000] TBD_Page 2f (2) 11 69" xfId="51639"/>
    <cellStyle name="Currency [0,000] TBD-_Page 2f (2) 11 69" xfId="51640"/>
    <cellStyle name="Currency [0,000] TBD_Page 2f (2) 11 7" xfId="51641"/>
    <cellStyle name="Currency [0,000] TBD-_Page 2f (2) 11 7" xfId="51642"/>
    <cellStyle name="Currency [0,000] TBD_Page 2f (2) 11 70" xfId="51643"/>
    <cellStyle name="Currency [0,000] TBD-_Page 2f (2) 11 70" xfId="51644"/>
    <cellStyle name="Currency [0,000] TBD_Page 2f (2) 11 71" xfId="51645"/>
    <cellStyle name="Currency [0,000] TBD-_Page 2f (2) 11 71" xfId="51646"/>
    <cellStyle name="Currency [0,000] TBD_Page 2f (2) 11 72" xfId="51647"/>
    <cellStyle name="Currency [0,000] TBD-_Page 2f (2) 11 72" xfId="51648"/>
    <cellStyle name="Currency [0,000] TBD_Page 2f (2) 11 73" xfId="51649"/>
    <cellStyle name="Currency [0,000] TBD-_Page 2f (2) 11 73" xfId="51650"/>
    <cellStyle name="Currency [0,000] TBD_Page 2f (2) 11 74" xfId="51651"/>
    <cellStyle name="Currency [0,000] TBD-_Page 2f (2) 11 74" xfId="51652"/>
    <cellStyle name="Currency [0,000] TBD_Page 2f (2) 11 75" xfId="51653"/>
    <cellStyle name="Currency [0,000] TBD-_Page 2f (2) 11 75" xfId="51654"/>
    <cellStyle name="Currency [0,000] TBD_Page 2f (2) 11 76" xfId="51655"/>
    <cellStyle name="Currency [0,000] TBD-_Page 2f (2) 11 76" xfId="51656"/>
    <cellStyle name="Currency [0,000] TBD_Page 2f (2) 11 77" xfId="51657"/>
    <cellStyle name="Currency [0,000] TBD-_Page 2f (2) 11 77" xfId="51658"/>
    <cellStyle name="Currency [0,000] TBD_Page 2f (2) 11 78" xfId="51659"/>
    <cellStyle name="Currency [0,000] TBD-_Page 2f (2) 11 78" xfId="51660"/>
    <cellStyle name="Currency [0,000] TBD_Page 2f (2) 11 79" xfId="51661"/>
    <cellStyle name="Currency [0,000] TBD-_Page 2f (2) 11 79" xfId="51662"/>
    <cellStyle name="Currency [0,000] TBD_Page 2f (2) 11 8" xfId="51663"/>
    <cellStyle name="Currency [0,000] TBD-_Page 2f (2) 11 8" xfId="51664"/>
    <cellStyle name="Currency [0,000] TBD_Page 2f (2) 11 80" xfId="51665"/>
    <cellStyle name="Currency [0,000] TBD-_Page 2f (2) 11 80" xfId="51666"/>
    <cellStyle name="Currency [0,000] TBD_Page 2f (2) 11 81" xfId="51667"/>
    <cellStyle name="Currency [0,000] TBD-_Page 2f (2) 11 81" xfId="51668"/>
    <cellStyle name="Currency [0,000] TBD_Page 2f (2) 11 82" xfId="51669"/>
    <cellStyle name="Currency [0,000] TBD-_Page 2f (2) 11 82" xfId="51670"/>
    <cellStyle name="Currency [0,000] TBD_Page 2f (2) 11 83" xfId="51671"/>
    <cellStyle name="Currency [0,000] TBD-_Page 2f (2) 11 83" xfId="51672"/>
    <cellStyle name="Currency [0,000] TBD_Page 2f (2) 11 84" xfId="51673"/>
    <cellStyle name="Currency [0,000] TBD-_Page 2f (2) 11 84" xfId="51674"/>
    <cellStyle name="Currency [0,000] TBD_Page 2f (2) 11 85" xfId="51675"/>
    <cellStyle name="Currency [0,000] TBD-_Page 2f (2) 11 85" xfId="51676"/>
    <cellStyle name="Currency [0,000] TBD_Page 2f (2) 11 86" xfId="51677"/>
    <cellStyle name="Currency [0,000] TBD-_Page 2f (2) 11 86" xfId="51678"/>
    <cellStyle name="Currency [0,000] TBD_Page 2f (2) 11 87" xfId="51679"/>
    <cellStyle name="Currency [0,000] TBD-_Page 2f (2) 11 87" xfId="51680"/>
    <cellStyle name="Currency [0,000] TBD_Page 2f (2) 11 88" xfId="51681"/>
    <cellStyle name="Currency [0,000] TBD-_Page 2f (2) 11 88" xfId="51682"/>
    <cellStyle name="Currency [0,000] TBD_Page 2f (2) 11 89" xfId="51683"/>
    <cellStyle name="Currency [0,000] TBD-_Page 2f (2) 11 89" xfId="51684"/>
    <cellStyle name="Currency [0,000] TBD_Page 2f (2) 11 9" xfId="51685"/>
    <cellStyle name="Currency [0,000] TBD-_Page 2f (2) 11 9" xfId="51686"/>
    <cellStyle name="Currency [0,000] TBD_Page 2f (2) 11 90" xfId="51687"/>
    <cellStyle name="Currency [0,000] TBD-_Page 2f (2) 11 90" xfId="51688"/>
    <cellStyle name="Currency [0,000] TBD_Page 2f (2) 11 91" xfId="51689"/>
    <cellStyle name="Currency [0,000] TBD-_Page 2f (2) 11 91" xfId="51690"/>
    <cellStyle name="Currency [0,000] TBD_Page 2f (2) 11 92" xfId="51691"/>
    <cellStyle name="Currency [0,000] TBD-_Page 2f (2) 11 92" xfId="51692"/>
    <cellStyle name="Currency [0,000] TBD_Page 2f (2) 11 93" xfId="51693"/>
    <cellStyle name="Currency [0,000] TBD-_Page 2f (2) 11 93" xfId="51694"/>
    <cellStyle name="Currency [0,000] TBD_Page 2f (2) 11 94" xfId="51695"/>
    <cellStyle name="Currency [0,000] TBD-_Page 2f (2) 11 94" xfId="51696"/>
    <cellStyle name="Currency [0,000] TBD_Page 2f (2) 11 95" xfId="51697"/>
    <cellStyle name="Currency [0,000] TBD-_Page 2f (2) 11 95" xfId="51698"/>
    <cellStyle name="Currency [0,000] TBD_Page 2f (2) 11 96" xfId="51699"/>
    <cellStyle name="Currency [0,000] TBD-_Page 2f (2) 11 96" xfId="51700"/>
    <cellStyle name="Currency [0,000] TBD_Page 2f (2) 11 97" xfId="51701"/>
    <cellStyle name="Currency [0,000] TBD-_Page 2f (2) 11 97" xfId="51702"/>
    <cellStyle name="Currency [0,000] TBD_Page 2f (2) 11 98" xfId="51703"/>
    <cellStyle name="Currency [0,000] TBD-_Page 2f (2) 11 98" xfId="51704"/>
    <cellStyle name="Currency [0,000] TBD_Page 2f (2) 11 99" xfId="51705"/>
    <cellStyle name="Currency [0,000] TBD-_Page 2f (2) 11 99" xfId="51706"/>
    <cellStyle name="Currency [0,000] TBD_Page 2f (2) 12" xfId="51707"/>
    <cellStyle name="Currency [0,000] TBD-_Page 2f (2) 12" xfId="51708"/>
    <cellStyle name="Currency [0,000] TBD_Page 2f (2) 12 10" xfId="51709"/>
    <cellStyle name="Currency [0,000] TBD-_Page 2f (2) 12 10" xfId="51710"/>
    <cellStyle name="Currency [0,000] TBD_Page 2f (2) 12 100" xfId="51711"/>
    <cellStyle name="Currency [0,000] TBD-_Page 2f (2) 12 100" xfId="51712"/>
    <cellStyle name="Currency [0,000] TBD_Page 2f (2) 12 101" xfId="51713"/>
    <cellStyle name="Currency [0,000] TBD-_Page 2f (2) 12 101" xfId="51714"/>
    <cellStyle name="Currency [0,000] TBD_Page 2f (2) 12 102" xfId="51715"/>
    <cellStyle name="Currency [0,000] TBD-_Page 2f (2) 12 102" xfId="51716"/>
    <cellStyle name="Currency [0,000] TBD_Page 2f (2) 12 103" xfId="51717"/>
    <cellStyle name="Currency [0,000] TBD-_Page 2f (2) 12 103" xfId="51718"/>
    <cellStyle name="Currency [0,000] TBD_Page 2f (2) 12 104" xfId="51719"/>
    <cellStyle name="Currency [0,000] TBD-_Page 2f (2) 12 104" xfId="51720"/>
    <cellStyle name="Currency [0,000] TBD_Page 2f (2) 12 105" xfId="51721"/>
    <cellStyle name="Currency [0,000] TBD-_Page 2f (2) 12 105" xfId="51722"/>
    <cellStyle name="Currency [0,000] TBD_Page 2f (2) 12 106" xfId="51723"/>
    <cellStyle name="Currency [0,000] TBD-_Page 2f (2) 12 106" xfId="51724"/>
    <cellStyle name="Currency [0,000] TBD_Page 2f (2) 12 107" xfId="51725"/>
    <cellStyle name="Currency [0,000] TBD-_Page 2f (2) 12 107" xfId="51726"/>
    <cellStyle name="Currency [0,000] TBD_Page 2f (2) 12 108" xfId="51727"/>
    <cellStyle name="Currency [0,000] TBD-_Page 2f (2) 12 108" xfId="51728"/>
    <cellStyle name="Currency [0,000] TBD_Page 2f (2) 12 109" xfId="51729"/>
    <cellStyle name="Currency [0,000] TBD-_Page 2f (2) 12 109" xfId="51730"/>
    <cellStyle name="Currency [0,000] TBD_Page 2f (2) 12 11" xfId="51731"/>
    <cellStyle name="Currency [0,000] TBD-_Page 2f (2) 12 11" xfId="51732"/>
    <cellStyle name="Currency [0,000] TBD_Page 2f (2) 12 110" xfId="51733"/>
    <cellStyle name="Currency [0,000] TBD-_Page 2f (2) 12 110" xfId="51734"/>
    <cellStyle name="Currency [0,000] TBD_Page 2f (2) 12 111" xfId="51735"/>
    <cellStyle name="Currency [0,000] TBD-_Page 2f (2) 12 111" xfId="51736"/>
    <cellStyle name="Currency [0,000] TBD_Page 2f (2) 12 112" xfId="51737"/>
    <cellStyle name="Currency [0,000] TBD-_Page 2f (2) 12 112" xfId="51738"/>
    <cellStyle name="Currency [0,000] TBD_Page 2f (2) 12 113" xfId="51739"/>
    <cellStyle name="Currency [0,000] TBD-_Page 2f (2) 12 113" xfId="51740"/>
    <cellStyle name="Currency [0,000] TBD_Page 2f (2) 12 114" xfId="51741"/>
    <cellStyle name="Currency [0,000] TBD-_Page 2f (2) 12 114" xfId="51742"/>
    <cellStyle name="Currency [0,000] TBD_Page 2f (2) 12 115" xfId="51743"/>
    <cellStyle name="Currency [0,000] TBD-_Page 2f (2) 12 115" xfId="51744"/>
    <cellStyle name="Currency [0,000] TBD_Page 2f (2) 12 116" xfId="51745"/>
    <cellStyle name="Currency [0,000] TBD-_Page 2f (2) 12 116" xfId="51746"/>
    <cellStyle name="Currency [0,000] TBD_Page 2f (2) 12 117" xfId="51747"/>
    <cellStyle name="Currency [0,000] TBD-_Page 2f (2) 12 117" xfId="51748"/>
    <cellStyle name="Currency [0,000] TBD_Page 2f (2) 12 118" xfId="51749"/>
    <cellStyle name="Currency [0,000] TBD-_Page 2f (2) 12 118" xfId="51750"/>
    <cellStyle name="Currency [0,000] TBD_Page 2f (2) 12 119" xfId="51751"/>
    <cellStyle name="Currency [0,000] TBD-_Page 2f (2) 12 119" xfId="51752"/>
    <cellStyle name="Currency [0,000] TBD_Page 2f (2) 12 12" xfId="51753"/>
    <cellStyle name="Currency [0,000] TBD-_Page 2f (2) 12 12" xfId="51754"/>
    <cellStyle name="Currency [0,000] TBD_Page 2f (2) 12 120" xfId="51755"/>
    <cellStyle name="Currency [0,000] TBD-_Page 2f (2) 12 120" xfId="51756"/>
    <cellStyle name="Currency [0,000] TBD_Page 2f (2) 12 121" xfId="51757"/>
    <cellStyle name="Currency [0,000] TBD-_Page 2f (2) 12 121" xfId="51758"/>
    <cellStyle name="Currency [0,000] TBD_Page 2f (2) 12 122" xfId="51759"/>
    <cellStyle name="Currency [0,000] TBD-_Page 2f (2) 12 122" xfId="51760"/>
    <cellStyle name="Currency [0,000] TBD_Page 2f (2) 12 123" xfId="51761"/>
    <cellStyle name="Currency [0,000] TBD-_Page 2f (2) 12 123" xfId="51762"/>
    <cellStyle name="Currency [0,000] TBD_Page 2f (2) 12 124" xfId="51763"/>
    <cellStyle name="Currency [0,000] TBD-_Page 2f (2) 12 124" xfId="51764"/>
    <cellStyle name="Currency [0,000] TBD_Page 2f (2) 12 125" xfId="51765"/>
    <cellStyle name="Currency [0,000] TBD-_Page 2f (2) 12 125" xfId="51766"/>
    <cellStyle name="Currency [0,000] TBD_Page 2f (2) 12 126" xfId="51767"/>
    <cellStyle name="Currency [0,000] TBD-_Page 2f (2) 12 126" xfId="51768"/>
    <cellStyle name="Currency [0,000] TBD_Page 2f (2) 12 127" xfId="51769"/>
    <cellStyle name="Currency [0,000] TBD-_Page 2f (2) 12 127" xfId="51770"/>
    <cellStyle name="Currency [0,000] TBD_Page 2f (2) 12 128" xfId="51771"/>
    <cellStyle name="Currency [0,000] TBD-_Page 2f (2) 12 128" xfId="51772"/>
    <cellStyle name="Currency [0,000] TBD_Page 2f (2) 12 129" xfId="51773"/>
    <cellStyle name="Currency [0,000] TBD-_Page 2f (2) 12 129" xfId="51774"/>
    <cellStyle name="Currency [0,000] TBD_Page 2f (2) 12 13" xfId="51775"/>
    <cellStyle name="Currency [0,000] TBD-_Page 2f (2) 12 13" xfId="51776"/>
    <cellStyle name="Currency [0,000] TBD_Page 2f (2) 12 130" xfId="51777"/>
    <cellStyle name="Currency [0,000] TBD-_Page 2f (2) 12 130" xfId="51778"/>
    <cellStyle name="Currency [0,000] TBD_Page 2f (2) 12 131" xfId="51779"/>
    <cellStyle name="Currency [0,000] TBD-_Page 2f (2) 12 131" xfId="51780"/>
    <cellStyle name="Currency [0,000] TBD_Page 2f (2) 12 132" xfId="51781"/>
    <cellStyle name="Currency [0,000] TBD-_Page 2f (2) 12 132" xfId="51782"/>
    <cellStyle name="Currency [0,000] TBD_Page 2f (2) 12 133" xfId="51783"/>
    <cellStyle name="Currency [0,000] TBD-_Page 2f (2) 12 133" xfId="51784"/>
    <cellStyle name="Currency [0,000] TBD_Page 2f (2) 12 134" xfId="51785"/>
    <cellStyle name="Currency [0,000] TBD-_Page 2f (2) 12 134" xfId="51786"/>
    <cellStyle name="Currency [0,000] TBD_Page 2f (2) 12 135" xfId="51787"/>
    <cellStyle name="Currency [0,000] TBD-_Page 2f (2) 12 135" xfId="51788"/>
    <cellStyle name="Currency [0,000] TBD_Page 2f (2) 12 136" xfId="51789"/>
    <cellStyle name="Currency [0,000] TBD-_Page 2f (2) 12 136" xfId="51790"/>
    <cellStyle name="Currency [0,000] TBD_Page 2f (2) 12 137" xfId="51791"/>
    <cellStyle name="Currency [0,000] TBD-_Page 2f (2) 12 137" xfId="51792"/>
    <cellStyle name="Currency [0,000] TBD_Page 2f (2) 12 138" xfId="51793"/>
    <cellStyle name="Currency [0,000] TBD-_Page 2f (2) 12 138" xfId="51794"/>
    <cellStyle name="Currency [0,000] TBD_Page 2f (2) 12 139" xfId="51795"/>
    <cellStyle name="Currency [0,000] TBD-_Page 2f (2) 12 139" xfId="51796"/>
    <cellStyle name="Currency [0,000] TBD_Page 2f (2) 12 14" xfId="51797"/>
    <cellStyle name="Currency [0,000] TBD-_Page 2f (2) 12 14" xfId="51798"/>
    <cellStyle name="Currency [0,000] TBD_Page 2f (2) 12 140" xfId="51799"/>
    <cellStyle name="Currency [0,000] TBD-_Page 2f (2) 12 140" xfId="51800"/>
    <cellStyle name="Currency [0,000] TBD_Page 2f (2) 12 141" xfId="51801"/>
    <cellStyle name="Currency [0,000] TBD-_Page 2f (2) 12 141" xfId="51802"/>
    <cellStyle name="Currency [0,000] TBD_Page 2f (2) 12 142" xfId="51803"/>
    <cellStyle name="Currency [0,000] TBD-_Page 2f (2) 12 142" xfId="51804"/>
    <cellStyle name="Currency [0,000] TBD_Page 2f (2) 12 143" xfId="51805"/>
    <cellStyle name="Currency [0,000] TBD-_Page 2f (2) 12 143" xfId="51806"/>
    <cellStyle name="Currency [0,000] TBD_Page 2f (2) 12 144" xfId="51807"/>
    <cellStyle name="Currency [0,000] TBD-_Page 2f (2) 12 144" xfId="51808"/>
    <cellStyle name="Currency [0,000] TBD_Page 2f (2) 12 145" xfId="51809"/>
    <cellStyle name="Currency [0,000] TBD-_Page 2f (2) 12 145" xfId="51810"/>
    <cellStyle name="Currency [0,000] TBD_Page 2f (2) 12 146" xfId="51811"/>
    <cellStyle name="Currency [0,000] TBD-_Page 2f (2) 12 146" xfId="51812"/>
    <cellStyle name="Currency [0,000] TBD_Page 2f (2) 12 147" xfId="51813"/>
    <cellStyle name="Currency [0,000] TBD-_Page 2f (2) 12 147" xfId="51814"/>
    <cellStyle name="Currency [0,000] TBD_Page 2f (2) 12 148" xfId="51815"/>
    <cellStyle name="Currency [0,000] TBD-_Page 2f (2) 12 148" xfId="51816"/>
    <cellStyle name="Currency [0,000] TBD_Page 2f (2) 12 149" xfId="51817"/>
    <cellStyle name="Currency [0,000] TBD-_Page 2f (2) 12 149" xfId="51818"/>
    <cellStyle name="Currency [0,000] TBD_Page 2f (2) 12 15" xfId="51819"/>
    <cellStyle name="Currency [0,000] TBD-_Page 2f (2) 12 15" xfId="51820"/>
    <cellStyle name="Currency [0,000] TBD_Page 2f (2) 12 150" xfId="51821"/>
    <cellStyle name="Currency [0,000] TBD-_Page 2f (2) 12 150" xfId="51822"/>
    <cellStyle name="Currency [0,000] TBD_Page 2f (2) 12 151" xfId="51823"/>
    <cellStyle name="Currency [0,000] TBD-_Page 2f (2) 12 151" xfId="51824"/>
    <cellStyle name="Currency [0,000] TBD_Page 2f (2) 12 152" xfId="51825"/>
    <cellStyle name="Currency [0,000] TBD-_Page 2f (2) 12 152" xfId="51826"/>
    <cellStyle name="Currency [0,000] TBD_Page 2f (2) 12 153" xfId="51827"/>
    <cellStyle name="Currency [0,000] TBD-_Page 2f (2) 12 153" xfId="51828"/>
    <cellStyle name="Currency [0,000] TBD_Page 2f (2) 12 16" xfId="51829"/>
    <cellStyle name="Currency [0,000] TBD-_Page 2f (2) 12 16" xfId="51830"/>
    <cellStyle name="Currency [0,000] TBD_Page 2f (2) 12 17" xfId="51831"/>
    <cellStyle name="Currency [0,000] TBD-_Page 2f (2) 12 17" xfId="51832"/>
    <cellStyle name="Currency [0,000] TBD_Page 2f (2) 12 18" xfId="51833"/>
    <cellStyle name="Currency [0,000] TBD-_Page 2f (2) 12 18" xfId="51834"/>
    <cellStyle name="Currency [0,000] TBD_Page 2f (2) 12 19" xfId="51835"/>
    <cellStyle name="Currency [0,000] TBD-_Page 2f (2) 12 19" xfId="51836"/>
    <cellStyle name="Currency [0,000] TBD_Page 2f (2) 12 2" xfId="51837"/>
    <cellStyle name="Currency [0,000] TBD-_Page 2f (2) 12 2" xfId="51838"/>
    <cellStyle name="Currency [0,000] TBD_Page 2f (2) 12 20" xfId="51839"/>
    <cellStyle name="Currency [0,000] TBD-_Page 2f (2) 12 20" xfId="51840"/>
    <cellStyle name="Currency [0,000] TBD_Page 2f (2) 12 21" xfId="51841"/>
    <cellStyle name="Currency [0,000] TBD-_Page 2f (2) 12 21" xfId="51842"/>
    <cellStyle name="Currency [0,000] TBD_Page 2f (2) 12 22" xfId="51843"/>
    <cellStyle name="Currency [0,000] TBD-_Page 2f (2) 12 22" xfId="51844"/>
    <cellStyle name="Currency [0,000] TBD_Page 2f (2) 12 23" xfId="51845"/>
    <cellStyle name="Currency [0,000] TBD-_Page 2f (2) 12 23" xfId="51846"/>
    <cellStyle name="Currency [0,000] TBD_Page 2f (2) 12 24" xfId="51847"/>
    <cellStyle name="Currency [0,000] TBD-_Page 2f (2) 12 24" xfId="51848"/>
    <cellStyle name="Currency [0,000] TBD_Page 2f (2) 12 25" xfId="51849"/>
    <cellStyle name="Currency [0,000] TBD-_Page 2f (2) 12 25" xfId="51850"/>
    <cellStyle name="Currency [0,000] TBD_Page 2f (2) 12 26" xfId="51851"/>
    <cellStyle name="Currency [0,000] TBD-_Page 2f (2) 12 26" xfId="51852"/>
    <cellStyle name="Currency [0,000] TBD_Page 2f (2) 12 27" xfId="51853"/>
    <cellStyle name="Currency [0,000] TBD-_Page 2f (2) 12 27" xfId="51854"/>
    <cellStyle name="Currency [0,000] TBD_Page 2f (2) 12 28" xfId="51855"/>
    <cellStyle name="Currency [0,000] TBD-_Page 2f (2) 12 28" xfId="51856"/>
    <cellStyle name="Currency [0,000] TBD_Page 2f (2) 12 29" xfId="51857"/>
    <cellStyle name="Currency [0,000] TBD-_Page 2f (2) 12 29" xfId="51858"/>
    <cellStyle name="Currency [0,000] TBD_Page 2f (2) 12 3" xfId="51859"/>
    <cellStyle name="Currency [0,000] TBD-_Page 2f (2) 12 3" xfId="51860"/>
    <cellStyle name="Currency [0,000] TBD_Page 2f (2) 12 30" xfId="51861"/>
    <cellStyle name="Currency [0,000] TBD-_Page 2f (2) 12 30" xfId="51862"/>
    <cellStyle name="Currency [0,000] TBD_Page 2f (2) 12 31" xfId="51863"/>
    <cellStyle name="Currency [0,000] TBD-_Page 2f (2) 12 31" xfId="51864"/>
    <cellStyle name="Currency [0,000] TBD_Page 2f (2) 12 32" xfId="51865"/>
    <cellStyle name="Currency [0,000] TBD-_Page 2f (2) 12 32" xfId="51866"/>
    <cellStyle name="Currency [0,000] TBD_Page 2f (2) 12 33" xfId="51867"/>
    <cellStyle name="Currency [0,000] TBD-_Page 2f (2) 12 33" xfId="51868"/>
    <cellStyle name="Currency [0,000] TBD_Page 2f (2) 12 34" xfId="51869"/>
    <cellStyle name="Currency [0,000] TBD-_Page 2f (2) 12 34" xfId="51870"/>
    <cellStyle name="Currency [0,000] TBD_Page 2f (2) 12 35" xfId="51871"/>
    <cellStyle name="Currency [0,000] TBD-_Page 2f (2) 12 35" xfId="51872"/>
    <cellStyle name="Currency [0,000] TBD_Page 2f (2) 12 36" xfId="51873"/>
    <cellStyle name="Currency [0,000] TBD-_Page 2f (2) 12 36" xfId="51874"/>
    <cellStyle name="Currency [0,000] TBD_Page 2f (2) 12 37" xfId="51875"/>
    <cellStyle name="Currency [0,000] TBD-_Page 2f (2) 12 37" xfId="51876"/>
    <cellStyle name="Currency [0,000] TBD_Page 2f (2) 12 38" xfId="51877"/>
    <cellStyle name="Currency [0,000] TBD-_Page 2f (2) 12 38" xfId="51878"/>
    <cellStyle name="Currency [0,000] TBD_Page 2f (2) 12 39" xfId="51879"/>
    <cellStyle name="Currency [0,000] TBD-_Page 2f (2) 12 39" xfId="51880"/>
    <cellStyle name="Currency [0,000] TBD_Page 2f (2) 12 4" xfId="51881"/>
    <cellStyle name="Currency [0,000] TBD-_Page 2f (2) 12 4" xfId="51882"/>
    <cellStyle name="Currency [0,000] TBD_Page 2f (2) 12 40" xfId="51883"/>
    <cellStyle name="Currency [0,000] TBD-_Page 2f (2) 12 40" xfId="51884"/>
    <cellStyle name="Currency [0,000] TBD_Page 2f (2) 12 41" xfId="51885"/>
    <cellStyle name="Currency [0,000] TBD-_Page 2f (2) 12 41" xfId="51886"/>
    <cellStyle name="Currency [0,000] TBD_Page 2f (2) 12 42" xfId="51887"/>
    <cellStyle name="Currency [0,000] TBD-_Page 2f (2) 12 42" xfId="51888"/>
    <cellStyle name="Currency [0,000] TBD_Page 2f (2) 12 43" xfId="51889"/>
    <cellStyle name="Currency [0,000] TBD-_Page 2f (2) 12 43" xfId="51890"/>
    <cellStyle name="Currency [0,000] TBD_Page 2f (2) 12 44" xfId="51891"/>
    <cellStyle name="Currency [0,000] TBD-_Page 2f (2) 12 44" xfId="51892"/>
    <cellStyle name="Currency [0,000] TBD_Page 2f (2) 12 45" xfId="51893"/>
    <cellStyle name="Currency [0,000] TBD-_Page 2f (2) 12 45" xfId="51894"/>
    <cellStyle name="Currency [0,000] TBD_Page 2f (2) 12 46" xfId="51895"/>
    <cellStyle name="Currency [0,000] TBD-_Page 2f (2) 12 46" xfId="51896"/>
    <cellStyle name="Currency [0,000] TBD_Page 2f (2) 12 47" xfId="51897"/>
    <cellStyle name="Currency [0,000] TBD-_Page 2f (2) 12 47" xfId="51898"/>
    <cellStyle name="Currency [0,000] TBD_Page 2f (2) 12 48" xfId="51899"/>
    <cellStyle name="Currency [0,000] TBD-_Page 2f (2) 12 48" xfId="51900"/>
    <cellStyle name="Currency [0,000] TBD_Page 2f (2) 12 49" xfId="51901"/>
    <cellStyle name="Currency [0,000] TBD-_Page 2f (2) 12 49" xfId="51902"/>
    <cellStyle name="Currency [0,000] TBD_Page 2f (2) 12 5" xfId="51903"/>
    <cellStyle name="Currency [0,000] TBD-_Page 2f (2) 12 5" xfId="51904"/>
    <cellStyle name="Currency [0,000] TBD_Page 2f (2) 12 50" xfId="51905"/>
    <cellStyle name="Currency [0,000] TBD-_Page 2f (2) 12 50" xfId="51906"/>
    <cellStyle name="Currency [0,000] TBD_Page 2f (2) 12 51" xfId="51907"/>
    <cellStyle name="Currency [0,000] TBD-_Page 2f (2) 12 51" xfId="51908"/>
    <cellStyle name="Currency [0,000] TBD_Page 2f (2) 12 52" xfId="51909"/>
    <cellStyle name="Currency [0,000] TBD-_Page 2f (2) 12 52" xfId="51910"/>
    <cellStyle name="Currency [0,000] TBD_Page 2f (2) 12 53" xfId="51911"/>
    <cellStyle name="Currency [0,000] TBD-_Page 2f (2) 12 53" xfId="51912"/>
    <cellStyle name="Currency [0,000] TBD_Page 2f (2) 12 54" xfId="51913"/>
    <cellStyle name="Currency [0,000] TBD-_Page 2f (2) 12 54" xfId="51914"/>
    <cellStyle name="Currency [0,000] TBD_Page 2f (2) 12 55" xfId="51915"/>
    <cellStyle name="Currency [0,000] TBD-_Page 2f (2) 12 55" xfId="51916"/>
    <cellStyle name="Currency [0,000] TBD_Page 2f (2) 12 56" xfId="51917"/>
    <cellStyle name="Currency [0,000] TBD-_Page 2f (2) 12 56" xfId="51918"/>
    <cellStyle name="Currency [0,000] TBD_Page 2f (2) 12 57" xfId="51919"/>
    <cellStyle name="Currency [0,000] TBD-_Page 2f (2) 12 57" xfId="51920"/>
    <cellStyle name="Currency [0,000] TBD_Page 2f (2) 12 58" xfId="51921"/>
    <cellStyle name="Currency [0,000] TBD-_Page 2f (2) 12 58" xfId="51922"/>
    <cellStyle name="Currency [0,000] TBD_Page 2f (2) 12 59" xfId="51923"/>
    <cellStyle name="Currency [0,000] TBD-_Page 2f (2) 12 59" xfId="51924"/>
    <cellStyle name="Currency [0,000] TBD_Page 2f (2) 12 6" xfId="51925"/>
    <cellStyle name="Currency [0,000] TBD-_Page 2f (2) 12 6" xfId="51926"/>
    <cellStyle name="Currency [0,000] TBD_Page 2f (2) 12 60" xfId="51927"/>
    <cellStyle name="Currency [0,000] TBD-_Page 2f (2) 12 60" xfId="51928"/>
    <cellStyle name="Currency [0,000] TBD_Page 2f (2) 12 61" xfId="51929"/>
    <cellStyle name="Currency [0,000] TBD-_Page 2f (2) 12 61" xfId="51930"/>
    <cellStyle name="Currency [0,000] TBD_Page 2f (2) 12 62" xfId="51931"/>
    <cellStyle name="Currency [0,000] TBD-_Page 2f (2) 12 62" xfId="51932"/>
    <cellStyle name="Currency [0,000] TBD_Page 2f (2) 12 63" xfId="51933"/>
    <cellStyle name="Currency [0,000] TBD-_Page 2f (2) 12 63" xfId="51934"/>
    <cellStyle name="Currency [0,000] TBD_Page 2f (2) 12 64" xfId="51935"/>
    <cellStyle name="Currency [0,000] TBD-_Page 2f (2) 12 64" xfId="51936"/>
    <cellStyle name="Currency [0,000] TBD_Page 2f (2) 12 65" xfId="51937"/>
    <cellStyle name="Currency [0,000] TBD-_Page 2f (2) 12 65" xfId="51938"/>
    <cellStyle name="Currency [0,000] TBD_Page 2f (2) 12 66" xfId="51939"/>
    <cellStyle name="Currency [0,000] TBD-_Page 2f (2) 12 66" xfId="51940"/>
    <cellStyle name="Currency [0,000] TBD_Page 2f (2) 12 67" xfId="51941"/>
    <cellStyle name="Currency [0,000] TBD-_Page 2f (2) 12 67" xfId="51942"/>
    <cellStyle name="Currency [0,000] TBD_Page 2f (2) 12 68" xfId="51943"/>
    <cellStyle name="Currency [0,000] TBD-_Page 2f (2) 12 68" xfId="51944"/>
    <cellStyle name="Currency [0,000] TBD_Page 2f (2) 12 69" xfId="51945"/>
    <cellStyle name="Currency [0,000] TBD-_Page 2f (2) 12 69" xfId="51946"/>
    <cellStyle name="Currency [0,000] TBD_Page 2f (2) 12 7" xfId="51947"/>
    <cellStyle name="Currency [0,000] TBD-_Page 2f (2) 12 7" xfId="51948"/>
    <cellStyle name="Currency [0,000] TBD_Page 2f (2) 12 70" xfId="51949"/>
    <cellStyle name="Currency [0,000] TBD-_Page 2f (2) 12 70" xfId="51950"/>
    <cellStyle name="Currency [0,000] TBD_Page 2f (2) 12 71" xfId="51951"/>
    <cellStyle name="Currency [0,000] TBD-_Page 2f (2) 12 71" xfId="51952"/>
    <cellStyle name="Currency [0,000] TBD_Page 2f (2) 12 72" xfId="51953"/>
    <cellStyle name="Currency [0,000] TBD-_Page 2f (2) 12 72" xfId="51954"/>
    <cellStyle name="Currency [0,000] TBD_Page 2f (2) 12 73" xfId="51955"/>
    <cellStyle name="Currency [0,000] TBD-_Page 2f (2) 12 73" xfId="51956"/>
    <cellStyle name="Currency [0,000] TBD_Page 2f (2) 12 74" xfId="51957"/>
    <cellStyle name="Currency [0,000] TBD-_Page 2f (2) 12 74" xfId="51958"/>
    <cellStyle name="Currency [0,000] TBD_Page 2f (2) 12 75" xfId="51959"/>
    <cellStyle name="Currency [0,000] TBD-_Page 2f (2) 12 75" xfId="51960"/>
    <cellStyle name="Currency [0,000] TBD_Page 2f (2) 12 76" xfId="51961"/>
    <cellStyle name="Currency [0,000] TBD-_Page 2f (2) 12 76" xfId="51962"/>
    <cellStyle name="Currency [0,000] TBD_Page 2f (2) 12 77" xfId="51963"/>
    <cellStyle name="Currency [0,000] TBD-_Page 2f (2) 12 77" xfId="51964"/>
    <cellStyle name="Currency [0,000] TBD_Page 2f (2) 12 78" xfId="51965"/>
    <cellStyle name="Currency [0,000] TBD-_Page 2f (2) 12 78" xfId="51966"/>
    <cellStyle name="Currency [0,000] TBD_Page 2f (2) 12 79" xfId="51967"/>
    <cellStyle name="Currency [0,000] TBD-_Page 2f (2) 12 79" xfId="51968"/>
    <cellStyle name="Currency [0,000] TBD_Page 2f (2) 12 8" xfId="51969"/>
    <cellStyle name="Currency [0,000] TBD-_Page 2f (2) 12 8" xfId="51970"/>
    <cellStyle name="Currency [0,000] TBD_Page 2f (2) 12 80" xfId="51971"/>
    <cellStyle name="Currency [0,000] TBD-_Page 2f (2) 12 80" xfId="51972"/>
    <cellStyle name="Currency [0,000] TBD_Page 2f (2) 12 81" xfId="51973"/>
    <cellStyle name="Currency [0,000] TBD-_Page 2f (2) 12 81" xfId="51974"/>
    <cellStyle name="Currency [0,000] TBD_Page 2f (2) 12 82" xfId="51975"/>
    <cellStyle name="Currency [0,000] TBD-_Page 2f (2) 12 82" xfId="51976"/>
    <cellStyle name="Currency [0,000] TBD_Page 2f (2) 12 83" xfId="51977"/>
    <cellStyle name="Currency [0,000] TBD-_Page 2f (2) 12 83" xfId="51978"/>
    <cellStyle name="Currency [0,000] TBD_Page 2f (2) 12 84" xfId="51979"/>
    <cellStyle name="Currency [0,000] TBD-_Page 2f (2) 12 84" xfId="51980"/>
    <cellStyle name="Currency [0,000] TBD_Page 2f (2) 12 85" xfId="51981"/>
    <cellStyle name="Currency [0,000] TBD-_Page 2f (2) 12 85" xfId="51982"/>
    <cellStyle name="Currency [0,000] TBD_Page 2f (2) 12 86" xfId="51983"/>
    <cellStyle name="Currency [0,000] TBD-_Page 2f (2) 12 86" xfId="51984"/>
    <cellStyle name="Currency [0,000] TBD_Page 2f (2) 12 87" xfId="51985"/>
    <cellStyle name="Currency [0,000] TBD-_Page 2f (2) 12 87" xfId="51986"/>
    <cellStyle name="Currency [0,000] TBD_Page 2f (2) 12 88" xfId="51987"/>
    <cellStyle name="Currency [0,000] TBD-_Page 2f (2) 12 88" xfId="51988"/>
    <cellStyle name="Currency [0,000] TBD_Page 2f (2) 12 89" xfId="51989"/>
    <cellStyle name="Currency [0,000] TBD-_Page 2f (2) 12 89" xfId="51990"/>
    <cellStyle name="Currency [0,000] TBD_Page 2f (2) 12 9" xfId="51991"/>
    <cellStyle name="Currency [0,000] TBD-_Page 2f (2) 12 9" xfId="51992"/>
    <cellStyle name="Currency [0,000] TBD_Page 2f (2) 12 90" xfId="51993"/>
    <cellStyle name="Currency [0,000] TBD-_Page 2f (2) 12 90" xfId="51994"/>
    <cellStyle name="Currency [0,000] TBD_Page 2f (2) 12 91" xfId="51995"/>
    <cellStyle name="Currency [0,000] TBD-_Page 2f (2) 12 91" xfId="51996"/>
    <cellStyle name="Currency [0,000] TBD_Page 2f (2) 12 92" xfId="51997"/>
    <cellStyle name="Currency [0,000] TBD-_Page 2f (2) 12 92" xfId="51998"/>
    <cellStyle name="Currency [0,000] TBD_Page 2f (2) 12 93" xfId="51999"/>
    <cellStyle name="Currency [0,000] TBD-_Page 2f (2) 12 93" xfId="52000"/>
    <cellStyle name="Currency [0,000] TBD_Page 2f (2) 12 94" xfId="52001"/>
    <cellStyle name="Currency [0,000] TBD-_Page 2f (2) 12 94" xfId="52002"/>
    <cellStyle name="Currency [0,000] TBD_Page 2f (2) 12 95" xfId="52003"/>
    <cellStyle name="Currency [0,000] TBD-_Page 2f (2) 12 95" xfId="52004"/>
    <cellStyle name="Currency [0,000] TBD_Page 2f (2) 12 96" xfId="52005"/>
    <cellStyle name="Currency [0,000] TBD-_Page 2f (2) 12 96" xfId="52006"/>
    <cellStyle name="Currency [0,000] TBD_Page 2f (2) 12 97" xfId="52007"/>
    <cellStyle name="Currency [0,000] TBD-_Page 2f (2) 12 97" xfId="52008"/>
    <cellStyle name="Currency [0,000] TBD_Page 2f (2) 12 98" xfId="52009"/>
    <cellStyle name="Currency [0,000] TBD-_Page 2f (2) 12 98" xfId="52010"/>
    <cellStyle name="Currency [0,000] TBD_Page 2f (2) 12 99" xfId="52011"/>
    <cellStyle name="Currency [0,000] TBD-_Page 2f (2) 12 99" xfId="52012"/>
    <cellStyle name="Currency [0,000] TBD_Page 2f (2) 13" xfId="52013"/>
    <cellStyle name="Currency [0,000] TBD-_Page 2f (2) 13" xfId="52014"/>
    <cellStyle name="Currency [0,000] TBD_Page 2f (2) 13 10" xfId="52015"/>
    <cellStyle name="Currency [0,000] TBD-_Page 2f (2) 13 10" xfId="52016"/>
    <cellStyle name="Currency [0,000] TBD_Page 2f (2) 13 100" xfId="52017"/>
    <cellStyle name="Currency [0,000] TBD-_Page 2f (2) 13 100" xfId="52018"/>
    <cellStyle name="Currency [0,000] TBD_Page 2f (2) 13 101" xfId="52019"/>
    <cellStyle name="Currency [0,000] TBD-_Page 2f (2) 13 101" xfId="52020"/>
    <cellStyle name="Currency [0,000] TBD_Page 2f (2) 13 102" xfId="52021"/>
    <cellStyle name="Currency [0,000] TBD-_Page 2f (2) 13 102" xfId="52022"/>
    <cellStyle name="Currency [0,000] TBD_Page 2f (2) 13 103" xfId="52023"/>
    <cellStyle name="Currency [0,000] TBD-_Page 2f (2) 13 103" xfId="52024"/>
    <cellStyle name="Currency [0,000] TBD_Page 2f (2) 13 104" xfId="52025"/>
    <cellStyle name="Currency [0,000] TBD-_Page 2f (2) 13 104" xfId="52026"/>
    <cellStyle name="Currency [0,000] TBD_Page 2f (2) 13 105" xfId="52027"/>
    <cellStyle name="Currency [0,000] TBD-_Page 2f (2) 13 105" xfId="52028"/>
    <cellStyle name="Currency [0,000] TBD_Page 2f (2) 13 106" xfId="52029"/>
    <cellStyle name="Currency [0,000] TBD-_Page 2f (2) 13 106" xfId="52030"/>
    <cellStyle name="Currency [0,000] TBD_Page 2f (2) 13 107" xfId="52031"/>
    <cellStyle name="Currency [0,000] TBD-_Page 2f (2) 13 107" xfId="52032"/>
    <cellStyle name="Currency [0,000] TBD_Page 2f (2) 13 108" xfId="52033"/>
    <cellStyle name="Currency [0,000] TBD-_Page 2f (2) 13 108" xfId="52034"/>
    <cellStyle name="Currency [0,000] TBD_Page 2f (2) 13 109" xfId="52035"/>
    <cellStyle name="Currency [0,000] TBD-_Page 2f (2) 13 109" xfId="52036"/>
    <cellStyle name="Currency [0,000] TBD_Page 2f (2) 13 11" xfId="52037"/>
    <cellStyle name="Currency [0,000] TBD-_Page 2f (2) 13 11" xfId="52038"/>
    <cellStyle name="Currency [0,000] TBD_Page 2f (2) 13 110" xfId="52039"/>
    <cellStyle name="Currency [0,000] TBD-_Page 2f (2) 13 110" xfId="52040"/>
    <cellStyle name="Currency [0,000] TBD_Page 2f (2) 13 111" xfId="52041"/>
    <cellStyle name="Currency [0,000] TBD-_Page 2f (2) 13 111" xfId="52042"/>
    <cellStyle name="Currency [0,000] TBD_Page 2f (2) 13 112" xfId="52043"/>
    <cellStyle name="Currency [0,000] TBD-_Page 2f (2) 13 112" xfId="52044"/>
    <cellStyle name="Currency [0,000] TBD_Page 2f (2) 13 113" xfId="52045"/>
    <cellStyle name="Currency [0,000] TBD-_Page 2f (2) 13 113" xfId="52046"/>
    <cellStyle name="Currency [0,000] TBD_Page 2f (2) 13 114" xfId="52047"/>
    <cellStyle name="Currency [0,000] TBD-_Page 2f (2) 13 114" xfId="52048"/>
    <cellStyle name="Currency [0,000] TBD_Page 2f (2) 13 115" xfId="52049"/>
    <cellStyle name="Currency [0,000] TBD-_Page 2f (2) 13 115" xfId="52050"/>
    <cellStyle name="Currency [0,000] TBD_Page 2f (2) 13 116" xfId="52051"/>
    <cellStyle name="Currency [0,000] TBD-_Page 2f (2) 13 116" xfId="52052"/>
    <cellStyle name="Currency [0,000] TBD_Page 2f (2) 13 117" xfId="52053"/>
    <cellStyle name="Currency [0,000] TBD-_Page 2f (2) 13 117" xfId="52054"/>
    <cellStyle name="Currency [0,000] TBD_Page 2f (2) 13 118" xfId="52055"/>
    <cellStyle name="Currency [0,000] TBD-_Page 2f (2) 13 118" xfId="52056"/>
    <cellStyle name="Currency [0,000] TBD_Page 2f (2) 13 119" xfId="52057"/>
    <cellStyle name="Currency [0,000] TBD-_Page 2f (2) 13 119" xfId="52058"/>
    <cellStyle name="Currency [0,000] TBD_Page 2f (2) 13 12" xfId="52059"/>
    <cellStyle name="Currency [0,000] TBD-_Page 2f (2) 13 12" xfId="52060"/>
    <cellStyle name="Currency [0,000] TBD_Page 2f (2) 13 120" xfId="52061"/>
    <cellStyle name="Currency [0,000] TBD-_Page 2f (2) 13 120" xfId="52062"/>
    <cellStyle name="Currency [0,000] TBD_Page 2f (2) 13 121" xfId="52063"/>
    <cellStyle name="Currency [0,000] TBD-_Page 2f (2) 13 121" xfId="52064"/>
    <cellStyle name="Currency [0,000] TBD_Page 2f (2) 13 122" xfId="52065"/>
    <cellStyle name="Currency [0,000] TBD-_Page 2f (2) 13 122" xfId="52066"/>
    <cellStyle name="Currency [0,000] TBD_Page 2f (2) 13 123" xfId="52067"/>
    <cellStyle name="Currency [0,000] TBD-_Page 2f (2) 13 123" xfId="52068"/>
    <cellStyle name="Currency [0,000] TBD_Page 2f (2) 13 124" xfId="52069"/>
    <cellStyle name="Currency [0,000] TBD-_Page 2f (2) 13 124" xfId="52070"/>
    <cellStyle name="Currency [0,000] TBD_Page 2f (2) 13 125" xfId="52071"/>
    <cellStyle name="Currency [0,000] TBD-_Page 2f (2) 13 125" xfId="52072"/>
    <cellStyle name="Currency [0,000] TBD_Page 2f (2) 13 126" xfId="52073"/>
    <cellStyle name="Currency [0,000] TBD-_Page 2f (2) 13 126" xfId="52074"/>
    <cellStyle name="Currency [0,000] TBD_Page 2f (2) 13 127" xfId="52075"/>
    <cellStyle name="Currency [0,000] TBD-_Page 2f (2) 13 127" xfId="52076"/>
    <cellStyle name="Currency [0,000] TBD_Page 2f (2) 13 128" xfId="52077"/>
    <cellStyle name="Currency [0,000] TBD-_Page 2f (2) 13 128" xfId="52078"/>
    <cellStyle name="Currency [0,000] TBD_Page 2f (2) 13 129" xfId="52079"/>
    <cellStyle name="Currency [0,000] TBD-_Page 2f (2) 13 129" xfId="52080"/>
    <cellStyle name="Currency [0,000] TBD_Page 2f (2) 13 13" xfId="52081"/>
    <cellStyle name="Currency [0,000] TBD-_Page 2f (2) 13 13" xfId="52082"/>
    <cellStyle name="Currency [0,000] TBD_Page 2f (2) 13 130" xfId="52083"/>
    <cellStyle name="Currency [0,000] TBD-_Page 2f (2) 13 130" xfId="52084"/>
    <cellStyle name="Currency [0,000] TBD_Page 2f (2) 13 131" xfId="52085"/>
    <cellStyle name="Currency [0,000] TBD-_Page 2f (2) 13 131" xfId="52086"/>
    <cellStyle name="Currency [0,000] TBD_Page 2f (2) 13 132" xfId="52087"/>
    <cellStyle name="Currency [0,000] TBD-_Page 2f (2) 13 132" xfId="52088"/>
    <cellStyle name="Currency [0,000] TBD_Page 2f (2) 13 133" xfId="52089"/>
    <cellStyle name="Currency [0,000] TBD-_Page 2f (2) 13 133" xfId="52090"/>
    <cellStyle name="Currency [0,000] TBD_Page 2f (2) 13 134" xfId="52091"/>
    <cellStyle name="Currency [0,000] TBD-_Page 2f (2) 13 134" xfId="52092"/>
    <cellStyle name="Currency [0,000] TBD_Page 2f (2) 13 135" xfId="52093"/>
    <cellStyle name="Currency [0,000] TBD-_Page 2f (2) 13 135" xfId="52094"/>
    <cellStyle name="Currency [0,000] TBD_Page 2f (2) 13 136" xfId="52095"/>
    <cellStyle name="Currency [0,000] TBD-_Page 2f (2) 13 136" xfId="52096"/>
    <cellStyle name="Currency [0,000] TBD_Page 2f (2) 13 137" xfId="52097"/>
    <cellStyle name="Currency [0,000] TBD-_Page 2f (2) 13 137" xfId="52098"/>
    <cellStyle name="Currency [0,000] TBD_Page 2f (2) 13 138" xfId="52099"/>
    <cellStyle name="Currency [0,000] TBD-_Page 2f (2) 13 138" xfId="52100"/>
    <cellStyle name="Currency [0,000] TBD_Page 2f (2) 13 139" xfId="52101"/>
    <cellStyle name="Currency [0,000] TBD-_Page 2f (2) 13 139" xfId="52102"/>
    <cellStyle name="Currency [0,000] TBD_Page 2f (2) 13 14" xfId="52103"/>
    <cellStyle name="Currency [0,000] TBD-_Page 2f (2) 13 14" xfId="52104"/>
    <cellStyle name="Currency [0,000] TBD_Page 2f (2) 13 140" xfId="52105"/>
    <cellStyle name="Currency [0,000] TBD-_Page 2f (2) 13 140" xfId="52106"/>
    <cellStyle name="Currency [0,000] TBD_Page 2f (2) 13 141" xfId="52107"/>
    <cellStyle name="Currency [0,000] TBD-_Page 2f (2) 13 141" xfId="52108"/>
    <cellStyle name="Currency [0,000] TBD_Page 2f (2) 13 142" xfId="52109"/>
    <cellStyle name="Currency [0,000] TBD-_Page 2f (2) 13 142" xfId="52110"/>
    <cellStyle name="Currency [0,000] TBD_Page 2f (2) 13 143" xfId="52111"/>
    <cellStyle name="Currency [0,000] TBD-_Page 2f (2) 13 143" xfId="52112"/>
    <cellStyle name="Currency [0,000] TBD_Page 2f (2) 13 144" xfId="52113"/>
    <cellStyle name="Currency [0,000] TBD-_Page 2f (2) 13 144" xfId="52114"/>
    <cellStyle name="Currency [0,000] TBD_Page 2f (2) 13 145" xfId="52115"/>
    <cellStyle name="Currency [0,000] TBD-_Page 2f (2) 13 145" xfId="52116"/>
    <cellStyle name="Currency [0,000] TBD_Page 2f (2) 13 146" xfId="52117"/>
    <cellStyle name="Currency [0,000] TBD-_Page 2f (2) 13 146" xfId="52118"/>
    <cellStyle name="Currency [0,000] TBD_Page 2f (2) 13 147" xfId="52119"/>
    <cellStyle name="Currency [0,000] TBD-_Page 2f (2) 13 147" xfId="52120"/>
    <cellStyle name="Currency [0,000] TBD_Page 2f (2) 13 148" xfId="52121"/>
    <cellStyle name="Currency [0,000] TBD-_Page 2f (2) 13 148" xfId="52122"/>
    <cellStyle name="Currency [0,000] TBD_Page 2f (2) 13 149" xfId="52123"/>
    <cellStyle name="Currency [0,000] TBD-_Page 2f (2) 13 149" xfId="52124"/>
    <cellStyle name="Currency [0,000] TBD_Page 2f (2) 13 15" xfId="52125"/>
    <cellStyle name="Currency [0,000] TBD-_Page 2f (2) 13 15" xfId="52126"/>
    <cellStyle name="Currency [0,000] TBD_Page 2f (2) 13 150" xfId="52127"/>
    <cellStyle name="Currency [0,000] TBD-_Page 2f (2) 13 150" xfId="52128"/>
    <cellStyle name="Currency [0,000] TBD_Page 2f (2) 13 151" xfId="52129"/>
    <cellStyle name="Currency [0,000] TBD-_Page 2f (2) 13 151" xfId="52130"/>
    <cellStyle name="Currency [0,000] TBD_Page 2f (2) 13 152" xfId="52131"/>
    <cellStyle name="Currency [0,000] TBD-_Page 2f (2) 13 152" xfId="52132"/>
    <cellStyle name="Currency [0,000] TBD_Page 2f (2) 13 153" xfId="52133"/>
    <cellStyle name="Currency [0,000] TBD-_Page 2f (2) 13 153" xfId="52134"/>
    <cellStyle name="Currency [0,000] TBD_Page 2f (2) 13 16" xfId="52135"/>
    <cellStyle name="Currency [0,000] TBD-_Page 2f (2) 13 16" xfId="52136"/>
    <cellStyle name="Currency [0,000] TBD_Page 2f (2) 13 17" xfId="52137"/>
    <cellStyle name="Currency [0,000] TBD-_Page 2f (2) 13 17" xfId="52138"/>
    <cellStyle name="Currency [0,000] TBD_Page 2f (2) 13 18" xfId="52139"/>
    <cellStyle name="Currency [0,000] TBD-_Page 2f (2) 13 18" xfId="52140"/>
    <cellStyle name="Currency [0,000] TBD_Page 2f (2) 13 19" xfId="52141"/>
    <cellStyle name="Currency [0,000] TBD-_Page 2f (2) 13 19" xfId="52142"/>
    <cellStyle name="Currency [0,000] TBD_Page 2f (2) 13 2" xfId="52143"/>
    <cellStyle name="Currency [0,000] TBD-_Page 2f (2) 13 2" xfId="52144"/>
    <cellStyle name="Currency [0,000] TBD_Page 2f (2) 13 20" xfId="52145"/>
    <cellStyle name="Currency [0,000] TBD-_Page 2f (2) 13 20" xfId="52146"/>
    <cellStyle name="Currency [0,000] TBD_Page 2f (2) 13 21" xfId="52147"/>
    <cellStyle name="Currency [0,000] TBD-_Page 2f (2) 13 21" xfId="52148"/>
    <cellStyle name="Currency [0,000] TBD_Page 2f (2) 13 22" xfId="52149"/>
    <cellStyle name="Currency [0,000] TBD-_Page 2f (2) 13 22" xfId="52150"/>
    <cellStyle name="Currency [0,000] TBD_Page 2f (2) 13 23" xfId="52151"/>
    <cellStyle name="Currency [0,000] TBD-_Page 2f (2) 13 23" xfId="52152"/>
    <cellStyle name="Currency [0,000] TBD_Page 2f (2) 13 24" xfId="52153"/>
    <cellStyle name="Currency [0,000] TBD-_Page 2f (2) 13 24" xfId="52154"/>
    <cellStyle name="Currency [0,000] TBD_Page 2f (2) 13 25" xfId="52155"/>
    <cellStyle name="Currency [0,000] TBD-_Page 2f (2) 13 25" xfId="52156"/>
    <cellStyle name="Currency [0,000] TBD_Page 2f (2) 13 26" xfId="52157"/>
    <cellStyle name="Currency [0,000] TBD-_Page 2f (2) 13 26" xfId="52158"/>
    <cellStyle name="Currency [0,000] TBD_Page 2f (2) 13 27" xfId="52159"/>
    <cellStyle name="Currency [0,000] TBD-_Page 2f (2) 13 27" xfId="52160"/>
    <cellStyle name="Currency [0,000] TBD_Page 2f (2) 13 28" xfId="52161"/>
    <cellStyle name="Currency [0,000] TBD-_Page 2f (2) 13 28" xfId="52162"/>
    <cellStyle name="Currency [0,000] TBD_Page 2f (2) 13 29" xfId="52163"/>
    <cellStyle name="Currency [0,000] TBD-_Page 2f (2) 13 29" xfId="52164"/>
    <cellStyle name="Currency [0,000] TBD_Page 2f (2) 13 3" xfId="52165"/>
    <cellStyle name="Currency [0,000] TBD-_Page 2f (2) 13 3" xfId="52166"/>
    <cellStyle name="Currency [0,000] TBD_Page 2f (2) 13 30" xfId="52167"/>
    <cellStyle name="Currency [0,000] TBD-_Page 2f (2) 13 30" xfId="52168"/>
    <cellStyle name="Currency [0,000] TBD_Page 2f (2) 13 31" xfId="52169"/>
    <cellStyle name="Currency [0,000] TBD-_Page 2f (2) 13 31" xfId="52170"/>
    <cellStyle name="Currency [0,000] TBD_Page 2f (2) 13 32" xfId="52171"/>
    <cellStyle name="Currency [0,000] TBD-_Page 2f (2) 13 32" xfId="52172"/>
    <cellStyle name="Currency [0,000] TBD_Page 2f (2) 13 33" xfId="52173"/>
    <cellStyle name="Currency [0,000] TBD-_Page 2f (2) 13 33" xfId="52174"/>
    <cellStyle name="Currency [0,000] TBD_Page 2f (2) 13 34" xfId="52175"/>
    <cellStyle name="Currency [0,000] TBD-_Page 2f (2) 13 34" xfId="52176"/>
    <cellStyle name="Currency [0,000] TBD_Page 2f (2) 13 35" xfId="52177"/>
    <cellStyle name="Currency [0,000] TBD-_Page 2f (2) 13 35" xfId="52178"/>
    <cellStyle name="Currency [0,000] TBD_Page 2f (2) 13 36" xfId="52179"/>
    <cellStyle name="Currency [0,000] TBD-_Page 2f (2) 13 36" xfId="52180"/>
    <cellStyle name="Currency [0,000] TBD_Page 2f (2) 13 37" xfId="52181"/>
    <cellStyle name="Currency [0,000] TBD-_Page 2f (2) 13 37" xfId="52182"/>
    <cellStyle name="Currency [0,000] TBD_Page 2f (2) 13 38" xfId="52183"/>
    <cellStyle name="Currency [0,000] TBD-_Page 2f (2) 13 38" xfId="52184"/>
    <cellStyle name="Currency [0,000] TBD_Page 2f (2) 13 39" xfId="52185"/>
    <cellStyle name="Currency [0,000] TBD-_Page 2f (2) 13 39" xfId="52186"/>
    <cellStyle name="Currency [0,000] TBD_Page 2f (2) 13 4" xfId="52187"/>
    <cellStyle name="Currency [0,000] TBD-_Page 2f (2) 13 4" xfId="52188"/>
    <cellStyle name="Currency [0,000] TBD_Page 2f (2) 13 40" xfId="52189"/>
    <cellStyle name="Currency [0,000] TBD-_Page 2f (2) 13 40" xfId="52190"/>
    <cellStyle name="Currency [0,000] TBD_Page 2f (2) 13 41" xfId="52191"/>
    <cellStyle name="Currency [0,000] TBD-_Page 2f (2) 13 41" xfId="52192"/>
    <cellStyle name="Currency [0,000] TBD_Page 2f (2) 13 42" xfId="52193"/>
    <cellStyle name="Currency [0,000] TBD-_Page 2f (2) 13 42" xfId="52194"/>
    <cellStyle name="Currency [0,000] TBD_Page 2f (2) 13 43" xfId="52195"/>
    <cellStyle name="Currency [0,000] TBD-_Page 2f (2) 13 43" xfId="52196"/>
    <cellStyle name="Currency [0,000] TBD_Page 2f (2) 13 44" xfId="52197"/>
    <cellStyle name="Currency [0,000] TBD-_Page 2f (2) 13 44" xfId="52198"/>
    <cellStyle name="Currency [0,000] TBD_Page 2f (2) 13 45" xfId="52199"/>
    <cellStyle name="Currency [0,000] TBD-_Page 2f (2) 13 45" xfId="52200"/>
    <cellStyle name="Currency [0,000] TBD_Page 2f (2) 13 46" xfId="52201"/>
    <cellStyle name="Currency [0,000] TBD-_Page 2f (2) 13 46" xfId="52202"/>
    <cellStyle name="Currency [0,000] TBD_Page 2f (2) 13 47" xfId="52203"/>
    <cellStyle name="Currency [0,000] TBD-_Page 2f (2) 13 47" xfId="52204"/>
    <cellStyle name="Currency [0,000] TBD_Page 2f (2) 13 48" xfId="52205"/>
    <cellStyle name="Currency [0,000] TBD-_Page 2f (2) 13 48" xfId="52206"/>
    <cellStyle name="Currency [0,000] TBD_Page 2f (2) 13 49" xfId="52207"/>
    <cellStyle name="Currency [0,000] TBD-_Page 2f (2) 13 49" xfId="52208"/>
    <cellStyle name="Currency [0,000] TBD_Page 2f (2) 13 5" xfId="52209"/>
    <cellStyle name="Currency [0,000] TBD-_Page 2f (2) 13 5" xfId="52210"/>
    <cellStyle name="Currency [0,000] TBD_Page 2f (2) 13 50" xfId="52211"/>
    <cellStyle name="Currency [0,000] TBD-_Page 2f (2) 13 50" xfId="52212"/>
    <cellStyle name="Currency [0,000] TBD_Page 2f (2) 13 51" xfId="52213"/>
    <cellStyle name="Currency [0,000] TBD-_Page 2f (2) 13 51" xfId="52214"/>
    <cellStyle name="Currency [0,000] TBD_Page 2f (2) 13 52" xfId="52215"/>
    <cellStyle name="Currency [0,000] TBD-_Page 2f (2) 13 52" xfId="52216"/>
    <cellStyle name="Currency [0,000] TBD_Page 2f (2) 13 53" xfId="52217"/>
    <cellStyle name="Currency [0,000] TBD-_Page 2f (2) 13 53" xfId="52218"/>
    <cellStyle name="Currency [0,000] TBD_Page 2f (2) 13 54" xfId="52219"/>
    <cellStyle name="Currency [0,000] TBD-_Page 2f (2) 13 54" xfId="52220"/>
    <cellStyle name="Currency [0,000] TBD_Page 2f (2) 13 55" xfId="52221"/>
    <cellStyle name="Currency [0,000] TBD-_Page 2f (2) 13 55" xfId="52222"/>
    <cellStyle name="Currency [0,000] TBD_Page 2f (2) 13 56" xfId="52223"/>
    <cellStyle name="Currency [0,000] TBD-_Page 2f (2) 13 56" xfId="52224"/>
    <cellStyle name="Currency [0,000] TBD_Page 2f (2) 13 57" xfId="52225"/>
    <cellStyle name="Currency [0,000] TBD-_Page 2f (2) 13 57" xfId="52226"/>
    <cellStyle name="Currency [0,000] TBD_Page 2f (2) 13 58" xfId="52227"/>
    <cellStyle name="Currency [0,000] TBD-_Page 2f (2) 13 58" xfId="52228"/>
    <cellStyle name="Currency [0,000] TBD_Page 2f (2) 13 59" xfId="52229"/>
    <cellStyle name="Currency [0,000] TBD-_Page 2f (2) 13 59" xfId="52230"/>
    <cellStyle name="Currency [0,000] TBD_Page 2f (2) 13 6" xfId="52231"/>
    <cellStyle name="Currency [0,000] TBD-_Page 2f (2) 13 6" xfId="52232"/>
    <cellStyle name="Currency [0,000] TBD_Page 2f (2) 13 60" xfId="52233"/>
    <cellStyle name="Currency [0,000] TBD-_Page 2f (2) 13 60" xfId="52234"/>
    <cellStyle name="Currency [0,000] TBD_Page 2f (2) 13 61" xfId="52235"/>
    <cellStyle name="Currency [0,000] TBD-_Page 2f (2) 13 61" xfId="52236"/>
    <cellStyle name="Currency [0,000] TBD_Page 2f (2) 13 62" xfId="52237"/>
    <cellStyle name="Currency [0,000] TBD-_Page 2f (2) 13 62" xfId="52238"/>
    <cellStyle name="Currency [0,000] TBD_Page 2f (2) 13 63" xfId="52239"/>
    <cellStyle name="Currency [0,000] TBD-_Page 2f (2) 13 63" xfId="52240"/>
    <cellStyle name="Currency [0,000] TBD_Page 2f (2) 13 64" xfId="52241"/>
    <cellStyle name="Currency [0,000] TBD-_Page 2f (2) 13 64" xfId="52242"/>
    <cellStyle name="Currency [0,000] TBD_Page 2f (2) 13 65" xfId="52243"/>
    <cellStyle name="Currency [0,000] TBD-_Page 2f (2) 13 65" xfId="52244"/>
    <cellStyle name="Currency [0,000] TBD_Page 2f (2) 13 66" xfId="52245"/>
    <cellStyle name="Currency [0,000] TBD-_Page 2f (2) 13 66" xfId="52246"/>
    <cellStyle name="Currency [0,000] TBD_Page 2f (2) 13 67" xfId="52247"/>
    <cellStyle name="Currency [0,000] TBD-_Page 2f (2) 13 67" xfId="52248"/>
    <cellStyle name="Currency [0,000] TBD_Page 2f (2) 13 68" xfId="52249"/>
    <cellStyle name="Currency [0,000] TBD-_Page 2f (2) 13 68" xfId="52250"/>
    <cellStyle name="Currency [0,000] TBD_Page 2f (2) 13 69" xfId="52251"/>
    <cellStyle name="Currency [0,000] TBD-_Page 2f (2) 13 69" xfId="52252"/>
    <cellStyle name="Currency [0,000] TBD_Page 2f (2) 13 7" xfId="52253"/>
    <cellStyle name="Currency [0,000] TBD-_Page 2f (2) 13 7" xfId="52254"/>
    <cellStyle name="Currency [0,000] TBD_Page 2f (2) 13 70" xfId="52255"/>
    <cellStyle name="Currency [0,000] TBD-_Page 2f (2) 13 70" xfId="52256"/>
    <cellStyle name="Currency [0,000] TBD_Page 2f (2) 13 71" xfId="52257"/>
    <cellStyle name="Currency [0,000] TBD-_Page 2f (2) 13 71" xfId="52258"/>
    <cellStyle name="Currency [0,000] TBD_Page 2f (2) 13 72" xfId="52259"/>
    <cellStyle name="Currency [0,000] TBD-_Page 2f (2) 13 72" xfId="52260"/>
    <cellStyle name="Currency [0,000] TBD_Page 2f (2) 13 73" xfId="52261"/>
    <cellStyle name="Currency [0,000] TBD-_Page 2f (2) 13 73" xfId="52262"/>
    <cellStyle name="Currency [0,000] TBD_Page 2f (2) 13 74" xfId="52263"/>
    <cellStyle name="Currency [0,000] TBD-_Page 2f (2) 13 74" xfId="52264"/>
    <cellStyle name="Currency [0,000] TBD_Page 2f (2) 13 75" xfId="52265"/>
    <cellStyle name="Currency [0,000] TBD-_Page 2f (2) 13 75" xfId="52266"/>
    <cellStyle name="Currency [0,000] TBD_Page 2f (2) 13 76" xfId="52267"/>
    <cellStyle name="Currency [0,000] TBD-_Page 2f (2) 13 76" xfId="52268"/>
    <cellStyle name="Currency [0,000] TBD_Page 2f (2) 13 77" xfId="52269"/>
    <cellStyle name="Currency [0,000] TBD-_Page 2f (2) 13 77" xfId="52270"/>
    <cellStyle name="Currency [0,000] TBD_Page 2f (2) 13 78" xfId="52271"/>
    <cellStyle name="Currency [0,000] TBD-_Page 2f (2) 13 78" xfId="52272"/>
    <cellStyle name="Currency [0,000] TBD_Page 2f (2) 13 79" xfId="52273"/>
    <cellStyle name="Currency [0,000] TBD-_Page 2f (2) 13 79" xfId="52274"/>
    <cellStyle name="Currency [0,000] TBD_Page 2f (2) 13 8" xfId="52275"/>
    <cellStyle name="Currency [0,000] TBD-_Page 2f (2) 13 8" xfId="52276"/>
    <cellStyle name="Currency [0,000] TBD_Page 2f (2) 13 80" xfId="52277"/>
    <cellStyle name="Currency [0,000] TBD-_Page 2f (2) 13 80" xfId="52278"/>
    <cellStyle name="Currency [0,000] TBD_Page 2f (2) 13 81" xfId="52279"/>
    <cellStyle name="Currency [0,000] TBD-_Page 2f (2) 13 81" xfId="52280"/>
    <cellStyle name="Currency [0,000] TBD_Page 2f (2) 13 82" xfId="52281"/>
    <cellStyle name="Currency [0,000] TBD-_Page 2f (2) 13 82" xfId="52282"/>
    <cellStyle name="Currency [0,000] TBD_Page 2f (2) 13 83" xfId="52283"/>
    <cellStyle name="Currency [0,000] TBD-_Page 2f (2) 13 83" xfId="52284"/>
    <cellStyle name="Currency [0,000] TBD_Page 2f (2) 13 84" xfId="52285"/>
    <cellStyle name="Currency [0,000] TBD-_Page 2f (2) 13 84" xfId="52286"/>
    <cellStyle name="Currency [0,000] TBD_Page 2f (2) 13 85" xfId="52287"/>
    <cellStyle name="Currency [0,000] TBD-_Page 2f (2) 13 85" xfId="52288"/>
    <cellStyle name="Currency [0,000] TBD_Page 2f (2) 13 86" xfId="52289"/>
    <cellStyle name="Currency [0,000] TBD-_Page 2f (2) 13 86" xfId="52290"/>
    <cellStyle name="Currency [0,000] TBD_Page 2f (2) 13 87" xfId="52291"/>
    <cellStyle name="Currency [0,000] TBD-_Page 2f (2) 13 87" xfId="52292"/>
    <cellStyle name="Currency [0,000] TBD_Page 2f (2) 13 88" xfId="52293"/>
    <cellStyle name="Currency [0,000] TBD-_Page 2f (2) 13 88" xfId="52294"/>
    <cellStyle name="Currency [0,000] TBD_Page 2f (2) 13 89" xfId="52295"/>
    <cellStyle name="Currency [0,000] TBD-_Page 2f (2) 13 89" xfId="52296"/>
    <cellStyle name="Currency [0,000] TBD_Page 2f (2) 13 9" xfId="52297"/>
    <cellStyle name="Currency [0,000] TBD-_Page 2f (2) 13 9" xfId="52298"/>
    <cellStyle name="Currency [0,000] TBD_Page 2f (2) 13 90" xfId="52299"/>
    <cellStyle name="Currency [0,000] TBD-_Page 2f (2) 13 90" xfId="52300"/>
    <cellStyle name="Currency [0,000] TBD_Page 2f (2) 13 91" xfId="52301"/>
    <cellStyle name="Currency [0,000] TBD-_Page 2f (2) 13 91" xfId="52302"/>
    <cellStyle name="Currency [0,000] TBD_Page 2f (2) 13 92" xfId="52303"/>
    <cellStyle name="Currency [0,000] TBD-_Page 2f (2) 13 92" xfId="52304"/>
    <cellStyle name="Currency [0,000] TBD_Page 2f (2) 13 93" xfId="52305"/>
    <cellStyle name="Currency [0,000] TBD-_Page 2f (2) 13 93" xfId="52306"/>
    <cellStyle name="Currency [0,000] TBD_Page 2f (2) 13 94" xfId="52307"/>
    <cellStyle name="Currency [0,000] TBD-_Page 2f (2) 13 94" xfId="52308"/>
    <cellStyle name="Currency [0,000] TBD_Page 2f (2) 13 95" xfId="52309"/>
    <cellStyle name="Currency [0,000] TBD-_Page 2f (2) 13 95" xfId="52310"/>
    <cellStyle name="Currency [0,000] TBD_Page 2f (2) 13 96" xfId="52311"/>
    <cellStyle name="Currency [0,000] TBD-_Page 2f (2) 13 96" xfId="52312"/>
    <cellStyle name="Currency [0,000] TBD_Page 2f (2) 13 97" xfId="52313"/>
    <cellStyle name="Currency [0,000] TBD-_Page 2f (2) 13 97" xfId="52314"/>
    <cellStyle name="Currency [0,000] TBD_Page 2f (2) 13 98" xfId="52315"/>
    <cellStyle name="Currency [0,000] TBD-_Page 2f (2) 13 98" xfId="52316"/>
    <cellStyle name="Currency [0,000] TBD_Page 2f (2) 13 99" xfId="52317"/>
    <cellStyle name="Currency [0,000] TBD-_Page 2f (2) 13 99" xfId="52318"/>
    <cellStyle name="Currency [0,000] TBD_Page 2f (2) 14" xfId="52319"/>
    <cellStyle name="Currency [0,000] TBD-_Page 2f (2) 14" xfId="52320"/>
    <cellStyle name="Currency [0,000] TBD_Page 2f (2) 14 2" xfId="52321"/>
    <cellStyle name="Currency [0,000] TBD-_Page 2f (2) 14 2" xfId="52322"/>
    <cellStyle name="Currency [0,000] TBD_Page 2f (2) 14 3" xfId="52323"/>
    <cellStyle name="Currency [0,000] TBD-_Page 2f (2) 14 3" xfId="52324"/>
    <cellStyle name="Currency [0,000] TBD_Page 2f (2) 14 4" xfId="52325"/>
    <cellStyle name="Currency [0,000] TBD-_Page 2f (2) 14 4" xfId="52326"/>
    <cellStyle name="Currency [0,000] TBD_Page 2f (2) 14 5" xfId="52327"/>
    <cellStyle name="Currency [0,000] TBD-_Page 2f (2) 14 5" xfId="52328"/>
    <cellStyle name="Currency [0,000] TBD_Page 2f (2) 14 6" xfId="52329"/>
    <cellStyle name="Currency [0,000] TBD-_Page 2f (2) 14 6" xfId="52330"/>
    <cellStyle name="Currency [0,000] TBD_Page 2f (2) 14 7" xfId="52331"/>
    <cellStyle name="Currency [0,000] TBD-_Page 2f (2) 14 7" xfId="52332"/>
    <cellStyle name="Currency [0,000] TBD_Page 2f (2) 14 8" xfId="52333"/>
    <cellStyle name="Currency [0,000] TBD-_Page 2f (2) 14 8" xfId="52334"/>
    <cellStyle name="Currency [0,000] TBD_Page 2f (2) 14 9" xfId="52335"/>
    <cellStyle name="Currency [0,000] TBD-_Page 2f (2) 14 9" xfId="52336"/>
    <cellStyle name="Currency [0,000] TBD_Page 2f (2) 15" xfId="52337"/>
    <cellStyle name="Currency [0,000] TBD-_Page 2f (2) 15" xfId="52338"/>
    <cellStyle name="Currency [0,000] TBD_Page 2f (2) 2" xfId="52339"/>
    <cellStyle name="Currency [0,000] TBD-_Page 2f (2) 2" xfId="52340"/>
    <cellStyle name="Currency [0,000] TBD_Page 2f (2) 2 10" xfId="52341"/>
    <cellStyle name="Currency [0,000] TBD-_Page 2f (2) 2 10" xfId="52342"/>
    <cellStyle name="Currency [0,000] TBD_Page 2f (2) 2 2" xfId="52343"/>
    <cellStyle name="Currency [0,000] TBD-_Page 2f (2) 2 2" xfId="52344"/>
    <cellStyle name="Currency [0,000] TBD_Page 2f (2) 2 2 2" xfId="52345"/>
    <cellStyle name="Currency [0,000] TBD-_Page 2f (2) 2 2 2" xfId="52346"/>
    <cellStyle name="Currency [0,000] TBD_Page 2f (2) 2 3" xfId="52347"/>
    <cellStyle name="Currency [0,000] TBD-_Page 2f (2) 2 3" xfId="52348"/>
    <cellStyle name="Currency [0,000] TBD_Page 2f (2) 2 4" xfId="52349"/>
    <cellStyle name="Currency [0,000] TBD-_Page 2f (2) 2 4" xfId="52350"/>
    <cellStyle name="Currency [0,000] TBD_Page 2f (2) 2 5" xfId="52351"/>
    <cellStyle name="Currency [0,000] TBD-_Page 2f (2) 2 5" xfId="52352"/>
    <cellStyle name="Currency [0,000] TBD_Page 2f (2) 2 6" xfId="52353"/>
    <cellStyle name="Currency [0,000] TBD-_Page 2f (2) 2 6" xfId="52354"/>
    <cellStyle name="Currency [0,000] TBD_Page 2f (2) 2 7" xfId="52355"/>
    <cellStyle name="Currency [0,000] TBD-_Page 2f (2) 2 7" xfId="52356"/>
    <cellStyle name="Currency [0,000] TBD_Page 2f (2) 2 8" xfId="52357"/>
    <cellStyle name="Currency [0,000] TBD-_Page 2f (2) 2 8" xfId="52358"/>
    <cellStyle name="Currency [0,000] TBD_Page 2f (2) 2 9" xfId="52359"/>
    <cellStyle name="Currency [0,000] TBD-_Page 2f (2) 2 9" xfId="52360"/>
    <cellStyle name="Currency [0,000] TBD_Page 2f (2) 3" xfId="52361"/>
    <cellStyle name="Currency [0,000] TBD-_Page 2f (2) 3" xfId="52362"/>
    <cellStyle name="Currency [0,000] TBD_Page 2f (2) 3 10" xfId="52363"/>
    <cellStyle name="Currency [0,000] TBD-_Page 2f (2) 3 10" xfId="52364"/>
    <cellStyle name="Currency [0,000] TBD_Page 2f (2) 3 2" xfId="52365"/>
    <cellStyle name="Currency [0,000] TBD-_Page 2f (2) 3 2" xfId="52366"/>
    <cellStyle name="Currency [0,000] TBD_Page 2f (2) 3 2 2" xfId="52367"/>
    <cellStyle name="Currency [0,000] TBD-_Page 2f (2) 3 2 2" xfId="52368"/>
    <cellStyle name="Currency [0,000] TBD_Page 2f (2) 3 3" xfId="52369"/>
    <cellStyle name="Currency [0,000] TBD-_Page 2f (2) 3 3" xfId="52370"/>
    <cellStyle name="Currency [0,000] TBD_Page 2f (2) 3 4" xfId="52371"/>
    <cellStyle name="Currency [0,000] TBD-_Page 2f (2) 3 4" xfId="52372"/>
    <cellStyle name="Currency [0,000] TBD_Page 2f (2) 3 5" xfId="52373"/>
    <cellStyle name="Currency [0,000] TBD-_Page 2f (2) 3 5" xfId="52374"/>
    <cellStyle name="Currency [0,000] TBD_Page 2f (2) 3 6" xfId="52375"/>
    <cellStyle name="Currency [0,000] TBD-_Page 2f (2) 3 6" xfId="52376"/>
    <cellStyle name="Currency [0,000] TBD_Page 2f (2) 3 7" xfId="52377"/>
    <cellStyle name="Currency [0,000] TBD-_Page 2f (2) 3 7" xfId="52378"/>
    <cellStyle name="Currency [0,000] TBD_Page 2f (2) 3 8" xfId="52379"/>
    <cellStyle name="Currency [0,000] TBD-_Page 2f (2) 3 8" xfId="52380"/>
    <cellStyle name="Currency [0,000] TBD_Page 2f (2) 3 9" xfId="52381"/>
    <cellStyle name="Currency [0,000] TBD-_Page 2f (2) 3 9" xfId="52382"/>
    <cellStyle name="Currency [0,000] TBD_Page 2f (2) 4" xfId="52383"/>
    <cellStyle name="Currency [0,000] TBD-_Page 2f (2) 4" xfId="52384"/>
    <cellStyle name="Currency [0,000] TBD_Page 2f (2) 4 10" xfId="52385"/>
    <cellStyle name="Currency [0,000] TBD-_Page 2f (2) 4 10" xfId="52386"/>
    <cellStyle name="Currency [0,000] TBD_Page 2f (2) 4 2" xfId="52387"/>
    <cellStyle name="Currency [0,000] TBD-_Page 2f (2) 4 2" xfId="52388"/>
    <cellStyle name="Currency [0,000] TBD_Page 2f (2) 4 3" xfId="52389"/>
    <cellStyle name="Currency [0,000] TBD-_Page 2f (2) 4 3" xfId="52390"/>
    <cellStyle name="Currency [0,000] TBD_Page 2f (2) 4 4" xfId="52391"/>
    <cellStyle name="Currency [0,000] TBD-_Page 2f (2) 4 4" xfId="52392"/>
    <cellStyle name="Currency [0,000] TBD_Page 2f (2) 4 5" xfId="52393"/>
    <cellStyle name="Currency [0,000] TBD-_Page 2f (2) 4 5" xfId="52394"/>
    <cellStyle name="Currency [0,000] TBD_Page 2f (2) 4 6" xfId="52395"/>
    <cellStyle name="Currency [0,000] TBD-_Page 2f (2) 4 6" xfId="52396"/>
    <cellStyle name="Currency [0,000] TBD_Page 2f (2) 4 7" xfId="52397"/>
    <cellStyle name="Currency [0,000] TBD-_Page 2f (2) 4 7" xfId="52398"/>
    <cellStyle name="Currency [0,000] TBD_Page 2f (2) 4 8" xfId="52399"/>
    <cellStyle name="Currency [0,000] TBD-_Page 2f (2) 4 8" xfId="52400"/>
    <cellStyle name="Currency [0,000] TBD_Page 2f (2) 4 9" xfId="52401"/>
    <cellStyle name="Currency [0,000] TBD-_Page 2f (2) 4 9" xfId="52402"/>
    <cellStyle name="Currency [0,000] TBD_Page 2f (2) 5" xfId="52403"/>
    <cellStyle name="Currency [0,000] TBD-_Page 2f (2) 5" xfId="52404"/>
    <cellStyle name="Currency [0,000] TBD_Page 2f (2) 5 2" xfId="52405"/>
    <cellStyle name="Currency [0,000] TBD-_Page 2f (2) 5 2" xfId="52406"/>
    <cellStyle name="Currency [0,000] TBD_Page 2f (2) 5 3" xfId="52407"/>
    <cellStyle name="Currency [0,000] TBD-_Page 2f (2) 5 3" xfId="52408"/>
    <cellStyle name="Currency [0,000] TBD_Page 2f (2) 5 4" xfId="52409"/>
    <cellStyle name="Currency [0,000] TBD-_Page 2f (2) 5 4" xfId="52410"/>
    <cellStyle name="Currency [0,000] TBD_Page 2f (2) 5 5" xfId="52411"/>
    <cellStyle name="Currency [0,000] TBD-_Page 2f (2) 5 5" xfId="52412"/>
    <cellStyle name="Currency [0,000] TBD_Page 2f (2) 5 6" xfId="52413"/>
    <cellStyle name="Currency [0,000] TBD-_Page 2f (2) 5 6" xfId="52414"/>
    <cellStyle name="Currency [0,000] TBD_Page 2f (2) 5 7" xfId="52415"/>
    <cellStyle name="Currency [0,000] TBD-_Page 2f (2) 5 7" xfId="52416"/>
    <cellStyle name="Currency [0,000] TBD_Page 2f (2) 5 8" xfId="52417"/>
    <cellStyle name="Currency [0,000] TBD-_Page 2f (2) 5 8" xfId="52418"/>
    <cellStyle name="Currency [0,000] TBD_Page 2f (2) 5 9" xfId="52419"/>
    <cellStyle name="Currency [0,000] TBD-_Page 2f (2) 5 9" xfId="52420"/>
    <cellStyle name="Currency [0,000] TBD_Page 2f (2) 6" xfId="52421"/>
    <cellStyle name="Currency [0,000] TBD-_Page 2f (2) 6" xfId="52422"/>
    <cellStyle name="Currency [0,000] TBD_Page 2f (2) 6 2" xfId="52423"/>
    <cellStyle name="Currency [0,000] TBD-_Page 2f (2) 6 2" xfId="52424"/>
    <cellStyle name="Currency [0,000] TBD_Page 2f (2) 6 3" xfId="52425"/>
    <cellStyle name="Currency [0,000] TBD-_Page 2f (2) 6 3" xfId="52426"/>
    <cellStyle name="Currency [0,000] TBD_Page 2f (2) 6 4" xfId="52427"/>
    <cellStyle name="Currency [0,000] TBD-_Page 2f (2) 6 4" xfId="52428"/>
    <cellStyle name="Currency [0,000] TBD_Page 2f (2) 6 5" xfId="52429"/>
    <cellStyle name="Currency [0,000] TBD-_Page 2f (2) 6 5" xfId="52430"/>
    <cellStyle name="Currency [0,000] TBD_Page 2f (2) 6 6" xfId="52431"/>
    <cellStyle name="Currency [0,000] TBD-_Page 2f (2) 6 6" xfId="52432"/>
    <cellStyle name="Currency [0,000] TBD_Page 2f (2) 6 7" xfId="52433"/>
    <cellStyle name="Currency [0,000] TBD-_Page 2f (2) 6 7" xfId="52434"/>
    <cellStyle name="Currency [0,000] TBD_Page 2f (2) 6 8" xfId="52435"/>
    <cellStyle name="Currency [0,000] TBD-_Page 2f (2) 6 8" xfId="52436"/>
    <cellStyle name="Currency [0,000] TBD_Page 2f (2) 6 9" xfId="52437"/>
    <cellStyle name="Currency [0,000] TBD-_Page 2f (2) 6 9" xfId="52438"/>
    <cellStyle name="Currency [0,000] TBD_Page 2f (2) 7" xfId="52439"/>
    <cellStyle name="Currency [0,000] TBD-_Page 2f (2) 7" xfId="52440"/>
    <cellStyle name="Currency [0,000] TBD_Page 2f (2) 7 2" xfId="52441"/>
    <cellStyle name="Currency [0,000] TBD-_Page 2f (2) 7 2" xfId="52442"/>
    <cellStyle name="Currency [0,000] TBD_Page 2f (2) 7 3" xfId="52443"/>
    <cellStyle name="Currency [0,000] TBD-_Page 2f (2) 7 3" xfId="52444"/>
    <cellStyle name="Currency [0,000] TBD_Page 2f (2) 7 4" xfId="52445"/>
    <cellStyle name="Currency [0,000] TBD-_Page 2f (2) 7 4" xfId="52446"/>
    <cellStyle name="Currency [0,000] TBD_Page 2f (2) 7 5" xfId="52447"/>
    <cellStyle name="Currency [0,000] TBD-_Page 2f (2) 7 5" xfId="52448"/>
    <cellStyle name="Currency [0,000] TBD_Page 2f (2) 7 6" xfId="52449"/>
    <cellStyle name="Currency [0,000] TBD-_Page 2f (2) 7 6" xfId="52450"/>
    <cellStyle name="Currency [0,000] TBD_Page 2f (2) 7 7" xfId="52451"/>
    <cellStyle name="Currency [0,000] TBD-_Page 2f (2) 7 7" xfId="52452"/>
    <cellStyle name="Currency [0,000] TBD_Page 2f (2) 7 8" xfId="52453"/>
    <cellStyle name="Currency [0,000] TBD-_Page 2f (2) 7 8" xfId="52454"/>
    <cellStyle name="Currency [0,000] TBD_Page 2f (2) 7 9" xfId="52455"/>
    <cellStyle name="Currency [0,000] TBD-_Page 2f (2) 7 9" xfId="52456"/>
    <cellStyle name="Currency [0,000] TBD_Page 2f (2) 8" xfId="52457"/>
    <cellStyle name="Currency [0,000] TBD-_Page 2f (2) 8" xfId="52458"/>
    <cellStyle name="Currency [0,000] TBD_Page 2f (2) 8 2" xfId="52459"/>
    <cellStyle name="Currency [0,000] TBD-_Page 2f (2) 8 2" xfId="52460"/>
    <cellStyle name="Currency [0,000] TBD_Page 2f (2) 8 3" xfId="52461"/>
    <cellStyle name="Currency [0,000] TBD-_Page 2f (2) 8 3" xfId="52462"/>
    <cellStyle name="Currency [0,000] TBD_Page 2f (2) 8 4" xfId="52463"/>
    <cellStyle name="Currency [0,000] TBD-_Page 2f (2) 8 4" xfId="52464"/>
    <cellStyle name="Currency [0,000] TBD_Page 2f (2) 8 5" xfId="52465"/>
    <cellStyle name="Currency [0,000] TBD-_Page 2f (2) 8 5" xfId="52466"/>
    <cellStyle name="Currency [0,000] TBD_Page 2f (2) 8 6" xfId="52467"/>
    <cellStyle name="Currency [0,000] TBD-_Page 2f (2) 8 6" xfId="52468"/>
    <cellStyle name="Currency [0,000] TBD_Page 2f (2) 8 7" xfId="52469"/>
    <cellStyle name="Currency [0,000] TBD-_Page 2f (2) 8 7" xfId="52470"/>
    <cellStyle name="Currency [0,000] TBD_Page 2f (2) 8 8" xfId="52471"/>
    <cellStyle name="Currency [0,000] TBD-_Page 2f (2) 8 8" xfId="52472"/>
    <cellStyle name="Currency [0,000] TBD_Page 2f (2) 8 9" xfId="52473"/>
    <cellStyle name="Currency [0,000] TBD-_Page 2f (2) 8 9" xfId="52474"/>
    <cellStyle name="Currency [0,000] TBD_Page 2f (2) 9" xfId="52475"/>
    <cellStyle name="Currency [0,000] TBD-_Page 2f (2) 9" xfId="52476"/>
    <cellStyle name="Currency [0,000] TBD_Page 2f (2) 9 2" xfId="52477"/>
    <cellStyle name="Currency [0,000] TBD-_Page 2f (2) 9 2" xfId="52478"/>
    <cellStyle name="Currency [0,000] TBD_Page 2f (2) 9 3" xfId="52479"/>
    <cellStyle name="Currency [0,000] TBD-_Page 2f (2) 9 3" xfId="52480"/>
    <cellStyle name="Currency [0,000] TBD_Page 2f (2) 9 4" xfId="52481"/>
    <cellStyle name="Currency [0,000] TBD-_Page 2f (2) 9 4" xfId="52482"/>
    <cellStyle name="Currency [0,000] TBD_Page 2f (2) 9 5" xfId="52483"/>
    <cellStyle name="Currency [0,000] TBD-_Page 2f (2) 9 5" xfId="52484"/>
    <cellStyle name="Currency [0,000] TBD_Page 2f (2) 9 6" xfId="52485"/>
    <cellStyle name="Currency [0,000] TBD-_Page 2f (2) 9 6" xfId="52486"/>
    <cellStyle name="Currency [0,000] TBD_Page 2f (2) 9 7" xfId="52487"/>
    <cellStyle name="Currency [0,000] TBD-_Page 2f (2) 9 7" xfId="52488"/>
    <cellStyle name="Currency [0,000] TBD_Page 2f (2) 9 8" xfId="52489"/>
    <cellStyle name="Currency [0,000] TBD-_Page 2f (2) 9 8" xfId="52490"/>
    <cellStyle name="Currency [0,000] TBD_Page 2f (2) 9 9" xfId="52491"/>
    <cellStyle name="Currency [0,000] TBD-_Page 2f (2) 9 9" xfId="52492"/>
    <cellStyle name="Currency [0,000] TBD_Tab 1" xfId="52493"/>
    <cellStyle name="Currency [0,000] TBD-_YoY" xfId="52494"/>
    <cellStyle name="Currency [0,000]_Page 2f (2)" xfId="52495"/>
    <cellStyle name="Currency [00]" xfId="52496"/>
    <cellStyle name="Currency [00] 2" xfId="52497"/>
    <cellStyle name="Currency [00] 2 2" xfId="52498"/>
    <cellStyle name="Currency [00] 2 3" xfId="52499"/>
    <cellStyle name="Currency [00] 3" xfId="52500"/>
    <cellStyle name="Currency [00] 3 2" xfId="52501"/>
    <cellStyle name="Currency [00] 4" xfId="52502"/>
    <cellStyle name="Currency [00] 5" xfId="52503"/>
    <cellStyle name="Currency [1]" xfId="52504"/>
    <cellStyle name="Currency [1] 2" xfId="52505"/>
    <cellStyle name="Currency [1] 3" xfId="52506"/>
    <cellStyle name="Currency [1a]" xfId="52507"/>
    <cellStyle name="Currency [1a] 2" xfId="52508"/>
    <cellStyle name="Currency [2]" xfId="52509"/>
    <cellStyle name="Currency [2] 2" xfId="52510"/>
    <cellStyle name="Currency [2] 3" xfId="52511"/>
    <cellStyle name="Currency 10" xfId="52512"/>
    <cellStyle name="Currency 10 2" xfId="52513"/>
    <cellStyle name="Currency 14" xfId="52514"/>
    <cellStyle name="Currency 2" xfId="52515"/>
    <cellStyle name="Currency 2 2" xfId="52516"/>
    <cellStyle name="Currency 2 2 2" xfId="52517"/>
    <cellStyle name="Currency 2 2 2 2" xfId="52518"/>
    <cellStyle name="Currency 2 2 3" xfId="52519"/>
    <cellStyle name="Currency 2 3" xfId="52520"/>
    <cellStyle name="Currency 2 3 2" xfId="52521"/>
    <cellStyle name="Currency 2 4" xfId="52522"/>
    <cellStyle name="Currency 2 5" xfId="52523"/>
    <cellStyle name="Currency 3" xfId="52524"/>
    <cellStyle name="Currency 3 2" xfId="52525"/>
    <cellStyle name="Currency 3 2 2" xfId="52526"/>
    <cellStyle name="Currency 3 2 3" xfId="52527"/>
    <cellStyle name="Currency 3 3" xfId="52528"/>
    <cellStyle name="Currency 3 4" xfId="52529"/>
    <cellStyle name="Currency 4" xfId="52530"/>
    <cellStyle name="Currency 4 2" xfId="52531"/>
    <cellStyle name="Currency[2]" xfId="52532"/>
    <cellStyle name="Currency[2] 2" xfId="52533"/>
    <cellStyle name="Currency[2] 2 2" xfId="52534"/>
    <cellStyle name="Currency[2] 2 2 2" xfId="52535"/>
    <cellStyle name="Currency[2] 2 3" xfId="52536"/>
    <cellStyle name="Currency[2] 3" xfId="52537"/>
    <cellStyle name="Currency[2] 3 2" xfId="52538"/>
    <cellStyle name="Currency[2] 3 3" xfId="52539"/>
    <cellStyle name="Currency[2] 4" xfId="52540"/>
    <cellStyle name="Currency[2] 5" xfId="52541"/>
    <cellStyle name="Currency0" xfId="52542"/>
    <cellStyle name="Currency0 2" xfId="52543"/>
    <cellStyle name="Currency0 2 2" xfId="52544"/>
    <cellStyle name="Currency0 3" xfId="52545"/>
    <cellStyle name="Currency1" xfId="52546"/>
    <cellStyle name="Currency1 2" xfId="52547"/>
    <cellStyle name="Currency1 2 2" xfId="52548"/>
    <cellStyle name="Currency1 3" xfId="52549"/>
    <cellStyle name="custom" xfId="52550"/>
    <cellStyle name="custom 2" xfId="52551"/>
    <cellStyle name="custom 2 2" xfId="52552"/>
    <cellStyle name="custom 2 3" xfId="52553"/>
    <cellStyle name="custom 3" xfId="52554"/>
    <cellStyle name="custom 3 2" xfId="52555"/>
    <cellStyle name="custom 4" xfId="52556"/>
    <cellStyle name="custom 5" xfId="52557"/>
    <cellStyle name="date" xfId="52558"/>
    <cellStyle name="Date (m/d/y)" xfId="52559"/>
    <cellStyle name="Date (m/d/y) 2" xfId="52560"/>
    <cellStyle name="Date 10" xfId="52561"/>
    <cellStyle name="Date 10 2" xfId="52562"/>
    <cellStyle name="date 11" xfId="52563"/>
    <cellStyle name="Date 12" xfId="52564"/>
    <cellStyle name="Date 2" xfId="52565"/>
    <cellStyle name="Date 2 2" xfId="52566"/>
    <cellStyle name="Date 2 3" xfId="52567"/>
    <cellStyle name="Date 3" xfId="52568"/>
    <cellStyle name="Date 3 2" xfId="52569"/>
    <cellStyle name="Date 4" xfId="52570"/>
    <cellStyle name="Date 4 2" xfId="52571"/>
    <cellStyle name="Date 5" xfId="52572"/>
    <cellStyle name="Date 5 2" xfId="52573"/>
    <cellStyle name="Date 6" xfId="52574"/>
    <cellStyle name="Date 6 2" xfId="52575"/>
    <cellStyle name="Date 7" xfId="52576"/>
    <cellStyle name="Date 7 2" xfId="52577"/>
    <cellStyle name="Date 8" xfId="52578"/>
    <cellStyle name="Date 8 2" xfId="52579"/>
    <cellStyle name="Date 9" xfId="52580"/>
    <cellStyle name="Date 9 2" xfId="52581"/>
    <cellStyle name="Date Short" xfId="52582"/>
    <cellStyle name="Date Short 2" xfId="52583"/>
    <cellStyle name="Date Short 3" xfId="52584"/>
    <cellStyle name="date[0]" xfId="52585"/>
    <cellStyle name="date[0] 2" xfId="52586"/>
    <cellStyle name="date[0] 2 2" xfId="52587"/>
    <cellStyle name="date[0] 3" xfId="52588"/>
    <cellStyle name="Date[1]" xfId="52589"/>
    <cellStyle name="Date[1] 2" xfId="52590"/>
    <cellStyle name="date[2]" xfId="52591"/>
    <cellStyle name="date[2] 2" xfId="52592"/>
    <cellStyle name="Date_#654 5+7 Health PF3 Updatev2" xfId="52593"/>
    <cellStyle name="Decimal (0)" xfId="52594"/>
    <cellStyle name="Decimal (0) 2" xfId="52595"/>
    <cellStyle name="Decimal (1)" xfId="52596"/>
    <cellStyle name="Decimal (1) 2" xfId="52597"/>
    <cellStyle name="Decimal (1) 2 2" xfId="52598"/>
    <cellStyle name="Decimal (1) 3" xfId="52599"/>
    <cellStyle name="Decimal (2)" xfId="52600"/>
    <cellStyle name="Decimal (2) 2" xfId="52601"/>
    <cellStyle name="Decimal (2) 2 2" xfId="52602"/>
    <cellStyle name="Decimal (2) 3" xfId="52603"/>
    <cellStyle name="DELTA" xfId="52604"/>
    <cellStyle name="DELTA 2" xfId="52605"/>
    <cellStyle name="DELTA 2 2" xfId="52606"/>
    <cellStyle name="DELTA 3" xfId="52607"/>
    <cellStyle name="Dezimal [0]_!!!GO" xfId="52608"/>
    <cellStyle name="Dezimal_!!!GO" xfId="52609"/>
    <cellStyle name="Dialog / Menu / Toolbar" xfId="52610"/>
    <cellStyle name="Dialog / Menu / Toolbar 2" xfId="52611"/>
    <cellStyle name="Dialog / Menu / Toolbar 2 2" xfId="52612"/>
    <cellStyle name="Dialog / Menu / Toolbar 3" xfId="52613"/>
    <cellStyle name="dlrs_no_decimal" xfId="52614"/>
    <cellStyle name="Dollar" xfId="52615"/>
    <cellStyle name="Dollar 2" xfId="52616"/>
    <cellStyle name="Dollar-Actg" xfId="52617"/>
    <cellStyle name="Dollar-Actg 2" xfId="52618"/>
    <cellStyle name="Dollars" xfId="52619"/>
    <cellStyle name="Dollars 2" xfId="52620"/>
    <cellStyle name="Dollars 3" xfId="52621"/>
    <cellStyle name="Dziesiętny [0]_Arkusz1" xfId="52622"/>
    <cellStyle name="Dziesiętny_Arkusz1" xfId="52623"/>
    <cellStyle name="Edited_Data" xfId="52624"/>
    <cellStyle name="End of Section" xfId="52625"/>
    <cellStyle name="End of Section 2" xfId="52626"/>
    <cellStyle name="Enter Currency (0)" xfId="52627"/>
    <cellStyle name="Enter Currency (0) 2" xfId="52628"/>
    <cellStyle name="Enter Currency (0) 2 2" xfId="52629"/>
    <cellStyle name="Enter Currency (0) 2 3" xfId="52630"/>
    <cellStyle name="Enter Currency (0) 3" xfId="52631"/>
    <cellStyle name="Enter Currency (0) 3 2" xfId="52632"/>
    <cellStyle name="Enter Currency (0) 4" xfId="52633"/>
    <cellStyle name="Enter Currency (0) 5" xfId="52634"/>
    <cellStyle name="Enter Currency (2)" xfId="52635"/>
    <cellStyle name="Enter Currency (2) 2" xfId="52636"/>
    <cellStyle name="Enter Currency (2) 2 2" xfId="52637"/>
    <cellStyle name="Enter Currency (2) 2 3" xfId="52638"/>
    <cellStyle name="Enter Currency (2) 3" xfId="52639"/>
    <cellStyle name="Enter Currency (2) 3 2" xfId="52640"/>
    <cellStyle name="Enter Currency (2) 4" xfId="52641"/>
    <cellStyle name="Enter Currency (2) 5" xfId="52642"/>
    <cellStyle name="Enter Units (0)" xfId="52643"/>
    <cellStyle name="Enter Units (0) 2" xfId="52644"/>
    <cellStyle name="Enter Units (0) 2 2" xfId="52645"/>
    <cellStyle name="Enter Units (0) 2 3" xfId="52646"/>
    <cellStyle name="Enter Units (0) 3" xfId="52647"/>
    <cellStyle name="Enter Units (0) 3 2" xfId="52648"/>
    <cellStyle name="Enter Units (0) 4" xfId="52649"/>
    <cellStyle name="Enter Units (0) 5" xfId="52650"/>
    <cellStyle name="Enter Units (1)" xfId="52651"/>
    <cellStyle name="Enter Units (1) 2" xfId="52652"/>
    <cellStyle name="Enter Units (1) 2 2" xfId="52653"/>
    <cellStyle name="Enter Units (1) 2 3" xfId="52654"/>
    <cellStyle name="Enter Units (1) 3" xfId="52655"/>
    <cellStyle name="Enter Units (1) 3 2" xfId="52656"/>
    <cellStyle name="Enter Units (1) 4" xfId="52657"/>
    <cellStyle name="Enter Units (1) 5" xfId="52658"/>
    <cellStyle name="Enter Units (2)" xfId="52659"/>
    <cellStyle name="Enter Units (2) 2" xfId="52660"/>
    <cellStyle name="Enter Units (2) 2 2" xfId="52661"/>
    <cellStyle name="Enter Units (2) 2 3" xfId="52662"/>
    <cellStyle name="Enter Units (2) 3" xfId="52663"/>
    <cellStyle name="Enter Units (2) 3 2" xfId="52664"/>
    <cellStyle name="Enter Units (2) 4" xfId="52665"/>
    <cellStyle name="Enter Units (2) 5" xfId="52666"/>
    <cellStyle name="Entered" xfId="52667"/>
    <cellStyle name="ep" xfId="52668"/>
    <cellStyle name="ep 2" xfId="52669"/>
    <cellStyle name="ep 2 2" xfId="52670"/>
    <cellStyle name="ep 3" xfId="52671"/>
    <cellStyle name="ep 4" xfId="52672"/>
    <cellStyle name="Estimated_Data" xfId="52673"/>
    <cellStyle name="Euro" xfId="52674"/>
    <cellStyle name="Euro 2" xfId="52675"/>
    <cellStyle name="Euro 2 2" xfId="52676"/>
    <cellStyle name="Euro 3" xfId="52677"/>
    <cellStyle name="Explanatory Text" xfId="52678"/>
    <cellStyle name="Explanatory Text 2" xfId="52679"/>
    <cellStyle name="Fill" xfId="52680"/>
    <cellStyle name="Fill 2" xfId="52681"/>
    <cellStyle name="Fill 3" xfId="52682"/>
    <cellStyle name="Fixed" xfId="52683"/>
    <cellStyle name="Fixed 2" xfId="52684"/>
    <cellStyle name="ƒnƒCƒp[ƒŠƒ“ƒN" xfId="52685"/>
    <cellStyle name="ƒnƒCƒp[ƒŠƒ“ƒN 2" xfId="52686"/>
    <cellStyle name="Forecast_Data" xfId="52687"/>
    <cellStyle name="ƒp[ƒZƒ“ƒg_!!!GO" xfId="52688"/>
    <cellStyle name="General" xfId="52689"/>
    <cellStyle name="General 2" xfId="52690"/>
    <cellStyle name="General 3" xfId="52691"/>
    <cellStyle name="Good" xfId="52692"/>
    <cellStyle name="Good 2" xfId="52693"/>
    <cellStyle name="Grand Total" xfId="52694"/>
    <cellStyle name="Grand Total 2" xfId="52695"/>
    <cellStyle name="Grey" xfId="52696"/>
    <cellStyle name="Grey 2" xfId="52697"/>
    <cellStyle name="Grey 2 2" xfId="52698"/>
    <cellStyle name="Grey 2 3" xfId="52699"/>
    <cellStyle name="Grey 3" xfId="52700"/>
    <cellStyle name="Grey 4" xfId="52701"/>
    <cellStyle name="Group" xfId="52702"/>
    <cellStyle name="Group 2" xfId="52703"/>
    <cellStyle name="HEADER" xfId="52704"/>
    <cellStyle name="Header #1" xfId="52705"/>
    <cellStyle name="Header #1 2" xfId="52706"/>
    <cellStyle name="Header #2" xfId="52707"/>
    <cellStyle name="Header #2 2" xfId="52708"/>
    <cellStyle name="HEADER 10" xfId="52709"/>
    <cellStyle name="HEADER 10 2" xfId="52710"/>
    <cellStyle name="HEADER 10 2 2" xfId="52711"/>
    <cellStyle name="HEADER 10 3" xfId="52712"/>
    <cellStyle name="HEADER 11" xfId="52713"/>
    <cellStyle name="HEADER 12" xfId="52714"/>
    <cellStyle name="HEADER 2" xfId="52715"/>
    <cellStyle name="HEADER 2 2" xfId="52716"/>
    <cellStyle name="HEADER 2 2 2" xfId="52717"/>
    <cellStyle name="HEADER 2 2 2 2" xfId="52718"/>
    <cellStyle name="HEADER 2 2 3" xfId="52719"/>
    <cellStyle name="HEADER 2 3" xfId="52720"/>
    <cellStyle name="HEADER 2 3 2" xfId="52721"/>
    <cellStyle name="HEADER 2 3 2 2" xfId="52722"/>
    <cellStyle name="HEADER 2 3 3" xfId="52723"/>
    <cellStyle name="HEADER 2 4" xfId="52724"/>
    <cellStyle name="HEADER 2 4 2" xfId="52725"/>
    <cellStyle name="HEADER 2 4 2 2" xfId="52726"/>
    <cellStyle name="HEADER 2 4 3" xfId="52727"/>
    <cellStyle name="HEADER 2 5" xfId="52728"/>
    <cellStyle name="HEADER 3" xfId="52729"/>
    <cellStyle name="HEADER 3 2" xfId="52730"/>
    <cellStyle name="HEADER 3 2 2" xfId="52731"/>
    <cellStyle name="HEADER 3 3" xfId="52732"/>
    <cellStyle name="HEADER 4" xfId="52733"/>
    <cellStyle name="HEADER 4 2" xfId="52734"/>
    <cellStyle name="HEADER 4 2 2" xfId="52735"/>
    <cellStyle name="HEADER 4 3" xfId="52736"/>
    <cellStyle name="HEADER 5" xfId="52737"/>
    <cellStyle name="HEADER 5 2" xfId="52738"/>
    <cellStyle name="HEADER 5 2 2" xfId="52739"/>
    <cellStyle name="HEADER 5 3" xfId="52740"/>
    <cellStyle name="HEADER 6" xfId="52741"/>
    <cellStyle name="HEADER 6 2" xfId="52742"/>
    <cellStyle name="HEADER 6 2 2" xfId="52743"/>
    <cellStyle name="HEADER 6 3" xfId="52744"/>
    <cellStyle name="HEADER 7" xfId="52745"/>
    <cellStyle name="HEADER 7 2" xfId="52746"/>
    <cellStyle name="HEADER 7 2 2" xfId="52747"/>
    <cellStyle name="HEADER 7 3" xfId="52748"/>
    <cellStyle name="HEADER 8" xfId="52749"/>
    <cellStyle name="HEADER 8 2" xfId="52750"/>
    <cellStyle name="HEADER 8 2 2" xfId="52751"/>
    <cellStyle name="HEADER 8 3" xfId="52752"/>
    <cellStyle name="HEADER 9" xfId="52753"/>
    <cellStyle name="HEADER 9 2" xfId="52754"/>
    <cellStyle name="HEADER 9 2 2" xfId="52755"/>
    <cellStyle name="HEADER 9 3" xfId="52756"/>
    <cellStyle name="HEADER_DEA Form to match Turbo Tax Form Example" xfId="52757"/>
    <cellStyle name="Header1" xfId="52758"/>
    <cellStyle name="Header1 2" xfId="52759"/>
    <cellStyle name="Header1 2 2" xfId="52760"/>
    <cellStyle name="Header1 2 2 2" xfId="52761"/>
    <cellStyle name="Header1 2 3" xfId="52762"/>
    <cellStyle name="Header1 3" xfId="52763"/>
    <cellStyle name="Header1 3 2" xfId="52764"/>
    <cellStyle name="Header1 4" xfId="52765"/>
    <cellStyle name="Header1 5" xfId="52766"/>
    <cellStyle name="Header2" xfId="52767"/>
    <cellStyle name="Header2 2" xfId="52768"/>
    <cellStyle name="Header2 2 2" xfId="52769"/>
    <cellStyle name="Header2 2 2 2" xfId="52770"/>
    <cellStyle name="Header2 2 3" xfId="52771"/>
    <cellStyle name="Header2 3" xfId="52772"/>
    <cellStyle name="Header2 3 2" xfId="52773"/>
    <cellStyle name="Header2 4" xfId="52774"/>
    <cellStyle name="Header2 5" xfId="52775"/>
    <cellStyle name="Heading 1" xfId="52776"/>
    <cellStyle name="Heading 1 2" xfId="52777"/>
    <cellStyle name="Heading 2" xfId="52778"/>
    <cellStyle name="Heading 2 2" xfId="52779"/>
    <cellStyle name="Heading 3" xfId="52780"/>
    <cellStyle name="Heading 3 2" xfId="52781"/>
    <cellStyle name="Heading 4" xfId="52782"/>
    <cellStyle name="Heading 4 2" xfId="52783"/>
    <cellStyle name="HEADINGS" xfId="52784"/>
    <cellStyle name="HEADINGSTOP" xfId="52785"/>
    <cellStyle name="hidden" xfId="52786"/>
    <cellStyle name="hidden 2" xfId="52787"/>
    <cellStyle name="hidden 2 2" xfId="52788"/>
    <cellStyle name="hidden 3" xfId="52789"/>
    <cellStyle name="Hiperligação" xfId="52790"/>
    <cellStyle name="Hiperligação 2" xfId="52791"/>
    <cellStyle name="Hiperligação visitada" xfId="52792"/>
    <cellStyle name="Hiperligação visitada 2" xfId="52793"/>
    <cellStyle name="Hyperlink 2" xfId="52794"/>
    <cellStyle name="Hyperlink 2 2" xfId="52795"/>
    <cellStyle name="Hyperlink 2 2 2" xfId="52796"/>
    <cellStyle name="Hyperlink 2 3" xfId="52797"/>
    <cellStyle name="Hyperlink 2 3 2" xfId="52798"/>
    <cellStyle name="Hyperlink 2 4" xfId="52799"/>
    <cellStyle name="Hyperlink 2 5" xfId="52800"/>
    <cellStyle name="i" xfId="52801"/>
    <cellStyle name="i 2" xfId="52802"/>
    <cellStyle name="i 2 2" xfId="52803"/>
    <cellStyle name="i 3" xfId="52804"/>
    <cellStyle name="i?a媽NT Server " xfId="52805"/>
    <cellStyle name="i?a媽NT Server  2" xfId="52806"/>
    <cellStyle name="i_C344 PSC Slides v1_J68C- Roadmap #4 524Liaison070524 " xfId="52807"/>
    <cellStyle name="i_C344 PSC Slides v1_J68C- Roadmap #4 Liaison070524A " xfId="52808"/>
    <cellStyle name="i_C344 PSC Slides v1_J68C- Roadmap #4 Liaison070524A Glide Pass " xfId="52809"/>
    <cellStyle name="i_C344 PSC Slides v1_J68C- Roadmap #4 Liaison070529 Glide Pass " xfId="52810"/>
    <cellStyle name="i_Eng_Syn_TOE_J68C- Roadmap #4 524Liaison070524 " xfId="52811"/>
    <cellStyle name="i_Eng_Syn_TOE_J68C- Roadmap #4 Liaison070524A " xfId="52812"/>
    <cellStyle name="i_Eng_Syn_TOE_J68C- Roadmap #4 Liaison070524A Glide Pass " xfId="52813"/>
    <cellStyle name="i_Eng_Syn_TOE_J68C- Roadmap #4 Liaison070529 Glide Pass " xfId="52814"/>
    <cellStyle name="_x0017_ï²_x0013_ïD_x0018_ïî_x0016_ï15ï_x000f__x0016_ïHP LaserJet 5Si/5Si MX PS" xfId="52815"/>
    <cellStyle name="_x0017_ï²_x0013_ïD_x0018_ïî_x0016_ï15ï_x000f__x0016_ïHP LaserJet 5Si/5Si MX PS 2" xfId="52816"/>
    <cellStyle name="_x0017_ï²_x0013_ïD_x0018_ïî_x0016_ï15ï_x000f__x0016_ïHP LaserJet 5Si/5Si MX PS 2 2" xfId="52817"/>
    <cellStyle name="_x0017_ï²_x0013_ïD_x0018_ïî_x0016_ï15ï_x000f__x0016_ïHP LaserJet 5Si/5Si MX PS 3" xfId="52818"/>
    <cellStyle name="_x0017_ï²_x0013_ïD_x0018_ïî_x0016_ï15ï_x000f__x0016_ïHP LaserJet 5Si/5Si MX PS 3 2" xfId="52819"/>
    <cellStyle name="_x0017_ï²_x0013_ïD_x0018_ïî_x0016_ï15ï_x000f__x0016_ïHP LaserJet 5Si/5Si MX PS 4" xfId="52820"/>
    <cellStyle name="_x0017_ï²_x0013_ïD_x0018_ïî_x0016_ï15ï_x000f__x0016_ïHP LaserJet 5Si/5Si MX PS 5" xfId="52821"/>
    <cellStyle name="Input" xfId="52822"/>
    <cellStyle name="Input [yellow]" xfId="52823"/>
    <cellStyle name="Input [yellow] 2" xfId="52824"/>
    <cellStyle name="Input [yellow] 2 2" xfId="52825"/>
    <cellStyle name="Input [yellow] 2 3" xfId="52826"/>
    <cellStyle name="Input [yellow] 3" xfId="52827"/>
    <cellStyle name="Input [yellow] 4" xfId="52828"/>
    <cellStyle name="Input 2" xfId="52829"/>
    <cellStyle name="Input Cells" xfId="52830"/>
    <cellStyle name="Item_Current" xfId="52831"/>
    <cellStyle name="keyed" xfId="52832"/>
    <cellStyle name="keyed 2" xfId="52833"/>
    <cellStyle name="label" xfId="52834"/>
    <cellStyle name="label 2" xfId="52835"/>
    <cellStyle name="label 2 2" xfId="52836"/>
    <cellStyle name="label 3" xfId="52837"/>
    <cellStyle name="Link Currency (0)" xfId="52838"/>
    <cellStyle name="Link Currency (0) 2" xfId="52839"/>
    <cellStyle name="Link Currency (0) 2 2" xfId="52840"/>
    <cellStyle name="Link Currency (0) 2 3" xfId="52841"/>
    <cellStyle name="Link Currency (0) 3" xfId="52842"/>
    <cellStyle name="Link Currency (0) 3 2" xfId="52843"/>
    <cellStyle name="Link Currency (0) 4" xfId="52844"/>
    <cellStyle name="Link Currency (0) 5" xfId="52845"/>
    <cellStyle name="Link Currency (2)" xfId="52846"/>
    <cellStyle name="Link Currency (2) 2" xfId="52847"/>
    <cellStyle name="Link Currency (2) 2 2" xfId="52848"/>
    <cellStyle name="Link Currency (2) 2 3" xfId="52849"/>
    <cellStyle name="Link Currency (2) 3" xfId="52850"/>
    <cellStyle name="Link Currency (2) 3 2" xfId="52851"/>
    <cellStyle name="Link Currency (2) 4" xfId="52852"/>
    <cellStyle name="Link Currency (2) 5" xfId="52853"/>
    <cellStyle name="Link Units (0)" xfId="52854"/>
    <cellStyle name="Link Units (0) 2" xfId="52855"/>
    <cellStyle name="Link Units (0) 2 2" xfId="52856"/>
    <cellStyle name="Link Units (0) 2 3" xfId="52857"/>
    <cellStyle name="Link Units (0) 3" xfId="52858"/>
    <cellStyle name="Link Units (0) 3 2" xfId="52859"/>
    <cellStyle name="Link Units (0) 4" xfId="52860"/>
    <cellStyle name="Link Units (0) 5" xfId="52861"/>
    <cellStyle name="Link Units (1)" xfId="52862"/>
    <cellStyle name="Link Units (1) 2" xfId="52863"/>
    <cellStyle name="Link Units (1) 2 2" xfId="52864"/>
    <cellStyle name="Link Units (1) 2 3" xfId="52865"/>
    <cellStyle name="Link Units (1) 3" xfId="52866"/>
    <cellStyle name="Link Units (1) 3 2" xfId="52867"/>
    <cellStyle name="Link Units (1) 4" xfId="52868"/>
    <cellStyle name="Link Units (1) 5" xfId="52869"/>
    <cellStyle name="Link Units (2)" xfId="52870"/>
    <cellStyle name="Link Units (2) 2" xfId="52871"/>
    <cellStyle name="Link Units (2) 2 2" xfId="52872"/>
    <cellStyle name="Link Units (2) 2 3" xfId="52873"/>
    <cellStyle name="Link Units (2) 3" xfId="52874"/>
    <cellStyle name="Link Units (2) 3 2" xfId="52875"/>
    <cellStyle name="Link Units (2) 4" xfId="52876"/>
    <cellStyle name="Link Units (2) 5" xfId="52877"/>
    <cellStyle name="Linked Cell" xfId="52878"/>
    <cellStyle name="Linked Cell 2" xfId="52879"/>
    <cellStyle name="Linked Cells" xfId="52880"/>
    <cellStyle name="Macro Header" xfId="52881"/>
    <cellStyle name="Macro Header 2" xfId="52882"/>
    <cellStyle name="Macro Header 2 2" xfId="52883"/>
    <cellStyle name="Macro Header 3" xfId="52884"/>
    <cellStyle name="Macro Routine" xfId="52885"/>
    <cellStyle name="Macro Routine 2" xfId="52886"/>
    <cellStyle name="Macro Routine 2 2" xfId="52887"/>
    <cellStyle name="Macro Routine 3" xfId="52888"/>
    <cellStyle name="mart Two-Step Locking" xfId="52889"/>
    <cellStyle name="mart Two-Step Locking 2" xfId="52890"/>
    <cellStyle name="mcs" xfId="52891"/>
    <cellStyle name="mcs 2" xfId="52892"/>
    <cellStyle name="mcs 2 2" xfId="52893"/>
    <cellStyle name="mcs 3" xfId="52894"/>
    <cellStyle name="Mick" xfId="52895"/>
    <cellStyle name="Mick 2" xfId="52896"/>
    <cellStyle name="MiddleRow" xfId="52897"/>
    <cellStyle name="MiddleRow 2" xfId="52898"/>
    <cellStyle name="Millares [0]_!!!GO" xfId="52899"/>
    <cellStyle name="Millares_!!!GO" xfId="52900"/>
    <cellStyle name="Milliers [0]_!!!GO" xfId="52901"/>
    <cellStyle name="Milliers_!!!GO" xfId="52902"/>
    <cellStyle name="millions" xfId="52903"/>
    <cellStyle name="millions 2" xfId="52904"/>
    <cellStyle name="millions 2 2" xfId="52905"/>
    <cellStyle name="millions 3" xfId="52906"/>
    <cellStyle name="mils" xfId="52907"/>
    <cellStyle name="mils 2" xfId="52908"/>
    <cellStyle name="mils 2 2" xfId="52909"/>
    <cellStyle name="mils 3" xfId="52910"/>
    <cellStyle name="Model" xfId="52911"/>
    <cellStyle name="Model 2" xfId="52912"/>
    <cellStyle name="Model 2 2" xfId="52913"/>
    <cellStyle name="Model 2 2 2" xfId="52914"/>
    <cellStyle name="Model 2 2 2 2" xfId="52915"/>
    <cellStyle name="Model 2 2 3" xfId="52916"/>
    <cellStyle name="Model 2 3" xfId="52917"/>
    <cellStyle name="Model 2 3 2" xfId="52918"/>
    <cellStyle name="Model 2 3 2 2" xfId="52919"/>
    <cellStyle name="Model 2 3 3" xfId="52920"/>
    <cellStyle name="Model 2 4" xfId="52921"/>
    <cellStyle name="Model 2 4 2" xfId="52922"/>
    <cellStyle name="Model 2 4 2 2" xfId="52923"/>
    <cellStyle name="Model 2 4 3" xfId="52924"/>
    <cellStyle name="Model 2 5" xfId="52925"/>
    <cellStyle name="Model 3" xfId="52926"/>
    <cellStyle name="Model 3 2" xfId="52927"/>
    <cellStyle name="Model 3 2 2" xfId="52928"/>
    <cellStyle name="Model 3 3" xfId="52929"/>
    <cellStyle name="Model 4" xfId="52930"/>
    <cellStyle name="Model 4 2" xfId="52931"/>
    <cellStyle name="Model 4 2 2" xfId="52932"/>
    <cellStyle name="Model 4 3" xfId="52933"/>
    <cellStyle name="Model 5" xfId="52934"/>
    <cellStyle name="Model 5 2" xfId="52935"/>
    <cellStyle name="Model 5 2 2" xfId="52936"/>
    <cellStyle name="Model 5 3" xfId="52937"/>
    <cellStyle name="Model 6" xfId="52938"/>
    <cellStyle name="Model 6 2" xfId="52939"/>
    <cellStyle name="Model 6 2 2" xfId="52940"/>
    <cellStyle name="Model 6 3" xfId="52941"/>
    <cellStyle name="Model 7" xfId="52942"/>
    <cellStyle name="Model 7 2" xfId="52943"/>
    <cellStyle name="Model 7 2 2" xfId="52944"/>
    <cellStyle name="Model 7 3" xfId="52945"/>
    <cellStyle name="Model 8" xfId="52946"/>
    <cellStyle name="Model 9" xfId="52947"/>
    <cellStyle name="Moeda [0]_aola" xfId="52948"/>
    <cellStyle name="Moeda_aola" xfId="52949"/>
    <cellStyle name="Mon?aire [0]_!!!GO" xfId="52950"/>
    <cellStyle name="Mon?aire_!!!GO" xfId="52951"/>
    <cellStyle name="Moneda [0]_!!!GO" xfId="52952"/>
    <cellStyle name="Moneda_!!!GO" xfId="52953"/>
    <cellStyle name="Monétaire [0]_!!!GO" xfId="52954"/>
    <cellStyle name="Monetaire [0]_EDYAN" xfId="52955"/>
    <cellStyle name="Monétaire [0]_EDYAN" xfId="52956"/>
    <cellStyle name="Monetaire [0]_EDYAN 2" xfId="52957"/>
    <cellStyle name="Monétaire [0]_EDYAN 2" xfId="52958"/>
    <cellStyle name="Monétaire_!!!GO" xfId="52959"/>
    <cellStyle name="Monetaire_EDYAN" xfId="52960"/>
    <cellStyle name="Monétaire_EDYAN" xfId="52961"/>
    <cellStyle name="Monetaire_EDYAN 2" xfId="52962"/>
    <cellStyle name="Monétaire_EDYAN 2" xfId="52963"/>
    <cellStyle name="Mon騁aire [0]_!!!GO" xfId="52964"/>
    <cellStyle name="Mon騁aire_!!!GO" xfId="52965"/>
    <cellStyle name="Mon閠aire [0]_!!!GO" xfId="52966"/>
    <cellStyle name="Mon閠aire_!!!GO" xfId="52967"/>
    <cellStyle name="Neutral" xfId="52968"/>
    <cellStyle name="Neutral 2" xfId="52969"/>
    <cellStyle name="no dec" xfId="52970"/>
    <cellStyle name="no dec 2" xfId="52971"/>
    <cellStyle name="nocoma" xfId="52972"/>
    <cellStyle name="nocoma 2" xfId="52973"/>
    <cellStyle name="nocurr1" xfId="52974"/>
    <cellStyle name="nocurr1 2" xfId="52975"/>
    <cellStyle name="nocurr1 2 2" xfId="52976"/>
    <cellStyle name="nocurr1 3" xfId="52977"/>
    <cellStyle name="nocurr2" xfId="52978"/>
    <cellStyle name="nocurr2 2" xfId="52979"/>
    <cellStyle name="nocurr2 2 2" xfId="52980"/>
    <cellStyle name="nocurr2 3" xfId="52981"/>
    <cellStyle name="noperc" xfId="52982"/>
    <cellStyle name="noperc 2" xfId="52983"/>
    <cellStyle name="noperc 2 2" xfId="52984"/>
    <cellStyle name="noperc 3" xfId="52985"/>
    <cellStyle name="Norma¹" xfId="52986"/>
    <cellStyle name="Norma¹ 2" xfId="52987"/>
    <cellStyle name="Norma¹ 2 2" xfId="52988"/>
    <cellStyle name="Norma¹ 3" xfId="52989"/>
    <cellStyle name="Norma¹ 4" xfId="52990"/>
    <cellStyle name="Normal - Style1" xfId="52991"/>
    <cellStyle name="Normal - Style1 2" xfId="52992"/>
    <cellStyle name="Normal - Style1 2 2" xfId="52993"/>
    <cellStyle name="Normal - Style1 2 2 2" xfId="52994"/>
    <cellStyle name="Normal - Style1 2 3" xfId="52995"/>
    <cellStyle name="Normal - Style1 2 4" xfId="52996"/>
    <cellStyle name="Normal - Style1 3" xfId="52997"/>
    <cellStyle name="Normal - Style1 3 2" xfId="52998"/>
    <cellStyle name="Normal - Style1 3 2 2" xfId="52999"/>
    <cellStyle name="Normal - Style1 3 3" xfId="53000"/>
    <cellStyle name="Normal - Style1 4" xfId="53001"/>
    <cellStyle name="Normal - Style1 4 2" xfId="53002"/>
    <cellStyle name="Normal - Style1 4 2 2" xfId="53003"/>
    <cellStyle name="Normal - Style1 4 3" xfId="53004"/>
    <cellStyle name="Normal - Style1 5" xfId="53005"/>
    <cellStyle name="Normal - Style1 5 2" xfId="53006"/>
    <cellStyle name="Normal - Style1 5 2 2" xfId="53007"/>
    <cellStyle name="Normal - Style1 5 3" xfId="53008"/>
    <cellStyle name="Normal - Style1 6" xfId="53009"/>
    <cellStyle name="Normal - Style1 6 2" xfId="53010"/>
    <cellStyle name="Normal - Style1 6 2 2" xfId="53011"/>
    <cellStyle name="Normal - Style1 6 3" xfId="53012"/>
    <cellStyle name="Normal - Style1 7" xfId="53013"/>
    <cellStyle name="Normal - Style1 8" xfId="53014"/>
    <cellStyle name="Normal 10" xfId="53015"/>
    <cellStyle name="Normal 10 2" xfId="53016"/>
    <cellStyle name="Normal 11" xfId="53017"/>
    <cellStyle name="Normal 11 2" xfId="53018"/>
    <cellStyle name="Normal 11 2 2" xfId="53019"/>
    <cellStyle name="Normal 11 3" xfId="53020"/>
    <cellStyle name="Normal 11 3 2" xfId="53021"/>
    <cellStyle name="Normal 11 4" xfId="53022"/>
    <cellStyle name="Normal 13" xfId="53023"/>
    <cellStyle name="Normal 142" xfId="53024"/>
    <cellStyle name="Normal 142 2" xfId="53025"/>
    <cellStyle name="Normal 143" xfId="53026"/>
    <cellStyle name="Normal 143 2" xfId="53027"/>
    <cellStyle name="Normal 144" xfId="53028"/>
    <cellStyle name="Normal 145 2" xfId="53029"/>
    <cellStyle name="Normal 146" xfId="53030"/>
    <cellStyle name="Normal 147" xfId="53031"/>
    <cellStyle name="Normal 147 2 2 2" xfId="53032"/>
    <cellStyle name="Normal 147 2 2 2 2 2 3" xfId="53033"/>
    <cellStyle name="Normal 149" xfId="53034"/>
    <cellStyle name="Normal 150" xfId="53035"/>
    <cellStyle name="Normal 153" xfId="53036"/>
    <cellStyle name="Normal 154" xfId="53037"/>
    <cellStyle name="Normal 155" xfId="53038"/>
    <cellStyle name="Normal 156" xfId="53039"/>
    <cellStyle name="Normal 157" xfId="53040"/>
    <cellStyle name="Normal 158" xfId="53041"/>
    <cellStyle name="Normal 158 2 4" xfId="53042"/>
    <cellStyle name="Normal 158 5" xfId="53043"/>
    <cellStyle name="Normal 159" xfId="53044"/>
    <cellStyle name="Normal 16_DR BOM Wizard Parts list_Att III" xfId="53045"/>
    <cellStyle name="Normal 160" xfId="53046"/>
    <cellStyle name="Normal 161" xfId="53047"/>
    <cellStyle name="Normal 162" xfId="53048"/>
    <cellStyle name="Normal 163" xfId="53049"/>
    <cellStyle name="Normal 164" xfId="53050"/>
    <cellStyle name="Normal 165" xfId="53051"/>
    <cellStyle name="Normal 166" xfId="53052"/>
    <cellStyle name="Normal 167" xfId="53053"/>
    <cellStyle name="Normal 168" xfId="53054"/>
    <cellStyle name="Normal 17_DR BOM Wizard Parts list_Att III" xfId="53055"/>
    <cellStyle name="Normal 174" xfId="53056"/>
    <cellStyle name="Normal 175" xfId="53057"/>
    <cellStyle name="Normal 18_DR BOM Wizard Parts list_Att III" xfId="53058"/>
    <cellStyle name="Normal 183" xfId="53059"/>
    <cellStyle name="Normal 19_DR BOM Wizard Parts list_Att III" xfId="53060"/>
    <cellStyle name="Normal 2" xfId="1"/>
    <cellStyle name="Normal 2 2" xfId="53061"/>
    <cellStyle name="Normal 2 2 2" xfId="53062"/>
    <cellStyle name="Normal 2 2 2 2" xfId="53063"/>
    <cellStyle name="Normal 2 2 3" xfId="53064"/>
    <cellStyle name="Normal 2 2 4" xfId="53065"/>
    <cellStyle name="Normal 2 3" xfId="53066"/>
    <cellStyle name="Normal 2 3 2" xfId="53067"/>
    <cellStyle name="Normal 2 3 3" xfId="53068"/>
    <cellStyle name="Normal 2 4" xfId="53069"/>
    <cellStyle name="Normal 2 4 2" xfId="53070"/>
    <cellStyle name="Normal 2 5" xfId="53071"/>
    <cellStyle name="Normal 20_DR BOM Wizard Parts list_Att III" xfId="53072"/>
    <cellStyle name="Normal 235 3" xfId="53073"/>
    <cellStyle name="Normal 236 3" xfId="53074"/>
    <cellStyle name="Normal 238" xfId="53075"/>
    <cellStyle name="Normal 238 3" xfId="53076"/>
    <cellStyle name="Normal 243" xfId="53077"/>
    <cellStyle name="Normal 246" xfId="53078"/>
    <cellStyle name="Normal 248" xfId="53079"/>
    <cellStyle name="Normal 255" xfId="53080"/>
    <cellStyle name="Normal 3" xfId="53081"/>
    <cellStyle name="Normal 3 2" xfId="53082"/>
    <cellStyle name="Normal 3 2 2" xfId="53083"/>
    <cellStyle name="Normal 3 2 2 2" xfId="53084"/>
    <cellStyle name="Normal 3 2 3" xfId="53085"/>
    <cellStyle name="Normal 3 2 4" xfId="53086"/>
    <cellStyle name="Normal 3 3" xfId="53087"/>
    <cellStyle name="Normal 3 3 2" xfId="53088"/>
    <cellStyle name="Normal 3 3 3" xfId="53089"/>
    <cellStyle name="Normal 3 4" xfId="53090"/>
    <cellStyle name="Normal 3 5" xfId="53091"/>
    <cellStyle name="Normal 4" xfId="53092"/>
    <cellStyle name="Normal 4 2" xfId="53093"/>
    <cellStyle name="Normal 5" xfId="53094"/>
    <cellStyle name="Normal 5 2" xfId="53095"/>
    <cellStyle name="Normal 51_DR BOM Wizard Parts list_Att III" xfId="53096"/>
    <cellStyle name="Normal 52_DR BOM Wizard Parts list_Att III" xfId="53097"/>
    <cellStyle name="Normal 53_DR BOM Wizard Parts list_Att III" xfId="53098"/>
    <cellStyle name="Normal 54_DR BOM Wizard Parts list_Att III" xfId="53099"/>
    <cellStyle name="Normal 55_DR BOM Wizard Parts list_Att III" xfId="53100"/>
    <cellStyle name="Normal 56_DR BOM Wizard Parts list_Att III" xfId="53101"/>
    <cellStyle name="Normal 57_DR BOM Wizard Parts list_Att III" xfId="53102"/>
    <cellStyle name="Normal 58_DR BOM Wizard Parts list_Att III" xfId="53103"/>
    <cellStyle name="Normal 59_DR BOM Wizard Parts list_Att III" xfId="53104"/>
    <cellStyle name="Normal 6" xfId="53105"/>
    <cellStyle name="Normal 6 2" xfId="53106"/>
    <cellStyle name="Normal 6 3" xfId="53107"/>
    <cellStyle name="Normal 60_DR BOM Wizard Parts list_Att III" xfId="53108"/>
    <cellStyle name="Normal 61_DR BOM Wizard Parts list_Att III" xfId="53109"/>
    <cellStyle name="Normal 62_DR BOM Wizard Parts list_Att III" xfId="53110"/>
    <cellStyle name="Normal 63_DR BOM Wizard Parts list_Att III" xfId="53111"/>
    <cellStyle name="Normal 64_DR BOM Wizard Parts list_Att III" xfId="53112"/>
    <cellStyle name="Normal 7" xfId="53113"/>
    <cellStyle name="Normal 7 10" xfId="53114"/>
    <cellStyle name="Normal 7 2" xfId="53115"/>
    <cellStyle name="Normal 7 2 2" xfId="53116"/>
    <cellStyle name="Normal 7 2 2 2" xfId="53117"/>
    <cellStyle name="Normal 7 2 3" xfId="53118"/>
    <cellStyle name="Normal 7 2 4" xfId="53119"/>
    <cellStyle name="Normal 7 2 5" xfId="53120"/>
    <cellStyle name="Normal 7 3" xfId="53121"/>
    <cellStyle name="Normal 7 3 2" xfId="53122"/>
    <cellStyle name="Normal 7 3 2 2" xfId="53123"/>
    <cellStyle name="Normal 7 3 3" xfId="53124"/>
    <cellStyle name="Normal 7 3 4" xfId="53125"/>
    <cellStyle name="Normal 7 4" xfId="53126"/>
    <cellStyle name="Normal 7 4 2" xfId="53127"/>
    <cellStyle name="Normal 7 4 2 2" xfId="53128"/>
    <cellStyle name="Normal 7 4 3" xfId="53129"/>
    <cellStyle name="Normal 7 4 4" xfId="53130"/>
    <cellStyle name="Normal 7 5" xfId="53131"/>
    <cellStyle name="Normal 7 5 2" xfId="53132"/>
    <cellStyle name="Normal 7 5 2 2" xfId="53133"/>
    <cellStyle name="Normal 7 5 3" xfId="53134"/>
    <cellStyle name="Normal 7 6" xfId="53135"/>
    <cellStyle name="Normal 7 6 2" xfId="53136"/>
    <cellStyle name="Normal 7 7" xfId="53137"/>
    <cellStyle name="Normal 7 7 2" xfId="53138"/>
    <cellStyle name="Normal 7 8" xfId="53139"/>
    <cellStyle name="Normal 7 9" xfId="53140"/>
    <cellStyle name="Normal 75_DR BOM Wizard Parts list_Att III" xfId="53141"/>
    <cellStyle name="Normal 78_DR BOM Wizard Parts list_Att III" xfId="53142"/>
    <cellStyle name="Normal 8" xfId="53143"/>
    <cellStyle name="Normal 8 2" xfId="53144"/>
    <cellStyle name="Normal 81_DR BOM Wizard Parts list_Att III" xfId="53145"/>
    <cellStyle name="Normal 9" xfId="53146"/>
    <cellStyle name="Normal 9 2" xfId="53147"/>
    <cellStyle name="Normal Bold Locked" xfId="53148"/>
    <cellStyle name="Normal Bold Locked 2" xfId="53149"/>
    <cellStyle name="Normal Bold Underlined" xfId="53150"/>
    <cellStyle name="Normal Bold Underlined 2" xfId="53151"/>
    <cellStyle name="Normal c" xfId="53152"/>
    <cellStyle name="Normal c 2" xfId="53153"/>
    <cellStyle name="Normal Locked" xfId="53154"/>
    <cellStyle name="Normal Locked 2" xfId="53155"/>
    <cellStyle name="Normal Summary" xfId="53156"/>
    <cellStyle name="Normal Summary 2" xfId="53157"/>
    <cellStyle name="Normal w/lines" xfId="53158"/>
    <cellStyle name="Normal w/lines 2" xfId="53159"/>
    <cellStyle name="Normal w/lines 2 2" xfId="53160"/>
    <cellStyle name="Normal w/lines 3" xfId="53161"/>
    <cellStyle name="Normal_13MY Sourcing_TgtSetTools Tracker v16.3a" xfId="53162"/>
    <cellStyle name="Normal1" xfId="53163"/>
    <cellStyle name="Normal1 2" xfId="53164"/>
    <cellStyle name="Normal1 2 2" xfId="53165"/>
    <cellStyle name="Normal1 3" xfId="53166"/>
    <cellStyle name="Normal1 3 2" xfId="53167"/>
    <cellStyle name="Normal1 4" xfId="53168"/>
    <cellStyle name="Normal1 5" xfId="53169"/>
    <cellStyle name="Normalny_Arkusz1" xfId="53170"/>
    <cellStyle name="nosign" xfId="53171"/>
    <cellStyle name="nosign 2" xfId="53172"/>
    <cellStyle name="nosign 2 2" xfId="53173"/>
    <cellStyle name="nosign 3" xfId="53174"/>
    <cellStyle name="Note" xfId="53175"/>
    <cellStyle name="Note 2" xfId="53176"/>
    <cellStyle name="Note 2 2" xfId="53177"/>
    <cellStyle name="Note 3" xfId="53178"/>
    <cellStyle name="Number" xfId="53179"/>
    <cellStyle name="Number 2" xfId="53180"/>
    <cellStyle name="Number0" xfId="53181"/>
    <cellStyle name="Number0 2" xfId="53182"/>
    <cellStyle name="Number1" xfId="53183"/>
    <cellStyle name="Number1 2" xfId="53184"/>
    <cellStyle name="Number2" xfId="53185"/>
    <cellStyle name="Number2 2" xfId="53186"/>
    <cellStyle name="Number3" xfId="53187"/>
    <cellStyle name="Number3 2" xfId="53188"/>
    <cellStyle name="Number3 2 2" xfId="53189"/>
    <cellStyle name="Number3 3" xfId="53190"/>
    <cellStyle name="Number-Actg" xfId="53191"/>
    <cellStyle name="Number-Actg 2" xfId="53192"/>
    <cellStyle name="Œ…‹æØ‚è [0.00]_!!!GO" xfId="53193"/>
    <cellStyle name="Œ…‹æØ‚è_!!!GO" xfId="53194"/>
    <cellStyle name="one" xfId="53195"/>
    <cellStyle name="one 2" xfId="53196"/>
    <cellStyle name="one 2 2" xfId="53197"/>
    <cellStyle name="one 3" xfId="53198"/>
    <cellStyle name="one decimal" xfId="53199"/>
    <cellStyle name="one decimal 2" xfId="53200"/>
    <cellStyle name="one decimal 2 2" xfId="53201"/>
    <cellStyle name="one decimal 3" xfId="53202"/>
    <cellStyle name="one_09 Escape Engine Comparison 1_10" xfId="53203"/>
    <cellStyle name="ÒP" xfId="53204"/>
    <cellStyle name="ÒP 2" xfId="53205"/>
    <cellStyle name="ÒP 2 2" xfId="53206"/>
    <cellStyle name="ÒP 3" xfId="53207"/>
    <cellStyle name="ÒP 4" xfId="53208"/>
    <cellStyle name="Option_Contents" xfId="53209"/>
    <cellStyle name="Output" xfId="53210"/>
    <cellStyle name="Output 2" xfId="53211"/>
    <cellStyle name="Pct w/ Pts" xfId="53212"/>
    <cellStyle name="Pct w/ Pts 2" xfId="53213"/>
    <cellStyle name="Pct w/ Pts 3" xfId="53214"/>
    <cellStyle name="Pct w/o Pts" xfId="53215"/>
    <cellStyle name="Pct w/o Pts 2" xfId="53216"/>
    <cellStyle name="Pct w/o Pts 3" xfId="53217"/>
    <cellStyle name="pennies" xfId="53218"/>
    <cellStyle name="pennies 2" xfId="53219"/>
    <cellStyle name="pennies 2 2" xfId="53220"/>
    <cellStyle name="pennies 3" xfId="53221"/>
    <cellStyle name="per.style" xfId="53222"/>
    <cellStyle name="per.style 2" xfId="53223"/>
    <cellStyle name="per.style 3" xfId="53224"/>
    <cellStyle name="Percent (0)" xfId="53225"/>
    <cellStyle name="Percent (0) 2" xfId="53226"/>
    <cellStyle name="Percent (0) 2 2" xfId="53227"/>
    <cellStyle name="Percent (0) 3" xfId="53228"/>
    <cellStyle name="Percent (0,0)" xfId="53229"/>
    <cellStyle name="Percent (0,0) 2" xfId="53230"/>
    <cellStyle name="Percent (0,0) 2 2" xfId="53231"/>
    <cellStyle name="Percent (0,0) 3" xfId="53232"/>
    <cellStyle name="Percent (0,0) N/A" xfId="53233"/>
    <cellStyle name="Percent (0,0) N/A 2" xfId="53234"/>
    <cellStyle name="Percent (0,0) N/A 2 2" xfId="53235"/>
    <cellStyle name="Percent (0,0) N/A 3" xfId="53236"/>
    <cellStyle name="Percent (0,0) TBD" xfId="53237"/>
    <cellStyle name="Percent (0,0) TBD 2" xfId="53238"/>
    <cellStyle name="Percent (0,0) TBD 2 2" xfId="53239"/>
    <cellStyle name="Percent (0,0) TBD 3" xfId="53240"/>
    <cellStyle name="Percent (0,0)_0508BPwhl_020604_Variable Marketing" xfId="53241"/>
    <cellStyle name="Percent (0.0)" xfId="53242"/>
    <cellStyle name="Percent (0.0) 2" xfId="53243"/>
    <cellStyle name="Percent [0]" xfId="53244"/>
    <cellStyle name="Percent [0] 2" xfId="53245"/>
    <cellStyle name="Percent [0] 2 2" xfId="53246"/>
    <cellStyle name="Percent [0] 2 3" xfId="53247"/>
    <cellStyle name="Percent [0] 3" xfId="53248"/>
    <cellStyle name="Percent [0] 3 2" xfId="53249"/>
    <cellStyle name="Percent [0] 4" xfId="53250"/>
    <cellStyle name="Percent [0] 5" xfId="53251"/>
    <cellStyle name="Percent [00]" xfId="53252"/>
    <cellStyle name="Percent [00] 2" xfId="53253"/>
    <cellStyle name="Percent [00] 2 2" xfId="53254"/>
    <cellStyle name="Percent [00] 2 3" xfId="53255"/>
    <cellStyle name="Percent [00] 3" xfId="53256"/>
    <cellStyle name="Percent [00] 3 2" xfId="53257"/>
    <cellStyle name="Percent [00] 4" xfId="53258"/>
    <cellStyle name="Percent [00] 5" xfId="53259"/>
    <cellStyle name="Percent [2]" xfId="53260"/>
    <cellStyle name="Percent [2] 2" xfId="53261"/>
    <cellStyle name="Percent [2] 2 2" xfId="53262"/>
    <cellStyle name="Percent [2] 2 3" xfId="53263"/>
    <cellStyle name="Percent [2] 3" xfId="53264"/>
    <cellStyle name="Percent [2] 4" xfId="53265"/>
    <cellStyle name="Percent 10" xfId="53266"/>
    <cellStyle name="Percent 10 2" xfId="53267"/>
    <cellStyle name="Percent 2" xfId="53268"/>
    <cellStyle name="Percent 2 2" xfId="53269"/>
    <cellStyle name="Percent 2 2 2" xfId="53270"/>
    <cellStyle name="Percent 2 2 3" xfId="53271"/>
    <cellStyle name="Percent 2 3" xfId="53272"/>
    <cellStyle name="Percent 2 3 2" xfId="53273"/>
    <cellStyle name="Percent 2 4" xfId="53274"/>
    <cellStyle name="Percent 2 5" xfId="53275"/>
    <cellStyle name="Percent 2 6" xfId="53276"/>
    <cellStyle name="Percent 3" xfId="53277"/>
    <cellStyle name="Percent 4" xfId="53278"/>
    <cellStyle name="Percent 4 2" xfId="53279"/>
    <cellStyle name="Percent w/o%" xfId="53280"/>
    <cellStyle name="Percent w/o% 2" xfId="53281"/>
    <cellStyle name="Percent w/o% 3" xfId="53282"/>
    <cellStyle name="Percent%" xfId="53283"/>
    <cellStyle name="Percent% 2" xfId="53284"/>
    <cellStyle name="Percent% 3" xfId="53285"/>
    <cellStyle name="Percent[0]" xfId="53286"/>
    <cellStyle name="Percent[0] 2" xfId="53287"/>
    <cellStyle name="Percent[0] 3" xfId="53288"/>
    <cellStyle name="Percent[1]" xfId="53289"/>
    <cellStyle name="Percent[1] 2" xfId="53290"/>
    <cellStyle name="Percent[2]" xfId="53291"/>
    <cellStyle name="Percent[2] 2" xfId="53292"/>
    <cellStyle name="Percent[2] 3" xfId="53293"/>
    <cellStyle name="Percentage" xfId="53294"/>
    <cellStyle name="Percentage 2" xfId="53295"/>
    <cellStyle name="planilhas" xfId="53296"/>
    <cellStyle name="planilhas 2" xfId="53297"/>
    <cellStyle name="Pounds" xfId="53298"/>
    <cellStyle name="Pounds 2" xfId="53299"/>
    <cellStyle name="Pounds 2 2" xfId="53300"/>
    <cellStyle name="Pounds 3" xfId="53301"/>
    <cellStyle name="Preliminary_Data" xfId="53302"/>
    <cellStyle name="PrePop Currency (0)" xfId="53303"/>
    <cellStyle name="PrePop Currency (0) 2" xfId="53304"/>
    <cellStyle name="PrePop Currency (0) 2 2" xfId="53305"/>
    <cellStyle name="PrePop Currency (0) 2 3" xfId="53306"/>
    <cellStyle name="PrePop Currency (0) 3" xfId="53307"/>
    <cellStyle name="PrePop Currency (0) 3 2" xfId="53308"/>
    <cellStyle name="PrePop Currency (0) 4" xfId="53309"/>
    <cellStyle name="PrePop Currency (0) 5" xfId="53310"/>
    <cellStyle name="PrePop Currency (2)" xfId="53311"/>
    <cellStyle name="PrePop Currency (2) 2" xfId="53312"/>
    <cellStyle name="PrePop Currency (2) 2 2" xfId="53313"/>
    <cellStyle name="PrePop Currency (2) 2 3" xfId="53314"/>
    <cellStyle name="PrePop Currency (2) 3" xfId="53315"/>
    <cellStyle name="PrePop Currency (2) 3 2" xfId="53316"/>
    <cellStyle name="PrePop Currency (2) 4" xfId="53317"/>
    <cellStyle name="PrePop Currency (2) 5" xfId="53318"/>
    <cellStyle name="PrePop Units (0)" xfId="53319"/>
    <cellStyle name="PrePop Units (0) 2" xfId="53320"/>
    <cellStyle name="PrePop Units (0) 2 2" xfId="53321"/>
    <cellStyle name="PrePop Units (0) 2 3" xfId="53322"/>
    <cellStyle name="PrePop Units (0) 3" xfId="53323"/>
    <cellStyle name="PrePop Units (0) 3 2" xfId="53324"/>
    <cellStyle name="PrePop Units (0) 4" xfId="53325"/>
    <cellStyle name="PrePop Units (0) 5" xfId="53326"/>
    <cellStyle name="PrePop Units (1)" xfId="53327"/>
    <cellStyle name="PrePop Units (1) 2" xfId="53328"/>
    <cellStyle name="PrePop Units (1) 2 2" xfId="53329"/>
    <cellStyle name="PrePop Units (1) 2 3" xfId="53330"/>
    <cellStyle name="PrePop Units (1) 3" xfId="53331"/>
    <cellStyle name="PrePop Units (1) 3 2" xfId="53332"/>
    <cellStyle name="PrePop Units (1) 4" xfId="53333"/>
    <cellStyle name="PrePop Units (1) 5" xfId="53334"/>
    <cellStyle name="PrePop Units (2)" xfId="53335"/>
    <cellStyle name="PrePop Units (2) 2" xfId="53336"/>
    <cellStyle name="PrePop Units (2) 2 2" xfId="53337"/>
    <cellStyle name="PrePop Units (2) 2 3" xfId="53338"/>
    <cellStyle name="PrePop Units (2) 3" xfId="53339"/>
    <cellStyle name="PrePop Units (2) 3 2" xfId="53340"/>
    <cellStyle name="PrePop Units (2) 4" xfId="53341"/>
    <cellStyle name="PrePop Units (2) 5" xfId="53342"/>
    <cellStyle name="Prices_Data" xfId="53343"/>
    <cellStyle name="Prozent_austriajaguar" xfId="53344"/>
    <cellStyle name="PSChar" xfId="53345"/>
    <cellStyle name="PSChar 2" xfId="53346"/>
    <cellStyle name="PSChar 2 2" xfId="53347"/>
    <cellStyle name="PSChar 2 2 2" xfId="53348"/>
    <cellStyle name="PSChar 2 3" xfId="53349"/>
    <cellStyle name="PSChar 3" xfId="53350"/>
    <cellStyle name="PSChar 3 2" xfId="53351"/>
    <cellStyle name="PSChar 4" xfId="53352"/>
    <cellStyle name="PSChar 5" xfId="53353"/>
    <cellStyle name="PSDate" xfId="53354"/>
    <cellStyle name="PSDate 2" xfId="53355"/>
    <cellStyle name="PSDate 3" xfId="53356"/>
    <cellStyle name="PSDec" xfId="53357"/>
    <cellStyle name="PSDec 2" xfId="53358"/>
    <cellStyle name="PSDec 3" xfId="53359"/>
    <cellStyle name="PSHeading" xfId="53360"/>
    <cellStyle name="PSHeading 2" xfId="53361"/>
    <cellStyle name="PSHeading 2 2" xfId="53362"/>
    <cellStyle name="PSHeading 2 2 2" xfId="53363"/>
    <cellStyle name="PSHeading 2 3" xfId="53364"/>
    <cellStyle name="PSHeading 3" xfId="53365"/>
    <cellStyle name="PSHeading 3 2" xfId="53366"/>
    <cellStyle name="PSHeading 4" xfId="53367"/>
    <cellStyle name="PSHeading 5" xfId="53368"/>
    <cellStyle name="PSInt" xfId="53369"/>
    <cellStyle name="PSInt 2" xfId="53370"/>
    <cellStyle name="PSInt 3" xfId="53371"/>
    <cellStyle name="PSSpacer" xfId="53372"/>
    <cellStyle name="PSSpacer 2" xfId="53373"/>
    <cellStyle name="PSSpacer 2 2" xfId="53374"/>
    <cellStyle name="PSSpacer 2 2 2" xfId="53375"/>
    <cellStyle name="PSSpacer 2 3" xfId="53376"/>
    <cellStyle name="PSSpacer 3" xfId="53377"/>
    <cellStyle name="PSSpacer 3 2" xfId="53378"/>
    <cellStyle name="PSSpacer 4" xfId="53379"/>
    <cellStyle name="PSSpacer 5" xfId="53380"/>
    <cellStyle name="RateRow" xfId="53381"/>
    <cellStyle name="RateRow 2" xfId="53382"/>
    <cellStyle name="RateTotalRow" xfId="53383"/>
    <cellStyle name="RateTotalRow 2" xfId="53384"/>
    <cellStyle name="reg_no_decimal" xfId="53385"/>
    <cellStyle name="ReportHeader" xfId="53386"/>
    <cellStyle name="ReportHeader 2" xfId="53387"/>
    <cellStyle name="RQDcells" xfId="53388"/>
    <cellStyle name="RQDcells 2" xfId="53389"/>
    <cellStyle name="RQDserial" xfId="53390"/>
    <cellStyle name="RQDserial 2" xfId="53391"/>
    <cellStyle name="Section Border" xfId="53392"/>
    <cellStyle name="Section Border 2" xfId="53393"/>
    <cellStyle name="Section Border 2 2" xfId="53394"/>
    <cellStyle name="Section Border 3" xfId="53395"/>
    <cellStyle name="Separador de milhares [0]_GRPRE#7" xfId="53396"/>
    <cellStyle name="Separador de milhares_CW170_8" xfId="53397"/>
    <cellStyle name="shade" xfId="53398"/>
    <cellStyle name="shade 2" xfId="53399"/>
    <cellStyle name="sht title" xfId="53400"/>
    <cellStyle name="sht title 2" xfId="53401"/>
    <cellStyle name="SIGN" xfId="53402"/>
    <cellStyle name="SIGN 2" xfId="53403"/>
    <cellStyle name="SIGN 2 2" xfId="53404"/>
    <cellStyle name="SIGN 3" xfId="53405"/>
    <cellStyle name="spider data" xfId="53406"/>
    <cellStyle name="spider data 2" xfId="53407"/>
    <cellStyle name="spider_calc" xfId="53408"/>
    <cellStyle name="stamp" xfId="53409"/>
    <cellStyle name="stamp 2" xfId="53410"/>
    <cellStyle name="STANDARD" xfId="53411"/>
    <cellStyle name="STANDARD 2" xfId="53412"/>
    <cellStyle name="STANDARD 2 2" xfId="53413"/>
    <cellStyle name="STANDARD 2 3" xfId="53414"/>
    <cellStyle name="STANDARD 3" xfId="53415"/>
    <cellStyle name="STANDARD 3 2" xfId="53416"/>
    <cellStyle name="STANDARD 4" xfId="53417"/>
    <cellStyle name="STANDARD 5" xfId="53418"/>
    <cellStyle name="Standard_E1_BOM" xfId="53419"/>
    <cellStyle name="Style 1" xfId="53420"/>
    <cellStyle name="Style 1 2" xfId="53421"/>
    <cellStyle name="Style 1 2 2" xfId="53422"/>
    <cellStyle name="Style 1 2 2 2" xfId="53423"/>
    <cellStyle name="Style 1 2 3" xfId="53424"/>
    <cellStyle name="Style 1 2 4" xfId="53425"/>
    <cellStyle name="Style 1 3" xfId="53426"/>
    <cellStyle name="Style 1 3 2" xfId="53427"/>
    <cellStyle name="Style 1 4" xfId="53428"/>
    <cellStyle name="Style 1 4 2" xfId="53429"/>
    <cellStyle name="Style 1 5" xfId="53430"/>
    <cellStyle name="Style 1 5 2" xfId="53431"/>
    <cellStyle name="Style 1 6" xfId="53432"/>
    <cellStyle name="Style 1 7" xfId="53433"/>
    <cellStyle name="Style 2" xfId="53434"/>
    <cellStyle name="Style 2 2" xfId="53435"/>
    <cellStyle name="subhead" xfId="53436"/>
    <cellStyle name="subhead 2" xfId="53437"/>
    <cellStyle name="subhead 2 2" xfId="53438"/>
    <cellStyle name="subhead 2 2 2" xfId="53439"/>
    <cellStyle name="subhead 2 2 2 2" xfId="53440"/>
    <cellStyle name="subhead 2 2 3" xfId="53441"/>
    <cellStyle name="subhead 2 3" xfId="53442"/>
    <cellStyle name="subhead 2 3 2" xfId="53443"/>
    <cellStyle name="subhead 2 3 2 2" xfId="53444"/>
    <cellStyle name="subhead 2 3 3" xfId="53445"/>
    <cellStyle name="subhead 2 4" xfId="53446"/>
    <cellStyle name="subhead 2 4 2" xfId="53447"/>
    <cellStyle name="subhead 2 4 2 2" xfId="53448"/>
    <cellStyle name="subhead 2 4 3" xfId="53449"/>
    <cellStyle name="subhead 2 5" xfId="53450"/>
    <cellStyle name="subhead 3" xfId="53451"/>
    <cellStyle name="subhead 3 2" xfId="53452"/>
    <cellStyle name="subhead 3 2 2" xfId="53453"/>
    <cellStyle name="subhead 3 3" xfId="53454"/>
    <cellStyle name="subhead 4" xfId="53455"/>
    <cellStyle name="subhead 4 2" xfId="53456"/>
    <cellStyle name="subhead 4 2 2" xfId="53457"/>
    <cellStyle name="subhead 4 3" xfId="53458"/>
    <cellStyle name="subhead 5" xfId="53459"/>
    <cellStyle name="subhead 5 2" xfId="53460"/>
    <cellStyle name="subhead 5 2 2" xfId="53461"/>
    <cellStyle name="subhead 5 3" xfId="53462"/>
    <cellStyle name="subhead 6" xfId="53463"/>
    <cellStyle name="subhead 6 2" xfId="53464"/>
    <cellStyle name="subhead 6 2 2" xfId="53465"/>
    <cellStyle name="subhead 6 3" xfId="53466"/>
    <cellStyle name="subhead 7" xfId="53467"/>
    <cellStyle name="subhead 7 2" xfId="53468"/>
    <cellStyle name="subhead 7 2 2" xfId="53469"/>
    <cellStyle name="subhead 7 3" xfId="53470"/>
    <cellStyle name="subhead 8" xfId="53471"/>
    <cellStyle name="subhead 9" xfId="53472"/>
    <cellStyle name="subtotal" xfId="53473"/>
    <cellStyle name="subtotal 2" xfId="53474"/>
    <cellStyle name="System" xfId="53475"/>
    <cellStyle name="System 2" xfId="53476"/>
    <cellStyle name="System 2 2" xfId="53477"/>
    <cellStyle name="System 3" xfId="53478"/>
    <cellStyle name="Table Definition" xfId="53479"/>
    <cellStyle name="Table Definition 2" xfId="53480"/>
    <cellStyle name="Table Definition 2 2" xfId="53481"/>
    <cellStyle name="Table Definition 3" xfId="53482"/>
    <cellStyle name="Template" xfId="53483"/>
    <cellStyle name="Template 10" xfId="53484"/>
    <cellStyle name="Template 10 2" xfId="53485"/>
    <cellStyle name="Template 2" xfId="53486"/>
    <cellStyle name="Template 8" xfId="53487"/>
    <cellStyle name="Template 8 2" xfId="53488"/>
    <cellStyle name="Template_2005 U204 PA JAPAN_input" xfId="53489"/>
    <cellStyle name="Text Indent A" xfId="53490"/>
    <cellStyle name="Text Indent A 2" xfId="53491"/>
    <cellStyle name="Text Indent A 3" xfId="53492"/>
    <cellStyle name="Text Indent B" xfId="53493"/>
    <cellStyle name="Text Indent B 2" xfId="53494"/>
    <cellStyle name="Text Indent B 2 2" xfId="53495"/>
    <cellStyle name="Text Indent B 2 3" xfId="53496"/>
    <cellStyle name="Text Indent B 3" xfId="53497"/>
    <cellStyle name="Text Indent B 3 2" xfId="53498"/>
    <cellStyle name="Text Indent B 4" xfId="53499"/>
    <cellStyle name="Text Indent B 5" xfId="53500"/>
    <cellStyle name="Text Indent C" xfId="53501"/>
    <cellStyle name="Text Indent C 2" xfId="53502"/>
    <cellStyle name="Text Indent C 2 2" xfId="53503"/>
    <cellStyle name="Text Indent C 2 3" xfId="53504"/>
    <cellStyle name="Text Indent C 3" xfId="53505"/>
    <cellStyle name="Text Indent C 3 2" xfId="53506"/>
    <cellStyle name="Text Indent C 4" xfId="53507"/>
    <cellStyle name="Text Indent C 5" xfId="53508"/>
    <cellStyle name="title" xfId="53509"/>
    <cellStyle name="title 2" xfId="53510"/>
    <cellStyle name="Title-Aspt" xfId="53511"/>
    <cellStyle name="Title-Aspt 2" xfId="53512"/>
    <cellStyle name="today" xfId="53513"/>
    <cellStyle name="today 2" xfId="53514"/>
    <cellStyle name="top" xfId="53515"/>
    <cellStyle name="top 2" xfId="53516"/>
    <cellStyle name="Top Row" xfId="53517"/>
    <cellStyle name="Top Row 2" xfId="53518"/>
    <cellStyle name="Total" xfId="53519"/>
    <cellStyle name="Total 2" xfId="53520"/>
    <cellStyle name="tttttt" xfId="53521"/>
    <cellStyle name="tttttt 2" xfId="53522"/>
    <cellStyle name="Tusental (0)_pldt" xfId="53523"/>
    <cellStyle name="Tusental_pldt" xfId="53524"/>
    <cellStyle name="two" xfId="53525"/>
    <cellStyle name="two 2" xfId="53526"/>
    <cellStyle name="two 2 2" xfId="53527"/>
    <cellStyle name="two 3" xfId="53528"/>
    <cellStyle name="Underline" xfId="53529"/>
    <cellStyle name="Underline 2" xfId="53530"/>
    <cellStyle name="Underline 2 2" xfId="53531"/>
    <cellStyle name="Underline 3" xfId="53532"/>
    <cellStyle name="Underline 4" xfId="53533"/>
    <cellStyle name="Underlined" xfId="53534"/>
    <cellStyle name="Underlined 2" xfId="53535"/>
    <cellStyle name="Valuta (0)_pldt" xfId="53536"/>
    <cellStyle name="Valuta_pldt" xfId="53537"/>
    <cellStyle name="Vehicle_Benchmark" xfId="53538"/>
    <cellStyle name="Volumes_Data" xfId="53539"/>
    <cellStyle name="W?rung [0]_pldt" xfId="53540"/>
    <cellStyle name="W?rung_pldt" xfId="53541"/>
    <cellStyle name="Währung [0]_!!!GO" xfId="53542"/>
    <cellStyle name="Währung_!!!GO" xfId="53543"/>
    <cellStyle name="Walutowy [0]_Arkusz1" xfId="53544"/>
    <cellStyle name="Walutowy_Arkusz1" xfId="53545"/>
    <cellStyle name="Warning Text" xfId="53546"/>
    <cellStyle name="Warning Text 2" xfId="53547"/>
    <cellStyle name="weekly" xfId="53548"/>
    <cellStyle name="weekly 2" xfId="53549"/>
    <cellStyle name="weekly 3" xfId="53550"/>
    <cellStyle name="whole" xfId="53551"/>
    <cellStyle name="whole 2" xfId="53552"/>
    <cellStyle name="whole 2 2" xfId="53553"/>
    <cellStyle name="whole 3" xfId="53554"/>
    <cellStyle name="Wingding" xfId="53555"/>
    <cellStyle name="Wingding 2" xfId="53556"/>
    <cellStyle name="W臧rung [0]_pldt" xfId="53557"/>
    <cellStyle name="W臧rung_pldt" xfId="53558"/>
    <cellStyle name="Yen" xfId="53559"/>
    <cellStyle name="Yen 2" xfId="53560"/>
    <cellStyle name="Yen, 2 decimals" xfId="53561"/>
    <cellStyle name="Yen, 2 decimals 2" xfId="53562"/>
    <cellStyle name="Yen, 2 decimals 2 2" xfId="53563"/>
    <cellStyle name="Yen, 2 decimals 3" xfId="53564"/>
    <cellStyle name="Yen, no decimals" xfId="53565"/>
    <cellStyle name="Yen, no decimals 2" xfId="53566"/>
    <cellStyle name="Yen, no decimals 2 2" xfId="53567"/>
    <cellStyle name="Yen, no decimals 3" xfId="53568"/>
    <cellStyle name="Yen_07 to 08MY Escape (3)" xfId="53569"/>
    <cellStyle name="Yen-Actg" xfId="53570"/>
    <cellStyle name="Yen-Actg 2" xfId="53571"/>
    <cellStyle name="ｳfｹ0]_  Design " xfId="53572"/>
    <cellStyle name="ｳfｹ  Design " xfId="53573"/>
    <cellStyle name="ｳfｹ  Design  2" xfId="53574"/>
    <cellStyle name="ｳfｹ6_6 R&amp;O " xfId="53575"/>
    <cellStyle name="ｳfｹ98 design  " xfId="53576"/>
    <cellStyle name="ｳfｹ98 design   2" xfId="53577"/>
    <cellStyle name="ｳfｹBT57HBvsMarch " xfId="53578"/>
    <cellStyle name="ｳfｹBT57HBvsMarch  2" xfId="53579"/>
    <cellStyle name="ｳfｹdesign " xfId="53580"/>
    <cellStyle name="ｳfｹdesign  2" xfId="53581"/>
    <cellStyle name="ｳfｹPer Unit " xfId="53582"/>
    <cellStyle name="ｳfｹPer Unit  2" xfId="53583"/>
    <cellStyle name="ｳfｹPer Unit_Bongo Per Unit " xfId="53584"/>
    <cellStyle name="ハイパーリンク_x0003_" xfId="53585"/>
    <cellStyle name="ハイパーリンク_x0003_ 2" xfId="53586"/>
    <cellStyle name="ハイパーリンク_3 技術検証 機能編" xfId="53587"/>
    <cellStyle name="ฅ_98aust4_Orion SI Volume - PMM Status " xfId="53588"/>
    <cellStyle name="ฅ_98aust4_Orion SI Volume - PMM Status  2" xfId="53589"/>
    <cellStyle name="ฅ_98aust4_PPM Volume Summary " xfId="53590"/>
    <cellStyle name="ฅ_98aust4_PPM Volume Summary  2" xfId="53591"/>
    <cellStyle name="ฅ_98austact_Orion SI Volume - PMM Status " xfId="53592"/>
    <cellStyle name="ฅ_98austact_Orion SI Volume - PMM Status  2" xfId="53593"/>
    <cellStyle name="ฅ_98austact_PPM Volume Summary " xfId="53594"/>
    <cellStyle name="ฅ_98austact_PPM Volume Summary  2" xfId="53595"/>
    <cellStyle name="ฅ_98ftc12_Orion SI Volume - PMM Status " xfId="53596"/>
    <cellStyle name="ฅ_98ftc12_Orion SI Volume - PMM Status  2" xfId="53597"/>
    <cellStyle name="ฅ_98ftc12_PPM Volume Summary " xfId="53598"/>
    <cellStyle name="ฅ_98ftc12_PPM Volume Summary  2" xfId="53599"/>
    <cellStyle name="ฅ_99aust_Orion SI Volume - PMM Status " xfId="53600"/>
    <cellStyle name="ฅ_99aust_Orion SI Volume - PMM Status  2" xfId="53601"/>
    <cellStyle name="ฅ_99aust_PPM Volume Summary " xfId="53602"/>
    <cellStyle name="ฅ_99aust_PPM Volume Summary  2" xfId="53603"/>
    <cellStyle name="ฅ_99pr623_Orion SI Volume - PMM Status " xfId="53604"/>
    <cellStyle name="ฅ_99pr623_Orion SI Volume - PMM Status  2" xfId="53605"/>
    <cellStyle name="ฅ_99pr623_PPM Volume Summary " xfId="53606"/>
    <cellStyle name="ฅ_99pr623_PPM Volume Summary  2" xfId="53607"/>
    <cellStyle name="ฅ_99pr623c_Orion SI Volume - PMM Status " xfId="53608"/>
    <cellStyle name="ฅ_99pr623c_Orion SI Volume - PMM Status  2" xfId="53609"/>
    <cellStyle name="ฅ_99pr623c_PPM Volume Summary " xfId="53610"/>
    <cellStyle name="ฅ_99pr623c_PPM Volume Summary  2" xfId="53611"/>
    <cellStyle name="ฅ_99PRICE_Orion SI Volume - PMM Status " xfId="53612"/>
    <cellStyle name="ฅ_99PRICE_Orion SI Volume - PMM Status  2" xfId="53613"/>
    <cellStyle name="ฅ_99PRICE_PPM Volume Summary " xfId="53614"/>
    <cellStyle name="ฅ_99PRICE_PPM Volume Summary  2" xfId="53615"/>
    <cellStyle name="ฅ_99SUM_Orion SI Volume - PMM Status " xfId="53616"/>
    <cellStyle name="ฅ_99SUM_Orion SI Volume - PMM Status  2" xfId="53617"/>
    <cellStyle name="ฅ_99SUM_PPM Volume Summary " xfId="53618"/>
    <cellStyle name="ฅ_99SUM_PPM Volume Summary  2" xfId="53619"/>
    <cellStyle name="ฅ_J97FT623_Orion SI Volume - PMM Status " xfId="53620"/>
    <cellStyle name="ฅ_J97FT623_Orion SI Volume - PMM Status  2" xfId="53621"/>
    <cellStyle name="ฅ_J97FT623_PPM Volume Summary " xfId="53622"/>
    <cellStyle name="ฅ_J97FT623_PPM Volume Summary  2" xfId="53623"/>
    <cellStyle name="ฅ_J97FTC_1_Orion SI Volume - PMM Status " xfId="53624"/>
    <cellStyle name="ฅ_J97FTC_1_Orion SI Volume - PMM Status  2" xfId="53625"/>
    <cellStyle name="ฅ_J97FTC_1_PPM Volume Summary " xfId="53626"/>
    <cellStyle name="ฅ_J97FTC_1_PPM Volume Summary  2" xfId="53627"/>
    <cellStyle name="ฅ_JANPRIC2_Orion SI Volume - PMM Status " xfId="53628"/>
    <cellStyle name="ฅ_JANPRIC2_Orion SI Volume - PMM Status  2" xfId="53629"/>
    <cellStyle name="ฅ_JANPRIC2_PPM Volume Summary " xfId="53630"/>
    <cellStyle name="ฅ_JANPRIC2_PPM Volume Summary  2" xfId="53631"/>
    <cellStyle name="ฅ_newadr2_Orion SI Volume - PMM Status " xfId="53632"/>
    <cellStyle name="ฅ_newadr2_Orion SI Volume - PMM Status  2" xfId="53633"/>
    <cellStyle name="ฅ_newadr2_PPM Volume Summary " xfId="53634"/>
    <cellStyle name="ฅ_newadr2_PPM Volume Summary  2" xfId="53635"/>
    <cellStyle name="ฅ_Orion SI Volume - PMM Status " xfId="53636"/>
    <cellStyle name="ฅ_Orion SI Volume - PMM Status  2" xfId="53637"/>
    <cellStyle name="ฅ_PPM Volume Summary " xfId="53638"/>
    <cellStyle name="ฅ_PPM Volume Summary  2" xfId="53639"/>
    <cellStyle name="ฅ_PRICEADR_Orion SI Volume - PMM Status " xfId="53640"/>
    <cellStyle name="ฅ_PRICEADR_Orion SI Volume - PMM Status  2" xfId="53641"/>
    <cellStyle name="ฅ_PRICEADR_PPM Volume Summary " xfId="53642"/>
    <cellStyle name="ฅ_PRICEADR_PPM Volume Summary  2" xfId="53643"/>
    <cellStyle name="ฅ_PRICEEC_Orion SI Volume - PMM Status " xfId="53644"/>
    <cellStyle name="ฅ_PRICEEC_Orion SI Volume - PMM Status  2" xfId="53645"/>
    <cellStyle name="ฅ_PRICEEC_PPM Volume Summary " xfId="53646"/>
    <cellStyle name="ฅ_PRICEEC_PPM Volume Summary  2" xfId="53647"/>
    <cellStyle name="百分比 2" xfId="53648"/>
    <cellStyle name="百分比 2 2" xfId="53649"/>
    <cellStyle name="百分比 2 2 2" xfId="53650"/>
    <cellStyle name="百分比 2 2 3" xfId="53651"/>
    <cellStyle name="百分比 2 3" xfId="53652"/>
    <cellStyle name="百分比 2 4" xfId="53653"/>
    <cellStyle name="百分比 2 5" xfId="53654"/>
    <cellStyle name="百分比 3" xfId="53655"/>
    <cellStyle name="百分比 3 2" xfId="53656"/>
    <cellStyle name="百分比 3 3" xfId="53657"/>
    <cellStyle name="百分比 4" xfId="53658"/>
    <cellStyle name="百分比 4 2" xfId="53659"/>
    <cellStyle name="百分比 4 3" xfId="53660"/>
    <cellStyle name="百分比 5" xfId="53661"/>
    <cellStyle name="百分比 5 2" xfId="53662"/>
    <cellStyle name="百分比 6" xfId="53663"/>
    <cellStyle name="百分比 7" xfId="53664"/>
    <cellStyle name="百分比 8" xfId="53665"/>
    <cellStyle name="百分比 9" xfId="53666"/>
    <cellStyle name="标题 1 2" xfId="53667"/>
    <cellStyle name="标题 1 2 2" xfId="53668"/>
    <cellStyle name="标题 1 2 2 2" xfId="53669"/>
    <cellStyle name="标题 1 2 3" xfId="53670"/>
    <cellStyle name="标题 1 2 3 2" xfId="53671"/>
    <cellStyle name="标题 1 2 4" xfId="53672"/>
    <cellStyle name="标题 1 2 5" xfId="53673"/>
    <cellStyle name="标题 1 3" xfId="53674"/>
    <cellStyle name="标题 1 3 2" xfId="53675"/>
    <cellStyle name="标题 2 2" xfId="53676"/>
    <cellStyle name="标题 2 2 2" xfId="53677"/>
    <cellStyle name="标题 2 2 2 2" xfId="53678"/>
    <cellStyle name="标题 2 2 3" xfId="53679"/>
    <cellStyle name="标题 2 2 3 2" xfId="53680"/>
    <cellStyle name="标题 2 2 4" xfId="53681"/>
    <cellStyle name="标题 2 2 5" xfId="53682"/>
    <cellStyle name="标题 2 3" xfId="53683"/>
    <cellStyle name="标题 2 3 2" xfId="53684"/>
    <cellStyle name="标题 3 2" xfId="53685"/>
    <cellStyle name="标题 3 2 2" xfId="53686"/>
    <cellStyle name="标题 3 2 2 2" xfId="53687"/>
    <cellStyle name="标题 3 2 3" xfId="53688"/>
    <cellStyle name="标题 3 2 3 2" xfId="53689"/>
    <cellStyle name="标题 3 2 4" xfId="53690"/>
    <cellStyle name="标题 3 2 5" xfId="53691"/>
    <cellStyle name="标题 3 3" xfId="53692"/>
    <cellStyle name="标题 3 3 2" xfId="53693"/>
    <cellStyle name="标题 4 2" xfId="53694"/>
    <cellStyle name="标题 4 2 2" xfId="53695"/>
    <cellStyle name="标题 4 2 2 2" xfId="53696"/>
    <cellStyle name="标题 4 2 3" xfId="53697"/>
    <cellStyle name="标题 4 2 3 2" xfId="53698"/>
    <cellStyle name="标题 4 2 4" xfId="53699"/>
    <cellStyle name="标题 4 2 5" xfId="53700"/>
    <cellStyle name="标题 4 3" xfId="53701"/>
    <cellStyle name="标题 4 3 2" xfId="53702"/>
    <cellStyle name="标题 5" xfId="53703"/>
    <cellStyle name="标题 5 2" xfId="53704"/>
    <cellStyle name="标题 5 2 2" xfId="53705"/>
    <cellStyle name="标题 5 2 2 2" xfId="53706"/>
    <cellStyle name="标题 5 2 3" xfId="53707"/>
    <cellStyle name="标题 5 3" xfId="53708"/>
    <cellStyle name="标题 5 3 2" xfId="53709"/>
    <cellStyle name="标题 5 3 2 2" xfId="53710"/>
    <cellStyle name="标题 5 3 3" xfId="53711"/>
    <cellStyle name="标题 5 4" xfId="53712"/>
    <cellStyle name="标题 5 4 2" xfId="53713"/>
    <cellStyle name="标题 5 4 2 2" xfId="53714"/>
    <cellStyle name="标题 5 4 3" xfId="53715"/>
    <cellStyle name="标题 5 5" xfId="53716"/>
    <cellStyle name="标题 5 5 2" xfId="53717"/>
    <cellStyle name="标题 5 5 2 2" xfId="53718"/>
    <cellStyle name="标题 5 5 3" xfId="53719"/>
    <cellStyle name="标题 5 6" xfId="53720"/>
    <cellStyle name="标题 5 7" xfId="53721"/>
    <cellStyle name="标题 6" xfId="53722"/>
    <cellStyle name="标题 6 2" xfId="53723"/>
    <cellStyle name="标题 6 2 2" xfId="53724"/>
    <cellStyle name="标题 6 2 2 2" xfId="53725"/>
    <cellStyle name="标题 6 2 3" xfId="53726"/>
    <cellStyle name="标题 6 3" xfId="53727"/>
    <cellStyle name="标题 6 3 2" xfId="53728"/>
    <cellStyle name="标题 6 3 2 2" xfId="53729"/>
    <cellStyle name="标题 6 3 3" xfId="53730"/>
    <cellStyle name="标题 6 4" xfId="53731"/>
    <cellStyle name="标题 6 4 2" xfId="53732"/>
    <cellStyle name="标题 6 4 2 2" xfId="53733"/>
    <cellStyle name="标题 6 4 3" xfId="53734"/>
    <cellStyle name="标题 6 5" xfId="53735"/>
    <cellStyle name="标题 6 5 2" xfId="53736"/>
    <cellStyle name="标题 6 6" xfId="53737"/>
    <cellStyle name="标题 7" xfId="53738"/>
    <cellStyle name="标题 7 2" xfId="53739"/>
    <cellStyle name="标题 7 2 2" xfId="53740"/>
    <cellStyle name="标题 7 3" xfId="53741"/>
    <cellStyle name="標準_【V2最新】20030213 V2 ScaleDefinition" xfId="53742"/>
    <cellStyle name="標準KM02_Reg. Summary" xfId="53743"/>
    <cellStyle name="標準明朝" xfId="53744"/>
    <cellStyle name="表示済みのハイパーリンク_3 技術検証 機能編" xfId="53745"/>
    <cellStyle name="表示済みのハイパーリンク16E to J16L " xfId="53746"/>
    <cellStyle name="表示済みのハイパーリンク16E to J16L  2" xfId="53747"/>
    <cellStyle name="表示済みのハイパーリンクeet1t1" xfId="53748"/>
    <cellStyle name="表示済みのハイパーリンクeet1t1 2" xfId="53749"/>
    <cellStyle name="差 2" xfId="53750"/>
    <cellStyle name="差 2 2" xfId="53751"/>
    <cellStyle name="差 2 2 2" xfId="53752"/>
    <cellStyle name="差 2 3" xfId="53753"/>
    <cellStyle name="差 2 3 2" xfId="53754"/>
    <cellStyle name="差 2 4" xfId="53755"/>
    <cellStyle name="差 2 5" xfId="53756"/>
    <cellStyle name="差 3" xfId="53757"/>
    <cellStyle name="差 3 2" xfId="53758"/>
    <cellStyle name="常规" xfId="0" builtinId="0"/>
    <cellStyle name="常规 10" xfId="53759"/>
    <cellStyle name="常规 10 2" xfId="53760"/>
    <cellStyle name="常规 11" xfId="53761"/>
    <cellStyle name="常规 12" xfId="53762"/>
    <cellStyle name="常规 13" xfId="53763"/>
    <cellStyle name="常规 14" xfId="53764"/>
    <cellStyle name="常规 15" xfId="53765"/>
    <cellStyle name="常规 16" xfId="5"/>
    <cellStyle name="常规 2" xfId="53766"/>
    <cellStyle name="常规 2 2" xfId="53767"/>
    <cellStyle name="常规 2 2 2" xfId="53768"/>
    <cellStyle name="常规 2 2 2 2" xfId="53769"/>
    <cellStyle name="常规 2 2 3" xfId="53770"/>
    <cellStyle name="常规 2 2 4" xfId="53771"/>
    <cellStyle name="常规 2 3" xfId="53772"/>
    <cellStyle name="常规 2 3 2" xfId="53773"/>
    <cellStyle name="常规 2 3 3" xfId="53774"/>
    <cellStyle name="常规 2 4" xfId="53775"/>
    <cellStyle name="常规 2 8" xfId="53776"/>
    <cellStyle name="常规 3" xfId="53777"/>
    <cellStyle name="常规 3 2" xfId="53778"/>
    <cellStyle name="常规 3 2 2" xfId="53779"/>
    <cellStyle name="常规 3 3" xfId="53780"/>
    <cellStyle name="常规 3 3 2" xfId="53781"/>
    <cellStyle name="常规 3 4" xfId="53782"/>
    <cellStyle name="常规 3 4 2" xfId="53783"/>
    <cellStyle name="常规 3 5" xfId="53784"/>
    <cellStyle name="常规 3 6" xfId="53785"/>
    <cellStyle name="常规 4" xfId="53786"/>
    <cellStyle name="常规 4 2" xfId="53787"/>
    <cellStyle name="常规 4 2 2" xfId="53788"/>
    <cellStyle name="常规 4 3" xfId="53789"/>
    <cellStyle name="常规 4 4" xfId="53790"/>
    <cellStyle name="常规 4 5" xfId="53791"/>
    <cellStyle name="常规 4 6" xfId="53792"/>
    <cellStyle name="常规 5" xfId="53793"/>
    <cellStyle name="常规 5 2" xfId="53794"/>
    <cellStyle name="常规 5 2 2" xfId="53795"/>
    <cellStyle name="常规 5 3" xfId="53796"/>
    <cellStyle name="常规 5 3 2" xfId="53797"/>
    <cellStyle name="常规 5 4" xfId="53798"/>
    <cellStyle name="常规 6" xfId="53799"/>
    <cellStyle name="常规 6 2" xfId="53800"/>
    <cellStyle name="常规 6 3" xfId="53801"/>
    <cellStyle name="常规 7" xfId="53802"/>
    <cellStyle name="常规 7 2" xfId="53803"/>
    <cellStyle name="常规 8" xfId="6"/>
    <cellStyle name="常规 8 2" xfId="53804"/>
    <cellStyle name="常规 8 3" xfId="53805"/>
    <cellStyle name="常规 9" xfId="53806"/>
    <cellStyle name="常规 9 2" xfId="53807"/>
    <cellStyle name="常规_C346 Local Tracker_20110701" xfId="2"/>
    <cellStyle name="常规_Concern &amp; Tooling-CD340(dx)" xfId="4"/>
    <cellStyle name="超链接 2" xfId="53808"/>
    <cellStyle name="超链接 2 2" xfId="53809"/>
    <cellStyle name="超链接 3" xfId="53810"/>
    <cellStyle name="好 2" xfId="53811"/>
    <cellStyle name="好 2 2" xfId="53812"/>
    <cellStyle name="好 2 2 2" xfId="53813"/>
    <cellStyle name="好 2 3" xfId="53814"/>
    <cellStyle name="好 2 3 2" xfId="53815"/>
    <cellStyle name="好 2 4" xfId="53816"/>
    <cellStyle name="好 2 5" xfId="53817"/>
    <cellStyle name="好 3" xfId="53818"/>
    <cellStyle name="好 3 2" xfId="53819"/>
    <cellStyle name="桁区切り [0.00]_000824PTRMStage4map.exl" xfId="53820"/>
    <cellStyle name="桁区切り_000824PTRMStage4map.exl" xfId="53821"/>
    <cellStyle name="汇总 2" xfId="53822"/>
    <cellStyle name="汇总 2 2" xfId="53823"/>
    <cellStyle name="汇总 2 2 2" xfId="53824"/>
    <cellStyle name="汇总 2 3" xfId="53825"/>
    <cellStyle name="汇总 2 3 2" xfId="53826"/>
    <cellStyle name="汇总 2 4" xfId="53827"/>
    <cellStyle name="汇总 2 5" xfId="53828"/>
    <cellStyle name="汇总 3" xfId="53829"/>
    <cellStyle name="汇总 3 2" xfId="53830"/>
    <cellStyle name="货币 2" xfId="53831"/>
    <cellStyle name="货币 2 2" xfId="53832"/>
    <cellStyle name="货币 3" xfId="53833"/>
    <cellStyle name="货币 3 2" xfId="53834"/>
    <cellStyle name="货币 4" xfId="53835"/>
    <cellStyle name="货币 5" xfId="53836"/>
    <cellStyle name="货币 6" xfId="53837"/>
    <cellStyle name="貨幣[0]_  Design " xfId="53838"/>
    <cellStyle name="貨幣_  Design " xfId="53839"/>
    <cellStyle name="计算 2" xfId="53840"/>
    <cellStyle name="计算 2 2" xfId="53841"/>
    <cellStyle name="计算 2 2 2" xfId="53842"/>
    <cellStyle name="计算 2 3" xfId="53843"/>
    <cellStyle name="计算 2 3 2" xfId="53844"/>
    <cellStyle name="计算 2 4" xfId="53845"/>
    <cellStyle name="计算 2 5" xfId="53846"/>
    <cellStyle name="计算 3" xfId="53847"/>
    <cellStyle name="计算 3 2" xfId="53848"/>
    <cellStyle name="检查单元格 2" xfId="53849"/>
    <cellStyle name="检查单元格 2 2" xfId="53850"/>
    <cellStyle name="检查单元格 2 2 2" xfId="53851"/>
    <cellStyle name="检查单元格 2 3" xfId="53852"/>
    <cellStyle name="检查单元格 2 3 2" xfId="53853"/>
    <cellStyle name="检查单元格 2 4" xfId="53854"/>
    <cellStyle name="检查单元格 2 5" xfId="53855"/>
    <cellStyle name="检查单元格 3" xfId="53856"/>
    <cellStyle name="检查单元格 3 2" xfId="53857"/>
    <cellStyle name="解释性文本 2" xfId="53858"/>
    <cellStyle name="解释性文本 2 2" xfId="53859"/>
    <cellStyle name="解释性文本 2 2 2" xfId="53860"/>
    <cellStyle name="解释性文本 2 3" xfId="53861"/>
    <cellStyle name="解释性文本 2 3 2" xfId="53862"/>
    <cellStyle name="解释性文本 2 4" xfId="53863"/>
    <cellStyle name="解释性文本 2 5" xfId="53864"/>
    <cellStyle name="解释性文本 3" xfId="53865"/>
    <cellStyle name="解释性文本 3 2" xfId="53866"/>
    <cellStyle name="警告文本 2" xfId="53867"/>
    <cellStyle name="警告文本 2 2" xfId="53868"/>
    <cellStyle name="警告文本 2 2 2" xfId="53869"/>
    <cellStyle name="警告文本 2 3" xfId="53870"/>
    <cellStyle name="警告文本 2 3 2" xfId="53871"/>
    <cellStyle name="警告文本 2 4" xfId="53872"/>
    <cellStyle name="警告文本 2 5" xfId="53873"/>
    <cellStyle name="警告文本 3" xfId="53874"/>
    <cellStyle name="警告文本 3 2" xfId="53875"/>
    <cellStyle name="链接单元格 2" xfId="53876"/>
    <cellStyle name="链接单元格 2 2" xfId="53877"/>
    <cellStyle name="链接单元格 2 2 2" xfId="53878"/>
    <cellStyle name="链接单元格 2 3" xfId="53879"/>
    <cellStyle name="链接单元格 2 3 2" xfId="53880"/>
    <cellStyle name="链接单元格 2 4" xfId="53881"/>
    <cellStyle name="链接单元格 2 5" xfId="53882"/>
    <cellStyle name="链接单元格 3" xfId="53883"/>
    <cellStyle name="链接单元格 3 2" xfId="53884"/>
    <cellStyle name="千分位[0]_  Design " xfId="53885"/>
    <cellStyle name="千分位_  Design " xfId="53886"/>
    <cellStyle name="千位分隔 2" xfId="53887"/>
    <cellStyle name="千位分隔 2 2" xfId="53888"/>
    <cellStyle name="千位分隔 2 2 2" xfId="53889"/>
    <cellStyle name="千位分隔 2 2 3" xfId="53890"/>
    <cellStyle name="千位分隔 2 3" xfId="53891"/>
    <cellStyle name="千位分隔 2 4" xfId="53892"/>
    <cellStyle name="千位分隔 2 5" xfId="53893"/>
    <cellStyle name="千位分隔 3" xfId="53894"/>
    <cellStyle name="千位分隔 3 2" xfId="53895"/>
    <cellStyle name="千位分隔 3 3" xfId="53896"/>
    <cellStyle name="千位分隔 4" xfId="53897"/>
    <cellStyle name="千位分隔 4 2" xfId="53898"/>
    <cellStyle name="千位分隔 4 3" xfId="53899"/>
    <cellStyle name="千位分隔 5" xfId="53900"/>
    <cellStyle name="千位分隔 6" xfId="53901"/>
    <cellStyle name="千位分隔 7" xfId="53902"/>
    <cellStyle name="千位分隔 8" xfId="53903"/>
    <cellStyle name="千位分隔[0] 2" xfId="53904"/>
    <cellStyle name="千位分隔[0] 2 2" xfId="53905"/>
    <cellStyle name="千位分隔[0] 3" xfId="53906"/>
    <cellStyle name="千位分隔[0] 4" xfId="53907"/>
    <cellStyle name="強調1" xfId="53908"/>
    <cellStyle name="強調2" xfId="53909"/>
    <cellStyle name="強調3" xfId="53910"/>
    <cellStyle name="强调文字颜色 1 2" xfId="53911"/>
    <cellStyle name="强调文字颜色 1 2 2" xfId="53912"/>
    <cellStyle name="强调文字颜色 1 2 2 2" xfId="53913"/>
    <cellStyle name="强调文字颜色 1 2 3" xfId="53914"/>
    <cellStyle name="强调文字颜色 1 2 3 2" xfId="53915"/>
    <cellStyle name="强调文字颜色 1 2 4" xfId="53916"/>
    <cellStyle name="强调文字颜色 1 2 5" xfId="53917"/>
    <cellStyle name="强调文字颜色 1 3" xfId="53918"/>
    <cellStyle name="强调文字颜色 1 3 2" xfId="53919"/>
    <cellStyle name="强调文字颜色 2 2" xfId="53920"/>
    <cellStyle name="强调文字颜色 2 2 2" xfId="53921"/>
    <cellStyle name="强调文字颜色 2 2 2 2" xfId="53922"/>
    <cellStyle name="强调文字颜色 2 2 3" xfId="53923"/>
    <cellStyle name="强调文字颜色 2 2 3 2" xfId="53924"/>
    <cellStyle name="强调文字颜色 2 2 4" xfId="53925"/>
    <cellStyle name="强调文字颜色 2 2 5" xfId="53926"/>
    <cellStyle name="强调文字颜色 2 3" xfId="53927"/>
    <cellStyle name="强调文字颜色 2 3 2" xfId="53928"/>
    <cellStyle name="强调文字颜色 3 2" xfId="53929"/>
    <cellStyle name="强调文字颜色 3 2 2" xfId="53930"/>
    <cellStyle name="强调文字颜色 3 2 2 2" xfId="53931"/>
    <cellStyle name="强调文字颜色 3 2 3" xfId="53932"/>
    <cellStyle name="强调文字颜色 3 2 3 2" xfId="53933"/>
    <cellStyle name="强调文字颜色 3 2 4" xfId="53934"/>
    <cellStyle name="强调文字颜色 3 2 5" xfId="53935"/>
    <cellStyle name="强调文字颜色 3 3" xfId="53936"/>
    <cellStyle name="强调文字颜色 3 3 2" xfId="53937"/>
    <cellStyle name="强调文字颜色 4 2" xfId="53938"/>
    <cellStyle name="强调文字颜色 4 2 2" xfId="53939"/>
    <cellStyle name="强调文字颜色 4 2 2 2" xfId="53940"/>
    <cellStyle name="强调文字颜色 4 2 3" xfId="53941"/>
    <cellStyle name="强调文字颜色 4 2 3 2" xfId="53942"/>
    <cellStyle name="强调文字颜色 4 2 4" xfId="53943"/>
    <cellStyle name="强调文字颜色 4 2 5" xfId="53944"/>
    <cellStyle name="强调文字颜色 4 3" xfId="53945"/>
    <cellStyle name="强调文字颜色 4 3 2" xfId="53946"/>
    <cellStyle name="强调文字颜色 5 2" xfId="53947"/>
    <cellStyle name="强调文字颜色 5 2 2" xfId="53948"/>
    <cellStyle name="强调文字颜色 5 2 2 2" xfId="53949"/>
    <cellStyle name="强调文字颜色 5 2 3" xfId="53950"/>
    <cellStyle name="强调文字颜色 5 2 3 2" xfId="53951"/>
    <cellStyle name="强调文字颜色 5 2 4" xfId="53952"/>
    <cellStyle name="强调文字颜色 5 2 5" xfId="53953"/>
    <cellStyle name="强调文字颜色 5 3" xfId="53954"/>
    <cellStyle name="强调文字颜色 5 3 2" xfId="53955"/>
    <cellStyle name="强调文字颜色 6 2" xfId="53956"/>
    <cellStyle name="强调文字颜色 6 2 2" xfId="53957"/>
    <cellStyle name="强调文字颜色 6 2 2 2" xfId="53958"/>
    <cellStyle name="强调文字颜色 6 2 3" xfId="53959"/>
    <cellStyle name="强调文字颜色 6 2 3 2" xfId="53960"/>
    <cellStyle name="强调文字颜色 6 2 4" xfId="53961"/>
    <cellStyle name="强调文字颜色 6 2 5" xfId="53962"/>
    <cellStyle name="强调文字颜色 6 3" xfId="53963"/>
    <cellStyle name="强调文字颜色 6 3 2" xfId="53964"/>
    <cellStyle name="适中 2" xfId="53965"/>
    <cellStyle name="适中 2 2" xfId="53966"/>
    <cellStyle name="适中 2 2 2" xfId="53967"/>
    <cellStyle name="适中 2 3" xfId="53968"/>
    <cellStyle name="适中 2 3 2" xfId="53969"/>
    <cellStyle name="适中 2 4" xfId="53970"/>
    <cellStyle name="适中 2 5" xfId="53971"/>
    <cellStyle name="适中 3" xfId="53972"/>
    <cellStyle name="适中 3 2" xfId="53973"/>
    <cellStyle name="输出 2" xfId="53974"/>
    <cellStyle name="输出 2 2" xfId="53975"/>
    <cellStyle name="输出 2 2 2" xfId="53976"/>
    <cellStyle name="输出 2 3" xfId="53977"/>
    <cellStyle name="输出 2 3 2" xfId="53978"/>
    <cellStyle name="输出 2 4" xfId="53979"/>
    <cellStyle name="输出 2 5" xfId="53980"/>
    <cellStyle name="输出 3" xfId="53981"/>
    <cellStyle name="输出 3 2" xfId="53982"/>
    <cellStyle name="输入 2" xfId="53983"/>
    <cellStyle name="输入 2 2" xfId="53984"/>
    <cellStyle name="输入 2 2 2" xfId="53985"/>
    <cellStyle name="输入 2 3" xfId="53986"/>
    <cellStyle name="输入 2 3 2" xfId="53987"/>
    <cellStyle name="输入 2 4" xfId="53988"/>
    <cellStyle name="输入 2 5" xfId="53989"/>
    <cellStyle name="输入 3" xfId="53990"/>
    <cellStyle name="输入 3 2" xfId="53991"/>
    <cellStyle name="通貨 [0.00]_000824PTRMStage4map.exl" xfId="53992"/>
    <cellStyle name="通貨_000824PTRMStage4map.exl" xfId="53993"/>
    <cellStyle name="細明朝10" xfId="53994"/>
    <cellStyle name="細明朝12" xfId="53995"/>
    <cellStyle name="細明朝12 2" xfId="53996"/>
    <cellStyle name="样式 1" xfId="53997"/>
    <cellStyle name="样式 1 2" xfId="53998"/>
    <cellStyle name="样式 1 2 2" xfId="53999"/>
    <cellStyle name="样式 1 2 3" xfId="54000"/>
    <cellStyle name="样式 1 3" xfId="54001"/>
    <cellStyle name="样式 1 3 2" xfId="54002"/>
    <cellStyle name="样式 1 4" xfId="54003"/>
    <cellStyle name="一般_  Design " xfId="54004"/>
    <cellStyle name="昗弨_MazdaChunkBinning" xfId="54005"/>
    <cellStyle name="中ゴシック18" xfId="54006"/>
    <cellStyle name="注释 2" xfId="54007"/>
    <cellStyle name="注释 2 2" xfId="54008"/>
    <cellStyle name="注释 2 2 2" xfId="54009"/>
    <cellStyle name="注释 2 3" xfId="54010"/>
    <cellStyle name="注释 2 3 2" xfId="54011"/>
    <cellStyle name="注释 2 4" xfId="54012"/>
    <cellStyle name="注释 2 5" xfId="54013"/>
    <cellStyle name="注释 3" xfId="54014"/>
    <cellStyle name="注释 3 2" xfId="54015"/>
  </cellStyles>
  <dxfs count="486"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6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490%20MCA%20Local%20Tracker_Post%20PA20180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chive"/>
      <sheetName val="Sheet4"/>
      <sheetName val="Sheet1"/>
      <sheetName val="Sheet3"/>
      <sheetName val="Commodity Summary"/>
      <sheetName val="Detail"/>
      <sheetName val="Change Log"/>
      <sheetName val="Sheet5"/>
      <sheetName val="ESWP"/>
      <sheetName val="N&amp;MJ"/>
      <sheetName val="Ex-Rate"/>
      <sheetName val="Sheet2"/>
      <sheetName val="C490 Base --&gt;"/>
      <sheetName val="Base Detail"/>
      <sheetName val="Sheet6"/>
      <sheetName val="FST BOM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45</v>
          </cell>
          <cell r="AV1">
            <v>46</v>
          </cell>
          <cell r="AW1">
            <v>47</v>
          </cell>
          <cell r="AX1">
            <v>48</v>
          </cell>
          <cell r="AY1">
            <v>49</v>
          </cell>
          <cell r="AZ1">
            <v>50</v>
          </cell>
          <cell r="BA1">
            <v>51</v>
          </cell>
          <cell r="BB1">
            <v>52</v>
          </cell>
          <cell r="BC1">
            <v>53</v>
          </cell>
          <cell r="BD1">
            <v>54</v>
          </cell>
          <cell r="BE1">
            <v>55</v>
          </cell>
          <cell r="BF1">
            <v>56</v>
          </cell>
          <cell r="BG1">
            <v>57</v>
          </cell>
          <cell r="BK1">
            <v>61</v>
          </cell>
          <cell r="BL1">
            <v>62</v>
          </cell>
          <cell r="BM1">
            <v>63</v>
          </cell>
          <cell r="BN1">
            <v>64</v>
          </cell>
        </row>
        <row r="2">
          <cell r="J2" t="str">
            <v xml:space="preserve">  </v>
          </cell>
          <cell r="BC2">
            <v>-289.26329424811701</v>
          </cell>
        </row>
        <row r="3">
          <cell r="K3" t="str">
            <v xml:space="preserve"> </v>
          </cell>
          <cell r="AO3" t="str">
            <v xml:space="preserve">  </v>
          </cell>
          <cell r="BC3">
            <v>277445117.06575185</v>
          </cell>
        </row>
        <row r="4">
          <cell r="S4">
            <v>0.14000000000000001</v>
          </cell>
          <cell r="T4">
            <v>0.16</v>
          </cell>
          <cell r="U4">
            <v>0.14000000000000001</v>
          </cell>
          <cell r="V4">
            <v>0.23</v>
          </cell>
          <cell r="W4">
            <v>0.09</v>
          </cell>
          <cell r="X4">
            <v>0.14000000000000001</v>
          </cell>
          <cell r="Y4">
            <v>0.05</v>
          </cell>
          <cell r="Z4">
            <v>0.05</v>
          </cell>
          <cell r="BB4">
            <v>-270573.48686</v>
          </cell>
          <cell r="BC4">
            <v>-277734.38036000001</v>
          </cell>
          <cell r="BE4">
            <v>-64291.459238807882</v>
          </cell>
          <cell r="BG4">
            <v>0</v>
          </cell>
        </row>
        <row r="5">
          <cell r="K5" t="str">
            <v xml:space="preserve"> </v>
          </cell>
          <cell r="S5" t="str">
            <v>Usage</v>
          </cell>
          <cell r="AC5" t="str">
            <v>Material Cost Quote Breakdown (Per Unit)</v>
          </cell>
          <cell r="AP5" t="str">
            <v>Supplier YOY After J#1</v>
          </cell>
          <cell r="AW5" t="str">
            <v>Exchange Rate Adjustment</v>
          </cell>
          <cell r="BB5" t="str">
            <v>MCA Vendor Tooling</v>
          </cell>
          <cell r="BE5" t="str">
            <v>MCA ED&amp;T</v>
          </cell>
          <cell r="BI5" t="str">
            <v>C490 Base ED&amp;T</v>
          </cell>
          <cell r="BL5" t="str">
            <v>JOB#1 Material Economic Adjustment</v>
          </cell>
        </row>
        <row r="6">
          <cell r="C6" t="str">
            <v>CBP No.</v>
          </cell>
          <cell r="D6" t="str">
            <v>CCM</v>
          </cell>
          <cell r="E6" t="str">
            <v>Commodity Name</v>
          </cell>
          <cell r="F6" t="str">
            <v>Commodity Name_Ch</v>
          </cell>
          <cell r="G6" t="str">
            <v>Seg.</v>
          </cell>
          <cell r="H6" t="str">
            <v>PMT</v>
          </cell>
          <cell r="I6" t="str">
            <v>TH/ PF</v>
          </cell>
          <cell r="J6" t="str">
            <v>Prefix</v>
          </cell>
          <cell r="K6" t="str">
            <v>Base</v>
          </cell>
          <cell r="L6" t="str">
            <v>Suffix</v>
          </cell>
          <cell r="M6" t="str">
            <v>Part Number</v>
          </cell>
          <cell r="N6" t="str">
            <v>Part Description</v>
          </cell>
          <cell r="O6" t="str">
            <v>Approved Date</v>
          </cell>
          <cell r="P6" t="str">
            <v>Buyer</v>
          </cell>
          <cell r="Q6" t="str">
            <v>CAF PD</v>
          </cell>
          <cell r="S6" t="str">
            <v>4-Dr 1.5L Comfort MT</v>
          </cell>
          <cell r="T6" t="str">
            <v>4-Dr 1.5L Comfort AT</v>
          </cell>
          <cell r="U6" t="str">
            <v>4-Dr 1.5L Trend MT -CCM</v>
          </cell>
          <cell r="V6" t="str">
            <v>4-Dr 1.5L Trend AT</v>
          </cell>
          <cell r="W6" t="str">
            <v>4D 1.0 Fox Trend MT</v>
          </cell>
          <cell r="X6" t="str">
            <v>4D 1.0 Fox Trend AT</v>
          </cell>
          <cell r="Y6" t="str">
            <v>4D 1.5 Dragon Titanium AT</v>
          </cell>
          <cell r="Z6" t="str">
            <v>4D 1.0 Fox Titanium AT</v>
          </cell>
          <cell r="AA6" t="str">
            <v>Avg.</v>
          </cell>
          <cell r="AC6" t="str">
            <v>Ex-Work</v>
          </cell>
          <cell r="AD6" t="str">
            <v>Packaging</v>
          </cell>
          <cell r="AE6" t="str">
            <v>In-land Freight</v>
          </cell>
          <cell r="AF6" t="str">
            <v>Base Amort. ED&amp;T</v>
          </cell>
          <cell r="AG6" t="str">
            <v>MCA Amort. ED&amp;T</v>
          </cell>
          <cell r="AH6" t="str">
            <v>Landed Cost</v>
          </cell>
          <cell r="AI6" t="str">
            <v>Currency</v>
          </cell>
          <cell r="AJ6" t="str">
            <v>LP/SP</v>
          </cell>
          <cell r="AK6" t="str">
            <v>Supplier</v>
          </cell>
          <cell r="AL6" t="str">
            <v>GSDB</v>
          </cell>
          <cell r="AM6" t="str">
            <v>Roadmap</v>
          </cell>
          <cell r="AN6" t="str">
            <v>Currency</v>
          </cell>
          <cell r="AO6" t="str">
            <v>样件倍数</v>
          </cell>
          <cell r="AP6" t="str">
            <v>1st Year</v>
          </cell>
          <cell r="AQ6" t="str">
            <v>2nd Year</v>
          </cell>
          <cell r="AR6" t="str">
            <v>3rd Year</v>
          </cell>
          <cell r="AS6" t="str">
            <v>4th Year</v>
          </cell>
          <cell r="AT6" t="str">
            <v>5th Year</v>
          </cell>
          <cell r="AU6" t="str">
            <v>Milk Run (Y/N)</v>
          </cell>
          <cell r="AV6" t="str">
            <v>Excl. Mat Cost</v>
          </cell>
          <cell r="AW6" t="str">
            <v>Supplier Import Content</v>
          </cell>
          <cell r="AX6" t="str">
            <v>Original Currency</v>
          </cell>
          <cell r="AY6" t="str">
            <v xml:space="preserve">Quoted Exchange Rate </v>
          </cell>
          <cell r="AZ6" t="str">
            <v>Adjust @ J#1(Y/N)</v>
          </cell>
          <cell r="BB6" t="str">
            <v>Job#1 Tooling</v>
          </cell>
          <cell r="BC6" t="str">
            <v>Total Tooling</v>
          </cell>
          <cell r="BE6" t="str">
            <v>Total ED&amp;T</v>
          </cell>
          <cell r="BF6" t="str">
            <v>ED&amp;T Amortized Volume</v>
          </cell>
          <cell r="BG6" t="str">
            <v>Upfront</v>
          </cell>
          <cell r="BI6" t="str">
            <v>Total ED&amp;T</v>
          </cell>
          <cell r="BJ6" t="str">
            <v>ED&amp;T Amortized Volume</v>
          </cell>
          <cell r="BL6" t="str">
            <v>(Y/N)</v>
          </cell>
          <cell r="BM6" t="str">
            <v>Quote level</v>
          </cell>
          <cell r="BN6" t="str">
            <v>Weight</v>
          </cell>
          <cell r="BO6" t="str">
            <v>Comments</v>
          </cell>
        </row>
        <row r="7">
          <cell r="S7">
            <v>0.14000000000000001</v>
          </cell>
          <cell r="T7">
            <v>0.16</v>
          </cell>
          <cell r="U7">
            <v>0.14000000000000001</v>
          </cell>
          <cell r="V7">
            <v>0.23</v>
          </cell>
          <cell r="W7">
            <v>0.09</v>
          </cell>
          <cell r="X7">
            <v>0.14000000000000001</v>
          </cell>
          <cell r="Y7">
            <v>0.05</v>
          </cell>
          <cell r="Z7">
            <v>0.05</v>
          </cell>
          <cell r="AA7">
            <v>1</v>
          </cell>
          <cell r="AP7" t="str">
            <v>(%)</v>
          </cell>
          <cell r="AQ7" t="str">
            <v>(%)</v>
          </cell>
          <cell r="AR7" t="str">
            <v>(%)</v>
          </cell>
          <cell r="AS7" t="str">
            <v>(%)</v>
          </cell>
          <cell r="AT7" t="str">
            <v>(%)</v>
          </cell>
          <cell r="AV7" t="str">
            <v>(RMB)</v>
          </cell>
          <cell r="AW7" t="str">
            <v>(%)</v>
          </cell>
        </row>
        <row r="8">
          <cell r="C8" t="str">
            <v>CH017-6</v>
          </cell>
          <cell r="D8" t="str">
            <v>-</v>
          </cell>
          <cell r="E8" t="str">
            <v>17" tire</v>
          </cell>
          <cell r="F8" t="str">
            <v>17寸轮胎</v>
          </cell>
          <cell r="G8" t="str">
            <v>B</v>
          </cell>
          <cell r="H8" t="str">
            <v>PMT3</v>
          </cell>
          <cell r="I8" t="str">
            <v>PF</v>
          </cell>
          <cell r="J8" t="str">
            <v>JD8C</v>
          </cell>
          <cell r="K8">
            <v>1508</v>
          </cell>
          <cell r="L8" t="str">
            <v>AA</v>
          </cell>
          <cell r="M8" t="str">
            <v>JD8C-1508-AA</v>
          </cell>
          <cell r="N8" t="str">
            <v>17" tire</v>
          </cell>
          <cell r="O8">
            <v>42580</v>
          </cell>
          <cell r="P8" t="str">
            <v>Luo,zhenhong</v>
          </cell>
          <cell r="Q8" t="str">
            <v>Yin wenling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4</v>
          </cell>
          <cell r="Z8">
            <v>4</v>
          </cell>
          <cell r="AA8">
            <v>0.4</v>
          </cell>
          <cell r="AC8">
            <v>-264</v>
          </cell>
          <cell r="AD8">
            <v>-18</v>
          </cell>
          <cell r="AE8">
            <v>0</v>
          </cell>
          <cell r="AF8">
            <v>0</v>
          </cell>
          <cell r="AG8">
            <v>0</v>
          </cell>
          <cell r="AH8">
            <v>-282</v>
          </cell>
          <cell r="AI8" t="str">
            <v>CNY</v>
          </cell>
          <cell r="AJ8" t="str">
            <v>LP</v>
          </cell>
          <cell r="AK8" t="str">
            <v>Dalian Good year</v>
          </cell>
          <cell r="AL8" t="str">
            <v>DDZKB</v>
          </cell>
          <cell r="AO8">
            <v>1</v>
          </cell>
          <cell r="BB8">
            <v>0</v>
          </cell>
          <cell r="BC8">
            <v>0</v>
          </cell>
          <cell r="BE8">
            <v>0</v>
          </cell>
          <cell r="BF8">
            <v>0</v>
          </cell>
          <cell r="BG8">
            <v>0</v>
          </cell>
          <cell r="BL8" t="str">
            <v>Y</v>
          </cell>
          <cell r="BM8" t="str">
            <v>PPI index17.35</v>
          </cell>
        </row>
        <row r="9">
          <cell r="C9" t="str">
            <v>E106</v>
          </cell>
          <cell r="D9" t="str">
            <v>E106</v>
          </cell>
          <cell r="E9" t="str">
            <v>wiper</v>
          </cell>
          <cell r="F9" t="str">
            <v>雨刮</v>
          </cell>
          <cell r="G9" t="str">
            <v>B</v>
          </cell>
          <cell r="H9" t="str">
            <v>PMT1</v>
          </cell>
          <cell r="I9" t="str">
            <v>TH</v>
          </cell>
          <cell r="J9" t="str">
            <v>JD8B</v>
          </cell>
          <cell r="K9" t="str">
            <v>17500</v>
          </cell>
          <cell r="L9" t="str">
            <v>AA</v>
          </cell>
          <cell r="M9" t="str">
            <v>JD8B-17500-AA</v>
          </cell>
          <cell r="N9" t="str">
            <v>wiper</v>
          </cell>
          <cell r="O9">
            <v>42664</v>
          </cell>
          <cell r="P9" t="str">
            <v>Zhou,jian</v>
          </cell>
          <cell r="Q9" t="str">
            <v>zhang tao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C9">
            <v>-215</v>
          </cell>
          <cell r="AD9">
            <v>-4.13</v>
          </cell>
          <cell r="AE9">
            <v>-7.08</v>
          </cell>
          <cell r="AF9">
            <v>0</v>
          </cell>
          <cell r="AG9">
            <v>-3.5572474469428501</v>
          </cell>
          <cell r="AH9">
            <v>-229.76724744694286</v>
          </cell>
          <cell r="AI9" t="str">
            <v>CNY</v>
          </cell>
          <cell r="AJ9" t="str">
            <v>LP</v>
          </cell>
          <cell r="AK9" t="str">
            <v>CHS Bosch</v>
          </cell>
          <cell r="AL9" t="str">
            <v>EGSEB</v>
          </cell>
          <cell r="AO9">
            <v>3</v>
          </cell>
          <cell r="AP9">
            <v>0.02</v>
          </cell>
          <cell r="BB9">
            <v>-1100000</v>
          </cell>
          <cell r="BC9">
            <v>-1100000</v>
          </cell>
          <cell r="BE9">
            <v>-2045058</v>
          </cell>
          <cell r="BF9">
            <v>574899</v>
          </cell>
        </row>
        <row r="10">
          <cell r="C10" t="str">
            <v>E106</v>
          </cell>
          <cell r="D10" t="str">
            <v>E106</v>
          </cell>
          <cell r="E10" t="str">
            <v>wiper</v>
          </cell>
          <cell r="F10" t="str">
            <v>雨刮</v>
          </cell>
          <cell r="G10" t="str">
            <v>B</v>
          </cell>
          <cell r="H10" t="str">
            <v>PMT1</v>
          </cell>
          <cell r="I10" t="str">
            <v>TH</v>
          </cell>
          <cell r="J10" t="str">
            <v>JD8B</v>
          </cell>
          <cell r="K10" t="str">
            <v>17B589</v>
          </cell>
          <cell r="L10" t="str">
            <v>AB</v>
          </cell>
          <cell r="M10" t="str">
            <v>JD8B-17B589-AB</v>
          </cell>
          <cell r="N10" t="str">
            <v>wiper</v>
          </cell>
          <cell r="O10">
            <v>42664</v>
          </cell>
          <cell r="P10" t="str">
            <v>Zhou,jian</v>
          </cell>
          <cell r="Q10" t="str">
            <v>zhang tao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C10">
            <v>-39.9</v>
          </cell>
          <cell r="AD10">
            <v>-0.6</v>
          </cell>
          <cell r="AE10">
            <v>-1.5</v>
          </cell>
          <cell r="AF10">
            <v>0</v>
          </cell>
          <cell r="AG10">
            <v>0</v>
          </cell>
          <cell r="AH10">
            <v>-42</v>
          </cell>
          <cell r="AI10" t="str">
            <v>CNY</v>
          </cell>
          <cell r="AJ10" t="str">
            <v>LP</v>
          </cell>
          <cell r="AK10" t="str">
            <v>CHS Bosch</v>
          </cell>
          <cell r="AL10" t="str">
            <v>EGSEB</v>
          </cell>
          <cell r="AO10">
            <v>3</v>
          </cell>
          <cell r="AP10">
            <v>0.02</v>
          </cell>
          <cell r="BB10">
            <v>-225000</v>
          </cell>
          <cell r="BC10">
            <v>-450000</v>
          </cell>
          <cell r="BE10">
            <v>0</v>
          </cell>
          <cell r="BF10">
            <v>0</v>
          </cell>
        </row>
        <row r="11">
          <cell r="C11" t="str">
            <v>E106</v>
          </cell>
          <cell r="D11" t="str">
            <v>E106</v>
          </cell>
          <cell r="E11" t="str">
            <v>wiper</v>
          </cell>
          <cell r="F11" t="str">
            <v>雨刮</v>
          </cell>
          <cell r="G11" t="str">
            <v>B</v>
          </cell>
          <cell r="H11" t="str">
            <v>PMT1</v>
          </cell>
          <cell r="I11" t="str">
            <v>TH</v>
          </cell>
          <cell r="J11" t="str">
            <v>JD8B</v>
          </cell>
          <cell r="K11" t="str">
            <v>17C495</v>
          </cell>
          <cell r="L11" t="str">
            <v>AB</v>
          </cell>
          <cell r="M11" t="str">
            <v>JD8B-17C495-AB</v>
          </cell>
          <cell r="N11" t="str">
            <v>wiper</v>
          </cell>
          <cell r="O11">
            <v>42664</v>
          </cell>
          <cell r="P11" t="str">
            <v>Zhou,jian</v>
          </cell>
          <cell r="Q11" t="str">
            <v>zhang tao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C11">
            <v>-39.9</v>
          </cell>
          <cell r="AD11">
            <v>-0.6</v>
          </cell>
          <cell r="AE11">
            <v>-1.5</v>
          </cell>
          <cell r="AF11">
            <v>0</v>
          </cell>
          <cell r="AG11">
            <v>0</v>
          </cell>
          <cell r="AH11">
            <v>-42</v>
          </cell>
          <cell r="AI11" t="str">
            <v>CNY</v>
          </cell>
          <cell r="AJ11" t="str">
            <v>LP</v>
          </cell>
          <cell r="AK11" t="str">
            <v>CHS Bosch</v>
          </cell>
          <cell r="AL11" t="str">
            <v>EGSEB</v>
          </cell>
          <cell r="AO11">
            <v>3</v>
          </cell>
          <cell r="AP11">
            <v>0.02</v>
          </cell>
          <cell r="BB11">
            <v>-225000</v>
          </cell>
          <cell r="BC11">
            <v>-450000</v>
          </cell>
          <cell r="BE11">
            <v>0</v>
          </cell>
          <cell r="BF11">
            <v>0</v>
          </cell>
        </row>
        <row r="12">
          <cell r="C12" t="str">
            <v>CH063-1</v>
          </cell>
          <cell r="D12" t="str">
            <v>-</v>
          </cell>
          <cell r="E12" t="str">
            <v>Vacuum hose bracket</v>
          </cell>
          <cell r="F12" t="str">
            <v>真空管支架</v>
          </cell>
          <cell r="G12" t="str">
            <v>D</v>
          </cell>
          <cell r="H12" t="str">
            <v>PMT3</v>
          </cell>
          <cell r="I12" t="str">
            <v>PF</v>
          </cell>
          <cell r="J12" t="str">
            <v>JD8C</v>
          </cell>
          <cell r="K12" t="str">
            <v>19048</v>
          </cell>
          <cell r="L12" t="str">
            <v>AA</v>
          </cell>
          <cell r="M12" t="str">
            <v>JD8C-19048-AA</v>
          </cell>
          <cell r="N12" t="str">
            <v>Vacuum hose bracket</v>
          </cell>
          <cell r="O12">
            <v>42655</v>
          </cell>
          <cell r="P12" t="str">
            <v>Wei,xiaowei</v>
          </cell>
          <cell r="Q12" t="str">
            <v>zhou han</v>
          </cell>
          <cell r="S12">
            <v>0</v>
          </cell>
          <cell r="T12">
            <v>1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0.44</v>
          </cell>
          <cell r="AC12">
            <v>-4.3899999999999997</v>
          </cell>
          <cell r="AD12">
            <v>-7.0000000000000007E-2</v>
          </cell>
          <cell r="AE12">
            <v>-0.04</v>
          </cell>
          <cell r="AF12">
            <v>0</v>
          </cell>
          <cell r="AG12">
            <v>0</v>
          </cell>
          <cell r="AH12">
            <v>-4.5</v>
          </cell>
          <cell r="AI12" t="str">
            <v>CNY</v>
          </cell>
          <cell r="AJ12" t="str">
            <v>LP</v>
          </cell>
          <cell r="AK12" t="str">
            <v>Gangxianglong</v>
          </cell>
          <cell r="AL12" t="str">
            <v>GGU8A</v>
          </cell>
          <cell r="AO12">
            <v>1.81</v>
          </cell>
          <cell r="AP12">
            <v>0.03</v>
          </cell>
          <cell r="AQ12">
            <v>0.03</v>
          </cell>
          <cell r="AR12">
            <v>0.03</v>
          </cell>
          <cell r="BB12">
            <v>-471125</v>
          </cell>
          <cell r="BC12">
            <v>-471125</v>
          </cell>
          <cell r="BL12" t="str">
            <v>Y</v>
          </cell>
          <cell r="BM12" t="str">
            <v>A22  5050(元/公斤)</v>
          </cell>
        </row>
        <row r="13">
          <cell r="C13" t="str">
            <v>B013-1</v>
          </cell>
          <cell r="D13" t="str">
            <v>-</v>
          </cell>
          <cell r="E13" t="str">
            <v>ABS Bracket</v>
          </cell>
          <cell r="F13" t="str">
            <v>ABS支架 ABS bracket</v>
          </cell>
          <cell r="G13" t="str">
            <v>D</v>
          </cell>
          <cell r="H13" t="str">
            <v>PMT3</v>
          </cell>
          <cell r="I13" t="str">
            <v>PF</v>
          </cell>
          <cell r="J13" t="str">
            <v>JD8C</v>
          </cell>
          <cell r="K13" t="str">
            <v>2C325</v>
          </cell>
          <cell r="L13" t="str">
            <v>AA</v>
          </cell>
          <cell r="M13" t="str">
            <v>JD8C-2C325-AA</v>
          </cell>
          <cell r="N13" t="str">
            <v>ABS Bracket</v>
          </cell>
          <cell r="P13" t="str">
            <v>Zhang xin</v>
          </cell>
          <cell r="Q13" t="str">
            <v>Wang yuanyuan</v>
          </cell>
          <cell r="S13">
            <v>1</v>
          </cell>
          <cell r="AA13">
            <v>0.14000000000000001</v>
          </cell>
          <cell r="AC13">
            <v>-3.41</v>
          </cell>
          <cell r="AD13">
            <v>-7.0000000000000007E-2</v>
          </cell>
          <cell r="AE13">
            <v>-0.03</v>
          </cell>
          <cell r="AF13">
            <v>0</v>
          </cell>
          <cell r="AG13">
            <v>0</v>
          </cell>
          <cell r="AH13">
            <v>-3.51</v>
          </cell>
          <cell r="AI13" t="str">
            <v>CNY</v>
          </cell>
          <cell r="AJ13" t="str">
            <v>LP</v>
          </cell>
          <cell r="AK13" t="str">
            <v>Gangxianglong</v>
          </cell>
          <cell r="AL13" t="str">
            <v>GGU9A</v>
          </cell>
          <cell r="AO13">
            <v>2.3960113960113962</v>
          </cell>
          <cell r="AP13">
            <v>0.03</v>
          </cell>
          <cell r="AQ13">
            <v>0.03</v>
          </cell>
          <cell r="AR13">
            <v>0.03</v>
          </cell>
          <cell r="BB13">
            <v>-244703</v>
          </cell>
          <cell r="BC13">
            <v>-244703</v>
          </cell>
        </row>
        <row r="14">
          <cell r="C14" t="str">
            <v>PT31</v>
          </cell>
          <cell r="D14" t="str">
            <v>PT31</v>
          </cell>
          <cell r="E14" t="str">
            <v>MT shifter cable</v>
          </cell>
          <cell r="F14" t="str">
            <v>手动换挡拉索</v>
          </cell>
          <cell r="G14" t="str">
            <v>B</v>
          </cell>
          <cell r="H14" t="str">
            <v>PMT4</v>
          </cell>
          <cell r="I14" t="str">
            <v>PF</v>
          </cell>
          <cell r="J14" t="str">
            <v>JD8R</v>
          </cell>
          <cell r="K14" t="str">
            <v>7E395</v>
          </cell>
          <cell r="L14" t="str">
            <v>CB</v>
          </cell>
          <cell r="M14" t="str">
            <v>JD8R-7E395-CB</v>
          </cell>
          <cell r="N14" t="str">
            <v xml:space="preserve">MT shifter cable </v>
          </cell>
          <cell r="P14" t="str">
            <v>陈行(xchen136)</v>
          </cell>
          <cell r="Q14" t="str">
            <v>余愉(yyu33)</v>
          </cell>
          <cell r="S14">
            <v>1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0.28000000000000003</v>
          </cell>
          <cell r="AC14">
            <v>-85.51</v>
          </cell>
          <cell r="AD14">
            <v>-0.66</v>
          </cell>
          <cell r="AE14">
            <v>-1.5</v>
          </cell>
          <cell r="AF14">
            <v>0</v>
          </cell>
          <cell r="AG14">
            <v>0</v>
          </cell>
          <cell r="AH14">
            <v>-87.67</v>
          </cell>
          <cell r="AI14" t="str">
            <v>CNY</v>
          </cell>
          <cell r="AJ14" t="str">
            <v>LP</v>
          </cell>
          <cell r="AK14" t="str">
            <v>Shanghai Dura</v>
          </cell>
          <cell r="AL14" t="str">
            <v>EXGTA</v>
          </cell>
          <cell r="AO14">
            <v>5</v>
          </cell>
          <cell r="AP14">
            <v>0.03</v>
          </cell>
          <cell r="AQ14">
            <v>0.03</v>
          </cell>
          <cell r="AR14">
            <v>0.03</v>
          </cell>
          <cell r="BB14">
            <v>-300000</v>
          </cell>
          <cell r="BC14">
            <v>-300000</v>
          </cell>
          <cell r="BE14">
            <v>0</v>
          </cell>
          <cell r="BF14">
            <v>0</v>
          </cell>
        </row>
        <row r="15">
          <cell r="C15" t="str">
            <v>PT31</v>
          </cell>
          <cell r="D15" t="str">
            <v>-</v>
          </cell>
          <cell r="E15" t="str">
            <v>MT shifter cable</v>
          </cell>
          <cell r="F15" t="str">
            <v>手动换挡拉索</v>
          </cell>
          <cell r="G15" t="str">
            <v>B</v>
          </cell>
          <cell r="H15" t="str">
            <v>PMT4</v>
          </cell>
          <cell r="I15" t="str">
            <v>PF</v>
          </cell>
          <cell r="J15" t="str">
            <v>JD8R</v>
          </cell>
          <cell r="K15" t="str">
            <v>7E395</v>
          </cell>
          <cell r="L15" t="str">
            <v>DB</v>
          </cell>
          <cell r="M15" t="str">
            <v>JD8R-7E395-DB</v>
          </cell>
          <cell r="N15" t="str">
            <v xml:space="preserve">MT shifter cable </v>
          </cell>
          <cell r="P15" t="str">
            <v>陈行(xchen136)</v>
          </cell>
          <cell r="Q15" t="str">
            <v>余愉(yyu33)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0.09</v>
          </cell>
          <cell r="AC15">
            <v>-86.18</v>
          </cell>
          <cell r="AD15">
            <v>-0.66</v>
          </cell>
          <cell r="AE15">
            <v>-1.5</v>
          </cell>
          <cell r="AF15">
            <v>0</v>
          </cell>
          <cell r="AG15">
            <v>0</v>
          </cell>
          <cell r="AH15">
            <v>-88.34</v>
          </cell>
          <cell r="AI15" t="str">
            <v>CNY</v>
          </cell>
          <cell r="AJ15" t="str">
            <v>LP</v>
          </cell>
          <cell r="AK15" t="str">
            <v>Shanghai Dura</v>
          </cell>
          <cell r="AL15" t="str">
            <v>EXGTA</v>
          </cell>
          <cell r="AO15">
            <v>5</v>
          </cell>
          <cell r="AP15">
            <v>0.03</v>
          </cell>
          <cell r="AQ15">
            <v>0.03</v>
          </cell>
          <cell r="AR15">
            <v>0.03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</row>
        <row r="16">
          <cell r="C16" t="str">
            <v>PT31</v>
          </cell>
          <cell r="D16" t="str">
            <v>PT31</v>
          </cell>
          <cell r="E16" t="str">
            <v>MT shifter cable</v>
          </cell>
          <cell r="F16" t="str">
            <v>手动换挡拉索</v>
          </cell>
          <cell r="G16" t="str">
            <v>B</v>
          </cell>
          <cell r="H16" t="str">
            <v>PMT4</v>
          </cell>
          <cell r="I16" t="str">
            <v>PF</v>
          </cell>
          <cell r="J16" t="str">
            <v>JD8R</v>
          </cell>
          <cell r="K16">
            <v>7474</v>
          </cell>
          <cell r="L16" t="str">
            <v>CA</v>
          </cell>
          <cell r="M16" t="str">
            <v>JD8R-7474-CA</v>
          </cell>
          <cell r="N16" t="str">
            <v>MT Shifter Cable Bracket</v>
          </cell>
          <cell r="O16">
            <v>42706</v>
          </cell>
          <cell r="P16" t="str">
            <v>Li li</v>
          </cell>
          <cell r="Q16" t="str">
            <v>Wang hai</v>
          </cell>
          <cell r="S16">
            <v>1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0.28000000000000003</v>
          </cell>
          <cell r="AC16">
            <v>-8.8800000000000008</v>
          </cell>
          <cell r="AD16">
            <v>-0.4</v>
          </cell>
          <cell r="AE16">
            <v>-0.66</v>
          </cell>
          <cell r="AF16">
            <v>0</v>
          </cell>
          <cell r="AG16">
            <v>0</v>
          </cell>
          <cell r="AH16">
            <v>-9.9400000000000013</v>
          </cell>
          <cell r="AI16" t="str">
            <v>CNY</v>
          </cell>
          <cell r="AJ16" t="str">
            <v>LP</v>
          </cell>
          <cell r="AK16" t="str">
            <v>Shanghai Dura</v>
          </cell>
          <cell r="AL16" t="str">
            <v>EXGTA</v>
          </cell>
          <cell r="AO16">
            <v>5</v>
          </cell>
          <cell r="AP16">
            <v>0.03</v>
          </cell>
          <cell r="AQ16">
            <v>0.03</v>
          </cell>
          <cell r="AR16">
            <v>0.03</v>
          </cell>
          <cell r="BB16">
            <v>-138000</v>
          </cell>
          <cell r="BC16">
            <v>-138000</v>
          </cell>
          <cell r="BE16">
            <v>0</v>
          </cell>
          <cell r="BF16">
            <v>0</v>
          </cell>
        </row>
        <row r="17">
          <cell r="C17" t="str">
            <v>PT31</v>
          </cell>
          <cell r="D17" t="str">
            <v>-</v>
          </cell>
          <cell r="E17" t="str">
            <v>MT shifter cable</v>
          </cell>
          <cell r="F17" t="str">
            <v>手动换挡拉索</v>
          </cell>
          <cell r="G17" t="str">
            <v>B</v>
          </cell>
          <cell r="H17" t="str">
            <v>PMT4</v>
          </cell>
          <cell r="I17" t="str">
            <v>PF</v>
          </cell>
          <cell r="J17" t="str">
            <v>JD8R</v>
          </cell>
          <cell r="K17">
            <v>7474</v>
          </cell>
          <cell r="L17" t="str">
            <v>EA</v>
          </cell>
          <cell r="M17" t="str">
            <v>JD8R-7474-EA</v>
          </cell>
          <cell r="N17" t="str">
            <v>MT Shifter Cable Bracket</v>
          </cell>
          <cell r="O17">
            <v>42706</v>
          </cell>
          <cell r="P17" t="str">
            <v>Li li</v>
          </cell>
          <cell r="Q17" t="str">
            <v>Wang hai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0.09</v>
          </cell>
          <cell r="AC17">
            <v>-8.8800000000000008</v>
          </cell>
          <cell r="AD17">
            <v>-0.4</v>
          </cell>
          <cell r="AE17">
            <v>-0.66</v>
          </cell>
          <cell r="AF17">
            <v>0</v>
          </cell>
          <cell r="AG17">
            <v>0</v>
          </cell>
          <cell r="AH17">
            <v>-9.9400000000000013</v>
          </cell>
          <cell r="AI17" t="str">
            <v>CNY</v>
          </cell>
          <cell r="AJ17" t="str">
            <v>LP</v>
          </cell>
          <cell r="AK17" t="str">
            <v>Shanghai Dura</v>
          </cell>
          <cell r="AL17" t="str">
            <v>EXGTA</v>
          </cell>
          <cell r="AO17">
            <v>5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</row>
        <row r="18">
          <cell r="C18" t="str">
            <v>ET16</v>
          </cell>
          <cell r="D18" t="str">
            <v>-</v>
          </cell>
          <cell r="E18" t="str">
            <v>Door Capping</v>
          </cell>
          <cell r="F18" t="str">
            <v>门外装饰盖</v>
          </cell>
          <cell r="G18" t="str">
            <v>B</v>
          </cell>
          <cell r="H18" t="str">
            <v>PMT1</v>
          </cell>
          <cell r="I18" t="str">
            <v>TH</v>
          </cell>
          <cell r="J18" t="str">
            <v>JD8B</v>
          </cell>
          <cell r="K18" t="str">
            <v>F20898</v>
          </cell>
          <cell r="L18" t="str">
            <v>AC</v>
          </cell>
          <cell r="M18" t="str">
            <v>JD8B-F20898-AC</v>
          </cell>
          <cell r="N18" t="str">
            <v>Pillar Applique</v>
          </cell>
          <cell r="O18">
            <v>42692</v>
          </cell>
          <cell r="P18" t="str">
            <v>Jiang haitao</v>
          </cell>
          <cell r="Q18" t="str">
            <v>Du jiaqi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  <cell r="Z18">
            <v>1</v>
          </cell>
          <cell r="AA18">
            <v>0.1</v>
          </cell>
          <cell r="AC18">
            <v>-16.36</v>
          </cell>
          <cell r="AD18">
            <v>-0.66</v>
          </cell>
          <cell r="AE18">
            <v>-0.16</v>
          </cell>
          <cell r="AF18">
            <v>0</v>
          </cell>
          <cell r="AG18">
            <v>-0.16</v>
          </cell>
          <cell r="AH18">
            <v>-17.34</v>
          </cell>
          <cell r="AI18" t="str">
            <v>CNY</v>
          </cell>
          <cell r="AJ18" t="str">
            <v>LP</v>
          </cell>
          <cell r="AK18" t="str">
            <v>CQ Guang Neng</v>
          </cell>
          <cell r="AL18" t="str">
            <v>DH0HA</v>
          </cell>
          <cell r="AO18">
            <v>2</v>
          </cell>
          <cell r="BB18">
            <v>-822500</v>
          </cell>
          <cell r="BC18">
            <v>-822500</v>
          </cell>
          <cell r="BE18">
            <v>-88750</v>
          </cell>
          <cell r="BF18">
            <v>574899</v>
          </cell>
        </row>
        <row r="19">
          <cell r="C19" t="str">
            <v>ET16</v>
          </cell>
          <cell r="D19" t="str">
            <v>-</v>
          </cell>
          <cell r="E19" t="str">
            <v>Door Capping</v>
          </cell>
          <cell r="F19" t="str">
            <v>门外装饰盖</v>
          </cell>
          <cell r="G19" t="str">
            <v>B</v>
          </cell>
          <cell r="H19" t="str">
            <v>PMT1</v>
          </cell>
          <cell r="I19" t="str">
            <v>TH</v>
          </cell>
          <cell r="J19" t="str">
            <v>JD8B</v>
          </cell>
          <cell r="K19" t="str">
            <v>F20899</v>
          </cell>
          <cell r="L19" t="str">
            <v>AC</v>
          </cell>
          <cell r="M19" t="str">
            <v>JD8B-F20899-AC</v>
          </cell>
          <cell r="N19" t="str">
            <v>Pillar Applique</v>
          </cell>
          <cell r="O19">
            <v>42692</v>
          </cell>
          <cell r="P19" t="str">
            <v>Jiang haitao</v>
          </cell>
          <cell r="Q19" t="str">
            <v>Du jiaqi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  <cell r="Z19">
            <v>1</v>
          </cell>
          <cell r="AA19">
            <v>0.1</v>
          </cell>
          <cell r="AC19">
            <v>-16.36</v>
          </cell>
          <cell r="AD19">
            <v>-0.66</v>
          </cell>
          <cell r="AE19">
            <v>-0.16</v>
          </cell>
          <cell r="AF19">
            <v>0</v>
          </cell>
          <cell r="AG19">
            <v>-0.16</v>
          </cell>
          <cell r="AH19">
            <v>-17.34</v>
          </cell>
          <cell r="AI19" t="str">
            <v>CNY</v>
          </cell>
          <cell r="AJ19" t="str">
            <v>LP</v>
          </cell>
          <cell r="AK19" t="str">
            <v>CQ Guang Neng</v>
          </cell>
          <cell r="AL19" t="str">
            <v>DH0HA</v>
          </cell>
          <cell r="AO19">
            <v>2</v>
          </cell>
          <cell r="BB19">
            <v>-822500</v>
          </cell>
          <cell r="BC19">
            <v>-822500</v>
          </cell>
          <cell r="BE19">
            <v>-88750</v>
          </cell>
          <cell r="BF19">
            <v>574899</v>
          </cell>
        </row>
        <row r="20">
          <cell r="C20" t="str">
            <v>ET16</v>
          </cell>
          <cell r="D20" t="str">
            <v>-</v>
          </cell>
          <cell r="E20" t="str">
            <v>Door Capping</v>
          </cell>
          <cell r="F20" t="str">
            <v>门外装饰盖</v>
          </cell>
          <cell r="G20" t="str">
            <v>B</v>
          </cell>
          <cell r="H20" t="str">
            <v>PMT1</v>
          </cell>
          <cell r="I20" t="str">
            <v>TH</v>
          </cell>
          <cell r="J20" t="str">
            <v>JD8B</v>
          </cell>
          <cell r="K20" t="str">
            <v>F254A40</v>
          </cell>
          <cell r="L20" t="str">
            <v>AC</v>
          </cell>
          <cell r="M20" t="str">
            <v>JD8B-F254A40-AC</v>
          </cell>
          <cell r="N20" t="str">
            <v>Pillar Applique</v>
          </cell>
          <cell r="P20" t="str">
            <v>Jiang haitao</v>
          </cell>
          <cell r="Q20" t="str">
            <v>Du jiaqi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1</v>
          </cell>
          <cell r="AA20">
            <v>0.1</v>
          </cell>
          <cell r="AC20">
            <v>-16.059999999999999</v>
          </cell>
          <cell r="AD20">
            <v>-0.66</v>
          </cell>
          <cell r="AE20">
            <v>-0.16</v>
          </cell>
          <cell r="AF20">
            <v>0</v>
          </cell>
          <cell r="AG20">
            <v>-0.16</v>
          </cell>
          <cell r="AH20">
            <v>-17.04</v>
          </cell>
          <cell r="AI20" t="str">
            <v>CNY</v>
          </cell>
          <cell r="AJ20" t="str">
            <v>LP</v>
          </cell>
          <cell r="AK20" t="str">
            <v>CQ Guang Neng</v>
          </cell>
          <cell r="AL20" t="str">
            <v>DH0HA</v>
          </cell>
          <cell r="AO20">
            <v>2</v>
          </cell>
          <cell r="BB20">
            <v>-822500</v>
          </cell>
          <cell r="BC20">
            <v>-822500</v>
          </cell>
          <cell r="BE20">
            <v>-88750</v>
          </cell>
          <cell r="BF20">
            <v>574899</v>
          </cell>
        </row>
        <row r="21">
          <cell r="C21" t="str">
            <v>ET16</v>
          </cell>
          <cell r="D21" t="str">
            <v>-</v>
          </cell>
          <cell r="E21" t="str">
            <v>Door Capping</v>
          </cell>
          <cell r="F21" t="str">
            <v>门外装饰盖</v>
          </cell>
          <cell r="G21" t="str">
            <v>B</v>
          </cell>
          <cell r="H21" t="str">
            <v>PMT1</v>
          </cell>
          <cell r="I21" t="str">
            <v>TH</v>
          </cell>
          <cell r="J21" t="str">
            <v>JD8B</v>
          </cell>
          <cell r="K21" t="str">
            <v>F254A41</v>
          </cell>
          <cell r="L21" t="str">
            <v>AC</v>
          </cell>
          <cell r="M21" t="str">
            <v>JD8B-F254A41-AC</v>
          </cell>
          <cell r="N21" t="str">
            <v>Pillar Applique</v>
          </cell>
          <cell r="P21" t="str">
            <v>Jiang haitao</v>
          </cell>
          <cell r="Q21" t="str">
            <v>Du jiaqi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</v>
          </cell>
          <cell r="Z21">
            <v>1</v>
          </cell>
          <cell r="AA21">
            <v>0.1</v>
          </cell>
          <cell r="AC21">
            <v>-16.059999999999999</v>
          </cell>
          <cell r="AD21">
            <v>-0.66</v>
          </cell>
          <cell r="AE21">
            <v>-0.16</v>
          </cell>
          <cell r="AF21">
            <v>0</v>
          </cell>
          <cell r="AG21">
            <v>-0.16</v>
          </cell>
          <cell r="AH21">
            <v>-17.04</v>
          </cell>
          <cell r="AI21" t="str">
            <v>CNY</v>
          </cell>
          <cell r="AJ21" t="str">
            <v>LP</v>
          </cell>
          <cell r="AK21" t="str">
            <v>CQ Guang Neng</v>
          </cell>
          <cell r="AL21" t="str">
            <v>DH0HA</v>
          </cell>
          <cell r="AO21">
            <v>2</v>
          </cell>
          <cell r="BB21">
            <v>-822500</v>
          </cell>
          <cell r="BC21">
            <v>-822500</v>
          </cell>
          <cell r="BE21">
            <v>-88750</v>
          </cell>
          <cell r="BF21">
            <v>574899</v>
          </cell>
        </row>
        <row r="22">
          <cell r="C22" t="str">
            <v>ET16</v>
          </cell>
          <cell r="D22" t="str">
            <v>-</v>
          </cell>
          <cell r="E22" t="str">
            <v>Door Capping</v>
          </cell>
          <cell r="F22" t="str">
            <v>门外装饰盖</v>
          </cell>
          <cell r="G22" t="str">
            <v>B</v>
          </cell>
          <cell r="H22" t="str">
            <v>PMT1</v>
          </cell>
          <cell r="I22" t="str">
            <v>TH</v>
          </cell>
          <cell r="J22" t="str">
            <v>JD8B</v>
          </cell>
          <cell r="K22" t="str">
            <v>F254A42</v>
          </cell>
          <cell r="L22" t="str">
            <v>AC</v>
          </cell>
          <cell r="M22" t="str">
            <v>JD8B-F254A42-AC</v>
          </cell>
          <cell r="N22" t="str">
            <v>Pillar Applique</v>
          </cell>
          <cell r="P22" t="str">
            <v>Jiang haitao</v>
          </cell>
          <cell r="Q22" t="str">
            <v>Du jiaqi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  <cell r="Z22">
            <v>1</v>
          </cell>
          <cell r="AA22">
            <v>0.1</v>
          </cell>
          <cell r="AC22">
            <v>-14.51</v>
          </cell>
          <cell r="AD22">
            <v>-0.91</v>
          </cell>
          <cell r="AE22">
            <v>-0.16</v>
          </cell>
          <cell r="AF22">
            <v>0</v>
          </cell>
          <cell r="AG22">
            <v>-0.16</v>
          </cell>
          <cell r="AH22">
            <v>-15.74</v>
          </cell>
          <cell r="AI22" t="str">
            <v>CNY</v>
          </cell>
          <cell r="AJ22" t="str">
            <v>LP</v>
          </cell>
          <cell r="AK22" t="str">
            <v>CQ Guang Neng</v>
          </cell>
          <cell r="AL22" t="str">
            <v>DH0HA</v>
          </cell>
          <cell r="AO22">
            <v>2</v>
          </cell>
          <cell r="BB22">
            <v>-815000</v>
          </cell>
          <cell r="BC22">
            <v>-815000</v>
          </cell>
          <cell r="BE22">
            <v>-88750</v>
          </cell>
          <cell r="BF22">
            <v>574899</v>
          </cell>
        </row>
        <row r="23">
          <cell r="C23" t="str">
            <v>ET16</v>
          </cell>
          <cell r="D23" t="str">
            <v>-</v>
          </cell>
          <cell r="E23" t="str">
            <v>Door Capping</v>
          </cell>
          <cell r="F23" t="str">
            <v>门外装饰盖</v>
          </cell>
          <cell r="G23" t="str">
            <v>B</v>
          </cell>
          <cell r="H23" t="str">
            <v>PMT1</v>
          </cell>
          <cell r="I23" t="str">
            <v>TH</v>
          </cell>
          <cell r="J23" t="str">
            <v>JD8B</v>
          </cell>
          <cell r="K23" t="str">
            <v>F254A43</v>
          </cell>
          <cell r="L23" t="str">
            <v>AC</v>
          </cell>
          <cell r="M23" t="str">
            <v>JD8B-F254A43-AC</v>
          </cell>
          <cell r="N23" t="str">
            <v>Pillar Applique</v>
          </cell>
          <cell r="O23">
            <v>42692</v>
          </cell>
          <cell r="P23" t="str">
            <v>Jiang haitao</v>
          </cell>
          <cell r="Q23" t="str">
            <v>Du jiaqi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1</v>
          </cell>
          <cell r="AA23">
            <v>0.1</v>
          </cell>
          <cell r="AC23">
            <v>-14.51</v>
          </cell>
          <cell r="AD23">
            <v>-0.91</v>
          </cell>
          <cell r="AE23">
            <v>-0.16</v>
          </cell>
          <cell r="AF23">
            <v>0</v>
          </cell>
          <cell r="AG23">
            <v>-0.16</v>
          </cell>
          <cell r="AH23">
            <v>-15.74</v>
          </cell>
          <cell r="AI23" t="str">
            <v>CNY</v>
          </cell>
          <cell r="AJ23" t="str">
            <v>LP</v>
          </cell>
          <cell r="AK23" t="str">
            <v>CQ Guang Neng</v>
          </cell>
          <cell r="AL23" t="str">
            <v>DH0HA</v>
          </cell>
          <cell r="AO23">
            <v>2</v>
          </cell>
          <cell r="BB23">
            <v>-815000</v>
          </cell>
          <cell r="BC23">
            <v>-815000</v>
          </cell>
          <cell r="BE23">
            <v>-88750</v>
          </cell>
          <cell r="BF23">
            <v>574899</v>
          </cell>
        </row>
        <row r="24">
          <cell r="C24" t="str">
            <v>CH016</v>
          </cell>
          <cell r="D24" t="str">
            <v>-</v>
          </cell>
          <cell r="E24" t="str">
            <v>Alloy Wheel 15''</v>
          </cell>
          <cell r="F24" t="str">
            <v>15寸铝车轮</v>
          </cell>
          <cell r="G24" t="str">
            <v>D</v>
          </cell>
          <cell r="H24" t="str">
            <v>PMT3</v>
          </cell>
          <cell r="I24" t="str">
            <v>PF</v>
          </cell>
          <cell r="J24" t="str">
            <v>JD8T</v>
          </cell>
          <cell r="K24">
            <v>1007</v>
          </cell>
          <cell r="L24" t="str">
            <v>CA</v>
          </cell>
          <cell r="M24" t="str">
            <v>JD8T-1007-CA</v>
          </cell>
          <cell r="N24" t="str">
            <v>15 Inch Alloy Wheel</v>
          </cell>
          <cell r="O24">
            <v>42671</v>
          </cell>
          <cell r="P24" t="str">
            <v>Li Jie</v>
          </cell>
          <cell r="Q24" t="str">
            <v>luo feng</v>
          </cell>
          <cell r="S24">
            <v>4</v>
          </cell>
          <cell r="T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1.2000000000000002</v>
          </cell>
          <cell r="AC24">
            <v>-174.79</v>
          </cell>
          <cell r="AD24">
            <v>-1.51</v>
          </cell>
          <cell r="AE24">
            <v>-1.34</v>
          </cell>
          <cell r="AF24">
            <v>0</v>
          </cell>
          <cell r="AG24">
            <v>-2</v>
          </cell>
          <cell r="AH24">
            <v>-179.64</v>
          </cell>
          <cell r="AI24" t="str">
            <v>CNY</v>
          </cell>
          <cell r="AJ24" t="str">
            <v>LP</v>
          </cell>
          <cell r="AK24" t="str">
            <v>Zhejiang Wanfeng</v>
          </cell>
          <cell r="AL24" t="str">
            <v>EUJJA</v>
          </cell>
          <cell r="AO24">
            <v>1</v>
          </cell>
          <cell r="AP24">
            <v>0.03</v>
          </cell>
          <cell r="AQ24">
            <v>0.03</v>
          </cell>
          <cell r="AR24">
            <v>0.03</v>
          </cell>
          <cell r="BB24">
            <v>0</v>
          </cell>
          <cell r="BC24" t="str">
            <v>Amortized</v>
          </cell>
          <cell r="BE24">
            <v>0</v>
          </cell>
          <cell r="BF24">
            <v>0</v>
          </cell>
          <cell r="BG24">
            <v>0</v>
          </cell>
          <cell r="BL24" t="str">
            <v>Y</v>
          </cell>
          <cell r="BM24" t="str">
            <v xml:space="preserve">A356 14.31元/千克 </v>
          </cell>
        </row>
        <row r="25">
          <cell r="C25" t="str">
            <v>CH016</v>
          </cell>
          <cell r="D25" t="str">
            <v>CH016</v>
          </cell>
          <cell r="E25" t="str">
            <v>Alloy Wheel 16‘’</v>
          </cell>
          <cell r="F25" t="str">
            <v>16寸铝车轮</v>
          </cell>
          <cell r="G25" t="str">
            <v>D</v>
          </cell>
          <cell r="H25" t="str">
            <v>PMT3</v>
          </cell>
          <cell r="I25" t="str">
            <v>PF</v>
          </cell>
          <cell r="J25" t="str">
            <v>JD8T</v>
          </cell>
          <cell r="K25">
            <v>1007</v>
          </cell>
          <cell r="L25" t="str">
            <v>BA</v>
          </cell>
          <cell r="M25" t="str">
            <v>JD8T-1007-BA</v>
          </cell>
          <cell r="N25" t="str">
            <v>16 Inch Alloy Wheel</v>
          </cell>
          <cell r="O25">
            <v>42671</v>
          </cell>
          <cell r="P25" t="str">
            <v>Li Jie</v>
          </cell>
          <cell r="Q25" t="str">
            <v>luo feng</v>
          </cell>
          <cell r="S25">
            <v>0</v>
          </cell>
          <cell r="T25">
            <v>0</v>
          </cell>
          <cell r="U25">
            <v>4</v>
          </cell>
          <cell r="V25">
            <v>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1.48</v>
          </cell>
          <cell r="AC25">
            <v>-209.63</v>
          </cell>
          <cell r="AD25">
            <v>-1.33</v>
          </cell>
          <cell r="AE25">
            <v>-0.83</v>
          </cell>
          <cell r="AF25">
            <v>0</v>
          </cell>
          <cell r="AG25">
            <v>-2</v>
          </cell>
          <cell r="AH25">
            <v>-213.79000000000002</v>
          </cell>
          <cell r="AI25" t="str">
            <v>CNY</v>
          </cell>
          <cell r="AJ25" t="str">
            <v>LP</v>
          </cell>
          <cell r="AK25" t="str">
            <v>CITIC Dicastal</v>
          </cell>
          <cell r="AL25" t="str">
            <v>EKKGA</v>
          </cell>
          <cell r="AO25">
            <v>1</v>
          </cell>
          <cell r="AP25">
            <v>0.03</v>
          </cell>
          <cell r="AQ25">
            <v>0.03</v>
          </cell>
          <cell r="AR25">
            <v>0.03</v>
          </cell>
          <cell r="BB25">
            <v>0</v>
          </cell>
          <cell r="BC25" t="str">
            <v>Amortized</v>
          </cell>
          <cell r="BL25" t="str">
            <v>Y</v>
          </cell>
          <cell r="BM25" t="str">
            <v xml:space="preserve">A356 13元/千克 </v>
          </cell>
        </row>
        <row r="26">
          <cell r="C26" t="str">
            <v>CH016</v>
          </cell>
          <cell r="D26" t="str">
            <v>-</v>
          </cell>
          <cell r="E26" t="str">
            <v>Alloy Wheel 16''</v>
          </cell>
          <cell r="F26" t="str">
            <v>16寸铝车轮</v>
          </cell>
          <cell r="G26" t="str">
            <v>D</v>
          </cell>
          <cell r="H26" t="str">
            <v>PMT3</v>
          </cell>
          <cell r="I26" t="str">
            <v>PF</v>
          </cell>
          <cell r="J26" t="str">
            <v>JD8T</v>
          </cell>
          <cell r="K26">
            <v>1007</v>
          </cell>
          <cell r="L26" t="str">
            <v>DA</v>
          </cell>
          <cell r="M26" t="str">
            <v>JD8T-1007-DA</v>
          </cell>
          <cell r="N26" t="str">
            <v>16 Inch Alloy Wheel</v>
          </cell>
          <cell r="O26">
            <v>42671</v>
          </cell>
          <cell r="P26" t="str">
            <v>Li Jie</v>
          </cell>
          <cell r="Q26" t="str">
            <v>luo feng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</v>
          </cell>
          <cell r="X26">
            <v>4</v>
          </cell>
          <cell r="Y26">
            <v>0</v>
          </cell>
          <cell r="Z26">
            <v>0</v>
          </cell>
          <cell r="AA26">
            <v>0.92</v>
          </cell>
          <cell r="AC26">
            <v>-211.19</v>
          </cell>
          <cell r="AD26">
            <v>-1.51</v>
          </cell>
          <cell r="AE26">
            <v>-1.56</v>
          </cell>
          <cell r="AF26">
            <v>0</v>
          </cell>
          <cell r="AG26">
            <v>-2</v>
          </cell>
          <cell r="AH26">
            <v>-216.26</v>
          </cell>
          <cell r="AI26" t="str">
            <v>CNY</v>
          </cell>
          <cell r="AJ26" t="str">
            <v>LP</v>
          </cell>
          <cell r="AK26" t="str">
            <v>Zhejiang Wanfeng</v>
          </cell>
          <cell r="AL26" t="str">
            <v>EUJJA</v>
          </cell>
          <cell r="AO26">
            <v>1</v>
          </cell>
          <cell r="AP26">
            <v>0.03</v>
          </cell>
          <cell r="AQ26">
            <v>0.03</v>
          </cell>
          <cell r="AR26">
            <v>0.03</v>
          </cell>
          <cell r="BB26">
            <v>0</v>
          </cell>
          <cell r="BC26" t="str">
            <v>Amortized</v>
          </cell>
          <cell r="BE26">
            <v>0</v>
          </cell>
          <cell r="BF26">
            <v>0</v>
          </cell>
          <cell r="BG26">
            <v>0</v>
          </cell>
          <cell r="BL26" t="str">
            <v>Y</v>
          </cell>
          <cell r="BM26" t="str">
            <v xml:space="preserve">A356 14.31元/千克 </v>
          </cell>
        </row>
        <row r="27">
          <cell r="C27" t="str">
            <v>CH016</v>
          </cell>
          <cell r="D27" t="str">
            <v>-</v>
          </cell>
          <cell r="E27" t="str">
            <v>Alloy Wheel 17''</v>
          </cell>
          <cell r="F27" t="str">
            <v>17寸铝车轮</v>
          </cell>
          <cell r="G27" t="str">
            <v>D</v>
          </cell>
          <cell r="H27" t="str">
            <v>PMT3</v>
          </cell>
          <cell r="I27" t="str">
            <v>PF</v>
          </cell>
          <cell r="J27" t="str">
            <v>JD8T</v>
          </cell>
          <cell r="K27">
            <v>1007</v>
          </cell>
          <cell r="L27" t="str">
            <v>AA</v>
          </cell>
          <cell r="M27" t="str">
            <v>JD8T-1007-AA</v>
          </cell>
          <cell r="N27" t="str">
            <v>17 Inch Alloy Wheel</v>
          </cell>
          <cell r="O27">
            <v>42671</v>
          </cell>
          <cell r="P27" t="str">
            <v>Li Jie</v>
          </cell>
          <cell r="Q27" t="str">
            <v>luo feng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4</v>
          </cell>
          <cell r="Z27">
            <v>4</v>
          </cell>
          <cell r="AA27">
            <v>0.4</v>
          </cell>
          <cell r="AC27">
            <v>-313.63</v>
          </cell>
          <cell r="AD27">
            <v>-1.71</v>
          </cell>
          <cell r="AE27">
            <v>-4.8</v>
          </cell>
          <cell r="AG27">
            <v>-2</v>
          </cell>
          <cell r="AH27">
            <v>-322.14</v>
          </cell>
          <cell r="AI27" t="str">
            <v>CNY</v>
          </cell>
          <cell r="AJ27" t="str">
            <v>LP</v>
          </cell>
          <cell r="AK27" t="str">
            <v>CITIC Dicastal</v>
          </cell>
          <cell r="AL27" t="str">
            <v>EKKGA</v>
          </cell>
          <cell r="AO27">
            <v>1</v>
          </cell>
          <cell r="AP27">
            <v>0.03</v>
          </cell>
          <cell r="AQ27">
            <v>0.03</v>
          </cell>
          <cell r="AR27">
            <v>0.03</v>
          </cell>
          <cell r="BB27">
            <v>0</v>
          </cell>
          <cell r="BC27" t="str">
            <v>Amortized</v>
          </cell>
          <cell r="BL27" t="str">
            <v>Y</v>
          </cell>
          <cell r="BM27" t="str">
            <v xml:space="preserve">A356 13元/千克 </v>
          </cell>
        </row>
        <row r="28">
          <cell r="C28" t="str">
            <v>CH018+FORTUNE</v>
          </cell>
          <cell r="D28" t="str">
            <v>CH018+FORTUNE</v>
          </cell>
          <cell r="E28" t="str">
            <v>Wheels and Tires Assy</v>
          </cell>
          <cell r="G28" t="str">
            <v>D</v>
          </cell>
          <cell r="H28" t="str">
            <v>PMT3</v>
          </cell>
          <cell r="I28" t="str">
            <v>PF</v>
          </cell>
          <cell r="J28" t="str">
            <v>JD8C </v>
          </cell>
          <cell r="K28" t="str">
            <v>1K003</v>
          </cell>
          <cell r="L28" t="str">
            <v>BA</v>
          </cell>
          <cell r="M28" t="str">
            <v>JD8C -1K003-BA</v>
          </cell>
          <cell r="N28" t="str">
            <v>Wheels and Tires Assy</v>
          </cell>
          <cell r="P28" t="str">
            <v>李杰</v>
          </cell>
          <cell r="Q28" t="str">
            <v>周琦</v>
          </cell>
          <cell r="S28">
            <v>0</v>
          </cell>
          <cell r="T28">
            <v>0</v>
          </cell>
          <cell r="U28">
            <v>4</v>
          </cell>
          <cell r="V28">
            <v>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1.48</v>
          </cell>
          <cell r="AC28">
            <v>-495.7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-495.7</v>
          </cell>
          <cell r="AI28" t="str">
            <v>CNY</v>
          </cell>
          <cell r="AJ28" t="str">
            <v>LP</v>
          </cell>
          <cell r="AK28" t="str">
            <v>重庆福昶 </v>
          </cell>
          <cell r="AL28" t="str">
            <v>CX1RA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</row>
        <row r="29">
          <cell r="C29" t="str">
            <v>CH018+FORTUNE</v>
          </cell>
          <cell r="D29" t="str">
            <v>-</v>
          </cell>
          <cell r="E29" t="str">
            <v>Wheels and Tires Assy</v>
          </cell>
          <cell r="G29" t="str">
            <v>D</v>
          </cell>
          <cell r="H29" t="str">
            <v>PMT3</v>
          </cell>
          <cell r="I29" t="str">
            <v>PF</v>
          </cell>
          <cell r="J29" t="str">
            <v>JD8C </v>
          </cell>
          <cell r="K29" t="str">
            <v>1K003</v>
          </cell>
          <cell r="L29" t="str">
            <v>DA</v>
          </cell>
          <cell r="M29" t="str">
            <v>JD8C -1K003-DA</v>
          </cell>
          <cell r="N29" t="str">
            <v>Wheels and Tires Assy</v>
          </cell>
          <cell r="P29" t="str">
            <v>李杰</v>
          </cell>
          <cell r="Q29" t="str">
            <v>周琦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</v>
          </cell>
          <cell r="X29">
            <v>4</v>
          </cell>
          <cell r="Y29">
            <v>0</v>
          </cell>
          <cell r="Z29">
            <v>0</v>
          </cell>
          <cell r="AA29">
            <v>0.92</v>
          </cell>
          <cell r="AC29">
            <v>-498.18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-498.18</v>
          </cell>
          <cell r="AI29" t="str">
            <v>CNY</v>
          </cell>
          <cell r="AJ29" t="str">
            <v>LP</v>
          </cell>
          <cell r="AK29" t="str">
            <v>重庆福昶 </v>
          </cell>
          <cell r="AL29" t="str">
            <v>CX1RA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</row>
        <row r="30">
          <cell r="C30" t="str">
            <v>CH018+CAMS</v>
          </cell>
          <cell r="D30" t="str">
            <v>-</v>
          </cell>
          <cell r="E30" t="str">
            <v>Wheels and Tires Assy</v>
          </cell>
          <cell r="G30" t="str">
            <v>D</v>
          </cell>
          <cell r="H30" t="str">
            <v>PMT3</v>
          </cell>
          <cell r="I30" t="str">
            <v>PF</v>
          </cell>
          <cell r="J30" t="str">
            <v>JD8C </v>
          </cell>
          <cell r="K30" t="str">
            <v>1K003</v>
          </cell>
          <cell r="L30" t="str">
            <v>AA</v>
          </cell>
          <cell r="M30" t="str">
            <v>JD8C -1K003-AA</v>
          </cell>
          <cell r="N30" t="str">
            <v>Wheels and Tires Assy</v>
          </cell>
          <cell r="P30" t="str">
            <v>李杰</v>
          </cell>
          <cell r="Q30" t="str">
            <v>周琦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4</v>
          </cell>
          <cell r="Z30">
            <v>4</v>
          </cell>
          <cell r="AA30">
            <v>0.4</v>
          </cell>
          <cell r="AC30">
            <v>-615.1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-615.1</v>
          </cell>
          <cell r="AI30" t="str">
            <v>CNY</v>
          </cell>
          <cell r="AJ30" t="str">
            <v>LP</v>
          </cell>
          <cell r="AK30" t="str">
            <v>重庆福昶 </v>
          </cell>
          <cell r="AL30" t="str">
            <v>CX1RA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</row>
        <row r="31">
          <cell r="C31" t="str">
            <v>CH018+CAMS</v>
          </cell>
          <cell r="D31" t="str">
            <v>-</v>
          </cell>
          <cell r="E31" t="str">
            <v>Wheels and Tires Assy</v>
          </cell>
          <cell r="G31" t="str">
            <v>D</v>
          </cell>
          <cell r="H31" t="str">
            <v>PMT3</v>
          </cell>
          <cell r="I31" t="str">
            <v>PF</v>
          </cell>
          <cell r="J31" t="str">
            <v>JD8C </v>
          </cell>
          <cell r="K31" t="str">
            <v>1K003</v>
          </cell>
          <cell r="L31" t="str">
            <v>CB</v>
          </cell>
          <cell r="M31" t="str">
            <v>JD8C -1K003-CB</v>
          </cell>
          <cell r="N31" t="str">
            <v>Wheels and Tires Assy</v>
          </cell>
          <cell r="P31" t="str">
            <v>李杰</v>
          </cell>
          <cell r="Q31" t="str">
            <v>周琦</v>
          </cell>
          <cell r="S31">
            <v>4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0.56000000000000005</v>
          </cell>
          <cell r="AC31">
            <v>-390.64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-390.64</v>
          </cell>
          <cell r="AI31" t="str">
            <v>CNY</v>
          </cell>
          <cell r="AJ31" t="str">
            <v>LP</v>
          </cell>
          <cell r="AK31" t="str">
            <v>重庆福昶 </v>
          </cell>
          <cell r="AL31" t="str">
            <v>CX1RA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</row>
        <row r="32">
          <cell r="C32" t="str">
            <v>CH018+CAMS</v>
          </cell>
          <cell r="D32" t="str">
            <v>-</v>
          </cell>
          <cell r="E32" t="str">
            <v>Wheels and Tires Assy</v>
          </cell>
          <cell r="G32" t="str">
            <v>D</v>
          </cell>
          <cell r="H32" t="str">
            <v>PMT3</v>
          </cell>
          <cell r="I32" t="str">
            <v>PF</v>
          </cell>
          <cell r="J32" t="str">
            <v>JD8C </v>
          </cell>
          <cell r="K32" t="str">
            <v>1K003</v>
          </cell>
          <cell r="L32" t="str">
            <v>EA</v>
          </cell>
          <cell r="M32" t="str">
            <v>JD8C -1K003-EA</v>
          </cell>
          <cell r="N32" t="str">
            <v>Wheels and Tires Assy</v>
          </cell>
          <cell r="P32" t="str">
            <v>李杰</v>
          </cell>
          <cell r="Q32" t="str">
            <v>周琦</v>
          </cell>
          <cell r="S32">
            <v>0</v>
          </cell>
          <cell r="T32">
            <v>4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0.64</v>
          </cell>
          <cell r="AC32">
            <v>-360.44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-360.44</v>
          </cell>
          <cell r="AI32" t="str">
            <v>CNY</v>
          </cell>
          <cell r="AJ32" t="str">
            <v>LP</v>
          </cell>
          <cell r="AK32" t="str">
            <v>重庆福昶 </v>
          </cell>
          <cell r="AL32" t="str">
            <v>CX1RA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</row>
        <row r="33">
          <cell r="C33" t="str">
            <v>CH018</v>
          </cell>
          <cell r="D33" t="str">
            <v>CH018</v>
          </cell>
          <cell r="E33" t="str">
            <v>Wheels and Tires Assy</v>
          </cell>
          <cell r="G33" t="str">
            <v>D</v>
          </cell>
          <cell r="H33" t="str">
            <v>PMT3</v>
          </cell>
          <cell r="I33" t="str">
            <v>PF</v>
          </cell>
          <cell r="J33" t="str">
            <v>ED8C</v>
          </cell>
          <cell r="K33" t="str">
            <v>1K003</v>
          </cell>
          <cell r="L33" t="str">
            <v>EB</v>
          </cell>
          <cell r="M33" t="str">
            <v>ED8C-1K003-EB</v>
          </cell>
          <cell r="N33" t="str">
            <v>Wheels and Tires Assy</v>
          </cell>
          <cell r="P33" t="str">
            <v>李杰</v>
          </cell>
          <cell r="Q33" t="str">
            <v>周琦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0</v>
          </cell>
          <cell r="AC33">
            <v>-221.46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-221.46</v>
          </cell>
          <cell r="AI33" t="str">
            <v>CNY</v>
          </cell>
          <cell r="AJ33" t="str">
            <v>LP</v>
          </cell>
          <cell r="AK33" t="str">
            <v>重庆福昶 </v>
          </cell>
          <cell r="AL33" t="str">
            <v>CX1RA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</row>
        <row r="34">
          <cell r="C34" t="str">
            <v>E023</v>
          </cell>
          <cell r="D34" t="str">
            <v>E023</v>
          </cell>
          <cell r="E34" t="str">
            <v>Head lamp</v>
          </cell>
          <cell r="F34" t="str">
            <v>前大灯</v>
          </cell>
          <cell r="G34" t="str">
            <v>B</v>
          </cell>
          <cell r="H34" t="str">
            <v>PMT1</v>
          </cell>
          <cell r="I34" t="str">
            <v>TH</v>
          </cell>
          <cell r="J34" t="str">
            <v>JD8B</v>
          </cell>
          <cell r="K34" t="str">
            <v>13W029</v>
          </cell>
          <cell r="L34" t="str">
            <v>AE</v>
          </cell>
          <cell r="M34" t="str">
            <v>JD8B-13W029-AE</v>
          </cell>
          <cell r="N34" t="str">
            <v>Headlamp</v>
          </cell>
          <cell r="O34">
            <v>42636</v>
          </cell>
          <cell r="P34" t="str">
            <v>Luo,zhoudi</v>
          </cell>
          <cell r="Q34" t="str">
            <v xml:space="preserve">Yuxiaoxing                                      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0</v>
          </cell>
          <cell r="Z34">
            <v>0</v>
          </cell>
          <cell r="AA34">
            <v>0.9</v>
          </cell>
          <cell r="AC34">
            <v>-275.62</v>
          </cell>
          <cell r="AD34">
            <v>-7.59</v>
          </cell>
          <cell r="AE34">
            <v>-2.36</v>
          </cell>
          <cell r="AF34">
            <v>0</v>
          </cell>
          <cell r="AG34">
            <v>-3.99</v>
          </cell>
          <cell r="AH34">
            <v>-289.56</v>
          </cell>
          <cell r="AI34" t="str">
            <v>CNY</v>
          </cell>
          <cell r="AJ34" t="str">
            <v>LP</v>
          </cell>
          <cell r="AK34" t="str">
            <v>Visteon TYC</v>
          </cell>
          <cell r="AL34" t="str">
            <v>FCXBB</v>
          </cell>
          <cell r="AO34">
            <v>5</v>
          </cell>
          <cell r="BB34">
            <v>-13106154</v>
          </cell>
          <cell r="BC34">
            <v>-13106154</v>
          </cell>
          <cell r="BE34">
            <v>-4125440.7</v>
          </cell>
          <cell r="BF34">
            <v>1034818.2</v>
          </cell>
        </row>
        <row r="35">
          <cell r="C35" t="str">
            <v>E023</v>
          </cell>
          <cell r="D35" t="str">
            <v>E023</v>
          </cell>
          <cell r="E35" t="str">
            <v>Head lamp</v>
          </cell>
          <cell r="F35" t="str">
            <v>前大灯</v>
          </cell>
          <cell r="G35" t="str">
            <v>B</v>
          </cell>
          <cell r="H35" t="str">
            <v>PMT1</v>
          </cell>
          <cell r="I35" t="str">
            <v>TH</v>
          </cell>
          <cell r="J35" t="str">
            <v>JD8B</v>
          </cell>
          <cell r="K35" t="str">
            <v>13W030</v>
          </cell>
          <cell r="L35" t="str">
            <v>AE</v>
          </cell>
          <cell r="M35" t="str">
            <v>JD8B-13W030-AE</v>
          </cell>
          <cell r="N35" t="str">
            <v>Headlamp</v>
          </cell>
          <cell r="O35">
            <v>42636</v>
          </cell>
          <cell r="P35" t="str">
            <v>Luo,zhoudi</v>
          </cell>
          <cell r="Q35" t="str">
            <v xml:space="preserve">Yuxiaoxing                                      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0</v>
          </cell>
          <cell r="Z35">
            <v>0</v>
          </cell>
          <cell r="AA35">
            <v>0.9</v>
          </cell>
          <cell r="AC35">
            <v>-275.62</v>
          </cell>
          <cell r="AD35">
            <v>-7.59</v>
          </cell>
          <cell r="AE35">
            <v>-2.36</v>
          </cell>
          <cell r="AF35">
            <v>0</v>
          </cell>
          <cell r="AG35">
            <v>-3.99</v>
          </cell>
          <cell r="AH35">
            <v>-289.56</v>
          </cell>
          <cell r="AI35" t="str">
            <v>CNY</v>
          </cell>
          <cell r="AJ35" t="str">
            <v>LP</v>
          </cell>
          <cell r="AK35" t="str">
            <v>Visteon TYC</v>
          </cell>
          <cell r="AL35" t="str">
            <v>FCXBB</v>
          </cell>
          <cell r="AO35">
            <v>5</v>
          </cell>
          <cell r="BB35">
            <v>0</v>
          </cell>
          <cell r="BC35">
            <v>0</v>
          </cell>
          <cell r="BE35" t="str">
            <v>incl. in above</v>
          </cell>
        </row>
        <row r="36">
          <cell r="C36" t="str">
            <v>E023</v>
          </cell>
          <cell r="D36" t="str">
            <v>-</v>
          </cell>
          <cell r="E36" t="str">
            <v>Head lamp</v>
          </cell>
          <cell r="F36" t="str">
            <v>前大灯</v>
          </cell>
          <cell r="G36" t="str">
            <v>B</v>
          </cell>
          <cell r="H36" t="str">
            <v>PMT1</v>
          </cell>
          <cell r="I36" t="str">
            <v>TH</v>
          </cell>
          <cell r="J36" t="str">
            <v>JD8B</v>
          </cell>
          <cell r="K36" t="str">
            <v>13D154</v>
          </cell>
          <cell r="L36" t="str">
            <v>AF</v>
          </cell>
          <cell r="M36" t="str">
            <v>JD8B-13D154-AF</v>
          </cell>
          <cell r="N36" t="str">
            <v>Headlamp</v>
          </cell>
          <cell r="O36">
            <v>42636</v>
          </cell>
          <cell r="P36" t="str">
            <v>Luo,zhoudi</v>
          </cell>
          <cell r="Q36" t="str">
            <v xml:space="preserve">Yuxiaoxing                                      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</v>
          </cell>
          <cell r="Z36">
            <v>1</v>
          </cell>
          <cell r="AA36">
            <v>0.1</v>
          </cell>
          <cell r="AC36">
            <v>-909.96</v>
          </cell>
          <cell r="AD36">
            <v>-7.59</v>
          </cell>
          <cell r="AE36">
            <v>-2.36</v>
          </cell>
          <cell r="AF36">
            <v>0</v>
          </cell>
          <cell r="AG36">
            <v>-3.99</v>
          </cell>
          <cell r="AH36">
            <v>-923.90000000000009</v>
          </cell>
          <cell r="AI36" t="str">
            <v>CNY</v>
          </cell>
          <cell r="AJ36" t="str">
            <v>LP</v>
          </cell>
          <cell r="AK36" t="str">
            <v>Visteon TYC</v>
          </cell>
          <cell r="AL36" t="str">
            <v>FCXBB</v>
          </cell>
          <cell r="AO36">
            <v>5</v>
          </cell>
          <cell r="BB36">
            <v>-11280767</v>
          </cell>
          <cell r="BC36">
            <v>-11280767</v>
          </cell>
          <cell r="BE36">
            <v>-458382.3</v>
          </cell>
          <cell r="BF36">
            <v>114979.8</v>
          </cell>
        </row>
        <row r="37">
          <cell r="C37" t="str">
            <v>E023</v>
          </cell>
          <cell r="D37" t="str">
            <v>-</v>
          </cell>
          <cell r="E37" t="str">
            <v>Head lamp</v>
          </cell>
          <cell r="F37" t="str">
            <v>前大灯</v>
          </cell>
          <cell r="G37" t="str">
            <v>B</v>
          </cell>
          <cell r="H37" t="str">
            <v>PMT1</v>
          </cell>
          <cell r="I37" t="str">
            <v>TH</v>
          </cell>
          <cell r="J37" t="str">
            <v>JD8B</v>
          </cell>
          <cell r="K37" t="str">
            <v>13D155</v>
          </cell>
          <cell r="L37" t="str">
            <v>AF</v>
          </cell>
          <cell r="M37" t="str">
            <v>JD8B-13D155-AF</v>
          </cell>
          <cell r="N37" t="str">
            <v>Headlamp</v>
          </cell>
          <cell r="O37">
            <v>42636</v>
          </cell>
          <cell r="P37" t="str">
            <v>Luo,zhoudi</v>
          </cell>
          <cell r="Q37" t="str">
            <v xml:space="preserve">Yuxiaoxing                                      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</v>
          </cell>
          <cell r="Z37">
            <v>1</v>
          </cell>
          <cell r="AA37">
            <v>0.1</v>
          </cell>
          <cell r="AC37">
            <v>-909.96</v>
          </cell>
          <cell r="AD37">
            <v>-7.59</v>
          </cell>
          <cell r="AE37">
            <v>-2.36</v>
          </cell>
          <cell r="AF37">
            <v>0</v>
          </cell>
          <cell r="AG37">
            <v>-3.99</v>
          </cell>
          <cell r="AH37">
            <v>-923.90000000000009</v>
          </cell>
          <cell r="AI37" t="str">
            <v>CNY</v>
          </cell>
          <cell r="AJ37" t="str">
            <v>LP</v>
          </cell>
          <cell r="AK37" t="str">
            <v>Visteon TYC</v>
          </cell>
          <cell r="AL37" t="str">
            <v>FCXBB</v>
          </cell>
          <cell r="AO37">
            <v>5</v>
          </cell>
          <cell r="BB37">
            <v>0</v>
          </cell>
          <cell r="BC37">
            <v>0</v>
          </cell>
          <cell r="BE37" t="str">
            <v>incl. in above</v>
          </cell>
        </row>
        <row r="38">
          <cell r="C38" t="str">
            <v>E022</v>
          </cell>
          <cell r="D38" t="str">
            <v>E022</v>
          </cell>
          <cell r="E38" t="str">
            <v>Tail Lamp</v>
          </cell>
          <cell r="F38" t="str">
            <v>尾灯</v>
          </cell>
          <cell r="G38" t="str">
            <v>B</v>
          </cell>
          <cell r="H38" t="str">
            <v>PMT1</v>
          </cell>
          <cell r="I38" t="str">
            <v>TH</v>
          </cell>
          <cell r="J38" t="str">
            <v>JD8B</v>
          </cell>
          <cell r="K38" t="str">
            <v>13A602</v>
          </cell>
          <cell r="L38" t="str">
            <v>AE</v>
          </cell>
          <cell r="M38" t="str">
            <v>JD8B-13A602-AE</v>
          </cell>
          <cell r="N38" t="str">
            <v xml:space="preserve">Decklid tail lamp right side </v>
          </cell>
          <cell r="O38">
            <v>42636</v>
          </cell>
          <cell r="P38" t="str">
            <v>Luo,zhoudi</v>
          </cell>
          <cell r="Q38" t="str">
            <v xml:space="preserve">Yuxiaoxing                                      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C38">
            <v>-83.67</v>
          </cell>
          <cell r="AD38">
            <v>-1.04</v>
          </cell>
          <cell r="AE38">
            <v>-1.32</v>
          </cell>
          <cell r="AF38">
            <v>0</v>
          </cell>
          <cell r="AG38">
            <v>-1.8</v>
          </cell>
          <cell r="AH38">
            <v>-87.83</v>
          </cell>
          <cell r="AI38" t="str">
            <v>CNY</v>
          </cell>
          <cell r="AJ38" t="str">
            <v>LP</v>
          </cell>
          <cell r="AK38" t="str">
            <v>Visteon TYC</v>
          </cell>
          <cell r="AL38" t="str">
            <v>FCXBB</v>
          </cell>
          <cell r="AO38">
            <v>5</v>
          </cell>
          <cell r="BB38">
            <v>-5502140</v>
          </cell>
          <cell r="BC38">
            <v>-5502140</v>
          </cell>
          <cell r="BE38">
            <v>-2066772</v>
          </cell>
          <cell r="BF38">
            <v>1149798</v>
          </cell>
        </row>
        <row r="39">
          <cell r="C39" t="str">
            <v>E022</v>
          </cell>
          <cell r="D39" t="str">
            <v>E022</v>
          </cell>
          <cell r="E39" t="str">
            <v>Tail Lamp</v>
          </cell>
          <cell r="F39" t="str">
            <v>尾灯</v>
          </cell>
          <cell r="G39" t="str">
            <v>B</v>
          </cell>
          <cell r="H39" t="str">
            <v>PMT1</v>
          </cell>
          <cell r="I39" t="str">
            <v>TH</v>
          </cell>
          <cell r="J39" t="str">
            <v>JD8B</v>
          </cell>
          <cell r="K39" t="str">
            <v>13A603</v>
          </cell>
          <cell r="L39" t="str">
            <v>AE</v>
          </cell>
          <cell r="M39" t="str">
            <v>JD8B-13A603-AE</v>
          </cell>
          <cell r="N39" t="str">
            <v xml:space="preserve">Decklid tail lamp left side </v>
          </cell>
          <cell r="O39">
            <v>42636</v>
          </cell>
          <cell r="P39" t="str">
            <v>Luo,zhoudi</v>
          </cell>
          <cell r="Q39" t="str">
            <v xml:space="preserve">Yuxiaoxing                                      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C39">
            <v>-83.67</v>
          </cell>
          <cell r="AD39">
            <v>-1.04</v>
          </cell>
          <cell r="AE39">
            <v>-1.32</v>
          </cell>
          <cell r="AF39">
            <v>0</v>
          </cell>
          <cell r="AG39">
            <v>-1.8</v>
          </cell>
          <cell r="AH39">
            <v>-87.83</v>
          </cell>
          <cell r="AI39" t="str">
            <v>CNY</v>
          </cell>
          <cell r="AJ39" t="str">
            <v>LP</v>
          </cell>
          <cell r="AK39" t="str">
            <v>Visteon TYC</v>
          </cell>
          <cell r="AL39" t="str">
            <v>FCXBB</v>
          </cell>
          <cell r="AO39">
            <v>5</v>
          </cell>
          <cell r="BB39">
            <v>0</v>
          </cell>
          <cell r="BC39">
            <v>0</v>
          </cell>
          <cell r="BE39" t="str">
            <v>incl. in above</v>
          </cell>
        </row>
        <row r="40">
          <cell r="C40" t="str">
            <v>E022</v>
          </cell>
          <cell r="D40" t="str">
            <v>E022</v>
          </cell>
          <cell r="E40" t="str">
            <v>Tail Lamp</v>
          </cell>
          <cell r="F40" t="str">
            <v>尾灯</v>
          </cell>
          <cell r="G40" t="str">
            <v>B</v>
          </cell>
          <cell r="H40" t="str">
            <v>PMT1</v>
          </cell>
          <cell r="I40" t="str">
            <v>TH</v>
          </cell>
          <cell r="J40" t="str">
            <v>JD8B</v>
          </cell>
          <cell r="K40" t="str">
            <v>13B414</v>
          </cell>
          <cell r="L40" t="str">
            <v>AB</v>
          </cell>
          <cell r="M40" t="str">
            <v>JD8B-13B414-AB</v>
          </cell>
          <cell r="N40" t="str">
            <v xml:space="preserve">Rear reflex_RH </v>
          </cell>
          <cell r="P40" t="str">
            <v>Luo,zhoudi</v>
          </cell>
          <cell r="Q40" t="str">
            <v xml:space="preserve">Yuxiaoxing                                      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C40">
            <v>-13.94</v>
          </cell>
          <cell r="AD40">
            <v>-1.88</v>
          </cell>
          <cell r="AE40">
            <v>-0.22</v>
          </cell>
          <cell r="AF40">
            <v>0</v>
          </cell>
          <cell r="AG40">
            <v>0</v>
          </cell>
          <cell r="AH40">
            <v>-16.04</v>
          </cell>
          <cell r="AI40" t="str">
            <v>CNY</v>
          </cell>
          <cell r="AJ40" t="str">
            <v>LP</v>
          </cell>
          <cell r="AK40" t="str">
            <v>Visteon TYC</v>
          </cell>
          <cell r="AL40" t="str">
            <v>FCXBB</v>
          </cell>
          <cell r="AO40">
            <v>5</v>
          </cell>
          <cell r="BB40">
            <v>-2180000</v>
          </cell>
          <cell r="BC40">
            <v>-2180000</v>
          </cell>
          <cell r="BE40">
            <v>0</v>
          </cell>
          <cell r="BF40">
            <v>0</v>
          </cell>
        </row>
        <row r="41">
          <cell r="C41" t="str">
            <v>E022</v>
          </cell>
          <cell r="D41" t="str">
            <v>E022</v>
          </cell>
          <cell r="E41" t="str">
            <v>Tail Lamp</v>
          </cell>
          <cell r="F41" t="str">
            <v>尾灯</v>
          </cell>
          <cell r="G41" t="str">
            <v>B</v>
          </cell>
          <cell r="H41" t="str">
            <v>PMT1</v>
          </cell>
          <cell r="I41" t="str">
            <v>TH</v>
          </cell>
          <cell r="J41" t="str">
            <v>JD8B</v>
          </cell>
          <cell r="K41" t="str">
            <v>13B415</v>
          </cell>
          <cell r="L41" t="str">
            <v>AC</v>
          </cell>
          <cell r="M41" t="str">
            <v>JD8B-13B415-AC</v>
          </cell>
          <cell r="N41" t="str">
            <v xml:space="preserve">Rear fog and reflex_LH </v>
          </cell>
          <cell r="P41" t="str">
            <v>翟万里</v>
          </cell>
          <cell r="Q41" t="str">
            <v>邓少翔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C41">
            <v>-25.68</v>
          </cell>
          <cell r="AD41">
            <v>-1.88</v>
          </cell>
          <cell r="AE41">
            <v>-0.22</v>
          </cell>
          <cell r="AF41">
            <v>0</v>
          </cell>
          <cell r="AG41">
            <v>0</v>
          </cell>
          <cell r="AH41">
            <v>-27.779999999999998</v>
          </cell>
          <cell r="AI41" t="str">
            <v>CNY</v>
          </cell>
          <cell r="AJ41" t="str">
            <v>LP</v>
          </cell>
          <cell r="AK41" t="str">
            <v>Visteon TYC</v>
          </cell>
          <cell r="AL41" t="str">
            <v>FCXBB</v>
          </cell>
          <cell r="AO41">
            <v>5</v>
          </cell>
          <cell r="BB41">
            <v>-1480000</v>
          </cell>
          <cell r="BC41">
            <v>-1480000</v>
          </cell>
          <cell r="BE41">
            <v>0</v>
          </cell>
          <cell r="BF41">
            <v>0</v>
          </cell>
        </row>
        <row r="42">
          <cell r="C42" t="str">
            <v>E022</v>
          </cell>
          <cell r="D42" t="str">
            <v>E022</v>
          </cell>
          <cell r="E42" t="str">
            <v>Tail Lamp</v>
          </cell>
          <cell r="F42" t="str">
            <v>尾灯</v>
          </cell>
          <cell r="G42" t="str">
            <v>B</v>
          </cell>
          <cell r="H42" t="str">
            <v>PMT1</v>
          </cell>
          <cell r="I42" t="str">
            <v>TH</v>
          </cell>
          <cell r="J42" t="str">
            <v>ED8B </v>
          </cell>
          <cell r="K42" t="str">
            <v>13404 </v>
          </cell>
          <cell r="L42" t="str">
            <v>DA</v>
          </cell>
          <cell r="M42" t="str">
            <v>ED8B-13404-DA</v>
          </cell>
          <cell r="N42" t="str">
            <v xml:space="preserve">Body side tail lamp right side </v>
          </cell>
          <cell r="O42" t="str">
            <v>NA</v>
          </cell>
          <cell r="P42" t="str">
            <v>Luo,zhoudi</v>
          </cell>
          <cell r="Q42" t="str">
            <v xml:space="preserve">Yuxiaoxing                                      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C42">
            <v>-137.72999999999999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-137.72999999999999</v>
          </cell>
          <cell r="AI42" t="str">
            <v>CNY</v>
          </cell>
          <cell r="AJ42" t="str">
            <v>LP</v>
          </cell>
          <cell r="AK42" t="str">
            <v>Visteon TYC</v>
          </cell>
          <cell r="AL42" t="str">
            <v>FCXBB</v>
          </cell>
          <cell r="AO42">
            <v>5</v>
          </cell>
        </row>
        <row r="43">
          <cell r="C43" t="str">
            <v>E022</v>
          </cell>
          <cell r="D43" t="str">
            <v>E022</v>
          </cell>
          <cell r="E43" t="str">
            <v>Tail Lamp</v>
          </cell>
          <cell r="F43" t="str">
            <v>尾灯</v>
          </cell>
          <cell r="G43" t="str">
            <v>B</v>
          </cell>
          <cell r="H43" t="str">
            <v>PMT1</v>
          </cell>
          <cell r="I43" t="str">
            <v>TH</v>
          </cell>
          <cell r="J43" t="str">
            <v>ED8B</v>
          </cell>
          <cell r="K43" t="str">
            <v>13405</v>
          </cell>
          <cell r="L43" t="str">
            <v>DA</v>
          </cell>
          <cell r="M43" t="str">
            <v>ED8B-13405-DA</v>
          </cell>
          <cell r="N43" t="str">
            <v xml:space="preserve">body side tail lamp left side </v>
          </cell>
          <cell r="O43" t="str">
            <v>NA</v>
          </cell>
          <cell r="P43" t="str">
            <v>Luo,zhoudi</v>
          </cell>
          <cell r="Q43" t="str">
            <v xml:space="preserve">Yuxiaoxing                                      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C43">
            <v>-137.63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-137.63</v>
          </cell>
          <cell r="AI43" t="str">
            <v>CNY</v>
          </cell>
          <cell r="AJ43" t="str">
            <v>LP</v>
          </cell>
          <cell r="AK43" t="str">
            <v>Visteon TYC</v>
          </cell>
          <cell r="AL43" t="str">
            <v>FCXBB</v>
          </cell>
          <cell r="AO43">
            <v>5</v>
          </cell>
        </row>
        <row r="44">
          <cell r="C44" t="str">
            <v>B03</v>
          </cell>
          <cell r="D44" t="str">
            <v>B03</v>
          </cell>
          <cell r="E44" t="str">
            <v>Decklid hinge</v>
          </cell>
          <cell r="F44" t="str">
            <v>行李厢盖铰链</v>
          </cell>
          <cell r="G44" t="str">
            <v>B</v>
          </cell>
          <cell r="H44" t="str">
            <v>PMT1</v>
          </cell>
          <cell r="I44" t="str">
            <v>TH</v>
          </cell>
          <cell r="J44" t="str">
            <v>JD8B</v>
          </cell>
          <cell r="K44" t="str">
            <v>F42700</v>
          </cell>
          <cell r="L44" t="str">
            <v>AD</v>
          </cell>
          <cell r="M44" t="str">
            <v>JD8B-F42700-AD</v>
          </cell>
          <cell r="N44" t="str">
            <v>decklid hinge</v>
          </cell>
          <cell r="O44">
            <v>42671</v>
          </cell>
          <cell r="P44" t="str">
            <v>Zhang,jian</v>
          </cell>
          <cell r="Q44" t="str">
            <v>Jin zhengbin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C44">
            <v>-39.46</v>
          </cell>
          <cell r="AD44">
            <v>-3.15</v>
          </cell>
          <cell r="AE44">
            <v>-2.13</v>
          </cell>
          <cell r="AF44">
            <v>0</v>
          </cell>
          <cell r="AG44">
            <v>-0.42</v>
          </cell>
          <cell r="AH44">
            <v>-45.160000000000004</v>
          </cell>
          <cell r="AI44" t="str">
            <v>CNY</v>
          </cell>
          <cell r="AJ44" t="str">
            <v>LP</v>
          </cell>
          <cell r="AK44" t="str">
            <v>Edscha China（Anhui)</v>
          </cell>
          <cell r="AL44" t="str">
            <v>EM7WA</v>
          </cell>
          <cell r="AO44">
            <v>1</v>
          </cell>
          <cell r="AP44">
            <v>0.03</v>
          </cell>
          <cell r="AQ44">
            <v>0.03</v>
          </cell>
          <cell r="AR44">
            <v>0.03</v>
          </cell>
          <cell r="BB44">
            <v>-1037080</v>
          </cell>
          <cell r="BC44">
            <v>-1037080</v>
          </cell>
          <cell r="BE44">
            <v>-242150</v>
          </cell>
          <cell r="BF44">
            <v>574899</v>
          </cell>
          <cell r="BG44">
            <v>0</v>
          </cell>
        </row>
        <row r="45">
          <cell r="C45" t="str">
            <v>B03</v>
          </cell>
          <cell r="D45" t="str">
            <v>B03</v>
          </cell>
          <cell r="E45" t="str">
            <v>Decklid hinge</v>
          </cell>
          <cell r="F45" t="str">
            <v>行李厢盖铰链</v>
          </cell>
          <cell r="G45" t="str">
            <v>B</v>
          </cell>
          <cell r="H45" t="str">
            <v>PMT1</v>
          </cell>
          <cell r="I45" t="str">
            <v>TH</v>
          </cell>
          <cell r="J45" t="str">
            <v>JD8B</v>
          </cell>
          <cell r="K45" t="str">
            <v>F42701</v>
          </cell>
          <cell r="L45" t="str">
            <v>AD</v>
          </cell>
          <cell r="M45" t="str">
            <v>JD8B-F42701-AD</v>
          </cell>
          <cell r="N45" t="str">
            <v xml:space="preserve">decklid hinge </v>
          </cell>
          <cell r="O45">
            <v>42671</v>
          </cell>
          <cell r="P45" t="str">
            <v>Zhang,jian</v>
          </cell>
          <cell r="Q45" t="str">
            <v>Jin zhengbin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C45">
            <v>-39.46</v>
          </cell>
          <cell r="AD45">
            <v>-3.15</v>
          </cell>
          <cell r="AE45">
            <v>-2.13</v>
          </cell>
          <cell r="AF45">
            <v>0</v>
          </cell>
          <cell r="AG45">
            <v>-0.42</v>
          </cell>
          <cell r="AH45">
            <v>-45.160000000000004</v>
          </cell>
          <cell r="AI45" t="str">
            <v>CNY</v>
          </cell>
          <cell r="AJ45" t="str">
            <v>LP</v>
          </cell>
          <cell r="AK45" t="str">
            <v>Edscha China（Anhui)</v>
          </cell>
          <cell r="AL45" t="str">
            <v>EM7WA</v>
          </cell>
          <cell r="AO45">
            <v>1</v>
          </cell>
          <cell r="AP45">
            <v>0.03</v>
          </cell>
          <cell r="AQ45">
            <v>0.03</v>
          </cell>
          <cell r="AR45">
            <v>0.03</v>
          </cell>
          <cell r="BB45">
            <v>-1037080</v>
          </cell>
          <cell r="BC45">
            <v>-1037080</v>
          </cell>
          <cell r="BE45">
            <v>-242150</v>
          </cell>
          <cell r="BF45">
            <v>574899</v>
          </cell>
          <cell r="BG45">
            <v>0</v>
          </cell>
        </row>
        <row r="46">
          <cell r="C46" t="str">
            <v>B03</v>
          </cell>
          <cell r="D46" t="str">
            <v>B03</v>
          </cell>
          <cell r="E46" t="str">
            <v>Decklid hinge</v>
          </cell>
          <cell r="F46" t="str">
            <v>行李厢盖铰链</v>
          </cell>
          <cell r="G46" t="str">
            <v>B</v>
          </cell>
          <cell r="H46" t="str">
            <v>PMT1</v>
          </cell>
          <cell r="I46" t="str">
            <v>TH</v>
          </cell>
          <cell r="J46" t="str">
            <v>JD8B</v>
          </cell>
          <cell r="K46" t="str">
            <v>F44858</v>
          </cell>
          <cell r="L46" t="str">
            <v>AC</v>
          </cell>
          <cell r="M46" t="str">
            <v>JD8B-F44858-AC</v>
          </cell>
          <cell r="N46" t="str">
            <v xml:space="preserve">torsion bar </v>
          </cell>
          <cell r="O46">
            <v>42671</v>
          </cell>
          <cell r="P46" t="str">
            <v>Zhou Li</v>
          </cell>
          <cell r="Q46" t="str">
            <v>Jin zhengbin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C46">
            <v>-1.1200000000000001</v>
          </cell>
          <cell r="AD46">
            <v>-0.11</v>
          </cell>
          <cell r="AE46">
            <v>-0.03</v>
          </cell>
          <cell r="AF46">
            <v>0</v>
          </cell>
          <cell r="AG46">
            <v>0</v>
          </cell>
          <cell r="AH46">
            <v>-1.2600000000000002</v>
          </cell>
          <cell r="AI46" t="str">
            <v>CNY</v>
          </cell>
          <cell r="AJ46" t="str">
            <v>LP</v>
          </cell>
          <cell r="AK46" t="str">
            <v>Edscha China（Anhui)</v>
          </cell>
          <cell r="AL46" t="str">
            <v>EM7WA</v>
          </cell>
          <cell r="AO46">
            <v>1</v>
          </cell>
          <cell r="AP46">
            <v>0.03</v>
          </cell>
          <cell r="AQ46">
            <v>0.03</v>
          </cell>
          <cell r="AR46">
            <v>0.03</v>
          </cell>
          <cell r="BB46">
            <v>-72373</v>
          </cell>
          <cell r="BC46">
            <v>-72373</v>
          </cell>
        </row>
        <row r="47">
          <cell r="C47" t="str">
            <v>B03</v>
          </cell>
          <cell r="D47" t="str">
            <v>B03</v>
          </cell>
          <cell r="E47" t="str">
            <v>Decklid hinge</v>
          </cell>
          <cell r="F47" t="str">
            <v>行李厢盖铰链</v>
          </cell>
          <cell r="G47" t="str">
            <v>B</v>
          </cell>
          <cell r="H47" t="str">
            <v>PMT1</v>
          </cell>
          <cell r="I47" t="str">
            <v>TH</v>
          </cell>
          <cell r="J47" t="str">
            <v>JD8B</v>
          </cell>
          <cell r="K47" t="str">
            <v>F44890</v>
          </cell>
          <cell r="L47" t="str">
            <v>AB</v>
          </cell>
          <cell r="M47" t="str">
            <v>JD8B-F44890-AB</v>
          </cell>
          <cell r="N47" t="str">
            <v xml:space="preserve">torsion bar </v>
          </cell>
          <cell r="O47">
            <v>42671</v>
          </cell>
          <cell r="P47" t="str">
            <v>Zhou Li</v>
          </cell>
          <cell r="Q47" t="str">
            <v>Jin zhengbin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C47">
            <v>-7.97</v>
          </cell>
          <cell r="AD47">
            <v>-0.74299999999999999</v>
          </cell>
          <cell r="AE47">
            <v>-0.42199999999999999</v>
          </cell>
          <cell r="AF47">
            <v>0</v>
          </cell>
          <cell r="AG47">
            <v>0</v>
          </cell>
          <cell r="AH47">
            <v>-9.1349999999999998</v>
          </cell>
          <cell r="AI47" t="str">
            <v>CNY</v>
          </cell>
          <cell r="AJ47" t="str">
            <v>LP</v>
          </cell>
          <cell r="AK47" t="str">
            <v>Edscha China（Anhui)</v>
          </cell>
          <cell r="AL47" t="str">
            <v>EM7WA</v>
          </cell>
          <cell r="AO47">
            <v>1</v>
          </cell>
          <cell r="AP47">
            <v>0.03</v>
          </cell>
          <cell r="AQ47">
            <v>0.03</v>
          </cell>
          <cell r="AR47">
            <v>0.03</v>
          </cell>
          <cell r="BB47">
            <v>-33710</v>
          </cell>
          <cell r="BC47">
            <v>-33710</v>
          </cell>
        </row>
        <row r="48">
          <cell r="C48" t="str">
            <v>B03</v>
          </cell>
          <cell r="D48" t="str">
            <v>B03</v>
          </cell>
          <cell r="E48" t="str">
            <v>Decklid hinge</v>
          </cell>
          <cell r="F48" t="str">
            <v>行李厢盖铰链</v>
          </cell>
          <cell r="G48" t="str">
            <v>B</v>
          </cell>
          <cell r="H48" t="str">
            <v>PMT1</v>
          </cell>
          <cell r="I48" t="str">
            <v>TH</v>
          </cell>
          <cell r="J48" t="str">
            <v>JD8B</v>
          </cell>
          <cell r="K48" t="str">
            <v>F44891</v>
          </cell>
          <cell r="L48" t="str">
            <v>AB</v>
          </cell>
          <cell r="M48" t="str">
            <v>JD8B-F44891-AB</v>
          </cell>
          <cell r="N48" t="str">
            <v xml:space="preserve">clip </v>
          </cell>
          <cell r="O48">
            <v>42671</v>
          </cell>
          <cell r="P48" t="str">
            <v>Zhou Li</v>
          </cell>
          <cell r="Q48" t="str">
            <v>Jin zhengbin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C48">
            <v>-7.97</v>
          </cell>
          <cell r="AD48">
            <v>-0.74299999999999999</v>
          </cell>
          <cell r="AE48">
            <v>-0.42199999999999999</v>
          </cell>
          <cell r="AF48">
            <v>0</v>
          </cell>
          <cell r="AG48">
            <v>0</v>
          </cell>
          <cell r="AH48">
            <v>-9.1349999999999998</v>
          </cell>
          <cell r="AI48" t="str">
            <v>CNY</v>
          </cell>
          <cell r="AJ48" t="str">
            <v>LP</v>
          </cell>
          <cell r="AK48" t="str">
            <v>Edscha China（Anhui)</v>
          </cell>
          <cell r="AL48" t="str">
            <v>EM7WA</v>
          </cell>
          <cell r="AO48">
            <v>1</v>
          </cell>
          <cell r="AP48">
            <v>0.03</v>
          </cell>
          <cell r="AQ48">
            <v>0.03</v>
          </cell>
          <cell r="AR48">
            <v>0.03</v>
          </cell>
          <cell r="BB48">
            <v>-33710</v>
          </cell>
          <cell r="BC48">
            <v>-33710</v>
          </cell>
        </row>
        <row r="49">
          <cell r="C49" t="str">
            <v>ET12-1</v>
          </cell>
          <cell r="D49" t="str">
            <v>ET12-1</v>
          </cell>
          <cell r="E49" t="str">
            <v>Front Bumper</v>
          </cell>
          <cell r="F49" t="str">
            <v>前保险杠</v>
          </cell>
          <cell r="G49" t="str">
            <v>D</v>
          </cell>
          <cell r="H49" t="str">
            <v>PMT1</v>
          </cell>
          <cell r="I49" t="str">
            <v>TH</v>
          </cell>
          <cell r="J49" t="str">
            <v>JD8B</v>
          </cell>
          <cell r="K49" t="str">
            <v>17D926</v>
          </cell>
          <cell r="L49" t="str">
            <v>AC</v>
          </cell>
          <cell r="M49" t="str">
            <v>JD8B-17D926-AC</v>
          </cell>
          <cell r="N49" t="str">
            <v xml:space="preserve">FRT BUMPER </v>
          </cell>
          <cell r="O49" t="str">
            <v>na</v>
          </cell>
          <cell r="P49" t="str">
            <v>Zhou wenqi</v>
          </cell>
          <cell r="Q49" t="str">
            <v>huang bo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AA49">
            <v>0.95000000000000007</v>
          </cell>
          <cell r="AC49">
            <v>-5.5</v>
          </cell>
          <cell r="AD49">
            <v>-0.3933333</v>
          </cell>
          <cell r="AE49">
            <v>-0.76333329999999999</v>
          </cell>
          <cell r="AH49">
            <v>-6.6566666000000003</v>
          </cell>
          <cell r="AI49" t="str">
            <v>CNY</v>
          </cell>
          <cell r="AJ49" t="str">
            <v>LP</v>
          </cell>
          <cell r="AK49" t="str">
            <v>CQ Pingwei</v>
          </cell>
          <cell r="AL49" t="str">
            <v>EHDAB</v>
          </cell>
          <cell r="AO49">
            <v>2.84</v>
          </cell>
          <cell r="AP49">
            <v>0.03</v>
          </cell>
          <cell r="BB49">
            <v>-121200</v>
          </cell>
          <cell r="BC49">
            <v>-121200</v>
          </cell>
        </row>
        <row r="50">
          <cell r="C50" t="str">
            <v>ET12-1</v>
          </cell>
          <cell r="D50" t="str">
            <v>ET12-1</v>
          </cell>
          <cell r="E50" t="str">
            <v>Front Bumper</v>
          </cell>
          <cell r="F50" t="str">
            <v>前保险杠</v>
          </cell>
          <cell r="G50" t="str">
            <v>D</v>
          </cell>
          <cell r="H50" t="str">
            <v>PMT1</v>
          </cell>
          <cell r="I50" t="str">
            <v>TH</v>
          </cell>
          <cell r="J50" t="str">
            <v>JD8B</v>
          </cell>
          <cell r="K50" t="str">
            <v>17D927</v>
          </cell>
          <cell r="L50" t="str">
            <v>AC</v>
          </cell>
          <cell r="M50" t="str">
            <v>JD8B-17D927-AC</v>
          </cell>
          <cell r="N50" t="str">
            <v xml:space="preserve">Bracket </v>
          </cell>
          <cell r="O50">
            <v>42704</v>
          </cell>
          <cell r="P50" t="str">
            <v>Zhou wenqi</v>
          </cell>
          <cell r="Q50" t="str">
            <v>huang bo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AA50">
            <v>0.95000000000000007</v>
          </cell>
          <cell r="AC50">
            <v>-5.62</v>
          </cell>
          <cell r="AD50">
            <v>-0.3933333</v>
          </cell>
          <cell r="AE50">
            <v>-0.76333329999999999</v>
          </cell>
          <cell r="AH50">
            <v>-6.7766666000000004</v>
          </cell>
          <cell r="AI50" t="str">
            <v>CNY</v>
          </cell>
          <cell r="AJ50" t="str">
            <v>LP</v>
          </cell>
          <cell r="AK50" t="str">
            <v>CQ Pingwei</v>
          </cell>
          <cell r="AL50" t="str">
            <v>EHDAB</v>
          </cell>
          <cell r="AO50">
            <v>2.84</v>
          </cell>
          <cell r="AP50">
            <v>0.03</v>
          </cell>
          <cell r="BB50">
            <v>-121200</v>
          </cell>
          <cell r="BC50">
            <v>-121200</v>
          </cell>
        </row>
        <row r="51">
          <cell r="C51" t="str">
            <v>ET12-1</v>
          </cell>
          <cell r="D51" t="str">
            <v>-</v>
          </cell>
          <cell r="E51" t="str">
            <v>Front Bumper</v>
          </cell>
          <cell r="F51" t="str">
            <v>前保险杠</v>
          </cell>
          <cell r="G51" t="str">
            <v>D</v>
          </cell>
          <cell r="H51" t="str">
            <v>PMT1</v>
          </cell>
          <cell r="I51" t="str">
            <v>TH</v>
          </cell>
          <cell r="J51" t="str">
            <v>JD8B</v>
          </cell>
          <cell r="K51" t="str">
            <v>17K819</v>
          </cell>
          <cell r="L51" t="str">
            <v>AJW</v>
          </cell>
          <cell r="M51" t="str">
            <v>JD8B-17K819-AJW</v>
          </cell>
          <cell r="N51" t="str">
            <v xml:space="preserve">FRT BUMPER </v>
          </cell>
          <cell r="P51" t="str">
            <v>翟万里</v>
          </cell>
          <cell r="Q51" t="str">
            <v>邓少翔</v>
          </cell>
          <cell r="S51">
            <v>1</v>
          </cell>
          <cell r="T51">
            <v>1</v>
          </cell>
          <cell r="AA51">
            <v>0.30000000000000004</v>
          </cell>
          <cell r="AC51">
            <v>-354.07</v>
          </cell>
          <cell r="AD51">
            <v>-2.5099999999999998</v>
          </cell>
          <cell r="AE51">
            <v>-8.25</v>
          </cell>
          <cell r="AH51">
            <v>-364.83</v>
          </cell>
          <cell r="AI51" t="str">
            <v>CNY</v>
          </cell>
          <cell r="AJ51" t="str">
            <v>LP</v>
          </cell>
          <cell r="AK51" t="str">
            <v>CQ Pingwei</v>
          </cell>
          <cell r="AL51" t="str">
            <v>GZM7A</v>
          </cell>
          <cell r="AO51">
            <v>2.84</v>
          </cell>
          <cell r="AP51">
            <v>0.03</v>
          </cell>
        </row>
        <row r="52">
          <cell r="C52" t="str">
            <v>ET12-1</v>
          </cell>
          <cell r="D52" t="str">
            <v>ET12-1</v>
          </cell>
          <cell r="E52" t="str">
            <v>Front Bumper</v>
          </cell>
          <cell r="F52" t="str">
            <v>前保险杠</v>
          </cell>
          <cell r="G52" t="str">
            <v>D</v>
          </cell>
          <cell r="H52" t="str">
            <v>PMT1</v>
          </cell>
          <cell r="I52" t="str">
            <v>TH</v>
          </cell>
          <cell r="J52" t="str">
            <v>JD8B</v>
          </cell>
          <cell r="K52" t="str">
            <v>17K819</v>
          </cell>
          <cell r="L52" t="str">
            <v>BKW</v>
          </cell>
          <cell r="M52" t="str">
            <v>JD8B-17K819-BKW</v>
          </cell>
          <cell r="N52" t="str">
            <v xml:space="preserve">FRT BUMPER </v>
          </cell>
          <cell r="P52" t="str">
            <v>翟万里</v>
          </cell>
          <cell r="Q52" t="str">
            <v>邓少翔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AA52">
            <v>0.6</v>
          </cell>
          <cell r="AC52">
            <v>-358.57</v>
          </cell>
          <cell r="AD52">
            <v>-2.5099999999999998</v>
          </cell>
          <cell r="AE52">
            <v>-8.25</v>
          </cell>
          <cell r="AH52">
            <v>-369.33</v>
          </cell>
          <cell r="AI52" t="str">
            <v>CNY</v>
          </cell>
          <cell r="AJ52" t="str">
            <v>LP</v>
          </cell>
          <cell r="AK52" t="str">
            <v>CQ Pingwei</v>
          </cell>
          <cell r="AL52" t="str">
            <v>GZM7A</v>
          </cell>
          <cell r="AO52">
            <v>2.84</v>
          </cell>
          <cell r="AP52">
            <v>0.03</v>
          </cell>
          <cell r="BB52">
            <v>-11384500</v>
          </cell>
          <cell r="BC52">
            <v>-11384500</v>
          </cell>
        </row>
        <row r="53">
          <cell r="C53" t="str">
            <v>ET12-1</v>
          </cell>
          <cell r="D53" t="str">
            <v>-</v>
          </cell>
          <cell r="E53" t="str">
            <v>Front Bumper</v>
          </cell>
          <cell r="F53" t="str">
            <v>前保险杠</v>
          </cell>
          <cell r="G53" t="str">
            <v>D</v>
          </cell>
          <cell r="H53" t="str">
            <v>PMT1</v>
          </cell>
          <cell r="I53" t="str">
            <v>TH</v>
          </cell>
          <cell r="J53" t="str">
            <v>JD8B</v>
          </cell>
          <cell r="K53" t="str">
            <v>17K819</v>
          </cell>
          <cell r="L53" t="str">
            <v>CKW</v>
          </cell>
          <cell r="M53" t="str">
            <v>JD8B-17K819-CKW</v>
          </cell>
          <cell r="N53" t="str">
            <v xml:space="preserve">FRT BUMPER </v>
          </cell>
          <cell r="P53" t="str">
            <v>翟万里</v>
          </cell>
          <cell r="Q53" t="str">
            <v>邓少翔</v>
          </cell>
          <cell r="Y53">
            <v>1</v>
          </cell>
          <cell r="Z53">
            <v>1</v>
          </cell>
          <cell r="AA53">
            <v>0.1</v>
          </cell>
          <cell r="AC53">
            <v>-438.33</v>
          </cell>
          <cell r="AD53">
            <v>-2.5099999999999998</v>
          </cell>
          <cell r="AE53">
            <v>-8.25</v>
          </cell>
          <cell r="AH53">
            <v>-449.09</v>
          </cell>
          <cell r="AI53" t="str">
            <v>CNY</v>
          </cell>
          <cell r="AJ53" t="str">
            <v>LP</v>
          </cell>
          <cell r="AK53" t="str">
            <v>CQ Pingwei</v>
          </cell>
          <cell r="AL53" t="str">
            <v>GZM7A</v>
          </cell>
          <cell r="AO53">
            <v>2.84</v>
          </cell>
          <cell r="AP53">
            <v>0.03</v>
          </cell>
        </row>
        <row r="54">
          <cell r="C54" t="str">
            <v>ET3</v>
          </cell>
          <cell r="D54" t="str">
            <v>ET3</v>
          </cell>
          <cell r="E54" t="str">
            <v>Radiator Grille</v>
          </cell>
          <cell r="F54" t="str">
            <v>散热器格栅</v>
          </cell>
          <cell r="G54" t="str">
            <v>D</v>
          </cell>
          <cell r="H54" t="str">
            <v>PMT1</v>
          </cell>
          <cell r="I54" t="str">
            <v>TH</v>
          </cell>
          <cell r="J54" t="str">
            <v>JD8B</v>
          </cell>
          <cell r="K54">
            <v>8200</v>
          </cell>
          <cell r="L54" t="str">
            <v>AB</v>
          </cell>
          <cell r="M54" t="str">
            <v>JD8B-8200-AB</v>
          </cell>
          <cell r="N54" t="str">
            <v>Radiator Grille</v>
          </cell>
          <cell r="O54">
            <v>42704</v>
          </cell>
          <cell r="P54" t="str">
            <v>Zheng Weimin</v>
          </cell>
          <cell r="Q54" t="str">
            <v>huang bo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0</v>
          </cell>
          <cell r="Z54">
            <v>0</v>
          </cell>
          <cell r="AA54">
            <v>0.9</v>
          </cell>
          <cell r="AC54">
            <v>-155.83000000000001</v>
          </cell>
          <cell r="AD54">
            <v>-0.79</v>
          </cell>
          <cell r="AE54">
            <v>-2.08</v>
          </cell>
          <cell r="AF54">
            <v>0</v>
          </cell>
          <cell r="AG54">
            <v>0</v>
          </cell>
          <cell r="AH54">
            <v>-158.70000000000002</v>
          </cell>
          <cell r="AI54" t="str">
            <v>CNY</v>
          </cell>
          <cell r="AJ54" t="str">
            <v>LP</v>
          </cell>
          <cell r="AK54" t="str">
            <v>Guangneng Rongneng</v>
          </cell>
          <cell r="AL54" t="str">
            <v>DH0HA</v>
          </cell>
          <cell r="AO54">
            <v>2</v>
          </cell>
          <cell r="AP54">
            <v>0.03</v>
          </cell>
          <cell r="BB54">
            <v>-3305000</v>
          </cell>
          <cell r="BC54">
            <v>-3305000</v>
          </cell>
          <cell r="BE54">
            <v>0</v>
          </cell>
          <cell r="BF54">
            <v>0</v>
          </cell>
          <cell r="BG54">
            <v>0</v>
          </cell>
        </row>
        <row r="55">
          <cell r="C55" t="str">
            <v>ET3</v>
          </cell>
          <cell r="D55" t="str">
            <v>-</v>
          </cell>
          <cell r="E55" t="str">
            <v>Radiator Grille</v>
          </cell>
          <cell r="F55" t="str">
            <v>散热器格栅</v>
          </cell>
          <cell r="G55" t="str">
            <v>D</v>
          </cell>
          <cell r="H55" t="str">
            <v>PMT1</v>
          </cell>
          <cell r="I55" t="str">
            <v>TH</v>
          </cell>
          <cell r="J55" t="str">
            <v>JD8B</v>
          </cell>
          <cell r="K55">
            <v>8200</v>
          </cell>
          <cell r="L55" t="str">
            <v>BB</v>
          </cell>
          <cell r="M55" t="str">
            <v>JD8B-8200-BB</v>
          </cell>
          <cell r="N55" t="str">
            <v>Radiator Grille</v>
          </cell>
          <cell r="O55">
            <v>42704</v>
          </cell>
          <cell r="P55" t="str">
            <v>Zheng Weimin</v>
          </cell>
          <cell r="Q55" t="str">
            <v>huang bo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1</v>
          </cell>
          <cell r="AA55">
            <v>0.1</v>
          </cell>
          <cell r="AC55">
            <v>-174.13</v>
          </cell>
          <cell r="AD55">
            <v>-1.74</v>
          </cell>
          <cell r="AE55">
            <v>-2.08</v>
          </cell>
          <cell r="AF55">
            <v>0</v>
          </cell>
          <cell r="AG55">
            <v>0</v>
          </cell>
          <cell r="AH55">
            <v>-177.95000000000002</v>
          </cell>
          <cell r="AI55" t="str">
            <v>CNY</v>
          </cell>
          <cell r="AJ55" t="str">
            <v>LP</v>
          </cell>
          <cell r="AK55" t="str">
            <v>Guangneng Rongneng</v>
          </cell>
          <cell r="AL55" t="str">
            <v>DH0HA</v>
          </cell>
          <cell r="AO55">
            <v>2</v>
          </cell>
          <cell r="AP55">
            <v>0.03</v>
          </cell>
          <cell r="BB55">
            <v>-1155000</v>
          </cell>
          <cell r="BC55">
            <v>-1155000</v>
          </cell>
          <cell r="BE55">
            <v>0</v>
          </cell>
          <cell r="BF55">
            <v>0</v>
          </cell>
          <cell r="BG55">
            <v>0</v>
          </cell>
        </row>
        <row r="56">
          <cell r="C56" t="str">
            <v>ET12-2</v>
          </cell>
          <cell r="D56" t="str">
            <v>ET12-2</v>
          </cell>
          <cell r="E56" t="str">
            <v>Rear Bumper</v>
          </cell>
          <cell r="F56" t="str">
            <v>后保险杠</v>
          </cell>
          <cell r="G56" t="str">
            <v>D</v>
          </cell>
          <cell r="H56" t="str">
            <v>PMT1</v>
          </cell>
          <cell r="I56" t="str">
            <v>TH</v>
          </cell>
          <cell r="J56" t="str">
            <v>JD8B</v>
          </cell>
          <cell r="K56" t="str">
            <v>17K823</v>
          </cell>
          <cell r="L56" t="str">
            <v>AKW</v>
          </cell>
          <cell r="M56" t="str">
            <v>JD8B-17K823-AKW</v>
          </cell>
          <cell r="N56" t="str">
            <v xml:space="preserve">Rr Bumper </v>
          </cell>
          <cell r="P56" t="str">
            <v>翟万里</v>
          </cell>
          <cell r="Q56" t="str">
            <v>邓少翔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0</v>
          </cell>
          <cell r="Z56">
            <v>0</v>
          </cell>
          <cell r="AA56">
            <v>0.9</v>
          </cell>
          <cell r="AC56">
            <v>-247.05999999999997</v>
          </cell>
          <cell r="AD56">
            <v>-2.5499999999999998</v>
          </cell>
          <cell r="AE56">
            <v>-5.71</v>
          </cell>
          <cell r="AF56">
            <v>0</v>
          </cell>
          <cell r="AG56">
            <v>0</v>
          </cell>
          <cell r="AH56">
            <v>-255.32</v>
          </cell>
          <cell r="AI56" t="str">
            <v>CNY</v>
          </cell>
          <cell r="AJ56" t="str">
            <v>LP</v>
          </cell>
          <cell r="AK56" t="str">
            <v>CQ D&amp;T</v>
          </cell>
          <cell r="AL56" t="str">
            <v>CUENA</v>
          </cell>
          <cell r="AO56">
            <v>2</v>
          </cell>
          <cell r="AP56">
            <v>0.03</v>
          </cell>
          <cell r="BB56">
            <v>-8062300</v>
          </cell>
          <cell r="BC56">
            <v>-8062300</v>
          </cell>
          <cell r="BE56">
            <v>0</v>
          </cell>
          <cell r="BF56">
            <v>0</v>
          </cell>
          <cell r="BG56">
            <v>0</v>
          </cell>
        </row>
        <row r="57">
          <cell r="C57" t="str">
            <v>ET12-2</v>
          </cell>
          <cell r="D57" t="str">
            <v>-</v>
          </cell>
          <cell r="E57" t="str">
            <v>Rear Bumper</v>
          </cell>
          <cell r="F57" t="str">
            <v>后保险杠</v>
          </cell>
          <cell r="G57" t="str">
            <v>D</v>
          </cell>
          <cell r="H57" t="str">
            <v>PMT1</v>
          </cell>
          <cell r="I57" t="str">
            <v>TH</v>
          </cell>
          <cell r="J57" t="str">
            <v>JD8B</v>
          </cell>
          <cell r="K57" t="str">
            <v>17K823</v>
          </cell>
          <cell r="L57" t="str">
            <v>BKW</v>
          </cell>
          <cell r="M57" t="str">
            <v>JD8B-17K823-BKW</v>
          </cell>
          <cell r="N57" t="str">
            <v xml:space="preserve">Rr Bumper </v>
          </cell>
          <cell r="P57" t="str">
            <v>翟万里</v>
          </cell>
          <cell r="Q57" t="str">
            <v>邓少翔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1</v>
          </cell>
          <cell r="AA57">
            <v>0.1</v>
          </cell>
          <cell r="AC57">
            <v>-327.65000000000003</v>
          </cell>
          <cell r="AD57">
            <v>-2.5499999999999998</v>
          </cell>
          <cell r="AE57">
            <v>-5.71</v>
          </cell>
          <cell r="AF57">
            <v>0</v>
          </cell>
          <cell r="AG57">
            <v>0</v>
          </cell>
          <cell r="AH57">
            <v>-335.91</v>
          </cell>
          <cell r="AI57" t="str">
            <v>CNY</v>
          </cell>
          <cell r="AJ57" t="str">
            <v>LP</v>
          </cell>
          <cell r="AK57" t="str">
            <v>CQ D&amp;T</v>
          </cell>
          <cell r="AL57" t="str">
            <v>CUENA</v>
          </cell>
          <cell r="AO57">
            <v>2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</row>
        <row r="58">
          <cell r="C58" t="str">
            <v>ET12-2</v>
          </cell>
          <cell r="D58" t="str">
            <v>ET12-2</v>
          </cell>
          <cell r="E58" t="str">
            <v>Rear Bumper</v>
          </cell>
          <cell r="F58" t="str">
            <v>后保险杠</v>
          </cell>
          <cell r="G58" t="str">
            <v>D</v>
          </cell>
          <cell r="H58" t="str">
            <v>PMT1</v>
          </cell>
          <cell r="I58" t="str">
            <v>TH</v>
          </cell>
          <cell r="J58" t="str">
            <v>JD8B</v>
          </cell>
          <cell r="K58" t="str">
            <v>17A881</v>
          </cell>
          <cell r="L58" t="str">
            <v>AB</v>
          </cell>
          <cell r="M58" t="str">
            <v>JD8B-17A881-AB</v>
          </cell>
          <cell r="N58" t="str">
            <v xml:space="preserve">Side Bracket H </v>
          </cell>
          <cell r="O58">
            <v>42704</v>
          </cell>
          <cell r="P58" t="str">
            <v>Zhou wenqi</v>
          </cell>
          <cell r="Q58" t="str">
            <v>huang bo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C58">
            <v>-14.32</v>
          </cell>
          <cell r="AD58">
            <v>-0.14000000000000001</v>
          </cell>
          <cell r="AE58">
            <v>-0.1</v>
          </cell>
          <cell r="AF58">
            <v>0</v>
          </cell>
          <cell r="AG58">
            <v>0</v>
          </cell>
          <cell r="AH58">
            <v>-14.56</v>
          </cell>
          <cell r="AI58" t="str">
            <v>CNY</v>
          </cell>
          <cell r="AJ58" t="str">
            <v>LP</v>
          </cell>
          <cell r="AK58" t="str">
            <v>CQ D&amp;T</v>
          </cell>
          <cell r="AL58" t="str">
            <v>CUENA</v>
          </cell>
          <cell r="AO58">
            <v>2</v>
          </cell>
          <cell r="AP58">
            <v>0.03</v>
          </cell>
          <cell r="BB58">
            <v>-374750</v>
          </cell>
          <cell r="BC58">
            <v>-374750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</row>
        <row r="59">
          <cell r="C59" t="str">
            <v>ET12-2</v>
          </cell>
          <cell r="D59" t="str">
            <v>ET12-2</v>
          </cell>
          <cell r="E59" t="str">
            <v>Rear Bumper</v>
          </cell>
          <cell r="F59" t="str">
            <v>后保险杠</v>
          </cell>
          <cell r="G59" t="str">
            <v>D</v>
          </cell>
          <cell r="H59" t="str">
            <v>PMT1</v>
          </cell>
          <cell r="I59" t="str">
            <v>TH</v>
          </cell>
          <cell r="J59" t="str">
            <v>JD8B</v>
          </cell>
          <cell r="K59" t="str">
            <v>17A882</v>
          </cell>
          <cell r="L59" t="str">
            <v>AB</v>
          </cell>
          <cell r="M59" t="str">
            <v>JD8B-17A882-AB</v>
          </cell>
          <cell r="N59" t="str">
            <v xml:space="preserve">Side Bracket LH </v>
          </cell>
          <cell r="O59">
            <v>42704</v>
          </cell>
          <cell r="P59" t="str">
            <v>Zhou wenqi</v>
          </cell>
          <cell r="Q59" t="str">
            <v>huang bo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C59">
            <v>-14.32</v>
          </cell>
          <cell r="AD59">
            <v>-0.14000000000000001</v>
          </cell>
          <cell r="AE59">
            <v>-0.1</v>
          </cell>
          <cell r="AF59">
            <v>0</v>
          </cell>
          <cell r="AG59">
            <v>0</v>
          </cell>
          <cell r="AH59">
            <v>-14.56</v>
          </cell>
          <cell r="AI59" t="str">
            <v>CNY</v>
          </cell>
          <cell r="AJ59" t="str">
            <v>LP</v>
          </cell>
          <cell r="AK59" t="str">
            <v>CQ D&amp;T</v>
          </cell>
          <cell r="AL59" t="str">
            <v>CUENA</v>
          </cell>
          <cell r="AO59">
            <v>2</v>
          </cell>
          <cell r="AP59">
            <v>0.03</v>
          </cell>
          <cell r="BB59">
            <v>-374750</v>
          </cell>
          <cell r="BC59">
            <v>-374750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</row>
        <row r="60">
          <cell r="C60" t="str">
            <v>ET12-2</v>
          </cell>
          <cell r="D60" t="str">
            <v>ET12-2</v>
          </cell>
          <cell r="E60" t="str">
            <v>Rear Bumper</v>
          </cell>
          <cell r="F60" t="str">
            <v>后保险杠</v>
          </cell>
          <cell r="G60" t="str">
            <v>D</v>
          </cell>
          <cell r="H60" t="str">
            <v>PMT1</v>
          </cell>
          <cell r="I60" t="str">
            <v>TH</v>
          </cell>
          <cell r="J60" t="str">
            <v>JD8B</v>
          </cell>
          <cell r="K60" t="str">
            <v>17B861</v>
          </cell>
          <cell r="L60" t="str">
            <v>AA</v>
          </cell>
          <cell r="M60" t="str">
            <v>JD8B-17B861-AA</v>
          </cell>
          <cell r="N60" t="str">
            <v xml:space="preserve">Central Bracket </v>
          </cell>
          <cell r="O60">
            <v>42704</v>
          </cell>
          <cell r="P60" t="str">
            <v>Zhou wenqi</v>
          </cell>
          <cell r="Q60" t="str">
            <v>huang bo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C60">
            <v>-13.94</v>
          </cell>
          <cell r="AD60">
            <v>-0.24</v>
          </cell>
          <cell r="AE60">
            <v>-0.17</v>
          </cell>
          <cell r="AF60">
            <v>0</v>
          </cell>
          <cell r="AG60">
            <v>0</v>
          </cell>
          <cell r="AH60">
            <v>-14.35</v>
          </cell>
          <cell r="AI60" t="str">
            <v>CNY</v>
          </cell>
          <cell r="AJ60" t="str">
            <v>LP</v>
          </cell>
          <cell r="AK60" t="str">
            <v>CQ D&amp;T</v>
          </cell>
          <cell r="AL60" t="str">
            <v>CUENA</v>
          </cell>
          <cell r="AO60">
            <v>2</v>
          </cell>
          <cell r="AP60">
            <v>0.03</v>
          </cell>
          <cell r="BB60">
            <v>-501500</v>
          </cell>
          <cell r="BC60">
            <v>-501500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</row>
        <row r="61">
          <cell r="C61" t="str">
            <v>ET12-2</v>
          </cell>
          <cell r="D61" t="str">
            <v>ET12-2</v>
          </cell>
          <cell r="E61" t="str">
            <v>Rear Bumper</v>
          </cell>
          <cell r="F61" t="str">
            <v>后保险杠</v>
          </cell>
          <cell r="G61" t="str">
            <v>D</v>
          </cell>
          <cell r="H61" t="str">
            <v>PMT1</v>
          </cell>
          <cell r="I61" t="str">
            <v>TH</v>
          </cell>
          <cell r="J61" t="str">
            <v>JD8B</v>
          </cell>
          <cell r="K61" t="str">
            <v>17E850</v>
          </cell>
          <cell r="L61" t="str">
            <v>AA</v>
          </cell>
          <cell r="M61" t="str">
            <v>JD8B-17E850-AA</v>
          </cell>
          <cell r="N61" t="str">
            <v xml:space="preserve">Taillamp Bracket_RH </v>
          </cell>
          <cell r="O61">
            <v>42704</v>
          </cell>
          <cell r="P61" t="str">
            <v>Zhou wenqi</v>
          </cell>
          <cell r="Q61" t="str">
            <v>huang bo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C61">
            <v>-7.75</v>
          </cell>
          <cell r="AD61">
            <v>-0.14000000000000001</v>
          </cell>
          <cell r="AE61">
            <v>-0.1</v>
          </cell>
          <cell r="AF61">
            <v>0</v>
          </cell>
          <cell r="AG61">
            <v>0</v>
          </cell>
          <cell r="AH61">
            <v>-7.9899999999999993</v>
          </cell>
          <cell r="AI61" t="str">
            <v>CNY</v>
          </cell>
          <cell r="AJ61" t="str">
            <v>LP</v>
          </cell>
          <cell r="AK61" t="str">
            <v>CQ D&amp;T</v>
          </cell>
          <cell r="AL61" t="str">
            <v>CUENA</v>
          </cell>
          <cell r="AO61">
            <v>2</v>
          </cell>
          <cell r="AP61">
            <v>0.03</v>
          </cell>
          <cell r="BB61">
            <v>-187500</v>
          </cell>
          <cell r="BC61">
            <v>-187500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</row>
        <row r="62">
          <cell r="C62" t="str">
            <v>ET12-2</v>
          </cell>
          <cell r="D62" t="str">
            <v>ET12-2</v>
          </cell>
          <cell r="E62" t="str">
            <v>Rear Bumper</v>
          </cell>
          <cell r="F62" t="str">
            <v>后保险杠</v>
          </cell>
          <cell r="G62" t="str">
            <v>D</v>
          </cell>
          <cell r="H62" t="str">
            <v>PMT1</v>
          </cell>
          <cell r="I62" t="str">
            <v>TH</v>
          </cell>
          <cell r="J62" t="str">
            <v>JD8B</v>
          </cell>
          <cell r="K62" t="str">
            <v>17E851</v>
          </cell>
          <cell r="L62" t="str">
            <v>AA</v>
          </cell>
          <cell r="M62" t="str">
            <v>JD8B-17E851-AA</v>
          </cell>
          <cell r="N62" t="str">
            <v xml:space="preserve">Taillamp Bracket_LH </v>
          </cell>
          <cell r="O62">
            <v>42704</v>
          </cell>
          <cell r="P62" t="str">
            <v>Zhou wenqi</v>
          </cell>
          <cell r="Q62" t="str">
            <v>huang bo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C62">
            <v>-7.75</v>
          </cell>
          <cell r="AD62">
            <v>-0.14000000000000001</v>
          </cell>
          <cell r="AE62">
            <v>-0.1</v>
          </cell>
          <cell r="AF62">
            <v>0</v>
          </cell>
          <cell r="AG62">
            <v>0</v>
          </cell>
          <cell r="AH62">
            <v>-7.9899999999999993</v>
          </cell>
          <cell r="AI62" t="str">
            <v>CNY</v>
          </cell>
          <cell r="AJ62" t="str">
            <v>LP</v>
          </cell>
          <cell r="AK62" t="str">
            <v>CQ D&amp;T</v>
          </cell>
          <cell r="AL62" t="str">
            <v>CUENA</v>
          </cell>
          <cell r="AO62">
            <v>2</v>
          </cell>
          <cell r="AP62">
            <v>0.03</v>
          </cell>
          <cell r="BB62">
            <v>-187500</v>
          </cell>
          <cell r="BC62">
            <v>-187500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</row>
        <row r="63">
          <cell r="C63" t="str">
            <v>ET12-2</v>
          </cell>
          <cell r="D63" t="str">
            <v>ET12-2</v>
          </cell>
          <cell r="E63" t="str">
            <v>Rear Bumper</v>
          </cell>
          <cell r="F63" t="str">
            <v>后保险杠</v>
          </cell>
          <cell r="G63" t="str">
            <v>D</v>
          </cell>
          <cell r="H63" t="str">
            <v>PMT1</v>
          </cell>
          <cell r="I63" t="str">
            <v>TH</v>
          </cell>
          <cell r="J63" t="str">
            <v>JD8B</v>
          </cell>
          <cell r="K63" t="str">
            <v>17B918</v>
          </cell>
          <cell r="L63" t="str">
            <v>AA</v>
          </cell>
          <cell r="M63" t="str">
            <v>JD8B-17B918-AA</v>
          </cell>
          <cell r="N63" t="str">
            <v xml:space="preserve">Lower bracket </v>
          </cell>
          <cell r="O63">
            <v>42704</v>
          </cell>
          <cell r="P63" t="str">
            <v>Zhou wenqi</v>
          </cell>
          <cell r="Q63" t="str">
            <v>huang bo</v>
          </cell>
          <cell r="S63">
            <v>2</v>
          </cell>
          <cell r="T63">
            <v>2</v>
          </cell>
          <cell r="U63">
            <v>2</v>
          </cell>
          <cell r="V63">
            <v>2</v>
          </cell>
          <cell r="W63">
            <v>2</v>
          </cell>
          <cell r="X63">
            <v>2</v>
          </cell>
          <cell r="Y63">
            <v>2</v>
          </cell>
          <cell r="Z63">
            <v>2</v>
          </cell>
          <cell r="AA63">
            <v>2</v>
          </cell>
          <cell r="AC63">
            <v>-3.97</v>
          </cell>
          <cell r="AD63">
            <v>-7.0000000000000007E-2</v>
          </cell>
          <cell r="AE63">
            <v>-0.05</v>
          </cell>
          <cell r="AF63">
            <v>0</v>
          </cell>
          <cell r="AG63">
            <v>0</v>
          </cell>
          <cell r="AH63">
            <v>-4.09</v>
          </cell>
          <cell r="AI63" t="str">
            <v>CNY</v>
          </cell>
          <cell r="AJ63" t="str">
            <v>LP</v>
          </cell>
          <cell r="AK63" t="str">
            <v>CQ D&amp;T</v>
          </cell>
          <cell r="AL63" t="str">
            <v>CUENA</v>
          </cell>
          <cell r="AO63">
            <v>2</v>
          </cell>
          <cell r="AP63">
            <v>0.03</v>
          </cell>
          <cell r="BB63">
            <v>-166000</v>
          </cell>
          <cell r="BC63">
            <v>-166000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</row>
        <row r="64">
          <cell r="C64" t="str">
            <v>E060</v>
          </cell>
          <cell r="D64" t="str">
            <v>-</v>
          </cell>
          <cell r="E64" t="str">
            <v>Door Exterior Mirror</v>
          </cell>
          <cell r="F64" t="str">
            <v>外后视镜</v>
          </cell>
          <cell r="G64" t="str">
            <v>B</v>
          </cell>
          <cell r="H64" t="str">
            <v>PMT1</v>
          </cell>
          <cell r="I64" t="str">
            <v>TH</v>
          </cell>
          <cell r="J64" t="str">
            <v>JD8B</v>
          </cell>
          <cell r="K64">
            <v>17682</v>
          </cell>
          <cell r="L64" t="str">
            <v>ADW</v>
          </cell>
          <cell r="M64" t="str">
            <v>JD8B-17682-ADW</v>
          </cell>
          <cell r="N64" t="str">
            <v>Door Exterior Mirror</v>
          </cell>
          <cell r="O64">
            <v>42755</v>
          </cell>
          <cell r="P64" t="str">
            <v>Li zenian</v>
          </cell>
          <cell r="Q64" t="str">
            <v>zhong yong</v>
          </cell>
          <cell r="S64">
            <v>1</v>
          </cell>
          <cell r="T64">
            <v>1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0.30000000000000004</v>
          </cell>
          <cell r="AC64">
            <v>-114.49979999999999</v>
          </cell>
          <cell r="AD64">
            <v>-1.3495999999999999</v>
          </cell>
          <cell r="AE64">
            <v>-4.3099999999999996</v>
          </cell>
          <cell r="AF64">
            <v>0</v>
          </cell>
          <cell r="AG64">
            <v>0</v>
          </cell>
          <cell r="AH64">
            <v>-120.15939999999999</v>
          </cell>
          <cell r="AI64" t="str">
            <v>CNY</v>
          </cell>
          <cell r="AJ64" t="str">
            <v>LP</v>
          </cell>
          <cell r="AK64" t="str">
            <v xml:space="preserve">SMR Huaxiang </v>
          </cell>
          <cell r="AL64" t="str">
            <v>GYBFA</v>
          </cell>
          <cell r="AO64">
            <v>5</v>
          </cell>
          <cell r="BB64" t="str">
            <v>incl.inCFW</v>
          </cell>
          <cell r="BC64" t="str">
            <v>incl.inCFW</v>
          </cell>
          <cell r="BE64">
            <v>0</v>
          </cell>
          <cell r="BF64">
            <v>0</v>
          </cell>
        </row>
        <row r="65">
          <cell r="C65" t="str">
            <v>E060</v>
          </cell>
          <cell r="D65" t="str">
            <v>E060</v>
          </cell>
          <cell r="E65" t="str">
            <v>Door Exterior Mirror</v>
          </cell>
          <cell r="F65" t="str">
            <v>外后视镜</v>
          </cell>
          <cell r="G65" t="str">
            <v>B</v>
          </cell>
          <cell r="H65" t="str">
            <v>PMT1</v>
          </cell>
          <cell r="I65" t="str">
            <v>TH</v>
          </cell>
          <cell r="J65" t="str">
            <v>JD8B</v>
          </cell>
          <cell r="K65">
            <v>17682</v>
          </cell>
          <cell r="L65" t="str">
            <v>BDW</v>
          </cell>
          <cell r="M65" t="str">
            <v>JD8B-17682-BDW</v>
          </cell>
          <cell r="N65" t="str">
            <v>Door Exterior Mirror</v>
          </cell>
          <cell r="O65">
            <v>42755</v>
          </cell>
          <cell r="P65" t="str">
            <v>Li zenian</v>
          </cell>
          <cell r="Q65" t="str">
            <v>zhong yong</v>
          </cell>
          <cell r="S65">
            <v>0</v>
          </cell>
          <cell r="T65">
            <v>0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0</v>
          </cell>
          <cell r="Z65">
            <v>0</v>
          </cell>
          <cell r="AA65">
            <v>0.6</v>
          </cell>
          <cell r="AC65">
            <v>-121.9957</v>
          </cell>
          <cell r="AD65">
            <v>-1.3495999999999999</v>
          </cell>
          <cell r="AE65">
            <v>-4.3099999999999996</v>
          </cell>
          <cell r="AF65">
            <v>0</v>
          </cell>
          <cell r="AG65">
            <v>0</v>
          </cell>
          <cell r="AH65">
            <v>-127.6553</v>
          </cell>
          <cell r="AI65" t="str">
            <v>CNY</v>
          </cell>
          <cell r="AJ65" t="str">
            <v>LP</v>
          </cell>
          <cell r="AK65" t="str">
            <v xml:space="preserve">SMR Huaxiang </v>
          </cell>
          <cell r="AL65" t="str">
            <v>GYBFA</v>
          </cell>
          <cell r="AO65">
            <v>5</v>
          </cell>
          <cell r="BB65" t="str">
            <v>incl.inCFW</v>
          </cell>
          <cell r="BC65" t="str">
            <v>incl.inCFW</v>
          </cell>
        </row>
        <row r="66">
          <cell r="C66" t="str">
            <v>E060</v>
          </cell>
          <cell r="D66" t="str">
            <v>-</v>
          </cell>
          <cell r="E66" t="str">
            <v>Door Exterior Mirror</v>
          </cell>
          <cell r="F66" t="str">
            <v>外后视镜</v>
          </cell>
          <cell r="G66" t="str">
            <v>B</v>
          </cell>
          <cell r="H66" t="str">
            <v>PMT1</v>
          </cell>
          <cell r="I66" t="str">
            <v>TH</v>
          </cell>
          <cell r="J66" t="str">
            <v>JD8B</v>
          </cell>
          <cell r="K66">
            <v>17682</v>
          </cell>
          <cell r="L66" t="str">
            <v>CFW</v>
          </cell>
          <cell r="M66" t="str">
            <v>JD8B-17682-CFW</v>
          </cell>
          <cell r="N66" t="str">
            <v>Door Exterior Mirror</v>
          </cell>
          <cell r="O66">
            <v>42755</v>
          </cell>
          <cell r="P66" t="str">
            <v>Li zenian</v>
          </cell>
          <cell r="Q66" t="str">
            <v>zhong yong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1</v>
          </cell>
          <cell r="AA66">
            <v>0.1</v>
          </cell>
          <cell r="AC66">
            <v>-206.85</v>
          </cell>
          <cell r="AD66">
            <v>-1.3495999999999999</v>
          </cell>
          <cell r="AE66">
            <v>-4.3099999999999996</v>
          </cell>
          <cell r="AH66">
            <v>-212.50960000000001</v>
          </cell>
          <cell r="AI66" t="str">
            <v>CNY</v>
          </cell>
          <cell r="AJ66" t="str">
            <v>LP</v>
          </cell>
          <cell r="AK66" t="str">
            <v xml:space="preserve">SMR Huaxiang </v>
          </cell>
          <cell r="AL66" t="str">
            <v>GYBFA</v>
          </cell>
          <cell r="AO66">
            <v>5</v>
          </cell>
          <cell r="BB66">
            <v>-3811555</v>
          </cell>
          <cell r="BC66">
            <v>-3811555</v>
          </cell>
        </row>
        <row r="67">
          <cell r="C67" t="str">
            <v>E060</v>
          </cell>
          <cell r="D67" t="str">
            <v>-</v>
          </cell>
          <cell r="E67" t="str">
            <v>Door Exterior Mirror</v>
          </cell>
          <cell r="F67" t="str">
            <v>外后视镜</v>
          </cell>
          <cell r="G67" t="str">
            <v>B</v>
          </cell>
          <cell r="H67" t="str">
            <v>PMT1</v>
          </cell>
          <cell r="I67" t="str">
            <v>TH</v>
          </cell>
          <cell r="J67" t="str">
            <v>JD8B</v>
          </cell>
          <cell r="K67">
            <v>17683</v>
          </cell>
          <cell r="L67" t="str">
            <v>ADW</v>
          </cell>
          <cell r="M67" t="str">
            <v>JD8B-17683-ADW</v>
          </cell>
          <cell r="N67" t="str">
            <v>Door Exterior Mirror</v>
          </cell>
          <cell r="O67">
            <v>42755</v>
          </cell>
          <cell r="P67" t="str">
            <v>Li zenian</v>
          </cell>
          <cell r="Q67" t="str">
            <v>zhong yong</v>
          </cell>
          <cell r="S67">
            <v>1</v>
          </cell>
          <cell r="T67">
            <v>1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0.30000000000000004</v>
          </cell>
          <cell r="AC67">
            <v>-114.49979999999999</v>
          </cell>
          <cell r="AD67">
            <v>-1.3495999999999999</v>
          </cell>
          <cell r="AE67">
            <v>-4.3099999999999996</v>
          </cell>
          <cell r="AF67">
            <v>0</v>
          </cell>
          <cell r="AG67">
            <v>0</v>
          </cell>
          <cell r="AH67">
            <v>-120.15939999999999</v>
          </cell>
          <cell r="AI67" t="str">
            <v>CNY</v>
          </cell>
          <cell r="AJ67" t="str">
            <v>LP</v>
          </cell>
          <cell r="AK67" t="str">
            <v xml:space="preserve">SMR Huaxiang </v>
          </cell>
          <cell r="AL67" t="str">
            <v>GYBFA</v>
          </cell>
          <cell r="AO67">
            <v>5</v>
          </cell>
          <cell r="BB67" t="str">
            <v>incl.above</v>
          </cell>
          <cell r="BC67" t="str">
            <v>incl.above</v>
          </cell>
        </row>
        <row r="68">
          <cell r="C68" t="str">
            <v>E060</v>
          </cell>
          <cell r="D68" t="str">
            <v>E060</v>
          </cell>
          <cell r="E68" t="str">
            <v>Door Exterior Mirror</v>
          </cell>
          <cell r="F68" t="str">
            <v>外后视镜</v>
          </cell>
          <cell r="G68" t="str">
            <v>B</v>
          </cell>
          <cell r="H68" t="str">
            <v>PMT1</v>
          </cell>
          <cell r="I68" t="str">
            <v>TH</v>
          </cell>
          <cell r="J68" t="str">
            <v>JD8B</v>
          </cell>
          <cell r="K68">
            <v>17683</v>
          </cell>
          <cell r="L68" t="str">
            <v>BDW</v>
          </cell>
          <cell r="M68" t="str">
            <v>JD8B-17683-BDW</v>
          </cell>
          <cell r="N68" t="str">
            <v>Door Exterior Mirror</v>
          </cell>
          <cell r="O68">
            <v>42755</v>
          </cell>
          <cell r="P68" t="str">
            <v>Li zenian</v>
          </cell>
          <cell r="Q68" t="str">
            <v>zhong yong</v>
          </cell>
          <cell r="S68">
            <v>0</v>
          </cell>
          <cell r="T68">
            <v>0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0</v>
          </cell>
          <cell r="Z68">
            <v>0</v>
          </cell>
          <cell r="AA68">
            <v>0.6</v>
          </cell>
          <cell r="AC68">
            <v>-121.9957</v>
          </cell>
          <cell r="AD68">
            <v>-1.3495999999999999</v>
          </cell>
          <cell r="AE68">
            <v>-4.3099999999999996</v>
          </cell>
          <cell r="AF68">
            <v>0</v>
          </cell>
          <cell r="AG68">
            <v>0</v>
          </cell>
          <cell r="AH68">
            <v>-127.6553</v>
          </cell>
          <cell r="AI68" t="str">
            <v>CNY</v>
          </cell>
          <cell r="AJ68" t="str">
            <v>LP</v>
          </cell>
          <cell r="AK68" t="str">
            <v xml:space="preserve">SMR Huaxiang </v>
          </cell>
          <cell r="AL68" t="str">
            <v>GYBFA</v>
          </cell>
          <cell r="AO68">
            <v>5</v>
          </cell>
          <cell r="BB68" t="str">
            <v>incl.above</v>
          </cell>
          <cell r="BC68" t="str">
            <v>incl.above</v>
          </cell>
        </row>
        <row r="69">
          <cell r="C69" t="str">
            <v>E060</v>
          </cell>
          <cell r="D69" t="str">
            <v>-</v>
          </cell>
          <cell r="E69" t="str">
            <v>Door Exterior Mirror</v>
          </cell>
          <cell r="F69" t="str">
            <v>外后视镜</v>
          </cell>
          <cell r="G69" t="str">
            <v>B</v>
          </cell>
          <cell r="H69" t="str">
            <v>PMT1</v>
          </cell>
          <cell r="I69" t="str">
            <v>TH</v>
          </cell>
          <cell r="J69" t="str">
            <v>JD8B</v>
          </cell>
          <cell r="K69">
            <v>17683</v>
          </cell>
          <cell r="L69" t="str">
            <v>CFW</v>
          </cell>
          <cell r="M69" t="str">
            <v>JD8B-17683-CFW</v>
          </cell>
          <cell r="N69" t="str">
            <v>Door Exterior Mirror</v>
          </cell>
          <cell r="O69">
            <v>42755</v>
          </cell>
          <cell r="P69" t="str">
            <v>Li zenian</v>
          </cell>
          <cell r="Q69" t="str">
            <v>zhong yong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1</v>
          </cell>
          <cell r="AA69">
            <v>0.1</v>
          </cell>
          <cell r="AC69">
            <v>-206.85</v>
          </cell>
          <cell r="AD69">
            <v>-1.3495999999999999</v>
          </cell>
          <cell r="AE69">
            <v>-4.3099999999999996</v>
          </cell>
          <cell r="AH69">
            <v>-212.50960000000001</v>
          </cell>
          <cell r="AI69" t="str">
            <v>CNY</v>
          </cell>
          <cell r="AJ69" t="str">
            <v>LP</v>
          </cell>
          <cell r="AK69" t="str">
            <v xml:space="preserve">SMR Huaxiang </v>
          </cell>
          <cell r="AL69" t="str">
            <v>GYBFA</v>
          </cell>
          <cell r="AO69">
            <v>5</v>
          </cell>
          <cell r="BB69" t="str">
            <v>incl.above</v>
          </cell>
          <cell r="BC69" t="str">
            <v>incl.above</v>
          </cell>
        </row>
        <row r="70">
          <cell r="C70" t="str">
            <v>PT05-1</v>
          </cell>
          <cell r="D70" t="str">
            <v>-</v>
          </cell>
          <cell r="E70" t="str">
            <v>Halfshaft（Dragon 6MX65）</v>
          </cell>
          <cell r="F70" t="str">
            <v>半轴（Dragon 6MX65）</v>
          </cell>
          <cell r="G70" t="str">
            <v>B</v>
          </cell>
          <cell r="H70" t="str">
            <v>PMT4</v>
          </cell>
          <cell r="I70" t="str">
            <v>PF</v>
          </cell>
          <cell r="J70" t="str">
            <v>JD8G</v>
          </cell>
          <cell r="K70" t="str">
            <v>3B436</v>
          </cell>
          <cell r="L70" t="str">
            <v>BB</v>
          </cell>
          <cell r="M70" t="str">
            <v>JD8G-3B436-BB</v>
          </cell>
          <cell r="N70" t="str">
            <v>RH</v>
          </cell>
          <cell r="P70" t="str">
            <v>wang,jia</v>
          </cell>
          <cell r="Q70" t="str">
            <v>肖平(pxiao4)</v>
          </cell>
          <cell r="S70">
            <v>0</v>
          </cell>
          <cell r="T70">
            <v>1</v>
          </cell>
          <cell r="U70">
            <v>0</v>
          </cell>
          <cell r="V70">
            <v>1</v>
          </cell>
          <cell r="W70">
            <v>0</v>
          </cell>
          <cell r="X70">
            <v>1</v>
          </cell>
          <cell r="Y70">
            <v>1</v>
          </cell>
          <cell r="Z70">
            <v>1</v>
          </cell>
          <cell r="AA70">
            <v>0.63000000000000012</v>
          </cell>
          <cell r="AC70">
            <v>-335.34000000000003</v>
          </cell>
          <cell r="AD70">
            <v>-1.5</v>
          </cell>
          <cell r="AE70">
            <v>-1.6</v>
          </cell>
          <cell r="AF70">
            <v>0</v>
          </cell>
          <cell r="AG70">
            <v>0</v>
          </cell>
          <cell r="AH70">
            <v>-338.44000000000005</v>
          </cell>
          <cell r="AI70" t="str">
            <v>CNY</v>
          </cell>
          <cell r="AJ70" t="str">
            <v>LP</v>
          </cell>
          <cell r="AK70" t="str">
            <v>CQ GKN</v>
          </cell>
          <cell r="AL70" t="str">
            <v>FLMMA</v>
          </cell>
          <cell r="AO70">
            <v>1</v>
          </cell>
          <cell r="BB70">
            <v>-368750</v>
          </cell>
          <cell r="BC70">
            <v>-368750</v>
          </cell>
        </row>
        <row r="71">
          <cell r="C71" t="str">
            <v>PT05-1</v>
          </cell>
          <cell r="D71" t="str">
            <v>-</v>
          </cell>
          <cell r="E71" t="str">
            <v>Halfshaft（Dragon 6MX65）</v>
          </cell>
          <cell r="F71" t="str">
            <v>半轴（Dragon 6MX65）</v>
          </cell>
          <cell r="G71" t="str">
            <v>B</v>
          </cell>
          <cell r="H71" t="str">
            <v>PMT4</v>
          </cell>
          <cell r="I71" t="str">
            <v>PF</v>
          </cell>
          <cell r="J71" t="str">
            <v>JD8G</v>
          </cell>
          <cell r="K71" t="str">
            <v>3B437</v>
          </cell>
          <cell r="L71" t="str">
            <v>BA</v>
          </cell>
          <cell r="M71" t="str">
            <v>JD8G-3B437-BA</v>
          </cell>
          <cell r="N71" t="str">
            <v>LH</v>
          </cell>
          <cell r="O71">
            <v>42692</v>
          </cell>
          <cell r="P71" t="str">
            <v>wang,jia</v>
          </cell>
          <cell r="Q71" t="str">
            <v>Li Yang</v>
          </cell>
          <cell r="S71">
            <v>0</v>
          </cell>
          <cell r="T71">
            <v>1</v>
          </cell>
          <cell r="U71">
            <v>0</v>
          </cell>
          <cell r="V71">
            <v>1</v>
          </cell>
          <cell r="W71">
            <v>0</v>
          </cell>
          <cell r="X71">
            <v>1</v>
          </cell>
          <cell r="Y71">
            <v>1</v>
          </cell>
          <cell r="Z71">
            <v>1</v>
          </cell>
          <cell r="AA71">
            <v>0.63000000000000012</v>
          </cell>
          <cell r="AC71">
            <v>-294.68</v>
          </cell>
          <cell r="AD71">
            <v>-1.5</v>
          </cell>
          <cell r="AE71">
            <v>-1.6</v>
          </cell>
          <cell r="AF71">
            <v>0</v>
          </cell>
          <cell r="AG71">
            <v>0</v>
          </cell>
          <cell r="AH71">
            <v>-297.78000000000003</v>
          </cell>
          <cell r="AI71" t="str">
            <v>CNY</v>
          </cell>
          <cell r="AJ71" t="str">
            <v>LP</v>
          </cell>
          <cell r="AK71" t="str">
            <v>CQ GKN</v>
          </cell>
          <cell r="AL71" t="str">
            <v>FLMMA</v>
          </cell>
          <cell r="AO71">
            <v>1</v>
          </cell>
        </row>
        <row r="72">
          <cell r="C72" t="str">
            <v>PT05-1</v>
          </cell>
          <cell r="D72" t="str">
            <v>PT05-1</v>
          </cell>
          <cell r="E72" t="str">
            <v>Halfshaft（Dragon 6MX65）</v>
          </cell>
          <cell r="F72" t="str">
            <v>半轴（Dragon 6MX65）</v>
          </cell>
          <cell r="G72" t="str">
            <v>B</v>
          </cell>
          <cell r="H72" t="str">
            <v>PMT4</v>
          </cell>
          <cell r="I72" t="str">
            <v>PF</v>
          </cell>
          <cell r="J72" t="str">
            <v>JD8G</v>
          </cell>
          <cell r="K72" t="str">
            <v>3B436</v>
          </cell>
          <cell r="L72" t="str">
            <v>AB</v>
          </cell>
          <cell r="M72" t="str">
            <v>JD8G-3B436-AB</v>
          </cell>
          <cell r="N72" t="str">
            <v>RH</v>
          </cell>
          <cell r="P72" t="str">
            <v>wang,jia</v>
          </cell>
          <cell r="Q72" t="str">
            <v>肖平(pxiao4)</v>
          </cell>
          <cell r="S72">
            <v>1</v>
          </cell>
          <cell r="T72">
            <v>0</v>
          </cell>
          <cell r="U72">
            <v>1</v>
          </cell>
          <cell r="V72">
            <v>0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0.37</v>
          </cell>
          <cell r="AC72">
            <v>-326.98</v>
          </cell>
          <cell r="AD72">
            <v>-1.5</v>
          </cell>
          <cell r="AE72">
            <v>-1.6</v>
          </cell>
          <cell r="AF72">
            <v>0</v>
          </cell>
          <cell r="AG72">
            <v>0</v>
          </cell>
          <cell r="AH72">
            <v>-330.08000000000004</v>
          </cell>
          <cell r="AI72" t="str">
            <v>CNY</v>
          </cell>
          <cell r="AJ72" t="str">
            <v>LP</v>
          </cell>
          <cell r="AK72" t="str">
            <v>CQ GKN</v>
          </cell>
          <cell r="AL72" t="str">
            <v>FLMMA</v>
          </cell>
          <cell r="AO72">
            <v>1</v>
          </cell>
          <cell r="BB72">
            <v>-337500</v>
          </cell>
          <cell r="BC72">
            <v>-337500</v>
          </cell>
        </row>
        <row r="73">
          <cell r="C73" t="str">
            <v>PT05-1</v>
          </cell>
          <cell r="D73" t="str">
            <v>PT05-1</v>
          </cell>
          <cell r="E73" t="str">
            <v>Halfshaft（Dragon 6MX65）</v>
          </cell>
          <cell r="F73" t="str">
            <v>半轴（Dragon 6MX65）</v>
          </cell>
          <cell r="G73" t="str">
            <v>B</v>
          </cell>
          <cell r="H73" t="str">
            <v>PMT4</v>
          </cell>
          <cell r="I73" t="str">
            <v>PF</v>
          </cell>
          <cell r="J73" t="str">
            <v>JD8G</v>
          </cell>
          <cell r="K73" t="str">
            <v>3B437</v>
          </cell>
          <cell r="L73" t="str">
            <v>AA</v>
          </cell>
          <cell r="M73" t="str">
            <v>JD8G-3B437-AA</v>
          </cell>
          <cell r="N73" t="str">
            <v>LH</v>
          </cell>
          <cell r="O73">
            <v>42692</v>
          </cell>
          <cell r="P73" t="str">
            <v>wang,jia</v>
          </cell>
          <cell r="Q73" t="str">
            <v>Li Yang</v>
          </cell>
          <cell r="S73">
            <v>1</v>
          </cell>
          <cell r="T73">
            <v>0</v>
          </cell>
          <cell r="U73">
            <v>1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0.28000000000000003</v>
          </cell>
          <cell r="AC73">
            <v>-281.66000000000003</v>
          </cell>
          <cell r="AD73">
            <v>-1.5</v>
          </cell>
          <cell r="AE73">
            <v>-1.6</v>
          </cell>
          <cell r="AG73">
            <v>0</v>
          </cell>
          <cell r="AH73">
            <v>-284.76000000000005</v>
          </cell>
          <cell r="AI73" t="str">
            <v>CNY</v>
          </cell>
          <cell r="AJ73" t="str">
            <v>LP</v>
          </cell>
          <cell r="AK73" t="str">
            <v>CQ GKN</v>
          </cell>
          <cell r="AL73" t="str">
            <v>FLMMA</v>
          </cell>
          <cell r="AO73">
            <v>1</v>
          </cell>
        </row>
        <row r="74">
          <cell r="C74" t="str">
            <v>PT05-1</v>
          </cell>
          <cell r="D74" t="str">
            <v>-</v>
          </cell>
          <cell r="E74" t="str">
            <v>Halfshaft（Dragon 6MX65）</v>
          </cell>
          <cell r="F74" t="str">
            <v>半轴（Dragon 6MX65）</v>
          </cell>
          <cell r="G74" t="str">
            <v>B</v>
          </cell>
          <cell r="H74" t="str">
            <v>PMT4</v>
          </cell>
          <cell r="I74" t="str">
            <v>PF</v>
          </cell>
          <cell r="J74" t="str">
            <v>JD8G</v>
          </cell>
          <cell r="K74" t="str">
            <v>3B436</v>
          </cell>
          <cell r="L74" t="str">
            <v>CA</v>
          </cell>
          <cell r="M74" t="str">
            <v>JD8G-3B436-CA</v>
          </cell>
          <cell r="N74" t="str">
            <v>RH</v>
          </cell>
          <cell r="O74" t="str">
            <v>na</v>
          </cell>
          <cell r="P74" t="str">
            <v>Chen hang</v>
          </cell>
          <cell r="Q74" t="str">
            <v>Li Yang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H74">
            <v>0</v>
          </cell>
          <cell r="AI74" t="str">
            <v>CNY</v>
          </cell>
          <cell r="AJ74" t="str">
            <v>LP</v>
          </cell>
          <cell r="AK74" t="str">
            <v>CQ GKN</v>
          </cell>
          <cell r="AL74" t="str">
            <v>FLMMA</v>
          </cell>
          <cell r="AO74">
            <v>1</v>
          </cell>
        </row>
        <row r="75">
          <cell r="C75" t="str">
            <v>PT05</v>
          </cell>
          <cell r="D75" t="str">
            <v>-</v>
          </cell>
          <cell r="E75" t="str">
            <v>Halfshaft（Fox MT）</v>
          </cell>
          <cell r="F75" t="str">
            <v>半轴（Dragon 6MX65）</v>
          </cell>
          <cell r="G75" t="str">
            <v>B</v>
          </cell>
          <cell r="H75" t="str">
            <v>PMT4</v>
          </cell>
          <cell r="I75" t="str">
            <v>PF</v>
          </cell>
          <cell r="J75" t="str">
            <v>JD8G</v>
          </cell>
          <cell r="K75" t="str">
            <v>3B437</v>
          </cell>
          <cell r="L75" t="str">
            <v>CA</v>
          </cell>
          <cell r="M75" t="str">
            <v>JD8G-3B437-CA</v>
          </cell>
          <cell r="N75" t="str">
            <v>LH</v>
          </cell>
          <cell r="O75">
            <v>42692</v>
          </cell>
          <cell r="P75" t="str">
            <v>wang,jia</v>
          </cell>
          <cell r="Q75" t="str">
            <v>Li Yang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0.09</v>
          </cell>
          <cell r="AC75">
            <v>-292.76</v>
          </cell>
          <cell r="AD75">
            <v>-1.5</v>
          </cell>
          <cell r="AE75">
            <v>-1.6</v>
          </cell>
          <cell r="AH75">
            <v>-295.86</v>
          </cell>
          <cell r="AI75" t="str">
            <v>CNY</v>
          </cell>
          <cell r="AJ75" t="str">
            <v>LP</v>
          </cell>
          <cell r="AK75" t="str">
            <v>CQ GKN</v>
          </cell>
          <cell r="AL75" t="str">
            <v>FLMMA</v>
          </cell>
          <cell r="AO75">
            <v>1</v>
          </cell>
          <cell r="BB75">
            <v>-168750</v>
          </cell>
          <cell r="BC75">
            <v>-168750</v>
          </cell>
        </row>
        <row r="76">
          <cell r="C76" t="str">
            <v>PT05-1</v>
          </cell>
          <cell r="D76" t="str">
            <v>-</v>
          </cell>
          <cell r="E76" t="str">
            <v>Halfshaft（Dragon 6MX65）</v>
          </cell>
          <cell r="F76" t="str">
            <v>半轴（Dragon 6MX65）</v>
          </cell>
          <cell r="G76" t="str">
            <v>B</v>
          </cell>
          <cell r="H76" t="str">
            <v>PMT4</v>
          </cell>
          <cell r="I76" t="str">
            <v>PF</v>
          </cell>
          <cell r="J76" t="str">
            <v>JD8G</v>
          </cell>
          <cell r="K76" t="str">
            <v>3B436</v>
          </cell>
          <cell r="L76" t="str">
            <v>DA</v>
          </cell>
          <cell r="M76" t="str">
            <v>JD8G-3B436-DA</v>
          </cell>
          <cell r="N76" t="str">
            <v>RH</v>
          </cell>
          <cell r="O76" t="str">
            <v>na</v>
          </cell>
          <cell r="P76" t="str">
            <v>Chen hang</v>
          </cell>
          <cell r="Q76" t="str">
            <v>Li Yang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  <cell r="AH76">
            <v>0</v>
          </cell>
          <cell r="AI76" t="str">
            <v>CNY</v>
          </cell>
          <cell r="AJ76" t="str">
            <v>LP</v>
          </cell>
          <cell r="AK76" t="str">
            <v>CQ GKN</v>
          </cell>
          <cell r="AL76" t="str">
            <v>FLMMA</v>
          </cell>
          <cell r="AO76">
            <v>1</v>
          </cell>
        </row>
        <row r="77">
          <cell r="C77" t="str">
            <v>PT05-1</v>
          </cell>
          <cell r="D77" t="str">
            <v>-</v>
          </cell>
          <cell r="E77" t="str">
            <v>Halfshaft（Dragon 6MX65）</v>
          </cell>
          <cell r="F77" t="str">
            <v>半轴（Dragon 6MX65）</v>
          </cell>
          <cell r="G77" t="str">
            <v>B</v>
          </cell>
          <cell r="H77" t="str">
            <v>PMT4</v>
          </cell>
          <cell r="I77" t="str">
            <v>PF</v>
          </cell>
          <cell r="J77" t="str">
            <v>JD8G</v>
          </cell>
          <cell r="K77" t="str">
            <v>3B437</v>
          </cell>
          <cell r="L77" t="str">
            <v>DA</v>
          </cell>
          <cell r="M77" t="str">
            <v>JD8G-3B437-DA</v>
          </cell>
          <cell r="N77" t="str">
            <v>LH</v>
          </cell>
          <cell r="O77" t="str">
            <v>na</v>
          </cell>
          <cell r="P77" t="str">
            <v>Chen hang</v>
          </cell>
          <cell r="Q77" t="str">
            <v>Li Yang</v>
          </cell>
          <cell r="AA77">
            <v>0</v>
          </cell>
          <cell r="AC77">
            <v>0</v>
          </cell>
          <cell r="AH77">
            <v>0</v>
          </cell>
          <cell r="AI77" t="str">
            <v>CNY</v>
          </cell>
          <cell r="AJ77" t="str">
            <v>LP</v>
          </cell>
          <cell r="AK77" t="str">
            <v>CQ GKN</v>
          </cell>
          <cell r="AL77" t="str">
            <v>FLMMA</v>
          </cell>
          <cell r="AO77">
            <v>1</v>
          </cell>
        </row>
        <row r="78">
          <cell r="C78" t="str">
            <v>PT08-3</v>
          </cell>
          <cell r="D78" t="str">
            <v>PT08-3</v>
          </cell>
          <cell r="E78" t="str">
            <v>Cooling fan (dragon)</v>
          </cell>
          <cell r="F78" t="str">
            <v>冷却风扇 (dragon)</v>
          </cell>
          <cell r="G78" t="str">
            <v>B</v>
          </cell>
          <cell r="H78" t="str">
            <v>PMT4</v>
          </cell>
          <cell r="I78" t="str">
            <v>PF</v>
          </cell>
          <cell r="J78" t="str">
            <v>JD81</v>
          </cell>
          <cell r="K78" t="str">
            <v>8C607</v>
          </cell>
          <cell r="L78" t="str">
            <v>BA</v>
          </cell>
          <cell r="M78" t="str">
            <v>JD81-8C607-BA</v>
          </cell>
          <cell r="N78" t="str">
            <v>FAN</v>
          </cell>
          <cell r="O78">
            <v>42720</v>
          </cell>
          <cell r="P78" t="str">
            <v>Long houjun</v>
          </cell>
          <cell r="Q78" t="str">
            <v>jiang xuesong</v>
          </cell>
          <cell r="S78">
            <v>1</v>
          </cell>
          <cell r="T78">
            <v>0</v>
          </cell>
          <cell r="U78">
            <v>1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0.28000000000000003</v>
          </cell>
          <cell r="AC78">
            <v>-179</v>
          </cell>
          <cell r="AD78">
            <v>-4</v>
          </cell>
          <cell r="AE78">
            <v>-5</v>
          </cell>
          <cell r="AF78">
            <v>0</v>
          </cell>
          <cell r="AG78">
            <v>-2.8</v>
          </cell>
          <cell r="AH78">
            <v>-190.8</v>
          </cell>
          <cell r="AI78" t="str">
            <v>CNY</v>
          </cell>
          <cell r="AJ78" t="str">
            <v>LP</v>
          </cell>
          <cell r="AK78" t="str">
            <v>JE GATE Chengdu</v>
          </cell>
          <cell r="AL78" t="str">
            <v>GS9MA</v>
          </cell>
          <cell r="AO78">
            <v>3</v>
          </cell>
          <cell r="AP78">
            <v>0.02</v>
          </cell>
          <cell r="AQ78">
            <v>0.02</v>
          </cell>
          <cell r="AR78">
            <v>0.02</v>
          </cell>
          <cell r="BB78">
            <v>-770000</v>
          </cell>
          <cell r="BC78">
            <v>-770000</v>
          </cell>
          <cell r="BE78">
            <v>-450721.6</v>
          </cell>
          <cell r="BF78">
            <v>160972</v>
          </cell>
        </row>
        <row r="79">
          <cell r="C79" t="str">
            <v>PT08-3</v>
          </cell>
          <cell r="D79" t="str">
            <v>-</v>
          </cell>
          <cell r="E79" t="str">
            <v>Cooling fan (dragon)</v>
          </cell>
          <cell r="F79" t="str">
            <v>冷却风扇 (dragon)</v>
          </cell>
          <cell r="G79" t="str">
            <v>B</v>
          </cell>
          <cell r="H79" t="str">
            <v>PMT4</v>
          </cell>
          <cell r="I79" t="str">
            <v>PF</v>
          </cell>
          <cell r="J79" t="str">
            <v>JD81</v>
          </cell>
          <cell r="K79" t="str">
            <v>8C607</v>
          </cell>
          <cell r="L79" t="str">
            <v>AA</v>
          </cell>
          <cell r="M79" t="str">
            <v>JD81-8C607-AA</v>
          </cell>
          <cell r="N79" t="str">
            <v>FAN</v>
          </cell>
          <cell r="O79">
            <v>42720</v>
          </cell>
          <cell r="P79" t="str">
            <v>Long houjun</v>
          </cell>
          <cell r="Q79" t="str">
            <v>jiang xuesong</v>
          </cell>
          <cell r="S79">
            <v>0</v>
          </cell>
          <cell r="T79">
            <v>1</v>
          </cell>
          <cell r="U79">
            <v>0</v>
          </cell>
          <cell r="V79">
            <v>1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0.44</v>
          </cell>
          <cell r="AC79">
            <v>-182.89</v>
          </cell>
          <cell r="AD79">
            <v>-4</v>
          </cell>
          <cell r="AE79">
            <v>-5</v>
          </cell>
          <cell r="AF79">
            <v>0</v>
          </cell>
          <cell r="AG79">
            <v>-2.8</v>
          </cell>
          <cell r="AH79">
            <v>-194.69</v>
          </cell>
          <cell r="AI79" t="str">
            <v>CNY</v>
          </cell>
          <cell r="AJ79" t="str">
            <v>LP</v>
          </cell>
          <cell r="AK79" t="str">
            <v>JE GATE Chengdu</v>
          </cell>
          <cell r="AL79" t="str">
            <v>GS9MA</v>
          </cell>
          <cell r="AO79">
            <v>3</v>
          </cell>
          <cell r="BB79">
            <v>-850000</v>
          </cell>
          <cell r="BC79">
            <v>-850000</v>
          </cell>
          <cell r="BE79">
            <v>-708276.8</v>
          </cell>
          <cell r="BF79">
            <v>252956</v>
          </cell>
        </row>
        <row r="80">
          <cell r="C80" t="str">
            <v>PT08-1</v>
          </cell>
          <cell r="D80" t="str">
            <v>-</v>
          </cell>
          <cell r="E80" t="str">
            <v>Cooling fan (Fox )</v>
          </cell>
          <cell r="F80" t="str">
            <v>冷却风扇(Fox)</v>
          </cell>
          <cell r="G80" t="str">
            <v>B</v>
          </cell>
          <cell r="H80" t="str">
            <v>PMT4</v>
          </cell>
          <cell r="I80" t="str">
            <v>PF</v>
          </cell>
          <cell r="J80" t="str">
            <v>JD81</v>
          </cell>
          <cell r="K80" t="str">
            <v>8C607</v>
          </cell>
          <cell r="L80" t="str">
            <v>CA</v>
          </cell>
          <cell r="M80" t="str">
            <v>JD81-8C607-CA</v>
          </cell>
          <cell r="N80" t="str">
            <v>FAN</v>
          </cell>
          <cell r="O80">
            <v>42720</v>
          </cell>
          <cell r="P80" t="str">
            <v>Long houjun</v>
          </cell>
          <cell r="Q80" t="str">
            <v>jiang xuesong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1</v>
          </cell>
          <cell r="X80">
            <v>1</v>
          </cell>
          <cell r="Y80">
            <v>0</v>
          </cell>
          <cell r="Z80">
            <v>1</v>
          </cell>
          <cell r="AA80">
            <v>0.28000000000000003</v>
          </cell>
          <cell r="AC80">
            <v>-178</v>
          </cell>
          <cell r="AD80">
            <v>-4</v>
          </cell>
          <cell r="AE80">
            <v>-5</v>
          </cell>
          <cell r="AF80">
            <v>0</v>
          </cell>
          <cell r="AG80">
            <v>-2.8</v>
          </cell>
          <cell r="AH80">
            <v>-189.8</v>
          </cell>
          <cell r="AI80" t="str">
            <v>CNY</v>
          </cell>
          <cell r="AJ80" t="str">
            <v>LP</v>
          </cell>
          <cell r="AK80" t="str">
            <v>JE GATE Chengdu</v>
          </cell>
          <cell r="AL80" t="str">
            <v>GS9MA</v>
          </cell>
          <cell r="AO80">
            <v>3</v>
          </cell>
          <cell r="BB80">
            <v>-770000</v>
          </cell>
          <cell r="BC80">
            <v>-770000</v>
          </cell>
          <cell r="BE80">
            <v>-450721.6</v>
          </cell>
          <cell r="BF80">
            <v>160972</v>
          </cell>
        </row>
        <row r="81">
          <cell r="C81" t="str">
            <v>PT08-1</v>
          </cell>
          <cell r="D81" t="str">
            <v>-</v>
          </cell>
          <cell r="E81" t="str">
            <v>Cooling fan (Fox )</v>
          </cell>
          <cell r="F81" t="str">
            <v>冷却风扇(Fox)</v>
          </cell>
          <cell r="G81" t="str">
            <v>B</v>
          </cell>
          <cell r="H81" t="str">
            <v>PMT4</v>
          </cell>
          <cell r="I81" t="str">
            <v>PF</v>
          </cell>
          <cell r="J81">
            <v>0</v>
          </cell>
          <cell r="K81">
            <v>0</v>
          </cell>
          <cell r="L81">
            <v>0</v>
          </cell>
          <cell r="M81" t="str">
            <v>0-0-0</v>
          </cell>
          <cell r="O81" t="str">
            <v>na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  <cell r="AH81">
            <v>0</v>
          </cell>
          <cell r="AI81" t="str">
            <v>CNY</v>
          </cell>
          <cell r="AJ81" t="str">
            <v>LP</v>
          </cell>
          <cell r="BB81">
            <v>0</v>
          </cell>
          <cell r="BC81">
            <v>0</v>
          </cell>
          <cell r="BE81">
            <v>0</v>
          </cell>
          <cell r="BF81">
            <v>0</v>
          </cell>
        </row>
        <row r="82">
          <cell r="C82" t="str">
            <v>PT10-2</v>
          </cell>
          <cell r="D82" t="str">
            <v>PT10-2</v>
          </cell>
          <cell r="E82" t="str">
            <v>Radiator(Dragon)</v>
          </cell>
          <cell r="F82" t="str">
            <v>散热器（Dragon）</v>
          </cell>
          <cell r="G82" t="str">
            <v>B</v>
          </cell>
          <cell r="H82" t="str">
            <v>PMT4</v>
          </cell>
          <cell r="I82" t="str">
            <v>PF</v>
          </cell>
          <cell r="J82" t="str">
            <v>JD81</v>
          </cell>
          <cell r="K82">
            <v>8005</v>
          </cell>
          <cell r="L82" t="str">
            <v>AA</v>
          </cell>
          <cell r="M82" t="str">
            <v>JD81-8005-AA</v>
          </cell>
          <cell r="N82" t="str">
            <v>Radiator</v>
          </cell>
          <cell r="O82">
            <v>42678</v>
          </cell>
          <cell r="P82" t="str">
            <v>Long houjun</v>
          </cell>
          <cell r="Q82" t="str">
            <v>Ye yuanhang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0.72000000000000008</v>
          </cell>
          <cell r="AC82">
            <v>-127.44</v>
          </cell>
          <cell r="AD82">
            <v>-0.52</v>
          </cell>
          <cell r="AE82">
            <v>-1.0900000000000001</v>
          </cell>
          <cell r="AF82">
            <v>0</v>
          </cell>
          <cell r="AG82">
            <v>-1.91</v>
          </cell>
          <cell r="AH82">
            <v>-130.95999999999998</v>
          </cell>
          <cell r="AI82" t="str">
            <v>CNY</v>
          </cell>
          <cell r="AJ82" t="str">
            <v>LP</v>
          </cell>
          <cell r="AK82" t="str">
            <v>SAI</v>
          </cell>
          <cell r="AL82" t="str">
            <v>CQSGA</v>
          </cell>
          <cell r="AO82">
            <v>2.8977565560103078</v>
          </cell>
          <cell r="BB82">
            <v>-2831034</v>
          </cell>
          <cell r="BC82">
            <v>-2831034</v>
          </cell>
          <cell r="BE82">
            <v>-910015</v>
          </cell>
          <cell r="BF82">
            <v>476956</v>
          </cell>
        </row>
        <row r="83">
          <cell r="C83" t="str">
            <v>PT10-2</v>
          </cell>
          <cell r="D83" t="str">
            <v>-</v>
          </cell>
          <cell r="E83" t="str">
            <v>Radiator(FOX)</v>
          </cell>
          <cell r="F83" t="str">
            <v>散热器（FOX）</v>
          </cell>
          <cell r="G83" t="str">
            <v>B</v>
          </cell>
          <cell r="H83" t="str">
            <v>PMT4</v>
          </cell>
          <cell r="I83" t="str">
            <v>PF</v>
          </cell>
          <cell r="J83" t="str">
            <v>F1F1</v>
          </cell>
          <cell r="K83">
            <v>8005</v>
          </cell>
          <cell r="L83" t="str">
            <v>VE</v>
          </cell>
          <cell r="M83" t="str">
            <v>F1F1-8005-VE</v>
          </cell>
          <cell r="N83" t="str">
            <v>Radiator</v>
          </cell>
          <cell r="O83" t="str">
            <v>NA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</v>
          </cell>
          <cell r="X83">
            <v>1</v>
          </cell>
          <cell r="Y83">
            <v>0</v>
          </cell>
          <cell r="Z83">
            <v>1</v>
          </cell>
          <cell r="AA83">
            <v>0.28000000000000003</v>
          </cell>
          <cell r="AC83">
            <v>-188.09</v>
          </cell>
          <cell r="AD83">
            <v>-8</v>
          </cell>
          <cell r="AE83">
            <v>-13.89</v>
          </cell>
          <cell r="AF83">
            <v>-21.54</v>
          </cell>
          <cell r="AG83">
            <v>0</v>
          </cell>
          <cell r="AH83">
            <v>-231.52</v>
          </cell>
          <cell r="AI83" t="str">
            <v>CNY</v>
          </cell>
          <cell r="AJ83" t="str">
            <v>LP</v>
          </cell>
          <cell r="AK83" t="str">
            <v>佛山法雷奥发动机冷却 </v>
          </cell>
          <cell r="AL83" t="str">
            <v>EXAEA </v>
          </cell>
          <cell r="BB83">
            <v>0</v>
          </cell>
          <cell r="BC83">
            <v>0</v>
          </cell>
          <cell r="BE83">
            <v>0</v>
          </cell>
          <cell r="BF83">
            <v>0</v>
          </cell>
          <cell r="BG83">
            <v>0</v>
          </cell>
          <cell r="BI83">
            <v>-2410000</v>
          </cell>
          <cell r="BJ83">
            <v>111900</v>
          </cell>
        </row>
        <row r="84">
          <cell r="C84" t="str">
            <v>PT25-1</v>
          </cell>
          <cell r="D84" t="str">
            <v>PT25-1</v>
          </cell>
          <cell r="E84" t="str">
            <v>UEGO/CMS Sensor（Dragon Stage 5）</v>
          </cell>
          <cell r="F84" t="str">
            <v>氧传感器（Dragon Stage 5）</v>
          </cell>
          <cell r="G84" t="str">
            <v>B</v>
          </cell>
          <cell r="H84" t="str">
            <v>PMT4</v>
          </cell>
          <cell r="I84" t="str">
            <v>PF</v>
          </cell>
          <cell r="J84" t="str">
            <v>HN1A</v>
          </cell>
          <cell r="K84" t="str">
            <v>9F472</v>
          </cell>
          <cell r="L84" t="str">
            <v>AC</v>
          </cell>
          <cell r="M84" t="str">
            <v>HN1A-9F472-AC</v>
          </cell>
          <cell r="N84" t="str">
            <v>HEGO(Stage 5)</v>
          </cell>
          <cell r="O84">
            <v>42713</v>
          </cell>
          <cell r="P84" t="str">
            <v>Sun Aibiao</v>
          </cell>
          <cell r="Q84" t="str">
            <v>Tan tingqing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0.72000000000000008</v>
          </cell>
          <cell r="AC84">
            <v>-74.17</v>
          </cell>
          <cell r="AD84">
            <v>-0.6</v>
          </cell>
          <cell r="AE84">
            <v>-1.4</v>
          </cell>
          <cell r="AF84">
            <v>0</v>
          </cell>
          <cell r="AG84">
            <v>0</v>
          </cell>
          <cell r="AH84">
            <v>-76.17</v>
          </cell>
          <cell r="AI84" t="str">
            <v>CNY</v>
          </cell>
          <cell r="AJ84" t="str">
            <v>LP</v>
          </cell>
          <cell r="AK84" t="str">
            <v>Changshu NGK</v>
          </cell>
          <cell r="AL84" t="str">
            <v>GRAJA</v>
          </cell>
          <cell r="AO84">
            <v>5</v>
          </cell>
          <cell r="AW84" t="str">
            <v>NA</v>
          </cell>
          <cell r="AX84" t="str">
            <v>EUR</v>
          </cell>
          <cell r="AY84">
            <v>8.15</v>
          </cell>
          <cell r="BB84">
            <v>0</v>
          </cell>
          <cell r="BC84">
            <v>0</v>
          </cell>
          <cell r="BE84">
            <v>0</v>
          </cell>
          <cell r="BF84">
            <v>0</v>
          </cell>
          <cell r="BG84">
            <v>0</v>
          </cell>
          <cell r="BL84" t="str">
            <v>Y</v>
          </cell>
          <cell r="BM84" t="str">
            <v>Platinum1197.3992Euro/Troy Oz</v>
          </cell>
        </row>
        <row r="85">
          <cell r="C85" t="str">
            <v>PT25-1</v>
          </cell>
          <cell r="D85" t="str">
            <v>PT25-1</v>
          </cell>
          <cell r="E85" t="str">
            <v>UEGO/CMS Sensor（Dragon Stage 5/6 ）</v>
          </cell>
          <cell r="F85" t="str">
            <v>氧传感器（Dragon Stage 6  / Dragon Stage 5）</v>
          </cell>
          <cell r="G85" t="str">
            <v>B</v>
          </cell>
          <cell r="H85" t="str">
            <v>PMT4</v>
          </cell>
          <cell r="I85" t="str">
            <v>PF</v>
          </cell>
          <cell r="J85" t="str">
            <v>JX6A</v>
          </cell>
          <cell r="K85" t="str">
            <v>9G444</v>
          </cell>
          <cell r="L85" t="str">
            <v>BB</v>
          </cell>
          <cell r="M85" t="str">
            <v>JX6A-9G444-BB</v>
          </cell>
          <cell r="N85" t="str">
            <v>CMS(Stage 5 &amp; Beijing 6)</v>
          </cell>
          <cell r="O85">
            <v>42713</v>
          </cell>
          <cell r="P85" t="str">
            <v>Sun Aibiao</v>
          </cell>
          <cell r="Q85" t="str">
            <v>Tan tingqing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0.72000000000000008</v>
          </cell>
          <cell r="AC85">
            <v>-83.91</v>
          </cell>
          <cell r="AD85">
            <v>-0.6</v>
          </cell>
          <cell r="AE85">
            <v>-1.4</v>
          </cell>
          <cell r="AF85">
            <v>0</v>
          </cell>
          <cell r="AG85">
            <v>0</v>
          </cell>
          <cell r="AH85">
            <v>-85.91</v>
          </cell>
          <cell r="AI85" t="str">
            <v>CNY</v>
          </cell>
          <cell r="AJ85" t="str">
            <v>LP</v>
          </cell>
          <cell r="AK85" t="str">
            <v>Changshu NGK</v>
          </cell>
          <cell r="AL85" t="str">
            <v>GRAJA</v>
          </cell>
          <cell r="AO85">
            <v>5</v>
          </cell>
          <cell r="AW85" t="str">
            <v>NA</v>
          </cell>
          <cell r="AX85" t="str">
            <v>EUR</v>
          </cell>
          <cell r="AY85">
            <v>8.15</v>
          </cell>
          <cell r="BB85">
            <v>0</v>
          </cell>
          <cell r="BC85">
            <v>0</v>
          </cell>
          <cell r="BE85">
            <v>0</v>
          </cell>
          <cell r="BF85">
            <v>0</v>
          </cell>
          <cell r="BG85">
            <v>0</v>
          </cell>
          <cell r="BL85" t="str">
            <v>Y</v>
          </cell>
          <cell r="BM85" t="str">
            <v>C/O Part</v>
          </cell>
        </row>
        <row r="86">
          <cell r="C86" t="str">
            <v>PT25-1-stage 6</v>
          </cell>
          <cell r="D86" t="str">
            <v>PT25-1-stage 6</v>
          </cell>
          <cell r="E86" t="str">
            <v>UEGO/CMS Sensor（Dragon Stage 6 ）</v>
          </cell>
          <cell r="F86" t="str">
            <v>氧传感器（Dragon Stage 6 ）</v>
          </cell>
          <cell r="G86" t="str">
            <v>B</v>
          </cell>
          <cell r="H86" t="str">
            <v>PMT4</v>
          </cell>
          <cell r="I86" t="str">
            <v>PF</v>
          </cell>
          <cell r="J86" t="str">
            <v>H1BA</v>
          </cell>
          <cell r="K86" t="str">
            <v>9Y460</v>
          </cell>
          <cell r="L86" t="str">
            <v>BB</v>
          </cell>
          <cell r="M86" t="str">
            <v>H1BA-9Y460-BB</v>
          </cell>
          <cell r="N86" t="str">
            <v>UEGO(Beijing 6)</v>
          </cell>
          <cell r="O86">
            <v>42713</v>
          </cell>
          <cell r="P86" t="str">
            <v>Sun Aibiao</v>
          </cell>
          <cell r="Q86" t="str">
            <v>Tan tingqing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0.72000000000000008</v>
          </cell>
          <cell r="AC86">
            <v>-117.25</v>
          </cell>
          <cell r="AD86">
            <v>-0.6</v>
          </cell>
          <cell r="AE86">
            <v>-1.4</v>
          </cell>
          <cell r="AF86">
            <v>0</v>
          </cell>
          <cell r="AG86">
            <v>0</v>
          </cell>
          <cell r="AH86">
            <v>-119.25</v>
          </cell>
          <cell r="AI86" t="str">
            <v>CNY</v>
          </cell>
          <cell r="AJ86" t="str">
            <v>LP</v>
          </cell>
          <cell r="AK86" t="str">
            <v>Changshu NGK</v>
          </cell>
          <cell r="AL86" t="str">
            <v>GRAJA</v>
          </cell>
          <cell r="AO86">
            <v>5</v>
          </cell>
          <cell r="AW86" t="str">
            <v>NA</v>
          </cell>
          <cell r="AX86" t="str">
            <v>EUR</v>
          </cell>
          <cell r="AY86">
            <v>8.15</v>
          </cell>
          <cell r="BB86">
            <v>0</v>
          </cell>
          <cell r="BC86">
            <v>0</v>
          </cell>
          <cell r="BE86">
            <v>0</v>
          </cell>
          <cell r="BF86">
            <v>0</v>
          </cell>
          <cell r="BG86">
            <v>0</v>
          </cell>
          <cell r="BL86" t="str">
            <v>Y</v>
          </cell>
          <cell r="BM86" t="str">
            <v>Platinum1499.641Euro/Troy Oz</v>
          </cell>
        </row>
        <row r="87">
          <cell r="C87" t="str">
            <v>PT25-2</v>
          </cell>
          <cell r="D87" t="str">
            <v>-</v>
          </cell>
          <cell r="E87" t="str">
            <v xml:space="preserve"> UEGO Sensor(Fox)</v>
          </cell>
          <cell r="F87" t="str">
            <v>前氧传感器</v>
          </cell>
          <cell r="G87" t="str">
            <v>B</v>
          </cell>
          <cell r="H87" t="str">
            <v>PMT4</v>
          </cell>
          <cell r="I87" t="str">
            <v>PF</v>
          </cell>
          <cell r="J87" t="str">
            <v>JD8G</v>
          </cell>
          <cell r="K87" t="str">
            <v>9Y460</v>
          </cell>
          <cell r="L87" t="str">
            <v>AA</v>
          </cell>
          <cell r="M87" t="str">
            <v>JD8G-9Y460-AA</v>
          </cell>
          <cell r="N87" t="str">
            <v xml:space="preserve"> UEGO Sensor（FOX）</v>
          </cell>
          <cell r="P87" t="str">
            <v>Liu Ding</v>
          </cell>
          <cell r="Q87" t="str">
            <v>Tan tingqing</v>
          </cell>
          <cell r="W87">
            <v>1</v>
          </cell>
          <cell r="X87">
            <v>1</v>
          </cell>
          <cell r="Z87">
            <v>1</v>
          </cell>
          <cell r="AA87">
            <v>0.28000000000000003</v>
          </cell>
          <cell r="AC87">
            <v>-138.88</v>
          </cell>
          <cell r="AE87">
            <v>-1.27</v>
          </cell>
          <cell r="AH87">
            <v>-140.15</v>
          </cell>
          <cell r="AI87" t="str">
            <v>CNY</v>
          </cell>
          <cell r="AJ87" t="str">
            <v>LP</v>
          </cell>
          <cell r="AK87" t="str">
            <v>Changshu NGK</v>
          </cell>
          <cell r="AL87" t="str">
            <v>CUEQA/CUEQB</v>
          </cell>
          <cell r="AO87">
            <v>13.87</v>
          </cell>
        </row>
        <row r="88">
          <cell r="C88" t="str">
            <v>PT25-2</v>
          </cell>
          <cell r="D88" t="str">
            <v>-</v>
          </cell>
          <cell r="E88" t="str">
            <v>CMS Sensor(Fox)</v>
          </cell>
          <cell r="F88" t="str">
            <v>前氧传感器</v>
          </cell>
          <cell r="G88" t="str">
            <v>B</v>
          </cell>
          <cell r="H88" t="str">
            <v>PMT4</v>
          </cell>
          <cell r="I88" t="str">
            <v>PF</v>
          </cell>
          <cell r="J88" t="str">
            <v>JX61</v>
          </cell>
          <cell r="K88" t="str">
            <v>9G444</v>
          </cell>
          <cell r="L88" t="str">
            <v>EA</v>
          </cell>
          <cell r="M88" t="str">
            <v>JX61-9G444-EA</v>
          </cell>
          <cell r="N88" t="str">
            <v>CMS Sensor (FOX)</v>
          </cell>
          <cell r="P88" t="str">
            <v>Liu Ding</v>
          </cell>
          <cell r="Q88" t="str">
            <v>Tan tingqing</v>
          </cell>
          <cell r="W88">
            <v>1</v>
          </cell>
          <cell r="X88">
            <v>1</v>
          </cell>
          <cell r="Z88">
            <v>1</v>
          </cell>
          <cell r="AA88">
            <v>0.28000000000000003</v>
          </cell>
          <cell r="AC88">
            <v>-75.56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-75.56</v>
          </cell>
          <cell r="AI88" t="str">
            <v>CNY</v>
          </cell>
          <cell r="AJ88" t="str">
            <v>LP</v>
          </cell>
          <cell r="AK88" t="str">
            <v>Changshu NGK</v>
          </cell>
          <cell r="AL88" t="str">
            <v>CUEQA/CUEQB</v>
          </cell>
          <cell r="AO88">
            <v>10.4</v>
          </cell>
        </row>
        <row r="89">
          <cell r="C89" t="str">
            <v>PT30</v>
          </cell>
          <cell r="D89" t="str">
            <v>PT30</v>
          </cell>
          <cell r="E89" t="str">
            <v>PCM （Dragon stage5）</v>
          </cell>
          <cell r="F89" t="str">
            <v xml:space="preserve"> 发动机控制模块（Dragon 国5）</v>
          </cell>
          <cell r="G89" t="str">
            <v>B</v>
          </cell>
          <cell r="H89" t="str">
            <v>PMT4</v>
          </cell>
          <cell r="I89" t="str">
            <v>PF</v>
          </cell>
          <cell r="J89" t="str">
            <v>JD8G</v>
          </cell>
          <cell r="K89" t="str">
            <v>12A650</v>
          </cell>
          <cell r="L89" t="str">
            <v>AC</v>
          </cell>
          <cell r="M89" t="str">
            <v>JD8G-12A650-AC</v>
          </cell>
          <cell r="N89" t="str">
            <v>PCM（Stage 5）</v>
          </cell>
          <cell r="O89">
            <v>42706</v>
          </cell>
          <cell r="P89" t="str">
            <v>Sun Aibiao</v>
          </cell>
          <cell r="Q89" t="str">
            <v>Tan tingqing</v>
          </cell>
          <cell r="S89">
            <v>1</v>
          </cell>
          <cell r="T89">
            <v>0</v>
          </cell>
          <cell r="U89">
            <v>1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0.28000000000000003</v>
          </cell>
          <cell r="AC89">
            <v>-301.7</v>
          </cell>
          <cell r="AD89">
            <v>-5.76</v>
          </cell>
          <cell r="AE89">
            <v>-5.6</v>
          </cell>
          <cell r="AH89">
            <v>-313.06</v>
          </cell>
          <cell r="AI89" t="str">
            <v>CNY</v>
          </cell>
          <cell r="AJ89" t="str">
            <v>LP</v>
          </cell>
          <cell r="AK89" t="str">
            <v>Shanghai UAES</v>
          </cell>
          <cell r="AL89" t="str">
            <v>CUEQA</v>
          </cell>
          <cell r="AO89" t="str">
            <v>TBD</v>
          </cell>
          <cell r="AW89">
            <v>0.6</v>
          </cell>
          <cell r="AX89" t="str">
            <v>与供应商约定不调价</v>
          </cell>
          <cell r="BB89">
            <v>-2043752.63</v>
          </cell>
          <cell r="BC89">
            <v>-2043752.63</v>
          </cell>
        </row>
        <row r="90">
          <cell r="C90" t="str">
            <v>PT30</v>
          </cell>
          <cell r="E90" t="str">
            <v>PCM（Fox AT）</v>
          </cell>
          <cell r="F90" t="str">
            <v xml:space="preserve"> 发动机控制模块（Fox 国5）</v>
          </cell>
          <cell r="G90" t="str">
            <v>B</v>
          </cell>
          <cell r="H90" t="str">
            <v>PMT4</v>
          </cell>
          <cell r="I90" t="str">
            <v>PF</v>
          </cell>
          <cell r="J90" t="str">
            <v>JD8G</v>
          </cell>
          <cell r="K90" t="str">
            <v>12A650</v>
          </cell>
          <cell r="L90" t="str">
            <v>FC</v>
          </cell>
          <cell r="M90" t="str">
            <v>JD8G-12A650-FC</v>
          </cell>
          <cell r="N90" t="str">
            <v>PCM（Stage 5）</v>
          </cell>
          <cell r="O90">
            <v>42706</v>
          </cell>
          <cell r="P90" t="str">
            <v>Sun Aibiao</v>
          </cell>
          <cell r="Q90" t="str">
            <v>Tan tingqing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1</v>
          </cell>
          <cell r="Y90">
            <v>0</v>
          </cell>
          <cell r="Z90">
            <v>1</v>
          </cell>
          <cell r="AA90">
            <v>0.19</v>
          </cell>
          <cell r="AC90">
            <v>-656.26</v>
          </cell>
          <cell r="AD90">
            <v>-7.2</v>
          </cell>
          <cell r="AE90">
            <v>-7</v>
          </cell>
          <cell r="AH90">
            <v>-670.46</v>
          </cell>
          <cell r="AI90" t="str">
            <v>CNY</v>
          </cell>
          <cell r="AJ90" t="str">
            <v>LP</v>
          </cell>
          <cell r="AK90" t="str">
            <v>Shanghai UAES</v>
          </cell>
          <cell r="AL90" t="str">
            <v>CUEQA</v>
          </cell>
          <cell r="AO90">
            <v>5</v>
          </cell>
        </row>
        <row r="91">
          <cell r="C91" t="str">
            <v>PT30-1</v>
          </cell>
          <cell r="D91" t="str">
            <v>-</v>
          </cell>
          <cell r="E91" t="str">
            <v>PCM （Dragon stage5）</v>
          </cell>
          <cell r="F91" t="str">
            <v xml:space="preserve"> 发动机控制模块（Dragon 国5）</v>
          </cell>
          <cell r="G91" t="str">
            <v>B</v>
          </cell>
          <cell r="H91" t="str">
            <v>PMT4</v>
          </cell>
          <cell r="I91" t="str">
            <v>PF</v>
          </cell>
          <cell r="J91" t="str">
            <v>JD8G</v>
          </cell>
          <cell r="K91" t="str">
            <v>12A650</v>
          </cell>
          <cell r="L91" t="str">
            <v>BC</v>
          </cell>
          <cell r="M91" t="str">
            <v>JD8G-12A650-BC</v>
          </cell>
          <cell r="N91" t="str">
            <v>PCM（Stage 5）</v>
          </cell>
          <cell r="O91">
            <v>42657</v>
          </cell>
          <cell r="P91" t="str">
            <v>Liu Ding</v>
          </cell>
          <cell r="Q91" t="str">
            <v>Tan tingqing</v>
          </cell>
          <cell r="S91">
            <v>0</v>
          </cell>
          <cell r="T91">
            <v>1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0.44</v>
          </cell>
          <cell r="AC91">
            <v>-400.16</v>
          </cell>
          <cell r="AD91">
            <v>-6.03</v>
          </cell>
          <cell r="AE91">
            <v>-9.3800000000000008</v>
          </cell>
          <cell r="AH91">
            <v>-415.57</v>
          </cell>
          <cell r="AI91" t="str">
            <v>CNY</v>
          </cell>
          <cell r="AJ91" t="str">
            <v>LP</v>
          </cell>
          <cell r="AK91" t="str">
            <v>Continental Changchun</v>
          </cell>
          <cell r="AL91" t="str">
            <v>CVXZA</v>
          </cell>
          <cell r="AO91">
            <v>5</v>
          </cell>
          <cell r="AP91">
            <v>2.5000000000000001E-2</v>
          </cell>
          <cell r="AQ91">
            <v>2.5000000000000001E-2</v>
          </cell>
          <cell r="AW91" t="str">
            <v>30%</v>
          </cell>
          <cell r="AX91" t="str">
            <v>与供应商约定不调价</v>
          </cell>
        </row>
        <row r="92">
          <cell r="C92" t="str">
            <v>PT30-1-stage6</v>
          </cell>
          <cell r="D92" t="str">
            <v>PT30-1-stage6</v>
          </cell>
          <cell r="E92" t="str">
            <v>PCM （Dragon stage6）</v>
          </cell>
          <cell r="F92" t="str">
            <v xml:space="preserve"> 发动机控制模块（Dragon 国6）</v>
          </cell>
          <cell r="G92" t="str">
            <v>B</v>
          </cell>
          <cell r="H92" t="str">
            <v>PMT4</v>
          </cell>
          <cell r="I92" t="str">
            <v>PF</v>
          </cell>
          <cell r="J92" t="str">
            <v>JD8G</v>
          </cell>
          <cell r="K92" t="str">
            <v>12A650</v>
          </cell>
          <cell r="L92" t="str">
            <v>CB</v>
          </cell>
          <cell r="M92" t="str">
            <v>JD8G-12A650-CB</v>
          </cell>
          <cell r="N92" t="str">
            <v>ECM （Stage 6)</v>
          </cell>
          <cell r="O92">
            <v>42657</v>
          </cell>
          <cell r="P92" t="str">
            <v>Liu Ding</v>
          </cell>
          <cell r="Q92" t="str">
            <v>Tan tingqing</v>
          </cell>
          <cell r="S92">
            <v>1</v>
          </cell>
          <cell r="T92">
            <v>0</v>
          </cell>
          <cell r="U92">
            <v>1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0.28000000000000003</v>
          </cell>
          <cell r="AC92">
            <v>-356.35</v>
          </cell>
          <cell r="AD92">
            <v>-6.03</v>
          </cell>
          <cell r="AE92">
            <v>-9.3800000000000008</v>
          </cell>
          <cell r="AH92">
            <v>-371.76</v>
          </cell>
          <cell r="AI92" t="str">
            <v>CNY</v>
          </cell>
          <cell r="AJ92" t="str">
            <v>LP</v>
          </cell>
          <cell r="AK92" t="str">
            <v>Continental Changchun</v>
          </cell>
          <cell r="AL92" t="str">
            <v>CVXZA</v>
          </cell>
          <cell r="AO92">
            <v>5</v>
          </cell>
          <cell r="AP92">
            <v>2.5000000000000001E-2</v>
          </cell>
          <cell r="AQ92">
            <v>2.5000000000000001E-2</v>
          </cell>
          <cell r="AW92" t="str">
            <v>30%</v>
          </cell>
          <cell r="AX92" t="str">
            <v>与供应商约定不调价</v>
          </cell>
        </row>
        <row r="93">
          <cell r="C93" t="str">
            <v>PT30-1-stage6</v>
          </cell>
          <cell r="D93" t="str">
            <v>-</v>
          </cell>
          <cell r="E93" t="str">
            <v>PCM （Dragon stage6）</v>
          </cell>
          <cell r="F93" t="str">
            <v xml:space="preserve"> 发动机控制模块（Dragon 国6）</v>
          </cell>
          <cell r="G93" t="str">
            <v>B</v>
          </cell>
          <cell r="H93" t="str">
            <v>PMT4</v>
          </cell>
          <cell r="I93" t="str">
            <v>PF</v>
          </cell>
          <cell r="J93" t="str">
            <v>JD8G</v>
          </cell>
          <cell r="K93" t="str">
            <v>12A650</v>
          </cell>
          <cell r="L93" t="str">
            <v>DB</v>
          </cell>
          <cell r="M93" t="str">
            <v>JD8G-12A650-DB</v>
          </cell>
          <cell r="N93" t="str">
            <v>PCM（Stage 6）</v>
          </cell>
          <cell r="O93">
            <v>42657</v>
          </cell>
          <cell r="P93" t="str">
            <v>Liu Ding</v>
          </cell>
          <cell r="Q93" t="str">
            <v>Tan tingqing</v>
          </cell>
          <cell r="S93">
            <v>0</v>
          </cell>
          <cell r="T93">
            <v>1</v>
          </cell>
          <cell r="U93">
            <v>0</v>
          </cell>
          <cell r="V93">
            <v>1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0.44</v>
          </cell>
          <cell r="AC93">
            <v>-413.35</v>
          </cell>
          <cell r="AD93">
            <v>-6.03</v>
          </cell>
          <cell r="AE93">
            <v>-9.3800000000000008</v>
          </cell>
          <cell r="AH93">
            <v>-428.76</v>
          </cell>
          <cell r="AI93" t="str">
            <v>CNY</v>
          </cell>
          <cell r="AJ93" t="str">
            <v>LP</v>
          </cell>
          <cell r="AK93" t="str">
            <v>Continental Changchun</v>
          </cell>
          <cell r="AL93" t="str">
            <v>CVXZA</v>
          </cell>
          <cell r="AO93">
            <v>5</v>
          </cell>
          <cell r="AP93">
            <v>2.5000000000000001E-2</v>
          </cell>
          <cell r="AQ93">
            <v>2.5000000000000001E-2</v>
          </cell>
          <cell r="AW93" t="str">
            <v>30%</v>
          </cell>
          <cell r="AX93" t="str">
            <v>与供应商约定不调价</v>
          </cell>
        </row>
        <row r="94">
          <cell r="C94" t="str">
            <v>PT16</v>
          </cell>
          <cell r="D94" t="str">
            <v>PT16</v>
          </cell>
          <cell r="E94" t="str">
            <v>Cooling hoses</v>
          </cell>
          <cell r="F94" t="str">
            <v>冷却软管</v>
          </cell>
          <cell r="G94" t="str">
            <v>B</v>
          </cell>
          <cell r="H94" t="str">
            <v>PMT4</v>
          </cell>
          <cell r="I94" t="str">
            <v>PF</v>
          </cell>
          <cell r="J94" t="str">
            <v>JD81</v>
          </cell>
          <cell r="K94" t="str">
            <v>8W005</v>
          </cell>
          <cell r="L94" t="str">
            <v>AA</v>
          </cell>
          <cell r="M94" t="str">
            <v>JD81-8W005-AA</v>
          </cell>
          <cell r="N94" t="str">
            <v>Radiator Degas</v>
          </cell>
          <cell r="O94">
            <v>42685</v>
          </cell>
          <cell r="P94" t="str">
            <v>Zhang,linyan</v>
          </cell>
          <cell r="Q94" t="str">
            <v>liu wei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0.72000000000000008</v>
          </cell>
          <cell r="AC94">
            <v>-16.8</v>
          </cell>
          <cell r="AD94">
            <v>-0.1</v>
          </cell>
          <cell r="AE94">
            <v>-0.2</v>
          </cell>
          <cell r="AF94">
            <v>0</v>
          </cell>
          <cell r="AG94">
            <v>0</v>
          </cell>
          <cell r="AH94">
            <v>-17.100000000000001</v>
          </cell>
          <cell r="AI94" t="str">
            <v>CNY</v>
          </cell>
          <cell r="AJ94" t="str">
            <v>LP</v>
          </cell>
          <cell r="AK94" t="str">
            <v>Zhejiang Junhe</v>
          </cell>
          <cell r="AL94" t="str">
            <v>GKBCA</v>
          </cell>
          <cell r="AO94">
            <v>3</v>
          </cell>
          <cell r="AP94">
            <v>0.02</v>
          </cell>
          <cell r="AQ94">
            <v>0.02</v>
          </cell>
          <cell r="AR94">
            <v>0.02</v>
          </cell>
          <cell r="BB94">
            <v>-68000</v>
          </cell>
          <cell r="BC94">
            <v>-68000</v>
          </cell>
          <cell r="BE94">
            <v>0</v>
          </cell>
          <cell r="BF94">
            <v>0</v>
          </cell>
          <cell r="BG94">
            <v>0</v>
          </cell>
        </row>
        <row r="95">
          <cell r="C95" t="str">
            <v>PT16</v>
          </cell>
          <cell r="D95" t="str">
            <v>-</v>
          </cell>
          <cell r="E95" t="str">
            <v>Cooling hoses</v>
          </cell>
          <cell r="F95" t="str">
            <v>冷却软管</v>
          </cell>
          <cell r="G95" t="str">
            <v>B</v>
          </cell>
          <cell r="H95" t="str">
            <v>PMT4</v>
          </cell>
          <cell r="I95" t="str">
            <v>PF</v>
          </cell>
          <cell r="J95" t="str">
            <v>JD81</v>
          </cell>
          <cell r="K95" t="str">
            <v>8A365</v>
          </cell>
          <cell r="L95" t="str">
            <v>AB</v>
          </cell>
          <cell r="M95" t="str">
            <v>JD81-8A365-AB</v>
          </cell>
          <cell r="N95" t="str">
            <v>Engine Degas</v>
          </cell>
          <cell r="P95" t="str">
            <v>Zhang,linyan</v>
          </cell>
          <cell r="Q95" t="str">
            <v>liu wei</v>
          </cell>
          <cell r="S95">
            <v>0</v>
          </cell>
          <cell r="T95">
            <v>1</v>
          </cell>
          <cell r="U95">
            <v>0</v>
          </cell>
          <cell r="V95">
            <v>1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0.44</v>
          </cell>
          <cell r="AC95">
            <v>-35.89</v>
          </cell>
          <cell r="AD95">
            <v>-0.3</v>
          </cell>
          <cell r="AE95">
            <v>-0.6</v>
          </cell>
          <cell r="AF95">
            <v>0</v>
          </cell>
          <cell r="AG95">
            <v>0</v>
          </cell>
          <cell r="AH95">
            <v>-36.79</v>
          </cell>
          <cell r="AI95" t="str">
            <v>CNY</v>
          </cell>
          <cell r="AJ95" t="str">
            <v>LP</v>
          </cell>
          <cell r="AK95" t="str">
            <v>Zhejiang Junhe</v>
          </cell>
          <cell r="AL95" t="str">
            <v>GKBCA</v>
          </cell>
          <cell r="AO95">
            <v>3</v>
          </cell>
          <cell r="AP95">
            <v>0.02</v>
          </cell>
          <cell r="AQ95">
            <v>0.02</v>
          </cell>
          <cell r="AR95">
            <v>0.02</v>
          </cell>
          <cell r="BB95">
            <v>-203500</v>
          </cell>
          <cell r="BC95">
            <v>-203500</v>
          </cell>
          <cell r="BE95">
            <v>0</v>
          </cell>
          <cell r="BF95">
            <v>0</v>
          </cell>
          <cell r="BG95">
            <v>0</v>
          </cell>
        </row>
        <row r="96">
          <cell r="C96" t="str">
            <v>PT16</v>
          </cell>
          <cell r="D96" t="e">
            <v>#REF!</v>
          </cell>
          <cell r="E96" t="str">
            <v>Cooling hoses</v>
          </cell>
          <cell r="F96" t="str">
            <v>冷却软管</v>
          </cell>
          <cell r="G96" t="str">
            <v>B</v>
          </cell>
          <cell r="H96" t="str">
            <v>PMT4</v>
          </cell>
          <cell r="I96" t="str">
            <v>PF</v>
          </cell>
          <cell r="J96" t="str">
            <v>JD81</v>
          </cell>
          <cell r="K96" t="str">
            <v>8B274</v>
          </cell>
          <cell r="L96" t="str">
            <v>AB</v>
          </cell>
          <cell r="M96" t="str">
            <v>JD81-8B274-AB</v>
          </cell>
          <cell r="N96" t="str">
            <v>Radiator Inlet</v>
          </cell>
          <cell r="O96">
            <v>42685</v>
          </cell>
          <cell r="P96" t="str">
            <v>Zhang,linyan</v>
          </cell>
          <cell r="Q96" t="str">
            <v>liu wei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0.72000000000000008</v>
          </cell>
          <cell r="AC96">
            <v>-46.29</v>
          </cell>
          <cell r="AD96">
            <v>-0.5</v>
          </cell>
          <cell r="AE96">
            <v>-1</v>
          </cell>
          <cell r="AF96">
            <v>0</v>
          </cell>
          <cell r="AG96">
            <v>0</v>
          </cell>
          <cell r="AH96">
            <v>-47.79</v>
          </cell>
          <cell r="AI96" t="str">
            <v>CNY</v>
          </cell>
          <cell r="AJ96" t="str">
            <v>LP</v>
          </cell>
          <cell r="AK96" t="str">
            <v>Zhejiang Junhe</v>
          </cell>
          <cell r="AL96" t="str">
            <v>GKBCA</v>
          </cell>
          <cell r="AO96">
            <v>3</v>
          </cell>
          <cell r="AP96">
            <v>0.02</v>
          </cell>
          <cell r="AQ96">
            <v>0.02</v>
          </cell>
          <cell r="AR96">
            <v>0.02</v>
          </cell>
          <cell r="BB96">
            <v>-398500</v>
          </cell>
          <cell r="BC96">
            <v>-398500</v>
          </cell>
          <cell r="BE96">
            <v>0</v>
          </cell>
          <cell r="BF96">
            <v>0</v>
          </cell>
          <cell r="BG96">
            <v>0</v>
          </cell>
        </row>
        <row r="97">
          <cell r="C97" t="str">
            <v>PT16</v>
          </cell>
          <cell r="D97" t="e">
            <v>#REF!</v>
          </cell>
          <cell r="E97" t="str">
            <v>Cooling hoses</v>
          </cell>
          <cell r="F97" t="str">
            <v>冷却软管</v>
          </cell>
          <cell r="G97" t="str">
            <v>B</v>
          </cell>
          <cell r="H97" t="str">
            <v>PMT4</v>
          </cell>
          <cell r="I97" t="str">
            <v>PF</v>
          </cell>
          <cell r="J97" t="str">
            <v>JD81</v>
          </cell>
          <cell r="K97" t="str">
            <v>8B273</v>
          </cell>
          <cell r="L97" t="str">
            <v>AB</v>
          </cell>
          <cell r="M97" t="str">
            <v>JD81-8B273-AB</v>
          </cell>
          <cell r="N97" t="str">
            <v>Radiator Outlet</v>
          </cell>
          <cell r="O97">
            <v>42685</v>
          </cell>
          <cell r="P97" t="str">
            <v>Zhang,linyan</v>
          </cell>
          <cell r="Q97" t="str">
            <v>liu wei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0.72000000000000008</v>
          </cell>
          <cell r="AC97">
            <v>-20.6</v>
          </cell>
          <cell r="AD97">
            <v>-0.6</v>
          </cell>
          <cell r="AE97">
            <v>-1.2</v>
          </cell>
          <cell r="AF97">
            <v>0</v>
          </cell>
          <cell r="AG97">
            <v>0</v>
          </cell>
          <cell r="AH97">
            <v>-22.400000000000002</v>
          </cell>
          <cell r="AI97" t="str">
            <v>CNY</v>
          </cell>
          <cell r="AJ97" t="str">
            <v>LP</v>
          </cell>
          <cell r="AK97" t="str">
            <v>Zhejiang Junhe</v>
          </cell>
          <cell r="AL97" t="str">
            <v>GKBCA</v>
          </cell>
          <cell r="AO97">
            <v>3</v>
          </cell>
          <cell r="AP97">
            <v>0.02</v>
          </cell>
          <cell r="AQ97">
            <v>0.02</v>
          </cell>
          <cell r="AR97">
            <v>0.02</v>
          </cell>
          <cell r="BB97">
            <v>-106000</v>
          </cell>
          <cell r="BC97">
            <v>-106000</v>
          </cell>
          <cell r="BE97">
            <v>0</v>
          </cell>
          <cell r="BF97">
            <v>0</v>
          </cell>
          <cell r="BG97">
            <v>0</v>
          </cell>
        </row>
        <row r="98">
          <cell r="C98" t="str">
            <v>PT16</v>
          </cell>
          <cell r="D98" t="str">
            <v>-</v>
          </cell>
          <cell r="E98" t="str">
            <v>Cooling hoses</v>
          </cell>
          <cell r="F98" t="str">
            <v>冷却软管</v>
          </cell>
          <cell r="G98" t="str">
            <v>B</v>
          </cell>
          <cell r="H98" t="str">
            <v>PMT4</v>
          </cell>
          <cell r="I98" t="str">
            <v>PF</v>
          </cell>
          <cell r="J98" t="str">
            <v>JD81</v>
          </cell>
          <cell r="K98" t="str">
            <v>8C351</v>
          </cell>
          <cell r="L98" t="str">
            <v>AB</v>
          </cell>
          <cell r="M98" t="str">
            <v>JD81-8C351-AB</v>
          </cell>
          <cell r="N98" t="str">
            <v xml:space="preserve">System Fill </v>
          </cell>
          <cell r="O98">
            <v>42685</v>
          </cell>
          <cell r="P98" t="str">
            <v>Zhang,linyan</v>
          </cell>
          <cell r="Q98" t="str">
            <v>liu wei</v>
          </cell>
          <cell r="S98">
            <v>0</v>
          </cell>
          <cell r="T98">
            <v>1</v>
          </cell>
          <cell r="U98">
            <v>0</v>
          </cell>
          <cell r="V98">
            <v>1</v>
          </cell>
          <cell r="W98">
            <v>0</v>
          </cell>
          <cell r="X98">
            <v>0</v>
          </cell>
          <cell r="Y98">
            <v>1</v>
          </cell>
          <cell r="Z98">
            <v>1</v>
          </cell>
          <cell r="AA98">
            <v>0.49</v>
          </cell>
          <cell r="AC98">
            <v>-40.35</v>
          </cell>
          <cell r="AD98">
            <v>-0.5</v>
          </cell>
          <cell r="AE98">
            <v>-1</v>
          </cell>
          <cell r="AF98">
            <v>0</v>
          </cell>
          <cell r="AG98">
            <v>0</v>
          </cell>
          <cell r="AH98">
            <v>-41.85</v>
          </cell>
          <cell r="AI98" t="str">
            <v>CNY</v>
          </cell>
          <cell r="AJ98" t="str">
            <v>LP</v>
          </cell>
          <cell r="AK98" t="str">
            <v>Zhejiang Junhe</v>
          </cell>
          <cell r="AL98" t="str">
            <v>GKBCA</v>
          </cell>
          <cell r="AO98">
            <v>3</v>
          </cell>
          <cell r="AP98">
            <v>0.02</v>
          </cell>
          <cell r="AQ98">
            <v>0.02</v>
          </cell>
          <cell r="AR98">
            <v>0.02</v>
          </cell>
          <cell r="BB98">
            <v>-185500</v>
          </cell>
          <cell r="BC98">
            <v>-185500</v>
          </cell>
          <cell r="BE98">
            <v>0</v>
          </cell>
          <cell r="BF98">
            <v>0</v>
          </cell>
          <cell r="BG98">
            <v>0</v>
          </cell>
        </row>
        <row r="99">
          <cell r="C99" t="str">
            <v>PT16</v>
          </cell>
          <cell r="D99" t="str">
            <v>-</v>
          </cell>
          <cell r="E99" t="str">
            <v>Cooling hoses</v>
          </cell>
          <cell r="F99" t="str">
            <v>冷却软管</v>
          </cell>
          <cell r="G99" t="str">
            <v>B</v>
          </cell>
          <cell r="H99" t="str">
            <v>PMT4</v>
          </cell>
          <cell r="I99" t="str">
            <v>PF</v>
          </cell>
          <cell r="J99" t="str">
            <v>JD81</v>
          </cell>
          <cell r="K99" t="str">
            <v>18K579</v>
          </cell>
          <cell r="L99" t="str">
            <v>AA</v>
          </cell>
          <cell r="M99" t="str">
            <v>JD81-18K579-AA</v>
          </cell>
          <cell r="N99" t="str">
            <v>Heater Inlet</v>
          </cell>
          <cell r="O99">
            <v>42685</v>
          </cell>
          <cell r="P99" t="str">
            <v>Zhang,linyan</v>
          </cell>
          <cell r="Q99" t="str">
            <v>liu wei</v>
          </cell>
          <cell r="S99">
            <v>0</v>
          </cell>
          <cell r="T99">
            <v>1</v>
          </cell>
          <cell r="U99">
            <v>0</v>
          </cell>
          <cell r="V99">
            <v>1</v>
          </cell>
          <cell r="W99">
            <v>0</v>
          </cell>
          <cell r="X99">
            <v>0</v>
          </cell>
          <cell r="Y99">
            <v>1</v>
          </cell>
          <cell r="Z99">
            <v>1</v>
          </cell>
          <cell r="AA99">
            <v>0.49</v>
          </cell>
          <cell r="AC99">
            <v>-38.090000000000003</v>
          </cell>
          <cell r="AD99">
            <v>-0.5</v>
          </cell>
          <cell r="AE99">
            <v>-1</v>
          </cell>
          <cell r="AF99">
            <v>0</v>
          </cell>
          <cell r="AG99">
            <v>0</v>
          </cell>
          <cell r="AH99">
            <v>-39.590000000000003</v>
          </cell>
          <cell r="AI99" t="str">
            <v>CNY</v>
          </cell>
          <cell r="AJ99" t="str">
            <v>LP</v>
          </cell>
          <cell r="AK99" t="str">
            <v>Zhejiang Junhe</v>
          </cell>
          <cell r="AL99" t="str">
            <v>GKBCA</v>
          </cell>
          <cell r="AO99">
            <v>3</v>
          </cell>
          <cell r="AP99">
            <v>0.02</v>
          </cell>
          <cell r="AQ99">
            <v>0.02</v>
          </cell>
          <cell r="AR99">
            <v>0.02</v>
          </cell>
          <cell r="BB99">
            <v>-169000</v>
          </cell>
          <cell r="BC99">
            <v>-169000</v>
          </cell>
          <cell r="BE99">
            <v>0</v>
          </cell>
          <cell r="BF99">
            <v>0</v>
          </cell>
          <cell r="BG99">
            <v>0</v>
          </cell>
        </row>
        <row r="100">
          <cell r="C100" t="str">
            <v>PT16</v>
          </cell>
          <cell r="D100" t="str">
            <v>-</v>
          </cell>
          <cell r="E100" t="str">
            <v>Cooling hoses</v>
          </cell>
          <cell r="F100" t="str">
            <v>冷却软管</v>
          </cell>
          <cell r="G100" t="str">
            <v>B</v>
          </cell>
          <cell r="H100" t="str">
            <v>PMT4</v>
          </cell>
          <cell r="I100" t="str">
            <v>PF</v>
          </cell>
          <cell r="J100" t="str">
            <v>JD81</v>
          </cell>
          <cell r="K100" t="str">
            <v>18K580</v>
          </cell>
          <cell r="L100" t="str">
            <v>AB</v>
          </cell>
          <cell r="M100" t="str">
            <v>JD81-18K580-AB</v>
          </cell>
          <cell r="N100" t="str">
            <v xml:space="preserve">Heater Outlet </v>
          </cell>
          <cell r="O100">
            <v>42685</v>
          </cell>
          <cell r="P100" t="str">
            <v>Zhang,linyan</v>
          </cell>
          <cell r="Q100" t="str">
            <v>liu wei</v>
          </cell>
          <cell r="S100">
            <v>0</v>
          </cell>
          <cell r="T100">
            <v>1</v>
          </cell>
          <cell r="U100">
            <v>0</v>
          </cell>
          <cell r="V100">
            <v>1</v>
          </cell>
          <cell r="W100">
            <v>0</v>
          </cell>
          <cell r="X100">
            <v>0</v>
          </cell>
          <cell r="Y100">
            <v>1</v>
          </cell>
          <cell r="Z100">
            <v>1</v>
          </cell>
          <cell r="AA100">
            <v>0.49</v>
          </cell>
          <cell r="AC100">
            <v>-33.4</v>
          </cell>
          <cell r="AD100">
            <v>-0.3</v>
          </cell>
          <cell r="AE100">
            <v>-0.6</v>
          </cell>
          <cell r="AH100">
            <v>-34.299999999999997</v>
          </cell>
          <cell r="AI100" t="str">
            <v>CNY</v>
          </cell>
          <cell r="AJ100" t="str">
            <v>LP</v>
          </cell>
          <cell r="AK100" t="str">
            <v>Zhejiang Junhe</v>
          </cell>
          <cell r="AL100" t="str">
            <v>GKBCA</v>
          </cell>
          <cell r="AO100">
            <v>3</v>
          </cell>
          <cell r="AP100">
            <v>0.02</v>
          </cell>
          <cell r="AQ100">
            <v>0.02</v>
          </cell>
          <cell r="AR100">
            <v>0.02</v>
          </cell>
          <cell r="BB100">
            <v>-170000</v>
          </cell>
          <cell r="BC100">
            <v>-170000</v>
          </cell>
          <cell r="BE100">
            <v>0</v>
          </cell>
          <cell r="BF100">
            <v>0</v>
          </cell>
          <cell r="BG100">
            <v>0</v>
          </cell>
        </row>
        <row r="101">
          <cell r="C101" t="str">
            <v>PT16</v>
          </cell>
          <cell r="D101" t="str">
            <v>-</v>
          </cell>
          <cell r="E101" t="str">
            <v>Cooling hoses</v>
          </cell>
          <cell r="F101" t="str">
            <v>冷却软管</v>
          </cell>
          <cell r="G101" t="str">
            <v>B</v>
          </cell>
          <cell r="H101" t="str">
            <v>PMT4</v>
          </cell>
          <cell r="I101" t="str">
            <v>PF</v>
          </cell>
          <cell r="J101" t="str">
            <v>JD81</v>
          </cell>
          <cell r="K101" t="str">
            <v>7G071</v>
          </cell>
          <cell r="L101" t="str">
            <v>AA</v>
          </cell>
          <cell r="M101" t="str">
            <v>JD81-7G071-AA</v>
          </cell>
          <cell r="N101" t="str">
            <v>ATWU Outlet ATWU</v>
          </cell>
          <cell r="O101">
            <v>42685</v>
          </cell>
          <cell r="P101" t="str">
            <v>Zhang,linyan</v>
          </cell>
          <cell r="Q101" t="str">
            <v>liu wei</v>
          </cell>
          <cell r="S101">
            <v>0</v>
          </cell>
          <cell r="T101">
            <v>1</v>
          </cell>
          <cell r="U101">
            <v>0</v>
          </cell>
          <cell r="V101">
            <v>1</v>
          </cell>
          <cell r="W101">
            <v>0</v>
          </cell>
          <cell r="X101">
            <v>0</v>
          </cell>
          <cell r="Y101">
            <v>1</v>
          </cell>
          <cell r="Z101">
            <v>1</v>
          </cell>
          <cell r="AA101">
            <v>0.49</v>
          </cell>
          <cell r="AC101">
            <v>-6.24</v>
          </cell>
          <cell r="AD101">
            <v>-0.1</v>
          </cell>
          <cell r="AE101">
            <v>-0.2</v>
          </cell>
          <cell r="AF101">
            <v>0</v>
          </cell>
          <cell r="AG101">
            <v>0</v>
          </cell>
          <cell r="AH101">
            <v>-6.54</v>
          </cell>
          <cell r="AI101" t="str">
            <v>CNY</v>
          </cell>
          <cell r="AJ101" t="str">
            <v>LP</v>
          </cell>
          <cell r="AK101" t="str">
            <v>Zhejiang Junhe</v>
          </cell>
          <cell r="AL101" t="str">
            <v>GKBCA</v>
          </cell>
          <cell r="AO101">
            <v>3</v>
          </cell>
          <cell r="AP101">
            <v>0.02</v>
          </cell>
          <cell r="AQ101">
            <v>0.02</v>
          </cell>
          <cell r="AR101">
            <v>0.02</v>
          </cell>
          <cell r="BB101">
            <v>-42000</v>
          </cell>
          <cell r="BC101">
            <v>-42000</v>
          </cell>
          <cell r="BE101">
            <v>0</v>
          </cell>
          <cell r="BF101">
            <v>0</v>
          </cell>
          <cell r="BG101">
            <v>0</v>
          </cell>
        </row>
        <row r="102">
          <cell r="C102" t="str">
            <v>PT16</v>
          </cell>
          <cell r="D102" t="str">
            <v>-</v>
          </cell>
          <cell r="E102" t="str">
            <v>Cooling hoses</v>
          </cell>
          <cell r="F102" t="str">
            <v>冷却软管</v>
          </cell>
          <cell r="G102" t="str">
            <v>B</v>
          </cell>
          <cell r="H102" t="str">
            <v>PMT4</v>
          </cell>
          <cell r="I102" t="str">
            <v>PF</v>
          </cell>
          <cell r="J102" t="str">
            <v>JD81</v>
          </cell>
          <cell r="K102" t="str">
            <v>8A365</v>
          </cell>
          <cell r="L102" t="str">
            <v>BA</v>
          </cell>
          <cell r="M102" t="str">
            <v>JD81-8A365-BA</v>
          </cell>
          <cell r="N102" t="str">
            <v>Engine Degas</v>
          </cell>
          <cell r="O102">
            <v>42685</v>
          </cell>
          <cell r="P102" t="str">
            <v>Zhang,linyan</v>
          </cell>
          <cell r="Q102" t="str">
            <v>liu wei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CNY</v>
          </cell>
          <cell r="AJ102" t="str">
            <v>LP</v>
          </cell>
          <cell r="AK102" t="str">
            <v>Zhejiang Junhe</v>
          </cell>
          <cell r="AL102" t="str">
            <v>GKBCA</v>
          </cell>
          <cell r="AO102">
            <v>3</v>
          </cell>
          <cell r="AP102">
            <v>0.02</v>
          </cell>
          <cell r="AQ102">
            <v>0.02</v>
          </cell>
          <cell r="AR102">
            <v>0.02</v>
          </cell>
          <cell r="BB102">
            <v>-106000</v>
          </cell>
          <cell r="BC102">
            <v>-106000</v>
          </cell>
          <cell r="BE102">
            <v>0</v>
          </cell>
          <cell r="BF102">
            <v>0</v>
          </cell>
          <cell r="BG102">
            <v>0</v>
          </cell>
        </row>
        <row r="103">
          <cell r="C103" t="str">
            <v>PT16</v>
          </cell>
          <cell r="D103" t="str">
            <v>PT16</v>
          </cell>
          <cell r="E103" t="str">
            <v>Cooling hoses</v>
          </cell>
          <cell r="F103" t="str">
            <v>冷却软管</v>
          </cell>
          <cell r="G103" t="str">
            <v>B</v>
          </cell>
          <cell r="H103" t="str">
            <v>PMT4</v>
          </cell>
          <cell r="I103" t="str">
            <v>PF</v>
          </cell>
          <cell r="J103" t="str">
            <v>JD81</v>
          </cell>
          <cell r="K103" t="str">
            <v>8C351</v>
          </cell>
          <cell r="L103" t="str">
            <v>BB</v>
          </cell>
          <cell r="M103" t="str">
            <v>JD81-8C351-BB</v>
          </cell>
          <cell r="N103" t="str">
            <v xml:space="preserve">System Fill </v>
          </cell>
          <cell r="O103">
            <v>42685</v>
          </cell>
          <cell r="P103" t="str">
            <v>Zhang,linyan</v>
          </cell>
          <cell r="Q103" t="str">
            <v>liu wei</v>
          </cell>
          <cell r="S103">
            <v>1</v>
          </cell>
          <cell r="T103">
            <v>0</v>
          </cell>
          <cell r="U103">
            <v>1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0.28000000000000003</v>
          </cell>
          <cell r="AC103">
            <v>-38.090000000000003</v>
          </cell>
          <cell r="AD103">
            <v>-0.5</v>
          </cell>
          <cell r="AE103">
            <v>-1</v>
          </cell>
          <cell r="AF103">
            <v>0</v>
          </cell>
          <cell r="AG103">
            <v>0</v>
          </cell>
          <cell r="AH103">
            <v>-39.590000000000003</v>
          </cell>
          <cell r="AI103" t="str">
            <v>CNY</v>
          </cell>
          <cell r="AJ103" t="str">
            <v>LP</v>
          </cell>
          <cell r="AK103" t="str">
            <v>Zhejiang Junhe</v>
          </cell>
          <cell r="AL103" t="str">
            <v>GKBCA</v>
          </cell>
          <cell r="AO103">
            <v>3</v>
          </cell>
          <cell r="AP103">
            <v>0.02</v>
          </cell>
          <cell r="AQ103">
            <v>0.02</v>
          </cell>
          <cell r="AR103">
            <v>0.02</v>
          </cell>
          <cell r="BB103">
            <v>-169000</v>
          </cell>
          <cell r="BC103">
            <v>-169000</v>
          </cell>
          <cell r="BE103">
            <v>0</v>
          </cell>
          <cell r="BF103">
            <v>0</v>
          </cell>
          <cell r="BG103">
            <v>0</v>
          </cell>
        </row>
        <row r="104">
          <cell r="C104" t="str">
            <v>PT16</v>
          </cell>
          <cell r="D104" t="str">
            <v>PT16</v>
          </cell>
          <cell r="E104" t="str">
            <v>Cooling hoses</v>
          </cell>
          <cell r="F104" t="str">
            <v>冷却软管</v>
          </cell>
          <cell r="G104" t="str">
            <v>B</v>
          </cell>
          <cell r="H104" t="str">
            <v>PMT4</v>
          </cell>
          <cell r="I104" t="str">
            <v>PF</v>
          </cell>
          <cell r="J104" t="str">
            <v>JD81</v>
          </cell>
          <cell r="K104" t="str">
            <v>18K579</v>
          </cell>
          <cell r="L104" t="str">
            <v>BA</v>
          </cell>
          <cell r="M104" t="str">
            <v>JD81-18K579-BA</v>
          </cell>
          <cell r="N104" t="str">
            <v>Heater Inlet</v>
          </cell>
          <cell r="O104">
            <v>42685</v>
          </cell>
          <cell r="P104" t="str">
            <v>Zhang,linyan</v>
          </cell>
          <cell r="Q104" t="str">
            <v>liu wei</v>
          </cell>
          <cell r="S104">
            <v>1</v>
          </cell>
          <cell r="T104">
            <v>0</v>
          </cell>
          <cell r="U104">
            <v>1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0.28000000000000003</v>
          </cell>
          <cell r="AC104">
            <v>-22.69</v>
          </cell>
          <cell r="AD104">
            <v>-0.2</v>
          </cell>
          <cell r="AE104">
            <v>-0.4</v>
          </cell>
          <cell r="AF104">
            <v>0</v>
          </cell>
          <cell r="AG104">
            <v>0</v>
          </cell>
          <cell r="AH104">
            <v>-23.29</v>
          </cell>
          <cell r="AI104" t="str">
            <v>CNY</v>
          </cell>
          <cell r="AJ104" t="str">
            <v>LP</v>
          </cell>
          <cell r="AK104" t="str">
            <v>Zhejiang Junhe</v>
          </cell>
          <cell r="AL104" t="str">
            <v>GKBCA</v>
          </cell>
          <cell r="AO104">
            <v>3</v>
          </cell>
          <cell r="AP104">
            <v>0.02</v>
          </cell>
          <cell r="AQ104">
            <v>0.02</v>
          </cell>
          <cell r="AR104">
            <v>0.02</v>
          </cell>
          <cell r="BB104">
            <v>-58000</v>
          </cell>
          <cell r="BC104">
            <v>-58000</v>
          </cell>
          <cell r="BE104">
            <v>0</v>
          </cell>
          <cell r="BF104">
            <v>0</v>
          </cell>
          <cell r="BG104">
            <v>0</v>
          </cell>
        </row>
        <row r="105">
          <cell r="C105" t="str">
            <v>PT16</v>
          </cell>
          <cell r="D105" t="str">
            <v>PT16</v>
          </cell>
          <cell r="E105" t="str">
            <v>Cooling hoses</v>
          </cell>
          <cell r="F105" t="str">
            <v>冷却软管</v>
          </cell>
          <cell r="G105" t="str">
            <v>B</v>
          </cell>
          <cell r="H105" t="str">
            <v>PMT4</v>
          </cell>
          <cell r="I105" t="str">
            <v>PF</v>
          </cell>
          <cell r="J105" t="str">
            <v>JD81</v>
          </cell>
          <cell r="K105" t="str">
            <v>18K580</v>
          </cell>
          <cell r="L105" t="str">
            <v>BA</v>
          </cell>
          <cell r="M105" t="str">
            <v>JD81-18K580-BA</v>
          </cell>
          <cell r="N105" t="str">
            <v xml:space="preserve">Heater Outlet </v>
          </cell>
          <cell r="O105">
            <v>42685</v>
          </cell>
          <cell r="P105" t="str">
            <v>Zhang,linyan</v>
          </cell>
          <cell r="Q105" t="str">
            <v>liu wei</v>
          </cell>
          <cell r="S105">
            <v>1</v>
          </cell>
          <cell r="T105">
            <v>0</v>
          </cell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0.28000000000000003</v>
          </cell>
          <cell r="AC105">
            <v>-17.39</v>
          </cell>
          <cell r="AD105">
            <v>-0.2</v>
          </cell>
          <cell r="AE105">
            <v>-0.4</v>
          </cell>
          <cell r="AF105">
            <v>0</v>
          </cell>
          <cell r="AG105">
            <v>0</v>
          </cell>
          <cell r="AH105">
            <v>-17.989999999999998</v>
          </cell>
          <cell r="AI105" t="str">
            <v>CNY</v>
          </cell>
          <cell r="AJ105" t="str">
            <v>LP</v>
          </cell>
          <cell r="AK105" t="str">
            <v>Zhejiang Junhe</v>
          </cell>
          <cell r="AL105" t="str">
            <v>GKBCA</v>
          </cell>
          <cell r="AO105">
            <v>3</v>
          </cell>
          <cell r="AP105">
            <v>0.02</v>
          </cell>
          <cell r="AQ105">
            <v>0.02</v>
          </cell>
          <cell r="AR105">
            <v>0.02</v>
          </cell>
          <cell r="BB105">
            <v>-56800</v>
          </cell>
          <cell r="BC105">
            <v>-56800</v>
          </cell>
          <cell r="BE105">
            <v>0</v>
          </cell>
          <cell r="BF105">
            <v>0</v>
          </cell>
          <cell r="BG105">
            <v>0</v>
          </cell>
        </row>
        <row r="106">
          <cell r="C106" t="str">
            <v>PT16</v>
          </cell>
          <cell r="D106" t="str">
            <v>-</v>
          </cell>
          <cell r="E106" t="str">
            <v>Cooling hoses</v>
          </cell>
          <cell r="F106" t="str">
            <v>冷却软管</v>
          </cell>
          <cell r="G106" t="str">
            <v>B</v>
          </cell>
          <cell r="H106" t="str">
            <v>PMT4</v>
          </cell>
          <cell r="I106" t="str">
            <v>PF</v>
          </cell>
          <cell r="J106" t="str">
            <v>JD81</v>
          </cell>
          <cell r="K106" t="str">
            <v>8W005</v>
          </cell>
          <cell r="L106" t="str">
            <v>CA</v>
          </cell>
          <cell r="M106" t="str">
            <v>JD81-8W005-CA</v>
          </cell>
          <cell r="N106" t="str">
            <v>Radiator Degas</v>
          </cell>
          <cell r="O106">
            <v>42685</v>
          </cell>
          <cell r="P106" t="str">
            <v>Zhang,linyan</v>
          </cell>
          <cell r="Q106" t="str">
            <v>liu wei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1</v>
          </cell>
          <cell r="X106">
            <v>1</v>
          </cell>
          <cell r="Y106">
            <v>0</v>
          </cell>
          <cell r="Z106">
            <v>1</v>
          </cell>
          <cell r="AA106">
            <v>0.28000000000000003</v>
          </cell>
          <cell r="AC106">
            <v>-32.909999999999997</v>
          </cell>
          <cell r="AD106">
            <v>-0.03</v>
          </cell>
          <cell r="AE106">
            <v>-0.06</v>
          </cell>
          <cell r="AF106">
            <v>0</v>
          </cell>
          <cell r="AG106">
            <v>0</v>
          </cell>
          <cell r="AH106">
            <v>-33</v>
          </cell>
          <cell r="AI106" t="str">
            <v>CNY</v>
          </cell>
          <cell r="AJ106" t="str">
            <v>LP</v>
          </cell>
          <cell r="AK106" t="str">
            <v>Zhejiang Junhe</v>
          </cell>
          <cell r="AL106" t="str">
            <v>GKBCA</v>
          </cell>
          <cell r="AO106">
            <v>3</v>
          </cell>
          <cell r="AP106">
            <v>0.02</v>
          </cell>
          <cell r="AQ106">
            <v>0.02</v>
          </cell>
          <cell r="AR106">
            <v>0.02</v>
          </cell>
          <cell r="BB106">
            <v>-194000</v>
          </cell>
          <cell r="BC106">
            <v>-194000</v>
          </cell>
          <cell r="BE106">
            <v>0</v>
          </cell>
          <cell r="BF106">
            <v>0</v>
          </cell>
          <cell r="BG106">
            <v>0</v>
          </cell>
        </row>
        <row r="107">
          <cell r="C107" t="str">
            <v>PT16</v>
          </cell>
          <cell r="D107" t="str">
            <v>-</v>
          </cell>
          <cell r="E107" t="str">
            <v>Cooling hoses</v>
          </cell>
          <cell r="F107" t="str">
            <v>冷却软管</v>
          </cell>
          <cell r="G107" t="str">
            <v>B</v>
          </cell>
          <cell r="H107" t="str">
            <v>PMT4</v>
          </cell>
          <cell r="I107" t="str">
            <v>PF</v>
          </cell>
          <cell r="J107" t="str">
            <v>JD81</v>
          </cell>
          <cell r="K107" t="str">
            <v>8A365</v>
          </cell>
          <cell r="L107" t="str">
            <v>CA</v>
          </cell>
          <cell r="M107" t="str">
            <v>JD81-8A365-CA</v>
          </cell>
          <cell r="N107" t="str">
            <v>Engine Degas</v>
          </cell>
          <cell r="O107">
            <v>42685</v>
          </cell>
          <cell r="P107" t="str">
            <v>Zhang,linyan</v>
          </cell>
          <cell r="Q107" t="str">
            <v>liu wei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1</v>
          </cell>
          <cell r="X107">
            <v>1</v>
          </cell>
          <cell r="Y107">
            <v>0</v>
          </cell>
          <cell r="Z107">
            <v>1</v>
          </cell>
          <cell r="AA107">
            <v>0.28000000000000003</v>
          </cell>
          <cell r="AC107">
            <v>-26.65</v>
          </cell>
          <cell r="AD107">
            <v>-0.5</v>
          </cell>
          <cell r="AE107">
            <v>-1</v>
          </cell>
          <cell r="AF107">
            <v>0</v>
          </cell>
          <cell r="AG107">
            <v>0</v>
          </cell>
          <cell r="AH107">
            <v>-28.15</v>
          </cell>
          <cell r="AI107" t="str">
            <v>CNY</v>
          </cell>
          <cell r="AJ107" t="str">
            <v>LP</v>
          </cell>
          <cell r="AK107" t="str">
            <v>Zhejiang Junhe</v>
          </cell>
          <cell r="AL107" t="str">
            <v>GKBCA</v>
          </cell>
          <cell r="AO107">
            <v>3</v>
          </cell>
          <cell r="AP107">
            <v>0.02</v>
          </cell>
          <cell r="AQ107">
            <v>0.02</v>
          </cell>
          <cell r="AR107">
            <v>0.02</v>
          </cell>
          <cell r="BB107">
            <v>-195400</v>
          </cell>
          <cell r="BC107">
            <v>-195400</v>
          </cell>
          <cell r="BE107">
            <v>0</v>
          </cell>
          <cell r="BF107">
            <v>0</v>
          </cell>
          <cell r="BG107">
            <v>0</v>
          </cell>
        </row>
        <row r="108">
          <cell r="C108" t="str">
            <v>PT16</v>
          </cell>
          <cell r="D108" t="str">
            <v>-</v>
          </cell>
          <cell r="E108" t="str">
            <v>Cooling hoses</v>
          </cell>
          <cell r="F108" t="str">
            <v>冷却软管</v>
          </cell>
          <cell r="G108" t="str">
            <v>B</v>
          </cell>
          <cell r="H108" t="str">
            <v>PMT4</v>
          </cell>
          <cell r="I108" t="str">
            <v>PF</v>
          </cell>
          <cell r="J108" t="str">
            <v>JD81</v>
          </cell>
          <cell r="K108" t="str">
            <v>8B274</v>
          </cell>
          <cell r="L108" t="str">
            <v>CB</v>
          </cell>
          <cell r="M108" t="str">
            <v>JD81-8B274-CB</v>
          </cell>
          <cell r="N108" t="str">
            <v>Radiator Inlet</v>
          </cell>
          <cell r="O108">
            <v>42685</v>
          </cell>
          <cell r="P108" t="str">
            <v>Zhang,linyan</v>
          </cell>
          <cell r="Q108" t="str">
            <v>liu wei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1</v>
          </cell>
          <cell r="X108">
            <v>1</v>
          </cell>
          <cell r="Y108">
            <v>0</v>
          </cell>
          <cell r="Z108">
            <v>1</v>
          </cell>
          <cell r="AA108">
            <v>0.28000000000000003</v>
          </cell>
          <cell r="AC108">
            <v>-27.99</v>
          </cell>
          <cell r="AD108">
            <v>-0.5</v>
          </cell>
          <cell r="AE108">
            <v>-1</v>
          </cell>
          <cell r="AF108">
            <v>0</v>
          </cell>
          <cell r="AG108">
            <v>0</v>
          </cell>
          <cell r="AH108">
            <v>-29.49</v>
          </cell>
          <cell r="AI108" t="str">
            <v>CNY</v>
          </cell>
          <cell r="AJ108" t="str">
            <v>LP</v>
          </cell>
          <cell r="AK108" t="str">
            <v>Zhejiang Junhe</v>
          </cell>
          <cell r="AL108" t="str">
            <v>GKBCA</v>
          </cell>
          <cell r="AO108">
            <v>3</v>
          </cell>
          <cell r="AP108">
            <v>0.02</v>
          </cell>
          <cell r="AQ108">
            <v>0.02</v>
          </cell>
          <cell r="AR108">
            <v>0.02</v>
          </cell>
          <cell r="BB108">
            <v>-360000</v>
          </cell>
          <cell r="BC108">
            <v>-360000</v>
          </cell>
          <cell r="BE108">
            <v>0</v>
          </cell>
          <cell r="BF108">
            <v>0</v>
          </cell>
          <cell r="BG108">
            <v>0</v>
          </cell>
        </row>
        <row r="109">
          <cell r="C109" t="str">
            <v>PT16</v>
          </cell>
          <cell r="D109" t="str">
            <v>-</v>
          </cell>
          <cell r="E109" t="str">
            <v>Cooling hoses</v>
          </cell>
          <cell r="F109" t="str">
            <v>冷却软管</v>
          </cell>
          <cell r="G109" t="str">
            <v>B</v>
          </cell>
          <cell r="H109" t="str">
            <v>PMT4</v>
          </cell>
          <cell r="I109" t="str">
            <v>PF</v>
          </cell>
          <cell r="J109" t="str">
            <v>JD81</v>
          </cell>
          <cell r="K109" t="str">
            <v>8B273</v>
          </cell>
          <cell r="L109" t="str">
            <v>CC</v>
          </cell>
          <cell r="M109" t="str">
            <v>JD81-8B273-CC</v>
          </cell>
          <cell r="N109" t="str">
            <v>Radiator Outlet</v>
          </cell>
          <cell r="O109">
            <v>42685</v>
          </cell>
          <cell r="P109" t="str">
            <v>Zhang,linyan</v>
          </cell>
          <cell r="Q109" t="str">
            <v>liu wei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1</v>
          </cell>
          <cell r="X109">
            <v>1</v>
          </cell>
          <cell r="Y109">
            <v>0</v>
          </cell>
          <cell r="Z109">
            <v>1</v>
          </cell>
          <cell r="AA109">
            <v>0.28000000000000003</v>
          </cell>
          <cell r="AC109">
            <v>-51.97</v>
          </cell>
          <cell r="AD109">
            <v>-0.6</v>
          </cell>
          <cell r="AE109">
            <v>-1.2</v>
          </cell>
          <cell r="AF109">
            <v>0</v>
          </cell>
          <cell r="AG109">
            <v>0</v>
          </cell>
          <cell r="AH109">
            <v>-53.77</v>
          </cell>
          <cell r="AI109" t="str">
            <v>CNY</v>
          </cell>
          <cell r="AJ109" t="str">
            <v>LP</v>
          </cell>
          <cell r="AK109" t="str">
            <v>Zhejiang Junhe</v>
          </cell>
          <cell r="AL109" t="str">
            <v>GKBCA</v>
          </cell>
          <cell r="AO109">
            <v>3</v>
          </cell>
          <cell r="AP109">
            <v>0.02</v>
          </cell>
          <cell r="AQ109">
            <v>0.02</v>
          </cell>
          <cell r="AR109">
            <v>0.02</v>
          </cell>
          <cell r="BB109">
            <v>-257160</v>
          </cell>
          <cell r="BC109">
            <v>-257160</v>
          </cell>
          <cell r="BE109">
            <v>0</v>
          </cell>
          <cell r="BF109">
            <v>0</v>
          </cell>
          <cell r="BG109">
            <v>0</v>
          </cell>
        </row>
        <row r="110">
          <cell r="C110" t="str">
            <v>PT16</v>
          </cell>
          <cell r="D110" t="str">
            <v>-</v>
          </cell>
          <cell r="E110" t="str">
            <v>Cooling hoses</v>
          </cell>
          <cell r="F110" t="str">
            <v>冷却软管</v>
          </cell>
          <cell r="G110" t="str">
            <v>B</v>
          </cell>
          <cell r="H110" t="str">
            <v>PMT4</v>
          </cell>
          <cell r="I110" t="str">
            <v>PF</v>
          </cell>
          <cell r="J110" t="str">
            <v>JD81</v>
          </cell>
          <cell r="K110" t="str">
            <v>8C351</v>
          </cell>
          <cell r="L110" t="str">
            <v>CA</v>
          </cell>
          <cell r="M110" t="str">
            <v>JD81-8C351-CA</v>
          </cell>
          <cell r="N110" t="str">
            <v xml:space="preserve">System Fill </v>
          </cell>
          <cell r="O110">
            <v>42685</v>
          </cell>
          <cell r="P110" t="str">
            <v>Zhang,linyan</v>
          </cell>
          <cell r="Q110" t="str">
            <v>liu wei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</v>
          </cell>
          <cell r="X110">
            <v>1</v>
          </cell>
          <cell r="Y110">
            <v>0</v>
          </cell>
          <cell r="Z110">
            <v>1</v>
          </cell>
          <cell r="AA110">
            <v>0.28000000000000003</v>
          </cell>
          <cell r="AC110">
            <v>-16.37</v>
          </cell>
          <cell r="AD110">
            <v>-0.5</v>
          </cell>
          <cell r="AE110">
            <v>-1</v>
          </cell>
          <cell r="AF110">
            <v>0</v>
          </cell>
          <cell r="AG110">
            <v>0</v>
          </cell>
          <cell r="AH110">
            <v>-17.87</v>
          </cell>
          <cell r="AI110" t="str">
            <v>CNY</v>
          </cell>
          <cell r="AJ110" t="str">
            <v>LP</v>
          </cell>
          <cell r="AK110" t="str">
            <v>Zhejiang Junhe</v>
          </cell>
          <cell r="AL110" t="str">
            <v>GKBCA</v>
          </cell>
          <cell r="AO110">
            <v>3</v>
          </cell>
          <cell r="AP110">
            <v>0.02</v>
          </cell>
          <cell r="AQ110">
            <v>0.02</v>
          </cell>
          <cell r="AR110">
            <v>0.02</v>
          </cell>
          <cell r="BB110">
            <v>-54000</v>
          </cell>
          <cell r="BC110">
            <v>-54000</v>
          </cell>
          <cell r="BE110">
            <v>0</v>
          </cell>
          <cell r="BF110">
            <v>0</v>
          </cell>
          <cell r="BG110">
            <v>0</v>
          </cell>
        </row>
        <row r="111">
          <cell r="C111" t="str">
            <v>PT16</v>
          </cell>
          <cell r="D111" t="str">
            <v>-</v>
          </cell>
          <cell r="E111" t="str">
            <v>Cooling hoses</v>
          </cell>
          <cell r="F111" t="str">
            <v>冷却软管</v>
          </cell>
          <cell r="G111" t="str">
            <v>B</v>
          </cell>
          <cell r="H111" t="str">
            <v>PMT4</v>
          </cell>
          <cell r="I111" t="str">
            <v>PF</v>
          </cell>
          <cell r="J111" t="str">
            <v>JD81</v>
          </cell>
          <cell r="K111" t="str">
            <v>18K579</v>
          </cell>
          <cell r="L111" t="str">
            <v>CA</v>
          </cell>
          <cell r="M111" t="str">
            <v>JD81-18K579-CA</v>
          </cell>
          <cell r="N111" t="str">
            <v>Heater Inlet</v>
          </cell>
          <cell r="O111">
            <v>42685</v>
          </cell>
          <cell r="P111" t="str">
            <v>Zhang,linyan</v>
          </cell>
          <cell r="Q111" t="str">
            <v>liu wei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1</v>
          </cell>
          <cell r="Y111">
            <v>0</v>
          </cell>
          <cell r="Z111">
            <v>1</v>
          </cell>
          <cell r="AA111">
            <v>0.19</v>
          </cell>
          <cell r="AC111">
            <v>-42.39</v>
          </cell>
          <cell r="AD111">
            <v>-0.6</v>
          </cell>
          <cell r="AE111">
            <v>-1.2</v>
          </cell>
          <cell r="AF111">
            <v>0</v>
          </cell>
          <cell r="AG111">
            <v>0</v>
          </cell>
          <cell r="AH111">
            <v>-44.190000000000005</v>
          </cell>
          <cell r="AI111" t="str">
            <v>CNY</v>
          </cell>
          <cell r="AJ111" t="str">
            <v>LP</v>
          </cell>
          <cell r="AK111" t="str">
            <v>Zhejiang Junhe</v>
          </cell>
          <cell r="AL111" t="str">
            <v>GKBCA</v>
          </cell>
          <cell r="AO111">
            <v>3</v>
          </cell>
          <cell r="AP111">
            <v>0.02</v>
          </cell>
          <cell r="AQ111">
            <v>0.02</v>
          </cell>
          <cell r="AR111">
            <v>0.02</v>
          </cell>
          <cell r="BB111">
            <v>-105000</v>
          </cell>
          <cell r="BC111">
            <v>-105000</v>
          </cell>
          <cell r="BE111">
            <v>0</v>
          </cell>
          <cell r="BF111">
            <v>0</v>
          </cell>
          <cell r="BG111">
            <v>0</v>
          </cell>
        </row>
        <row r="112">
          <cell r="C112" t="str">
            <v>PT16</v>
          </cell>
          <cell r="D112" t="str">
            <v>-</v>
          </cell>
          <cell r="E112" t="str">
            <v>Cooling hoses</v>
          </cell>
          <cell r="F112" t="str">
            <v>冷却软管</v>
          </cell>
          <cell r="G112" t="str">
            <v>B</v>
          </cell>
          <cell r="H112" t="str">
            <v>PMT4</v>
          </cell>
          <cell r="I112" t="str">
            <v>PF</v>
          </cell>
          <cell r="J112" t="str">
            <v>JD81</v>
          </cell>
          <cell r="K112" t="str">
            <v>18K580</v>
          </cell>
          <cell r="L112" t="str">
            <v>CA</v>
          </cell>
          <cell r="M112" t="str">
            <v>JD81-18K580-CA</v>
          </cell>
          <cell r="N112" t="str">
            <v xml:space="preserve">Heater Outlet </v>
          </cell>
          <cell r="O112">
            <v>42685</v>
          </cell>
          <cell r="P112" t="str">
            <v>Zhang,linyan</v>
          </cell>
          <cell r="Q112" t="str">
            <v>liu wei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1</v>
          </cell>
          <cell r="Y112">
            <v>0</v>
          </cell>
          <cell r="Z112">
            <v>1</v>
          </cell>
          <cell r="AA112">
            <v>0.19</v>
          </cell>
          <cell r="AC112">
            <v>-24.39</v>
          </cell>
          <cell r="AD112">
            <v>-0.1</v>
          </cell>
          <cell r="AE112">
            <v>-0.2</v>
          </cell>
          <cell r="AF112">
            <v>0</v>
          </cell>
          <cell r="AG112">
            <v>0</v>
          </cell>
          <cell r="AH112">
            <v>-24.69</v>
          </cell>
          <cell r="AI112" t="str">
            <v>CNY</v>
          </cell>
          <cell r="AJ112" t="str">
            <v>LP</v>
          </cell>
          <cell r="AK112" t="str">
            <v>Zhejiang Junhe</v>
          </cell>
          <cell r="AL112" t="str">
            <v>GKBCA</v>
          </cell>
          <cell r="AO112">
            <v>3</v>
          </cell>
          <cell r="AP112">
            <v>0.02</v>
          </cell>
          <cell r="AQ112">
            <v>0.02</v>
          </cell>
          <cell r="AR112">
            <v>0.02</v>
          </cell>
          <cell r="BB112">
            <v>-76000</v>
          </cell>
          <cell r="BC112">
            <v>-76000</v>
          </cell>
          <cell r="BE112">
            <v>0</v>
          </cell>
          <cell r="BF112">
            <v>0</v>
          </cell>
          <cell r="BG112">
            <v>0</v>
          </cell>
        </row>
        <row r="113">
          <cell r="C113" t="str">
            <v>PT16</v>
          </cell>
          <cell r="D113" t="str">
            <v>-</v>
          </cell>
          <cell r="E113" t="str">
            <v>Cooling hoses</v>
          </cell>
          <cell r="F113" t="str">
            <v>冷却软管</v>
          </cell>
          <cell r="G113" t="str">
            <v>B</v>
          </cell>
          <cell r="H113" t="str">
            <v>PMT4</v>
          </cell>
          <cell r="I113" t="str">
            <v>PF</v>
          </cell>
          <cell r="J113" t="str">
            <v>JD81</v>
          </cell>
          <cell r="K113" t="str">
            <v>6B851</v>
          </cell>
          <cell r="L113" t="str">
            <v>CB</v>
          </cell>
          <cell r="M113" t="str">
            <v>JD81-6B851-CB</v>
          </cell>
          <cell r="N113" t="str">
            <v>Radiator Inlet</v>
          </cell>
          <cell r="O113">
            <v>42685</v>
          </cell>
          <cell r="P113" t="str">
            <v>Zhang,linyan</v>
          </cell>
          <cell r="Q113" t="str">
            <v>liu wei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1</v>
          </cell>
          <cell r="Y113">
            <v>0</v>
          </cell>
          <cell r="Z113">
            <v>1</v>
          </cell>
          <cell r="AA113">
            <v>0.19</v>
          </cell>
          <cell r="AC113">
            <v>-31.57</v>
          </cell>
          <cell r="AD113">
            <v>-0.3</v>
          </cell>
          <cell r="AE113">
            <v>-0.6</v>
          </cell>
          <cell r="AF113">
            <v>0</v>
          </cell>
          <cell r="AG113">
            <v>0</v>
          </cell>
          <cell r="AH113">
            <v>-32.47</v>
          </cell>
          <cell r="AI113" t="str">
            <v>CNY</v>
          </cell>
          <cell r="AJ113" t="str">
            <v>LP</v>
          </cell>
          <cell r="AK113" t="str">
            <v>Zhejiang Junhe</v>
          </cell>
          <cell r="AL113" t="str">
            <v>GKBCA</v>
          </cell>
          <cell r="AO113">
            <v>3</v>
          </cell>
          <cell r="AP113">
            <v>0.02</v>
          </cell>
          <cell r="AQ113">
            <v>0.02</v>
          </cell>
          <cell r="AR113">
            <v>0.02</v>
          </cell>
          <cell r="BB113">
            <v>-239360</v>
          </cell>
          <cell r="BC113">
            <v>-239360</v>
          </cell>
          <cell r="BE113">
            <v>0</v>
          </cell>
          <cell r="BF113">
            <v>0</v>
          </cell>
          <cell r="BG113">
            <v>0</v>
          </cell>
        </row>
        <row r="114">
          <cell r="C114" t="str">
            <v>PT16</v>
          </cell>
          <cell r="D114" t="str">
            <v>-</v>
          </cell>
          <cell r="E114" t="str">
            <v>Cooling hoses</v>
          </cell>
          <cell r="F114" t="str">
            <v>冷却软管</v>
          </cell>
          <cell r="G114" t="str">
            <v>B</v>
          </cell>
          <cell r="H114" t="str">
            <v>PMT4</v>
          </cell>
          <cell r="I114" t="str">
            <v>PF</v>
          </cell>
          <cell r="J114" t="str">
            <v>JD81</v>
          </cell>
          <cell r="K114" t="str">
            <v>7G071</v>
          </cell>
          <cell r="L114" t="str">
            <v>CA</v>
          </cell>
          <cell r="M114" t="str">
            <v>JD81-7G071-CA</v>
          </cell>
          <cell r="N114" t="str">
            <v xml:space="preserve">System Fill </v>
          </cell>
          <cell r="O114">
            <v>42685</v>
          </cell>
          <cell r="P114" t="str">
            <v>Zhang,linyan</v>
          </cell>
          <cell r="Q114" t="str">
            <v>liu wei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1</v>
          </cell>
          <cell r="Y114">
            <v>0</v>
          </cell>
          <cell r="Z114">
            <v>1</v>
          </cell>
          <cell r="AA114">
            <v>0.19</v>
          </cell>
          <cell r="AC114">
            <v>-9.0500000000000007</v>
          </cell>
          <cell r="AD114">
            <v>-0.2</v>
          </cell>
          <cell r="AE114">
            <v>-0.4</v>
          </cell>
          <cell r="AF114">
            <v>0</v>
          </cell>
          <cell r="AG114">
            <v>0</v>
          </cell>
          <cell r="AH114">
            <v>-9.65</v>
          </cell>
          <cell r="AI114" t="str">
            <v>CNY</v>
          </cell>
          <cell r="AJ114" t="str">
            <v>LP</v>
          </cell>
          <cell r="AK114" t="str">
            <v>Zhejiang Junhe</v>
          </cell>
          <cell r="AL114" t="str">
            <v>GKBCA</v>
          </cell>
          <cell r="AO114">
            <v>3</v>
          </cell>
          <cell r="AP114">
            <v>0.02</v>
          </cell>
          <cell r="AQ114">
            <v>0.02</v>
          </cell>
          <cell r="AR114">
            <v>0.02</v>
          </cell>
          <cell r="BB114">
            <v>-80270</v>
          </cell>
          <cell r="BC114">
            <v>-80270</v>
          </cell>
          <cell r="BE114">
            <v>0</v>
          </cell>
          <cell r="BF114">
            <v>0</v>
          </cell>
          <cell r="BG114">
            <v>0</v>
          </cell>
        </row>
        <row r="115">
          <cell r="C115" t="str">
            <v>PT16</v>
          </cell>
          <cell r="D115" t="str">
            <v>-</v>
          </cell>
          <cell r="E115" t="str">
            <v>Cooling hoses</v>
          </cell>
          <cell r="F115" t="str">
            <v>冷却软管</v>
          </cell>
          <cell r="G115" t="str">
            <v>B</v>
          </cell>
          <cell r="H115" t="str">
            <v>PMT4</v>
          </cell>
          <cell r="I115" t="str">
            <v>PF</v>
          </cell>
          <cell r="J115" t="str">
            <v>JD81</v>
          </cell>
          <cell r="K115" t="str">
            <v>18K579</v>
          </cell>
          <cell r="L115" t="str">
            <v>DA</v>
          </cell>
          <cell r="M115" t="str">
            <v>JD81-18K579-DA</v>
          </cell>
          <cell r="N115" t="str">
            <v>Heater Inlet</v>
          </cell>
          <cell r="O115">
            <v>42685</v>
          </cell>
          <cell r="P115" t="str">
            <v>Zhang,linyan</v>
          </cell>
          <cell r="Q115" t="str">
            <v>liu wei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0.09</v>
          </cell>
          <cell r="AC115">
            <v>-18.03</v>
          </cell>
          <cell r="AD115">
            <v>-0.4</v>
          </cell>
          <cell r="AE115">
            <v>-0.8</v>
          </cell>
          <cell r="AF115">
            <v>0</v>
          </cell>
          <cell r="AG115">
            <v>0</v>
          </cell>
          <cell r="AH115">
            <v>-19.23</v>
          </cell>
          <cell r="AI115" t="str">
            <v>CNY</v>
          </cell>
          <cell r="AJ115" t="str">
            <v>LP</v>
          </cell>
          <cell r="AK115" t="str">
            <v>Zhejiang Junhe</v>
          </cell>
          <cell r="AL115" t="str">
            <v>GKBCA</v>
          </cell>
          <cell r="AO115">
            <v>3</v>
          </cell>
          <cell r="AP115">
            <v>0.02</v>
          </cell>
          <cell r="AQ115">
            <v>0.02</v>
          </cell>
          <cell r="AR115">
            <v>0.02</v>
          </cell>
          <cell r="BB115">
            <v>-44800</v>
          </cell>
          <cell r="BC115">
            <v>-44800</v>
          </cell>
          <cell r="BE115">
            <v>0</v>
          </cell>
          <cell r="BF115">
            <v>0</v>
          </cell>
          <cell r="BG115">
            <v>0</v>
          </cell>
        </row>
        <row r="116">
          <cell r="C116" t="str">
            <v>PT16</v>
          </cell>
          <cell r="D116" t="str">
            <v>-</v>
          </cell>
          <cell r="E116" t="str">
            <v>Cooling hoses</v>
          </cell>
          <cell r="F116" t="str">
            <v>冷却软管</v>
          </cell>
          <cell r="G116" t="str">
            <v>B</v>
          </cell>
          <cell r="H116" t="str">
            <v>PMT4</v>
          </cell>
          <cell r="I116" t="str">
            <v>PF</v>
          </cell>
          <cell r="J116" t="str">
            <v>JD81</v>
          </cell>
          <cell r="K116" t="str">
            <v>18K580</v>
          </cell>
          <cell r="L116" t="str">
            <v>DA</v>
          </cell>
          <cell r="M116" t="str">
            <v>JD81-18K580-DA</v>
          </cell>
          <cell r="N116" t="str">
            <v xml:space="preserve">Heater Outlet </v>
          </cell>
          <cell r="O116">
            <v>42685</v>
          </cell>
          <cell r="P116" t="str">
            <v>Zhang,linyan</v>
          </cell>
          <cell r="Q116" t="str">
            <v>liu wei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0.09</v>
          </cell>
          <cell r="AC116">
            <v>-18.47</v>
          </cell>
          <cell r="AD116">
            <v>-0.4</v>
          </cell>
          <cell r="AE116">
            <v>-0.8</v>
          </cell>
          <cell r="AF116">
            <v>0</v>
          </cell>
          <cell r="AG116">
            <v>0</v>
          </cell>
          <cell r="AH116">
            <v>-19.669999999999998</v>
          </cell>
          <cell r="AI116" t="str">
            <v>CNY</v>
          </cell>
          <cell r="AJ116" t="str">
            <v>LP</v>
          </cell>
          <cell r="AK116" t="str">
            <v>Zhejiang Junhe</v>
          </cell>
          <cell r="AL116" t="str">
            <v>GKBCA</v>
          </cell>
          <cell r="AO116">
            <v>3</v>
          </cell>
          <cell r="AP116">
            <v>0.02</v>
          </cell>
          <cell r="AQ116">
            <v>0.02</v>
          </cell>
          <cell r="AR116">
            <v>0.02</v>
          </cell>
          <cell r="BB116">
            <v>-44480</v>
          </cell>
          <cell r="BC116">
            <v>-44480</v>
          </cell>
          <cell r="BE116">
            <v>0</v>
          </cell>
          <cell r="BF116">
            <v>0</v>
          </cell>
          <cell r="BG116">
            <v>0</v>
          </cell>
        </row>
        <row r="117">
          <cell r="C117" t="str">
            <v>PT16</v>
          </cell>
          <cell r="D117" t="str">
            <v>-</v>
          </cell>
          <cell r="E117" t="str">
            <v>Cooling hoses</v>
          </cell>
          <cell r="F117" t="str">
            <v>冷却软管</v>
          </cell>
          <cell r="G117" t="str">
            <v>B</v>
          </cell>
          <cell r="H117" t="str">
            <v>PMT4</v>
          </cell>
          <cell r="I117" t="str">
            <v>PF</v>
          </cell>
          <cell r="J117" t="str">
            <v>JD81</v>
          </cell>
          <cell r="K117" t="str">
            <v>6B851</v>
          </cell>
          <cell r="L117" t="str">
            <v>DB</v>
          </cell>
          <cell r="M117" t="str">
            <v>JD81-6B851-DB</v>
          </cell>
          <cell r="N117" t="str">
            <v>Radiator Inlet</v>
          </cell>
          <cell r="O117" t="str">
            <v>na</v>
          </cell>
          <cell r="P117" t="str">
            <v>Zhang,linyan</v>
          </cell>
          <cell r="Q117" t="str">
            <v>liu wei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0</v>
          </cell>
          <cell r="AA117">
            <v>0.09</v>
          </cell>
          <cell r="AC117">
            <v>-9.0500000000000007</v>
          </cell>
          <cell r="AD117">
            <v>-0.2</v>
          </cell>
          <cell r="AE117">
            <v>-0.4</v>
          </cell>
          <cell r="AF117">
            <v>0</v>
          </cell>
          <cell r="AG117">
            <v>0</v>
          </cell>
          <cell r="AH117">
            <v>-9.65</v>
          </cell>
          <cell r="AI117" t="str">
            <v>CNY</v>
          </cell>
          <cell r="AJ117" t="str">
            <v>LP</v>
          </cell>
          <cell r="AK117" t="str">
            <v>Zhejiang Junhe</v>
          </cell>
          <cell r="AL117" t="str">
            <v>GKBCA</v>
          </cell>
          <cell r="AO117">
            <v>3</v>
          </cell>
          <cell r="AP117">
            <v>0.02</v>
          </cell>
          <cell r="AQ117">
            <v>0.02</v>
          </cell>
          <cell r="AR117">
            <v>0.02</v>
          </cell>
          <cell r="BB117">
            <v>-80270</v>
          </cell>
          <cell r="BC117">
            <v>-80270</v>
          </cell>
          <cell r="BE117">
            <v>0</v>
          </cell>
          <cell r="BF117">
            <v>0</v>
          </cell>
          <cell r="BG117">
            <v>0</v>
          </cell>
        </row>
        <row r="118">
          <cell r="C118" t="str">
            <v>PT16</v>
          </cell>
          <cell r="D118" t="str">
            <v>-</v>
          </cell>
          <cell r="E118" t="str">
            <v>Cooling hoses</v>
          </cell>
          <cell r="G118" t="str">
            <v>B</v>
          </cell>
          <cell r="H118" t="str">
            <v>PMT4</v>
          </cell>
          <cell r="I118" t="str">
            <v>PF</v>
          </cell>
          <cell r="J118" t="str">
            <v>JD81</v>
          </cell>
          <cell r="K118" t="str">
            <v>8K501</v>
          </cell>
          <cell r="L118" t="str">
            <v>CA</v>
          </cell>
          <cell r="M118" t="str">
            <v>JD81-8K501-CA</v>
          </cell>
          <cell r="O118" t="str">
            <v>na</v>
          </cell>
          <cell r="P118" t="str">
            <v>Zhang,linyan</v>
          </cell>
          <cell r="Q118" t="str">
            <v>liu wei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2</v>
          </cell>
          <cell r="AA118">
            <v>0.38</v>
          </cell>
          <cell r="AC118">
            <v>-6.29</v>
          </cell>
          <cell r="AD118">
            <v>-0.08</v>
          </cell>
          <cell r="AE118">
            <v>-0.15</v>
          </cell>
          <cell r="AF118">
            <v>0</v>
          </cell>
          <cell r="AG118">
            <v>0</v>
          </cell>
          <cell r="AH118">
            <v>-6.5200000000000005</v>
          </cell>
          <cell r="AI118" t="str">
            <v>CNY</v>
          </cell>
          <cell r="AJ118" t="str">
            <v>LP</v>
          </cell>
          <cell r="AK118" t="str">
            <v>Zhejiang Junhe</v>
          </cell>
          <cell r="AL118" t="str">
            <v>GKBCA</v>
          </cell>
          <cell r="AO118" t="str">
            <v>na</v>
          </cell>
          <cell r="BB118">
            <v>-25000</v>
          </cell>
          <cell r="BC118">
            <v>-25000</v>
          </cell>
          <cell r="BE118">
            <v>0</v>
          </cell>
          <cell r="BF118">
            <v>0</v>
          </cell>
          <cell r="BG118">
            <v>0</v>
          </cell>
        </row>
        <row r="119">
          <cell r="C119" t="str">
            <v>IT15-1</v>
          </cell>
          <cell r="E119" t="str">
            <v>PAD I/PNL LWR</v>
          </cell>
          <cell r="F119" t="str">
            <v>手套箱下隔热垫</v>
          </cell>
          <cell r="H119" t="str">
            <v>PMT1</v>
          </cell>
          <cell r="I119" t="str">
            <v>PF</v>
          </cell>
          <cell r="J119" t="str">
            <v>JD8B</v>
          </cell>
          <cell r="K119" t="str">
            <v>A044C98 </v>
          </cell>
          <cell r="L119" t="str">
            <v>AA</v>
          </cell>
          <cell r="M119" t="str">
            <v>JD8B-A044C98 -AA</v>
          </cell>
          <cell r="O119" t="str">
            <v>na</v>
          </cell>
          <cell r="P119" t="str">
            <v>陈林(lchen129)</v>
          </cell>
          <cell r="Q119" t="str">
            <v>白丽颖(lbai1)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-7.2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-7.2</v>
          </cell>
          <cell r="AI119" t="str">
            <v>CNY</v>
          </cell>
          <cell r="AJ119" t="str">
            <v>LP</v>
          </cell>
          <cell r="AK119" t="str">
            <v>重庆佩尔哲汽车内饰系统有限公司</v>
          </cell>
          <cell r="AL119" t="str">
            <v>EMLJA</v>
          </cell>
          <cell r="BB119">
            <v>0</v>
          </cell>
          <cell r="BC119">
            <v>0</v>
          </cell>
          <cell r="BE119">
            <v>0</v>
          </cell>
          <cell r="BF119">
            <v>0</v>
          </cell>
          <cell r="BG119">
            <v>0</v>
          </cell>
        </row>
        <row r="120">
          <cell r="C120" t="str">
            <v>PT16</v>
          </cell>
          <cell r="D120" t="str">
            <v>-</v>
          </cell>
          <cell r="E120" t="str">
            <v>Cooling hoses</v>
          </cell>
          <cell r="F120" t="str">
            <v>冷却软管</v>
          </cell>
          <cell r="G120" t="str">
            <v>B</v>
          </cell>
          <cell r="H120" t="str">
            <v>PMT4</v>
          </cell>
          <cell r="I120" t="str">
            <v>PF</v>
          </cell>
          <cell r="J120" t="str">
            <v>JD81</v>
          </cell>
          <cell r="K120" t="str">
            <v>8W005</v>
          </cell>
          <cell r="L120" t="str">
            <v>BA</v>
          </cell>
          <cell r="M120" t="str">
            <v>JD81-8W005-BA</v>
          </cell>
          <cell r="N120" t="str">
            <v>Radiator Degas</v>
          </cell>
          <cell r="O120" t="str">
            <v>na</v>
          </cell>
          <cell r="P120" t="str">
            <v>Zhang,linyan</v>
          </cell>
          <cell r="Q120" t="str">
            <v>liu wei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CNY</v>
          </cell>
          <cell r="AJ120" t="str">
            <v>LP</v>
          </cell>
          <cell r="AK120" t="str">
            <v>Zhejiang Junhe</v>
          </cell>
          <cell r="AL120" t="str">
            <v>GKBCA</v>
          </cell>
          <cell r="AO120">
            <v>3</v>
          </cell>
          <cell r="AP120">
            <v>0.02</v>
          </cell>
          <cell r="AQ120">
            <v>0.02</v>
          </cell>
          <cell r="AR120">
            <v>0.02</v>
          </cell>
          <cell r="BB120">
            <v>0</v>
          </cell>
          <cell r="BC120">
            <v>0</v>
          </cell>
        </row>
        <row r="121">
          <cell r="C121" t="str">
            <v>PT16</v>
          </cell>
          <cell r="D121" t="str">
            <v>-</v>
          </cell>
          <cell r="E121" t="str">
            <v>Cooling hoses</v>
          </cell>
          <cell r="F121" t="str">
            <v>冷却软管</v>
          </cell>
          <cell r="G121" t="str">
            <v>B</v>
          </cell>
          <cell r="H121" t="str">
            <v>PMT4</v>
          </cell>
          <cell r="I121" t="str">
            <v>PF</v>
          </cell>
          <cell r="J121" t="str">
            <v>JD81</v>
          </cell>
          <cell r="K121" t="str">
            <v>8B274</v>
          </cell>
          <cell r="L121" t="str">
            <v>BA</v>
          </cell>
          <cell r="M121" t="str">
            <v>JD81-8B274-BA</v>
          </cell>
          <cell r="N121" t="str">
            <v>Radiator Inlet</v>
          </cell>
          <cell r="O121" t="str">
            <v>na</v>
          </cell>
          <cell r="P121" t="str">
            <v>Zhang,linyan</v>
          </cell>
          <cell r="Q121" t="str">
            <v>liu wei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CNY</v>
          </cell>
          <cell r="AJ121" t="str">
            <v>LP</v>
          </cell>
          <cell r="AK121" t="str">
            <v>Zhejiang Junhe</v>
          </cell>
          <cell r="AL121" t="str">
            <v>GKBCA</v>
          </cell>
          <cell r="AO121">
            <v>3</v>
          </cell>
          <cell r="AP121">
            <v>0.02</v>
          </cell>
          <cell r="AQ121">
            <v>0.02</v>
          </cell>
          <cell r="AR121">
            <v>0.02</v>
          </cell>
        </row>
        <row r="122">
          <cell r="C122" t="str">
            <v>PT16</v>
          </cell>
          <cell r="D122" t="str">
            <v>-</v>
          </cell>
          <cell r="E122" t="str">
            <v>Cooling hoses</v>
          </cell>
          <cell r="F122" t="str">
            <v>冷却软管</v>
          </cell>
          <cell r="G122" t="str">
            <v>B</v>
          </cell>
          <cell r="H122" t="str">
            <v>PMT4</v>
          </cell>
          <cell r="I122" t="str">
            <v>PF</v>
          </cell>
          <cell r="J122" t="str">
            <v>JD81</v>
          </cell>
          <cell r="K122" t="str">
            <v>8B273</v>
          </cell>
          <cell r="L122" t="str">
            <v>BA</v>
          </cell>
          <cell r="M122" t="str">
            <v>JD81-8B273-BA</v>
          </cell>
          <cell r="N122" t="str">
            <v>Radiator Outlet</v>
          </cell>
          <cell r="O122" t="str">
            <v>na</v>
          </cell>
          <cell r="P122" t="str">
            <v>Zhang,linyan</v>
          </cell>
          <cell r="Q122" t="str">
            <v>liu wei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CNY</v>
          </cell>
          <cell r="AJ122" t="str">
            <v>LP</v>
          </cell>
          <cell r="AK122" t="str">
            <v>Zhejiang Junhe</v>
          </cell>
          <cell r="AL122" t="str">
            <v>GKBCA</v>
          </cell>
          <cell r="AO122">
            <v>3</v>
          </cell>
          <cell r="AP122">
            <v>0.02</v>
          </cell>
          <cell r="AQ122">
            <v>0.02</v>
          </cell>
          <cell r="AR122">
            <v>0.02</v>
          </cell>
        </row>
        <row r="123">
          <cell r="C123" t="str">
            <v>PT16</v>
          </cell>
          <cell r="D123" t="str">
            <v>-</v>
          </cell>
          <cell r="E123" t="str">
            <v>Cooling hoses</v>
          </cell>
          <cell r="F123" t="str">
            <v>冷却软管</v>
          </cell>
          <cell r="G123" t="str">
            <v>B</v>
          </cell>
          <cell r="H123" t="str">
            <v>PMT4</v>
          </cell>
          <cell r="I123" t="str">
            <v>PF</v>
          </cell>
          <cell r="J123" t="str">
            <v>JD81</v>
          </cell>
          <cell r="K123" t="str">
            <v>7F120</v>
          </cell>
          <cell r="L123" t="str">
            <v>CA</v>
          </cell>
          <cell r="M123" t="str">
            <v>JD81-7F120-CA</v>
          </cell>
          <cell r="N123" t="str">
            <v xml:space="preserve">Radiator Outlet </v>
          </cell>
          <cell r="O123" t="str">
            <v>na</v>
          </cell>
          <cell r="P123" t="str">
            <v>Zhang,linyan</v>
          </cell>
          <cell r="Q123" t="str">
            <v>liu wei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CNY</v>
          </cell>
          <cell r="AJ123" t="str">
            <v>LP</v>
          </cell>
          <cell r="AK123" t="str">
            <v>Zhejiang Junhe</v>
          </cell>
          <cell r="AL123" t="str">
            <v>GKBCA</v>
          </cell>
          <cell r="AO123">
            <v>3</v>
          </cell>
          <cell r="AP123">
            <v>0.02</v>
          </cell>
          <cell r="AQ123">
            <v>0.02</v>
          </cell>
          <cell r="AR123">
            <v>0.02</v>
          </cell>
        </row>
        <row r="124">
          <cell r="C124" t="str">
            <v>PT16</v>
          </cell>
          <cell r="D124" t="str">
            <v>-</v>
          </cell>
          <cell r="E124" t="str">
            <v>Cooling hoses</v>
          </cell>
          <cell r="F124" t="str">
            <v>冷却软管</v>
          </cell>
          <cell r="G124" t="str">
            <v>B</v>
          </cell>
          <cell r="H124" t="str">
            <v>PMT4</v>
          </cell>
          <cell r="I124" t="str">
            <v>PF</v>
          </cell>
          <cell r="J124" t="str">
            <v>JD81</v>
          </cell>
          <cell r="K124" t="str">
            <v>7F120</v>
          </cell>
          <cell r="L124" t="str">
            <v>AA</v>
          </cell>
          <cell r="M124" t="str">
            <v>JD81-7F120-AA</v>
          </cell>
          <cell r="N124" t="str">
            <v>ATWU Inlet ATWU</v>
          </cell>
          <cell r="O124" t="str">
            <v>na</v>
          </cell>
          <cell r="P124" t="str">
            <v>Zhang,linyan</v>
          </cell>
          <cell r="Q124" t="str">
            <v>liu wei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CNY</v>
          </cell>
          <cell r="AJ124" t="str">
            <v>LP</v>
          </cell>
          <cell r="AK124" t="str">
            <v>Zhejiang Junhe</v>
          </cell>
          <cell r="AL124" t="str">
            <v>GKBCA</v>
          </cell>
          <cell r="AO124">
            <v>3</v>
          </cell>
          <cell r="AP124">
            <v>0.02</v>
          </cell>
          <cell r="AQ124">
            <v>0.02</v>
          </cell>
          <cell r="AR124">
            <v>0.02</v>
          </cell>
        </row>
        <row r="125">
          <cell r="C125" t="str">
            <v>PT16</v>
          </cell>
          <cell r="D125" t="str">
            <v>-</v>
          </cell>
          <cell r="E125" t="str">
            <v>Cooling hoses</v>
          </cell>
          <cell r="F125" t="str">
            <v>冷却软管</v>
          </cell>
          <cell r="G125" t="str">
            <v>B</v>
          </cell>
          <cell r="H125" t="str">
            <v>PMT4</v>
          </cell>
          <cell r="I125" t="str">
            <v>PF</v>
          </cell>
          <cell r="J125" t="str">
            <v>JD81</v>
          </cell>
          <cell r="K125" t="str">
            <v>8W005</v>
          </cell>
          <cell r="L125" t="str">
            <v>DA</v>
          </cell>
          <cell r="M125" t="str">
            <v>JD81-8W005-DA</v>
          </cell>
          <cell r="N125" t="str">
            <v>Radiator Degas</v>
          </cell>
          <cell r="O125" t="str">
            <v>na</v>
          </cell>
          <cell r="P125" t="str">
            <v>Zhang,linyan</v>
          </cell>
          <cell r="Q125" t="str">
            <v>liu wei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CNY</v>
          </cell>
          <cell r="AJ125" t="str">
            <v>LP</v>
          </cell>
          <cell r="AK125" t="str">
            <v>Zhejiang Junhe</v>
          </cell>
          <cell r="AL125" t="str">
            <v>GKBCA</v>
          </cell>
          <cell r="AO125">
            <v>3</v>
          </cell>
          <cell r="AP125">
            <v>0.02</v>
          </cell>
          <cell r="AQ125">
            <v>0.02</v>
          </cell>
          <cell r="AR125">
            <v>0.02</v>
          </cell>
          <cell r="BB125">
            <v>0</v>
          </cell>
          <cell r="BC125">
            <v>0</v>
          </cell>
        </row>
        <row r="126">
          <cell r="C126" t="str">
            <v>PT16</v>
          </cell>
          <cell r="D126" t="str">
            <v>-</v>
          </cell>
          <cell r="E126" t="str">
            <v>Cooling hoses</v>
          </cell>
          <cell r="F126" t="str">
            <v>冷却软管</v>
          </cell>
          <cell r="G126" t="str">
            <v>B</v>
          </cell>
          <cell r="H126" t="str">
            <v>PMT4</v>
          </cell>
          <cell r="I126" t="str">
            <v>PF</v>
          </cell>
          <cell r="J126" t="str">
            <v>JD81</v>
          </cell>
          <cell r="K126" t="str">
            <v>8A365</v>
          </cell>
          <cell r="L126" t="str">
            <v>DA</v>
          </cell>
          <cell r="M126" t="str">
            <v>JD81-8A365-DA</v>
          </cell>
          <cell r="N126" t="str">
            <v>Engine Degas</v>
          </cell>
          <cell r="O126" t="str">
            <v>na</v>
          </cell>
          <cell r="P126" t="str">
            <v>Zhang,linyan</v>
          </cell>
          <cell r="Q126" t="str">
            <v>liu wei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CNY</v>
          </cell>
          <cell r="AJ126" t="str">
            <v>LP</v>
          </cell>
          <cell r="AK126" t="str">
            <v>Zhejiang Junhe</v>
          </cell>
          <cell r="AL126" t="str">
            <v>GKBCA</v>
          </cell>
          <cell r="AO126">
            <v>3</v>
          </cell>
          <cell r="AP126">
            <v>0.02</v>
          </cell>
          <cell r="AQ126">
            <v>0.02</v>
          </cell>
          <cell r="AR126">
            <v>0.02</v>
          </cell>
        </row>
        <row r="127">
          <cell r="C127" t="str">
            <v>PT16</v>
          </cell>
          <cell r="D127" t="str">
            <v>-</v>
          </cell>
          <cell r="E127" t="str">
            <v>Cooling hoses</v>
          </cell>
          <cell r="F127" t="str">
            <v>冷却软管</v>
          </cell>
          <cell r="G127" t="str">
            <v>B</v>
          </cell>
          <cell r="H127" t="str">
            <v>PMT4</v>
          </cell>
          <cell r="I127" t="str">
            <v>PF</v>
          </cell>
          <cell r="J127" t="str">
            <v>JD81</v>
          </cell>
          <cell r="K127" t="str">
            <v>8B274</v>
          </cell>
          <cell r="L127" t="str">
            <v>DA</v>
          </cell>
          <cell r="M127" t="str">
            <v>JD81-8B274-DA</v>
          </cell>
          <cell r="N127" t="str">
            <v>Radiator Inlet</v>
          </cell>
          <cell r="O127" t="str">
            <v>na</v>
          </cell>
          <cell r="P127" t="str">
            <v>Zhang,linyan</v>
          </cell>
          <cell r="Q127" t="str">
            <v>liu wei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CNY</v>
          </cell>
          <cell r="AJ127" t="str">
            <v>LP</v>
          </cell>
          <cell r="AK127" t="str">
            <v>Zhejiang Junhe</v>
          </cell>
          <cell r="AL127" t="str">
            <v>GKBCA</v>
          </cell>
          <cell r="AO127">
            <v>3</v>
          </cell>
          <cell r="AP127">
            <v>0.02</v>
          </cell>
          <cell r="AQ127">
            <v>0.02</v>
          </cell>
          <cell r="AR127">
            <v>0.02</v>
          </cell>
        </row>
        <row r="128">
          <cell r="C128" t="str">
            <v>PT16</v>
          </cell>
          <cell r="D128" t="str">
            <v>-</v>
          </cell>
          <cell r="E128" t="str">
            <v>Cooling hoses</v>
          </cell>
          <cell r="F128" t="str">
            <v>冷却软管</v>
          </cell>
          <cell r="G128" t="str">
            <v>B</v>
          </cell>
          <cell r="H128" t="str">
            <v>PMT4</v>
          </cell>
          <cell r="I128" t="str">
            <v>PF</v>
          </cell>
          <cell r="J128" t="str">
            <v>JD81</v>
          </cell>
          <cell r="K128" t="str">
            <v>8B273</v>
          </cell>
          <cell r="L128" t="str">
            <v>DA</v>
          </cell>
          <cell r="M128" t="str">
            <v>JD81-8B273-DA</v>
          </cell>
          <cell r="N128" t="str">
            <v>Radiator Outlet</v>
          </cell>
          <cell r="O128" t="str">
            <v>na</v>
          </cell>
          <cell r="P128" t="str">
            <v>Zhang,linyan</v>
          </cell>
          <cell r="Q128" t="str">
            <v>liu wei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CNY</v>
          </cell>
          <cell r="AJ128" t="str">
            <v>LP</v>
          </cell>
          <cell r="AK128" t="str">
            <v>Zhejiang Junhe</v>
          </cell>
          <cell r="AL128" t="str">
            <v>GKBCA</v>
          </cell>
          <cell r="AO128">
            <v>3</v>
          </cell>
          <cell r="AP128">
            <v>0.02</v>
          </cell>
          <cell r="AQ128">
            <v>0.02</v>
          </cell>
          <cell r="AR128">
            <v>0.02</v>
          </cell>
        </row>
        <row r="129">
          <cell r="C129" t="str">
            <v>PT16</v>
          </cell>
          <cell r="D129" t="str">
            <v>-</v>
          </cell>
          <cell r="E129" t="str">
            <v>Cooling hoses</v>
          </cell>
          <cell r="F129" t="str">
            <v>冷却软管</v>
          </cell>
          <cell r="G129" t="str">
            <v>B</v>
          </cell>
          <cell r="H129" t="str">
            <v>PMT4</v>
          </cell>
          <cell r="I129" t="str">
            <v>PF</v>
          </cell>
          <cell r="J129" t="str">
            <v>JD81</v>
          </cell>
          <cell r="K129" t="str">
            <v>8C351</v>
          </cell>
          <cell r="L129" t="str">
            <v>DA</v>
          </cell>
          <cell r="M129" t="str">
            <v>JD81-8C351-DA</v>
          </cell>
          <cell r="N129" t="str">
            <v xml:space="preserve">System Fill </v>
          </cell>
          <cell r="O129" t="str">
            <v>na</v>
          </cell>
          <cell r="P129" t="str">
            <v>Zhang,linyan</v>
          </cell>
          <cell r="Q129" t="str">
            <v>liu wei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CNY</v>
          </cell>
          <cell r="AJ129" t="str">
            <v>LP</v>
          </cell>
          <cell r="AK129" t="str">
            <v>Zhejiang Junhe</v>
          </cell>
          <cell r="AL129" t="str">
            <v>GKBCA</v>
          </cell>
          <cell r="AO129">
            <v>3</v>
          </cell>
          <cell r="AP129">
            <v>0.02</v>
          </cell>
          <cell r="AQ129">
            <v>0.02</v>
          </cell>
          <cell r="AR129">
            <v>0.02</v>
          </cell>
        </row>
        <row r="130">
          <cell r="C130" t="str">
            <v>ET5</v>
          </cell>
          <cell r="D130" t="str">
            <v>-</v>
          </cell>
          <cell r="E130" t="str">
            <v>Exterior door handle</v>
          </cell>
          <cell r="F130" t="str">
            <v>外门把手</v>
          </cell>
          <cell r="G130" t="str">
            <v>B</v>
          </cell>
          <cell r="H130" t="str">
            <v>PMT1</v>
          </cell>
          <cell r="I130" t="str">
            <v>TH</v>
          </cell>
          <cell r="J130" t="str">
            <v>JD8B</v>
          </cell>
          <cell r="K130" t="str">
            <v>F22043</v>
          </cell>
          <cell r="L130" t="str">
            <v>AA</v>
          </cell>
          <cell r="M130" t="str">
            <v>JD8B-F22043-AA</v>
          </cell>
          <cell r="N130" t="str">
            <v>PAD</v>
          </cell>
          <cell r="O130" t="str">
            <v>na</v>
          </cell>
          <cell r="P130" t="str">
            <v>Yang Ting</v>
          </cell>
          <cell r="Q130" t="str">
            <v>Jin zhengbin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2</v>
          </cell>
          <cell r="Z130">
            <v>2</v>
          </cell>
          <cell r="AA130">
            <v>0.2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CNY</v>
          </cell>
          <cell r="AJ130" t="str">
            <v>LP</v>
          </cell>
          <cell r="AK130" t="str">
            <v>Yantai Huf</v>
          </cell>
          <cell r="AL130" t="str">
            <v>EBQTA</v>
          </cell>
          <cell r="AO130">
            <v>3</v>
          </cell>
          <cell r="AP130">
            <v>0.03</v>
          </cell>
          <cell r="AW130" t="str">
            <v>&gt;40%</v>
          </cell>
          <cell r="AX130" t="str">
            <v>USD</v>
          </cell>
          <cell r="AY130">
            <v>6.44</v>
          </cell>
          <cell r="BB130">
            <v>0</v>
          </cell>
          <cell r="BC130">
            <v>0</v>
          </cell>
          <cell r="BE130">
            <v>0</v>
          </cell>
          <cell r="BF130">
            <v>0</v>
          </cell>
        </row>
        <row r="131">
          <cell r="C131" t="str">
            <v>ET5</v>
          </cell>
          <cell r="D131" t="str">
            <v>-</v>
          </cell>
          <cell r="E131" t="str">
            <v>Exterior door handle</v>
          </cell>
          <cell r="F131" t="str">
            <v>外门把手</v>
          </cell>
          <cell r="G131" t="str">
            <v>B</v>
          </cell>
          <cell r="H131" t="str">
            <v>PMT1</v>
          </cell>
          <cell r="I131" t="str">
            <v>TH</v>
          </cell>
          <cell r="J131" t="str">
            <v>JD8B</v>
          </cell>
          <cell r="K131" t="str">
            <v>F22043</v>
          </cell>
          <cell r="L131" t="str">
            <v>BA</v>
          </cell>
          <cell r="M131" t="str">
            <v>JD8B-F22043-BA</v>
          </cell>
          <cell r="N131" t="str">
            <v>PAD</v>
          </cell>
          <cell r="O131" t="str">
            <v>na</v>
          </cell>
          <cell r="P131" t="str">
            <v>Yang Ting</v>
          </cell>
          <cell r="Q131" t="str">
            <v>Jin zhengbin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2</v>
          </cell>
          <cell r="Z131">
            <v>2</v>
          </cell>
          <cell r="AA131">
            <v>0.2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CNY</v>
          </cell>
          <cell r="AJ131" t="str">
            <v>LP</v>
          </cell>
          <cell r="AK131" t="str">
            <v>Yantai Huf</v>
          </cell>
          <cell r="AL131" t="str">
            <v>EBQTA</v>
          </cell>
          <cell r="AO131">
            <v>3</v>
          </cell>
          <cell r="AP131">
            <v>0.03</v>
          </cell>
          <cell r="AW131" t="str">
            <v>&gt;40%</v>
          </cell>
          <cell r="AX131" t="str">
            <v>USD</v>
          </cell>
          <cell r="AY131">
            <v>6.44</v>
          </cell>
          <cell r="BB131">
            <v>0</v>
          </cell>
          <cell r="BC131">
            <v>0</v>
          </cell>
          <cell r="BE131">
            <v>0</v>
          </cell>
          <cell r="BF131">
            <v>0</v>
          </cell>
        </row>
        <row r="132">
          <cell r="C132" t="str">
            <v>ET5</v>
          </cell>
          <cell r="D132" t="str">
            <v>-</v>
          </cell>
          <cell r="E132" t="str">
            <v>Exterior door handle</v>
          </cell>
          <cell r="F132" t="str">
            <v>外门把手</v>
          </cell>
          <cell r="G132" t="str">
            <v>B</v>
          </cell>
          <cell r="H132" t="str">
            <v>PMT1</v>
          </cell>
          <cell r="I132" t="str">
            <v>TH</v>
          </cell>
          <cell r="J132" t="str">
            <v>JD8B</v>
          </cell>
          <cell r="K132" t="str">
            <v>F22042</v>
          </cell>
          <cell r="L132" t="str">
            <v>AA</v>
          </cell>
          <cell r="M132" t="str">
            <v>JD8B-F22042-AA</v>
          </cell>
          <cell r="N132" t="str">
            <v>PAD</v>
          </cell>
          <cell r="O132" t="str">
            <v>na</v>
          </cell>
          <cell r="P132" t="str">
            <v>Yang Ting</v>
          </cell>
          <cell r="Q132" t="str">
            <v>Jin zhengbin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2</v>
          </cell>
          <cell r="Z132">
            <v>2</v>
          </cell>
          <cell r="AA132">
            <v>0.2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CNY</v>
          </cell>
          <cell r="AJ132" t="str">
            <v>LP</v>
          </cell>
          <cell r="AK132" t="str">
            <v>Yantai Huf</v>
          </cell>
          <cell r="AL132" t="str">
            <v>EBQTA</v>
          </cell>
          <cell r="AO132">
            <v>3</v>
          </cell>
          <cell r="AP132">
            <v>0.03</v>
          </cell>
          <cell r="AW132" t="str">
            <v>&gt;40%</v>
          </cell>
          <cell r="AX132" t="str">
            <v>USD</v>
          </cell>
          <cell r="AY132">
            <v>6.44</v>
          </cell>
          <cell r="BB132">
            <v>0</v>
          </cell>
          <cell r="BC132">
            <v>0</v>
          </cell>
          <cell r="BE132">
            <v>0</v>
          </cell>
          <cell r="BF132">
            <v>0</v>
          </cell>
        </row>
        <row r="133">
          <cell r="C133" t="str">
            <v>ET5</v>
          </cell>
          <cell r="D133" t="str">
            <v>-</v>
          </cell>
          <cell r="E133" t="str">
            <v>Exterior door handle</v>
          </cell>
          <cell r="F133" t="str">
            <v>外门把手</v>
          </cell>
          <cell r="G133" t="str">
            <v>B</v>
          </cell>
          <cell r="H133" t="str">
            <v>PMT1</v>
          </cell>
          <cell r="I133" t="str">
            <v>TH</v>
          </cell>
          <cell r="J133" t="str">
            <v>JD8B</v>
          </cell>
          <cell r="K133" t="str">
            <v>F22042</v>
          </cell>
          <cell r="L133" t="str">
            <v>BA</v>
          </cell>
          <cell r="M133" t="str">
            <v>JD8B-F22042-BA</v>
          </cell>
          <cell r="N133" t="str">
            <v>PAD</v>
          </cell>
          <cell r="O133" t="str">
            <v>na</v>
          </cell>
          <cell r="P133" t="str">
            <v>Yang Ting</v>
          </cell>
          <cell r="Q133" t="str">
            <v>Jin zhengbin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2</v>
          </cell>
          <cell r="Z133">
            <v>2</v>
          </cell>
          <cell r="AA133">
            <v>0.2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CNY</v>
          </cell>
          <cell r="AJ133" t="str">
            <v>LP</v>
          </cell>
          <cell r="AK133" t="str">
            <v>Yantai Huf</v>
          </cell>
          <cell r="AL133" t="str">
            <v>EBQTA</v>
          </cell>
          <cell r="AO133">
            <v>3</v>
          </cell>
          <cell r="AP133">
            <v>0.03</v>
          </cell>
          <cell r="AW133" t="str">
            <v>&gt;40%</v>
          </cell>
          <cell r="AX133" t="str">
            <v>USD</v>
          </cell>
          <cell r="AY133">
            <v>6.44</v>
          </cell>
          <cell r="BB133">
            <v>0</v>
          </cell>
          <cell r="BC133">
            <v>0</v>
          </cell>
          <cell r="BE133">
            <v>0</v>
          </cell>
          <cell r="BF133">
            <v>0</v>
          </cell>
        </row>
        <row r="134">
          <cell r="C134" t="str">
            <v>ET5</v>
          </cell>
          <cell r="D134" t="str">
            <v>-</v>
          </cell>
          <cell r="E134" t="str">
            <v>Exterior door handle</v>
          </cell>
          <cell r="F134" t="str">
            <v>外门把手</v>
          </cell>
          <cell r="G134" t="str">
            <v>B</v>
          </cell>
          <cell r="H134" t="str">
            <v>PMT1</v>
          </cell>
          <cell r="I134" t="str">
            <v>TH</v>
          </cell>
          <cell r="J134" t="str">
            <v>JD8B</v>
          </cell>
          <cell r="K134" t="str">
            <v>F218A14</v>
          </cell>
          <cell r="L134" t="str">
            <v>AA</v>
          </cell>
          <cell r="M134" t="str">
            <v>JD8B-F218A14-AA</v>
          </cell>
          <cell r="N134" t="str">
            <v xml:space="preserve">bezel </v>
          </cell>
          <cell r="O134" t="str">
            <v>na</v>
          </cell>
          <cell r="P134" t="str">
            <v>Yang Ting</v>
          </cell>
          <cell r="Q134" t="str">
            <v>Jin zhengbin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</v>
          </cell>
          <cell r="Z134">
            <v>1</v>
          </cell>
          <cell r="AA134">
            <v>0.1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CNY</v>
          </cell>
          <cell r="AJ134" t="str">
            <v>LP</v>
          </cell>
          <cell r="AK134" t="str">
            <v>Yantai Huf</v>
          </cell>
          <cell r="AL134" t="str">
            <v>EBQTA</v>
          </cell>
          <cell r="AO134">
            <v>3</v>
          </cell>
          <cell r="AP134">
            <v>0.03</v>
          </cell>
          <cell r="AW134" t="str">
            <v>&gt;40%</v>
          </cell>
          <cell r="AX134" t="str">
            <v>USD</v>
          </cell>
          <cell r="AY134">
            <v>6.44</v>
          </cell>
          <cell r="BB134">
            <v>0</v>
          </cell>
          <cell r="BC134">
            <v>0</v>
          </cell>
          <cell r="BE134">
            <v>0</v>
          </cell>
          <cell r="BF134">
            <v>0</v>
          </cell>
        </row>
        <row r="135">
          <cell r="C135" t="str">
            <v>ET5</v>
          </cell>
          <cell r="D135" t="str">
            <v>-</v>
          </cell>
          <cell r="E135" t="str">
            <v>Exterior door handle</v>
          </cell>
          <cell r="F135" t="str">
            <v>外门把手</v>
          </cell>
          <cell r="G135" t="str">
            <v>B</v>
          </cell>
          <cell r="H135" t="str">
            <v>PMT1</v>
          </cell>
          <cell r="I135" t="str">
            <v>TH</v>
          </cell>
          <cell r="J135" t="str">
            <v>JD8B</v>
          </cell>
          <cell r="K135" t="str">
            <v>F218B08</v>
          </cell>
          <cell r="L135" t="str">
            <v>AA</v>
          </cell>
          <cell r="M135" t="str">
            <v>JD8B-F218B08-AA</v>
          </cell>
          <cell r="N135" t="str">
            <v xml:space="preserve">bezel </v>
          </cell>
          <cell r="O135" t="str">
            <v>na</v>
          </cell>
          <cell r="P135" t="str">
            <v>Yang Ting</v>
          </cell>
          <cell r="Q135" t="str">
            <v>Jin zhengbin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</v>
          </cell>
          <cell r="Z135">
            <v>1</v>
          </cell>
          <cell r="AA135">
            <v>0.1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CNY</v>
          </cell>
          <cell r="AJ135" t="str">
            <v>LP</v>
          </cell>
          <cell r="AK135" t="str">
            <v>Yantai Huf</v>
          </cell>
          <cell r="AL135" t="str">
            <v>EBQTA</v>
          </cell>
          <cell r="AO135">
            <v>3</v>
          </cell>
          <cell r="AP135">
            <v>0.03</v>
          </cell>
          <cell r="AW135" t="str">
            <v>&gt;40%</v>
          </cell>
          <cell r="AX135" t="str">
            <v>USD</v>
          </cell>
          <cell r="AY135">
            <v>6.44</v>
          </cell>
          <cell r="BB135">
            <v>0</v>
          </cell>
          <cell r="BC135">
            <v>0</v>
          </cell>
          <cell r="BE135">
            <v>0</v>
          </cell>
          <cell r="BF135">
            <v>0</v>
          </cell>
        </row>
        <row r="136">
          <cell r="C136" t="str">
            <v>ET5</v>
          </cell>
          <cell r="D136" t="str">
            <v>-</v>
          </cell>
          <cell r="E136" t="str">
            <v>Exterior door handle</v>
          </cell>
          <cell r="F136" t="str">
            <v>外门把手</v>
          </cell>
          <cell r="G136" t="str">
            <v>B</v>
          </cell>
          <cell r="H136" t="str">
            <v>PMT1</v>
          </cell>
          <cell r="I136" t="str">
            <v>TH</v>
          </cell>
          <cell r="J136" t="str">
            <v>JD8B</v>
          </cell>
          <cell r="K136" t="str">
            <v>F224A44</v>
          </cell>
          <cell r="L136" t="str">
            <v>AA</v>
          </cell>
          <cell r="M136" t="str">
            <v>JD8B-F224A44-AA</v>
          </cell>
          <cell r="N136" t="str">
            <v xml:space="preserve">bezel </v>
          </cell>
          <cell r="O136" t="str">
            <v>na</v>
          </cell>
          <cell r="P136" t="str">
            <v>Yang Ting</v>
          </cell>
          <cell r="Q136" t="str">
            <v>Jin zhengbin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2</v>
          </cell>
          <cell r="Z136">
            <v>2</v>
          </cell>
          <cell r="AA136">
            <v>0.2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CNY</v>
          </cell>
          <cell r="AJ136" t="str">
            <v>LP</v>
          </cell>
          <cell r="AK136" t="str">
            <v>Yantai Huf</v>
          </cell>
          <cell r="AL136" t="str">
            <v>EBQTA</v>
          </cell>
          <cell r="AO136">
            <v>3</v>
          </cell>
          <cell r="AP136">
            <v>0.03</v>
          </cell>
          <cell r="AW136" t="str">
            <v>&gt;40%</v>
          </cell>
          <cell r="AX136" t="str">
            <v>USD</v>
          </cell>
          <cell r="AY136">
            <v>6.44</v>
          </cell>
          <cell r="BB136">
            <v>0</v>
          </cell>
          <cell r="BC136">
            <v>0</v>
          </cell>
          <cell r="BE136">
            <v>0</v>
          </cell>
          <cell r="BF136">
            <v>0</v>
          </cell>
        </row>
        <row r="137">
          <cell r="C137" t="str">
            <v>ET5</v>
          </cell>
          <cell r="D137" t="str">
            <v>-</v>
          </cell>
          <cell r="E137" t="str">
            <v>Exterior door handle</v>
          </cell>
          <cell r="F137" t="str">
            <v>外门把手</v>
          </cell>
          <cell r="G137" t="str">
            <v>B</v>
          </cell>
          <cell r="H137" t="str">
            <v>PMT1</v>
          </cell>
          <cell r="I137" t="str">
            <v>TH</v>
          </cell>
          <cell r="J137" t="str">
            <v>PJD8B</v>
          </cell>
          <cell r="K137" t="str">
            <v>F22400</v>
          </cell>
          <cell r="L137" t="str">
            <v>BBW</v>
          </cell>
          <cell r="M137" t="str">
            <v>PJD8B-F22400-BBW</v>
          </cell>
          <cell r="N137" t="str">
            <v xml:space="preserve">Non-KV HNDL Non-KV </v>
          </cell>
          <cell r="O137">
            <v>42678</v>
          </cell>
          <cell r="P137" t="str">
            <v xml:space="preserve">zhai,wanli </v>
          </cell>
          <cell r="Q137" t="str">
            <v>Jin zhengbin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1</v>
          </cell>
          <cell r="AA137">
            <v>0.1</v>
          </cell>
          <cell r="AC137">
            <v>-88.581699999999998</v>
          </cell>
          <cell r="AD137">
            <v>-1.21</v>
          </cell>
          <cell r="AE137">
            <v>-0.8</v>
          </cell>
          <cell r="AG137">
            <v>-7.0438999999999998</v>
          </cell>
          <cell r="AH137">
            <v>-97.635599999999982</v>
          </cell>
          <cell r="AI137" t="str">
            <v>CNY</v>
          </cell>
          <cell r="AJ137" t="str">
            <v>LP</v>
          </cell>
          <cell r="AK137" t="str">
            <v>Yantai Huf</v>
          </cell>
          <cell r="AL137" t="str">
            <v>EBQTA</v>
          </cell>
          <cell r="AO137">
            <v>2.8</v>
          </cell>
          <cell r="AP137">
            <v>0.03</v>
          </cell>
          <cell r="BB137">
            <v>-1166250</v>
          </cell>
          <cell r="BC137">
            <v>-1166250</v>
          </cell>
          <cell r="BE137">
            <v>-783079.52500000002</v>
          </cell>
          <cell r="BF137">
            <v>111172</v>
          </cell>
        </row>
        <row r="138">
          <cell r="C138" t="str">
            <v>ET5</v>
          </cell>
          <cell r="D138" t="str">
            <v>-</v>
          </cell>
          <cell r="E138" t="str">
            <v>Exterior door handle</v>
          </cell>
          <cell r="F138" t="str">
            <v>外门把手</v>
          </cell>
          <cell r="G138" t="str">
            <v>B</v>
          </cell>
          <cell r="H138" t="str">
            <v>PMT1</v>
          </cell>
          <cell r="I138" t="str">
            <v>TH</v>
          </cell>
          <cell r="J138" t="str">
            <v>PJD8B</v>
          </cell>
          <cell r="K138" t="str">
            <v>F22401</v>
          </cell>
          <cell r="L138" t="str">
            <v>BDW</v>
          </cell>
          <cell r="M138" t="str">
            <v>PJD8B-F22401-BDW</v>
          </cell>
          <cell r="N138" t="str">
            <v xml:space="preserve">KV HNDL KV </v>
          </cell>
          <cell r="O138">
            <v>42678</v>
          </cell>
          <cell r="P138" t="str">
            <v xml:space="preserve">zhai,wanli </v>
          </cell>
          <cell r="Q138" t="str">
            <v>Jin zhengbin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</v>
          </cell>
          <cell r="AA138">
            <v>0.1</v>
          </cell>
          <cell r="AC138">
            <v>-87.28</v>
          </cell>
          <cell r="AD138">
            <v>-1.23</v>
          </cell>
          <cell r="AE138">
            <v>-0.82</v>
          </cell>
          <cell r="AG138">
            <v>-7.0438999999999998</v>
          </cell>
          <cell r="AH138">
            <v>-96.373899999999992</v>
          </cell>
          <cell r="AI138" t="str">
            <v>CNY</v>
          </cell>
          <cell r="AJ138" t="str">
            <v>LP</v>
          </cell>
          <cell r="AK138" t="str">
            <v>Yantai Huf</v>
          </cell>
          <cell r="AL138" t="str">
            <v>EBQTA</v>
          </cell>
          <cell r="AO138">
            <v>2.8</v>
          </cell>
          <cell r="AP138">
            <v>0.03</v>
          </cell>
          <cell r="BB138">
            <v>-1003250</v>
          </cell>
          <cell r="BC138">
            <v>-1003250</v>
          </cell>
          <cell r="BE138" t="str">
            <v>included in F22400</v>
          </cell>
        </row>
        <row r="139">
          <cell r="C139" t="str">
            <v>ET5</v>
          </cell>
          <cell r="D139" t="str">
            <v>-</v>
          </cell>
          <cell r="E139" t="str">
            <v>Exterior door handle</v>
          </cell>
          <cell r="F139" t="str">
            <v>外门把手</v>
          </cell>
          <cell r="G139" t="str">
            <v>B</v>
          </cell>
          <cell r="H139" t="str">
            <v>PMT1</v>
          </cell>
          <cell r="I139" t="str">
            <v>TH</v>
          </cell>
          <cell r="J139" t="str">
            <v>PJD8B</v>
          </cell>
          <cell r="K139" t="str">
            <v>F26600</v>
          </cell>
          <cell r="L139" t="str">
            <v>BBW</v>
          </cell>
          <cell r="M139" t="str">
            <v>PJD8B-F26600-BBW</v>
          </cell>
          <cell r="N139" t="str">
            <v xml:space="preserve">Non-KV HNDL Non-KV </v>
          </cell>
          <cell r="O139">
            <v>42678</v>
          </cell>
          <cell r="P139" t="str">
            <v xml:space="preserve">zhai,wanli </v>
          </cell>
          <cell r="Q139" t="str">
            <v>Jin zhengbin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1</v>
          </cell>
          <cell r="AA139">
            <v>0.1</v>
          </cell>
          <cell r="AC139">
            <v>-35.33</v>
          </cell>
          <cell r="AD139">
            <v>-1.21</v>
          </cell>
          <cell r="AE139">
            <v>-0.8</v>
          </cell>
          <cell r="AF139">
            <v>0</v>
          </cell>
          <cell r="AG139">
            <v>0</v>
          </cell>
          <cell r="AH139">
            <v>-37.339999999999996</v>
          </cell>
          <cell r="AI139" t="str">
            <v>CNY</v>
          </cell>
          <cell r="AJ139" t="str">
            <v>LP</v>
          </cell>
          <cell r="AK139" t="str">
            <v>Yantai Huf</v>
          </cell>
          <cell r="AL139" t="str">
            <v>EBQTA</v>
          </cell>
          <cell r="AO139">
            <v>2.8</v>
          </cell>
          <cell r="AP139">
            <v>0.03</v>
          </cell>
          <cell r="BB139">
            <v>-432750</v>
          </cell>
          <cell r="BC139">
            <v>-432750</v>
          </cell>
          <cell r="BE139">
            <v>0</v>
          </cell>
          <cell r="BF139">
            <v>0</v>
          </cell>
          <cell r="BI139">
            <v>0</v>
          </cell>
          <cell r="BJ139">
            <v>0</v>
          </cell>
        </row>
        <row r="140">
          <cell r="C140" t="str">
            <v>ET5</v>
          </cell>
          <cell r="D140" t="str">
            <v>-</v>
          </cell>
          <cell r="E140" t="str">
            <v>Exterior door handle</v>
          </cell>
          <cell r="F140" t="str">
            <v>外门把手</v>
          </cell>
          <cell r="G140" t="str">
            <v>B</v>
          </cell>
          <cell r="H140" t="str">
            <v>PMT1</v>
          </cell>
          <cell r="I140" t="str">
            <v>TH</v>
          </cell>
          <cell r="J140" t="str">
            <v>PJD8B</v>
          </cell>
          <cell r="K140" t="str">
            <v>F26601</v>
          </cell>
          <cell r="L140" t="str">
            <v>BBW</v>
          </cell>
          <cell r="M140" t="str">
            <v>PJD8B-F26601-BBW</v>
          </cell>
          <cell r="N140" t="str">
            <v>KV HNDL KV</v>
          </cell>
          <cell r="O140">
            <v>42678</v>
          </cell>
          <cell r="P140" t="str">
            <v xml:space="preserve">zhai,wanli </v>
          </cell>
          <cell r="Q140" t="str">
            <v>Jin zhengbin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1</v>
          </cell>
          <cell r="AA140">
            <v>0.1</v>
          </cell>
          <cell r="AC140">
            <v>-35.33</v>
          </cell>
          <cell r="AD140">
            <v>-1.21</v>
          </cell>
          <cell r="AE140">
            <v>-0.8</v>
          </cell>
          <cell r="AF140">
            <v>0</v>
          </cell>
          <cell r="AG140">
            <v>0</v>
          </cell>
          <cell r="AH140">
            <v>-37.339999999999996</v>
          </cell>
          <cell r="AI140" t="str">
            <v>CNY</v>
          </cell>
          <cell r="AJ140" t="str">
            <v>LP</v>
          </cell>
          <cell r="AK140" t="str">
            <v>Yantai Huf</v>
          </cell>
          <cell r="AL140" t="str">
            <v>EBQTA</v>
          </cell>
          <cell r="AO140">
            <v>2.8</v>
          </cell>
          <cell r="AP140">
            <v>0.03</v>
          </cell>
          <cell r="BB140">
            <v>-603250</v>
          </cell>
          <cell r="BC140">
            <v>-603250</v>
          </cell>
          <cell r="BE140">
            <v>0</v>
          </cell>
          <cell r="BF140">
            <v>0</v>
          </cell>
          <cell r="BI140">
            <v>0</v>
          </cell>
          <cell r="BJ140">
            <v>0</v>
          </cell>
        </row>
        <row r="141">
          <cell r="C141" t="str">
            <v>ET5</v>
          </cell>
          <cell r="E141" t="str">
            <v>Exterior door handle</v>
          </cell>
          <cell r="F141" t="str">
            <v>外门把手</v>
          </cell>
          <cell r="G141" t="str">
            <v>B</v>
          </cell>
          <cell r="H141" t="str">
            <v>PMT1</v>
          </cell>
          <cell r="I141" t="str">
            <v>TH</v>
          </cell>
          <cell r="J141" t="str">
            <v>PJD8B</v>
          </cell>
          <cell r="K141" t="str">
            <v>F26601</v>
          </cell>
          <cell r="L141" t="str">
            <v>AAW</v>
          </cell>
          <cell r="M141" t="str">
            <v>PJD8B-F26601-AAW</v>
          </cell>
          <cell r="N141" t="str">
            <v>KV HNDL KV</v>
          </cell>
          <cell r="P141" t="str">
            <v xml:space="preserve">zhai,wanli </v>
          </cell>
          <cell r="Q141" t="str">
            <v>Jin zhengbin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0</v>
          </cell>
          <cell r="Z141">
            <v>0</v>
          </cell>
          <cell r="AA141">
            <v>0.9</v>
          </cell>
          <cell r="AC141">
            <v>-17.149999999999999</v>
          </cell>
          <cell r="AD141">
            <v>-1.21</v>
          </cell>
          <cell r="AE141">
            <v>-0.8</v>
          </cell>
          <cell r="AF141">
            <v>0</v>
          </cell>
          <cell r="AG141">
            <v>0</v>
          </cell>
          <cell r="AH141">
            <v>-19.16</v>
          </cell>
          <cell r="AI141" t="str">
            <v>CNY</v>
          </cell>
          <cell r="AJ141" t="str">
            <v>LP</v>
          </cell>
          <cell r="AK141" t="str">
            <v>Yantai Huf</v>
          </cell>
          <cell r="AL141" t="str">
            <v>EBQTA</v>
          </cell>
          <cell r="BB141">
            <v>0</v>
          </cell>
          <cell r="BC141">
            <v>0</v>
          </cell>
          <cell r="BE141">
            <v>0</v>
          </cell>
          <cell r="BF141">
            <v>0</v>
          </cell>
          <cell r="BI141">
            <v>0</v>
          </cell>
          <cell r="BJ141">
            <v>0</v>
          </cell>
        </row>
        <row r="142">
          <cell r="C142" t="str">
            <v>ET5</v>
          </cell>
          <cell r="D142" t="str">
            <v>ET5</v>
          </cell>
          <cell r="E142" t="str">
            <v>Exterior door handle</v>
          </cell>
          <cell r="F142" t="str">
            <v>外门把手</v>
          </cell>
          <cell r="G142" t="str">
            <v>B</v>
          </cell>
          <cell r="H142" t="str">
            <v>PMT1</v>
          </cell>
          <cell r="I142" t="str">
            <v>TH</v>
          </cell>
          <cell r="J142" t="str">
            <v>PJD8B</v>
          </cell>
          <cell r="K142" t="str">
            <v>F22400</v>
          </cell>
          <cell r="L142" t="str">
            <v>AAW</v>
          </cell>
          <cell r="M142" t="str">
            <v>PJD8B-F22400-AAW</v>
          </cell>
          <cell r="O142" t="str">
            <v>NA</v>
          </cell>
          <cell r="P142" t="str">
            <v xml:space="preserve">zhai,wanli </v>
          </cell>
          <cell r="Q142" t="str">
            <v>Jin zhengbin</v>
          </cell>
          <cell r="S142">
            <v>2</v>
          </cell>
          <cell r="T142">
            <v>2</v>
          </cell>
          <cell r="U142">
            <v>2</v>
          </cell>
          <cell r="V142">
            <v>2</v>
          </cell>
          <cell r="W142">
            <v>2</v>
          </cell>
          <cell r="X142">
            <v>2</v>
          </cell>
          <cell r="Y142">
            <v>0</v>
          </cell>
          <cell r="Z142">
            <v>0</v>
          </cell>
          <cell r="AA142">
            <v>1.8</v>
          </cell>
          <cell r="AC142">
            <v>-17.149999999999999</v>
          </cell>
          <cell r="AD142">
            <v>-1.21</v>
          </cell>
          <cell r="AE142">
            <v>-0.8</v>
          </cell>
          <cell r="AF142">
            <v>0</v>
          </cell>
          <cell r="AG142">
            <v>0</v>
          </cell>
          <cell r="AH142">
            <v>-19.16</v>
          </cell>
          <cell r="AI142" t="str">
            <v>CNY</v>
          </cell>
          <cell r="AJ142" t="str">
            <v>LP</v>
          </cell>
          <cell r="AK142" t="str">
            <v>Yantai Huf</v>
          </cell>
          <cell r="AL142" t="str">
            <v>EBQTA</v>
          </cell>
          <cell r="BB142">
            <v>0</v>
          </cell>
          <cell r="BC142">
            <v>0</v>
          </cell>
          <cell r="BE142">
            <v>0</v>
          </cell>
          <cell r="BF142">
            <v>0</v>
          </cell>
          <cell r="BI142">
            <v>0</v>
          </cell>
          <cell r="BJ142">
            <v>0</v>
          </cell>
        </row>
        <row r="143">
          <cell r="C143" t="str">
            <v>ET5</v>
          </cell>
          <cell r="D143" t="str">
            <v>ET5</v>
          </cell>
          <cell r="E143" t="str">
            <v>Exterior door handle</v>
          </cell>
          <cell r="F143" t="str">
            <v>外门把手</v>
          </cell>
          <cell r="G143" t="str">
            <v>B</v>
          </cell>
          <cell r="H143" t="str">
            <v>PMT1</v>
          </cell>
          <cell r="I143" t="str">
            <v>TH</v>
          </cell>
          <cell r="J143" t="str">
            <v>PJD8B</v>
          </cell>
          <cell r="K143" t="str">
            <v>F22401</v>
          </cell>
          <cell r="L143" t="str">
            <v>AAW</v>
          </cell>
          <cell r="M143" t="str">
            <v>PJD8B-F22401-AAW</v>
          </cell>
          <cell r="O143" t="str">
            <v>NA</v>
          </cell>
          <cell r="P143" t="str">
            <v xml:space="preserve">zhai,wanli </v>
          </cell>
          <cell r="Q143" t="str">
            <v>Jin zhengbin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0</v>
          </cell>
          <cell r="Z143">
            <v>0</v>
          </cell>
          <cell r="AA143">
            <v>0.9</v>
          </cell>
          <cell r="AC143">
            <v>-16.43</v>
          </cell>
          <cell r="AD143">
            <v>-1.23</v>
          </cell>
          <cell r="AE143">
            <v>-0.82</v>
          </cell>
          <cell r="AF143">
            <v>0</v>
          </cell>
          <cell r="AG143">
            <v>0</v>
          </cell>
          <cell r="AH143">
            <v>-18.48</v>
          </cell>
          <cell r="AI143" t="str">
            <v>CNY</v>
          </cell>
          <cell r="AJ143" t="str">
            <v>LP</v>
          </cell>
          <cell r="AK143" t="str">
            <v>Yantai Huf</v>
          </cell>
          <cell r="AL143" t="str">
            <v>EBQTA</v>
          </cell>
          <cell r="BB143">
            <v>0</v>
          </cell>
          <cell r="BC143">
            <v>0</v>
          </cell>
          <cell r="BE143">
            <v>0</v>
          </cell>
          <cell r="BF143">
            <v>0</v>
          </cell>
          <cell r="BI143">
            <v>0</v>
          </cell>
          <cell r="BJ143">
            <v>0</v>
          </cell>
        </row>
        <row r="144">
          <cell r="C144" t="str">
            <v>ET5</v>
          </cell>
          <cell r="D144" t="str">
            <v>ET5</v>
          </cell>
          <cell r="E144" t="str">
            <v>Exterior door handle</v>
          </cell>
          <cell r="F144" t="str">
            <v>外门把手</v>
          </cell>
          <cell r="G144" t="str">
            <v>B</v>
          </cell>
          <cell r="H144" t="str">
            <v>PMT1</v>
          </cell>
          <cell r="I144" t="str">
            <v>TH</v>
          </cell>
          <cell r="J144" t="str">
            <v>JD8B</v>
          </cell>
          <cell r="K144" t="str">
            <v>F22600</v>
          </cell>
          <cell r="L144" t="str">
            <v>AAW</v>
          </cell>
          <cell r="M144" t="str">
            <v>JD8B-F22600-AAW</v>
          </cell>
          <cell r="O144" t="str">
            <v>NA</v>
          </cell>
          <cell r="P144" t="str">
            <v>周文琦(wzhou17)</v>
          </cell>
          <cell r="Q144" t="str">
            <v>金正斌(zjin5)</v>
          </cell>
          <cell r="S144">
            <v>2</v>
          </cell>
          <cell r="T144">
            <v>2</v>
          </cell>
          <cell r="U144">
            <v>2</v>
          </cell>
          <cell r="V144">
            <v>2</v>
          </cell>
          <cell r="W144">
            <v>2</v>
          </cell>
          <cell r="X144">
            <v>2</v>
          </cell>
          <cell r="Y144">
            <v>2</v>
          </cell>
          <cell r="Z144">
            <v>2</v>
          </cell>
          <cell r="AA144">
            <v>2</v>
          </cell>
          <cell r="AC144">
            <v>-17.388184048531571</v>
          </cell>
          <cell r="AD144">
            <v>-0.70638888888888884</v>
          </cell>
          <cell r="AE144">
            <v>-7.3758975729756551E-2</v>
          </cell>
          <cell r="AF144">
            <v>0</v>
          </cell>
          <cell r="AG144">
            <v>0</v>
          </cell>
          <cell r="AH144">
            <v>-18.168331913150215</v>
          </cell>
          <cell r="AI144" t="str">
            <v>CNY</v>
          </cell>
          <cell r="AJ144" t="str">
            <v>LP</v>
          </cell>
          <cell r="AK144" t="str">
            <v>Yantai Huf</v>
          </cell>
          <cell r="AL144" t="str">
            <v>EBQTA</v>
          </cell>
          <cell r="BI144">
            <v>0</v>
          </cell>
          <cell r="BJ144">
            <v>0</v>
          </cell>
        </row>
        <row r="145">
          <cell r="C145" t="str">
            <v>ET5</v>
          </cell>
          <cell r="D145" t="str">
            <v>ET5</v>
          </cell>
          <cell r="E145" t="str">
            <v>Exterior door handle</v>
          </cell>
          <cell r="F145" t="str">
            <v>外门把手</v>
          </cell>
          <cell r="G145" t="str">
            <v>B</v>
          </cell>
          <cell r="H145" t="str">
            <v>PMT1</v>
          </cell>
          <cell r="I145" t="str">
            <v>TH</v>
          </cell>
          <cell r="J145" t="str">
            <v>JD8B</v>
          </cell>
          <cell r="K145" t="str">
            <v>F22601</v>
          </cell>
          <cell r="L145" t="str">
            <v>AAW</v>
          </cell>
          <cell r="M145" t="str">
            <v>JD8B-F22601-AAW</v>
          </cell>
          <cell r="O145" t="str">
            <v>NA</v>
          </cell>
          <cell r="P145" t="str">
            <v>周文琦(wzhou17)</v>
          </cell>
          <cell r="Q145" t="str">
            <v>金正斌(zjin5)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C145">
            <v>-17.935254048531572</v>
          </cell>
          <cell r="AD145">
            <v>-0.70638888888888884</v>
          </cell>
          <cell r="AE145">
            <v>-7.3758975729756551E-2</v>
          </cell>
          <cell r="AF145">
            <v>0</v>
          </cell>
          <cell r="AG145">
            <v>0</v>
          </cell>
          <cell r="AH145">
            <v>-18.715401913150217</v>
          </cell>
          <cell r="AI145" t="str">
            <v>CNY</v>
          </cell>
          <cell r="AJ145" t="str">
            <v>LP</v>
          </cell>
          <cell r="AK145" t="str">
            <v>Yantai Huf</v>
          </cell>
          <cell r="AL145" t="str">
            <v>EBQTA</v>
          </cell>
          <cell r="BB145">
            <v>-3314245</v>
          </cell>
          <cell r="BC145">
            <v>-3314245</v>
          </cell>
          <cell r="BE145">
            <v>-50000</v>
          </cell>
          <cell r="BF145">
            <v>714285.7142857142</v>
          </cell>
          <cell r="BI145">
            <v>0</v>
          </cell>
          <cell r="BJ145">
            <v>0</v>
          </cell>
        </row>
        <row r="146">
          <cell r="C146" t="str">
            <v>ET5</v>
          </cell>
          <cell r="D146" t="str">
            <v>ET5</v>
          </cell>
          <cell r="E146" t="str">
            <v>Exterior door handle</v>
          </cell>
          <cell r="F146" t="str">
            <v>外门把手</v>
          </cell>
          <cell r="G146" t="str">
            <v>B</v>
          </cell>
          <cell r="H146" t="str">
            <v>PMT1</v>
          </cell>
          <cell r="I146" t="str">
            <v>TH</v>
          </cell>
          <cell r="J146" t="str">
            <v>JD8B</v>
          </cell>
          <cell r="K146" t="str">
            <v>F266B35</v>
          </cell>
          <cell r="L146" t="str">
            <v>AAW</v>
          </cell>
          <cell r="M146" t="str">
            <v>JD8B-F266B35-AAW</v>
          </cell>
          <cell r="O146" t="str">
            <v>NA</v>
          </cell>
          <cell r="P146" t="str">
            <v>周文琦(wzhou17)</v>
          </cell>
          <cell r="Q146" t="str">
            <v>金正斌(zjin5)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C146">
            <v>-17.39</v>
          </cell>
          <cell r="AD146">
            <v>-0.71</v>
          </cell>
          <cell r="AE146">
            <v>0</v>
          </cell>
          <cell r="AG146">
            <v>-7.0000000000000007E-2</v>
          </cell>
          <cell r="AH146">
            <v>-18.170000000000002</v>
          </cell>
          <cell r="AI146" t="str">
            <v>CNY</v>
          </cell>
          <cell r="AJ146" t="str">
            <v>LP</v>
          </cell>
          <cell r="AK146" t="str">
            <v>Yantai Huf</v>
          </cell>
          <cell r="AL146" t="str">
            <v>EBQTA</v>
          </cell>
          <cell r="BB146">
            <v>-3314245</v>
          </cell>
          <cell r="BC146">
            <v>-3314245</v>
          </cell>
          <cell r="BE146">
            <v>-50000</v>
          </cell>
          <cell r="BF146">
            <v>714285.7142857142</v>
          </cell>
          <cell r="BI146">
            <v>0</v>
          </cell>
          <cell r="BJ146">
            <v>0</v>
          </cell>
        </row>
        <row r="147">
          <cell r="C147" t="str">
            <v>PT01-2</v>
          </cell>
          <cell r="D147" t="str">
            <v>PT01-2</v>
          </cell>
          <cell r="E147" t="str">
            <v>powertrain mount （Dragon 6MX65）</v>
          </cell>
          <cell r="F147" t="str">
            <v>发动机支撑（Dragon 6MX65）</v>
          </cell>
          <cell r="G147" t="str">
            <v>B</v>
          </cell>
          <cell r="H147" t="str">
            <v>PMT4</v>
          </cell>
          <cell r="I147" t="str">
            <v>PF</v>
          </cell>
          <cell r="J147" t="str">
            <v>JD81</v>
          </cell>
          <cell r="K147" t="str">
            <v>6F012</v>
          </cell>
          <cell r="L147" t="str">
            <v>CA</v>
          </cell>
          <cell r="M147" t="str">
            <v>JD81-6F012-CA</v>
          </cell>
          <cell r="N147" t="str">
            <v>RHS MOUNT</v>
          </cell>
          <cell r="O147">
            <v>42678</v>
          </cell>
          <cell r="P147" t="str">
            <v>Sun Aibiao</v>
          </cell>
          <cell r="Q147" t="str">
            <v>Zhang xu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0</v>
          </cell>
          <cell r="X147">
            <v>0</v>
          </cell>
          <cell r="Y147">
            <v>1</v>
          </cell>
          <cell r="Z147">
            <v>0</v>
          </cell>
          <cell r="AA147">
            <v>0.72000000000000008</v>
          </cell>
          <cell r="AC147">
            <v>-101.3</v>
          </cell>
          <cell r="AD147">
            <v>-1.9</v>
          </cell>
          <cell r="AE147">
            <v>-1.73</v>
          </cell>
          <cell r="AF147">
            <v>0</v>
          </cell>
          <cell r="AG147">
            <v>-1.06</v>
          </cell>
          <cell r="AH147">
            <v>-105.99000000000001</v>
          </cell>
          <cell r="AI147" t="str">
            <v>CNY</v>
          </cell>
          <cell r="AJ147" t="str">
            <v>LP</v>
          </cell>
          <cell r="AK147" t="str">
            <v>Suzhou Hutchinson</v>
          </cell>
          <cell r="AL147" t="str">
            <v>EYN0B</v>
          </cell>
          <cell r="AO147">
            <v>3.8080558980682278</v>
          </cell>
          <cell r="AP147">
            <v>0.02</v>
          </cell>
          <cell r="AQ147">
            <v>0.02</v>
          </cell>
          <cell r="AR147">
            <v>0.02</v>
          </cell>
          <cell r="AW147">
            <v>0.05</v>
          </cell>
          <cell r="BB147">
            <v>-791180</v>
          </cell>
          <cell r="BC147">
            <v>-791180</v>
          </cell>
          <cell r="BE147">
            <v>-436726.37</v>
          </cell>
          <cell r="BF147">
            <v>413928</v>
          </cell>
        </row>
        <row r="148">
          <cell r="C148" t="str">
            <v>PT01-2</v>
          </cell>
          <cell r="D148" t="str">
            <v>PT01-2</v>
          </cell>
          <cell r="E148" t="str">
            <v>powertrain mount （Dragon 6MX65）</v>
          </cell>
          <cell r="F148" t="str">
            <v>发动机支撑（Dragon 6MX65）</v>
          </cell>
          <cell r="G148" t="str">
            <v>B</v>
          </cell>
          <cell r="H148" t="str">
            <v>PMT4</v>
          </cell>
          <cell r="I148" t="str">
            <v>PF</v>
          </cell>
          <cell r="J148" t="str">
            <v>JD81 </v>
          </cell>
          <cell r="K148" t="str">
            <v>7M121</v>
          </cell>
          <cell r="L148" t="str">
            <v>EA</v>
          </cell>
          <cell r="M148" t="str">
            <v>JD81 -7M121-EA</v>
          </cell>
          <cell r="N148" t="str">
            <v xml:space="preserve">LHS MOUNT </v>
          </cell>
          <cell r="O148">
            <v>42678</v>
          </cell>
          <cell r="P148" t="str">
            <v>Sun Aibiao</v>
          </cell>
          <cell r="Q148" t="str">
            <v>Zhang xu</v>
          </cell>
          <cell r="S148">
            <v>1</v>
          </cell>
          <cell r="T148">
            <v>1</v>
          </cell>
          <cell r="U148">
            <v>1</v>
          </cell>
          <cell r="V148">
            <v>0</v>
          </cell>
          <cell r="W148">
            <v>1</v>
          </cell>
          <cell r="X148">
            <v>1</v>
          </cell>
          <cell r="Y148">
            <v>1</v>
          </cell>
          <cell r="Z148">
            <v>0</v>
          </cell>
          <cell r="AA148">
            <v>0.72000000000000008</v>
          </cell>
          <cell r="AC148">
            <v>-73.899999999999991</v>
          </cell>
          <cell r="AD148">
            <v>-2.1</v>
          </cell>
          <cell r="AE148">
            <v>-1.23</v>
          </cell>
          <cell r="AF148">
            <v>0</v>
          </cell>
          <cell r="AG148">
            <v>0</v>
          </cell>
          <cell r="AH148">
            <v>-77.22999999999999</v>
          </cell>
          <cell r="AI148" t="str">
            <v>CNY</v>
          </cell>
          <cell r="AJ148" t="str">
            <v>LP</v>
          </cell>
          <cell r="AK148" t="str">
            <v>Suzhou Hutchinson</v>
          </cell>
          <cell r="AL148" t="str">
            <v>EYN0B</v>
          </cell>
          <cell r="AO148">
            <v>3.8080558980682278</v>
          </cell>
          <cell r="AP148">
            <v>0.02</v>
          </cell>
          <cell r="AQ148">
            <v>0.02</v>
          </cell>
          <cell r="AR148">
            <v>0.02</v>
          </cell>
          <cell r="AW148">
            <v>0.05</v>
          </cell>
          <cell r="BB148">
            <v>-421790</v>
          </cell>
          <cell r="BC148">
            <v>-421790</v>
          </cell>
          <cell r="BE148">
            <v>0</v>
          </cell>
          <cell r="BF148">
            <v>0</v>
          </cell>
        </row>
        <row r="149">
          <cell r="C149" t="str">
            <v>PT01-2</v>
          </cell>
          <cell r="D149" t="str">
            <v>-</v>
          </cell>
          <cell r="E149" t="str">
            <v>powertrain mount （Dragon 6MX65）</v>
          </cell>
          <cell r="F149" t="str">
            <v>发动机支撑（Dragon 6MX65）</v>
          </cell>
          <cell r="G149" t="str">
            <v>B</v>
          </cell>
          <cell r="H149" t="str">
            <v>PMT4</v>
          </cell>
          <cell r="I149" t="str">
            <v>PF</v>
          </cell>
          <cell r="J149" t="str">
            <v>JD81 </v>
          </cell>
          <cell r="K149" t="str">
            <v>7M121</v>
          </cell>
          <cell r="L149" t="str">
            <v>FA</v>
          </cell>
          <cell r="M149" t="str">
            <v>JD81 -7M121-FA</v>
          </cell>
          <cell r="N149" t="str">
            <v xml:space="preserve">LHS MOUNT </v>
          </cell>
          <cell r="O149">
            <v>42678</v>
          </cell>
          <cell r="P149" t="str">
            <v>Sun Aibiao</v>
          </cell>
          <cell r="Q149" t="str">
            <v>Zhang xu</v>
          </cell>
          <cell r="S149">
            <v>0</v>
          </cell>
          <cell r="T149">
            <v>0</v>
          </cell>
          <cell r="U149">
            <v>0</v>
          </cell>
          <cell r="V149">
            <v>1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0.28000000000000003</v>
          </cell>
          <cell r="AC149">
            <v>-73.97</v>
          </cell>
          <cell r="AD149">
            <v>-2.1</v>
          </cell>
          <cell r="AE149">
            <v>-1.23</v>
          </cell>
          <cell r="AF149">
            <v>0</v>
          </cell>
          <cell r="AG149">
            <v>0</v>
          </cell>
          <cell r="AH149">
            <v>-77.3</v>
          </cell>
          <cell r="AI149" t="str">
            <v>CNY</v>
          </cell>
          <cell r="AJ149" t="str">
            <v>LP</v>
          </cell>
          <cell r="AK149" t="str">
            <v>Suzhou Hutchinson</v>
          </cell>
          <cell r="AL149" t="str">
            <v>EYN0B</v>
          </cell>
          <cell r="AO149">
            <v>3.8080558980682278</v>
          </cell>
          <cell r="AP149">
            <v>0.02</v>
          </cell>
          <cell r="AQ149">
            <v>0.02</v>
          </cell>
          <cell r="AR149">
            <v>0.02</v>
          </cell>
          <cell r="AW149">
            <v>0.05</v>
          </cell>
          <cell r="BB149">
            <v>-111860</v>
          </cell>
          <cell r="BC149">
            <v>-111860</v>
          </cell>
          <cell r="BE149">
            <v>0</v>
          </cell>
          <cell r="BF149">
            <v>0</v>
          </cell>
        </row>
        <row r="150">
          <cell r="C150" t="str">
            <v>PT01-2</v>
          </cell>
          <cell r="D150" t="str">
            <v>PT01-2</v>
          </cell>
          <cell r="E150" t="str">
            <v>powertrain mount （Dragon 6MX65）</v>
          </cell>
          <cell r="F150" t="str">
            <v>发动机支撑（Dragon 6MX65）</v>
          </cell>
          <cell r="G150" t="str">
            <v>B</v>
          </cell>
          <cell r="H150" t="str">
            <v>PMT4</v>
          </cell>
          <cell r="I150" t="str">
            <v>PF</v>
          </cell>
          <cell r="J150" t="str">
            <v>JD81</v>
          </cell>
          <cell r="K150" t="str">
            <v>6P082</v>
          </cell>
          <cell r="L150" t="str">
            <v>CB</v>
          </cell>
          <cell r="M150" t="str">
            <v>JD81-6P082-CB</v>
          </cell>
          <cell r="N150" t="str">
            <v>RR MOUNT</v>
          </cell>
          <cell r="O150">
            <v>42678</v>
          </cell>
          <cell r="P150" t="str">
            <v>Sun Aibiao</v>
          </cell>
          <cell r="Q150" t="str">
            <v>Zhang xu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C150">
            <v>-32.229999999999997</v>
          </cell>
          <cell r="AD150">
            <v>-0.9</v>
          </cell>
          <cell r="AE150">
            <v>-0.62</v>
          </cell>
          <cell r="AF150">
            <v>0</v>
          </cell>
          <cell r="AG150">
            <v>0</v>
          </cell>
          <cell r="AH150">
            <v>-33.749999999999993</v>
          </cell>
          <cell r="AI150" t="str">
            <v>CNY</v>
          </cell>
          <cell r="AJ150" t="str">
            <v>LP</v>
          </cell>
          <cell r="AK150" t="str">
            <v>Suzhou Hutchinson</v>
          </cell>
          <cell r="AL150" t="str">
            <v>EYN0B</v>
          </cell>
          <cell r="AO150">
            <v>3.8080558980682278</v>
          </cell>
          <cell r="AP150">
            <v>0.02</v>
          </cell>
          <cell r="AQ150">
            <v>0.02</v>
          </cell>
          <cell r="AR150">
            <v>0.02</v>
          </cell>
          <cell r="AW150">
            <v>0.05</v>
          </cell>
          <cell r="BB150">
            <v>-206960</v>
          </cell>
          <cell r="BC150">
            <v>-206960</v>
          </cell>
          <cell r="BE150">
            <v>0</v>
          </cell>
          <cell r="BF150">
            <v>0</v>
          </cell>
        </row>
        <row r="151">
          <cell r="C151" t="str">
            <v>PT01-2</v>
          </cell>
          <cell r="D151" t="str">
            <v>PT01-2</v>
          </cell>
          <cell r="E151" t="str">
            <v>Roll Restrictor Bracket</v>
          </cell>
          <cell r="F151" t="str">
            <v>发动机支撑（Dragon 6MX65）</v>
          </cell>
          <cell r="G151" t="str">
            <v>B</v>
          </cell>
          <cell r="H151" t="str">
            <v>PMT4</v>
          </cell>
          <cell r="I151" t="str">
            <v>PF</v>
          </cell>
          <cell r="J151" t="str">
            <v>JD81</v>
          </cell>
          <cell r="K151" t="str">
            <v>6P093</v>
          </cell>
          <cell r="L151" t="str">
            <v>DB</v>
          </cell>
          <cell r="M151" t="str">
            <v>JD81-6P093-DB</v>
          </cell>
          <cell r="N151" t="str">
            <v>RR BRACKET</v>
          </cell>
          <cell r="O151">
            <v>42678</v>
          </cell>
          <cell r="P151" t="str">
            <v>Sun Aibiao</v>
          </cell>
          <cell r="Q151" t="str">
            <v>Zhang xu</v>
          </cell>
          <cell r="S151">
            <v>1</v>
          </cell>
          <cell r="T151">
            <v>0</v>
          </cell>
          <cell r="U151">
            <v>1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0.28000000000000003</v>
          </cell>
          <cell r="AC151">
            <v>-32.08</v>
          </cell>
          <cell r="AD151">
            <v>-0.9</v>
          </cell>
          <cell r="AE151">
            <v>-0.53</v>
          </cell>
          <cell r="AF151">
            <v>0</v>
          </cell>
          <cell r="AG151">
            <v>-1.1399999999999999</v>
          </cell>
          <cell r="AH151">
            <v>-34.65</v>
          </cell>
          <cell r="AI151" t="str">
            <v>CNY</v>
          </cell>
          <cell r="AJ151" t="str">
            <v>LP</v>
          </cell>
          <cell r="AK151" t="str">
            <v>Suzhou Hutchinson</v>
          </cell>
          <cell r="AL151" t="str">
            <v>EYN0B</v>
          </cell>
          <cell r="AO151">
            <v>3.8080558980682278</v>
          </cell>
          <cell r="AP151">
            <v>0.02</v>
          </cell>
          <cell r="AQ151">
            <v>0.02</v>
          </cell>
          <cell r="AR151">
            <v>0.02</v>
          </cell>
          <cell r="AW151">
            <v>0.05</v>
          </cell>
          <cell r="BB151">
            <v>-298170</v>
          </cell>
          <cell r="BC151">
            <v>-298170</v>
          </cell>
          <cell r="BE151">
            <v>-183209.37</v>
          </cell>
          <cell r="BF151">
            <v>160972</v>
          </cell>
        </row>
        <row r="152">
          <cell r="C152" t="str">
            <v>PT01-2</v>
          </cell>
          <cell r="D152" t="str">
            <v>-</v>
          </cell>
          <cell r="E152" t="str">
            <v>powertrain mount （Dragon 6MX65）</v>
          </cell>
          <cell r="F152" t="str">
            <v>发动机支撑（Dragon 6MX65）</v>
          </cell>
          <cell r="G152" t="str">
            <v>B</v>
          </cell>
          <cell r="H152" t="str">
            <v>PMT4</v>
          </cell>
          <cell r="I152" t="str">
            <v>PF</v>
          </cell>
          <cell r="J152" t="str">
            <v>JD81</v>
          </cell>
          <cell r="K152" t="str">
            <v>6P093</v>
          </cell>
          <cell r="L152" t="str">
            <v>CA</v>
          </cell>
          <cell r="M152" t="str">
            <v>JD81-6P093-CA</v>
          </cell>
          <cell r="N152" t="str">
            <v>RR BRACKET</v>
          </cell>
          <cell r="O152">
            <v>42678</v>
          </cell>
          <cell r="P152" t="str">
            <v>Sun Aibiao</v>
          </cell>
          <cell r="Q152" t="str">
            <v>Zhang xu</v>
          </cell>
          <cell r="S152">
            <v>0</v>
          </cell>
          <cell r="T152">
            <v>1</v>
          </cell>
          <cell r="U152">
            <v>0</v>
          </cell>
          <cell r="V152">
            <v>1</v>
          </cell>
          <cell r="W152">
            <v>0</v>
          </cell>
          <cell r="X152">
            <v>0</v>
          </cell>
          <cell r="Y152">
            <v>1</v>
          </cell>
          <cell r="Z152">
            <v>0</v>
          </cell>
          <cell r="AA152">
            <v>0.44</v>
          </cell>
          <cell r="AC152">
            <v>-29.77</v>
          </cell>
          <cell r="AD152">
            <v>-0.9</v>
          </cell>
          <cell r="AE152">
            <v>-0.63</v>
          </cell>
          <cell r="AF152">
            <v>0</v>
          </cell>
          <cell r="AG152">
            <v>-0.73</v>
          </cell>
          <cell r="AH152">
            <v>-32.029999999999994</v>
          </cell>
          <cell r="AI152" t="str">
            <v>CNY</v>
          </cell>
          <cell r="AJ152" t="str">
            <v>LP</v>
          </cell>
          <cell r="AK152" t="str">
            <v>Suzhou Hutchinson</v>
          </cell>
          <cell r="AL152" t="str">
            <v>EYN0B</v>
          </cell>
          <cell r="AO152">
            <v>3.7885270808524614</v>
          </cell>
          <cell r="AP152">
            <v>0.02</v>
          </cell>
          <cell r="AQ152">
            <v>0.02</v>
          </cell>
          <cell r="AR152">
            <v>0.02</v>
          </cell>
          <cell r="AW152">
            <v>0.05</v>
          </cell>
          <cell r="BB152">
            <v>-304600</v>
          </cell>
          <cell r="BC152">
            <v>-304600</v>
          </cell>
          <cell r="BE152">
            <v>-183992.46</v>
          </cell>
          <cell r="BF152">
            <v>252956</v>
          </cell>
        </row>
        <row r="153">
          <cell r="C153" t="str">
            <v>PT01-2</v>
          </cell>
          <cell r="D153" t="str">
            <v>-</v>
          </cell>
          <cell r="E153" t="str">
            <v>powertrain mount （Dragon 6MX65）</v>
          </cell>
          <cell r="F153" t="str">
            <v>发动机支撑（Dragon 6MX65）</v>
          </cell>
          <cell r="G153" t="str">
            <v>B</v>
          </cell>
          <cell r="H153" t="str">
            <v>PMT4</v>
          </cell>
          <cell r="I153" t="str">
            <v>PF</v>
          </cell>
          <cell r="J153" t="str">
            <v>JD81</v>
          </cell>
          <cell r="K153" t="str">
            <v>6F012</v>
          </cell>
          <cell r="L153" t="str">
            <v>AA</v>
          </cell>
          <cell r="M153" t="str">
            <v>JD81-6F012-AA</v>
          </cell>
          <cell r="N153" t="str">
            <v>RHS MOUNT</v>
          </cell>
          <cell r="O153">
            <v>42678</v>
          </cell>
          <cell r="P153" t="str">
            <v>Sun Aibiao</v>
          </cell>
          <cell r="Q153" t="str">
            <v>Zhang xu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1</v>
          </cell>
          <cell r="Y153">
            <v>0</v>
          </cell>
          <cell r="Z153">
            <v>1</v>
          </cell>
          <cell r="AA153">
            <v>0.28000000000000003</v>
          </cell>
          <cell r="AC153">
            <v>-95.16</v>
          </cell>
          <cell r="AD153">
            <v>-1.9</v>
          </cell>
          <cell r="AE153">
            <v>-1.5</v>
          </cell>
          <cell r="AG153">
            <v>-2.7</v>
          </cell>
          <cell r="AH153">
            <v>-101.26</v>
          </cell>
          <cell r="AI153" t="str">
            <v>CNY</v>
          </cell>
          <cell r="AJ153" t="str">
            <v>LP</v>
          </cell>
          <cell r="AK153" t="str">
            <v>Suzhou Hutchinson</v>
          </cell>
          <cell r="AL153" t="str">
            <v>EYN0B</v>
          </cell>
          <cell r="AO153">
            <v>3.8223609534619758</v>
          </cell>
          <cell r="AP153">
            <v>0.02</v>
          </cell>
          <cell r="AQ153">
            <v>0.02</v>
          </cell>
          <cell r="AR153">
            <v>0.02</v>
          </cell>
          <cell r="AW153">
            <v>0.05</v>
          </cell>
          <cell r="BB153">
            <v>-763700</v>
          </cell>
          <cell r="BC153">
            <v>-763700</v>
          </cell>
          <cell r="BE153">
            <v>-434272.98</v>
          </cell>
          <cell r="BF153">
            <v>160972</v>
          </cell>
        </row>
        <row r="154">
          <cell r="C154" t="str">
            <v>PT01-2</v>
          </cell>
          <cell r="D154" t="str">
            <v>-</v>
          </cell>
          <cell r="E154" t="str">
            <v>powertrain mount （Dragon 6MX65）</v>
          </cell>
          <cell r="F154" t="str">
            <v>发动机支撑（Dragon 6MX65）</v>
          </cell>
          <cell r="G154" t="str">
            <v>B</v>
          </cell>
          <cell r="H154" t="str">
            <v>PMT4</v>
          </cell>
          <cell r="I154" t="str">
            <v>PF</v>
          </cell>
          <cell r="J154" t="str">
            <v>JD81</v>
          </cell>
          <cell r="K154" t="str">
            <v>6P093</v>
          </cell>
          <cell r="L154" t="str">
            <v>BA</v>
          </cell>
          <cell r="M154" t="str">
            <v>JD81-6P093-BA</v>
          </cell>
          <cell r="N154" t="str">
            <v xml:space="preserve">RR BRACKET </v>
          </cell>
          <cell r="O154">
            <v>42678</v>
          </cell>
          <cell r="P154" t="str">
            <v>Sun Aibiao</v>
          </cell>
          <cell r="Q154" t="str">
            <v>Zhang xu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</v>
          </cell>
          <cell r="X154">
            <v>0</v>
          </cell>
          <cell r="Y154">
            <v>0</v>
          </cell>
          <cell r="Z154">
            <v>0</v>
          </cell>
          <cell r="AA154">
            <v>0.09</v>
          </cell>
          <cell r="AC154">
            <v>-34.630000000000003</v>
          </cell>
          <cell r="AD154">
            <v>-0.9</v>
          </cell>
          <cell r="AE154">
            <v>-0.63</v>
          </cell>
          <cell r="AF154">
            <v>0</v>
          </cell>
          <cell r="AG154">
            <v>-3.58</v>
          </cell>
          <cell r="AH154">
            <v>-39.74</v>
          </cell>
          <cell r="AI154" t="str">
            <v>CNY</v>
          </cell>
          <cell r="AJ154" t="str">
            <v>LP</v>
          </cell>
          <cell r="AK154" t="str">
            <v>Suzhou Hutchinson</v>
          </cell>
          <cell r="AL154" t="str">
            <v>EYN0B</v>
          </cell>
          <cell r="AO154">
            <v>3.8223609534619758</v>
          </cell>
          <cell r="AP154">
            <v>0.02</v>
          </cell>
          <cell r="AQ154">
            <v>0.02</v>
          </cell>
          <cell r="AR154">
            <v>0.02</v>
          </cell>
          <cell r="AW154">
            <v>0.05</v>
          </cell>
          <cell r="BB154">
            <v>-262100</v>
          </cell>
          <cell r="BC154">
            <v>-262100</v>
          </cell>
          <cell r="BE154">
            <v>-185370.65</v>
          </cell>
          <cell r="BF154">
            <v>51741</v>
          </cell>
        </row>
        <row r="155">
          <cell r="C155" t="str">
            <v>PT01-2</v>
          </cell>
          <cell r="D155" t="str">
            <v>-</v>
          </cell>
          <cell r="E155" t="str">
            <v>powertrain mount （Dragon 6MX65）</v>
          </cell>
          <cell r="F155" t="str">
            <v>发动机支撑（Dragon 6MX65）</v>
          </cell>
          <cell r="G155" t="str">
            <v>B</v>
          </cell>
          <cell r="H155" t="str">
            <v>PMT4</v>
          </cell>
          <cell r="I155" t="str">
            <v>PF</v>
          </cell>
          <cell r="J155" t="str">
            <v>JD81</v>
          </cell>
          <cell r="K155" t="str">
            <v>6P093</v>
          </cell>
          <cell r="L155" t="str">
            <v>AA</v>
          </cell>
          <cell r="M155" t="str">
            <v>JD81-6P093-AA</v>
          </cell>
          <cell r="N155" t="str">
            <v xml:space="preserve">RR BRACKET </v>
          </cell>
          <cell r="O155">
            <v>42678</v>
          </cell>
          <cell r="P155" t="str">
            <v>Sun Aibiao</v>
          </cell>
          <cell r="Q155" t="str">
            <v>Zhang xu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</v>
          </cell>
          <cell r="Y155">
            <v>0</v>
          </cell>
          <cell r="Z155">
            <v>1</v>
          </cell>
          <cell r="AA155">
            <v>0.19</v>
          </cell>
          <cell r="AC155">
            <v>-30.65</v>
          </cell>
          <cell r="AD155">
            <v>-0.9</v>
          </cell>
          <cell r="AE155">
            <v>-0.63</v>
          </cell>
          <cell r="AF155">
            <v>0</v>
          </cell>
          <cell r="AG155">
            <v>-1.69</v>
          </cell>
          <cell r="AH155">
            <v>-33.869999999999997</v>
          </cell>
          <cell r="AI155" t="str">
            <v>CNY</v>
          </cell>
          <cell r="AJ155" t="str">
            <v>LP</v>
          </cell>
          <cell r="AK155" t="str">
            <v>Suzhou Hutchinson</v>
          </cell>
          <cell r="AL155" t="str">
            <v>EYN0B</v>
          </cell>
          <cell r="AO155">
            <v>3.8795380908864341</v>
          </cell>
          <cell r="AW155">
            <v>0.05</v>
          </cell>
          <cell r="BB155">
            <v>-308100</v>
          </cell>
          <cell r="BC155">
            <v>-308100</v>
          </cell>
          <cell r="BE155">
            <v>-184389.71</v>
          </cell>
          <cell r="BF155">
            <v>109231</v>
          </cell>
        </row>
        <row r="156">
          <cell r="C156" t="str">
            <v>PT01-2</v>
          </cell>
          <cell r="D156" t="str">
            <v>-</v>
          </cell>
          <cell r="E156" t="str">
            <v>powertrain mount （Dragon 6MX65）</v>
          </cell>
          <cell r="F156" t="str">
            <v>发动机支撑（Dragon 6MX65）</v>
          </cell>
          <cell r="G156" t="str">
            <v>B</v>
          </cell>
          <cell r="H156" t="str">
            <v>PMT4</v>
          </cell>
          <cell r="I156" t="str">
            <v>PF</v>
          </cell>
          <cell r="J156" t="str">
            <v>JD81</v>
          </cell>
          <cell r="K156" t="str">
            <v>7M121</v>
          </cell>
          <cell r="L156" t="str">
            <v>BA</v>
          </cell>
          <cell r="M156" t="str">
            <v>JD81-7M121-BA</v>
          </cell>
          <cell r="N156" t="str">
            <v>LHS MOUNT</v>
          </cell>
          <cell r="O156" t="str">
            <v>na</v>
          </cell>
          <cell r="P156" t="str">
            <v>Sun Aibiao</v>
          </cell>
          <cell r="Q156" t="str">
            <v>Zhang xu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>
            <v>0</v>
          </cell>
          <cell r="AI156" t="str">
            <v>CNY</v>
          </cell>
          <cell r="AJ156" t="str">
            <v>LP</v>
          </cell>
          <cell r="AK156" t="str">
            <v>Suzhou Hutchinson</v>
          </cell>
          <cell r="AL156" t="str">
            <v>EYN0B</v>
          </cell>
          <cell r="AO156">
            <v>0</v>
          </cell>
          <cell r="AW156">
            <v>0.05</v>
          </cell>
          <cell r="BB156">
            <v>0</v>
          </cell>
          <cell r="BC156">
            <v>0</v>
          </cell>
          <cell r="BE156">
            <v>0</v>
          </cell>
          <cell r="BF156">
            <v>0</v>
          </cell>
        </row>
        <row r="157">
          <cell r="C157" t="str">
            <v>PT01-2</v>
          </cell>
          <cell r="D157" t="str">
            <v>-</v>
          </cell>
          <cell r="E157" t="str">
            <v>powertrain mount （Dragon 6MX65）</v>
          </cell>
          <cell r="F157" t="str">
            <v>发动机支撑（Dragon 6MX65）</v>
          </cell>
          <cell r="G157" t="str">
            <v>B</v>
          </cell>
          <cell r="H157" t="str">
            <v>PMT4</v>
          </cell>
          <cell r="I157" t="str">
            <v>PF</v>
          </cell>
          <cell r="J157" t="str">
            <v>JD81</v>
          </cell>
          <cell r="K157" t="str">
            <v>7M121</v>
          </cell>
          <cell r="L157" t="str">
            <v>CA</v>
          </cell>
          <cell r="M157" t="str">
            <v>JD81-7M121-CA</v>
          </cell>
          <cell r="N157" t="str">
            <v>RR BRACKET</v>
          </cell>
          <cell r="O157" t="str">
            <v>na</v>
          </cell>
          <cell r="P157" t="str">
            <v>Sun Aibiao</v>
          </cell>
          <cell r="Q157" t="str">
            <v>Zhang xu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H157">
            <v>0</v>
          </cell>
          <cell r="AI157" t="str">
            <v>CNY</v>
          </cell>
          <cell r="AJ157" t="str">
            <v>LP</v>
          </cell>
          <cell r="AK157" t="str">
            <v>Suzhou Hutchinson</v>
          </cell>
          <cell r="AL157" t="str">
            <v>EYN0B</v>
          </cell>
          <cell r="AO157">
            <v>0</v>
          </cell>
          <cell r="AW157">
            <v>0.05</v>
          </cell>
          <cell r="BB157">
            <v>0</v>
          </cell>
          <cell r="BC157">
            <v>0</v>
          </cell>
          <cell r="BE157">
            <v>0</v>
          </cell>
          <cell r="BF157">
            <v>0</v>
          </cell>
        </row>
        <row r="158">
          <cell r="C158" t="str">
            <v>PT01-2</v>
          </cell>
          <cell r="D158" t="str">
            <v>-</v>
          </cell>
          <cell r="E158" t="str">
            <v>powertrain mount （Dragon 6MX65）</v>
          </cell>
          <cell r="F158" t="str">
            <v>发动机支撑（Dragon 6MX65）</v>
          </cell>
          <cell r="G158" t="str">
            <v>B</v>
          </cell>
          <cell r="H158" t="str">
            <v>PMT4</v>
          </cell>
          <cell r="I158" t="str">
            <v>PF</v>
          </cell>
          <cell r="J158" t="str">
            <v>JD81</v>
          </cell>
          <cell r="K158" t="str">
            <v>6P082</v>
          </cell>
          <cell r="L158" t="str">
            <v>CA</v>
          </cell>
          <cell r="M158" t="str">
            <v>JD81-6P082-CA</v>
          </cell>
          <cell r="N158" t="str">
            <v>RR MOUNT</v>
          </cell>
          <cell r="O158" t="str">
            <v>na</v>
          </cell>
          <cell r="P158" t="str">
            <v>Sun Aibiao</v>
          </cell>
          <cell r="Q158" t="str">
            <v>Zhang xu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CNY</v>
          </cell>
          <cell r="AJ158" t="str">
            <v>LP</v>
          </cell>
          <cell r="AK158" t="str">
            <v>Suzhou Hutchinson</v>
          </cell>
          <cell r="AL158" t="str">
            <v>EYN0B</v>
          </cell>
          <cell r="AO158">
            <v>3.7885270808524614</v>
          </cell>
          <cell r="AP158">
            <v>0.02</v>
          </cell>
          <cell r="AQ158">
            <v>0.02</v>
          </cell>
          <cell r="AR158">
            <v>0.02</v>
          </cell>
          <cell r="AW158">
            <v>0.05</v>
          </cell>
          <cell r="BB158">
            <v>0</v>
          </cell>
          <cell r="BC158">
            <v>0</v>
          </cell>
          <cell r="BE158">
            <v>0</v>
          </cell>
          <cell r="BF158">
            <v>0</v>
          </cell>
        </row>
        <row r="159">
          <cell r="C159" t="str">
            <v>PT01-2</v>
          </cell>
          <cell r="D159" t="str">
            <v>-</v>
          </cell>
          <cell r="E159" t="str">
            <v>powertrain mount （Dragon 6MX65）</v>
          </cell>
          <cell r="F159" t="str">
            <v>发动机支撑（Dragon 6MX65）</v>
          </cell>
          <cell r="G159" t="str">
            <v>B</v>
          </cell>
          <cell r="H159" t="str">
            <v>PMT4</v>
          </cell>
          <cell r="I159" t="str">
            <v>PF</v>
          </cell>
          <cell r="J159" t="str">
            <v>AV61</v>
          </cell>
          <cell r="K159" t="str">
            <v>6P082</v>
          </cell>
          <cell r="L159" t="str">
            <v>AC</v>
          </cell>
          <cell r="M159" t="str">
            <v>AV61-6P082-AC</v>
          </cell>
          <cell r="N159" t="str">
            <v xml:space="preserve">RR MOUNT </v>
          </cell>
          <cell r="O159" t="str">
            <v>na</v>
          </cell>
          <cell r="P159" t="str">
            <v>Sun Aibiao</v>
          </cell>
          <cell r="Q159" t="str">
            <v>Zhang xu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CNY</v>
          </cell>
          <cell r="AJ159" t="str">
            <v>LP</v>
          </cell>
          <cell r="AK159" t="str">
            <v>Suzhou Hutchinson</v>
          </cell>
          <cell r="AL159" t="str">
            <v>EYN0B</v>
          </cell>
          <cell r="AO159">
            <v>0</v>
          </cell>
          <cell r="AW159">
            <v>0.05</v>
          </cell>
          <cell r="BB159">
            <v>0</v>
          </cell>
          <cell r="BC159">
            <v>0</v>
          </cell>
          <cell r="BE159">
            <v>0</v>
          </cell>
          <cell r="BF159">
            <v>0</v>
          </cell>
        </row>
        <row r="160">
          <cell r="C160" t="str">
            <v>PT01-2</v>
          </cell>
          <cell r="D160" t="str">
            <v>-</v>
          </cell>
          <cell r="E160" t="str">
            <v>powertrain mount （Dragon 6MX65）</v>
          </cell>
          <cell r="F160" t="str">
            <v>发动机支撑（Dragon 6MX65）</v>
          </cell>
          <cell r="G160" t="str">
            <v>B</v>
          </cell>
          <cell r="H160" t="str">
            <v>PMT4</v>
          </cell>
          <cell r="I160" t="str">
            <v>PF</v>
          </cell>
          <cell r="J160" t="str">
            <v>JD81</v>
          </cell>
          <cell r="K160" t="str">
            <v>6P082</v>
          </cell>
          <cell r="L160" t="str">
            <v>AA</v>
          </cell>
          <cell r="M160" t="str">
            <v>JD81-6P082-AA</v>
          </cell>
          <cell r="N160" t="str">
            <v xml:space="preserve">RR MOUNT </v>
          </cell>
          <cell r="O160" t="str">
            <v>na</v>
          </cell>
          <cell r="P160" t="str">
            <v>Sun Aibiao</v>
          </cell>
          <cell r="Q160" t="str">
            <v>Zhang xu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CNY</v>
          </cell>
          <cell r="AJ160" t="str">
            <v>LP</v>
          </cell>
          <cell r="AK160" t="str">
            <v>Suzhou Hutchinson</v>
          </cell>
          <cell r="AL160" t="str">
            <v>EYN0B</v>
          </cell>
          <cell r="AO160">
            <v>0</v>
          </cell>
          <cell r="AW160">
            <v>0.05</v>
          </cell>
          <cell r="BB160">
            <v>0</v>
          </cell>
          <cell r="BC160">
            <v>0</v>
          </cell>
          <cell r="BE160">
            <v>0</v>
          </cell>
          <cell r="BF160">
            <v>0</v>
          </cell>
        </row>
        <row r="161">
          <cell r="C161" t="str">
            <v>PT01-2</v>
          </cell>
          <cell r="D161" t="str">
            <v>-</v>
          </cell>
          <cell r="E161" t="str">
            <v>powertrain mount （Dragon 6MX65）</v>
          </cell>
          <cell r="F161" t="str">
            <v>发动机支撑（Dragon 6MX65）</v>
          </cell>
          <cell r="G161" t="str">
            <v>B</v>
          </cell>
          <cell r="H161" t="str">
            <v>PMT4</v>
          </cell>
          <cell r="I161" t="str">
            <v>PF</v>
          </cell>
          <cell r="J161" t="str">
            <v>JD81</v>
          </cell>
          <cell r="K161" t="str">
            <v>7M121</v>
          </cell>
          <cell r="L161" t="str">
            <v>AA</v>
          </cell>
          <cell r="M161" t="str">
            <v>JD81-7M121-AA</v>
          </cell>
          <cell r="N161" t="str">
            <v>LHS MOUNT</v>
          </cell>
          <cell r="O161" t="str">
            <v>na</v>
          </cell>
          <cell r="P161" t="str">
            <v>Sun Aibiao</v>
          </cell>
          <cell r="Q161" t="str">
            <v>Zhang xu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CNY</v>
          </cell>
          <cell r="AJ161" t="str">
            <v>LP</v>
          </cell>
          <cell r="AK161" t="str">
            <v>Suzhou Hutchinson</v>
          </cell>
          <cell r="AL161" t="str">
            <v>EYN0B</v>
          </cell>
          <cell r="AO161">
            <v>0</v>
          </cell>
          <cell r="AW161">
            <v>0.05</v>
          </cell>
          <cell r="BB161">
            <v>0</v>
          </cell>
          <cell r="BC161">
            <v>0</v>
          </cell>
          <cell r="BE161">
            <v>0</v>
          </cell>
          <cell r="BF161">
            <v>0</v>
          </cell>
        </row>
        <row r="162">
          <cell r="C162" t="str">
            <v>PT01-3</v>
          </cell>
          <cell r="D162" t="str">
            <v>PT01-3</v>
          </cell>
          <cell r="E162" t="str">
            <v>Engine mount bracket</v>
          </cell>
          <cell r="F162" t="str">
            <v>发动机支撑支架</v>
          </cell>
          <cell r="G162" t="str">
            <v>D</v>
          </cell>
          <cell r="H162" t="str">
            <v>PMT4</v>
          </cell>
          <cell r="I162" t="str">
            <v>PF</v>
          </cell>
          <cell r="J162" t="str">
            <v>JD81</v>
          </cell>
          <cell r="K162" t="str">
            <v>7M125</v>
          </cell>
          <cell r="L162" t="str">
            <v>BA</v>
          </cell>
          <cell r="M162" t="str">
            <v>JD81-7M125-BA</v>
          </cell>
          <cell r="N162">
            <v>42783</v>
          </cell>
          <cell r="O162">
            <v>42671</v>
          </cell>
          <cell r="P162" t="str">
            <v>Sun Aibiao</v>
          </cell>
          <cell r="Q162" t="str">
            <v>Zhang xu</v>
          </cell>
          <cell r="S162">
            <v>1</v>
          </cell>
          <cell r="T162">
            <v>0</v>
          </cell>
          <cell r="U162">
            <v>1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0.28000000000000003</v>
          </cell>
          <cell r="AC162">
            <v>-21.35</v>
          </cell>
          <cell r="AD162">
            <v>-0.44</v>
          </cell>
          <cell r="AE162">
            <v>-0.92500000000000004</v>
          </cell>
          <cell r="AF162">
            <v>0</v>
          </cell>
          <cell r="AG162">
            <v>0</v>
          </cell>
          <cell r="AH162">
            <v>-22.715000000000003</v>
          </cell>
          <cell r="AI162" t="str">
            <v>CNY</v>
          </cell>
          <cell r="AJ162" t="str">
            <v>LP</v>
          </cell>
          <cell r="AK162" t="str">
            <v>Ningbo Tuopu</v>
          </cell>
          <cell r="AL162" t="str">
            <v>DLVBA</v>
          </cell>
          <cell r="AO162">
            <v>1</v>
          </cell>
          <cell r="AP162">
            <v>0.03</v>
          </cell>
          <cell r="AQ162">
            <v>0.03</v>
          </cell>
          <cell r="AR162">
            <v>0.03</v>
          </cell>
          <cell r="BB162">
            <v>-176500</v>
          </cell>
          <cell r="BC162">
            <v>-176500</v>
          </cell>
          <cell r="BE162">
            <v>0</v>
          </cell>
          <cell r="BF162">
            <v>0</v>
          </cell>
        </row>
        <row r="163">
          <cell r="C163" t="str">
            <v>PT01-3</v>
          </cell>
          <cell r="D163" t="str">
            <v>-</v>
          </cell>
          <cell r="E163" t="str">
            <v>Engine mount bracket</v>
          </cell>
          <cell r="F163" t="str">
            <v>发动机支撑支架</v>
          </cell>
          <cell r="G163" t="str">
            <v>D</v>
          </cell>
          <cell r="H163" t="str">
            <v>PMT4</v>
          </cell>
          <cell r="I163" t="str">
            <v>PF</v>
          </cell>
          <cell r="J163" t="str">
            <v>JD81</v>
          </cell>
          <cell r="K163" t="str">
            <v>7M125</v>
          </cell>
          <cell r="L163" t="str">
            <v>CA</v>
          </cell>
          <cell r="M163" t="str">
            <v>JD81-7M125-CA</v>
          </cell>
          <cell r="N163">
            <v>42783</v>
          </cell>
          <cell r="O163">
            <v>42671</v>
          </cell>
          <cell r="P163" t="str">
            <v>Sun Aibiao</v>
          </cell>
          <cell r="Q163" t="str">
            <v>Zhang xu</v>
          </cell>
          <cell r="S163">
            <v>0</v>
          </cell>
          <cell r="T163">
            <v>1</v>
          </cell>
          <cell r="U163">
            <v>0</v>
          </cell>
          <cell r="V163">
            <v>1</v>
          </cell>
          <cell r="W163">
            <v>0</v>
          </cell>
          <cell r="X163">
            <v>0</v>
          </cell>
          <cell r="Y163">
            <v>1</v>
          </cell>
          <cell r="Z163">
            <v>0</v>
          </cell>
          <cell r="AA163">
            <v>0.44</v>
          </cell>
          <cell r="AC163">
            <v>-21.32</v>
          </cell>
          <cell r="AD163">
            <v>-0.4</v>
          </cell>
          <cell r="AE163">
            <v>-0.95</v>
          </cell>
          <cell r="AF163">
            <v>0</v>
          </cell>
          <cell r="AG163">
            <v>0</v>
          </cell>
          <cell r="AH163">
            <v>-22.669999999999998</v>
          </cell>
          <cell r="AI163" t="str">
            <v>CNY</v>
          </cell>
          <cell r="AJ163" t="str">
            <v>LP</v>
          </cell>
          <cell r="AK163" t="str">
            <v>Ningbo Tuopu</v>
          </cell>
          <cell r="AL163" t="str">
            <v>DLVBA</v>
          </cell>
          <cell r="AO163">
            <v>1</v>
          </cell>
          <cell r="AP163">
            <v>0.03</v>
          </cell>
          <cell r="AQ163">
            <v>0.03</v>
          </cell>
          <cell r="AR163">
            <v>0.03</v>
          </cell>
          <cell r="BB163">
            <v>-176500</v>
          </cell>
          <cell r="BC163">
            <v>-176500</v>
          </cell>
          <cell r="BE163">
            <v>0</v>
          </cell>
          <cell r="BF163">
            <v>0</v>
          </cell>
        </row>
        <row r="164">
          <cell r="C164" t="str">
            <v>PT01-3</v>
          </cell>
          <cell r="D164" t="str">
            <v>-</v>
          </cell>
          <cell r="E164" t="str">
            <v>Engine mount bracket</v>
          </cell>
          <cell r="F164" t="str">
            <v>发动机支撑支架</v>
          </cell>
          <cell r="G164" t="str">
            <v>D</v>
          </cell>
          <cell r="H164" t="str">
            <v>PMT4</v>
          </cell>
          <cell r="I164" t="str">
            <v>PF</v>
          </cell>
          <cell r="J164" t="str">
            <v>JD81</v>
          </cell>
          <cell r="K164" t="str">
            <v>7M125</v>
          </cell>
          <cell r="L164" t="str">
            <v>DA</v>
          </cell>
          <cell r="M164" t="str">
            <v>JD81-7M125-DA</v>
          </cell>
          <cell r="N164">
            <v>42783</v>
          </cell>
          <cell r="O164">
            <v>42671</v>
          </cell>
          <cell r="P164" t="str">
            <v>Sun Aibiao</v>
          </cell>
          <cell r="Q164" t="str">
            <v>Zhang xu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0.09</v>
          </cell>
          <cell r="AC164">
            <v>-19.399999999999999</v>
          </cell>
          <cell r="AD164">
            <v>-0.4</v>
          </cell>
          <cell r="AE164">
            <v>-0.78</v>
          </cell>
          <cell r="AF164">
            <v>0</v>
          </cell>
          <cell r="AG164">
            <v>0</v>
          </cell>
          <cell r="AH164">
            <v>-20.58</v>
          </cell>
          <cell r="AI164" t="str">
            <v>CNY</v>
          </cell>
          <cell r="AJ164" t="str">
            <v>LP</v>
          </cell>
          <cell r="AK164" t="str">
            <v>Ningbo Tuopu</v>
          </cell>
          <cell r="AL164" t="str">
            <v>DLVBA</v>
          </cell>
          <cell r="AO164">
            <v>1</v>
          </cell>
          <cell r="AP164">
            <v>0.03</v>
          </cell>
          <cell r="AQ164">
            <v>0.03</v>
          </cell>
          <cell r="AR164">
            <v>0.03</v>
          </cell>
          <cell r="BB164">
            <v>-176500</v>
          </cell>
          <cell r="BC164">
            <v>-176500</v>
          </cell>
          <cell r="BE164">
            <v>0</v>
          </cell>
          <cell r="BF164">
            <v>0</v>
          </cell>
        </row>
        <row r="165">
          <cell r="C165" t="str">
            <v>PT01-3</v>
          </cell>
          <cell r="D165" t="str">
            <v>-</v>
          </cell>
          <cell r="E165" t="str">
            <v>Engine mount bracket</v>
          </cell>
          <cell r="F165" t="str">
            <v>发动机支撑支架</v>
          </cell>
          <cell r="G165" t="str">
            <v>D</v>
          </cell>
          <cell r="H165" t="str">
            <v>PMT4</v>
          </cell>
          <cell r="I165" t="str">
            <v>PF</v>
          </cell>
          <cell r="J165" t="str">
            <v>JD81</v>
          </cell>
          <cell r="K165" t="str">
            <v>7P247</v>
          </cell>
          <cell r="L165" t="str">
            <v>AA</v>
          </cell>
          <cell r="M165" t="str">
            <v>JD81-7P247-AA</v>
          </cell>
          <cell r="N165">
            <v>42783</v>
          </cell>
          <cell r="O165">
            <v>42671</v>
          </cell>
          <cell r="P165" t="str">
            <v>Sun Aibiao</v>
          </cell>
          <cell r="Q165" t="str">
            <v>Zhang xu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0.09</v>
          </cell>
          <cell r="AC165">
            <v>-19.940000000000001</v>
          </cell>
          <cell r="AD165">
            <v>-0.4</v>
          </cell>
          <cell r="AE165">
            <v>-0.86</v>
          </cell>
          <cell r="AF165">
            <v>0</v>
          </cell>
          <cell r="AG165">
            <v>0</v>
          </cell>
          <cell r="AH165">
            <v>-21.2</v>
          </cell>
          <cell r="AI165" t="str">
            <v>CNY</v>
          </cell>
          <cell r="AJ165" t="str">
            <v>LP</v>
          </cell>
          <cell r="AK165" t="str">
            <v>Ningbo Tuopu</v>
          </cell>
          <cell r="AL165" t="str">
            <v>DLVBA</v>
          </cell>
          <cell r="AO165">
            <v>1</v>
          </cell>
          <cell r="AP165">
            <v>0.03</v>
          </cell>
          <cell r="AQ165">
            <v>0.03</v>
          </cell>
          <cell r="AR165">
            <v>0.03</v>
          </cell>
          <cell r="BB165">
            <v>-195700</v>
          </cell>
          <cell r="BC165">
            <v>-195700</v>
          </cell>
          <cell r="BE165">
            <v>0</v>
          </cell>
          <cell r="BF165">
            <v>0</v>
          </cell>
        </row>
        <row r="166">
          <cell r="C166" t="str">
            <v>PT01-3</v>
          </cell>
          <cell r="D166" t="str">
            <v>-</v>
          </cell>
          <cell r="E166" t="str">
            <v>Engine mount bracket</v>
          </cell>
          <cell r="F166" t="str">
            <v>发动机支撑支架</v>
          </cell>
          <cell r="G166" t="str">
            <v>D</v>
          </cell>
          <cell r="H166" t="str">
            <v>PMT4</v>
          </cell>
          <cell r="I166" t="str">
            <v>PF</v>
          </cell>
          <cell r="J166" t="str">
            <v>JD81</v>
          </cell>
          <cell r="K166" t="str">
            <v>7M125</v>
          </cell>
          <cell r="L166" t="str">
            <v>AA</v>
          </cell>
          <cell r="M166" t="str">
            <v>JD81-7M125-AA</v>
          </cell>
          <cell r="N166">
            <v>42783</v>
          </cell>
          <cell r="O166">
            <v>42671</v>
          </cell>
          <cell r="P166" t="str">
            <v>Sun Aibiao</v>
          </cell>
          <cell r="Q166" t="str">
            <v>Zhang xu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1</v>
          </cell>
          <cell r="Y166">
            <v>0</v>
          </cell>
          <cell r="Z166">
            <v>1</v>
          </cell>
          <cell r="AA166">
            <v>0.19</v>
          </cell>
          <cell r="AC166">
            <v>-21.06</v>
          </cell>
          <cell r="AD166">
            <v>-0.4</v>
          </cell>
          <cell r="AE166">
            <v>-0.93500000000000005</v>
          </cell>
          <cell r="AF166">
            <v>0</v>
          </cell>
          <cell r="AG166">
            <v>0</v>
          </cell>
          <cell r="AH166">
            <v>-22.394999999999996</v>
          </cell>
          <cell r="AI166" t="str">
            <v>CNY</v>
          </cell>
          <cell r="AJ166" t="str">
            <v>LP</v>
          </cell>
          <cell r="AK166" t="str">
            <v>Ningbo Tuopu</v>
          </cell>
          <cell r="AL166" t="str">
            <v>DLVBA</v>
          </cell>
          <cell r="AO166">
            <v>1</v>
          </cell>
          <cell r="AP166">
            <v>0.03</v>
          </cell>
          <cell r="AQ166">
            <v>0.03</v>
          </cell>
          <cell r="AR166">
            <v>0.03</v>
          </cell>
          <cell r="BB166">
            <v>-176500</v>
          </cell>
          <cell r="BC166">
            <v>-176500</v>
          </cell>
          <cell r="BE166">
            <v>0</v>
          </cell>
          <cell r="BF166">
            <v>0</v>
          </cell>
        </row>
        <row r="167">
          <cell r="C167" t="str">
            <v>PT09</v>
          </cell>
          <cell r="D167" t="str">
            <v>-</v>
          </cell>
          <cell r="E167" t="str">
            <v>High pressure duct</v>
          </cell>
          <cell r="F167" t="str">
            <v>高压进气管</v>
          </cell>
          <cell r="G167" t="str">
            <v>B</v>
          </cell>
          <cell r="H167" t="str">
            <v>PMT4</v>
          </cell>
          <cell r="I167" t="str">
            <v>PF</v>
          </cell>
          <cell r="J167" t="str">
            <v>JD8G</v>
          </cell>
          <cell r="K167" t="str">
            <v>6C646</v>
          </cell>
          <cell r="L167" t="str">
            <v>AC</v>
          </cell>
          <cell r="M167" t="str">
            <v>JD8G-6C646-AC</v>
          </cell>
          <cell r="N167" t="str">
            <v xml:space="preserve"> ASY ENG CHG AIR COOL ASY ENG CHG AIR COOL</v>
          </cell>
          <cell r="O167">
            <v>42713</v>
          </cell>
          <cell r="P167" t="str">
            <v>zhou siliang</v>
          </cell>
          <cell r="Q167" t="str">
            <v>Liang weihua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1</v>
          </cell>
          <cell r="X167">
            <v>1</v>
          </cell>
          <cell r="Y167">
            <v>0</v>
          </cell>
          <cell r="Z167">
            <v>1</v>
          </cell>
          <cell r="AA167">
            <v>0.28000000000000003</v>
          </cell>
          <cell r="AC167">
            <v>-266.49</v>
          </cell>
          <cell r="AD167">
            <v>-7.73</v>
          </cell>
          <cell r="AE167">
            <v>-1.99</v>
          </cell>
          <cell r="AF167">
            <v>0</v>
          </cell>
          <cell r="AG167">
            <v>-2.99</v>
          </cell>
          <cell r="AH167">
            <v>-279.20000000000005</v>
          </cell>
          <cell r="AI167" t="str">
            <v>CNY</v>
          </cell>
          <cell r="AJ167" t="str">
            <v>LP</v>
          </cell>
          <cell r="AK167" t="str">
            <v>Avon Chongqing</v>
          </cell>
          <cell r="AL167" t="str">
            <v>NA</v>
          </cell>
          <cell r="AO167">
            <v>11.45</v>
          </cell>
          <cell r="AP167">
            <v>0.01</v>
          </cell>
          <cell r="BB167">
            <v>-446864</v>
          </cell>
          <cell r="BC167">
            <v>-446864</v>
          </cell>
          <cell r="BE167">
            <v>-480728</v>
          </cell>
          <cell r="BF167">
            <v>160972</v>
          </cell>
        </row>
        <row r="168">
          <cell r="C168" t="str">
            <v>PT09</v>
          </cell>
          <cell r="D168" t="str">
            <v>-</v>
          </cell>
          <cell r="E168" t="str">
            <v>High pressure duct</v>
          </cell>
          <cell r="F168" t="str">
            <v>高压进气管</v>
          </cell>
          <cell r="G168" t="str">
            <v>B</v>
          </cell>
          <cell r="H168" t="str">
            <v>PMT4</v>
          </cell>
          <cell r="I168" t="str">
            <v>PF</v>
          </cell>
          <cell r="J168" t="str">
            <v>JD8G</v>
          </cell>
          <cell r="K168" t="str">
            <v>6F075</v>
          </cell>
          <cell r="L168" t="str">
            <v>BC</v>
          </cell>
          <cell r="M168" t="str">
            <v>JD8G-6F075-BC</v>
          </cell>
          <cell r="N168" t="str">
            <v xml:space="preserve"> ASY ENG CHG AIR COOL ASY ENG CHG AIR COOL</v>
          </cell>
          <cell r="O168">
            <v>42713</v>
          </cell>
          <cell r="P168" t="str">
            <v>zhou siliang</v>
          </cell>
          <cell r="Q168" t="str">
            <v>Liang weihua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1</v>
          </cell>
          <cell r="Y168">
            <v>0</v>
          </cell>
          <cell r="Z168">
            <v>1</v>
          </cell>
          <cell r="AA168">
            <v>0.28000000000000003</v>
          </cell>
          <cell r="AC168">
            <v>-158.77000000000001</v>
          </cell>
          <cell r="AD168">
            <v>-3.91</v>
          </cell>
          <cell r="AE168">
            <v>-0.99</v>
          </cell>
          <cell r="AF168">
            <v>0</v>
          </cell>
          <cell r="AG168">
            <v>-2.99</v>
          </cell>
          <cell r="AH168">
            <v>-166.66000000000003</v>
          </cell>
          <cell r="AI168" t="str">
            <v>CNY</v>
          </cell>
          <cell r="AJ168" t="str">
            <v>LP</v>
          </cell>
          <cell r="AK168" t="str">
            <v>Avon Chongqing</v>
          </cell>
          <cell r="AO168">
            <v>11.45</v>
          </cell>
          <cell r="BB168">
            <v>-260239</v>
          </cell>
          <cell r="BC168">
            <v>-260239</v>
          </cell>
          <cell r="BE168">
            <v>-480728</v>
          </cell>
          <cell r="BF168">
            <v>160972</v>
          </cell>
        </row>
        <row r="169">
          <cell r="C169" t="str">
            <v>PT09</v>
          </cell>
          <cell r="D169" t="str">
            <v>-</v>
          </cell>
          <cell r="E169" t="str">
            <v>High pressure duct</v>
          </cell>
          <cell r="F169" t="str">
            <v>高压进气管</v>
          </cell>
          <cell r="G169" t="str">
            <v>B</v>
          </cell>
          <cell r="H169" t="str">
            <v>PMT4</v>
          </cell>
          <cell r="I169" t="str">
            <v>PF</v>
          </cell>
          <cell r="J169" t="str">
            <v>JX61</v>
          </cell>
          <cell r="K169" t="str">
            <v>6F072</v>
          </cell>
          <cell r="L169" t="str">
            <v>CA</v>
          </cell>
          <cell r="M169" t="str">
            <v>JX61-6F072-CA</v>
          </cell>
          <cell r="N169" t="str">
            <v>DCT ASY ENG CHG AIR COOL ASY ENG CHG AIR COOL</v>
          </cell>
          <cell r="O169">
            <v>42713</v>
          </cell>
          <cell r="P169" t="str">
            <v>zhou siliang</v>
          </cell>
          <cell r="Q169" t="str">
            <v>Liang weihua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1</v>
          </cell>
          <cell r="X169">
            <v>1</v>
          </cell>
          <cell r="Y169">
            <v>0</v>
          </cell>
          <cell r="Z169">
            <v>1</v>
          </cell>
          <cell r="AA169">
            <v>0.28000000000000003</v>
          </cell>
          <cell r="AC169">
            <v>-37.28</v>
          </cell>
          <cell r="AD169">
            <v>-1.07</v>
          </cell>
          <cell r="AE169">
            <v>-0.32</v>
          </cell>
          <cell r="AF169">
            <v>-0.82</v>
          </cell>
          <cell r="AG169">
            <v>0</v>
          </cell>
          <cell r="AH169">
            <v>-39.49</v>
          </cell>
          <cell r="AI169" t="str">
            <v>CNY</v>
          </cell>
          <cell r="AJ169" t="str">
            <v>LP</v>
          </cell>
          <cell r="AK169" t="str">
            <v>Avon Chongqing</v>
          </cell>
          <cell r="AL169" t="str">
            <v>NA</v>
          </cell>
          <cell r="AO169">
            <v>11.45</v>
          </cell>
          <cell r="AP169">
            <v>0.01</v>
          </cell>
          <cell r="BB169">
            <v>0</v>
          </cell>
          <cell r="BC169">
            <v>0</v>
          </cell>
          <cell r="BE169">
            <v>0</v>
          </cell>
          <cell r="BF169">
            <v>0</v>
          </cell>
        </row>
        <row r="170">
          <cell r="C170" t="str">
            <v>PT76</v>
          </cell>
          <cell r="D170" t="str">
            <v>PT76</v>
          </cell>
          <cell r="E170" t="str">
            <v>PCM bracket (Stage 5)</v>
          </cell>
          <cell r="F170" t="str">
            <v>PCM支架</v>
          </cell>
          <cell r="G170" t="str">
            <v>D</v>
          </cell>
          <cell r="H170" t="str">
            <v>PMT4</v>
          </cell>
          <cell r="I170" t="str">
            <v>PF</v>
          </cell>
          <cell r="J170" t="str">
            <v>JD8G</v>
          </cell>
          <cell r="K170" t="str">
            <v>12A659</v>
          </cell>
          <cell r="L170" t="str">
            <v>BA</v>
          </cell>
          <cell r="M170" t="str">
            <v>JD8G-12A659-BA</v>
          </cell>
          <cell r="N170" t="str">
            <v>PCM  Bracket</v>
          </cell>
          <cell r="O170">
            <v>42711</v>
          </cell>
          <cell r="P170" t="str">
            <v>Liu Ding</v>
          </cell>
          <cell r="Q170" t="str">
            <v>Guo Yuting</v>
          </cell>
          <cell r="S170">
            <v>1</v>
          </cell>
          <cell r="T170">
            <v>0</v>
          </cell>
          <cell r="U170">
            <v>1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0.28000000000000003</v>
          </cell>
          <cell r="AC170">
            <v>-10.039999999999999</v>
          </cell>
          <cell r="AD170">
            <v>-0.2</v>
          </cell>
          <cell r="AE170">
            <v>-0.32</v>
          </cell>
          <cell r="AF170">
            <v>0</v>
          </cell>
          <cell r="AG170">
            <v>0</v>
          </cell>
          <cell r="AH170">
            <v>-10.559999999999999</v>
          </cell>
          <cell r="AI170" t="str">
            <v>CNY</v>
          </cell>
          <cell r="AJ170" t="str">
            <v>LP</v>
          </cell>
          <cell r="AK170" t="str">
            <v>Chongqing Guangneng</v>
          </cell>
          <cell r="AL170" t="str">
            <v>DH0HA</v>
          </cell>
          <cell r="AO170">
            <v>1</v>
          </cell>
          <cell r="BB170">
            <v>-285000</v>
          </cell>
          <cell r="BC170">
            <v>-285000</v>
          </cell>
          <cell r="BE170">
            <v>0</v>
          </cell>
          <cell r="BF170">
            <v>0</v>
          </cell>
        </row>
        <row r="171">
          <cell r="C171" t="str">
            <v>PT76</v>
          </cell>
          <cell r="D171" t="str">
            <v>-</v>
          </cell>
          <cell r="E171" t="str">
            <v>PCM bracket</v>
          </cell>
          <cell r="F171" t="str">
            <v>PCM支架</v>
          </cell>
          <cell r="G171" t="str">
            <v>D</v>
          </cell>
          <cell r="H171" t="str">
            <v>PMT4</v>
          </cell>
          <cell r="I171" t="str">
            <v>PF</v>
          </cell>
          <cell r="J171" t="str">
            <v>JD8G</v>
          </cell>
          <cell r="K171" t="str">
            <v>12A659</v>
          </cell>
          <cell r="L171" t="str">
            <v>AB</v>
          </cell>
          <cell r="M171" t="str">
            <v>JD8G-12A659-AB</v>
          </cell>
          <cell r="N171" t="str">
            <v>PCM  Bracket</v>
          </cell>
          <cell r="O171">
            <v>42711</v>
          </cell>
          <cell r="P171" t="str">
            <v>Liu Ding</v>
          </cell>
          <cell r="Q171" t="str">
            <v>Guo Yuting</v>
          </cell>
          <cell r="S171">
            <v>0</v>
          </cell>
          <cell r="T171">
            <v>1</v>
          </cell>
          <cell r="U171">
            <v>0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0.72000000000000008</v>
          </cell>
          <cell r="AC171">
            <v>-10.18</v>
          </cell>
          <cell r="AD171">
            <v>-0.2</v>
          </cell>
          <cell r="AE171">
            <v>-0.32</v>
          </cell>
          <cell r="AF171">
            <v>0</v>
          </cell>
          <cell r="AG171">
            <v>0</v>
          </cell>
          <cell r="AH171">
            <v>-10.7</v>
          </cell>
          <cell r="AI171" t="str">
            <v>CNY</v>
          </cell>
          <cell r="AJ171" t="str">
            <v>LP</v>
          </cell>
          <cell r="AK171" t="str">
            <v>Chongqing Guangneng</v>
          </cell>
          <cell r="AL171" t="str">
            <v>DH0HA</v>
          </cell>
          <cell r="AO171">
            <v>1</v>
          </cell>
          <cell r="BB171">
            <v>-285000</v>
          </cell>
          <cell r="BC171">
            <v>-285000</v>
          </cell>
          <cell r="BE171">
            <v>0</v>
          </cell>
          <cell r="BF171">
            <v>0</v>
          </cell>
        </row>
        <row r="172">
          <cell r="C172" t="str">
            <v>PT76</v>
          </cell>
          <cell r="D172" t="str">
            <v>PT76</v>
          </cell>
          <cell r="E172" t="str">
            <v>PCM bracket (Stage 5)</v>
          </cell>
          <cell r="F172" t="str">
            <v>PCM支架</v>
          </cell>
          <cell r="G172" t="str">
            <v>D</v>
          </cell>
          <cell r="H172" t="str">
            <v>PMT4</v>
          </cell>
          <cell r="I172" t="str">
            <v>PF</v>
          </cell>
          <cell r="J172" t="str">
            <v>JD8G</v>
          </cell>
          <cell r="K172" t="str">
            <v>12A532</v>
          </cell>
          <cell r="L172" t="str">
            <v>CA</v>
          </cell>
          <cell r="M172" t="str">
            <v>JD8G-12A532-CA</v>
          </cell>
          <cell r="N172" t="str">
            <v>PCM  Bracket</v>
          </cell>
          <cell r="O172">
            <v>42711</v>
          </cell>
          <cell r="P172" t="str">
            <v>Liu Ding</v>
          </cell>
          <cell r="Q172" t="str">
            <v>Guo Yuting</v>
          </cell>
          <cell r="S172">
            <v>1</v>
          </cell>
          <cell r="T172">
            <v>0</v>
          </cell>
          <cell r="U172">
            <v>1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0.28000000000000003</v>
          </cell>
          <cell r="AC172">
            <v>-4.16</v>
          </cell>
          <cell r="AD172">
            <v>-0.1</v>
          </cell>
          <cell r="AE172">
            <v>-0.22</v>
          </cell>
          <cell r="AF172">
            <v>0</v>
          </cell>
          <cell r="AG172">
            <v>0</v>
          </cell>
          <cell r="AH172">
            <v>-4.4799999999999995</v>
          </cell>
          <cell r="AI172" t="str">
            <v>CNY</v>
          </cell>
          <cell r="AJ172" t="str">
            <v>LP</v>
          </cell>
          <cell r="AK172" t="str">
            <v>Chongqing Guangneng</v>
          </cell>
          <cell r="AL172" t="str">
            <v>DH0HA</v>
          </cell>
          <cell r="AO172">
            <v>1</v>
          </cell>
          <cell r="BB172">
            <v>-195000</v>
          </cell>
          <cell r="BC172">
            <v>-195000</v>
          </cell>
          <cell r="BE172">
            <v>0</v>
          </cell>
          <cell r="BF172">
            <v>0</v>
          </cell>
        </row>
        <row r="173">
          <cell r="C173" t="str">
            <v>PT76</v>
          </cell>
          <cell r="D173" t="str">
            <v>-</v>
          </cell>
          <cell r="E173" t="str">
            <v>PCM bracket</v>
          </cell>
          <cell r="F173" t="str">
            <v>PCM支架</v>
          </cell>
          <cell r="G173" t="str">
            <v>D</v>
          </cell>
          <cell r="H173" t="str">
            <v>PMT4</v>
          </cell>
          <cell r="I173" t="str">
            <v>PF</v>
          </cell>
          <cell r="J173" t="str">
            <v>JD8G</v>
          </cell>
          <cell r="K173" t="str">
            <v>12A532</v>
          </cell>
          <cell r="L173" t="str">
            <v>BA</v>
          </cell>
          <cell r="M173" t="str">
            <v>JD8G-12A532-BA</v>
          </cell>
          <cell r="N173" t="str">
            <v>PCM  Cover</v>
          </cell>
          <cell r="O173">
            <v>42711</v>
          </cell>
          <cell r="P173" t="str">
            <v>Liu Ding</v>
          </cell>
          <cell r="Q173" t="str">
            <v>Guo Yuting</v>
          </cell>
          <cell r="S173">
            <v>0</v>
          </cell>
          <cell r="T173">
            <v>1</v>
          </cell>
          <cell r="U173">
            <v>0</v>
          </cell>
          <cell r="V173">
            <v>1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0.44</v>
          </cell>
          <cell r="AC173">
            <v>-4.7</v>
          </cell>
          <cell r="AD173">
            <v>-0.1</v>
          </cell>
          <cell r="AE173">
            <v>-0.22</v>
          </cell>
          <cell r="AF173">
            <v>0</v>
          </cell>
          <cell r="AG173">
            <v>0</v>
          </cell>
          <cell r="AH173">
            <v>-5.0199999999999996</v>
          </cell>
          <cell r="AI173" t="str">
            <v>CNY</v>
          </cell>
          <cell r="AJ173" t="str">
            <v>LP</v>
          </cell>
          <cell r="AK173" t="str">
            <v>Chongqing Guangneng</v>
          </cell>
          <cell r="AL173" t="str">
            <v>DH0HA</v>
          </cell>
          <cell r="AO173">
            <v>1</v>
          </cell>
          <cell r="BB173">
            <v>-195000</v>
          </cell>
          <cell r="BC173">
            <v>-195000</v>
          </cell>
          <cell r="BE173">
            <v>0</v>
          </cell>
          <cell r="BF173">
            <v>0</v>
          </cell>
        </row>
        <row r="174">
          <cell r="C174" t="str">
            <v>PT76</v>
          </cell>
          <cell r="D174" t="str">
            <v>-</v>
          </cell>
          <cell r="E174" t="str">
            <v>PCM bracket (Stage 5)</v>
          </cell>
          <cell r="F174" t="str">
            <v>PCM支架</v>
          </cell>
          <cell r="G174" t="str">
            <v>D</v>
          </cell>
          <cell r="H174" t="str">
            <v>PMT4</v>
          </cell>
          <cell r="I174" t="str">
            <v>PF</v>
          </cell>
          <cell r="J174" t="str">
            <v>JD8G</v>
          </cell>
          <cell r="K174" t="str">
            <v>12A532</v>
          </cell>
          <cell r="L174" t="str">
            <v>AA</v>
          </cell>
          <cell r="M174" t="str">
            <v>JD8G-12A532-AA</v>
          </cell>
          <cell r="N174" t="str">
            <v>PCM  Cover</v>
          </cell>
          <cell r="O174">
            <v>42711</v>
          </cell>
          <cell r="P174" t="str">
            <v>Liu Ding</v>
          </cell>
          <cell r="Q174" t="str">
            <v>Guo Yuting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1</v>
          </cell>
          <cell r="X174">
            <v>1</v>
          </cell>
          <cell r="Y174">
            <v>0</v>
          </cell>
          <cell r="Z174">
            <v>1</v>
          </cell>
          <cell r="AA174">
            <v>0.28000000000000003</v>
          </cell>
          <cell r="AC174">
            <v>-4.68</v>
          </cell>
          <cell r="AD174">
            <v>-0.1</v>
          </cell>
          <cell r="AE174">
            <v>-0.22</v>
          </cell>
          <cell r="AF174">
            <v>0</v>
          </cell>
          <cell r="AG174">
            <v>0</v>
          </cell>
          <cell r="AH174">
            <v>-4.9999999999999991</v>
          </cell>
          <cell r="AI174" t="str">
            <v>CNY</v>
          </cell>
          <cell r="AJ174" t="str">
            <v>LP</v>
          </cell>
          <cell r="AK174" t="str">
            <v>Chongqing Guangneng</v>
          </cell>
          <cell r="AL174" t="str">
            <v>DH0HA</v>
          </cell>
          <cell r="AO174">
            <v>1</v>
          </cell>
          <cell r="BB174">
            <v>-195000</v>
          </cell>
          <cell r="BC174">
            <v>-195000</v>
          </cell>
          <cell r="BE174">
            <v>0</v>
          </cell>
          <cell r="BF174">
            <v>0</v>
          </cell>
        </row>
        <row r="175">
          <cell r="C175" t="str">
            <v>PT03-2</v>
          </cell>
          <cell r="D175" t="str">
            <v>-</v>
          </cell>
          <cell r="E175" t="str">
            <v>Hot end （fox）</v>
          </cell>
          <cell r="F175" t="str">
            <v>热端（fox）</v>
          </cell>
          <cell r="G175" t="str">
            <v>B</v>
          </cell>
          <cell r="H175" t="str">
            <v>PMT4</v>
          </cell>
          <cell r="I175" t="str">
            <v>PF</v>
          </cell>
          <cell r="J175" t="str">
            <v>JD81</v>
          </cell>
          <cell r="K175" t="str">
            <v>5E211</v>
          </cell>
          <cell r="L175" t="str">
            <v>AE</v>
          </cell>
          <cell r="M175" t="str">
            <v>JD81-5E211-AE</v>
          </cell>
          <cell r="N175" t="str">
            <v>Hot end-1.0</v>
          </cell>
          <cell r="O175">
            <v>42713</v>
          </cell>
          <cell r="P175" t="str">
            <v>Tan zhongguo</v>
          </cell>
          <cell r="Q175" t="str">
            <v>Guo Yang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1</v>
          </cell>
          <cell r="X175">
            <v>1</v>
          </cell>
          <cell r="Y175">
            <v>0</v>
          </cell>
          <cell r="Z175">
            <v>1</v>
          </cell>
          <cell r="AA175">
            <v>0.28000000000000003</v>
          </cell>
          <cell r="AC175">
            <v>-434.49</v>
          </cell>
          <cell r="AD175">
            <v>-4.97</v>
          </cell>
          <cell r="AE175">
            <v>-6.59</v>
          </cell>
          <cell r="AG175">
            <v>-5.31</v>
          </cell>
          <cell r="AH175">
            <v>-451.36</v>
          </cell>
          <cell r="AI175" t="str">
            <v>CNY</v>
          </cell>
          <cell r="AJ175" t="str">
            <v>LP</v>
          </cell>
          <cell r="AK175" t="str">
            <v xml:space="preserve">Faurecia </v>
          </cell>
          <cell r="AL175" t="str">
            <v>CQSLA</v>
          </cell>
          <cell r="AO175">
            <v>3.2005978560372927</v>
          </cell>
          <cell r="BB175">
            <v>-235000</v>
          </cell>
          <cell r="BC175">
            <v>-3906000</v>
          </cell>
          <cell r="BE175">
            <v>-826122</v>
          </cell>
          <cell r="BF175">
            <v>155639</v>
          </cell>
        </row>
        <row r="176">
          <cell r="C176" t="str">
            <v>PT03-1</v>
          </cell>
          <cell r="D176" t="str">
            <v>PT03-1</v>
          </cell>
          <cell r="E176" t="str">
            <v>Hot end （dragon）-CN5</v>
          </cell>
          <cell r="F176" t="str">
            <v>热端（dragon）</v>
          </cell>
          <cell r="G176" t="str">
            <v>B</v>
          </cell>
          <cell r="H176" t="str">
            <v>PMT4</v>
          </cell>
          <cell r="I176" t="str">
            <v>PF</v>
          </cell>
          <cell r="J176" t="str">
            <v>JD81</v>
          </cell>
          <cell r="K176" t="str">
            <v>5E211</v>
          </cell>
          <cell r="L176" t="str">
            <v>BB</v>
          </cell>
          <cell r="M176" t="str">
            <v>JD81-5E211-BB</v>
          </cell>
          <cell r="N176" t="str">
            <v xml:space="preserve">Hot end-1.5L Stage5 </v>
          </cell>
          <cell r="O176">
            <v>42706</v>
          </cell>
          <cell r="P176" t="str">
            <v>Tan zhongguo</v>
          </cell>
          <cell r="Q176" t="str">
            <v>Guo Yang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0.72000000000000008</v>
          </cell>
          <cell r="AC176">
            <v>-359.43</v>
          </cell>
          <cell r="AD176">
            <v>-4.9400000000000004</v>
          </cell>
          <cell r="AE176">
            <v>-6.59</v>
          </cell>
          <cell r="AF176">
            <v>0</v>
          </cell>
          <cell r="AG176">
            <v>-2.9</v>
          </cell>
          <cell r="AH176">
            <v>-373.85999999999996</v>
          </cell>
          <cell r="AI176" t="str">
            <v>CNY</v>
          </cell>
          <cell r="AJ176" t="str">
            <v>LP</v>
          </cell>
          <cell r="AK176" t="str">
            <v xml:space="preserve">Faurecia </v>
          </cell>
          <cell r="AL176" t="str">
            <v>CQSLA</v>
          </cell>
          <cell r="AO176">
            <v>3.2005978560372927</v>
          </cell>
          <cell r="BB176">
            <v>-1386000</v>
          </cell>
          <cell r="BC176">
            <v>-2904137.5</v>
          </cell>
          <cell r="BE176">
            <v>-1200889</v>
          </cell>
          <cell r="BF176">
            <v>413928</v>
          </cell>
        </row>
        <row r="177">
          <cell r="C177" t="str">
            <v>PT03-1-stage 6</v>
          </cell>
          <cell r="D177" t="str">
            <v>PT03-1-stage 6</v>
          </cell>
          <cell r="E177" t="str">
            <v>Hot end （dragon）-CN6</v>
          </cell>
          <cell r="F177" t="str">
            <v>热端（dragon）</v>
          </cell>
          <cell r="G177" t="str">
            <v>B</v>
          </cell>
          <cell r="H177" t="str">
            <v>PMT4</v>
          </cell>
          <cell r="I177" t="str">
            <v>PF</v>
          </cell>
          <cell r="J177" t="str">
            <v>JD81</v>
          </cell>
          <cell r="K177" t="str">
            <v>5E211</v>
          </cell>
          <cell r="L177" t="str">
            <v>CB</v>
          </cell>
          <cell r="M177" t="str">
            <v>JD81-5E211-CB</v>
          </cell>
          <cell r="N177" t="str">
            <v>Hot End-1.5BJ6</v>
          </cell>
          <cell r="O177">
            <v>42706</v>
          </cell>
          <cell r="P177" t="str">
            <v>Tan zhongguo</v>
          </cell>
          <cell r="Q177" t="str">
            <v>Guo Yang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0</v>
          </cell>
          <cell r="X177">
            <v>0</v>
          </cell>
          <cell r="Y177">
            <v>1</v>
          </cell>
          <cell r="Z177">
            <v>0</v>
          </cell>
          <cell r="AA177">
            <v>0.72000000000000008</v>
          </cell>
          <cell r="AC177">
            <v>-382.99</v>
          </cell>
          <cell r="AD177">
            <v>-4.9400000000000004</v>
          </cell>
          <cell r="AE177">
            <v>-6.59</v>
          </cell>
          <cell r="AF177">
            <v>0</v>
          </cell>
          <cell r="AG177">
            <v>-2.9</v>
          </cell>
          <cell r="AH177">
            <v>-397.41999999999996</v>
          </cell>
          <cell r="AI177" t="str">
            <v>CNY</v>
          </cell>
          <cell r="AJ177" t="str">
            <v>LP</v>
          </cell>
          <cell r="AK177" t="str">
            <v xml:space="preserve">Faurecia </v>
          </cell>
          <cell r="AL177" t="str">
            <v>CQSLA</v>
          </cell>
          <cell r="AO177">
            <v>3.2005978560372927</v>
          </cell>
          <cell r="BB177">
            <v>0</v>
          </cell>
          <cell r="BC177">
            <v>0</v>
          </cell>
          <cell r="BE177" t="str">
            <v>incl. in above</v>
          </cell>
          <cell r="BF177">
            <v>0</v>
          </cell>
        </row>
        <row r="178">
          <cell r="C178" t="str">
            <v>B02</v>
          </cell>
          <cell r="D178" t="str">
            <v>B02</v>
          </cell>
          <cell r="E178" t="str">
            <v>Hood Hinge</v>
          </cell>
          <cell r="F178" t="str">
            <v>发动机舱铰链</v>
          </cell>
          <cell r="G178" t="str">
            <v>B</v>
          </cell>
          <cell r="H178" t="str">
            <v>PMT1</v>
          </cell>
          <cell r="I178" t="str">
            <v>TH</v>
          </cell>
          <cell r="J178" t="str">
            <v>JD8B</v>
          </cell>
          <cell r="K178" t="str">
            <v>F16800</v>
          </cell>
          <cell r="L178" t="str">
            <v>AB</v>
          </cell>
          <cell r="M178" t="str">
            <v>JD8B-F16800-AB</v>
          </cell>
          <cell r="N178" t="str">
            <v>Hood hinge</v>
          </cell>
          <cell r="O178">
            <v>42678</v>
          </cell>
          <cell r="P178" t="str">
            <v>Zhang,jian</v>
          </cell>
          <cell r="Q178" t="str">
            <v>jin zhengbin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-16.07</v>
          </cell>
          <cell r="AD178">
            <v>-0.17</v>
          </cell>
          <cell r="AE178">
            <v>-0.45</v>
          </cell>
          <cell r="AG178">
            <v>-0.51500000000000001</v>
          </cell>
          <cell r="AH178">
            <v>-17.205000000000002</v>
          </cell>
          <cell r="AI178" t="str">
            <v>CNY</v>
          </cell>
          <cell r="AJ178" t="str">
            <v>LP</v>
          </cell>
          <cell r="AK178" t="str">
            <v>Chongqing Multimatic</v>
          </cell>
          <cell r="AL178" t="str">
            <v>GKHVB</v>
          </cell>
          <cell r="AO178">
            <v>1</v>
          </cell>
          <cell r="AP178">
            <v>0.03</v>
          </cell>
          <cell r="AQ178">
            <v>0.03</v>
          </cell>
          <cell r="AR178">
            <v>0.03</v>
          </cell>
          <cell r="BB178">
            <v>-774900</v>
          </cell>
          <cell r="BC178">
            <v>-774900</v>
          </cell>
          <cell r="BE178">
            <v>-297242</v>
          </cell>
          <cell r="BF178">
            <v>574899</v>
          </cell>
        </row>
        <row r="179">
          <cell r="C179" t="str">
            <v>B02</v>
          </cell>
          <cell r="D179" t="str">
            <v>B02</v>
          </cell>
          <cell r="E179" t="str">
            <v>Hood Hinge</v>
          </cell>
          <cell r="F179" t="str">
            <v>发动机舱铰链</v>
          </cell>
          <cell r="G179" t="str">
            <v>B</v>
          </cell>
          <cell r="H179" t="str">
            <v>PMT1</v>
          </cell>
          <cell r="I179" t="str">
            <v>TH</v>
          </cell>
          <cell r="J179" t="str">
            <v>JD8B</v>
          </cell>
          <cell r="K179" t="str">
            <v>F16801</v>
          </cell>
          <cell r="L179" t="str">
            <v>AB</v>
          </cell>
          <cell r="M179" t="str">
            <v>JD8B-F16801-AB</v>
          </cell>
          <cell r="N179" t="str">
            <v>Hood hinge</v>
          </cell>
          <cell r="O179">
            <v>42678</v>
          </cell>
          <cell r="P179" t="str">
            <v>Zhang,jian</v>
          </cell>
          <cell r="Q179" t="str">
            <v>jin zhengbin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-16.07</v>
          </cell>
          <cell r="AD179">
            <v>-0.17</v>
          </cell>
          <cell r="AE179">
            <v>-0.45</v>
          </cell>
          <cell r="AG179">
            <v>-0.51500000000000001</v>
          </cell>
          <cell r="AH179">
            <v>-17.205000000000002</v>
          </cell>
          <cell r="AI179" t="str">
            <v>CNY</v>
          </cell>
          <cell r="AJ179" t="str">
            <v>LP</v>
          </cell>
          <cell r="AK179" t="str">
            <v>Chongqing Multimatic</v>
          </cell>
          <cell r="AL179" t="str">
            <v>GKHVB</v>
          </cell>
          <cell r="AO179">
            <v>1</v>
          </cell>
          <cell r="AP179">
            <v>0.03</v>
          </cell>
          <cell r="AQ179">
            <v>0.03</v>
          </cell>
          <cell r="AR179">
            <v>0.03</v>
          </cell>
          <cell r="BB179">
            <v>-774900</v>
          </cell>
          <cell r="BC179">
            <v>-774900</v>
          </cell>
          <cell r="BE179">
            <v>-297242</v>
          </cell>
          <cell r="BF179">
            <v>574899</v>
          </cell>
        </row>
        <row r="180">
          <cell r="C180" t="str">
            <v>IT04</v>
          </cell>
          <cell r="D180" t="str">
            <v>IT04</v>
          </cell>
          <cell r="E180" t="str">
            <v>Restraints Control Module(RCM)</v>
          </cell>
          <cell r="F180" t="str">
            <v>安全气囊控制模块</v>
          </cell>
          <cell r="G180" t="str">
            <v>B</v>
          </cell>
          <cell r="H180" t="str">
            <v>PMT5</v>
          </cell>
          <cell r="I180" t="str">
            <v>TH</v>
          </cell>
          <cell r="J180" t="str">
            <v>HS7T</v>
          </cell>
          <cell r="K180" t="str">
            <v>14B006</v>
          </cell>
          <cell r="L180" t="str">
            <v>AA</v>
          </cell>
          <cell r="M180" t="str">
            <v>HS7T-14B006-AA</v>
          </cell>
          <cell r="N180" t="str">
            <v>Sensor</v>
          </cell>
          <cell r="O180">
            <v>42671</v>
          </cell>
          <cell r="P180" t="str">
            <v>zhang chunhui</v>
          </cell>
          <cell r="Q180" t="str">
            <v>wang fei</v>
          </cell>
          <cell r="S180">
            <v>3</v>
          </cell>
          <cell r="T180">
            <v>3</v>
          </cell>
          <cell r="U180">
            <v>3</v>
          </cell>
          <cell r="V180">
            <v>3</v>
          </cell>
          <cell r="W180">
            <v>3</v>
          </cell>
          <cell r="X180">
            <v>3</v>
          </cell>
          <cell r="Y180">
            <v>3</v>
          </cell>
          <cell r="Z180">
            <v>3</v>
          </cell>
          <cell r="AA180">
            <v>3</v>
          </cell>
          <cell r="AC180">
            <v>-20.81</v>
          </cell>
          <cell r="AD180">
            <v>-0.4</v>
          </cell>
          <cell r="AE180">
            <v>-0.7</v>
          </cell>
          <cell r="AF180">
            <v>0</v>
          </cell>
          <cell r="AG180">
            <v>0</v>
          </cell>
          <cell r="AH180">
            <v>-21.909999999999997</v>
          </cell>
          <cell r="AI180" t="str">
            <v>CNY</v>
          </cell>
          <cell r="AJ180" t="str">
            <v>LP</v>
          </cell>
          <cell r="AK180" t="str">
            <v>Suzhou Bosch</v>
          </cell>
          <cell r="AL180" t="str">
            <v>EGSEA</v>
          </cell>
          <cell r="AO180">
            <v>5</v>
          </cell>
          <cell r="BB180">
            <v>0</v>
          </cell>
          <cell r="BC180">
            <v>0</v>
          </cell>
          <cell r="BE180">
            <v>0</v>
          </cell>
          <cell r="BF180">
            <v>0</v>
          </cell>
        </row>
        <row r="181">
          <cell r="C181" t="str">
            <v>IT04</v>
          </cell>
          <cell r="D181" t="str">
            <v>-</v>
          </cell>
          <cell r="E181" t="str">
            <v>Restraints Control Module(RCM)</v>
          </cell>
          <cell r="F181" t="str">
            <v>安全气囊控制模块</v>
          </cell>
          <cell r="G181" t="str">
            <v>B</v>
          </cell>
          <cell r="H181" t="str">
            <v>PMT5</v>
          </cell>
          <cell r="I181" t="str">
            <v>TH</v>
          </cell>
          <cell r="J181" t="str">
            <v>JD8T</v>
          </cell>
          <cell r="K181" t="str">
            <v>14B321</v>
          </cell>
          <cell r="L181" t="str">
            <v>CB</v>
          </cell>
          <cell r="M181" t="str">
            <v>JD8T-14B321-CB</v>
          </cell>
          <cell r="N181" t="str">
            <v>Restraints Control Module(RCM)</v>
          </cell>
          <cell r="O181" t="str">
            <v>na</v>
          </cell>
          <cell r="P181" t="str">
            <v>zhang chunhui</v>
          </cell>
          <cell r="Q181" t="str">
            <v>wang fei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CNY</v>
          </cell>
          <cell r="AJ181" t="str">
            <v>LP</v>
          </cell>
          <cell r="AK181" t="str">
            <v>Suzhou Bosch</v>
          </cell>
          <cell r="AL181" t="str">
            <v>EGSEA</v>
          </cell>
          <cell r="AO181">
            <v>5</v>
          </cell>
          <cell r="BB181">
            <v>0</v>
          </cell>
          <cell r="BC181">
            <v>0</v>
          </cell>
          <cell r="BE181">
            <v>0</v>
          </cell>
          <cell r="BF181">
            <v>0</v>
          </cell>
        </row>
        <row r="182">
          <cell r="C182" t="str">
            <v>IT04</v>
          </cell>
          <cell r="D182" t="str">
            <v>-</v>
          </cell>
          <cell r="E182" t="str">
            <v>Restraints Control Module(RCM)</v>
          </cell>
          <cell r="F182" t="str">
            <v>安全气囊控制模块</v>
          </cell>
          <cell r="G182" t="str">
            <v>B</v>
          </cell>
          <cell r="H182" t="str">
            <v>PMT5</v>
          </cell>
          <cell r="I182" t="str">
            <v>TH</v>
          </cell>
          <cell r="J182" t="str">
            <v>JD8T</v>
          </cell>
          <cell r="K182" t="str">
            <v>14B321</v>
          </cell>
          <cell r="L182" t="str">
            <v>BA</v>
          </cell>
          <cell r="M182" t="str">
            <v>JD8T-14B321-BA</v>
          </cell>
          <cell r="N182" t="str">
            <v>Restraints Control Module(RCM)</v>
          </cell>
          <cell r="O182">
            <v>42671</v>
          </cell>
          <cell r="P182" t="str">
            <v>zhang chunhui</v>
          </cell>
          <cell r="Q182" t="str">
            <v>wang fei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CNY</v>
          </cell>
          <cell r="AJ182" t="str">
            <v>LP</v>
          </cell>
          <cell r="AK182" t="str">
            <v>Suzhou Bosch</v>
          </cell>
          <cell r="AL182" t="str">
            <v>EGSEA</v>
          </cell>
          <cell r="AO182">
            <v>5</v>
          </cell>
          <cell r="BB182">
            <v>0</v>
          </cell>
          <cell r="BC182">
            <v>0</v>
          </cell>
          <cell r="BE182">
            <v>0</v>
          </cell>
          <cell r="BF182">
            <v>0</v>
          </cell>
        </row>
        <row r="183">
          <cell r="C183" t="str">
            <v>IT04</v>
          </cell>
          <cell r="D183" t="str">
            <v>IT04</v>
          </cell>
          <cell r="E183" t="str">
            <v>Restraints Control Module(RCM)</v>
          </cell>
          <cell r="F183" t="str">
            <v>安全气囊控制模块</v>
          </cell>
          <cell r="G183" t="str">
            <v>B</v>
          </cell>
          <cell r="H183" t="str">
            <v>PMT5</v>
          </cell>
          <cell r="I183" t="str">
            <v>TH</v>
          </cell>
          <cell r="J183" t="str">
            <v>JD8T</v>
          </cell>
          <cell r="K183" t="str">
            <v>14B321</v>
          </cell>
          <cell r="L183" t="str">
            <v>CD</v>
          </cell>
          <cell r="M183" t="str">
            <v>JD8T-14B321-CD</v>
          </cell>
          <cell r="N183" t="str">
            <v>Restraints Control Module(RCM)</v>
          </cell>
          <cell r="O183">
            <v>42671</v>
          </cell>
          <cell r="P183" t="str">
            <v>zhang chunhui</v>
          </cell>
          <cell r="Q183" t="str">
            <v>wang fei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-188.38</v>
          </cell>
          <cell r="AD183">
            <v>-0.8</v>
          </cell>
          <cell r="AE183">
            <v>-3.8</v>
          </cell>
          <cell r="AF183">
            <v>0</v>
          </cell>
          <cell r="AG183">
            <v>-4.2300000000000004</v>
          </cell>
          <cell r="AH183">
            <v>-197.21</v>
          </cell>
          <cell r="AI183" t="str">
            <v>CNY</v>
          </cell>
          <cell r="AJ183" t="str">
            <v>LP</v>
          </cell>
          <cell r="AK183" t="str">
            <v>Suzhou Bosch</v>
          </cell>
          <cell r="AL183" t="str">
            <v>EGSEA</v>
          </cell>
          <cell r="AO183">
            <v>5</v>
          </cell>
          <cell r="BB183">
            <v>0</v>
          </cell>
          <cell r="BC183">
            <v>0</v>
          </cell>
          <cell r="BE183">
            <v>-2432463</v>
          </cell>
          <cell r="BF183">
            <v>574899</v>
          </cell>
        </row>
        <row r="184">
          <cell r="C184" t="str">
            <v>PT56</v>
          </cell>
          <cell r="D184" t="str">
            <v>-</v>
          </cell>
          <cell r="E184" t="str">
            <v>TOC line</v>
          </cell>
          <cell r="F184" t="str">
            <v>变速器油冷管</v>
          </cell>
          <cell r="G184" t="str">
            <v>B</v>
          </cell>
          <cell r="H184" t="str">
            <v>PMT4</v>
          </cell>
          <cell r="I184" t="str">
            <v>PF</v>
          </cell>
          <cell r="J184" t="str">
            <v>JD8P</v>
          </cell>
          <cell r="K184" t="str">
            <v>7H420</v>
          </cell>
          <cell r="L184" t="str">
            <v>AB</v>
          </cell>
          <cell r="M184" t="str">
            <v>JD8P-7H420-AB</v>
          </cell>
          <cell r="N184" t="str">
            <v>TOC Line</v>
          </cell>
          <cell r="O184">
            <v>42741</v>
          </cell>
          <cell r="P184" t="str">
            <v>Long houjun</v>
          </cell>
          <cell r="Q184" t="str">
            <v>Yin yuxian</v>
          </cell>
          <cell r="X184">
            <v>1</v>
          </cell>
          <cell r="Z184">
            <v>1</v>
          </cell>
          <cell r="AA184">
            <v>0.19</v>
          </cell>
          <cell r="AC184">
            <v>-201.93</v>
          </cell>
          <cell r="AD184">
            <v>-1.98</v>
          </cell>
          <cell r="AE184">
            <v>-9.2899999999999991</v>
          </cell>
          <cell r="AG184">
            <v>-0.71</v>
          </cell>
          <cell r="AH184">
            <v>-213.91</v>
          </cell>
          <cell r="AI184" t="str">
            <v>CNY</v>
          </cell>
          <cell r="AJ184" t="str">
            <v>LP</v>
          </cell>
          <cell r="AK184" t="str">
            <v xml:space="preserve">Hangzhou YOKOHAMA </v>
          </cell>
          <cell r="AO184">
            <v>7.9</v>
          </cell>
          <cell r="AW184">
            <v>0.58253987384998596</v>
          </cell>
          <cell r="BB184">
            <v>-1971250</v>
          </cell>
          <cell r="BC184">
            <v>-1971250</v>
          </cell>
          <cell r="BE184">
            <v>-77736</v>
          </cell>
          <cell r="BF184">
            <v>109231</v>
          </cell>
        </row>
        <row r="185">
          <cell r="C185" t="str">
            <v>PT56</v>
          </cell>
          <cell r="D185" t="str">
            <v>-</v>
          </cell>
          <cell r="E185" t="str">
            <v>TOC line</v>
          </cell>
          <cell r="F185" t="str">
            <v>变速器油冷管</v>
          </cell>
          <cell r="G185" t="str">
            <v>B</v>
          </cell>
          <cell r="H185" t="str">
            <v>PMT4</v>
          </cell>
          <cell r="I185" t="str">
            <v>PF</v>
          </cell>
          <cell r="J185" t="str">
            <v>JD8P</v>
          </cell>
          <cell r="K185" t="str">
            <v>7A031</v>
          </cell>
          <cell r="L185" t="str">
            <v>AB</v>
          </cell>
          <cell r="M185" t="str">
            <v>JD8P-7A031-AB</v>
          </cell>
          <cell r="N185" t="str">
            <v>TOC Line</v>
          </cell>
          <cell r="O185">
            <v>42741</v>
          </cell>
          <cell r="P185" t="str">
            <v>Long houjun</v>
          </cell>
          <cell r="Q185" t="str">
            <v>Yin yuxian</v>
          </cell>
          <cell r="X185">
            <v>1</v>
          </cell>
          <cell r="Z185">
            <v>1</v>
          </cell>
          <cell r="AA185">
            <v>0.19</v>
          </cell>
          <cell r="AC185">
            <v>-46.98</v>
          </cell>
          <cell r="AD185">
            <v>-1.76</v>
          </cell>
          <cell r="AE185">
            <v>-4.76</v>
          </cell>
          <cell r="AG185">
            <v>-0.71</v>
          </cell>
          <cell r="AH185">
            <v>-54.209999999999994</v>
          </cell>
          <cell r="AI185" t="str">
            <v>CNY</v>
          </cell>
          <cell r="AJ185" t="str">
            <v>LP</v>
          </cell>
          <cell r="AK185" t="str">
            <v xml:space="preserve">Hangzhou YOKOHAMA </v>
          </cell>
          <cell r="AO185">
            <v>7.9</v>
          </cell>
          <cell r="BB185">
            <v>-425362</v>
          </cell>
          <cell r="BC185">
            <v>-425362</v>
          </cell>
          <cell r="BE185">
            <v>-77736</v>
          </cell>
          <cell r="BF185">
            <v>109231</v>
          </cell>
        </row>
        <row r="186">
          <cell r="C186" t="str">
            <v>PT56</v>
          </cell>
          <cell r="D186" t="str">
            <v>-</v>
          </cell>
          <cell r="E186" t="str">
            <v>TOC line</v>
          </cell>
          <cell r="F186" t="str">
            <v>变速器油冷管</v>
          </cell>
          <cell r="G186" t="str">
            <v>B</v>
          </cell>
          <cell r="H186" t="str">
            <v>PMT4</v>
          </cell>
          <cell r="I186" t="str">
            <v>PF</v>
          </cell>
          <cell r="J186" t="str">
            <v>JD8P</v>
          </cell>
          <cell r="K186" t="str">
            <v>7H420</v>
          </cell>
          <cell r="L186" t="str">
            <v>BB</v>
          </cell>
          <cell r="M186" t="str">
            <v>JD8P-7H420-BB</v>
          </cell>
          <cell r="N186" t="str">
            <v>TOC Line</v>
          </cell>
          <cell r="O186">
            <v>42741</v>
          </cell>
          <cell r="P186" t="str">
            <v>Long houjun</v>
          </cell>
          <cell r="Q186" t="str">
            <v>Yin yuxian</v>
          </cell>
          <cell r="T186">
            <v>1</v>
          </cell>
          <cell r="V186">
            <v>1</v>
          </cell>
          <cell r="Y186">
            <v>1</v>
          </cell>
          <cell r="AA186">
            <v>0.44</v>
          </cell>
          <cell r="AC186">
            <v>-233.21</v>
          </cell>
          <cell r="AD186">
            <v>-1.75</v>
          </cell>
          <cell r="AE186">
            <v>-12.42</v>
          </cell>
          <cell r="AG186">
            <v>-1.07</v>
          </cell>
          <cell r="AH186">
            <v>-248.45</v>
          </cell>
          <cell r="AI186" t="str">
            <v>CNY</v>
          </cell>
          <cell r="AJ186" t="str">
            <v>LP</v>
          </cell>
          <cell r="AK186" t="str">
            <v xml:space="preserve">Hangzhou YOKOHAMA </v>
          </cell>
          <cell r="AO186">
            <v>7.9</v>
          </cell>
          <cell r="AW186">
            <v>0.49609193761376208</v>
          </cell>
          <cell r="BB186">
            <v>-2635727</v>
          </cell>
          <cell r="BC186">
            <v>-2635727</v>
          </cell>
          <cell r="BE186">
            <v>-269916</v>
          </cell>
          <cell r="BF186">
            <v>252956</v>
          </cell>
        </row>
        <row r="187">
          <cell r="C187" t="str">
            <v>PT56</v>
          </cell>
          <cell r="D187" t="str">
            <v>-</v>
          </cell>
          <cell r="E187" t="str">
            <v>TOC line</v>
          </cell>
          <cell r="F187" t="str">
            <v>变速器油冷管</v>
          </cell>
          <cell r="G187" t="str">
            <v>B</v>
          </cell>
          <cell r="H187" t="str">
            <v>PMT4</v>
          </cell>
          <cell r="I187" t="str">
            <v>PF</v>
          </cell>
          <cell r="J187" t="str">
            <v>JD8P</v>
          </cell>
          <cell r="K187" t="str">
            <v>7R081</v>
          </cell>
          <cell r="L187" t="str">
            <v>AA</v>
          </cell>
          <cell r="M187" t="str">
            <v>JD8P-7R081-AA</v>
          </cell>
          <cell r="N187" t="str">
            <v>TOC Line</v>
          </cell>
          <cell r="O187">
            <v>42741</v>
          </cell>
          <cell r="P187" t="str">
            <v>Long houjun</v>
          </cell>
          <cell r="Q187" t="str">
            <v>Yin yuxian</v>
          </cell>
          <cell r="X187">
            <v>1</v>
          </cell>
          <cell r="Z187">
            <v>1</v>
          </cell>
          <cell r="AA187">
            <v>0.19</v>
          </cell>
          <cell r="AC187">
            <v>-73.099999999999994</v>
          </cell>
          <cell r="AD187">
            <v>-1.62</v>
          </cell>
          <cell r="AE187">
            <v>-1.57</v>
          </cell>
          <cell r="AG187">
            <v>-0.71</v>
          </cell>
          <cell r="AH187">
            <v>-76.999999999999986</v>
          </cell>
          <cell r="AI187" t="str">
            <v>CNY</v>
          </cell>
          <cell r="AJ187" t="str">
            <v>LP</v>
          </cell>
          <cell r="AK187" t="str">
            <v xml:space="preserve">Hangzhou YOKOHAMA </v>
          </cell>
          <cell r="AO187">
            <v>7.9</v>
          </cell>
          <cell r="BB187">
            <v>-501837</v>
          </cell>
          <cell r="BC187">
            <v>-501837</v>
          </cell>
          <cell r="BE187">
            <v>-77736</v>
          </cell>
          <cell r="BF187">
            <v>109231</v>
          </cell>
        </row>
        <row r="188">
          <cell r="C188" t="str">
            <v>PT56</v>
          </cell>
          <cell r="D188" t="str">
            <v>-</v>
          </cell>
          <cell r="E188" t="str">
            <v>TOC line</v>
          </cell>
          <cell r="F188" t="str">
            <v>变速器油冷管</v>
          </cell>
          <cell r="G188" t="str">
            <v>B</v>
          </cell>
          <cell r="H188" t="str">
            <v>PMT4</v>
          </cell>
          <cell r="I188" t="str">
            <v>PF</v>
          </cell>
          <cell r="J188" t="str">
            <v>JD8P</v>
          </cell>
          <cell r="K188" t="str">
            <v>7A031</v>
          </cell>
          <cell r="L188" t="str">
            <v>BB</v>
          </cell>
          <cell r="M188" t="str">
            <v>JD8P-7A031-BB</v>
          </cell>
          <cell r="N188" t="str">
            <v>TOC Line</v>
          </cell>
          <cell r="O188">
            <v>42741</v>
          </cell>
          <cell r="P188" t="str">
            <v>Long houjun</v>
          </cell>
          <cell r="Q188" t="str">
            <v>Yin yuxian</v>
          </cell>
          <cell r="T188">
            <v>1</v>
          </cell>
          <cell r="V188">
            <v>1</v>
          </cell>
          <cell r="Y188">
            <v>1</v>
          </cell>
          <cell r="AA188">
            <v>0.44</v>
          </cell>
          <cell r="AC188">
            <v>-27.64</v>
          </cell>
          <cell r="AD188">
            <v>-1.1599999999999999</v>
          </cell>
          <cell r="AE188">
            <v>-2.09</v>
          </cell>
          <cell r="AG188">
            <v>-1.07</v>
          </cell>
          <cell r="AH188">
            <v>-31.96</v>
          </cell>
          <cell r="AI188" t="str">
            <v>CNY</v>
          </cell>
          <cell r="AJ188" t="str">
            <v>LP</v>
          </cell>
          <cell r="AK188" t="str">
            <v xml:space="preserve">Hangzhou YOKOHAMA </v>
          </cell>
          <cell r="AO188">
            <v>7.9</v>
          </cell>
          <cell r="BB188">
            <v>-142002</v>
          </cell>
          <cell r="BC188">
            <v>-142002</v>
          </cell>
          <cell r="BE188">
            <v>-269916</v>
          </cell>
          <cell r="BF188">
            <v>252956</v>
          </cell>
        </row>
        <row r="189">
          <cell r="C189" t="str">
            <v>CH048-1</v>
          </cell>
          <cell r="D189" t="str">
            <v>CH048-1</v>
          </cell>
          <cell r="E189" t="str">
            <v>Fuel Filler pipe（BJ6）</v>
          </cell>
          <cell r="F189" t="str">
            <v>加油管（京6）</v>
          </cell>
          <cell r="G189" t="str">
            <v>B</v>
          </cell>
          <cell r="H189" t="str">
            <v>PMT4</v>
          </cell>
          <cell r="I189" t="str">
            <v>PF</v>
          </cell>
          <cell r="J189" t="str">
            <v>JD8G</v>
          </cell>
          <cell r="K189">
            <v>9032</v>
          </cell>
          <cell r="L189" t="str">
            <v>BC</v>
          </cell>
          <cell r="M189" t="str">
            <v>JD8G-9032-BC</v>
          </cell>
          <cell r="N189" t="str">
            <v>Fuel filler pipe</v>
          </cell>
          <cell r="O189">
            <v>42713</v>
          </cell>
          <cell r="P189" t="str">
            <v>Lili</v>
          </cell>
          <cell r="Q189" t="str">
            <v>Xu hailong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0.72000000000000008</v>
          </cell>
          <cell r="AC189">
            <v>-143.19</v>
          </cell>
          <cell r="AD189">
            <v>-1.8</v>
          </cell>
          <cell r="AE189">
            <v>-2.2200000000000002</v>
          </cell>
          <cell r="AF189">
            <v>0</v>
          </cell>
          <cell r="AG189">
            <v>-8.3720428525900328</v>
          </cell>
          <cell r="AH189">
            <v>-155.58204285259004</v>
          </cell>
          <cell r="AI189" t="str">
            <v>CNY</v>
          </cell>
          <cell r="AJ189" t="str">
            <v>LP</v>
          </cell>
          <cell r="AK189" t="str">
            <v>Shanghai Martinrea</v>
          </cell>
          <cell r="AL189" t="str">
            <v>GNXVA</v>
          </cell>
          <cell r="AO189">
            <v>5</v>
          </cell>
          <cell r="BB189">
            <v>-1147671</v>
          </cell>
          <cell r="BC189">
            <v>-1147671</v>
          </cell>
          <cell r="BE189">
            <v>-341504</v>
          </cell>
          <cell r="BF189">
            <v>40791</v>
          </cell>
        </row>
        <row r="190">
          <cell r="C190" t="str">
            <v>E019</v>
          </cell>
          <cell r="D190" t="str">
            <v>-</v>
          </cell>
          <cell r="E190" t="str">
            <v>DCU</v>
          </cell>
          <cell r="F190" t="str">
            <v>门控模块</v>
          </cell>
          <cell r="G190" t="str">
            <v>B</v>
          </cell>
          <cell r="H190" t="str">
            <v>PMT5</v>
          </cell>
          <cell r="I190" t="str">
            <v>TH</v>
          </cell>
          <cell r="J190" t="str">
            <v>DG9T </v>
          </cell>
          <cell r="K190" t="str">
            <v>14B531</v>
          </cell>
          <cell r="L190" t="str">
            <v>EB </v>
          </cell>
          <cell r="M190" t="str">
            <v>DG9T -14B531-EB </v>
          </cell>
          <cell r="N190" t="str">
            <v>DCU</v>
          </cell>
          <cell r="O190">
            <v>42601</v>
          </cell>
          <cell r="P190" t="str">
            <v>Liu dawei</v>
          </cell>
          <cell r="Q190" t="str">
            <v>Zhang,ying</v>
          </cell>
          <cell r="Y190">
            <v>1</v>
          </cell>
          <cell r="Z190">
            <v>1</v>
          </cell>
          <cell r="AA190">
            <v>0.1</v>
          </cell>
          <cell r="AC190">
            <v>-72.819999999999993</v>
          </cell>
          <cell r="AD190">
            <v>-0.6</v>
          </cell>
          <cell r="AE190">
            <v>0</v>
          </cell>
          <cell r="AF190">
            <v>0</v>
          </cell>
          <cell r="AG190">
            <v>0</v>
          </cell>
          <cell r="AH190">
            <v>-73.419999999999987</v>
          </cell>
          <cell r="AI190" t="str">
            <v>CNY</v>
          </cell>
          <cell r="AJ190" t="str">
            <v>LP</v>
          </cell>
          <cell r="AK190" t="str">
            <v>Shanghai Kostal</v>
          </cell>
          <cell r="AL190" t="str">
            <v>ECBRA</v>
          </cell>
          <cell r="AO190">
            <v>1</v>
          </cell>
          <cell r="AP190">
            <v>0.03</v>
          </cell>
          <cell r="AQ190">
            <v>0.03</v>
          </cell>
          <cell r="AR190">
            <v>0.03</v>
          </cell>
        </row>
        <row r="191">
          <cell r="C191" t="str">
            <v>E019</v>
          </cell>
          <cell r="D191" t="str">
            <v>-</v>
          </cell>
          <cell r="E191" t="str">
            <v>DCU</v>
          </cell>
          <cell r="F191" t="str">
            <v>门控模块</v>
          </cell>
          <cell r="G191" t="str">
            <v>B</v>
          </cell>
          <cell r="H191" t="str">
            <v>PMT5</v>
          </cell>
          <cell r="I191" t="str">
            <v>TH</v>
          </cell>
          <cell r="J191" t="str">
            <v>DG9T </v>
          </cell>
          <cell r="K191" t="str">
            <v>14B533 </v>
          </cell>
          <cell r="L191" t="str">
            <v>EB </v>
          </cell>
          <cell r="M191" t="str">
            <v>DG9T -14B533 -EB </v>
          </cell>
          <cell r="N191" t="str">
            <v xml:space="preserve">DCU </v>
          </cell>
          <cell r="O191">
            <v>42601</v>
          </cell>
          <cell r="P191" t="str">
            <v>Liu dawei</v>
          </cell>
          <cell r="Q191" t="str">
            <v>Zhang,ying</v>
          </cell>
          <cell r="Y191">
            <v>1</v>
          </cell>
          <cell r="Z191">
            <v>1</v>
          </cell>
          <cell r="AA191">
            <v>0.1</v>
          </cell>
          <cell r="AC191">
            <v>-72.819999999999993</v>
          </cell>
          <cell r="AD191">
            <v>-0.6</v>
          </cell>
          <cell r="AE191">
            <v>0</v>
          </cell>
          <cell r="AF191">
            <v>0</v>
          </cell>
          <cell r="AG191">
            <v>0</v>
          </cell>
          <cell r="AH191">
            <v>-73.419999999999987</v>
          </cell>
          <cell r="AI191" t="str">
            <v>CNY</v>
          </cell>
          <cell r="AJ191" t="str">
            <v>LP</v>
          </cell>
          <cell r="AK191" t="str">
            <v>Shanghai Kostal</v>
          </cell>
          <cell r="AL191" t="str">
            <v>ECBRA</v>
          </cell>
          <cell r="AO191">
            <v>1</v>
          </cell>
          <cell r="AP191">
            <v>0.03</v>
          </cell>
          <cell r="AQ191">
            <v>0.03</v>
          </cell>
          <cell r="AR191">
            <v>0.03</v>
          </cell>
        </row>
        <row r="192">
          <cell r="C192" t="str">
            <v>E03</v>
          </cell>
          <cell r="D192" t="str">
            <v>-</v>
          </cell>
          <cell r="E192" t="str">
            <v>Instrument Cluster</v>
          </cell>
          <cell r="F192" t="str">
            <v>仪表</v>
          </cell>
          <cell r="G192" t="str">
            <v>B</v>
          </cell>
          <cell r="H192" t="str">
            <v>PMT5</v>
          </cell>
          <cell r="I192" t="str">
            <v>TH</v>
          </cell>
          <cell r="J192" t="str">
            <v>JD8T</v>
          </cell>
          <cell r="K192" t="str">
            <v>10849</v>
          </cell>
          <cell r="L192" t="str">
            <v>AC</v>
          </cell>
          <cell r="M192" t="str">
            <v>JD8T-10849-AC</v>
          </cell>
          <cell r="N192" t="str">
            <v>CLUS ASY INSTR</v>
          </cell>
          <cell r="O192">
            <v>42706</v>
          </cell>
          <cell r="P192" t="str">
            <v>Xiao Yili</v>
          </cell>
          <cell r="Q192" t="str">
            <v>Xu lilin</v>
          </cell>
          <cell r="S192">
            <v>1</v>
          </cell>
          <cell r="T192">
            <v>1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0.30000000000000004</v>
          </cell>
          <cell r="AC192">
            <v>-479.55999999999995</v>
          </cell>
          <cell r="AD192">
            <v>-15.23</v>
          </cell>
          <cell r="AE192">
            <v>0</v>
          </cell>
          <cell r="AF192">
            <v>0</v>
          </cell>
          <cell r="AG192">
            <v>-10.233555807193959</v>
          </cell>
          <cell r="AH192">
            <v>-505.02355580719393</v>
          </cell>
          <cell r="AI192" t="str">
            <v>CNY</v>
          </cell>
          <cell r="AJ192" t="str">
            <v>LP</v>
          </cell>
          <cell r="AK192" t="str">
            <v>Tianjin Denso</v>
          </cell>
          <cell r="AO192">
            <v>5</v>
          </cell>
          <cell r="AP192">
            <v>0.03</v>
          </cell>
          <cell r="AQ192">
            <v>0.03</v>
          </cell>
          <cell r="AR192">
            <v>0.03</v>
          </cell>
          <cell r="BB192">
            <v>0</v>
          </cell>
          <cell r="BC192">
            <v>0</v>
          </cell>
          <cell r="BE192">
            <v>-6641311</v>
          </cell>
          <cell r="BF192">
            <v>574899</v>
          </cell>
        </row>
        <row r="193">
          <cell r="C193" t="str">
            <v>E03</v>
          </cell>
          <cell r="D193" t="str">
            <v>E03</v>
          </cell>
          <cell r="E193" t="str">
            <v>Instrument Cluster</v>
          </cell>
          <cell r="F193" t="str">
            <v>仪表</v>
          </cell>
          <cell r="G193" t="str">
            <v>B</v>
          </cell>
          <cell r="H193" t="str">
            <v>PMT5</v>
          </cell>
          <cell r="I193" t="str">
            <v>TH</v>
          </cell>
          <cell r="J193" t="str">
            <v>JD8T</v>
          </cell>
          <cell r="K193" t="str">
            <v>10849</v>
          </cell>
          <cell r="L193" t="str">
            <v>BC</v>
          </cell>
          <cell r="M193" t="str">
            <v>JD8T-10849-BC</v>
          </cell>
          <cell r="N193" t="str">
            <v>CLUS ASY INSTR</v>
          </cell>
          <cell r="O193">
            <v>42706</v>
          </cell>
          <cell r="P193" t="str">
            <v>Xiao Yili</v>
          </cell>
          <cell r="Q193" t="str">
            <v>Xu lilin</v>
          </cell>
          <cell r="S193">
            <v>0</v>
          </cell>
          <cell r="T193">
            <v>0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0.70000000000000007</v>
          </cell>
          <cell r="AC193">
            <v>-484.61999999999995</v>
          </cell>
          <cell r="AD193">
            <v>-15.23</v>
          </cell>
          <cell r="AE193">
            <v>0</v>
          </cell>
          <cell r="AF193">
            <v>0</v>
          </cell>
          <cell r="AG193">
            <v>-10.233555807193959</v>
          </cell>
          <cell r="AH193">
            <v>-510.08355580719393</v>
          </cell>
          <cell r="AI193" t="str">
            <v>CNY</v>
          </cell>
          <cell r="AJ193" t="str">
            <v>LP</v>
          </cell>
          <cell r="AK193" t="str">
            <v>Tianjin Denso</v>
          </cell>
          <cell r="AO193">
            <v>5</v>
          </cell>
          <cell r="AP193">
            <v>0.03</v>
          </cell>
          <cell r="AQ193">
            <v>0.03</v>
          </cell>
          <cell r="AR193">
            <v>0.03</v>
          </cell>
          <cell r="BB193">
            <v>-3755508</v>
          </cell>
          <cell r="BC193">
            <v>-3755508</v>
          </cell>
          <cell r="BE193" t="str">
            <v>incl. in above</v>
          </cell>
        </row>
        <row r="194">
          <cell r="C194" t="str">
            <v>PT90</v>
          </cell>
          <cell r="D194" t="str">
            <v>-</v>
          </cell>
          <cell r="E194" t="str">
            <v>MT Transmission / 6MX65(Fox)</v>
          </cell>
          <cell r="F194" t="str">
            <v>手动变速箱6MX65(Fox)</v>
          </cell>
          <cell r="G194" t="str">
            <v>B</v>
          </cell>
          <cell r="H194" t="str">
            <v>PMT4</v>
          </cell>
          <cell r="I194" t="str">
            <v>PF</v>
          </cell>
          <cell r="J194" t="str">
            <v>JX6R</v>
          </cell>
          <cell r="K194">
            <v>7002</v>
          </cell>
          <cell r="L194" t="str">
            <v>ALB</v>
          </cell>
          <cell r="M194" t="str">
            <v>JX6R-7002-ALB</v>
          </cell>
          <cell r="N194" t="str">
            <v>6MX65 MT transmission</v>
          </cell>
          <cell r="O194">
            <v>42657</v>
          </cell>
          <cell r="P194" t="str">
            <v>Jia zhongqiang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0.09</v>
          </cell>
          <cell r="AC194">
            <v>-3041.2899999999995</v>
          </cell>
          <cell r="AD194">
            <v>-84</v>
          </cell>
          <cell r="AE194">
            <v>0</v>
          </cell>
          <cell r="AF194">
            <v>0</v>
          </cell>
          <cell r="AG194">
            <v>0</v>
          </cell>
          <cell r="AH194">
            <v>-3125.2899999999995</v>
          </cell>
          <cell r="AI194" t="str">
            <v>CNY</v>
          </cell>
          <cell r="AJ194" t="str">
            <v>LP</v>
          </cell>
          <cell r="AK194" t="str">
            <v>GJT</v>
          </cell>
          <cell r="AL194" t="str">
            <v>3564B</v>
          </cell>
          <cell r="AP194">
            <v>0.03</v>
          </cell>
          <cell r="AQ194">
            <v>0.03</v>
          </cell>
          <cell r="AR194">
            <v>0.03</v>
          </cell>
        </row>
        <row r="195">
          <cell r="C195" t="str">
            <v>PT90</v>
          </cell>
          <cell r="D195" t="str">
            <v>PT90</v>
          </cell>
          <cell r="E195" t="str">
            <v>MT Transmission / 6MX65(Dragon)</v>
          </cell>
          <cell r="F195" t="str">
            <v>手动变速箱6MX65(Dragon)</v>
          </cell>
          <cell r="G195" t="str">
            <v>B</v>
          </cell>
          <cell r="H195" t="str">
            <v>PMT4</v>
          </cell>
          <cell r="I195" t="str">
            <v>PF</v>
          </cell>
          <cell r="J195" t="str">
            <v>JX6R</v>
          </cell>
          <cell r="K195">
            <v>7002</v>
          </cell>
          <cell r="L195" t="str">
            <v>CLB</v>
          </cell>
          <cell r="M195" t="str">
            <v>JX6R-7002-CLB</v>
          </cell>
          <cell r="N195" t="str">
            <v>6MX65 MT transmission</v>
          </cell>
          <cell r="O195">
            <v>42657</v>
          </cell>
          <cell r="P195" t="str">
            <v>Jia zhongqiang</v>
          </cell>
          <cell r="S195">
            <v>1</v>
          </cell>
          <cell r="T195">
            <v>0</v>
          </cell>
          <cell r="U195">
            <v>1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0.28000000000000003</v>
          </cell>
          <cell r="AC195">
            <v>-3041.2899999999995</v>
          </cell>
          <cell r="AD195">
            <v>-84</v>
          </cell>
          <cell r="AE195">
            <v>0</v>
          </cell>
          <cell r="AF195">
            <v>0</v>
          </cell>
          <cell r="AG195">
            <v>0</v>
          </cell>
          <cell r="AH195">
            <v>-3125.2899999999995</v>
          </cell>
          <cell r="AI195" t="str">
            <v>CNY</v>
          </cell>
          <cell r="AJ195" t="str">
            <v>LP</v>
          </cell>
          <cell r="AK195" t="str">
            <v>GJT</v>
          </cell>
          <cell r="AL195" t="str">
            <v>3564B</v>
          </cell>
          <cell r="AP195">
            <v>0.03</v>
          </cell>
          <cell r="AQ195">
            <v>0.03</v>
          </cell>
          <cell r="AR195">
            <v>0.03</v>
          </cell>
        </row>
        <row r="196">
          <cell r="C196" t="str">
            <v>PT07-3</v>
          </cell>
          <cell r="D196" t="str">
            <v>-</v>
          </cell>
          <cell r="E196" t="str">
            <v>Clean duct</v>
          </cell>
          <cell r="F196" t="str">
            <v>进气管</v>
          </cell>
          <cell r="G196" t="str">
            <v>B</v>
          </cell>
          <cell r="H196" t="str">
            <v>PMT4</v>
          </cell>
          <cell r="I196" t="str">
            <v>PF</v>
          </cell>
          <cell r="J196" t="str">
            <v>JD8G</v>
          </cell>
          <cell r="K196" t="str">
            <v>9C623</v>
          </cell>
          <cell r="L196" t="str">
            <v>BC</v>
          </cell>
          <cell r="M196" t="str">
            <v>JD8G-9C623-BC</v>
          </cell>
          <cell r="N196" t="str">
            <v>Low Pressure Clean duct</v>
          </cell>
          <cell r="O196">
            <v>42713</v>
          </cell>
          <cell r="P196" t="str">
            <v>zhou siliang</v>
          </cell>
          <cell r="Q196" t="str">
            <v>Liang weihua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1</v>
          </cell>
          <cell r="X196">
            <v>1</v>
          </cell>
          <cell r="Y196">
            <v>0</v>
          </cell>
          <cell r="Z196">
            <v>1</v>
          </cell>
          <cell r="AA196">
            <v>0.28000000000000003</v>
          </cell>
          <cell r="AC196">
            <v>-70.27</v>
          </cell>
          <cell r="AD196">
            <v>-1.53</v>
          </cell>
          <cell r="AE196">
            <v>-0.89</v>
          </cell>
          <cell r="AF196">
            <v>0</v>
          </cell>
          <cell r="AG196">
            <v>-3.55</v>
          </cell>
          <cell r="AH196">
            <v>-76.239999999999995</v>
          </cell>
          <cell r="AI196" t="str">
            <v>CNY</v>
          </cell>
          <cell r="AJ196" t="str">
            <v>LP</v>
          </cell>
          <cell r="AK196" t="str">
            <v xml:space="preserve">M+H Chongqing </v>
          </cell>
          <cell r="AL196" t="str">
            <v>GW3FA</v>
          </cell>
          <cell r="AO196">
            <v>5</v>
          </cell>
          <cell r="AP196">
            <v>0.01</v>
          </cell>
          <cell r="AQ196">
            <v>0.01</v>
          </cell>
          <cell r="AR196">
            <v>0.01</v>
          </cell>
          <cell r="AW196">
            <v>7.0000000000000007E-2</v>
          </cell>
          <cell r="BB196">
            <v>-820000</v>
          </cell>
          <cell r="BC196">
            <v>-820000</v>
          </cell>
          <cell r="BE196">
            <v>-571954</v>
          </cell>
          <cell r="BF196">
            <v>160972</v>
          </cell>
        </row>
        <row r="197">
          <cell r="C197" t="str">
            <v>PT07-3</v>
          </cell>
          <cell r="D197" t="str">
            <v>-</v>
          </cell>
          <cell r="E197" t="str">
            <v>Clean duct</v>
          </cell>
          <cell r="F197" t="str">
            <v>进气管</v>
          </cell>
          <cell r="G197" t="str">
            <v>B</v>
          </cell>
          <cell r="H197" t="str">
            <v>PMT4</v>
          </cell>
          <cell r="I197" t="str">
            <v>PF</v>
          </cell>
          <cell r="J197" t="str">
            <v>JX61</v>
          </cell>
          <cell r="K197" t="str">
            <v>9C623</v>
          </cell>
          <cell r="L197" t="str">
            <v>FB</v>
          </cell>
          <cell r="M197" t="str">
            <v>JX61-9C623-FB</v>
          </cell>
          <cell r="N197" t="str">
            <v>Low Pressure Clean duct</v>
          </cell>
          <cell r="O197">
            <v>42713</v>
          </cell>
          <cell r="P197" t="str">
            <v>zhou siliang</v>
          </cell>
          <cell r="Q197" t="str">
            <v>Liang weihua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</v>
          </cell>
          <cell r="X197">
            <v>1</v>
          </cell>
          <cell r="Y197">
            <v>0</v>
          </cell>
          <cell r="Z197">
            <v>1</v>
          </cell>
          <cell r="AA197">
            <v>0.28000000000000003</v>
          </cell>
          <cell r="AC197">
            <v>-90.67</v>
          </cell>
          <cell r="AD197">
            <v>-3.13</v>
          </cell>
          <cell r="AE197">
            <v>-1.21</v>
          </cell>
          <cell r="AH197">
            <v>-95.009999999999991</v>
          </cell>
          <cell r="AI197" t="str">
            <v>CNY</v>
          </cell>
          <cell r="AJ197" t="str">
            <v>LP</v>
          </cell>
          <cell r="AK197" t="str">
            <v xml:space="preserve">M+H Chongqing </v>
          </cell>
          <cell r="AL197" t="str">
            <v>GW3FA</v>
          </cell>
          <cell r="AO197">
            <v>5</v>
          </cell>
          <cell r="AP197">
            <v>0.01</v>
          </cell>
          <cell r="AQ197">
            <v>0.01</v>
          </cell>
          <cell r="AR197">
            <v>0.01</v>
          </cell>
          <cell r="AW197">
            <v>7.0000000000000007E-2</v>
          </cell>
          <cell r="BB197">
            <v>-3369000</v>
          </cell>
          <cell r="BC197">
            <v>-3369000</v>
          </cell>
          <cell r="BE197">
            <v>0</v>
          </cell>
          <cell r="BF197">
            <v>0</v>
          </cell>
        </row>
        <row r="198">
          <cell r="C198" t="str">
            <v>PT07-3</v>
          </cell>
          <cell r="D198" t="str">
            <v>-</v>
          </cell>
          <cell r="E198" t="str">
            <v>HC Trap assembly(Dragon Stage 6)</v>
          </cell>
          <cell r="F198" t="str">
            <v>CH捕捉器 (Dragon Stage 6)</v>
          </cell>
          <cell r="G198" t="str">
            <v>B</v>
          </cell>
          <cell r="H198" t="str">
            <v>PMT4</v>
          </cell>
          <cell r="I198" t="str">
            <v>PF</v>
          </cell>
          <cell r="J198">
            <v>0</v>
          </cell>
          <cell r="K198">
            <v>0</v>
          </cell>
          <cell r="L198">
            <v>0</v>
          </cell>
          <cell r="M198" t="str">
            <v>0-0-0</v>
          </cell>
          <cell r="N198" t="str">
            <v xml:space="preserve">Low Pressure Clean duct  with HC Trap(Dragon Stage 6)   </v>
          </cell>
          <cell r="O198" t="str">
            <v>na</v>
          </cell>
          <cell r="P198" t="str">
            <v>zhou siliang</v>
          </cell>
          <cell r="Q198" t="str">
            <v>Liang weihua</v>
          </cell>
          <cell r="AA198">
            <v>0</v>
          </cell>
          <cell r="AC198">
            <v>-95.83</v>
          </cell>
          <cell r="AD198">
            <v>-3.13</v>
          </cell>
          <cell r="AE198">
            <v>-1.21</v>
          </cell>
          <cell r="AH198">
            <v>-100.16999999999999</v>
          </cell>
          <cell r="AI198" t="str">
            <v>CNY</v>
          </cell>
          <cell r="AJ198" t="str">
            <v>LP</v>
          </cell>
          <cell r="AK198" t="str">
            <v xml:space="preserve">M+H Chongqing </v>
          </cell>
          <cell r="AL198" t="str">
            <v>GW3FA</v>
          </cell>
          <cell r="AO198">
            <v>5</v>
          </cell>
          <cell r="BB198">
            <v>0</v>
          </cell>
          <cell r="BC198">
            <v>0</v>
          </cell>
          <cell r="BE198">
            <v>0</v>
          </cell>
          <cell r="BF198">
            <v>0</v>
          </cell>
        </row>
        <row r="199">
          <cell r="C199" t="str">
            <v>CH102</v>
          </cell>
          <cell r="D199" t="str">
            <v>CH102</v>
          </cell>
          <cell r="E199" t="str">
            <v>Brake Disc</v>
          </cell>
          <cell r="F199" t="str">
            <v>制动蝶</v>
          </cell>
          <cell r="G199" t="str">
            <v>D</v>
          </cell>
          <cell r="H199" t="str">
            <v>PMT3</v>
          </cell>
          <cell r="I199" t="str">
            <v>PF</v>
          </cell>
          <cell r="J199" t="str">
            <v>JD8C</v>
          </cell>
          <cell r="K199">
            <v>1125</v>
          </cell>
          <cell r="L199" t="str">
            <v>AA</v>
          </cell>
          <cell r="M199" t="str">
            <v>JD8C-1125-AA</v>
          </cell>
          <cell r="N199" t="str">
            <v>Fr.Brake Disc</v>
          </cell>
          <cell r="O199">
            <v>42655</v>
          </cell>
          <cell r="P199" t="str">
            <v>Cen junyu</v>
          </cell>
          <cell r="S199">
            <v>2</v>
          </cell>
          <cell r="T199">
            <v>2</v>
          </cell>
          <cell r="U199">
            <v>2</v>
          </cell>
          <cell r="V199">
            <v>2</v>
          </cell>
          <cell r="W199">
            <v>2</v>
          </cell>
          <cell r="X199">
            <v>2</v>
          </cell>
          <cell r="Y199">
            <v>2</v>
          </cell>
          <cell r="Z199">
            <v>2</v>
          </cell>
          <cell r="AA199">
            <v>2</v>
          </cell>
          <cell r="AC199">
            <v>-89.34</v>
          </cell>
          <cell r="AD199">
            <v>-0.98</v>
          </cell>
          <cell r="AE199">
            <v>-1.37</v>
          </cell>
          <cell r="AF199">
            <v>0</v>
          </cell>
          <cell r="AG199">
            <v>0</v>
          </cell>
          <cell r="AH199">
            <v>-91.690000000000012</v>
          </cell>
          <cell r="AI199" t="str">
            <v>CNY</v>
          </cell>
          <cell r="AJ199" t="str">
            <v>LP</v>
          </cell>
          <cell r="AK199" t="str">
            <v>CQ Shanyou</v>
          </cell>
          <cell r="AL199" t="str">
            <v>GL3MA</v>
          </cell>
          <cell r="AO199">
            <v>1</v>
          </cell>
          <cell r="AP199">
            <v>0.03</v>
          </cell>
          <cell r="AQ199">
            <v>0.03</v>
          </cell>
          <cell r="AR199">
            <v>0.03</v>
          </cell>
          <cell r="BB199">
            <v>0</v>
          </cell>
          <cell r="BC199">
            <v>0</v>
          </cell>
          <cell r="BE199">
            <v>0</v>
          </cell>
          <cell r="BF199">
            <v>0</v>
          </cell>
        </row>
        <row r="200">
          <cell r="C200" t="str">
            <v>CH102</v>
          </cell>
          <cell r="D200" t="str">
            <v>CH102</v>
          </cell>
          <cell r="E200" t="str">
            <v>Brake Disc</v>
          </cell>
          <cell r="F200" t="str">
            <v>制动蝶</v>
          </cell>
          <cell r="G200" t="str">
            <v>D</v>
          </cell>
          <cell r="H200" t="str">
            <v>PMT3</v>
          </cell>
          <cell r="I200" t="str">
            <v>PF</v>
          </cell>
          <cell r="J200" t="str">
            <v>JD8C</v>
          </cell>
          <cell r="K200" t="str">
            <v>2A315</v>
          </cell>
          <cell r="L200" t="str">
            <v>AA</v>
          </cell>
          <cell r="M200" t="str">
            <v>JD8C-2A315-AA</v>
          </cell>
          <cell r="N200" t="str">
            <v>Rr.Brake Disc</v>
          </cell>
          <cell r="O200">
            <v>42655</v>
          </cell>
          <cell r="P200" t="str">
            <v>Cen junyu</v>
          </cell>
          <cell r="S200">
            <v>2</v>
          </cell>
          <cell r="T200">
            <v>2</v>
          </cell>
          <cell r="U200">
            <v>2</v>
          </cell>
          <cell r="V200">
            <v>2</v>
          </cell>
          <cell r="W200">
            <v>2</v>
          </cell>
          <cell r="X200">
            <v>2</v>
          </cell>
          <cell r="Y200">
            <v>2</v>
          </cell>
          <cell r="Z200">
            <v>2</v>
          </cell>
          <cell r="AA200">
            <v>2</v>
          </cell>
          <cell r="AC200">
            <v>-69.177999999999997</v>
          </cell>
          <cell r="AD200">
            <v>-0.93</v>
          </cell>
          <cell r="AE200">
            <v>-1.06</v>
          </cell>
          <cell r="AF200">
            <v>0</v>
          </cell>
          <cell r="AG200">
            <v>0</v>
          </cell>
          <cell r="AH200">
            <v>-71.168000000000006</v>
          </cell>
          <cell r="AI200" t="str">
            <v>CNY</v>
          </cell>
          <cell r="AJ200" t="str">
            <v>LP</v>
          </cell>
          <cell r="AK200" t="str">
            <v>CQ Shanyou</v>
          </cell>
          <cell r="AL200" t="str">
            <v>GL3MA</v>
          </cell>
          <cell r="AO200">
            <v>1</v>
          </cell>
          <cell r="AP200">
            <v>0.03</v>
          </cell>
          <cell r="AQ200">
            <v>0.03</v>
          </cell>
          <cell r="AR200">
            <v>0.03</v>
          </cell>
          <cell r="BB200">
            <v>0</v>
          </cell>
          <cell r="BC200">
            <v>0</v>
          </cell>
          <cell r="BE200">
            <v>0</v>
          </cell>
          <cell r="BF200">
            <v>0</v>
          </cell>
        </row>
        <row r="201">
          <cell r="C201" t="str">
            <v>ET98</v>
          </cell>
          <cell r="D201" t="str">
            <v>ET98</v>
          </cell>
          <cell r="E201" t="str">
            <v>Rear closure chrome strip</v>
          </cell>
          <cell r="F201" t="str">
            <v>尾门饰条</v>
          </cell>
          <cell r="G201" t="str">
            <v>D</v>
          </cell>
          <cell r="H201" t="str">
            <v>PMT1</v>
          </cell>
          <cell r="I201" t="str">
            <v>TH</v>
          </cell>
          <cell r="J201" t="str">
            <v>JD8B</v>
          </cell>
          <cell r="K201" t="str">
            <v>F42509</v>
          </cell>
          <cell r="L201" t="str">
            <v>AD</v>
          </cell>
          <cell r="M201" t="str">
            <v>JD8B-F42509-AD</v>
          </cell>
          <cell r="N201" t="str">
            <v>deklid applique</v>
          </cell>
          <cell r="O201">
            <v>42704</v>
          </cell>
          <cell r="P201" t="str">
            <v>Jiang haitao</v>
          </cell>
          <cell r="Q201" t="str">
            <v>Jin zhengbin</v>
          </cell>
          <cell r="S201">
            <v>1</v>
          </cell>
          <cell r="T201">
            <v>1</v>
          </cell>
          <cell r="U201">
            <v>1</v>
          </cell>
          <cell r="V201">
            <v>1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  <cell r="AC201">
            <v>-47.57</v>
          </cell>
          <cell r="AD201">
            <v>-0.82</v>
          </cell>
          <cell r="AE201">
            <v>-1.1299999999999999</v>
          </cell>
          <cell r="AF201">
            <v>0</v>
          </cell>
          <cell r="AG201">
            <v>0</v>
          </cell>
          <cell r="AH201">
            <v>-49.52</v>
          </cell>
          <cell r="AI201" t="str">
            <v>CNY</v>
          </cell>
          <cell r="AJ201" t="str">
            <v>LP</v>
          </cell>
          <cell r="AK201" t="str">
            <v>Ning Bo zhongjun</v>
          </cell>
          <cell r="AL201" t="str">
            <v>GF7RA</v>
          </cell>
          <cell r="AO201">
            <v>1</v>
          </cell>
          <cell r="AP201">
            <v>0.03</v>
          </cell>
          <cell r="AQ201">
            <v>0.03</v>
          </cell>
          <cell r="AR201">
            <v>0.03</v>
          </cell>
          <cell r="BB201">
            <v>-1140000</v>
          </cell>
          <cell r="BC201">
            <v>-1140000</v>
          </cell>
          <cell r="BE201">
            <v>0</v>
          </cell>
          <cell r="BF201">
            <v>0</v>
          </cell>
        </row>
        <row r="202">
          <cell r="C202" t="str">
            <v>PT02-1</v>
          </cell>
          <cell r="D202" t="str">
            <v>-</v>
          </cell>
          <cell r="E202" t="str">
            <v xml:space="preserve">MT Shifter </v>
          </cell>
          <cell r="F202" t="str">
            <v>手动换档器</v>
          </cell>
          <cell r="G202" t="str">
            <v>B</v>
          </cell>
          <cell r="H202" t="str">
            <v>PMT4</v>
          </cell>
          <cell r="I202" t="str">
            <v>PF</v>
          </cell>
          <cell r="J202" t="str">
            <v>JD8R</v>
          </cell>
          <cell r="K202" t="str">
            <v>7C453</v>
          </cell>
          <cell r="L202" t="str">
            <v>BAB</v>
          </cell>
          <cell r="M202" t="str">
            <v>JD8R-7C453-BAB</v>
          </cell>
          <cell r="N202" t="str">
            <v xml:space="preserve">MT Shifter </v>
          </cell>
          <cell r="P202" t="str">
            <v>陈行(xchen136)</v>
          </cell>
          <cell r="Q202" t="str">
            <v>余愉(yyu33)</v>
          </cell>
          <cell r="S202">
            <v>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0.14000000000000001</v>
          </cell>
          <cell r="AC202">
            <v>-116.45</v>
          </cell>
          <cell r="AD202">
            <v>-1.8</v>
          </cell>
          <cell r="AE202">
            <v>-2.5099999999999998</v>
          </cell>
          <cell r="AF202">
            <v>0</v>
          </cell>
          <cell r="AG202">
            <v>0</v>
          </cell>
          <cell r="AH202">
            <v>-120.76</v>
          </cell>
          <cell r="AI202" t="str">
            <v>CNY</v>
          </cell>
          <cell r="AJ202" t="str">
            <v>LP</v>
          </cell>
          <cell r="AK202" t="str">
            <v>Shanghai ECS</v>
          </cell>
          <cell r="AL202" t="str">
            <v>GEBEA</v>
          </cell>
          <cell r="AO202">
            <v>3</v>
          </cell>
          <cell r="AP202">
            <v>0.02</v>
          </cell>
          <cell r="AQ202">
            <v>0.02</v>
          </cell>
          <cell r="AR202">
            <v>0.02</v>
          </cell>
          <cell r="BB202">
            <v>-1341400</v>
          </cell>
          <cell r="BC202">
            <v>-1341400</v>
          </cell>
          <cell r="BE202">
            <v>0</v>
          </cell>
          <cell r="BF202">
            <v>0</v>
          </cell>
        </row>
        <row r="203">
          <cell r="C203" t="str">
            <v>PT02-1</v>
          </cell>
          <cell r="D203" t="str">
            <v>PT02-1</v>
          </cell>
          <cell r="E203" t="str">
            <v xml:space="preserve">MT Shifter </v>
          </cell>
          <cell r="F203" t="str">
            <v>手动换档器</v>
          </cell>
          <cell r="G203" t="str">
            <v>B</v>
          </cell>
          <cell r="H203" t="str">
            <v>PMT4</v>
          </cell>
          <cell r="I203" t="str">
            <v>PF</v>
          </cell>
          <cell r="J203" t="str">
            <v>JD8R</v>
          </cell>
          <cell r="K203" t="str">
            <v>7C453</v>
          </cell>
          <cell r="L203" t="str">
            <v>BKB</v>
          </cell>
          <cell r="M203" t="str">
            <v>JD8R-7C453-BKB</v>
          </cell>
          <cell r="N203" t="str">
            <v xml:space="preserve">MT Shifter </v>
          </cell>
          <cell r="P203" t="str">
            <v>陈行(xchen136)</v>
          </cell>
          <cell r="Q203" t="str">
            <v>余愉(yyu33)</v>
          </cell>
          <cell r="S203">
            <v>0</v>
          </cell>
          <cell r="T203">
            <v>0</v>
          </cell>
          <cell r="U203">
            <v>1</v>
          </cell>
          <cell r="V203">
            <v>0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0.23</v>
          </cell>
          <cell r="AC203">
            <v>-128.06</v>
          </cell>
          <cell r="AD203">
            <v>-1.8</v>
          </cell>
          <cell r="AE203">
            <v>-2.62</v>
          </cell>
          <cell r="AF203">
            <v>0</v>
          </cell>
          <cell r="AG203">
            <v>0</v>
          </cell>
          <cell r="AH203">
            <v>-132.48000000000002</v>
          </cell>
          <cell r="AI203" t="str">
            <v>CNY</v>
          </cell>
          <cell r="AJ203" t="str">
            <v>LP</v>
          </cell>
          <cell r="AK203" t="str">
            <v>Shanghai ECS</v>
          </cell>
          <cell r="AL203" t="str">
            <v>EXGTA</v>
          </cell>
          <cell r="AO203">
            <v>3</v>
          </cell>
          <cell r="AP203">
            <v>0.02</v>
          </cell>
          <cell r="AQ203">
            <v>0.02</v>
          </cell>
          <cell r="AR203">
            <v>0.02</v>
          </cell>
          <cell r="BB203">
            <v>-60000</v>
          </cell>
          <cell r="BC203">
            <v>-60000</v>
          </cell>
          <cell r="BE203">
            <v>0</v>
          </cell>
          <cell r="BF203">
            <v>0</v>
          </cell>
        </row>
        <row r="204">
          <cell r="C204" t="str">
            <v>E04</v>
          </cell>
          <cell r="D204" t="str">
            <v>-</v>
          </cell>
          <cell r="E204" t="str">
            <v>Ambient Lighting</v>
          </cell>
          <cell r="F204" t="str">
            <v>环境灯</v>
          </cell>
          <cell r="G204" t="str">
            <v>D</v>
          </cell>
          <cell r="H204" t="str">
            <v>PMT2</v>
          </cell>
          <cell r="I204" t="str">
            <v>TH</v>
          </cell>
          <cell r="J204" t="str">
            <v>JD8B</v>
          </cell>
          <cell r="K204" t="str">
            <v>13E720</v>
          </cell>
          <cell r="L204" t="str">
            <v>AA</v>
          </cell>
          <cell r="M204" t="str">
            <v>JD8B-13E720-AA</v>
          </cell>
          <cell r="N204" t="str">
            <v xml:space="preserve">Front footwell lighting </v>
          </cell>
          <cell r="O204">
            <v>42690</v>
          </cell>
          <cell r="P204" t="str">
            <v>Luo,zhoudi</v>
          </cell>
          <cell r="Q204" t="str">
            <v>Yuxiaoxing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4</v>
          </cell>
          <cell r="Z204">
            <v>4</v>
          </cell>
          <cell r="AA204">
            <v>0.4</v>
          </cell>
          <cell r="AC204">
            <v>-10.119999999999999</v>
          </cell>
          <cell r="AD204">
            <v>-0.1</v>
          </cell>
          <cell r="AE204">
            <v>-0.52</v>
          </cell>
          <cell r="AF204">
            <v>0</v>
          </cell>
          <cell r="AG204">
            <v>0</v>
          </cell>
          <cell r="AH204">
            <v>-10.739999999999998</v>
          </cell>
          <cell r="AI204" t="str">
            <v>CNY</v>
          </cell>
          <cell r="AJ204" t="str">
            <v>LP</v>
          </cell>
          <cell r="AK204" t="str">
            <v>SZ Flextronics</v>
          </cell>
          <cell r="AL204" t="str">
            <v>GSMSA</v>
          </cell>
          <cell r="AO204">
            <v>4</v>
          </cell>
          <cell r="BB204">
            <v>-199098</v>
          </cell>
          <cell r="BC204">
            <v>-199098</v>
          </cell>
          <cell r="BE204">
            <v>0</v>
          </cell>
          <cell r="BF204">
            <v>0</v>
          </cell>
        </row>
        <row r="205">
          <cell r="C205" t="str">
            <v>E04</v>
          </cell>
          <cell r="D205" t="str">
            <v>-</v>
          </cell>
          <cell r="E205" t="str">
            <v>Ambient Lighting</v>
          </cell>
          <cell r="F205" t="str">
            <v>环境灯</v>
          </cell>
          <cell r="G205" t="str">
            <v>D</v>
          </cell>
          <cell r="H205" t="str">
            <v>PMT2</v>
          </cell>
          <cell r="I205" t="str">
            <v>TH</v>
          </cell>
          <cell r="J205" t="str">
            <v>JD8B</v>
          </cell>
          <cell r="K205" t="str">
            <v>14E078</v>
          </cell>
          <cell r="L205" t="str">
            <v>AB</v>
          </cell>
          <cell r="M205" t="str">
            <v>JD8B-14E078-AB</v>
          </cell>
          <cell r="N205" t="str">
            <v xml:space="preserve">Console Cupholder Lighting </v>
          </cell>
          <cell r="O205">
            <v>42690</v>
          </cell>
          <cell r="P205" t="str">
            <v>Luo,zhoudi</v>
          </cell>
          <cell r="Q205" t="str">
            <v>Yuxiaoxing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1</v>
          </cell>
          <cell r="Z205">
            <v>1</v>
          </cell>
          <cell r="AA205">
            <v>0.1</v>
          </cell>
          <cell r="AC205">
            <v>-36.020000000000003</v>
          </cell>
          <cell r="AD205">
            <v>-0.88</v>
          </cell>
          <cell r="AE205">
            <v>-3.24</v>
          </cell>
          <cell r="AF205">
            <v>0</v>
          </cell>
          <cell r="AG205">
            <v>0</v>
          </cell>
          <cell r="AH205">
            <v>-40.140000000000008</v>
          </cell>
          <cell r="AI205" t="str">
            <v>CNY</v>
          </cell>
          <cell r="AJ205" t="str">
            <v>LP</v>
          </cell>
          <cell r="AK205" t="str">
            <v>SZ Flextronics</v>
          </cell>
          <cell r="AL205" t="str">
            <v>GSMSA</v>
          </cell>
          <cell r="AO205">
            <v>4</v>
          </cell>
          <cell r="BB205">
            <v>-402160</v>
          </cell>
          <cell r="BC205">
            <v>-402160</v>
          </cell>
          <cell r="BE205">
            <v>0</v>
          </cell>
          <cell r="BF205">
            <v>0</v>
          </cell>
        </row>
        <row r="206">
          <cell r="C206" t="str">
            <v>E04</v>
          </cell>
          <cell r="D206" t="str">
            <v>-</v>
          </cell>
          <cell r="E206" t="str">
            <v>Ambient Lighting</v>
          </cell>
          <cell r="F206" t="str">
            <v>环境灯</v>
          </cell>
          <cell r="G206" t="str">
            <v>D</v>
          </cell>
          <cell r="H206" t="str">
            <v>PMT2</v>
          </cell>
          <cell r="I206" t="str">
            <v>TH</v>
          </cell>
          <cell r="J206" t="str">
            <v>JD8B</v>
          </cell>
          <cell r="K206" t="str">
            <v>13E721</v>
          </cell>
          <cell r="L206" t="str">
            <v>AA</v>
          </cell>
          <cell r="M206" t="str">
            <v>JD8B-13E721-AA</v>
          </cell>
          <cell r="N206" t="str">
            <v xml:space="preserve">Front footwell lighting </v>
          </cell>
          <cell r="O206">
            <v>42690</v>
          </cell>
          <cell r="P206" t="str">
            <v>Luo,zhoudi</v>
          </cell>
          <cell r="Q206" t="str">
            <v>Yuxiaoxing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>CNY</v>
          </cell>
          <cell r="AJ206" t="str">
            <v>LP</v>
          </cell>
          <cell r="AK206" t="str">
            <v>SZ Flextronics</v>
          </cell>
          <cell r="AL206" t="str">
            <v>GSMSA</v>
          </cell>
          <cell r="AO206">
            <v>4</v>
          </cell>
          <cell r="BB206">
            <v>0</v>
          </cell>
          <cell r="BC206">
            <v>0</v>
          </cell>
          <cell r="BE206">
            <v>0</v>
          </cell>
          <cell r="BF206">
            <v>0</v>
          </cell>
        </row>
        <row r="207">
          <cell r="C207" t="str">
            <v>E04</v>
          </cell>
          <cell r="D207" t="str">
            <v>-</v>
          </cell>
          <cell r="E207" t="str">
            <v>Ambient Lighting</v>
          </cell>
          <cell r="F207" t="str">
            <v>环境灯</v>
          </cell>
          <cell r="G207" t="str">
            <v>D</v>
          </cell>
          <cell r="H207" t="str">
            <v>PMT2</v>
          </cell>
          <cell r="I207" t="str">
            <v>TH</v>
          </cell>
          <cell r="J207" t="str">
            <v>JD8B</v>
          </cell>
          <cell r="K207" t="str">
            <v>13E736</v>
          </cell>
          <cell r="L207" t="str">
            <v>AA</v>
          </cell>
          <cell r="M207" t="str">
            <v>JD8B-13E736-AA</v>
          </cell>
          <cell r="N207" t="str">
            <v xml:space="preserve">Rear footwell lighting </v>
          </cell>
          <cell r="O207">
            <v>42690</v>
          </cell>
          <cell r="P207" t="str">
            <v>Luo,zhoudi</v>
          </cell>
          <cell r="Q207" t="str">
            <v>Yuxiaoxing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>CNY</v>
          </cell>
          <cell r="AJ207" t="str">
            <v>LP</v>
          </cell>
          <cell r="AK207" t="str">
            <v>SZ Flextronics</v>
          </cell>
          <cell r="AL207" t="str">
            <v>GSMSA</v>
          </cell>
          <cell r="AO207">
            <v>4</v>
          </cell>
          <cell r="BB207">
            <v>0</v>
          </cell>
          <cell r="BC207">
            <v>0</v>
          </cell>
          <cell r="BE207">
            <v>0</v>
          </cell>
          <cell r="BF207">
            <v>0</v>
          </cell>
        </row>
        <row r="208">
          <cell r="C208" t="str">
            <v>E04</v>
          </cell>
          <cell r="D208" t="str">
            <v>-</v>
          </cell>
          <cell r="E208" t="str">
            <v>Ambient Lighting</v>
          </cell>
          <cell r="F208" t="str">
            <v>环境灯</v>
          </cell>
          <cell r="G208" t="str">
            <v>D</v>
          </cell>
          <cell r="H208" t="str">
            <v>PMT2</v>
          </cell>
          <cell r="I208" t="str">
            <v>TH</v>
          </cell>
          <cell r="J208" t="str">
            <v>JD8B</v>
          </cell>
          <cell r="K208" t="str">
            <v>13E737</v>
          </cell>
          <cell r="L208" t="str">
            <v>AA</v>
          </cell>
          <cell r="M208" t="str">
            <v>JD8B-13E737-AA</v>
          </cell>
          <cell r="N208" t="str">
            <v xml:space="preserve">Rear footwell lighting </v>
          </cell>
          <cell r="O208">
            <v>42690</v>
          </cell>
          <cell r="P208" t="str">
            <v>Luo,zhoudi</v>
          </cell>
          <cell r="Q208" t="str">
            <v>Yuxiaoxing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>CNY</v>
          </cell>
          <cell r="AJ208" t="str">
            <v>LP</v>
          </cell>
          <cell r="AK208" t="str">
            <v>SZ Flextronics</v>
          </cell>
          <cell r="AL208" t="str">
            <v>GSMSA</v>
          </cell>
          <cell r="AO208">
            <v>4</v>
          </cell>
          <cell r="BB208">
            <v>0</v>
          </cell>
          <cell r="BC208">
            <v>0</v>
          </cell>
          <cell r="BE208">
            <v>0</v>
          </cell>
          <cell r="BF208">
            <v>0</v>
          </cell>
        </row>
        <row r="209">
          <cell r="C209" t="str">
            <v>ET24</v>
          </cell>
          <cell r="D209" t="str">
            <v>ET24</v>
          </cell>
          <cell r="E209" t="str">
            <v>AGS</v>
          </cell>
          <cell r="F209" t="str">
            <v>进气控制装置</v>
          </cell>
          <cell r="G209" t="str">
            <v>B</v>
          </cell>
          <cell r="H209" t="str">
            <v>PMT1</v>
          </cell>
          <cell r="I209" t="str">
            <v>TH</v>
          </cell>
          <cell r="J209" t="str">
            <v>JD8B</v>
          </cell>
          <cell r="K209">
            <v>8312</v>
          </cell>
          <cell r="L209" t="str">
            <v>AC</v>
          </cell>
          <cell r="M209" t="str">
            <v>JD8B-8312-AC</v>
          </cell>
          <cell r="N209" t="str">
            <v>Active Grill Shutte</v>
          </cell>
          <cell r="O209">
            <v>42706</v>
          </cell>
          <cell r="P209" t="str">
            <v>Yang,ting</v>
          </cell>
          <cell r="Q209" t="str">
            <v>Deng,shaoxiang</v>
          </cell>
          <cell r="S209">
            <v>1</v>
          </cell>
          <cell r="T209">
            <v>1</v>
          </cell>
          <cell r="U209">
            <v>1</v>
          </cell>
          <cell r="V209">
            <v>1</v>
          </cell>
          <cell r="W209">
            <v>1</v>
          </cell>
          <cell r="X209">
            <v>1</v>
          </cell>
          <cell r="Y209">
            <v>1</v>
          </cell>
          <cell r="Z209">
            <v>1</v>
          </cell>
          <cell r="AA209">
            <v>1</v>
          </cell>
          <cell r="AC209">
            <v>-27.3</v>
          </cell>
          <cell r="AD209">
            <v>-1.34</v>
          </cell>
          <cell r="AE209">
            <v>-3.08</v>
          </cell>
          <cell r="AF209">
            <v>0</v>
          </cell>
          <cell r="AG209">
            <v>0</v>
          </cell>
          <cell r="AH209">
            <v>-31.72</v>
          </cell>
          <cell r="AI209" t="str">
            <v>CNY</v>
          </cell>
          <cell r="AJ209" t="str">
            <v>LP</v>
          </cell>
          <cell r="AK209" t="str">
            <v>Cheng Du Rochling</v>
          </cell>
          <cell r="AL209" t="str">
            <v>ENR5B</v>
          </cell>
          <cell r="AO209">
            <v>2.88</v>
          </cell>
          <cell r="BB209">
            <v>-1776500</v>
          </cell>
          <cell r="BC209">
            <v>-1776500</v>
          </cell>
          <cell r="BE209">
            <v>0</v>
          </cell>
          <cell r="BF209">
            <v>0</v>
          </cell>
        </row>
        <row r="210">
          <cell r="C210" t="str">
            <v>ET24</v>
          </cell>
          <cell r="D210" t="str">
            <v>ET24</v>
          </cell>
          <cell r="E210" t="str">
            <v>AGS</v>
          </cell>
          <cell r="F210" t="str">
            <v>进气控制装置</v>
          </cell>
          <cell r="G210" t="str">
            <v>B</v>
          </cell>
          <cell r="H210" t="str">
            <v>PMT1</v>
          </cell>
          <cell r="I210" t="str">
            <v>TH</v>
          </cell>
          <cell r="J210" t="str">
            <v>JD8B</v>
          </cell>
          <cell r="K210">
            <v>8314</v>
          </cell>
          <cell r="L210" t="str">
            <v>AC</v>
          </cell>
          <cell r="M210" t="str">
            <v>JD8B-8314-AC</v>
          </cell>
          <cell r="N210" t="str">
            <v>Active Grill Shutte</v>
          </cell>
          <cell r="O210">
            <v>42706</v>
          </cell>
          <cell r="P210" t="str">
            <v>Yang,ting</v>
          </cell>
          <cell r="Q210" t="str">
            <v>Deng,shaoxiang</v>
          </cell>
          <cell r="S210">
            <v>1</v>
          </cell>
          <cell r="T210">
            <v>1</v>
          </cell>
          <cell r="U210">
            <v>1</v>
          </cell>
          <cell r="V210">
            <v>1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0.72000000000000008</v>
          </cell>
          <cell r="AC210">
            <v>-26.29</v>
          </cell>
          <cell r="AD210">
            <v>-1.98</v>
          </cell>
          <cell r="AE210">
            <v>-4.53</v>
          </cell>
          <cell r="AF210">
            <v>0</v>
          </cell>
          <cell r="AG210">
            <v>0</v>
          </cell>
          <cell r="AH210">
            <v>-32.799999999999997</v>
          </cell>
          <cell r="AI210" t="str">
            <v>CNY</v>
          </cell>
          <cell r="AJ210" t="str">
            <v>LP</v>
          </cell>
          <cell r="AK210" t="str">
            <v>Cheng Du Rochling</v>
          </cell>
          <cell r="AL210" t="str">
            <v>ENR5B</v>
          </cell>
          <cell r="AO210">
            <v>2.88</v>
          </cell>
          <cell r="BB210">
            <v>-1749000</v>
          </cell>
          <cell r="BC210">
            <v>-1749000</v>
          </cell>
          <cell r="BE210">
            <v>0</v>
          </cell>
          <cell r="BF210">
            <v>0</v>
          </cell>
        </row>
        <row r="211">
          <cell r="C211" t="str">
            <v>ET24</v>
          </cell>
          <cell r="D211" t="str">
            <v>-</v>
          </cell>
          <cell r="E211" t="str">
            <v>AGS</v>
          </cell>
          <cell r="F211" t="str">
            <v>进气控制装置</v>
          </cell>
          <cell r="G211" t="str">
            <v>B</v>
          </cell>
          <cell r="H211" t="str">
            <v>PMT1</v>
          </cell>
          <cell r="I211" t="str">
            <v>TH</v>
          </cell>
          <cell r="J211" t="str">
            <v>JD8B</v>
          </cell>
          <cell r="K211">
            <v>8314</v>
          </cell>
          <cell r="L211" t="str">
            <v>BC</v>
          </cell>
          <cell r="M211" t="str">
            <v>JD8B-8314-BC</v>
          </cell>
          <cell r="N211" t="str">
            <v>Active Grill Shutte</v>
          </cell>
          <cell r="O211">
            <v>42706</v>
          </cell>
          <cell r="P211" t="str">
            <v>Yang,ting</v>
          </cell>
          <cell r="Q211" t="str">
            <v>Deng,shaoxiang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</v>
          </cell>
          <cell r="X211">
            <v>1</v>
          </cell>
          <cell r="Y211">
            <v>0</v>
          </cell>
          <cell r="Z211">
            <v>1</v>
          </cell>
          <cell r="AA211">
            <v>0.28000000000000003</v>
          </cell>
          <cell r="AC211">
            <v>-26.45</v>
          </cell>
          <cell r="AD211">
            <v>-1.43</v>
          </cell>
          <cell r="AE211">
            <v>-3.53</v>
          </cell>
          <cell r="AF211">
            <v>0</v>
          </cell>
          <cell r="AG211">
            <v>0</v>
          </cell>
          <cell r="AH211">
            <v>-31.41</v>
          </cell>
          <cell r="AI211" t="str">
            <v>CNY</v>
          </cell>
          <cell r="AJ211" t="str">
            <v>LP</v>
          </cell>
          <cell r="AK211" t="str">
            <v>Cheng Du Rochling</v>
          </cell>
          <cell r="AL211" t="str">
            <v>ENR5B</v>
          </cell>
          <cell r="AO211">
            <v>2.88</v>
          </cell>
          <cell r="BB211">
            <v>-1784000</v>
          </cell>
          <cell r="BC211">
            <v>-1784000</v>
          </cell>
          <cell r="BE211">
            <v>0</v>
          </cell>
          <cell r="BF211">
            <v>0</v>
          </cell>
        </row>
        <row r="212">
          <cell r="C212" t="str">
            <v>ET24</v>
          </cell>
          <cell r="D212" t="str">
            <v>-</v>
          </cell>
          <cell r="E212" t="str">
            <v>AGS</v>
          </cell>
          <cell r="F212" t="str">
            <v>进气控制装置</v>
          </cell>
          <cell r="G212" t="str">
            <v>B</v>
          </cell>
          <cell r="H212" t="str">
            <v>PMT1</v>
          </cell>
          <cell r="I212" t="str">
            <v>TH</v>
          </cell>
          <cell r="J212" t="str">
            <v>JD8B</v>
          </cell>
          <cell r="K212">
            <v>8475</v>
          </cell>
          <cell r="L212" t="str">
            <v>AC</v>
          </cell>
          <cell r="M212" t="str">
            <v>JD8B-8475-AC</v>
          </cell>
          <cell r="N212" t="str">
            <v>Active Grill Shutte</v>
          </cell>
          <cell r="O212">
            <v>42706</v>
          </cell>
          <cell r="P212" t="str">
            <v>Yang,ting</v>
          </cell>
          <cell r="Q212" t="str">
            <v>Deng,shaoxiang</v>
          </cell>
          <cell r="S212">
            <v>0</v>
          </cell>
          <cell r="T212">
            <v>1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1</v>
          </cell>
          <cell r="Z212">
            <v>0</v>
          </cell>
          <cell r="AA212">
            <v>0.44</v>
          </cell>
          <cell r="AC212">
            <v>-155.43</v>
          </cell>
          <cell r="AD212">
            <v>-3.52</v>
          </cell>
          <cell r="AE212">
            <v>-5.78</v>
          </cell>
          <cell r="AF212">
            <v>0</v>
          </cell>
          <cell r="AG212">
            <v>-6.75</v>
          </cell>
          <cell r="AH212">
            <v>-171.48000000000002</v>
          </cell>
          <cell r="AI212" t="str">
            <v>CNY</v>
          </cell>
          <cell r="AJ212" t="str">
            <v>LP</v>
          </cell>
          <cell r="AK212" t="str">
            <v>Cheng Du Rochling</v>
          </cell>
          <cell r="AL212" t="str">
            <v>ENR5B</v>
          </cell>
          <cell r="AO212">
            <v>2.88</v>
          </cell>
          <cell r="BB212">
            <v>-5805000</v>
          </cell>
          <cell r="BC212">
            <v>-5805000</v>
          </cell>
          <cell r="BE212">
            <v>-1706360</v>
          </cell>
          <cell r="BF212">
            <v>-252956</v>
          </cell>
        </row>
        <row r="213">
          <cell r="C213" t="str">
            <v>ET24</v>
          </cell>
          <cell r="D213" t="str">
            <v>-</v>
          </cell>
          <cell r="E213" t="str">
            <v>AGS</v>
          </cell>
          <cell r="F213" t="str">
            <v>进气控制装置</v>
          </cell>
          <cell r="G213" t="str">
            <v>B</v>
          </cell>
          <cell r="H213" t="str">
            <v>PMT1</v>
          </cell>
          <cell r="I213" t="str">
            <v>TH</v>
          </cell>
          <cell r="J213" t="str">
            <v>JD8B</v>
          </cell>
          <cell r="K213">
            <v>8475</v>
          </cell>
          <cell r="L213" t="str">
            <v>BC</v>
          </cell>
          <cell r="M213" t="str">
            <v>JD8B-8475-BC</v>
          </cell>
          <cell r="N213" t="str">
            <v>Active Grill Shutte</v>
          </cell>
          <cell r="O213">
            <v>42706</v>
          </cell>
          <cell r="P213" t="str">
            <v>Yang,ting</v>
          </cell>
          <cell r="Q213" t="str">
            <v>Deng,shaoxiang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</v>
          </cell>
          <cell r="Y213">
            <v>0</v>
          </cell>
          <cell r="Z213">
            <v>1</v>
          </cell>
          <cell r="AA213">
            <v>0.28000000000000003</v>
          </cell>
          <cell r="AC213">
            <v>-152.13999999999999</v>
          </cell>
          <cell r="AD213">
            <v>-3.52</v>
          </cell>
          <cell r="AE213">
            <v>-5.78</v>
          </cell>
          <cell r="AF213">
            <v>0</v>
          </cell>
          <cell r="AG213">
            <v>-4.6900000000000004</v>
          </cell>
          <cell r="AH213">
            <v>-166.13</v>
          </cell>
          <cell r="AI213" t="str">
            <v>CNY</v>
          </cell>
          <cell r="AJ213" t="str">
            <v>LP</v>
          </cell>
          <cell r="AK213" t="str">
            <v>Cheng Du Rochling</v>
          </cell>
          <cell r="AL213" t="str">
            <v>ENR5B</v>
          </cell>
          <cell r="AO213">
            <v>2.88</v>
          </cell>
          <cell r="BB213">
            <v>-5605000</v>
          </cell>
          <cell r="BC213">
            <v>-5605000</v>
          </cell>
          <cell r="BE213">
            <v>-754233</v>
          </cell>
          <cell r="BF213">
            <v>-160972</v>
          </cell>
        </row>
        <row r="214">
          <cell r="C214" t="str">
            <v>ET24</v>
          </cell>
          <cell r="D214" t="str">
            <v>ET24</v>
          </cell>
          <cell r="E214" t="str">
            <v>AGS</v>
          </cell>
          <cell r="F214" t="str">
            <v>进气控制装置</v>
          </cell>
          <cell r="G214" t="str">
            <v>B</v>
          </cell>
          <cell r="H214" t="str">
            <v>PMT1</v>
          </cell>
          <cell r="I214" t="str">
            <v>TH</v>
          </cell>
          <cell r="J214" t="str">
            <v>JD8B</v>
          </cell>
          <cell r="K214">
            <v>8475</v>
          </cell>
          <cell r="L214" t="str">
            <v>CC</v>
          </cell>
          <cell r="M214" t="str">
            <v>JD8B-8475-CC</v>
          </cell>
          <cell r="N214" t="str">
            <v>Active Grill Shutte</v>
          </cell>
          <cell r="O214">
            <v>42706</v>
          </cell>
          <cell r="P214" t="str">
            <v>Yang,ting</v>
          </cell>
          <cell r="Q214" t="str">
            <v>Deng,shaoxiang</v>
          </cell>
          <cell r="S214">
            <v>1</v>
          </cell>
          <cell r="T214">
            <v>0</v>
          </cell>
          <cell r="U214">
            <v>1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0.28000000000000003</v>
          </cell>
          <cell r="AC214">
            <v>-161.25</v>
          </cell>
          <cell r="AD214">
            <v>-3.52</v>
          </cell>
          <cell r="AE214">
            <v>-5.78</v>
          </cell>
          <cell r="AF214">
            <v>0</v>
          </cell>
          <cell r="AG214">
            <v>0</v>
          </cell>
          <cell r="AH214">
            <v>-170.55</v>
          </cell>
          <cell r="AI214" t="str">
            <v>CNY</v>
          </cell>
          <cell r="AJ214" t="str">
            <v>LP</v>
          </cell>
          <cell r="AK214" t="str">
            <v>Cheng Du Rochling</v>
          </cell>
          <cell r="AL214" t="str">
            <v>ENR5B</v>
          </cell>
          <cell r="AO214">
            <v>2.88</v>
          </cell>
          <cell r="BB214">
            <v>-445000</v>
          </cell>
          <cell r="BC214">
            <v>-445000</v>
          </cell>
          <cell r="BE214">
            <v>0</v>
          </cell>
          <cell r="BF214">
            <v>0</v>
          </cell>
        </row>
        <row r="215">
          <cell r="C215" t="str">
            <v>ET24</v>
          </cell>
          <cell r="D215" t="str">
            <v>-</v>
          </cell>
          <cell r="E215" t="str">
            <v>AGS</v>
          </cell>
          <cell r="F215" t="str">
            <v>进气控制装置</v>
          </cell>
          <cell r="G215" t="str">
            <v>B</v>
          </cell>
          <cell r="H215" t="str">
            <v>PMT1</v>
          </cell>
          <cell r="I215" t="str">
            <v>TH</v>
          </cell>
          <cell r="J215" t="str">
            <v>JD8B</v>
          </cell>
          <cell r="K215">
            <v>8121</v>
          </cell>
          <cell r="L215" t="str">
            <v>AB</v>
          </cell>
          <cell r="M215" t="str">
            <v>JD8B-8121-AB</v>
          </cell>
          <cell r="N215" t="str">
            <v>Active Grill Shutte</v>
          </cell>
          <cell r="O215">
            <v>42706</v>
          </cell>
          <cell r="P215" t="str">
            <v>Yang,ting</v>
          </cell>
          <cell r="Q215" t="str">
            <v>Deng,shaoxiang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1</v>
          </cell>
          <cell r="X215">
            <v>1</v>
          </cell>
          <cell r="Y215">
            <v>0</v>
          </cell>
          <cell r="Z215">
            <v>1</v>
          </cell>
          <cell r="AA215">
            <v>0.28000000000000003</v>
          </cell>
          <cell r="AC215">
            <v>-12.91</v>
          </cell>
          <cell r="AD215">
            <v>-0.28000000000000003</v>
          </cell>
          <cell r="AE215">
            <v>-0.7</v>
          </cell>
          <cell r="AF215">
            <v>0</v>
          </cell>
          <cell r="AG215">
            <v>0</v>
          </cell>
          <cell r="AH215">
            <v>-13.889999999999999</v>
          </cell>
          <cell r="AI215" t="str">
            <v>CNY</v>
          </cell>
          <cell r="AJ215" t="str">
            <v>LP</v>
          </cell>
          <cell r="AK215" t="str">
            <v>Cheng Du Rochling</v>
          </cell>
          <cell r="AL215" t="str">
            <v>ENR5B</v>
          </cell>
          <cell r="AO215">
            <v>2.88</v>
          </cell>
          <cell r="BB215">
            <v>-821300</v>
          </cell>
          <cell r="BC215">
            <v>-821300</v>
          </cell>
          <cell r="BE215">
            <v>0</v>
          </cell>
          <cell r="BF215">
            <v>0</v>
          </cell>
        </row>
        <row r="216">
          <cell r="C216" t="str">
            <v>ET24</v>
          </cell>
          <cell r="D216" t="str">
            <v>-</v>
          </cell>
          <cell r="E216" t="str">
            <v>AGS</v>
          </cell>
          <cell r="F216" t="str">
            <v>进气控制装置</v>
          </cell>
          <cell r="G216" t="str">
            <v>B</v>
          </cell>
          <cell r="H216" t="str">
            <v>PMT1</v>
          </cell>
          <cell r="I216" t="str">
            <v>TH</v>
          </cell>
          <cell r="J216" t="str">
            <v>JD8B</v>
          </cell>
          <cell r="K216" t="str">
            <v>8A261</v>
          </cell>
          <cell r="L216" t="str">
            <v>AA</v>
          </cell>
          <cell r="M216" t="str">
            <v>JD8B-8A261-AA</v>
          </cell>
          <cell r="N216" t="str">
            <v>Active Grill Shutte</v>
          </cell>
          <cell r="O216">
            <v>42706</v>
          </cell>
          <cell r="P216" t="str">
            <v>Jiang,haitao</v>
          </cell>
          <cell r="Q216" t="str">
            <v>Huang,bo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1</v>
          </cell>
          <cell r="X216">
            <v>1</v>
          </cell>
          <cell r="Y216">
            <v>0</v>
          </cell>
          <cell r="Z216">
            <v>1</v>
          </cell>
          <cell r="AA216">
            <v>0.28000000000000003</v>
          </cell>
          <cell r="AC216">
            <v>-6.72</v>
          </cell>
          <cell r="AD216">
            <v>-0.2</v>
          </cell>
          <cell r="AE216">
            <v>-0.25</v>
          </cell>
          <cell r="AF216">
            <v>0</v>
          </cell>
          <cell r="AG216">
            <v>0</v>
          </cell>
          <cell r="AH216">
            <v>-7.17</v>
          </cell>
          <cell r="AI216" t="str">
            <v>CNY</v>
          </cell>
          <cell r="AJ216" t="str">
            <v>LP</v>
          </cell>
          <cell r="AK216" t="str">
            <v>Cheng Du Rochling</v>
          </cell>
          <cell r="AL216" t="str">
            <v>ENR5B</v>
          </cell>
          <cell r="AO216">
            <v>2.88</v>
          </cell>
          <cell r="BB216">
            <v>0</v>
          </cell>
          <cell r="BC216">
            <v>0</v>
          </cell>
          <cell r="BE216">
            <v>0</v>
          </cell>
          <cell r="BF216">
            <v>0</v>
          </cell>
        </row>
        <row r="217">
          <cell r="C217" t="str">
            <v>E096-1</v>
          </cell>
          <cell r="D217" t="str">
            <v>-</v>
          </cell>
          <cell r="E217" t="str">
            <v>Steering Wheel Switch(Cruise Control )</v>
          </cell>
          <cell r="F217" t="str">
            <v>方向盘开关(巡航控制)</v>
          </cell>
          <cell r="G217" t="str">
            <v>B</v>
          </cell>
          <cell r="H217" t="str">
            <v>PMT5</v>
          </cell>
          <cell r="I217" t="str">
            <v>TH</v>
          </cell>
          <cell r="J217" t="str">
            <v>JD8T</v>
          </cell>
          <cell r="K217" t="str">
            <v>9E740</v>
          </cell>
          <cell r="L217" t="str">
            <v>AB</v>
          </cell>
          <cell r="M217" t="str">
            <v>JD8T-9E740-AB</v>
          </cell>
          <cell r="N217" t="str">
            <v>Steering Wheel Switch(Cruise Control )</v>
          </cell>
          <cell r="O217">
            <v>42657</v>
          </cell>
          <cell r="P217" t="str">
            <v>xiao,yili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1</v>
          </cell>
          <cell r="X217">
            <v>1</v>
          </cell>
          <cell r="Y217">
            <v>1</v>
          </cell>
          <cell r="Z217">
            <v>1</v>
          </cell>
          <cell r="AA217">
            <v>0.33</v>
          </cell>
          <cell r="AC217">
            <v>-46.83</v>
          </cell>
          <cell r="AD217">
            <v>-0.85</v>
          </cell>
          <cell r="AE217">
            <v>0</v>
          </cell>
          <cell r="AF217">
            <v>0</v>
          </cell>
          <cell r="AG217">
            <v>-2.7015356232979002</v>
          </cell>
          <cell r="AH217">
            <v>-50.3815356232979</v>
          </cell>
          <cell r="AI217" t="str">
            <v>CNY</v>
          </cell>
          <cell r="AJ217" t="str">
            <v>LP</v>
          </cell>
          <cell r="AK217" t="str">
            <v>Kostal</v>
          </cell>
          <cell r="AL217" t="str">
            <v>GN3MA</v>
          </cell>
          <cell r="AO217">
            <v>3</v>
          </cell>
          <cell r="AP217">
            <v>0.02</v>
          </cell>
          <cell r="AQ217">
            <v>0.02</v>
          </cell>
          <cell r="AR217">
            <v>0.02</v>
          </cell>
          <cell r="BB217">
            <v>-2700726</v>
          </cell>
          <cell r="BC217">
            <v>-2700726</v>
          </cell>
          <cell r="BE217">
            <v>-1537579</v>
          </cell>
          <cell r="BF217">
            <v>569150</v>
          </cell>
        </row>
        <row r="218">
          <cell r="C218" t="str">
            <v>E096-2</v>
          </cell>
          <cell r="D218" t="str">
            <v>-</v>
          </cell>
          <cell r="E218" t="str">
            <v>Steering Wheel Switch (Radio Control )</v>
          </cell>
          <cell r="F218" t="str">
            <v>方向盘开关(音响控制)</v>
          </cell>
          <cell r="G218" t="str">
            <v>B</v>
          </cell>
          <cell r="H218" t="str">
            <v>PMT5</v>
          </cell>
          <cell r="I218" t="str">
            <v>TH</v>
          </cell>
          <cell r="J218" t="str">
            <v>JD8T</v>
          </cell>
          <cell r="K218" t="str">
            <v>14K147</v>
          </cell>
          <cell r="L218" t="str">
            <v>AB</v>
          </cell>
          <cell r="M218" t="str">
            <v>JD8T-14K147-AB</v>
          </cell>
          <cell r="N218" t="str">
            <v>Steering Wheel Switch (Radio Control )</v>
          </cell>
          <cell r="O218">
            <v>42657</v>
          </cell>
          <cell r="P218" t="str">
            <v>xiao,yili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1</v>
          </cell>
          <cell r="X218">
            <v>1</v>
          </cell>
          <cell r="Y218">
            <v>1</v>
          </cell>
          <cell r="Z218">
            <v>1</v>
          </cell>
          <cell r="AA218">
            <v>0.33</v>
          </cell>
          <cell r="AC218">
            <v>-46.83</v>
          </cell>
          <cell r="AD218">
            <v>-0.85</v>
          </cell>
          <cell r="AE218">
            <v>0</v>
          </cell>
          <cell r="AF218">
            <v>0</v>
          </cell>
          <cell r="AG218">
            <v>-2.7015356232979002</v>
          </cell>
          <cell r="AH218">
            <v>-50.3815356232979</v>
          </cell>
          <cell r="AI218" t="str">
            <v>CNY</v>
          </cell>
          <cell r="AJ218" t="str">
            <v>LP</v>
          </cell>
          <cell r="AK218" t="str">
            <v>Kostal</v>
          </cell>
          <cell r="AL218" t="str">
            <v>GN3MA</v>
          </cell>
          <cell r="AO218">
            <v>3</v>
          </cell>
          <cell r="AP218">
            <v>0.02</v>
          </cell>
          <cell r="AQ218">
            <v>0.02</v>
          </cell>
          <cell r="AR218">
            <v>0.02</v>
          </cell>
          <cell r="BB218">
            <v>0</v>
          </cell>
          <cell r="BC218">
            <v>0</v>
          </cell>
          <cell r="BE218" t="str">
            <v>Include with Cruise</v>
          </cell>
        </row>
        <row r="219">
          <cell r="C219" t="str">
            <v>E096-2</v>
          </cell>
          <cell r="D219" t="str">
            <v>E096-2</v>
          </cell>
          <cell r="E219" t="str">
            <v>Steering Wheel Switch (Radio Control )</v>
          </cell>
          <cell r="F219" t="str">
            <v>方向盘开关(音响控制)</v>
          </cell>
          <cell r="G219" t="str">
            <v>B</v>
          </cell>
          <cell r="H219" t="str">
            <v>PMT5</v>
          </cell>
          <cell r="I219" t="str">
            <v>TH</v>
          </cell>
          <cell r="J219" t="str">
            <v>JD8T</v>
          </cell>
          <cell r="K219" t="str">
            <v>14K147</v>
          </cell>
          <cell r="L219" t="str">
            <v>BA</v>
          </cell>
          <cell r="M219" t="str">
            <v>JD8T-14K147-BA</v>
          </cell>
          <cell r="N219" t="str">
            <v>Steering Wheel Switch (Radio Control )</v>
          </cell>
          <cell r="O219">
            <v>42657</v>
          </cell>
          <cell r="P219" t="str">
            <v>xiao,yili</v>
          </cell>
          <cell r="S219">
            <v>0</v>
          </cell>
          <cell r="T219">
            <v>0</v>
          </cell>
          <cell r="U219">
            <v>1</v>
          </cell>
          <cell r="V219">
            <v>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0.37</v>
          </cell>
          <cell r="AC219">
            <v>-43.7</v>
          </cell>
          <cell r="AD219">
            <v>-0.85</v>
          </cell>
          <cell r="AE219">
            <v>0</v>
          </cell>
          <cell r="AF219">
            <v>0</v>
          </cell>
          <cell r="AG219">
            <v>-2.7015356232979002</v>
          </cell>
          <cell r="AH219">
            <v>-47.251535623297904</v>
          </cell>
          <cell r="AI219" t="str">
            <v>CNY</v>
          </cell>
          <cell r="AJ219" t="str">
            <v>LP</v>
          </cell>
          <cell r="AK219" t="str">
            <v>Kostal</v>
          </cell>
          <cell r="AL219" t="str">
            <v>GN3MA</v>
          </cell>
          <cell r="AO219">
            <v>3</v>
          </cell>
          <cell r="AP219">
            <v>0.02</v>
          </cell>
          <cell r="AQ219">
            <v>0.02</v>
          </cell>
          <cell r="AR219">
            <v>0.02</v>
          </cell>
          <cell r="BB219">
            <v>-235615</v>
          </cell>
          <cell r="BC219">
            <v>-235615</v>
          </cell>
          <cell r="BE219" t="str">
            <v>Include with Cruise</v>
          </cell>
        </row>
        <row r="220">
          <cell r="C220" t="str">
            <v>B013</v>
          </cell>
          <cell r="D220" t="str">
            <v>B013</v>
          </cell>
          <cell r="E220" t="str">
            <v xml:space="preserve">Small Stamping Bracket </v>
          </cell>
          <cell r="F220" t="str">
            <v>小冲压件和支架</v>
          </cell>
          <cell r="G220" t="str">
            <v>D</v>
          </cell>
          <cell r="H220" t="str">
            <v>BIW</v>
          </cell>
          <cell r="I220" t="str">
            <v>TH</v>
          </cell>
          <cell r="J220" t="str">
            <v>JD8B</v>
          </cell>
          <cell r="K220" t="str">
            <v>16K658</v>
          </cell>
          <cell r="L220" t="str">
            <v>AA</v>
          </cell>
          <cell r="M220" t="str">
            <v>JD8B-16K658-AA</v>
          </cell>
          <cell r="N220" t="str">
            <v xml:space="preserve">Small Stamping Bracket </v>
          </cell>
          <cell r="O220">
            <v>42626</v>
          </cell>
          <cell r="P220" t="str">
            <v>Wei,xiaowei</v>
          </cell>
          <cell r="Q220" t="str">
            <v>gao,rui</v>
          </cell>
          <cell r="S220">
            <v>1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1</v>
          </cell>
          <cell r="Y220">
            <v>1</v>
          </cell>
          <cell r="Z220">
            <v>1</v>
          </cell>
          <cell r="AA220">
            <v>1</v>
          </cell>
          <cell r="AC220">
            <v>-2.56</v>
          </cell>
          <cell r="AD220">
            <v>-2.9000000000000001E-2</v>
          </cell>
          <cell r="AE220">
            <v>-2.9000000000000001E-2</v>
          </cell>
          <cell r="AF220">
            <v>0</v>
          </cell>
          <cell r="AG220">
            <v>0</v>
          </cell>
          <cell r="AH220">
            <v>-2.6179999999999999</v>
          </cell>
          <cell r="AI220" t="str">
            <v>CNY</v>
          </cell>
          <cell r="AJ220" t="str">
            <v>LP</v>
          </cell>
          <cell r="AK220" t="str">
            <v>CQ Zhixin</v>
          </cell>
          <cell r="AL220" t="str">
            <v>GGU8A</v>
          </cell>
          <cell r="AO220">
            <v>1</v>
          </cell>
          <cell r="AP220">
            <v>0.03</v>
          </cell>
          <cell r="AQ220">
            <v>0.03</v>
          </cell>
          <cell r="AR220">
            <v>0.03</v>
          </cell>
          <cell r="BB220">
            <v>-138922</v>
          </cell>
          <cell r="BC220">
            <v>-138922</v>
          </cell>
          <cell r="BE220">
            <v>0</v>
          </cell>
          <cell r="BF220">
            <v>0</v>
          </cell>
          <cell r="BG220">
            <v>0</v>
          </cell>
          <cell r="BL220" t="str">
            <v>Y</v>
          </cell>
        </row>
        <row r="221">
          <cell r="C221" t="str">
            <v>B013</v>
          </cell>
          <cell r="D221" t="str">
            <v>B013</v>
          </cell>
          <cell r="E221" t="str">
            <v xml:space="preserve">Small Stamping Bracket </v>
          </cell>
          <cell r="F221" t="str">
            <v>小冲压件和支架</v>
          </cell>
          <cell r="G221" t="str">
            <v>D</v>
          </cell>
          <cell r="H221" t="str">
            <v>BIW</v>
          </cell>
          <cell r="I221" t="str">
            <v>TH</v>
          </cell>
          <cell r="J221" t="str">
            <v>JD8B</v>
          </cell>
          <cell r="K221" t="str">
            <v>16K659</v>
          </cell>
          <cell r="L221" t="str">
            <v>AA</v>
          </cell>
          <cell r="M221" t="str">
            <v>JD8B-16K659-AA</v>
          </cell>
          <cell r="N221" t="str">
            <v xml:space="preserve">Small Stamping Bracket </v>
          </cell>
          <cell r="O221">
            <v>42626</v>
          </cell>
          <cell r="P221" t="str">
            <v>Wei,xiaowei</v>
          </cell>
          <cell r="Q221" t="str">
            <v>gao,rui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C221">
            <v>-2.56</v>
          </cell>
          <cell r="AD221">
            <v>-2.9000000000000001E-2</v>
          </cell>
          <cell r="AE221">
            <v>-2.9000000000000001E-2</v>
          </cell>
          <cell r="AF221">
            <v>0</v>
          </cell>
          <cell r="AG221">
            <v>0</v>
          </cell>
          <cell r="AH221">
            <v>-2.6179999999999999</v>
          </cell>
          <cell r="AI221" t="str">
            <v>CNY</v>
          </cell>
          <cell r="AJ221" t="str">
            <v>LP</v>
          </cell>
          <cell r="AK221" t="str">
            <v>CQ Zhixin</v>
          </cell>
          <cell r="AL221" t="str">
            <v>GGU8A</v>
          </cell>
          <cell r="AO221">
            <v>1</v>
          </cell>
          <cell r="AP221">
            <v>0.03</v>
          </cell>
          <cell r="AQ221">
            <v>0.03</v>
          </cell>
          <cell r="AR221">
            <v>0.03</v>
          </cell>
          <cell r="BB221">
            <v>-138922</v>
          </cell>
          <cell r="BC221">
            <v>-138922</v>
          </cell>
          <cell r="BE221">
            <v>0</v>
          </cell>
          <cell r="BF221">
            <v>0</v>
          </cell>
          <cell r="BG221">
            <v>0</v>
          </cell>
          <cell r="BL221" t="str">
            <v>Y</v>
          </cell>
        </row>
        <row r="222">
          <cell r="C222" t="str">
            <v>B013</v>
          </cell>
          <cell r="D222" t="str">
            <v>B013</v>
          </cell>
          <cell r="E222" t="str">
            <v xml:space="preserve">Small Stamping Bracket </v>
          </cell>
          <cell r="F222" t="str">
            <v>小冲压件和支架</v>
          </cell>
          <cell r="G222" t="str">
            <v>D</v>
          </cell>
          <cell r="H222" t="str">
            <v>BIW</v>
          </cell>
          <cell r="I222" t="str">
            <v>TH</v>
          </cell>
          <cell r="J222" t="str">
            <v>JD8B</v>
          </cell>
          <cell r="K222" t="str">
            <v>16A762</v>
          </cell>
          <cell r="L222" t="str">
            <v>AA</v>
          </cell>
          <cell r="M222" t="str">
            <v>JD8B-16A762-AA</v>
          </cell>
          <cell r="N222" t="str">
            <v xml:space="preserve">Small Stamping Bracket </v>
          </cell>
          <cell r="O222">
            <v>42626</v>
          </cell>
          <cell r="P222" t="str">
            <v>Wei,xiaowei</v>
          </cell>
          <cell r="Q222" t="str">
            <v>gao,rui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-3.06</v>
          </cell>
          <cell r="AD222">
            <v>-2.8000000000000001E-2</v>
          </cell>
          <cell r="AE222">
            <v>-2.8000000000000001E-2</v>
          </cell>
          <cell r="AF222">
            <v>0</v>
          </cell>
          <cell r="AG222">
            <v>0</v>
          </cell>
          <cell r="AH222">
            <v>-3.1160000000000001</v>
          </cell>
          <cell r="AI222" t="str">
            <v>CNY</v>
          </cell>
          <cell r="AJ222" t="str">
            <v>LP</v>
          </cell>
          <cell r="AK222" t="str">
            <v>CQ Zhixin</v>
          </cell>
          <cell r="AL222" t="str">
            <v>GGU8A</v>
          </cell>
          <cell r="AO222">
            <v>1</v>
          </cell>
          <cell r="AP222">
            <v>0.03</v>
          </cell>
          <cell r="AQ222">
            <v>0.03</v>
          </cell>
          <cell r="AR222">
            <v>0.03</v>
          </cell>
          <cell r="BB222">
            <v>-349952</v>
          </cell>
          <cell r="BC222">
            <v>-349952</v>
          </cell>
          <cell r="BE222">
            <v>0</v>
          </cell>
          <cell r="BF222">
            <v>0</v>
          </cell>
          <cell r="BG222">
            <v>0</v>
          </cell>
          <cell r="BL222" t="str">
            <v>Y</v>
          </cell>
        </row>
        <row r="223">
          <cell r="C223" t="str">
            <v>B013</v>
          </cell>
          <cell r="D223" t="str">
            <v>B013</v>
          </cell>
          <cell r="E223" t="str">
            <v xml:space="preserve">Small Stamping Bracket </v>
          </cell>
          <cell r="F223" t="str">
            <v>小冲压件和支架</v>
          </cell>
          <cell r="G223" t="str">
            <v>D</v>
          </cell>
          <cell r="H223" t="str">
            <v>BIW</v>
          </cell>
          <cell r="I223" t="str">
            <v>TH</v>
          </cell>
          <cell r="J223" t="str">
            <v>JD8B</v>
          </cell>
          <cell r="K223">
            <v>16476</v>
          </cell>
          <cell r="L223" t="str">
            <v>AA</v>
          </cell>
          <cell r="M223" t="str">
            <v>JD8B-16476-AA</v>
          </cell>
          <cell r="N223" t="str">
            <v xml:space="preserve">Small Stamping Bracket </v>
          </cell>
          <cell r="O223">
            <v>42626</v>
          </cell>
          <cell r="P223" t="str">
            <v>Wei,xiaowei</v>
          </cell>
          <cell r="Q223" t="str">
            <v>gao,rui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-4.67</v>
          </cell>
          <cell r="AD223">
            <v>-0.06</v>
          </cell>
          <cell r="AE223">
            <v>-0.06</v>
          </cell>
          <cell r="AF223">
            <v>0</v>
          </cell>
          <cell r="AG223">
            <v>0</v>
          </cell>
          <cell r="AH223">
            <v>-4.7899999999999991</v>
          </cell>
          <cell r="AI223" t="str">
            <v>CNY</v>
          </cell>
          <cell r="AJ223" t="str">
            <v>LP</v>
          </cell>
          <cell r="AK223" t="str">
            <v>CQ Zhixin</v>
          </cell>
          <cell r="AL223" t="str">
            <v>GGU8A</v>
          </cell>
          <cell r="AO223">
            <v>1</v>
          </cell>
          <cell r="AP223">
            <v>0.03</v>
          </cell>
          <cell r="AQ223">
            <v>0.03</v>
          </cell>
          <cell r="AR223">
            <v>0.03</v>
          </cell>
          <cell r="BB223">
            <v>-402744</v>
          </cell>
          <cell r="BC223">
            <v>-402744</v>
          </cell>
          <cell r="BE223">
            <v>0</v>
          </cell>
          <cell r="BF223">
            <v>0</v>
          </cell>
          <cell r="BG223">
            <v>0</v>
          </cell>
          <cell r="BL223" t="str">
            <v>Y</v>
          </cell>
        </row>
        <row r="224">
          <cell r="C224" t="str">
            <v>B013</v>
          </cell>
          <cell r="D224" t="str">
            <v>B013</v>
          </cell>
          <cell r="E224" t="str">
            <v xml:space="preserve">Small Stamping Bracket </v>
          </cell>
          <cell r="F224" t="str">
            <v>小冲压件和支架</v>
          </cell>
          <cell r="G224" t="str">
            <v>D</v>
          </cell>
          <cell r="H224" t="str">
            <v>BIW</v>
          </cell>
          <cell r="I224" t="str">
            <v>TH</v>
          </cell>
          <cell r="J224" t="str">
            <v>JD8B</v>
          </cell>
          <cell r="K224" t="str">
            <v>F431F78</v>
          </cell>
          <cell r="L224" t="str">
            <v>AA</v>
          </cell>
          <cell r="M224" t="str">
            <v>JD8B-F431F78-AA</v>
          </cell>
          <cell r="N224" t="str">
            <v xml:space="preserve">Small Stamping Bracket </v>
          </cell>
          <cell r="O224">
            <v>42626</v>
          </cell>
          <cell r="P224" t="str">
            <v>Wei,xiaowei</v>
          </cell>
          <cell r="Q224" t="str">
            <v>gao,rui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-1.792</v>
          </cell>
          <cell r="AD224">
            <v>-2.3E-2</v>
          </cell>
          <cell r="AE224">
            <v>-2.3E-2</v>
          </cell>
          <cell r="AF224">
            <v>0</v>
          </cell>
          <cell r="AG224">
            <v>0</v>
          </cell>
          <cell r="AH224">
            <v>-1.8379999999999999</v>
          </cell>
          <cell r="AI224" t="str">
            <v>CNY</v>
          </cell>
          <cell r="AJ224" t="str">
            <v>LP</v>
          </cell>
          <cell r="AK224" t="str">
            <v>CQ Zhixin</v>
          </cell>
          <cell r="AL224" t="str">
            <v>GGU8A</v>
          </cell>
          <cell r="AO224">
            <v>1</v>
          </cell>
          <cell r="AP224">
            <v>0.03</v>
          </cell>
          <cell r="AQ224">
            <v>0.03</v>
          </cell>
          <cell r="AR224">
            <v>0.03</v>
          </cell>
          <cell r="BB224">
            <v>-239400</v>
          </cell>
          <cell r="BC224">
            <v>-239400</v>
          </cell>
          <cell r="BE224">
            <v>0</v>
          </cell>
          <cell r="BF224">
            <v>0</v>
          </cell>
          <cell r="BG224">
            <v>0</v>
          </cell>
          <cell r="BL224" t="str">
            <v>Y</v>
          </cell>
        </row>
        <row r="225">
          <cell r="C225" t="str">
            <v>B013</v>
          </cell>
          <cell r="D225" t="str">
            <v>B013</v>
          </cell>
          <cell r="E225" t="str">
            <v xml:space="preserve">Small Stamping Bracket </v>
          </cell>
          <cell r="F225" t="str">
            <v>小冲压件和支架</v>
          </cell>
          <cell r="G225" t="str">
            <v>D</v>
          </cell>
          <cell r="H225" t="str">
            <v>BIW</v>
          </cell>
          <cell r="I225" t="str">
            <v>TH</v>
          </cell>
          <cell r="J225" t="str">
            <v>JD8B</v>
          </cell>
          <cell r="K225" t="str">
            <v>F45046</v>
          </cell>
          <cell r="L225" t="str">
            <v>AA</v>
          </cell>
          <cell r="M225" t="str">
            <v>JD8B-F45046-AA</v>
          </cell>
          <cell r="N225" t="str">
            <v xml:space="preserve">Small Stamping Bracket </v>
          </cell>
          <cell r="O225">
            <v>42626</v>
          </cell>
          <cell r="P225" t="str">
            <v>Wei,xiaowei</v>
          </cell>
          <cell r="Q225" t="str">
            <v>gao,rui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C225">
            <v>-4.1302000000000003</v>
          </cell>
          <cell r="AD225">
            <v>-3.5999999999999997E-2</v>
          </cell>
          <cell r="AE225">
            <v>-3.5999999999999997E-2</v>
          </cell>
          <cell r="AF225">
            <v>0</v>
          </cell>
          <cell r="AG225">
            <v>0</v>
          </cell>
          <cell r="AH225">
            <v>-4.2021999999999995</v>
          </cell>
          <cell r="AI225" t="str">
            <v>CNY</v>
          </cell>
          <cell r="AJ225" t="str">
            <v>LP</v>
          </cell>
          <cell r="AK225" t="str">
            <v>CQ Zhixin</v>
          </cell>
          <cell r="AL225" t="str">
            <v>GGU8A</v>
          </cell>
          <cell r="AO225">
            <v>1</v>
          </cell>
          <cell r="AP225">
            <v>0.03</v>
          </cell>
          <cell r="AQ225">
            <v>0.03</v>
          </cell>
          <cell r="AR225">
            <v>0.03</v>
          </cell>
          <cell r="BB225">
            <v>-146616</v>
          </cell>
          <cell r="BC225">
            <v>-146616</v>
          </cell>
          <cell r="BE225">
            <v>0</v>
          </cell>
          <cell r="BF225">
            <v>0</v>
          </cell>
          <cell r="BG225">
            <v>0</v>
          </cell>
          <cell r="BL225" t="str">
            <v>Y</v>
          </cell>
        </row>
        <row r="226">
          <cell r="C226" t="str">
            <v>B013</v>
          </cell>
          <cell r="D226" t="str">
            <v>B013</v>
          </cell>
          <cell r="E226" t="str">
            <v xml:space="preserve">Small Stamping Bracket </v>
          </cell>
          <cell r="F226" t="str">
            <v>小冲压件和支架</v>
          </cell>
          <cell r="G226" t="str">
            <v>D</v>
          </cell>
          <cell r="H226" t="str">
            <v>BIW</v>
          </cell>
          <cell r="I226" t="str">
            <v>TH</v>
          </cell>
          <cell r="J226" t="str">
            <v>JD8B</v>
          </cell>
          <cell r="K226" t="str">
            <v>F45047</v>
          </cell>
          <cell r="L226" t="str">
            <v>AA</v>
          </cell>
          <cell r="M226" t="str">
            <v>JD8B-F45047-AA</v>
          </cell>
          <cell r="N226" t="str">
            <v xml:space="preserve">Small Stamping Bracket </v>
          </cell>
          <cell r="O226">
            <v>42626</v>
          </cell>
          <cell r="P226" t="str">
            <v>Wei,xiaowei</v>
          </cell>
          <cell r="Q226" t="str">
            <v>gao,rui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C226">
            <v>-4.1302000000000003</v>
          </cell>
          <cell r="AD226">
            <v>-3.5999999999999997E-2</v>
          </cell>
          <cell r="AE226">
            <v>-3.5999999999999997E-2</v>
          </cell>
          <cell r="AF226">
            <v>0</v>
          </cell>
          <cell r="AG226">
            <v>0</v>
          </cell>
          <cell r="AH226">
            <v>-4.2021999999999995</v>
          </cell>
          <cell r="AI226" t="str">
            <v>CNY</v>
          </cell>
          <cell r="AJ226" t="str">
            <v>LP</v>
          </cell>
          <cell r="AK226" t="str">
            <v>CQ Zhixin</v>
          </cell>
          <cell r="AL226" t="str">
            <v>GGU8A</v>
          </cell>
          <cell r="AO226">
            <v>1</v>
          </cell>
          <cell r="AP226">
            <v>0.03</v>
          </cell>
          <cell r="AQ226">
            <v>0.03</v>
          </cell>
          <cell r="AR226">
            <v>0.03</v>
          </cell>
          <cell r="BB226">
            <v>-146616</v>
          </cell>
          <cell r="BC226">
            <v>-146616</v>
          </cell>
          <cell r="BE226">
            <v>0</v>
          </cell>
          <cell r="BF226">
            <v>0</v>
          </cell>
          <cell r="BG226">
            <v>0</v>
          </cell>
          <cell r="BL226" t="str">
            <v>Y</v>
          </cell>
        </row>
        <row r="227">
          <cell r="C227" t="str">
            <v>B013</v>
          </cell>
          <cell r="D227" t="str">
            <v>B013</v>
          </cell>
          <cell r="E227" t="str">
            <v xml:space="preserve">Small Stamping Bracket </v>
          </cell>
          <cell r="F227" t="str">
            <v>小冲压件和支架</v>
          </cell>
          <cell r="G227" t="str">
            <v>D</v>
          </cell>
          <cell r="H227" t="str">
            <v>BIW</v>
          </cell>
          <cell r="I227" t="str">
            <v>TH</v>
          </cell>
          <cell r="J227" t="str">
            <v>JD8B</v>
          </cell>
          <cell r="K227" t="str">
            <v>F16E038</v>
          </cell>
          <cell r="L227" t="str">
            <v>AB</v>
          </cell>
          <cell r="M227" t="str">
            <v>JD8B-F16E038-AB</v>
          </cell>
          <cell r="N227" t="str">
            <v xml:space="preserve">Small Stamping Bracket </v>
          </cell>
          <cell r="O227">
            <v>42626</v>
          </cell>
          <cell r="P227" t="str">
            <v>Wei,xiaowei</v>
          </cell>
          <cell r="Q227" t="str">
            <v>gao,rui</v>
          </cell>
          <cell r="S227">
            <v>1</v>
          </cell>
          <cell r="T227">
            <v>1</v>
          </cell>
          <cell r="U227">
            <v>1</v>
          </cell>
          <cell r="V227">
            <v>1</v>
          </cell>
          <cell r="W227">
            <v>1</v>
          </cell>
          <cell r="X227">
            <v>1</v>
          </cell>
          <cell r="Y227">
            <v>1</v>
          </cell>
          <cell r="Z227">
            <v>1</v>
          </cell>
          <cell r="AA227">
            <v>1</v>
          </cell>
          <cell r="AC227">
            <v>-15.808</v>
          </cell>
          <cell r="AD227">
            <v>-0.16600000000000001</v>
          </cell>
          <cell r="AE227">
            <v>-0.16600000000000001</v>
          </cell>
          <cell r="AF227">
            <v>0</v>
          </cell>
          <cell r="AG227">
            <v>0</v>
          </cell>
          <cell r="AH227">
            <v>-16.14</v>
          </cell>
          <cell r="AI227" t="str">
            <v>CNY</v>
          </cell>
          <cell r="AJ227" t="str">
            <v>LP</v>
          </cell>
          <cell r="AK227" t="str">
            <v>CQ Zhixin</v>
          </cell>
          <cell r="AL227" t="str">
            <v>GGU8A</v>
          </cell>
          <cell r="AO227">
            <v>1</v>
          </cell>
          <cell r="AP227">
            <v>0.03</v>
          </cell>
          <cell r="AQ227">
            <v>0.03</v>
          </cell>
          <cell r="AR227">
            <v>0.03</v>
          </cell>
          <cell r="BB227">
            <v>-628033</v>
          </cell>
          <cell r="BC227">
            <v>-628033</v>
          </cell>
          <cell r="BE227">
            <v>0</v>
          </cell>
          <cell r="BF227">
            <v>0</v>
          </cell>
          <cell r="BG227">
            <v>0</v>
          </cell>
          <cell r="BL227" t="str">
            <v>Y</v>
          </cell>
        </row>
        <row r="228">
          <cell r="C228" t="str">
            <v>B013</v>
          </cell>
          <cell r="D228" t="str">
            <v>B013</v>
          </cell>
          <cell r="E228" t="str">
            <v xml:space="preserve">Small Stamping Bracket </v>
          </cell>
          <cell r="F228" t="str">
            <v>小冲压件和支架</v>
          </cell>
          <cell r="G228" t="str">
            <v>D</v>
          </cell>
          <cell r="H228" t="str">
            <v>BIW</v>
          </cell>
          <cell r="I228" t="str">
            <v>TH</v>
          </cell>
          <cell r="J228" t="str">
            <v>JD8B</v>
          </cell>
          <cell r="K228" t="str">
            <v>F16E039</v>
          </cell>
          <cell r="L228" t="str">
            <v>AB</v>
          </cell>
          <cell r="M228" t="str">
            <v>JD8B-F16E039-AB</v>
          </cell>
          <cell r="N228" t="str">
            <v xml:space="preserve">Small Stamping Bracket </v>
          </cell>
          <cell r="O228">
            <v>42626</v>
          </cell>
          <cell r="P228" t="str">
            <v>Wei,xiaowei</v>
          </cell>
          <cell r="Q228" t="str">
            <v>gao,rui</v>
          </cell>
          <cell r="S228">
            <v>1</v>
          </cell>
          <cell r="T228">
            <v>1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  <cell r="Y228">
            <v>1</v>
          </cell>
          <cell r="Z228">
            <v>1</v>
          </cell>
          <cell r="AA228">
            <v>1</v>
          </cell>
          <cell r="AC228">
            <v>-15.808</v>
          </cell>
          <cell r="AD228">
            <v>-0.16600000000000001</v>
          </cell>
          <cell r="AE228">
            <v>-0.16600000000000001</v>
          </cell>
          <cell r="AF228">
            <v>0</v>
          </cell>
          <cell r="AG228">
            <v>0</v>
          </cell>
          <cell r="AH228">
            <v>-16.14</v>
          </cell>
          <cell r="AI228" t="str">
            <v>CNY</v>
          </cell>
          <cell r="AJ228" t="str">
            <v>LP</v>
          </cell>
          <cell r="AK228" t="str">
            <v>CQ Zhixin</v>
          </cell>
          <cell r="AL228" t="str">
            <v>GGU8A</v>
          </cell>
          <cell r="AO228">
            <v>1</v>
          </cell>
          <cell r="AP228">
            <v>0.03</v>
          </cell>
          <cell r="AQ228">
            <v>0.03</v>
          </cell>
          <cell r="AR228">
            <v>0.03</v>
          </cell>
          <cell r="BB228">
            <v>-628033</v>
          </cell>
          <cell r="BC228">
            <v>-628033</v>
          </cell>
          <cell r="BE228">
            <v>0</v>
          </cell>
          <cell r="BF228">
            <v>0</v>
          </cell>
          <cell r="BG228">
            <v>0</v>
          </cell>
          <cell r="BL228" t="str">
            <v>Y</v>
          </cell>
        </row>
        <row r="229">
          <cell r="C229" t="str">
            <v>B013-3</v>
          </cell>
          <cell r="D229" t="str">
            <v>B013-3</v>
          </cell>
          <cell r="E229" t="str">
            <v>Canister Bracket stage 6</v>
          </cell>
          <cell r="F229" t="str">
            <v>炭罐支架</v>
          </cell>
          <cell r="G229" t="str">
            <v>D</v>
          </cell>
          <cell r="H229" t="str">
            <v>PMT4</v>
          </cell>
          <cell r="I229" t="str">
            <v>PF</v>
          </cell>
          <cell r="J229" t="str">
            <v>JD8G</v>
          </cell>
          <cell r="K229" t="str">
            <v>9D665</v>
          </cell>
          <cell r="L229" t="str">
            <v>AA</v>
          </cell>
          <cell r="M229" t="str">
            <v>JD8G-9D665-AA</v>
          </cell>
          <cell r="N229" t="str">
            <v xml:space="preserve">Canister Bracket </v>
          </cell>
          <cell r="O229">
            <v>42655</v>
          </cell>
          <cell r="P229" t="str">
            <v>Wei,xiaowei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0</v>
          </cell>
          <cell r="X229">
            <v>0</v>
          </cell>
          <cell r="Y229">
            <v>1</v>
          </cell>
          <cell r="Z229">
            <v>0</v>
          </cell>
          <cell r="AA229">
            <v>0.72000000000000008</v>
          </cell>
          <cell r="AC229">
            <v>-3.48</v>
          </cell>
          <cell r="AD229">
            <v>-0.13</v>
          </cell>
          <cell r="AE229">
            <v>-0.1</v>
          </cell>
          <cell r="AF229">
            <v>0</v>
          </cell>
          <cell r="AG229">
            <v>0</v>
          </cell>
          <cell r="AH229">
            <v>-3.71</v>
          </cell>
          <cell r="AI229" t="str">
            <v>CNY</v>
          </cell>
          <cell r="AJ229" t="str">
            <v>LP</v>
          </cell>
          <cell r="AK229" t="str">
            <v>CQ Zhixin</v>
          </cell>
          <cell r="AL229" t="str">
            <v>GGU8A</v>
          </cell>
          <cell r="AO229">
            <v>1</v>
          </cell>
          <cell r="AP229">
            <v>0.03</v>
          </cell>
          <cell r="AQ229">
            <v>0.03</v>
          </cell>
          <cell r="AR229">
            <v>0.03</v>
          </cell>
          <cell r="BB229">
            <v>-299002.13</v>
          </cell>
          <cell r="BC229">
            <v>-299002.13</v>
          </cell>
          <cell r="BE229">
            <v>0</v>
          </cell>
          <cell r="BF229">
            <v>0</v>
          </cell>
          <cell r="BG229">
            <v>0</v>
          </cell>
          <cell r="BL229" t="str">
            <v>Y</v>
          </cell>
          <cell r="BM229" t="str">
            <v>WSS-M1A365-A12  6.71/kg</v>
          </cell>
        </row>
        <row r="230">
          <cell r="C230" t="str">
            <v>IT36</v>
          </cell>
          <cell r="D230" t="str">
            <v>-</v>
          </cell>
          <cell r="E230" t="str">
            <v>Exterior scuff plate</v>
          </cell>
          <cell r="F230" t="str">
            <v>迎宾踏板</v>
          </cell>
          <cell r="G230" t="str">
            <v>D</v>
          </cell>
          <cell r="H230" t="str">
            <v>PMT1</v>
          </cell>
          <cell r="I230" t="str">
            <v>TH</v>
          </cell>
          <cell r="J230" t="str">
            <v>JD8B</v>
          </cell>
          <cell r="K230" t="str">
            <v>132K14</v>
          </cell>
          <cell r="L230" t="str">
            <v>AB</v>
          </cell>
          <cell r="M230" t="str">
            <v>JD8B-132K14-AB</v>
          </cell>
          <cell r="N230" t="str">
            <v>Exterior scuff plate</v>
          </cell>
          <cell r="O230">
            <v>42655</v>
          </cell>
          <cell r="P230" t="str">
            <v>Jiang,haitao</v>
          </cell>
          <cell r="Q230" t="str">
            <v>du,jiaqi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1</v>
          </cell>
          <cell r="Z230">
            <v>1</v>
          </cell>
          <cell r="AA230">
            <v>0.1</v>
          </cell>
          <cell r="AC230">
            <v>-11.88</v>
          </cell>
          <cell r="AD230">
            <v>-0.32</v>
          </cell>
          <cell r="AE230">
            <v>-0.3</v>
          </cell>
          <cell r="AF230">
            <v>0</v>
          </cell>
          <cell r="AG230">
            <v>0</v>
          </cell>
          <cell r="AH230">
            <v>-12.500000000000002</v>
          </cell>
          <cell r="AI230" t="str">
            <v>CNY</v>
          </cell>
          <cell r="AJ230" t="str">
            <v>LP</v>
          </cell>
          <cell r="AK230" t="str">
            <v>Shang Hai Essenway</v>
          </cell>
          <cell r="AL230" t="str">
            <v>GLWDA</v>
          </cell>
          <cell r="AO230">
            <v>1</v>
          </cell>
          <cell r="AP230">
            <v>0.03</v>
          </cell>
          <cell r="AQ230">
            <v>0.03</v>
          </cell>
          <cell r="AR230">
            <v>0.03</v>
          </cell>
          <cell r="BB230">
            <v>-211000</v>
          </cell>
          <cell r="BC230">
            <v>-211000</v>
          </cell>
          <cell r="BE230">
            <v>0</v>
          </cell>
          <cell r="BF230">
            <v>0</v>
          </cell>
          <cell r="BG230">
            <v>0</v>
          </cell>
        </row>
        <row r="231">
          <cell r="C231" t="str">
            <v>IT36</v>
          </cell>
          <cell r="D231" t="str">
            <v>-</v>
          </cell>
          <cell r="E231" t="str">
            <v>Exterior scuff plate</v>
          </cell>
          <cell r="F231" t="str">
            <v>迎宾踏板</v>
          </cell>
          <cell r="G231" t="str">
            <v>D</v>
          </cell>
          <cell r="H231" t="str">
            <v>PMT1</v>
          </cell>
          <cell r="I231" t="str">
            <v>TH</v>
          </cell>
          <cell r="J231" t="str">
            <v>JD8B</v>
          </cell>
          <cell r="K231" t="str">
            <v>132K15</v>
          </cell>
          <cell r="L231" t="str">
            <v>AB</v>
          </cell>
          <cell r="M231" t="str">
            <v>JD8B-132K15-AB</v>
          </cell>
          <cell r="N231" t="str">
            <v>Exterior scuff plate</v>
          </cell>
          <cell r="O231">
            <v>42655</v>
          </cell>
          <cell r="P231" t="str">
            <v>Jiang,haitao</v>
          </cell>
          <cell r="Q231" t="str">
            <v>du,jiaqi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1</v>
          </cell>
          <cell r="Z231">
            <v>1</v>
          </cell>
          <cell r="AA231">
            <v>0.1</v>
          </cell>
          <cell r="AC231">
            <v>-11.88</v>
          </cell>
          <cell r="AD231">
            <v>-0.32</v>
          </cell>
          <cell r="AE231">
            <v>-0.3</v>
          </cell>
          <cell r="AF231">
            <v>0</v>
          </cell>
          <cell r="AG231">
            <v>0</v>
          </cell>
          <cell r="AH231">
            <v>-12.500000000000002</v>
          </cell>
          <cell r="AI231" t="str">
            <v>CNY</v>
          </cell>
          <cell r="AJ231" t="str">
            <v>LP</v>
          </cell>
          <cell r="AK231" t="str">
            <v>Shang Hai Essenway</v>
          </cell>
          <cell r="AL231" t="str">
            <v>GLWDA</v>
          </cell>
          <cell r="AO231">
            <v>1</v>
          </cell>
          <cell r="AP231">
            <v>0.03</v>
          </cell>
          <cell r="AQ231">
            <v>0.03</v>
          </cell>
          <cell r="AR231">
            <v>0.03</v>
          </cell>
          <cell r="BB231">
            <v>0</v>
          </cell>
          <cell r="BC231">
            <v>0</v>
          </cell>
          <cell r="BE231">
            <v>0</v>
          </cell>
          <cell r="BF231">
            <v>0</v>
          </cell>
          <cell r="BG231">
            <v>0</v>
          </cell>
        </row>
        <row r="232">
          <cell r="C232" t="str">
            <v>IT36</v>
          </cell>
          <cell r="D232" t="str">
            <v>-</v>
          </cell>
          <cell r="E232" t="str">
            <v>Exterior scuff plate</v>
          </cell>
          <cell r="F232" t="str">
            <v>迎宾踏板</v>
          </cell>
          <cell r="G232" t="str">
            <v>D</v>
          </cell>
          <cell r="H232" t="str">
            <v>PMT1</v>
          </cell>
          <cell r="I232" t="str">
            <v>TH</v>
          </cell>
          <cell r="J232" t="str">
            <v>JD8B</v>
          </cell>
          <cell r="K232">
            <v>13228</v>
          </cell>
          <cell r="L232" t="str">
            <v>AA</v>
          </cell>
          <cell r="M232" t="str">
            <v>JD8B-13228-AA</v>
          </cell>
          <cell r="N232" t="str">
            <v>Exterior scuff plate</v>
          </cell>
          <cell r="O232">
            <v>42668</v>
          </cell>
          <cell r="P232" t="str">
            <v>Jiang,haitao</v>
          </cell>
          <cell r="Q232" t="str">
            <v>du,jiaqi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2</v>
          </cell>
          <cell r="Z232">
            <v>2</v>
          </cell>
          <cell r="AA232">
            <v>0.2</v>
          </cell>
          <cell r="AC232">
            <v>-7.23</v>
          </cell>
          <cell r="AD232">
            <v>-0.22</v>
          </cell>
          <cell r="AE232">
            <v>-0.2</v>
          </cell>
          <cell r="AF232">
            <v>0</v>
          </cell>
          <cell r="AG232">
            <v>0</v>
          </cell>
          <cell r="AH232">
            <v>-7.65</v>
          </cell>
          <cell r="AI232" t="str">
            <v>CNY</v>
          </cell>
          <cell r="AJ232" t="str">
            <v>LP</v>
          </cell>
          <cell r="AK232" t="str">
            <v>Shang Hai Essenway</v>
          </cell>
          <cell r="AL232" t="str">
            <v>GLWDA</v>
          </cell>
          <cell r="AO232">
            <v>1</v>
          </cell>
          <cell r="AP232">
            <v>0.03</v>
          </cell>
          <cell r="AQ232">
            <v>0.03</v>
          </cell>
          <cell r="AR232">
            <v>0.03</v>
          </cell>
          <cell r="BB232">
            <v>-142000</v>
          </cell>
          <cell r="BC232">
            <v>-142000</v>
          </cell>
          <cell r="BE232">
            <v>0</v>
          </cell>
          <cell r="BF232">
            <v>0</v>
          </cell>
          <cell r="BG232">
            <v>0</v>
          </cell>
        </row>
        <row r="233">
          <cell r="C233" t="str">
            <v>ET96</v>
          </cell>
          <cell r="D233" t="str">
            <v>ET96</v>
          </cell>
          <cell r="E233" t="str">
            <v>Door Molding</v>
          </cell>
          <cell r="F233" t="str">
            <v>车门饰条</v>
          </cell>
          <cell r="G233" t="str">
            <v>D</v>
          </cell>
          <cell r="H233" t="str">
            <v>PMT1</v>
          </cell>
          <cell r="I233" t="str">
            <v>TH</v>
          </cell>
          <cell r="J233" t="str">
            <v>JD8B</v>
          </cell>
          <cell r="K233" t="str">
            <v>F20848</v>
          </cell>
          <cell r="L233" t="str">
            <v>AA</v>
          </cell>
          <cell r="M233" t="str">
            <v>JD8B-F20848-AA</v>
          </cell>
          <cell r="N233" t="str">
            <v>Door Molding</v>
          </cell>
          <cell r="P233" t="str">
            <v>Jiang,haitao</v>
          </cell>
          <cell r="Q233" t="str">
            <v>du,jiaqi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C233">
            <v>-37.699999999999996</v>
          </cell>
          <cell r="AD233">
            <v>-1.51</v>
          </cell>
          <cell r="AE233">
            <v>-0.9</v>
          </cell>
          <cell r="AF233">
            <v>0</v>
          </cell>
          <cell r="AG233">
            <v>0</v>
          </cell>
          <cell r="AH233">
            <v>-40.109999999999992</v>
          </cell>
          <cell r="AI233" t="str">
            <v>CNY</v>
          </cell>
          <cell r="AJ233" t="str">
            <v>LP</v>
          </cell>
          <cell r="AK233" t="str">
            <v>Ning Bo
Zhong Jun</v>
          </cell>
          <cell r="AL233" t="str">
            <v>GF7RA</v>
          </cell>
          <cell r="AO233">
            <v>2</v>
          </cell>
          <cell r="AP233">
            <v>0.03</v>
          </cell>
          <cell r="AQ233">
            <v>0.03</v>
          </cell>
          <cell r="AR233">
            <v>0.03</v>
          </cell>
          <cell r="BB233">
            <v>-344000</v>
          </cell>
          <cell r="BC233">
            <v>-344000</v>
          </cell>
          <cell r="BE233">
            <v>0</v>
          </cell>
          <cell r="BF233">
            <v>0</v>
          </cell>
          <cell r="BG233">
            <v>0</v>
          </cell>
        </row>
        <row r="234">
          <cell r="C234" t="str">
            <v>ET96</v>
          </cell>
          <cell r="D234" t="str">
            <v>ET96</v>
          </cell>
          <cell r="E234" t="str">
            <v>Door Molding</v>
          </cell>
          <cell r="F234" t="str">
            <v>车门饰条</v>
          </cell>
          <cell r="G234" t="str">
            <v>D</v>
          </cell>
          <cell r="H234" t="str">
            <v>PMT1</v>
          </cell>
          <cell r="I234" t="str">
            <v>TH</v>
          </cell>
          <cell r="J234" t="str">
            <v>JD8B</v>
          </cell>
          <cell r="K234" t="str">
            <v>F20849</v>
          </cell>
          <cell r="L234" t="str">
            <v>AA</v>
          </cell>
          <cell r="M234" t="str">
            <v>JD8B-F20849-AA</v>
          </cell>
          <cell r="N234" t="str">
            <v>Door Molding</v>
          </cell>
          <cell r="P234" t="str">
            <v>Jiang,haitao</v>
          </cell>
          <cell r="Q234" t="str">
            <v>du,jiaqi</v>
          </cell>
          <cell r="S234">
            <v>1</v>
          </cell>
          <cell r="T234">
            <v>1</v>
          </cell>
          <cell r="U234">
            <v>1</v>
          </cell>
          <cell r="V234">
            <v>1</v>
          </cell>
          <cell r="W234">
            <v>1</v>
          </cell>
          <cell r="X234">
            <v>1</v>
          </cell>
          <cell r="Y234">
            <v>1</v>
          </cell>
          <cell r="Z234">
            <v>1</v>
          </cell>
          <cell r="AA234">
            <v>1</v>
          </cell>
          <cell r="AC234">
            <v>-37.699999999999996</v>
          </cell>
          <cell r="AD234">
            <v>-1.51</v>
          </cell>
          <cell r="AE234">
            <v>-0.9</v>
          </cell>
          <cell r="AF234">
            <v>0</v>
          </cell>
          <cell r="AG234">
            <v>0</v>
          </cell>
          <cell r="AH234">
            <v>-40.109999999999992</v>
          </cell>
          <cell r="AI234" t="str">
            <v>CNY</v>
          </cell>
          <cell r="AJ234" t="str">
            <v>LP</v>
          </cell>
          <cell r="AK234" t="str">
            <v>Ning Bo
Zhong Jun</v>
          </cell>
          <cell r="AL234" t="str">
            <v>GF7RA</v>
          </cell>
          <cell r="AO234">
            <v>2</v>
          </cell>
          <cell r="AP234">
            <v>0.03</v>
          </cell>
          <cell r="AQ234">
            <v>0.03</v>
          </cell>
          <cell r="AR234">
            <v>0.03</v>
          </cell>
          <cell r="BB234">
            <v>-344000</v>
          </cell>
          <cell r="BC234">
            <v>-344000</v>
          </cell>
          <cell r="BE234">
            <v>0</v>
          </cell>
          <cell r="BF234">
            <v>0</v>
          </cell>
          <cell r="BG234">
            <v>0</v>
          </cell>
        </row>
        <row r="235">
          <cell r="C235" t="str">
            <v>ET96</v>
          </cell>
          <cell r="D235" t="str">
            <v>ET96</v>
          </cell>
          <cell r="E235" t="str">
            <v>Door Molding</v>
          </cell>
          <cell r="F235" t="str">
            <v>车门饰条</v>
          </cell>
          <cell r="G235" t="str">
            <v>D</v>
          </cell>
          <cell r="H235" t="str">
            <v>PMT1</v>
          </cell>
          <cell r="I235" t="str">
            <v>TH</v>
          </cell>
          <cell r="J235" t="str">
            <v>JD8B</v>
          </cell>
          <cell r="K235" t="str">
            <v>F25334</v>
          </cell>
          <cell r="L235" t="str">
            <v>AA</v>
          </cell>
          <cell r="M235" t="str">
            <v>JD8B-F25334-AA</v>
          </cell>
          <cell r="N235" t="str">
            <v>Door Molding</v>
          </cell>
          <cell r="P235" t="str">
            <v>Jiang,haitao</v>
          </cell>
          <cell r="Q235" t="str">
            <v>du,jiaqi</v>
          </cell>
          <cell r="S235">
            <v>1</v>
          </cell>
          <cell r="T235">
            <v>1</v>
          </cell>
          <cell r="U235">
            <v>1</v>
          </cell>
          <cell r="V235">
            <v>1</v>
          </cell>
          <cell r="W235">
            <v>1</v>
          </cell>
          <cell r="X235">
            <v>1</v>
          </cell>
          <cell r="Y235">
            <v>1</v>
          </cell>
          <cell r="Z235">
            <v>1</v>
          </cell>
          <cell r="AA235">
            <v>1</v>
          </cell>
          <cell r="AC235">
            <v>-21.77</v>
          </cell>
          <cell r="AD235">
            <v>-1.21</v>
          </cell>
          <cell r="AE235">
            <v>-0.64400000000000002</v>
          </cell>
          <cell r="AF235">
            <v>0</v>
          </cell>
          <cell r="AG235">
            <v>0</v>
          </cell>
          <cell r="AH235">
            <v>-23.623999999999999</v>
          </cell>
          <cell r="AI235" t="str">
            <v>CNY</v>
          </cell>
          <cell r="AJ235" t="str">
            <v>LP</v>
          </cell>
          <cell r="AK235" t="str">
            <v>Ning Bo
Zhong Jun</v>
          </cell>
          <cell r="AL235" t="str">
            <v>GF7RA</v>
          </cell>
          <cell r="AO235">
            <v>2</v>
          </cell>
          <cell r="AP235">
            <v>0.03</v>
          </cell>
          <cell r="AQ235">
            <v>0.03</v>
          </cell>
          <cell r="AR235">
            <v>0.03</v>
          </cell>
          <cell r="BB235">
            <v>-362300</v>
          </cell>
          <cell r="BC235">
            <v>-362300</v>
          </cell>
          <cell r="BE235">
            <v>0</v>
          </cell>
          <cell r="BF235">
            <v>0</v>
          </cell>
          <cell r="BG235">
            <v>0</v>
          </cell>
        </row>
        <row r="236">
          <cell r="C236" t="str">
            <v>ET96</v>
          </cell>
          <cell r="D236" t="str">
            <v>ET96</v>
          </cell>
          <cell r="E236" t="str">
            <v>Door Molding</v>
          </cell>
          <cell r="F236" t="str">
            <v>车门饰条</v>
          </cell>
          <cell r="G236" t="str">
            <v>D</v>
          </cell>
          <cell r="H236" t="str">
            <v>PMT1</v>
          </cell>
          <cell r="I236" t="str">
            <v>TH</v>
          </cell>
          <cell r="J236" t="str">
            <v>JD8B</v>
          </cell>
          <cell r="K236" t="str">
            <v>F25335</v>
          </cell>
          <cell r="L236" t="str">
            <v>AA</v>
          </cell>
          <cell r="M236" t="str">
            <v>JD8B-F25335-AA</v>
          </cell>
          <cell r="N236" t="str">
            <v>Door Molding</v>
          </cell>
          <cell r="P236" t="str">
            <v>Jiang,haitao</v>
          </cell>
          <cell r="Q236" t="str">
            <v>du,jiaqi</v>
          </cell>
          <cell r="S236">
            <v>1</v>
          </cell>
          <cell r="T236">
            <v>1</v>
          </cell>
          <cell r="U236">
            <v>1</v>
          </cell>
          <cell r="V236">
            <v>1</v>
          </cell>
          <cell r="W236">
            <v>1</v>
          </cell>
          <cell r="X236">
            <v>1</v>
          </cell>
          <cell r="Y236">
            <v>1</v>
          </cell>
          <cell r="Z236">
            <v>1</v>
          </cell>
          <cell r="AA236">
            <v>1</v>
          </cell>
          <cell r="AC236">
            <v>-21.77</v>
          </cell>
          <cell r="AD236">
            <v>-1.21</v>
          </cell>
          <cell r="AE236">
            <v>-0.64400000000000002</v>
          </cell>
          <cell r="AF236">
            <v>0</v>
          </cell>
          <cell r="AG236">
            <v>0</v>
          </cell>
          <cell r="AH236">
            <v>-23.623999999999999</v>
          </cell>
          <cell r="AI236" t="str">
            <v>CNY</v>
          </cell>
          <cell r="AJ236" t="str">
            <v>LP</v>
          </cell>
          <cell r="AK236" t="str">
            <v>Ning Bo
Zhong Jun</v>
          </cell>
          <cell r="AL236" t="str">
            <v>GF7RA</v>
          </cell>
          <cell r="AO236">
            <v>2</v>
          </cell>
          <cell r="AP236">
            <v>0.03</v>
          </cell>
          <cell r="AQ236">
            <v>0.03</v>
          </cell>
          <cell r="AR236">
            <v>0.03</v>
          </cell>
          <cell r="BB236">
            <v>-362300</v>
          </cell>
          <cell r="BC236">
            <v>-362300</v>
          </cell>
          <cell r="BE236">
            <v>0</v>
          </cell>
          <cell r="BF236">
            <v>0</v>
          </cell>
          <cell r="BG236">
            <v>0</v>
          </cell>
        </row>
        <row r="237">
          <cell r="C237" t="str">
            <v xml:space="preserve">B013-2 </v>
          </cell>
          <cell r="D237" t="str">
            <v>-</v>
          </cell>
          <cell r="E237" t="str">
            <v xml:space="preserve">PEM bracket </v>
          </cell>
          <cell r="F237" t="str">
            <v>PEM 支架</v>
          </cell>
          <cell r="G237" t="str">
            <v>D</v>
          </cell>
          <cell r="H237" t="str">
            <v>PMT4</v>
          </cell>
          <cell r="I237" t="str">
            <v>PF</v>
          </cell>
          <cell r="J237" t="str">
            <v>JD8G</v>
          </cell>
          <cell r="K237" t="str">
            <v>9D371</v>
          </cell>
          <cell r="L237" t="str">
            <v>AB</v>
          </cell>
          <cell r="M237" t="str">
            <v>JD8G-9D371-AB</v>
          </cell>
          <cell r="N237" t="str">
            <v>PEM bracket</v>
          </cell>
          <cell r="O237">
            <v>42655</v>
          </cell>
          <cell r="P237" t="str">
            <v>wei,xiaowei</v>
          </cell>
          <cell r="Q237" t="str">
            <v>zhang,xianqiang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1</v>
          </cell>
          <cell r="X237">
            <v>1</v>
          </cell>
          <cell r="Y237">
            <v>0</v>
          </cell>
          <cell r="Z237">
            <v>1</v>
          </cell>
          <cell r="AA237">
            <v>0.28000000000000003</v>
          </cell>
          <cell r="AC237">
            <v>-1.5</v>
          </cell>
          <cell r="AD237">
            <v>-0.01</v>
          </cell>
          <cell r="AE237">
            <v>-0.01</v>
          </cell>
          <cell r="AF237">
            <v>0</v>
          </cell>
          <cell r="AG237">
            <v>0</v>
          </cell>
          <cell r="AH237">
            <v>-1.52</v>
          </cell>
          <cell r="AI237" t="str">
            <v>CNY</v>
          </cell>
          <cell r="AJ237" t="str">
            <v>LP</v>
          </cell>
          <cell r="AK237" t="str">
            <v>CQ Zhixin</v>
          </cell>
          <cell r="AL237" t="str">
            <v>EC1AC</v>
          </cell>
          <cell r="AO237">
            <v>1</v>
          </cell>
          <cell r="AP237">
            <v>0.03</v>
          </cell>
          <cell r="AQ237">
            <v>0.03</v>
          </cell>
          <cell r="AR237">
            <v>0.03</v>
          </cell>
          <cell r="BB237">
            <v>-199405</v>
          </cell>
          <cell r="BC237">
            <v>-199405</v>
          </cell>
          <cell r="BE237">
            <v>0</v>
          </cell>
          <cell r="BF237">
            <v>0</v>
          </cell>
          <cell r="BG237">
            <v>0</v>
          </cell>
        </row>
        <row r="238">
          <cell r="C238" t="str">
            <v>E134</v>
          </cell>
          <cell r="D238" t="str">
            <v>E134</v>
          </cell>
          <cell r="E238" t="str">
            <v>SDLC</v>
          </cell>
          <cell r="F238" t="str">
            <v>网关</v>
          </cell>
          <cell r="G238" t="str">
            <v>B</v>
          </cell>
          <cell r="H238" t="str">
            <v>PMT5</v>
          </cell>
          <cell r="I238" t="str">
            <v>TH</v>
          </cell>
          <cell r="J238" t="str">
            <v>JD8T</v>
          </cell>
          <cell r="K238" t="str">
            <v>14F642</v>
          </cell>
          <cell r="L238" t="str">
            <v>AB</v>
          </cell>
          <cell r="M238" t="str">
            <v>JD8T-14F642-AB</v>
          </cell>
          <cell r="N238" t="str">
            <v>SDLC</v>
          </cell>
          <cell r="O238">
            <v>42678</v>
          </cell>
          <cell r="P238" t="str">
            <v>Wang,yang</v>
          </cell>
          <cell r="Q238" t="str">
            <v>Li,ruifeng</v>
          </cell>
          <cell r="S238">
            <v>1</v>
          </cell>
          <cell r="T238">
            <v>1</v>
          </cell>
          <cell r="U238">
            <v>1</v>
          </cell>
          <cell r="V238">
            <v>1</v>
          </cell>
          <cell r="W238">
            <v>1</v>
          </cell>
          <cell r="X238">
            <v>1</v>
          </cell>
          <cell r="Y238">
            <v>1</v>
          </cell>
          <cell r="Z238">
            <v>1</v>
          </cell>
          <cell r="AA238">
            <v>1</v>
          </cell>
          <cell r="AC238">
            <v>-53.83</v>
          </cell>
          <cell r="AD238">
            <v>-0.83</v>
          </cell>
          <cell r="AE238">
            <v>0</v>
          </cell>
          <cell r="AF238">
            <v>0</v>
          </cell>
          <cell r="AG238">
            <v>-0.8</v>
          </cell>
          <cell r="AH238">
            <v>-55.459999999999994</v>
          </cell>
          <cell r="AI238" t="str">
            <v>CNY</v>
          </cell>
          <cell r="AJ238" t="str">
            <v>LP</v>
          </cell>
          <cell r="AK238" t="str">
            <v>Bosch</v>
          </cell>
          <cell r="AO238">
            <v>5</v>
          </cell>
          <cell r="BB238">
            <v>-2215360</v>
          </cell>
          <cell r="BC238">
            <v>-2215360</v>
          </cell>
          <cell r="BE238">
            <v>-461548.97380788001</v>
          </cell>
          <cell r="BF238">
            <v>574899</v>
          </cell>
        </row>
        <row r="239">
          <cell r="C239" t="str">
            <v>CH049-Stage6</v>
          </cell>
          <cell r="D239" t="str">
            <v>CH049-Stage6</v>
          </cell>
          <cell r="E239" t="str">
            <v>Fuel line-BJ6</v>
          </cell>
          <cell r="F239" t="str">
            <v>燃油通气管</v>
          </cell>
          <cell r="G239" t="str">
            <v>B</v>
          </cell>
          <cell r="H239" t="str">
            <v>PMT4</v>
          </cell>
          <cell r="I239" t="str">
            <v>PF</v>
          </cell>
          <cell r="J239" t="str">
            <v>JD8G</v>
          </cell>
          <cell r="K239" t="str">
            <v>9S327</v>
          </cell>
          <cell r="L239" t="str">
            <v>AB</v>
          </cell>
          <cell r="M239" t="str">
            <v>JD8G-9S327-AB</v>
          </cell>
          <cell r="N239" t="str">
            <v xml:space="preserve">Atmosphere line (BJ6) </v>
          </cell>
          <cell r="O239">
            <v>42706</v>
          </cell>
          <cell r="P239" t="str">
            <v>li,li</v>
          </cell>
          <cell r="Q239" t="str">
            <v>Xu hailong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C239">
            <v>-20.69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-20.69</v>
          </cell>
          <cell r="AI239" t="str">
            <v>CNY</v>
          </cell>
          <cell r="AJ239" t="str">
            <v>LP</v>
          </cell>
          <cell r="AK239" t="str">
            <v>Chongqing Cooper</v>
          </cell>
          <cell r="AL239" t="str">
            <v>EC0ZB</v>
          </cell>
          <cell r="AO239">
            <v>5</v>
          </cell>
          <cell r="BB239">
            <v>-82140</v>
          </cell>
          <cell r="BC239">
            <v>-82140</v>
          </cell>
        </row>
        <row r="240">
          <cell r="C240" t="str">
            <v>CH049</v>
          </cell>
          <cell r="D240" t="str">
            <v>CH049</v>
          </cell>
          <cell r="E240" t="str">
            <v>Fuel line-BJ6</v>
          </cell>
          <cell r="F240" t="str">
            <v>燃油通气管</v>
          </cell>
          <cell r="G240" t="str">
            <v>B</v>
          </cell>
          <cell r="H240" t="str">
            <v>PMT4</v>
          </cell>
          <cell r="I240" t="str">
            <v>PF</v>
          </cell>
          <cell r="J240" t="str">
            <v>JD8G</v>
          </cell>
          <cell r="K240" t="str">
            <v>9L291</v>
          </cell>
          <cell r="L240" t="str">
            <v>AD</v>
          </cell>
          <cell r="M240" t="str">
            <v>JD8G-9L291-AD</v>
          </cell>
          <cell r="N240" t="str">
            <v xml:space="preserve">Fuel and Brake Bundle (BJ6) </v>
          </cell>
          <cell r="O240">
            <v>42706</v>
          </cell>
          <cell r="P240" t="str">
            <v>li,li</v>
          </cell>
          <cell r="Q240" t="str">
            <v>Xu hailong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0</v>
          </cell>
          <cell r="X240">
            <v>0</v>
          </cell>
          <cell r="Y240">
            <v>1</v>
          </cell>
          <cell r="Z240">
            <v>0</v>
          </cell>
          <cell r="AA240">
            <v>0.72000000000000008</v>
          </cell>
          <cell r="AC240">
            <v>-142.87000000000003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-142.87000000000003</v>
          </cell>
          <cell r="AI240" t="str">
            <v>CNY</v>
          </cell>
          <cell r="AJ240" t="str">
            <v>LP</v>
          </cell>
          <cell r="AK240" t="str">
            <v>Chongqing Cooper</v>
          </cell>
          <cell r="AL240" t="str">
            <v>EC0ZB</v>
          </cell>
          <cell r="AO240">
            <v>5</v>
          </cell>
          <cell r="BB240">
            <v>-1054000</v>
          </cell>
          <cell r="BC240">
            <v>-1054000</v>
          </cell>
        </row>
        <row r="241">
          <cell r="C241" t="str">
            <v>CH049-Stage6</v>
          </cell>
          <cell r="D241" t="str">
            <v>CH049-Stage6</v>
          </cell>
          <cell r="E241" t="str">
            <v>Fuel line-BJ6</v>
          </cell>
          <cell r="F241" t="str">
            <v>燃油通气管</v>
          </cell>
          <cell r="G241" t="str">
            <v>B</v>
          </cell>
          <cell r="H241" t="str">
            <v>PMT4</v>
          </cell>
          <cell r="I241" t="str">
            <v>PF</v>
          </cell>
          <cell r="J241" t="str">
            <v>JD8G</v>
          </cell>
          <cell r="K241" t="str">
            <v>9L291</v>
          </cell>
          <cell r="L241" t="str">
            <v>BC</v>
          </cell>
          <cell r="M241" t="str">
            <v>JD8G-9L291-BC</v>
          </cell>
          <cell r="N241" t="str">
            <v xml:space="preserve">Fuel and Brake Bundle (BJ6) </v>
          </cell>
          <cell r="O241">
            <v>42706</v>
          </cell>
          <cell r="P241" t="str">
            <v>li,li</v>
          </cell>
          <cell r="Q241" t="str">
            <v>Xu hailong</v>
          </cell>
          <cell r="S241">
            <v>1</v>
          </cell>
          <cell r="T241">
            <v>1</v>
          </cell>
          <cell r="U241">
            <v>1</v>
          </cell>
          <cell r="V241">
            <v>1</v>
          </cell>
          <cell r="W241">
            <v>0</v>
          </cell>
          <cell r="X241">
            <v>0</v>
          </cell>
          <cell r="Y241">
            <v>1</v>
          </cell>
          <cell r="Z241">
            <v>0</v>
          </cell>
          <cell r="AA241">
            <v>0.72000000000000008</v>
          </cell>
          <cell r="AC241">
            <v>-146.64000000000001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-146.64000000000001</v>
          </cell>
          <cell r="AI241" t="str">
            <v>CNY</v>
          </cell>
          <cell r="AJ241" t="str">
            <v>LP</v>
          </cell>
          <cell r="AK241" t="str">
            <v>Chongqing Cooper</v>
          </cell>
          <cell r="AL241" t="str">
            <v>EC0ZB</v>
          </cell>
          <cell r="AO241">
            <v>5</v>
          </cell>
          <cell r="BB241">
            <v>-470920</v>
          </cell>
          <cell r="BC241">
            <v>-470920</v>
          </cell>
        </row>
        <row r="242">
          <cell r="C242" t="str">
            <v>CH049</v>
          </cell>
          <cell r="D242" t="str">
            <v>-</v>
          </cell>
          <cell r="E242" t="str">
            <v>Fuel line-BJ6</v>
          </cell>
          <cell r="F242" t="str">
            <v>燃油通气管</v>
          </cell>
          <cell r="G242" t="str">
            <v>B</v>
          </cell>
          <cell r="H242" t="str">
            <v>PMT4</v>
          </cell>
          <cell r="I242" t="str">
            <v>PF</v>
          </cell>
          <cell r="J242" t="str">
            <v>JD8G</v>
          </cell>
          <cell r="K242" t="str">
            <v>9L291</v>
          </cell>
          <cell r="L242" t="str">
            <v>CC</v>
          </cell>
          <cell r="M242" t="str">
            <v>JD8G-9L291-CC</v>
          </cell>
          <cell r="N242" t="str">
            <v xml:space="preserve">Fuel and Brake Bundle (BJ6) </v>
          </cell>
          <cell r="O242">
            <v>42706</v>
          </cell>
          <cell r="P242" t="str">
            <v>li,li</v>
          </cell>
          <cell r="Q242" t="str">
            <v>Xu hailong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1</v>
          </cell>
          <cell r="X242">
            <v>1</v>
          </cell>
          <cell r="Y242">
            <v>0</v>
          </cell>
          <cell r="Z242">
            <v>1</v>
          </cell>
          <cell r="AA242">
            <v>0.28000000000000003</v>
          </cell>
          <cell r="AC242">
            <v>-152.06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-152.06</v>
          </cell>
          <cell r="AI242" t="str">
            <v>CNY</v>
          </cell>
          <cell r="AJ242" t="str">
            <v>LP</v>
          </cell>
          <cell r="AK242" t="str">
            <v>Chongqing Cooper</v>
          </cell>
          <cell r="AL242" t="str">
            <v>EC0ZB</v>
          </cell>
          <cell r="AO242">
            <v>5</v>
          </cell>
          <cell r="BB242">
            <v>-1312780</v>
          </cell>
          <cell r="BC242">
            <v>-1312780</v>
          </cell>
        </row>
        <row r="243">
          <cell r="C243" t="str">
            <v>CH049-Stage6</v>
          </cell>
          <cell r="D243" t="str">
            <v>CH049-Stage6</v>
          </cell>
          <cell r="E243" t="str">
            <v>Fuel line-BJ6</v>
          </cell>
          <cell r="F243" t="str">
            <v>燃油通气管</v>
          </cell>
          <cell r="G243" t="str">
            <v>B</v>
          </cell>
          <cell r="H243" t="str">
            <v>PMT4</v>
          </cell>
          <cell r="I243" t="str">
            <v>PF</v>
          </cell>
          <cell r="J243" t="str">
            <v>JD8G</v>
          </cell>
          <cell r="K243" t="str">
            <v>9J280</v>
          </cell>
          <cell r="L243" t="str">
            <v>AB</v>
          </cell>
          <cell r="M243" t="str">
            <v>JD8G-9J280-AB</v>
          </cell>
          <cell r="N243" t="str">
            <v xml:space="preserve">Fuel Feed line (Bundle to Engine) </v>
          </cell>
          <cell r="O243">
            <v>42706</v>
          </cell>
          <cell r="P243" t="str">
            <v>li,li</v>
          </cell>
          <cell r="Q243" t="str">
            <v>Xu hailong</v>
          </cell>
          <cell r="S243">
            <v>1</v>
          </cell>
          <cell r="T243">
            <v>1</v>
          </cell>
          <cell r="U243">
            <v>1</v>
          </cell>
          <cell r="V243">
            <v>1</v>
          </cell>
          <cell r="W243">
            <v>0</v>
          </cell>
          <cell r="X243">
            <v>0</v>
          </cell>
          <cell r="Y243">
            <v>1</v>
          </cell>
          <cell r="Z243">
            <v>0</v>
          </cell>
          <cell r="AA243">
            <v>0.72000000000000008</v>
          </cell>
          <cell r="AC243">
            <v>-29.34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-29.34</v>
          </cell>
          <cell r="AI243" t="str">
            <v>CNY</v>
          </cell>
          <cell r="AJ243" t="str">
            <v>LP</v>
          </cell>
          <cell r="AK243" t="str">
            <v>Chongqing Cooper</v>
          </cell>
          <cell r="AL243" t="str">
            <v>EC0ZB</v>
          </cell>
          <cell r="AO243">
            <v>5</v>
          </cell>
          <cell r="BB243">
            <v>-352200</v>
          </cell>
          <cell r="BC243">
            <v>-352200</v>
          </cell>
        </row>
        <row r="244">
          <cell r="C244" t="str">
            <v>CH049</v>
          </cell>
          <cell r="D244" t="str">
            <v>-</v>
          </cell>
          <cell r="E244" t="str">
            <v>Fuel line</v>
          </cell>
          <cell r="F244" t="str">
            <v>燃油通气管</v>
          </cell>
          <cell r="G244" t="str">
            <v>B</v>
          </cell>
          <cell r="H244" t="str">
            <v>PMT4</v>
          </cell>
          <cell r="I244" t="str">
            <v>PF</v>
          </cell>
          <cell r="J244" t="str">
            <v>JD8G</v>
          </cell>
          <cell r="K244" t="str">
            <v>9J280</v>
          </cell>
          <cell r="L244" t="str">
            <v>BA</v>
          </cell>
          <cell r="M244" t="str">
            <v>JD8G-9J280-BA</v>
          </cell>
          <cell r="N244" t="str">
            <v xml:space="preserve">Fuel Feed line (Bundle to Engine) </v>
          </cell>
          <cell r="O244" t="str">
            <v>NA</v>
          </cell>
          <cell r="P244" t="str">
            <v>NA</v>
          </cell>
          <cell r="Q244" t="str">
            <v>NA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1</v>
          </cell>
          <cell r="X244">
            <v>1</v>
          </cell>
          <cell r="Y244">
            <v>0</v>
          </cell>
          <cell r="Z244">
            <v>1</v>
          </cell>
          <cell r="AA244">
            <v>0.28000000000000003</v>
          </cell>
          <cell r="AC244">
            <v>-75.44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-75.44</v>
          </cell>
          <cell r="AI244" t="str">
            <v>CNY</v>
          </cell>
          <cell r="AJ244" t="str">
            <v>LP</v>
          </cell>
          <cell r="AK244" t="str">
            <v>Chongqing Cooper</v>
          </cell>
          <cell r="AL244" t="str">
            <v>EC0ZB</v>
          </cell>
          <cell r="AO244" t="str">
            <v>na</v>
          </cell>
          <cell r="BB244">
            <v>-64800</v>
          </cell>
          <cell r="BC244">
            <v>-64800</v>
          </cell>
        </row>
        <row r="245">
          <cell r="C245" t="str">
            <v>CH049-Stage6</v>
          </cell>
          <cell r="D245" t="str">
            <v>CH049-Stage6</v>
          </cell>
          <cell r="E245" t="str">
            <v>Fuel line-BJ6</v>
          </cell>
          <cell r="F245" t="str">
            <v>燃油通气管</v>
          </cell>
          <cell r="G245" t="str">
            <v>B</v>
          </cell>
          <cell r="H245" t="str">
            <v>PMT4</v>
          </cell>
          <cell r="I245" t="str">
            <v>PF</v>
          </cell>
          <cell r="J245" t="str">
            <v>JD8G</v>
          </cell>
          <cell r="K245" t="str">
            <v>9D683</v>
          </cell>
          <cell r="L245" t="str">
            <v>AB</v>
          </cell>
          <cell r="M245" t="str">
            <v>JD8G-9D683-AB</v>
          </cell>
          <cell r="N245" t="str">
            <v xml:space="preserve">Fuel Vapor line (Tank to Y-connector) </v>
          </cell>
          <cell r="O245">
            <v>42706</v>
          </cell>
          <cell r="P245" t="str">
            <v>li,li</v>
          </cell>
          <cell r="Q245" t="str">
            <v>Xu hailong</v>
          </cell>
          <cell r="S245">
            <v>1</v>
          </cell>
          <cell r="T245">
            <v>1</v>
          </cell>
          <cell r="U245">
            <v>1</v>
          </cell>
          <cell r="V245">
            <v>1</v>
          </cell>
          <cell r="W245">
            <v>0</v>
          </cell>
          <cell r="X245">
            <v>0</v>
          </cell>
          <cell r="Y245">
            <v>1</v>
          </cell>
          <cell r="Z245">
            <v>0</v>
          </cell>
          <cell r="AA245">
            <v>0</v>
          </cell>
          <cell r="AC245">
            <v>-103.53999999999999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-103.53999999999999</v>
          </cell>
          <cell r="AI245" t="str">
            <v>CNY</v>
          </cell>
          <cell r="AJ245" t="str">
            <v>LP</v>
          </cell>
          <cell r="AK245" t="str">
            <v>Chongqing Cooper</v>
          </cell>
          <cell r="AL245" t="str">
            <v>EC0ZB</v>
          </cell>
          <cell r="AO245">
            <v>5</v>
          </cell>
          <cell r="BB245">
            <v>-96600</v>
          </cell>
          <cell r="BC245">
            <v>-96600</v>
          </cell>
        </row>
        <row r="246">
          <cell r="C246" t="str">
            <v>CH049-Stage6</v>
          </cell>
          <cell r="D246" t="str">
            <v>CH049-Stage6</v>
          </cell>
          <cell r="E246" t="str">
            <v>Fuel line-BJ6</v>
          </cell>
          <cell r="F246" t="str">
            <v>燃油通气管</v>
          </cell>
          <cell r="G246" t="str">
            <v>B</v>
          </cell>
          <cell r="H246" t="str">
            <v>PMT4</v>
          </cell>
          <cell r="I246" t="str">
            <v>PF</v>
          </cell>
          <cell r="J246" t="str">
            <v>JD8G</v>
          </cell>
          <cell r="K246" t="str">
            <v>9D333</v>
          </cell>
          <cell r="L246" t="str">
            <v>AA</v>
          </cell>
          <cell r="M246" t="str">
            <v>JD8G-9D333-AA</v>
          </cell>
          <cell r="N246" t="str">
            <v>Fuel Vapor line (Recirculation line to</v>
          </cell>
          <cell r="O246">
            <v>42706</v>
          </cell>
          <cell r="P246" t="str">
            <v>li,li</v>
          </cell>
          <cell r="Q246" t="str">
            <v>Xu hailong</v>
          </cell>
          <cell r="S246">
            <v>1</v>
          </cell>
          <cell r="T246">
            <v>1</v>
          </cell>
          <cell r="U246">
            <v>1</v>
          </cell>
          <cell r="V246">
            <v>1</v>
          </cell>
          <cell r="W246">
            <v>1</v>
          </cell>
          <cell r="X246">
            <v>1</v>
          </cell>
          <cell r="Y246">
            <v>1</v>
          </cell>
          <cell r="Z246">
            <v>1</v>
          </cell>
          <cell r="AA246">
            <v>1</v>
          </cell>
          <cell r="AC246">
            <v>-31.439999999999998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-31.439999999999998</v>
          </cell>
          <cell r="AI246" t="str">
            <v>CNY</v>
          </cell>
          <cell r="AJ246" t="str">
            <v>LP</v>
          </cell>
          <cell r="AK246" t="str">
            <v>Chongqing Cooper</v>
          </cell>
          <cell r="AL246" t="str">
            <v>EC0ZB</v>
          </cell>
          <cell r="AO246">
            <v>5</v>
          </cell>
          <cell r="BB246">
            <v>-112020</v>
          </cell>
          <cell r="BC246">
            <v>-112020</v>
          </cell>
        </row>
        <row r="247">
          <cell r="C247" t="str">
            <v>CH049-Stage6</v>
          </cell>
          <cell r="D247" t="str">
            <v>CH049-Stage6</v>
          </cell>
          <cell r="E247" t="str">
            <v>Fuel line-BJ6</v>
          </cell>
          <cell r="F247" t="str">
            <v>燃油通气管</v>
          </cell>
          <cell r="G247" t="str">
            <v>B</v>
          </cell>
          <cell r="H247" t="str">
            <v>PMT4</v>
          </cell>
          <cell r="I247" t="str">
            <v>PF</v>
          </cell>
          <cell r="J247" t="str">
            <v>JD8G</v>
          </cell>
          <cell r="K247" t="str">
            <v>9A322</v>
          </cell>
          <cell r="L247" t="str">
            <v>BA</v>
          </cell>
          <cell r="M247" t="str">
            <v>JD8G-9A322-BA</v>
          </cell>
          <cell r="N247" t="str">
            <v xml:space="preserve">Fuel Feed line (FDM to Filter/ Filter to </v>
          </cell>
          <cell r="O247">
            <v>42706</v>
          </cell>
          <cell r="P247" t="str">
            <v>li,li</v>
          </cell>
          <cell r="Q247" t="str">
            <v>Xu hailong</v>
          </cell>
          <cell r="S247">
            <v>1</v>
          </cell>
          <cell r="T247">
            <v>1</v>
          </cell>
          <cell r="U247">
            <v>1</v>
          </cell>
          <cell r="V247">
            <v>1</v>
          </cell>
          <cell r="W247">
            <v>1</v>
          </cell>
          <cell r="X247">
            <v>1</v>
          </cell>
          <cell r="Y247">
            <v>1</v>
          </cell>
          <cell r="Z247">
            <v>1</v>
          </cell>
          <cell r="AA247">
            <v>1</v>
          </cell>
          <cell r="AC247">
            <v>-17.4509772194444</v>
          </cell>
          <cell r="AD247">
            <v>-0.3</v>
          </cell>
          <cell r="AE247">
            <v>-0.31</v>
          </cell>
          <cell r="AF247">
            <v>-0.18</v>
          </cell>
          <cell r="AH247">
            <v>-18.2409772194444</v>
          </cell>
          <cell r="AI247" t="str">
            <v>CNY</v>
          </cell>
          <cell r="AJ247" t="str">
            <v>LP</v>
          </cell>
          <cell r="AK247" t="str">
            <v>Chongqing Cooper</v>
          </cell>
          <cell r="AL247" t="str">
            <v>EC0ZB</v>
          </cell>
          <cell r="AO247">
            <v>5</v>
          </cell>
          <cell r="BB247">
            <v>-61200</v>
          </cell>
          <cell r="BC247">
            <v>-61200</v>
          </cell>
        </row>
        <row r="248">
          <cell r="C248" t="str">
            <v>CH049</v>
          </cell>
          <cell r="D248" t="str">
            <v>CH049</v>
          </cell>
          <cell r="E248" t="str">
            <v>Fuel line</v>
          </cell>
          <cell r="F248" t="str">
            <v>燃油通气管</v>
          </cell>
          <cell r="G248" t="str">
            <v>B</v>
          </cell>
          <cell r="H248" t="str">
            <v>PMT4</v>
          </cell>
          <cell r="I248" t="str">
            <v>PF</v>
          </cell>
          <cell r="J248" t="str">
            <v>JD8G</v>
          </cell>
          <cell r="K248" t="str">
            <v>9D289</v>
          </cell>
          <cell r="L248" t="str">
            <v>AB</v>
          </cell>
          <cell r="M248" t="str">
            <v>JD8G-9D289-AB</v>
          </cell>
          <cell r="N248" t="str">
            <v xml:space="preserve">Fuel Vapor line (Bundle to Engine) </v>
          </cell>
          <cell r="O248">
            <v>42706</v>
          </cell>
          <cell r="P248" t="str">
            <v>li,li</v>
          </cell>
          <cell r="Q248" t="str">
            <v>Xu hailong</v>
          </cell>
          <cell r="S248">
            <v>1</v>
          </cell>
          <cell r="T248">
            <v>1</v>
          </cell>
          <cell r="U248">
            <v>1</v>
          </cell>
          <cell r="V248">
            <v>1</v>
          </cell>
          <cell r="W248">
            <v>0</v>
          </cell>
          <cell r="X248">
            <v>0</v>
          </cell>
          <cell r="Y248">
            <v>1</v>
          </cell>
          <cell r="Z248">
            <v>0</v>
          </cell>
          <cell r="AA248">
            <v>0.72000000000000008</v>
          </cell>
          <cell r="AC248">
            <v>-52.96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-52.96</v>
          </cell>
          <cell r="AI248" t="str">
            <v>CNY</v>
          </cell>
          <cell r="AJ248" t="str">
            <v>LP</v>
          </cell>
          <cell r="AK248" t="str">
            <v>Chongqing Cooper</v>
          </cell>
          <cell r="AL248" t="str">
            <v>EC0ZB</v>
          </cell>
          <cell r="AO248">
            <v>5</v>
          </cell>
          <cell r="BB248">
            <v>-131400</v>
          </cell>
          <cell r="BC248">
            <v>-131400</v>
          </cell>
        </row>
        <row r="249">
          <cell r="C249" t="str">
            <v>CH049</v>
          </cell>
          <cell r="D249" t="str">
            <v>-</v>
          </cell>
          <cell r="E249" t="str">
            <v>Fuel line</v>
          </cell>
          <cell r="F249" t="str">
            <v>燃油通气管</v>
          </cell>
          <cell r="G249" t="str">
            <v>B</v>
          </cell>
          <cell r="H249" t="str">
            <v>PMT4</v>
          </cell>
          <cell r="I249" t="str">
            <v>PF</v>
          </cell>
          <cell r="J249" t="str">
            <v>JD8G</v>
          </cell>
          <cell r="K249" t="str">
            <v>9D289</v>
          </cell>
          <cell r="L249" t="str">
            <v>BC</v>
          </cell>
          <cell r="M249" t="str">
            <v>JD8G-9D289-BC</v>
          </cell>
          <cell r="N249" t="str">
            <v xml:space="preserve">Fuel Vapor line (Bundle to Engine) </v>
          </cell>
          <cell r="O249">
            <v>42706</v>
          </cell>
          <cell r="P249" t="str">
            <v>li,li</v>
          </cell>
          <cell r="Q249" t="str">
            <v>Xu hailong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1</v>
          </cell>
          <cell r="X249">
            <v>1</v>
          </cell>
          <cell r="Y249">
            <v>0</v>
          </cell>
          <cell r="Z249">
            <v>1</v>
          </cell>
          <cell r="AA249">
            <v>0.28000000000000003</v>
          </cell>
          <cell r="AC249">
            <v>-134.6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-134.6</v>
          </cell>
          <cell r="AI249" t="str">
            <v>CNY</v>
          </cell>
          <cell r="AJ249" t="str">
            <v>LP</v>
          </cell>
          <cell r="AK249" t="str">
            <v>Chongqing Cooper</v>
          </cell>
          <cell r="AL249" t="str">
            <v>EC0ZB</v>
          </cell>
          <cell r="BB249">
            <v>-470240</v>
          </cell>
          <cell r="BC249">
            <v>-470240</v>
          </cell>
        </row>
        <row r="250">
          <cell r="C250" t="str">
            <v>CH049-Stage6</v>
          </cell>
          <cell r="D250" t="str">
            <v>-</v>
          </cell>
          <cell r="E250" t="str">
            <v>Fuel line-BJ6</v>
          </cell>
          <cell r="F250" t="str">
            <v>燃油通气管</v>
          </cell>
          <cell r="G250" t="str">
            <v>B</v>
          </cell>
          <cell r="H250" t="str">
            <v>PMT4</v>
          </cell>
          <cell r="I250" t="str">
            <v>PF</v>
          </cell>
          <cell r="J250" t="str">
            <v>JD8G</v>
          </cell>
          <cell r="K250" t="str">
            <v>9S329</v>
          </cell>
          <cell r="L250" t="str">
            <v>A</v>
          </cell>
          <cell r="M250" t="str">
            <v>JD8G-9S329-A</v>
          </cell>
          <cell r="N250" t="str">
            <v xml:space="preserve">Atmosphere line (Canister to External </v>
          </cell>
          <cell r="O250" t="str">
            <v>na</v>
          </cell>
          <cell r="P250" t="str">
            <v>li,li</v>
          </cell>
          <cell r="Q250" t="str">
            <v>Xu hailong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C250">
            <v>0</v>
          </cell>
          <cell r="AD250">
            <v>0</v>
          </cell>
          <cell r="AE250">
            <v>0</v>
          </cell>
          <cell r="AH250">
            <v>0</v>
          </cell>
          <cell r="AI250" t="str">
            <v>CNY</v>
          </cell>
          <cell r="AJ250" t="str">
            <v>LP</v>
          </cell>
          <cell r="AK250" t="str">
            <v>Chongqing Cooper</v>
          </cell>
          <cell r="AL250" t="str">
            <v>EC0ZB</v>
          </cell>
          <cell r="AO250">
            <v>5</v>
          </cell>
        </row>
        <row r="251">
          <cell r="C251" t="str">
            <v>E055</v>
          </cell>
          <cell r="D251" t="str">
            <v>E055</v>
          </cell>
          <cell r="E251" t="str">
            <v>BCM</v>
          </cell>
          <cell r="F251" t="str">
            <v>车身控制模块</v>
          </cell>
          <cell r="G251" t="str">
            <v>B</v>
          </cell>
          <cell r="H251" t="str">
            <v>PMT5</v>
          </cell>
          <cell r="I251" t="str">
            <v>TH</v>
          </cell>
          <cell r="J251" t="str">
            <v>JU5T</v>
          </cell>
          <cell r="K251" t="str">
            <v>15604</v>
          </cell>
          <cell r="L251" t="str">
            <v>MCE</v>
          </cell>
          <cell r="M251" t="str">
            <v>JU5T-15604-MCE</v>
          </cell>
          <cell r="N251" t="str">
            <v>Body Control Module</v>
          </cell>
          <cell r="O251">
            <v>42671</v>
          </cell>
          <cell r="P251" t="str">
            <v>Liu,dawei</v>
          </cell>
          <cell r="Q251" t="str">
            <v>hu,qiang</v>
          </cell>
          <cell r="S251">
            <v>1</v>
          </cell>
          <cell r="T251">
            <v>1</v>
          </cell>
          <cell r="U251">
            <v>1</v>
          </cell>
          <cell r="V251">
            <v>1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0.67</v>
          </cell>
          <cell r="AC251">
            <v>-310.67</v>
          </cell>
          <cell r="AD251">
            <v>-2.15</v>
          </cell>
          <cell r="AE251">
            <v>-4.1500000000000004</v>
          </cell>
          <cell r="AG251">
            <v>-4.2699999999999996</v>
          </cell>
          <cell r="AH251">
            <v>-321.23999999999995</v>
          </cell>
          <cell r="AI251" t="str">
            <v>CNY</v>
          </cell>
          <cell r="AJ251" t="str">
            <v>LP</v>
          </cell>
          <cell r="AK251" t="str">
            <v>Shanghai UAES</v>
          </cell>
          <cell r="AL251" t="str">
            <v>CUEQA</v>
          </cell>
          <cell r="AO251">
            <v>3</v>
          </cell>
          <cell r="AW251">
            <v>0.66</v>
          </cell>
          <cell r="BE251">
            <v>-2453189.2000000002</v>
          </cell>
          <cell r="BF251">
            <v>574899</v>
          </cell>
        </row>
        <row r="252">
          <cell r="C252" t="str">
            <v>E055</v>
          </cell>
          <cell r="D252" t="str">
            <v>-</v>
          </cell>
          <cell r="E252" t="str">
            <v>BCM</v>
          </cell>
          <cell r="F252" t="str">
            <v>车身控制模块</v>
          </cell>
          <cell r="G252" t="str">
            <v>B</v>
          </cell>
          <cell r="H252" t="str">
            <v>PMT5</v>
          </cell>
          <cell r="I252" t="str">
            <v>TH</v>
          </cell>
          <cell r="J252" t="str">
            <v>JU5T</v>
          </cell>
          <cell r="K252" t="str">
            <v>15604</v>
          </cell>
          <cell r="L252" t="str">
            <v>KCE</v>
          </cell>
          <cell r="M252" t="str">
            <v>JU5T-15604-KCE</v>
          </cell>
          <cell r="N252" t="str">
            <v>Body Control Module</v>
          </cell>
          <cell r="O252">
            <v>42671</v>
          </cell>
          <cell r="P252" t="str">
            <v>Liu,dawei</v>
          </cell>
          <cell r="Q252" t="str">
            <v>hu,qiang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1</v>
          </cell>
          <cell r="X252">
            <v>1</v>
          </cell>
          <cell r="Y252">
            <v>1</v>
          </cell>
          <cell r="Z252">
            <v>1</v>
          </cell>
          <cell r="AA252">
            <v>0.33</v>
          </cell>
          <cell r="AC252">
            <v>-347.63</v>
          </cell>
          <cell r="AD252">
            <v>-2.15</v>
          </cell>
          <cell r="AE252">
            <v>-4.1500000000000004</v>
          </cell>
          <cell r="AG252">
            <v>-4.2699999999999996</v>
          </cell>
          <cell r="AH252">
            <v>-358.19999999999993</v>
          </cell>
          <cell r="AI252" t="str">
            <v>CNY</v>
          </cell>
          <cell r="AJ252" t="str">
            <v>LP</v>
          </cell>
          <cell r="AK252" t="str">
            <v>Shanghai UAES</v>
          </cell>
          <cell r="AL252" t="str">
            <v>CUEQA</v>
          </cell>
          <cell r="AO252">
            <v>3</v>
          </cell>
          <cell r="AW252">
            <v>0.66</v>
          </cell>
        </row>
        <row r="253">
          <cell r="C253" t="str">
            <v>B07-3</v>
          </cell>
          <cell r="D253" t="str">
            <v>B07-3</v>
          </cell>
          <cell r="E253" t="str">
            <v xml:space="preserve">Hood striker </v>
          </cell>
          <cell r="F253" t="str">
            <v>引擎盖锁扣</v>
          </cell>
          <cell r="G253" t="str">
            <v>D</v>
          </cell>
          <cell r="H253" t="str">
            <v>PMT1</v>
          </cell>
          <cell r="I253" t="str">
            <v>TH</v>
          </cell>
          <cell r="J253" t="str">
            <v>JD8B</v>
          </cell>
          <cell r="K253" t="str">
            <v>16A944</v>
          </cell>
          <cell r="L253" t="str">
            <v>AA</v>
          </cell>
          <cell r="M253" t="str">
            <v>JD8B-16A944-AA</v>
          </cell>
          <cell r="N253" t="str">
            <v>Hood Striker</v>
          </cell>
          <cell r="O253">
            <v>42655</v>
          </cell>
          <cell r="P253" t="str">
            <v>Tao,xuanzhong</v>
          </cell>
          <cell r="Q253" t="str">
            <v>Jin zhengbin</v>
          </cell>
          <cell r="S253">
            <v>1</v>
          </cell>
          <cell r="T253">
            <v>1</v>
          </cell>
          <cell r="U253">
            <v>1</v>
          </cell>
          <cell r="V253">
            <v>1</v>
          </cell>
          <cell r="W253">
            <v>1</v>
          </cell>
          <cell r="X253">
            <v>1</v>
          </cell>
          <cell r="Y253">
            <v>1</v>
          </cell>
          <cell r="Z253">
            <v>1</v>
          </cell>
          <cell r="AA253">
            <v>1</v>
          </cell>
          <cell r="AC253">
            <v>-5.3</v>
          </cell>
          <cell r="AD253">
            <v>-0.09</v>
          </cell>
          <cell r="AE253">
            <v>-0.3</v>
          </cell>
          <cell r="AG253">
            <v>-0.11</v>
          </cell>
          <cell r="AH253">
            <v>-5.8</v>
          </cell>
          <cell r="AI253" t="str">
            <v>CNY</v>
          </cell>
          <cell r="AJ253" t="str">
            <v>LP</v>
          </cell>
          <cell r="AK253" t="str">
            <v>CQ Aoteng</v>
          </cell>
          <cell r="AL253" t="str">
            <v>GTUJA</v>
          </cell>
          <cell r="AO253">
            <v>1</v>
          </cell>
          <cell r="AP253">
            <v>3.5000000000000003E-2</v>
          </cell>
          <cell r="AQ253">
            <v>3.5000000000000003E-2</v>
          </cell>
          <cell r="AR253">
            <v>3.5000000000000003E-2</v>
          </cell>
          <cell r="BB253">
            <v>-122642.1</v>
          </cell>
          <cell r="BC253">
            <v>-122642.1</v>
          </cell>
          <cell r="BE253">
            <v>-60410</v>
          </cell>
          <cell r="BF253">
            <v>574899</v>
          </cell>
        </row>
        <row r="254">
          <cell r="C254" t="str">
            <v>E024-2</v>
          </cell>
          <cell r="D254" t="str">
            <v>E024-2</v>
          </cell>
          <cell r="E254" t="str">
            <v>BMS</v>
          </cell>
          <cell r="F254" t="str">
            <v>电池管理系统</v>
          </cell>
          <cell r="G254" t="str">
            <v>B</v>
          </cell>
          <cell r="H254" t="str">
            <v>PMT5</v>
          </cell>
          <cell r="I254" t="str">
            <v>TH</v>
          </cell>
          <cell r="J254" t="str">
            <v>JD8T</v>
          </cell>
          <cell r="K254" t="str">
            <v>10C679</v>
          </cell>
          <cell r="L254" t="str">
            <v>AC</v>
          </cell>
          <cell r="M254" t="str">
            <v>JD8T-10C679-AC</v>
          </cell>
          <cell r="N254" t="str">
            <v>BMS</v>
          </cell>
          <cell r="O254">
            <v>42601</v>
          </cell>
          <cell r="P254" t="str">
            <v>Liu,dawei</v>
          </cell>
          <cell r="Q254" t="str">
            <v>Liao,wei</v>
          </cell>
          <cell r="S254">
            <v>1</v>
          </cell>
          <cell r="T254">
            <v>1</v>
          </cell>
          <cell r="U254">
            <v>1</v>
          </cell>
          <cell r="V254">
            <v>1</v>
          </cell>
          <cell r="W254">
            <v>1</v>
          </cell>
          <cell r="X254">
            <v>1</v>
          </cell>
          <cell r="Y254">
            <v>1</v>
          </cell>
          <cell r="Z254">
            <v>1</v>
          </cell>
          <cell r="AA254">
            <v>1</v>
          </cell>
          <cell r="AC254">
            <v>-76.540000000000006</v>
          </cell>
          <cell r="AD254">
            <v>-0.73</v>
          </cell>
          <cell r="AE254">
            <v>-1.33</v>
          </cell>
          <cell r="AG254">
            <v>-0.72</v>
          </cell>
          <cell r="AH254">
            <v>-79.320000000000007</v>
          </cell>
          <cell r="AI254" t="str">
            <v>CNY</v>
          </cell>
          <cell r="AJ254" t="str">
            <v>LP</v>
          </cell>
          <cell r="AK254" t="str">
            <v>Hella Shanghai</v>
          </cell>
          <cell r="AL254" t="str">
            <v>EGSEA</v>
          </cell>
          <cell r="AO254">
            <v>3</v>
          </cell>
          <cell r="AR254">
            <v>0.01</v>
          </cell>
          <cell r="AS254">
            <v>0.01</v>
          </cell>
          <cell r="AT254">
            <v>0.01</v>
          </cell>
          <cell r="BB254">
            <v>-91500</v>
          </cell>
          <cell r="BC254">
            <v>-91500</v>
          </cell>
          <cell r="BE254">
            <v>-413701</v>
          </cell>
          <cell r="BF254">
            <v>574899</v>
          </cell>
          <cell r="BM254" t="str">
            <v>2014年度铜价格 6.095EUR/kg  重量：199g</v>
          </cell>
        </row>
        <row r="255">
          <cell r="C255" t="str">
            <v>ET76</v>
          </cell>
          <cell r="D255" t="str">
            <v>ET76</v>
          </cell>
          <cell r="E255" t="str">
            <v>LED Switch With License Plate Lamp</v>
          </cell>
          <cell r="F255" t="str">
            <v>尾门LED开关</v>
          </cell>
          <cell r="G255" t="str">
            <v>B</v>
          </cell>
          <cell r="H255" t="str">
            <v>PMT1</v>
          </cell>
          <cell r="I255" t="str">
            <v>TH</v>
          </cell>
          <cell r="J255" t="str">
            <v>JD8B</v>
          </cell>
          <cell r="K255" t="str">
            <v>19B514</v>
          </cell>
          <cell r="L255" t="str">
            <v>BE</v>
          </cell>
          <cell r="M255" t="str">
            <v>JD8B-19B514-BE</v>
          </cell>
          <cell r="N255" t="str">
            <v>LED Switch Without Camera</v>
          </cell>
          <cell r="O255">
            <v>42601</v>
          </cell>
          <cell r="P255" t="str">
            <v>Xiao,yili</v>
          </cell>
          <cell r="Q255" t="str">
            <v>Jin,zhengbin</v>
          </cell>
          <cell r="S255">
            <v>1</v>
          </cell>
          <cell r="T255">
            <v>1</v>
          </cell>
          <cell r="U255">
            <v>1</v>
          </cell>
          <cell r="V255">
            <v>1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0.67</v>
          </cell>
          <cell r="AC255">
            <v>-48.53</v>
          </cell>
          <cell r="AD255">
            <v>-0.69</v>
          </cell>
          <cell r="AE255">
            <v>-0.39</v>
          </cell>
          <cell r="AF255">
            <v>0</v>
          </cell>
          <cell r="AG255">
            <v>-2.23</v>
          </cell>
          <cell r="AH255">
            <v>-51.839999999999996</v>
          </cell>
          <cell r="AI255" t="str">
            <v>CNY</v>
          </cell>
          <cell r="AJ255" t="str">
            <v>LP</v>
          </cell>
          <cell r="AK255" t="str">
            <v>Shanghai Methode</v>
          </cell>
          <cell r="AL255" t="str">
            <v>GJENA</v>
          </cell>
          <cell r="AO255">
            <v>5</v>
          </cell>
          <cell r="AP255">
            <v>0.02</v>
          </cell>
          <cell r="AQ255">
            <v>0.02</v>
          </cell>
          <cell r="AR255">
            <v>0.02</v>
          </cell>
          <cell r="AW255">
            <v>0.22</v>
          </cell>
          <cell r="AX255" t="str">
            <v>EUR</v>
          </cell>
          <cell r="AY255">
            <v>8.16</v>
          </cell>
          <cell r="BB255">
            <v>-3289442.4</v>
          </cell>
          <cell r="BC255">
            <v>-3289442.4</v>
          </cell>
          <cell r="BE255">
            <v>-686526</v>
          </cell>
          <cell r="BF255">
            <v>308146</v>
          </cell>
        </row>
        <row r="256">
          <cell r="C256" t="str">
            <v>ET76</v>
          </cell>
          <cell r="D256" t="str">
            <v>-</v>
          </cell>
          <cell r="E256" t="str">
            <v>LED Switch With License Plate Lamp</v>
          </cell>
          <cell r="F256" t="str">
            <v>尾门LED开关</v>
          </cell>
          <cell r="G256" t="str">
            <v>B</v>
          </cell>
          <cell r="H256" t="str">
            <v>PMT1</v>
          </cell>
          <cell r="I256" t="str">
            <v>TH</v>
          </cell>
          <cell r="J256" t="str">
            <v>JD8B</v>
          </cell>
          <cell r="K256" t="str">
            <v>19B514</v>
          </cell>
          <cell r="L256" t="str">
            <v>AE</v>
          </cell>
          <cell r="M256" t="str">
            <v>JD8B-19B514-AE</v>
          </cell>
          <cell r="N256" t="str">
            <v>LED Switch Without Camera</v>
          </cell>
          <cell r="O256">
            <v>42601</v>
          </cell>
          <cell r="P256" t="str">
            <v>Xiao,yili</v>
          </cell>
          <cell r="Q256" t="str">
            <v>Jin,zhengbin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0.33</v>
          </cell>
          <cell r="AC256">
            <v>-55.58</v>
          </cell>
          <cell r="AD256">
            <v>-0.69</v>
          </cell>
          <cell r="AE256">
            <v>-0.39</v>
          </cell>
          <cell r="AF256">
            <v>0</v>
          </cell>
          <cell r="AG256">
            <v>-2.23</v>
          </cell>
          <cell r="AH256">
            <v>-58.889999999999993</v>
          </cell>
          <cell r="AI256" t="str">
            <v>CNY</v>
          </cell>
          <cell r="AJ256" t="str">
            <v>LP</v>
          </cell>
          <cell r="AK256" t="str">
            <v>Shanghai Methode</v>
          </cell>
          <cell r="AL256" t="str">
            <v>GJENA</v>
          </cell>
          <cell r="AO256">
            <v>5</v>
          </cell>
          <cell r="AP256">
            <v>0.02</v>
          </cell>
          <cell r="AQ256">
            <v>0.02</v>
          </cell>
          <cell r="AR256">
            <v>0.02</v>
          </cell>
          <cell r="AW256">
            <v>0.22</v>
          </cell>
          <cell r="AX256" t="str">
            <v>EUR</v>
          </cell>
          <cell r="AY256">
            <v>8.16</v>
          </cell>
          <cell r="BB256">
            <v>-3463757.6</v>
          </cell>
          <cell r="BC256">
            <v>-3463757.6</v>
          </cell>
          <cell r="BE256">
            <v>-594307</v>
          </cell>
          <cell r="BF256">
            <v>266753</v>
          </cell>
        </row>
        <row r="257">
          <cell r="C257" t="str">
            <v>E100</v>
          </cell>
          <cell r="D257" t="str">
            <v>E100</v>
          </cell>
          <cell r="E257" t="str">
            <v>AM/FM Shark Fin Antenna</v>
          </cell>
          <cell r="F257" t="str">
            <v>AM/FM鲨鱼鳍天线</v>
          </cell>
          <cell r="G257" t="str">
            <v>B</v>
          </cell>
          <cell r="H257" t="str">
            <v>PMT5</v>
          </cell>
          <cell r="I257" t="str">
            <v>TH</v>
          </cell>
          <cell r="J257" t="str">
            <v>JD8T</v>
          </cell>
          <cell r="K257" t="str">
            <v>19G461</v>
          </cell>
          <cell r="L257" t="str">
            <v>ABW</v>
          </cell>
          <cell r="M257" t="str">
            <v>JD8T-19G461-ABW</v>
          </cell>
          <cell r="N257" t="str">
            <v xml:space="preserve">AM/FM Shark Fin </v>
          </cell>
          <cell r="O257">
            <v>42636</v>
          </cell>
          <cell r="P257" t="str">
            <v>Liu,dandan</v>
          </cell>
          <cell r="Q257" t="str">
            <v>Zhou,Guirong</v>
          </cell>
          <cell r="S257">
            <v>1</v>
          </cell>
          <cell r="T257">
            <v>1</v>
          </cell>
          <cell r="U257">
            <v>1</v>
          </cell>
          <cell r="V257">
            <v>1</v>
          </cell>
          <cell r="W257">
            <v>1</v>
          </cell>
          <cell r="X257">
            <v>1</v>
          </cell>
          <cell r="Y257">
            <v>1</v>
          </cell>
          <cell r="Z257">
            <v>1</v>
          </cell>
          <cell r="AA257">
            <v>1</v>
          </cell>
          <cell r="AC257">
            <v>-73.180000000000007</v>
          </cell>
          <cell r="AD257">
            <v>-0.7</v>
          </cell>
          <cell r="AE257">
            <v>-0.25</v>
          </cell>
          <cell r="AF257">
            <v>0</v>
          </cell>
          <cell r="AG257">
            <v>0</v>
          </cell>
          <cell r="AH257">
            <v>-74.13000000000001</v>
          </cell>
          <cell r="AI257" t="str">
            <v>CNY</v>
          </cell>
          <cell r="AJ257" t="str">
            <v>LP</v>
          </cell>
          <cell r="AK257" t="str">
            <v>Harada</v>
          </cell>
          <cell r="AL257" t="str">
            <v>GRXYA</v>
          </cell>
          <cell r="AO257">
            <v>4.95</v>
          </cell>
          <cell r="BB257">
            <v>-776100</v>
          </cell>
          <cell r="BC257">
            <v>-776100</v>
          </cell>
          <cell r="BE257">
            <v>0</v>
          </cell>
          <cell r="BF257">
            <v>0</v>
          </cell>
          <cell r="BG257">
            <v>0</v>
          </cell>
        </row>
        <row r="258">
          <cell r="C258" t="str">
            <v>PTO19-1</v>
          </cell>
          <cell r="D258" t="str">
            <v>-</v>
          </cell>
          <cell r="E258" t="str">
            <v>ATWU Heater Fox</v>
          </cell>
          <cell r="F258" t="str">
            <v>水冷式变速器油冷器</v>
          </cell>
          <cell r="G258" t="str">
            <v>B</v>
          </cell>
          <cell r="H258" t="str">
            <v>PMT4</v>
          </cell>
          <cell r="I258" t="str">
            <v>PF</v>
          </cell>
          <cell r="J258" t="str">
            <v>JD8P</v>
          </cell>
          <cell r="K258" t="str">
            <v>7869</v>
          </cell>
          <cell r="L258" t="str">
            <v>AB</v>
          </cell>
          <cell r="M258" t="str">
            <v>JD8P-7869-AB</v>
          </cell>
          <cell r="N258" t="str">
            <v>WTOC -1.0 Fox</v>
          </cell>
          <cell r="O258">
            <v>42636</v>
          </cell>
          <cell r="P258" t="str">
            <v>long,houjun</v>
          </cell>
          <cell r="Q258" t="str">
            <v>ying,yuxian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1</v>
          </cell>
          <cell r="AA258">
            <v>0.19</v>
          </cell>
          <cell r="AC258">
            <v>-114.71</v>
          </cell>
          <cell r="AD258">
            <v>-4.3499999999999996</v>
          </cell>
          <cell r="AE258">
            <v>-3.27</v>
          </cell>
          <cell r="AF258">
            <v>0</v>
          </cell>
          <cell r="AG258">
            <v>0</v>
          </cell>
          <cell r="AH258">
            <v>-122.32999999999998</v>
          </cell>
          <cell r="AI258" t="str">
            <v>CNY</v>
          </cell>
          <cell r="AJ258" t="str">
            <v>LP</v>
          </cell>
          <cell r="AK258" t="str">
            <v>Dana Wuxi</v>
          </cell>
          <cell r="AL258" t="str">
            <v>FN0FA</v>
          </cell>
          <cell r="AO258">
            <v>5</v>
          </cell>
          <cell r="BB258">
            <v>-757300</v>
          </cell>
          <cell r="BC258">
            <v>-757300</v>
          </cell>
          <cell r="BD258" t="str">
            <v xml:space="preserve"> </v>
          </cell>
          <cell r="BE258">
            <v>0</v>
          </cell>
          <cell r="BF258">
            <v>0</v>
          </cell>
          <cell r="BG258">
            <v>0</v>
          </cell>
        </row>
        <row r="259">
          <cell r="C259" t="str">
            <v>PTO19-1</v>
          </cell>
          <cell r="D259" t="str">
            <v>-</v>
          </cell>
          <cell r="E259" t="str">
            <v>ATWU Heater Dragon</v>
          </cell>
          <cell r="F259" t="str">
            <v>水冷式变速器油冷器</v>
          </cell>
          <cell r="G259" t="str">
            <v>B</v>
          </cell>
          <cell r="H259" t="str">
            <v>PMT4</v>
          </cell>
          <cell r="I259" t="str">
            <v>PF</v>
          </cell>
          <cell r="J259" t="str">
            <v>F1FP</v>
          </cell>
          <cell r="K259" t="str">
            <v>7869</v>
          </cell>
          <cell r="L259" t="str">
            <v>AC</v>
          </cell>
          <cell r="M259" t="str">
            <v>F1FP-7869-AC</v>
          </cell>
          <cell r="O259" t="str">
            <v>NA</v>
          </cell>
          <cell r="P259" t="str">
            <v>long,houjun</v>
          </cell>
          <cell r="Q259" t="str">
            <v>ying,yuxian</v>
          </cell>
          <cell r="S259">
            <v>0</v>
          </cell>
          <cell r="T259">
            <v>1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0.44</v>
          </cell>
          <cell r="AC259">
            <v>-116.93</v>
          </cell>
          <cell r="AD259">
            <v>-4.3499999999999996</v>
          </cell>
          <cell r="AE259">
            <v>-3.27</v>
          </cell>
          <cell r="AF259">
            <v>0</v>
          </cell>
          <cell r="AG259">
            <v>0</v>
          </cell>
          <cell r="AH259">
            <v>-124.55</v>
          </cell>
          <cell r="AI259" t="str">
            <v>CNY</v>
          </cell>
          <cell r="AJ259" t="str">
            <v>LP</v>
          </cell>
          <cell r="AK259" t="str">
            <v>Dana Wuxi</v>
          </cell>
          <cell r="AL259" t="str">
            <v>FN0FA</v>
          </cell>
          <cell r="BB259">
            <v>0</v>
          </cell>
          <cell r="BC259">
            <v>0</v>
          </cell>
          <cell r="BE259">
            <v>0</v>
          </cell>
          <cell r="BF259">
            <v>0</v>
          </cell>
          <cell r="BG259">
            <v>0</v>
          </cell>
        </row>
        <row r="260">
          <cell r="C260" t="str">
            <v>PTO19-1</v>
          </cell>
          <cell r="D260" t="str">
            <v>-</v>
          </cell>
          <cell r="E260" t="str">
            <v>ATOC</v>
          </cell>
          <cell r="F260" t="str">
            <v>风冷式变速器油冷器</v>
          </cell>
          <cell r="G260" t="str">
            <v>B</v>
          </cell>
          <cell r="H260" t="str">
            <v>PMT4</v>
          </cell>
          <cell r="I260" t="str">
            <v>PF</v>
          </cell>
          <cell r="J260" t="str">
            <v>F1F1</v>
          </cell>
          <cell r="K260" t="str">
            <v>7K177</v>
          </cell>
          <cell r="L260" t="str">
            <v>VA</v>
          </cell>
          <cell r="M260" t="str">
            <v>F1F1-7K177-VA</v>
          </cell>
          <cell r="O260" t="str">
            <v>NA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1</v>
          </cell>
          <cell r="AA260">
            <v>0.19</v>
          </cell>
          <cell r="AC260">
            <v>-187.77</v>
          </cell>
          <cell r="AD260">
            <v>-8.76</v>
          </cell>
          <cell r="AE260">
            <v>-7.44</v>
          </cell>
          <cell r="AF260">
            <v>-2.58</v>
          </cell>
          <cell r="AG260">
            <v>0</v>
          </cell>
          <cell r="AH260">
            <v>-206.55</v>
          </cell>
          <cell r="AI260" t="str">
            <v>CNY</v>
          </cell>
          <cell r="AJ260" t="str">
            <v>LP</v>
          </cell>
          <cell r="AK260" t="str">
            <v>浙江银轮 </v>
          </cell>
          <cell r="AL260" t="str">
            <v>EJ6GA </v>
          </cell>
          <cell r="BB260">
            <v>0</v>
          </cell>
          <cell r="BC260">
            <v>0</v>
          </cell>
          <cell r="BE260">
            <v>0</v>
          </cell>
          <cell r="BF260">
            <v>0</v>
          </cell>
          <cell r="BG260">
            <v>0</v>
          </cell>
          <cell r="BI260">
            <v>-236836</v>
          </cell>
          <cell r="BJ260">
            <v>91894</v>
          </cell>
        </row>
        <row r="261">
          <cell r="C261" t="str">
            <v>E085</v>
          </cell>
          <cell r="D261" t="str">
            <v>E085</v>
          </cell>
          <cell r="E261" t="str">
            <v>BCM Bracket</v>
          </cell>
          <cell r="F261" t="str">
            <v>BCM 支架</v>
          </cell>
          <cell r="G261" t="str">
            <v>D</v>
          </cell>
          <cell r="H261" t="str">
            <v>PMT5</v>
          </cell>
          <cell r="I261" t="str">
            <v>TH</v>
          </cell>
          <cell r="J261" t="str">
            <v>JD8T</v>
          </cell>
          <cell r="K261" t="str">
            <v>14A254</v>
          </cell>
          <cell r="L261" t="str">
            <v>AC</v>
          </cell>
          <cell r="M261" t="str">
            <v>JD8T-14A254-AC</v>
          </cell>
          <cell r="N261" t="str">
            <v xml:space="preserve">BMC bracket </v>
          </cell>
          <cell r="O261">
            <v>42655</v>
          </cell>
          <cell r="P261" t="str">
            <v>Wei,xiaowei</v>
          </cell>
          <cell r="Q261" t="str">
            <v>hu,qiang</v>
          </cell>
          <cell r="S261">
            <v>1</v>
          </cell>
          <cell r="T261">
            <v>1</v>
          </cell>
          <cell r="U261">
            <v>1</v>
          </cell>
          <cell r="V261">
            <v>1</v>
          </cell>
          <cell r="W261">
            <v>1</v>
          </cell>
          <cell r="X261">
            <v>1</v>
          </cell>
          <cell r="Y261">
            <v>1</v>
          </cell>
          <cell r="Z261">
            <v>1</v>
          </cell>
          <cell r="AA261">
            <v>1</v>
          </cell>
          <cell r="AC261">
            <v>-12.229999999999999</v>
          </cell>
          <cell r="AD261">
            <v>-7.0000000000000007E-2</v>
          </cell>
          <cell r="AE261">
            <v>-0.04</v>
          </cell>
          <cell r="AF261">
            <v>0</v>
          </cell>
          <cell r="AG261">
            <v>0</v>
          </cell>
          <cell r="AH261">
            <v>-12.339999999999998</v>
          </cell>
          <cell r="AI261" t="str">
            <v>CNY</v>
          </cell>
          <cell r="AJ261" t="str">
            <v>LP</v>
          </cell>
          <cell r="AK261" t="str">
            <v>CQ Gangxianglong</v>
          </cell>
          <cell r="AL261" t="str">
            <v>GGU8A</v>
          </cell>
          <cell r="AO261">
            <v>2.89</v>
          </cell>
          <cell r="BB261">
            <v>-845859</v>
          </cell>
          <cell r="BC261">
            <v>-845859</v>
          </cell>
          <cell r="BE261">
            <v>0</v>
          </cell>
          <cell r="BF261">
            <v>0</v>
          </cell>
          <cell r="BG261">
            <v>0</v>
          </cell>
          <cell r="BI261">
            <v>0</v>
          </cell>
          <cell r="BJ261">
            <v>0</v>
          </cell>
          <cell r="BM261" t="str">
            <v>Economic adjustment</v>
          </cell>
        </row>
        <row r="262">
          <cell r="C262" t="str">
            <v>PT03-4</v>
          </cell>
          <cell r="D262" t="str">
            <v>PT03-4</v>
          </cell>
          <cell r="E262" t="str">
            <v>Catalyst-Dragon PFI Stg6</v>
          </cell>
          <cell r="F262" t="str">
            <v xml:space="preserve"> 催化剂-Dragon PFI 国6</v>
          </cell>
          <cell r="G262" t="str">
            <v>B</v>
          </cell>
          <cell r="H262" t="str">
            <v>PMT4</v>
          </cell>
          <cell r="I262" t="str">
            <v>PF</v>
          </cell>
          <cell r="J262" t="str">
            <v>JX61</v>
          </cell>
          <cell r="K262" t="str">
            <v>5F228</v>
          </cell>
          <cell r="L262" t="str">
            <v>TA</v>
          </cell>
          <cell r="M262" t="str">
            <v>JX61-5F228-TA</v>
          </cell>
          <cell r="N262" t="str">
            <v xml:space="preserve"> Catalyst-Dragon PFI Stg6</v>
          </cell>
          <cell r="O262">
            <v>42657</v>
          </cell>
          <cell r="P262" t="str">
            <v>Su,xupeng</v>
          </cell>
          <cell r="Q262" t="str">
            <v>Xia,xu</v>
          </cell>
          <cell r="S262">
            <v>1</v>
          </cell>
          <cell r="T262">
            <v>1</v>
          </cell>
          <cell r="U262">
            <v>1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0.72000000000000008</v>
          </cell>
          <cell r="AC262">
            <v>-215.756</v>
          </cell>
          <cell r="AH262">
            <v>-215.756</v>
          </cell>
          <cell r="AI262" t="str">
            <v>CNY</v>
          </cell>
          <cell r="AJ262" t="str">
            <v>LP</v>
          </cell>
          <cell r="AK262" t="str">
            <v>Suzhou Umicore</v>
          </cell>
          <cell r="AL262" t="str">
            <v>HA77A</v>
          </cell>
          <cell r="AO262">
            <v>6.952297966221102</v>
          </cell>
          <cell r="AP262">
            <v>0.03</v>
          </cell>
          <cell r="AQ262">
            <v>0.03</v>
          </cell>
          <cell r="AR262">
            <v>0.03</v>
          </cell>
        </row>
        <row r="263">
          <cell r="C263" t="str">
            <v>PT03-3</v>
          </cell>
          <cell r="D263" t="str">
            <v>PT03-3</v>
          </cell>
          <cell r="E263" t="str">
            <v>Catalyst-Dragon PFI Stg5</v>
          </cell>
          <cell r="F263" t="str">
            <v xml:space="preserve">催化剂-Dragon PFI 国5 </v>
          </cell>
          <cell r="G263" t="str">
            <v>B</v>
          </cell>
          <cell r="H263" t="str">
            <v>PMT4</v>
          </cell>
          <cell r="I263" t="str">
            <v>PF</v>
          </cell>
          <cell r="J263" t="str">
            <v>JX61</v>
          </cell>
          <cell r="K263" t="str">
            <v>5F228</v>
          </cell>
          <cell r="L263" t="str">
            <v>RB</v>
          </cell>
          <cell r="M263" t="str">
            <v>JX61-5F228-RB</v>
          </cell>
          <cell r="N263" t="str">
            <v xml:space="preserve"> Catalyst-Dragon PFI Stg6</v>
          </cell>
          <cell r="O263">
            <v>42657</v>
          </cell>
          <cell r="P263" t="str">
            <v>Su,xupeng</v>
          </cell>
          <cell r="Q263" t="str">
            <v>Xia,xu</v>
          </cell>
          <cell r="S263">
            <v>1</v>
          </cell>
          <cell r="T263">
            <v>1</v>
          </cell>
          <cell r="U263">
            <v>1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0</v>
          </cell>
          <cell r="AA263">
            <v>0.72000000000000008</v>
          </cell>
          <cell r="AC263">
            <v>-446.16</v>
          </cell>
          <cell r="AH263">
            <v>-446.16</v>
          </cell>
          <cell r="AI263" t="str">
            <v>CNY</v>
          </cell>
          <cell r="AJ263" t="str">
            <v>LP</v>
          </cell>
          <cell r="AK263" t="str">
            <v>Suzhou Umicore</v>
          </cell>
          <cell r="AL263" t="str">
            <v>HA77A</v>
          </cell>
          <cell r="AO263">
            <v>3.3620225927918233</v>
          </cell>
          <cell r="AP263">
            <v>0.03</v>
          </cell>
          <cell r="AQ263">
            <v>0.03</v>
          </cell>
          <cell r="AR263">
            <v>0.03</v>
          </cell>
        </row>
        <row r="264">
          <cell r="C264" t="str">
            <v>PT03-4</v>
          </cell>
          <cell r="D264" t="str">
            <v>PT03-4</v>
          </cell>
          <cell r="E264" t="str">
            <v>Catalyst-Dragon PFI Stg6</v>
          </cell>
          <cell r="F264" t="str">
            <v xml:space="preserve">催化剂-Dragon PFI 国6 </v>
          </cell>
          <cell r="G264" t="str">
            <v>B</v>
          </cell>
          <cell r="H264" t="str">
            <v>PMT4</v>
          </cell>
          <cell r="I264" t="str">
            <v>PF</v>
          </cell>
          <cell r="J264" t="str">
            <v>JX61</v>
          </cell>
          <cell r="K264" t="str">
            <v>5F228</v>
          </cell>
          <cell r="L264" t="str">
            <v>SA</v>
          </cell>
          <cell r="M264" t="str">
            <v>JX61-5F228-SA</v>
          </cell>
          <cell r="N264" t="str">
            <v xml:space="preserve"> Catalyst-Dragon PFI Stg6</v>
          </cell>
          <cell r="O264">
            <v>42657</v>
          </cell>
          <cell r="P264" t="str">
            <v>Su,xupeng</v>
          </cell>
          <cell r="Q264" t="str">
            <v>Xia,xu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0</v>
          </cell>
          <cell r="X264">
            <v>0</v>
          </cell>
          <cell r="Y264">
            <v>1</v>
          </cell>
          <cell r="Z264">
            <v>0</v>
          </cell>
          <cell r="AA264">
            <v>0.72000000000000008</v>
          </cell>
          <cell r="AC264">
            <v>-700.29100000000005</v>
          </cell>
          <cell r="AH264">
            <v>-700.29100000000005</v>
          </cell>
          <cell r="AI264" t="str">
            <v>CNY</v>
          </cell>
          <cell r="AJ264" t="str">
            <v>LP</v>
          </cell>
          <cell r="AK264" t="str">
            <v>Suzhou Umicore</v>
          </cell>
          <cell r="AL264" t="str">
            <v>HA77A</v>
          </cell>
          <cell r="AO264">
            <v>2.1419666967017994</v>
          </cell>
          <cell r="AP264">
            <v>0.03</v>
          </cell>
          <cell r="AQ264">
            <v>0.03</v>
          </cell>
          <cell r="AR264">
            <v>0.03</v>
          </cell>
        </row>
        <row r="265">
          <cell r="C265" t="str">
            <v>CH096</v>
          </cell>
          <cell r="D265" t="str">
            <v>CH096</v>
          </cell>
          <cell r="E265" t="str">
            <v>Mass damper</v>
          </cell>
          <cell r="F265" t="str">
            <v>质量减震块（车身）</v>
          </cell>
          <cell r="G265" t="str">
            <v>B</v>
          </cell>
          <cell r="H265" t="str">
            <v>BIW</v>
          </cell>
          <cell r="I265" t="str">
            <v>PF</v>
          </cell>
          <cell r="J265" t="str">
            <v>JD8B</v>
          </cell>
          <cell r="K265" t="str">
            <v>F422C30</v>
          </cell>
          <cell r="L265" t="str">
            <v>AA</v>
          </cell>
          <cell r="M265" t="str">
            <v>JD8B-F422C30-AA</v>
          </cell>
          <cell r="N265" t="str">
            <v>Mass damper</v>
          </cell>
          <cell r="O265">
            <v>42664</v>
          </cell>
          <cell r="P265" t="str">
            <v>Jiang,liping</v>
          </cell>
          <cell r="Q265" t="str">
            <v>Ding,min</v>
          </cell>
          <cell r="S265">
            <v>1</v>
          </cell>
          <cell r="T265">
            <v>1</v>
          </cell>
          <cell r="U265">
            <v>1</v>
          </cell>
          <cell r="V265">
            <v>1</v>
          </cell>
          <cell r="W265">
            <v>1</v>
          </cell>
          <cell r="X265">
            <v>1</v>
          </cell>
          <cell r="Y265">
            <v>1</v>
          </cell>
          <cell r="Z265">
            <v>1</v>
          </cell>
          <cell r="AA265">
            <v>1</v>
          </cell>
          <cell r="AC265">
            <v>-30.46</v>
          </cell>
          <cell r="AD265">
            <v>-1.57</v>
          </cell>
          <cell r="AE265" t="str">
            <v>Milkrun</v>
          </cell>
          <cell r="AF265">
            <v>0</v>
          </cell>
          <cell r="AG265">
            <v>0</v>
          </cell>
          <cell r="AH265">
            <v>-32.03</v>
          </cell>
          <cell r="AI265" t="str">
            <v>CNY</v>
          </cell>
          <cell r="AJ265" t="str">
            <v>LP</v>
          </cell>
          <cell r="AK265" t="str">
            <v>TBVC</v>
          </cell>
          <cell r="AL265" t="str">
            <v>CQSZA</v>
          </cell>
          <cell r="AO265">
            <v>5</v>
          </cell>
          <cell r="AP265">
            <v>0.02</v>
          </cell>
          <cell r="AQ265">
            <v>0.02</v>
          </cell>
          <cell r="AR265">
            <v>0.02</v>
          </cell>
          <cell r="BB265">
            <v>-612000</v>
          </cell>
          <cell r="BC265">
            <v>-612000</v>
          </cell>
          <cell r="BE265">
            <v>0</v>
          </cell>
          <cell r="BF265">
            <v>0</v>
          </cell>
        </row>
        <row r="266">
          <cell r="C266" t="str">
            <v>E057-2</v>
          </cell>
          <cell r="D266" t="str">
            <v>-</v>
          </cell>
          <cell r="E266" t="str">
            <v>Condenser</v>
          </cell>
          <cell r="F266" t="str">
            <v>冷凝器</v>
          </cell>
          <cell r="G266" t="str">
            <v>B</v>
          </cell>
          <cell r="H266" t="str">
            <v>PMT2</v>
          </cell>
          <cell r="I266" t="str">
            <v>PF</v>
          </cell>
          <cell r="J266" t="str">
            <v>F1F1</v>
          </cell>
          <cell r="K266">
            <v>19710</v>
          </cell>
          <cell r="L266" t="str">
            <v>BB</v>
          </cell>
          <cell r="M266" t="str">
            <v>F1F1-19710-BB</v>
          </cell>
          <cell r="N266" t="str">
            <v>Condenser</v>
          </cell>
          <cell r="O266">
            <v>42671</v>
          </cell>
          <cell r="P266" t="str">
            <v>Li,ping</v>
          </cell>
          <cell r="Q266" t="str">
            <v>Yu,fenfei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1</v>
          </cell>
          <cell r="X266">
            <v>1</v>
          </cell>
          <cell r="Y266">
            <v>0</v>
          </cell>
          <cell r="Z266">
            <v>1</v>
          </cell>
          <cell r="AA266">
            <v>0.28000000000000003</v>
          </cell>
          <cell r="AC266">
            <v>-170.46</v>
          </cell>
          <cell r="AD266">
            <v>-4.37</v>
          </cell>
          <cell r="AE266">
            <v>-10.199999999999999</v>
          </cell>
          <cell r="AF266">
            <v>0</v>
          </cell>
          <cell r="AG266">
            <v>0</v>
          </cell>
          <cell r="AH266">
            <v>-185.03</v>
          </cell>
          <cell r="AI266" t="str">
            <v>CNY</v>
          </cell>
          <cell r="AJ266" t="str">
            <v>LP</v>
          </cell>
          <cell r="AK266" t="str">
            <v xml:space="preserve">Chongqing  KTT </v>
          </cell>
          <cell r="AL266" t="str">
            <v>GP73B</v>
          </cell>
          <cell r="AO266">
            <v>3</v>
          </cell>
          <cell r="BB266">
            <v>-850000</v>
          </cell>
          <cell r="BC266">
            <v>-850000</v>
          </cell>
          <cell r="BE266">
            <v>0</v>
          </cell>
          <cell r="BF266">
            <v>0</v>
          </cell>
        </row>
        <row r="267">
          <cell r="C267" t="str">
            <v>CH005</v>
          </cell>
          <cell r="D267" t="str">
            <v>-</v>
          </cell>
          <cell r="E267" t="str">
            <v>ESCL</v>
          </cell>
          <cell r="F267" t="str">
            <v>转向柱电子锁座</v>
          </cell>
          <cell r="G267" t="str">
            <v>B</v>
          </cell>
          <cell r="H267" t="str">
            <v>PMT3</v>
          </cell>
          <cell r="I267" t="str">
            <v>PF</v>
          </cell>
          <cell r="J267" t="str">
            <v>GN15</v>
          </cell>
          <cell r="K267" t="str">
            <v>3F880</v>
          </cell>
          <cell r="L267" t="str">
            <v>C1C</v>
          </cell>
          <cell r="M267" t="str">
            <v>GN15-3F880-C1C</v>
          </cell>
          <cell r="N267" t="str">
            <v>ESCL</v>
          </cell>
          <cell r="P267" t="str">
            <v>Liu,kaiyu</v>
          </cell>
          <cell r="Q267" t="str">
            <v>Sun,zhiwang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1</v>
          </cell>
          <cell r="Z267">
            <v>1</v>
          </cell>
          <cell r="AA267">
            <v>0.1</v>
          </cell>
          <cell r="AC267">
            <v>-178.04</v>
          </cell>
          <cell r="AD267">
            <v>-1.1000000000000001</v>
          </cell>
          <cell r="AE267">
            <v>-2.2000000000000002</v>
          </cell>
          <cell r="AF267">
            <v>0</v>
          </cell>
          <cell r="AG267">
            <v>0</v>
          </cell>
          <cell r="AH267">
            <v>-181.33999999999997</v>
          </cell>
          <cell r="AI267" t="str">
            <v>CNY</v>
          </cell>
          <cell r="AJ267" t="str">
            <v>LP</v>
          </cell>
          <cell r="AK267" t="str">
            <v>U-shin Wuxi</v>
          </cell>
          <cell r="AL267" t="str">
            <v>FW5TA</v>
          </cell>
          <cell r="AO267">
            <v>1</v>
          </cell>
          <cell r="AW267">
            <v>0.72</v>
          </cell>
        </row>
        <row r="268">
          <cell r="C268" t="str">
            <v>PT04</v>
          </cell>
          <cell r="D268" t="str">
            <v>PT04</v>
          </cell>
          <cell r="E268" t="str">
            <v>Cold End</v>
          </cell>
          <cell r="F268" t="str">
            <v>冷端（Dragon Stage5）</v>
          </cell>
          <cell r="G268" t="str">
            <v>B</v>
          </cell>
          <cell r="H268" t="str">
            <v>PMT4</v>
          </cell>
          <cell r="I268" t="str">
            <v>PF</v>
          </cell>
          <cell r="J268" t="str">
            <v>JD8G</v>
          </cell>
          <cell r="K268" t="str">
            <v>5K254</v>
          </cell>
          <cell r="L268" t="str">
            <v>AC</v>
          </cell>
          <cell r="M268" t="str">
            <v>JD8G-5K254-AC</v>
          </cell>
          <cell r="N268" t="str">
            <v>Cold End</v>
          </cell>
          <cell r="O268">
            <v>42671</v>
          </cell>
          <cell r="P268" t="str">
            <v>Tan zhongguo</v>
          </cell>
          <cell r="Q268" t="str">
            <v>Zou yang</v>
          </cell>
          <cell r="S268">
            <v>1</v>
          </cell>
          <cell r="T268">
            <v>1</v>
          </cell>
          <cell r="U268">
            <v>1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0</v>
          </cell>
          <cell r="AA268">
            <v>0.72000000000000008</v>
          </cell>
          <cell r="AC268">
            <v>-416.49</v>
          </cell>
          <cell r="AD268">
            <v>-3.36</v>
          </cell>
          <cell r="AE268">
            <v>-11.59</v>
          </cell>
          <cell r="AF268">
            <v>0</v>
          </cell>
          <cell r="AG268">
            <v>-11.12</v>
          </cell>
          <cell r="AH268">
            <v>-442.56</v>
          </cell>
          <cell r="AI268" t="str">
            <v>CNY</v>
          </cell>
          <cell r="AJ268" t="str">
            <v>LP</v>
          </cell>
          <cell r="AK268" t="str">
            <v>Tenneco Lingchuan</v>
          </cell>
          <cell r="AL268" t="str">
            <v>DZRMA</v>
          </cell>
          <cell r="AO268" t="str">
            <v>TBD</v>
          </cell>
          <cell r="AW268">
            <v>4.9000000000000002E-2</v>
          </cell>
          <cell r="BB268">
            <v>-4677500</v>
          </cell>
          <cell r="BC268">
            <v>-5497500</v>
          </cell>
          <cell r="BE268">
            <v>-4151026</v>
          </cell>
          <cell r="BF268">
            <v>373134</v>
          </cell>
        </row>
        <row r="269">
          <cell r="C269" t="str">
            <v>PT04</v>
          </cell>
          <cell r="D269" t="str">
            <v>-</v>
          </cell>
          <cell r="E269" t="str">
            <v>Cold End</v>
          </cell>
          <cell r="F269" t="str">
            <v>冷端（1.0L Stage5）</v>
          </cell>
          <cell r="G269" t="str">
            <v>B</v>
          </cell>
          <cell r="H269" t="str">
            <v>PMT4</v>
          </cell>
          <cell r="I269" t="str">
            <v>PF</v>
          </cell>
          <cell r="J269" t="str">
            <v>JD8G</v>
          </cell>
          <cell r="K269" t="str">
            <v>5K254</v>
          </cell>
          <cell r="L269" t="str">
            <v>BC</v>
          </cell>
          <cell r="M269" t="str">
            <v>JD8G-5K254-BC</v>
          </cell>
          <cell r="N269" t="str">
            <v>Cold End</v>
          </cell>
          <cell r="O269">
            <v>42671</v>
          </cell>
          <cell r="P269" t="str">
            <v>Tan zhongguo</v>
          </cell>
          <cell r="Q269" t="str">
            <v>Zou yang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1</v>
          </cell>
          <cell r="X269">
            <v>1</v>
          </cell>
          <cell r="Y269">
            <v>0</v>
          </cell>
          <cell r="Z269">
            <v>1</v>
          </cell>
          <cell r="AA269">
            <v>0.28000000000000003</v>
          </cell>
          <cell r="AC269">
            <v>-419.46</v>
          </cell>
          <cell r="AD269">
            <v>-3.36</v>
          </cell>
          <cell r="AE269">
            <v>-11.59</v>
          </cell>
          <cell r="AF269">
            <v>0</v>
          </cell>
          <cell r="AG269">
            <v>-11.12</v>
          </cell>
          <cell r="AH269">
            <v>-445.53</v>
          </cell>
          <cell r="AI269" t="str">
            <v>CNY</v>
          </cell>
          <cell r="AJ269" t="str">
            <v>LP</v>
          </cell>
          <cell r="AK269" t="str">
            <v>Tenneco Lingchuan</v>
          </cell>
          <cell r="AL269" t="str">
            <v>DZRMA</v>
          </cell>
          <cell r="AO269" t="str">
            <v>TBD</v>
          </cell>
          <cell r="AW269">
            <v>0.05</v>
          </cell>
          <cell r="BB269">
            <v>-1773500</v>
          </cell>
          <cell r="BC269">
            <v>-1773500</v>
          </cell>
          <cell r="BE269">
            <v>-1790771</v>
          </cell>
          <cell r="BF269">
            <v>160972</v>
          </cell>
        </row>
        <row r="270">
          <cell r="C270" t="str">
            <v>PT04- stage 6</v>
          </cell>
          <cell r="D270" t="str">
            <v>PT04- stage 6</v>
          </cell>
          <cell r="E270" t="str">
            <v>Cold End</v>
          </cell>
          <cell r="F270" t="str">
            <v>冷端（Dragon Stage6）</v>
          </cell>
          <cell r="G270" t="str">
            <v>B</v>
          </cell>
          <cell r="H270" t="str">
            <v>PMT4</v>
          </cell>
          <cell r="I270" t="str">
            <v>PF</v>
          </cell>
          <cell r="J270" t="str">
            <v>JD8G</v>
          </cell>
          <cell r="K270" t="str">
            <v>5E292</v>
          </cell>
          <cell r="L270" t="str">
            <v>AC</v>
          </cell>
          <cell r="M270" t="str">
            <v>JD8G-5E292-AC</v>
          </cell>
          <cell r="N270" t="str">
            <v>Cold End</v>
          </cell>
          <cell r="P270" t="str">
            <v>Su Xupeng</v>
          </cell>
          <cell r="Q270" t="str">
            <v>Guo yang</v>
          </cell>
          <cell r="S270">
            <v>1</v>
          </cell>
          <cell r="T270">
            <v>1</v>
          </cell>
          <cell r="U270">
            <v>1</v>
          </cell>
          <cell r="V270">
            <v>1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0.72000000000000008</v>
          </cell>
          <cell r="AC270">
            <v>-572.54999999999995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-572.54999999999995</v>
          </cell>
          <cell r="AI270" t="str">
            <v>CNY</v>
          </cell>
          <cell r="AJ270" t="str">
            <v>LP</v>
          </cell>
          <cell r="AK270" t="str">
            <v>Tenneco Lingchuan</v>
          </cell>
          <cell r="AL270" t="str">
            <v>DZRMA</v>
          </cell>
          <cell r="AO270" t="str">
            <v>TBD</v>
          </cell>
          <cell r="AW270">
            <v>3.4000000000000002E-2</v>
          </cell>
          <cell r="BB270">
            <v>-815000</v>
          </cell>
          <cell r="BC270">
            <v>-815000</v>
          </cell>
          <cell r="BE270">
            <v>-453813</v>
          </cell>
        </row>
        <row r="271">
          <cell r="C271" t="str">
            <v>PT50</v>
          </cell>
          <cell r="D271" t="str">
            <v>-</v>
          </cell>
          <cell r="E271" t="str">
            <v>CAC</v>
          </cell>
          <cell r="F271" t="str">
            <v>中冷器</v>
          </cell>
          <cell r="G271" t="str">
            <v>B</v>
          </cell>
          <cell r="H271" t="str">
            <v>PMT4</v>
          </cell>
          <cell r="I271" t="str">
            <v>PF</v>
          </cell>
          <cell r="J271" t="str">
            <v>KV61</v>
          </cell>
          <cell r="K271" t="str">
            <v>6K775</v>
          </cell>
          <cell r="L271" t="str">
            <v>FB</v>
          </cell>
          <cell r="M271" t="str">
            <v>KV61-6K775-FB</v>
          </cell>
          <cell r="N271" t="str">
            <v>CAC</v>
          </cell>
          <cell r="O271">
            <v>42671</v>
          </cell>
          <cell r="P271" t="str">
            <v>Zhang,linyan</v>
          </cell>
          <cell r="Q271" t="str">
            <v>zhao conglin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1</v>
          </cell>
          <cell r="X271">
            <v>1</v>
          </cell>
          <cell r="Y271">
            <v>0</v>
          </cell>
          <cell r="Z271">
            <v>1</v>
          </cell>
          <cell r="AA271">
            <v>0.28000000000000003</v>
          </cell>
          <cell r="AC271">
            <v>-139.94999999999999</v>
          </cell>
          <cell r="AD271">
            <v>-6.25</v>
          </cell>
          <cell r="AE271">
            <v>-4</v>
          </cell>
          <cell r="AF271">
            <v>0</v>
          </cell>
          <cell r="AG271">
            <v>0</v>
          </cell>
          <cell r="AH271">
            <v>-150.19999999999999</v>
          </cell>
          <cell r="AI271" t="str">
            <v>CNY</v>
          </cell>
          <cell r="AJ271" t="str">
            <v>LP</v>
          </cell>
          <cell r="AK271" t="str">
            <v xml:space="preserve">Chengdu Behr </v>
          </cell>
          <cell r="AL271" t="str">
            <v>GY9GA</v>
          </cell>
          <cell r="AO271">
            <v>3.6</v>
          </cell>
          <cell r="BB271">
            <v>-2124100</v>
          </cell>
          <cell r="BC271">
            <v>-2124100</v>
          </cell>
          <cell r="BE271">
            <v>0</v>
          </cell>
          <cell r="BF271">
            <v>0</v>
          </cell>
        </row>
        <row r="272">
          <cell r="C272" t="str">
            <v>PT100</v>
          </cell>
          <cell r="D272" t="str">
            <v>-</v>
          </cell>
          <cell r="E272" t="str">
            <v>CAC Fan</v>
          </cell>
          <cell r="F272" t="str">
            <v>中冷器风扇</v>
          </cell>
          <cell r="G272" t="str">
            <v>B</v>
          </cell>
          <cell r="H272" t="str">
            <v>PMT4</v>
          </cell>
          <cell r="I272" t="str">
            <v>PF</v>
          </cell>
          <cell r="J272" t="str">
            <v>JD81</v>
          </cell>
          <cell r="K272" t="str">
            <v>8C607</v>
          </cell>
          <cell r="L272" t="str">
            <v>EA</v>
          </cell>
          <cell r="M272" t="str">
            <v>JD81-8C607-EA</v>
          </cell>
          <cell r="N272" t="str">
            <v>CAC Fan</v>
          </cell>
          <cell r="P272" t="str">
            <v>龙厚君(hlong19)</v>
          </cell>
          <cell r="Q272" t="str">
            <v>叶远航(yye8)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1</v>
          </cell>
          <cell r="X272">
            <v>1</v>
          </cell>
          <cell r="Y272">
            <v>0</v>
          </cell>
          <cell r="Z272">
            <v>1</v>
          </cell>
          <cell r="AA272">
            <v>0.28000000000000003</v>
          </cell>
          <cell r="AC272">
            <v>-158.5</v>
          </cell>
          <cell r="AD272">
            <v>-4</v>
          </cell>
          <cell r="AE272">
            <v>-6</v>
          </cell>
          <cell r="AF272">
            <v>0</v>
          </cell>
          <cell r="AG272">
            <v>0</v>
          </cell>
          <cell r="AH272">
            <v>-168.5</v>
          </cell>
          <cell r="AI272" t="str">
            <v>CNY</v>
          </cell>
          <cell r="AJ272" t="str">
            <v>LP</v>
          </cell>
          <cell r="AK272" t="str">
            <v>成都日用友捷汽车电气有限公司</v>
          </cell>
          <cell r="AL272" t="str">
            <v>GS9MA</v>
          </cell>
          <cell r="AO272">
            <v>2.27</v>
          </cell>
          <cell r="BB272">
            <v>-569999</v>
          </cell>
          <cell r="BC272">
            <v>-569999</v>
          </cell>
          <cell r="BE272">
            <v>0</v>
          </cell>
          <cell r="BF272">
            <v>0</v>
          </cell>
        </row>
        <row r="273">
          <cell r="C273" t="str">
            <v>CH046</v>
          </cell>
          <cell r="D273" t="str">
            <v>CH046</v>
          </cell>
          <cell r="E273" t="str">
            <v>Fuel tank（stage6）</v>
          </cell>
          <cell r="F273" t="str">
            <v>油箱（京6）</v>
          </cell>
          <cell r="G273" t="str">
            <v>B</v>
          </cell>
          <cell r="H273" t="str">
            <v>PMT4</v>
          </cell>
          <cell r="I273" t="str">
            <v>PF</v>
          </cell>
          <cell r="J273" t="str">
            <v>JD8G</v>
          </cell>
          <cell r="K273" t="str">
            <v>9K007</v>
          </cell>
          <cell r="L273" t="str">
            <v>BB</v>
          </cell>
          <cell r="M273" t="str">
            <v>JD8G-9K007-BB</v>
          </cell>
          <cell r="N273" t="str">
            <v>Fuel tank</v>
          </cell>
          <cell r="O273">
            <v>42671</v>
          </cell>
          <cell r="P273" t="str">
            <v>Ren,yu</v>
          </cell>
          <cell r="Q273" t="str">
            <v>Deng,wenqiang</v>
          </cell>
          <cell r="S273">
            <v>1</v>
          </cell>
          <cell r="T273">
            <v>1</v>
          </cell>
          <cell r="U273">
            <v>1</v>
          </cell>
          <cell r="V273">
            <v>1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0.72000000000000008</v>
          </cell>
          <cell r="AC273">
            <v>-638.26</v>
          </cell>
          <cell r="AD273">
            <v>-1.33</v>
          </cell>
          <cell r="AE273">
            <v>-7.87</v>
          </cell>
          <cell r="AF273">
            <v>0</v>
          </cell>
          <cell r="AG273">
            <v>-39.71</v>
          </cell>
          <cell r="AH273">
            <v>-687.17000000000007</v>
          </cell>
          <cell r="AI273" t="str">
            <v>CNY</v>
          </cell>
          <cell r="AJ273" t="str">
            <v>LP</v>
          </cell>
          <cell r="AK273" t="str">
            <v>Yapp</v>
          </cell>
          <cell r="AL273" t="str">
            <v>CQSQ</v>
          </cell>
          <cell r="AO273">
            <v>1</v>
          </cell>
          <cell r="AW273">
            <v>0.26</v>
          </cell>
          <cell r="BB273">
            <v>-310000</v>
          </cell>
          <cell r="BC273">
            <v>-310000</v>
          </cell>
          <cell r="BE273">
            <v>-1620020</v>
          </cell>
          <cell r="BF273">
            <v>40793</v>
          </cell>
          <cell r="BO273" t="str">
            <v>含油泵+油箱 另有 3%*油泵的管理费用</v>
          </cell>
        </row>
        <row r="274">
          <cell r="C274" t="str">
            <v>ET116</v>
          </cell>
          <cell r="D274" t="str">
            <v>ET116</v>
          </cell>
          <cell r="E274" t="str">
            <v>Check Arm Cover</v>
          </cell>
          <cell r="F274" t="str">
            <v>限位器堵盖</v>
          </cell>
          <cell r="G274" t="str">
            <v>B</v>
          </cell>
          <cell r="H274" t="str">
            <v>PMT1</v>
          </cell>
          <cell r="I274" t="str">
            <v>TH</v>
          </cell>
          <cell r="J274" t="str">
            <v>JD8B</v>
          </cell>
          <cell r="K274" t="str">
            <v>A27206</v>
          </cell>
          <cell r="L274" t="str">
            <v>AB</v>
          </cell>
          <cell r="M274" t="str">
            <v>JD8B-A27206-AB</v>
          </cell>
          <cell r="N274" t="str">
            <v>Check arm cover</v>
          </cell>
          <cell r="O274">
            <v>42713</v>
          </cell>
          <cell r="P274" t="str">
            <v xml:space="preserve">zhai,wanli </v>
          </cell>
          <cell r="Q274" t="str">
            <v>jin,zhengbin</v>
          </cell>
          <cell r="S274">
            <v>1</v>
          </cell>
          <cell r="T274">
            <v>1</v>
          </cell>
          <cell r="U274">
            <v>1</v>
          </cell>
          <cell r="V274">
            <v>1</v>
          </cell>
          <cell r="W274">
            <v>1</v>
          </cell>
          <cell r="X274">
            <v>1</v>
          </cell>
          <cell r="Y274">
            <v>1</v>
          </cell>
          <cell r="Z274">
            <v>1</v>
          </cell>
          <cell r="AA274">
            <v>1</v>
          </cell>
          <cell r="AC274">
            <v>-2.4</v>
          </cell>
          <cell r="AD274">
            <v>-0.08</v>
          </cell>
          <cell r="AE274">
            <v>-0.03</v>
          </cell>
          <cell r="AF274">
            <v>0</v>
          </cell>
          <cell r="AG274">
            <v>0</v>
          </cell>
          <cell r="AH274">
            <v>-2.5099999999999998</v>
          </cell>
          <cell r="AI274" t="str">
            <v>CNY</v>
          </cell>
          <cell r="AJ274" t="str">
            <v>LP</v>
          </cell>
          <cell r="AK274" t="str">
            <v>Chongqing Guangneng</v>
          </cell>
          <cell r="AL274" t="str">
            <v>DH0HA</v>
          </cell>
          <cell r="AO274">
            <v>4.5</v>
          </cell>
          <cell r="BB274">
            <v>-205000</v>
          </cell>
          <cell r="BC274">
            <v>-205000</v>
          </cell>
          <cell r="BE274">
            <v>0</v>
          </cell>
          <cell r="BF274">
            <v>0</v>
          </cell>
        </row>
        <row r="275">
          <cell r="C275" t="str">
            <v>ET116</v>
          </cell>
          <cell r="D275" t="str">
            <v>ET116</v>
          </cell>
          <cell r="E275" t="str">
            <v>Check Arm Cover</v>
          </cell>
          <cell r="F275" t="str">
            <v>限位器堵盖</v>
          </cell>
          <cell r="G275" t="str">
            <v>B</v>
          </cell>
          <cell r="H275" t="str">
            <v>PMT1</v>
          </cell>
          <cell r="I275" t="str">
            <v>TH</v>
          </cell>
          <cell r="J275" t="str">
            <v>JD8B</v>
          </cell>
          <cell r="K275" t="str">
            <v>A27207</v>
          </cell>
          <cell r="L275" t="str">
            <v>AB</v>
          </cell>
          <cell r="M275" t="str">
            <v>JD8B-A27207-AB</v>
          </cell>
          <cell r="N275" t="str">
            <v>Check arm cover</v>
          </cell>
          <cell r="O275">
            <v>42713</v>
          </cell>
          <cell r="P275" t="str">
            <v xml:space="preserve">zhai,wanli </v>
          </cell>
          <cell r="Q275" t="str">
            <v>jin,zhengbin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  <cell r="X275">
            <v>1</v>
          </cell>
          <cell r="Y275">
            <v>1</v>
          </cell>
          <cell r="Z275">
            <v>1</v>
          </cell>
          <cell r="AA275">
            <v>1</v>
          </cell>
          <cell r="AC275">
            <v>-2.4</v>
          </cell>
          <cell r="AD275">
            <v>-0.08</v>
          </cell>
          <cell r="AE275">
            <v>-0.03</v>
          </cell>
          <cell r="AF275">
            <v>0</v>
          </cell>
          <cell r="AG275">
            <v>0</v>
          </cell>
          <cell r="AH275">
            <v>-2.5099999999999998</v>
          </cell>
          <cell r="AI275" t="str">
            <v>CNY</v>
          </cell>
          <cell r="AJ275" t="str">
            <v>LP</v>
          </cell>
          <cell r="AK275" t="str">
            <v>Chongqing Guangneng</v>
          </cell>
          <cell r="AL275" t="str">
            <v>DH0HA</v>
          </cell>
          <cell r="AO275">
            <v>4.5</v>
          </cell>
          <cell r="BB275">
            <v>-205000</v>
          </cell>
          <cell r="BC275">
            <v>-205000</v>
          </cell>
          <cell r="BE275">
            <v>0</v>
          </cell>
          <cell r="BF275">
            <v>0</v>
          </cell>
          <cell r="BG275">
            <v>0</v>
          </cell>
        </row>
        <row r="276">
          <cell r="C276" t="str">
            <v>E20-1</v>
          </cell>
          <cell r="D276" t="str">
            <v>-</v>
          </cell>
          <cell r="E276" t="str">
            <v>LED Fog Lamp</v>
          </cell>
          <cell r="F276" t="str">
            <v>LED前雾灯</v>
          </cell>
          <cell r="G276" t="str">
            <v>B</v>
          </cell>
          <cell r="H276" t="str">
            <v>PMT1</v>
          </cell>
          <cell r="I276" t="str">
            <v>TH</v>
          </cell>
          <cell r="J276" t="str">
            <v>JB3B</v>
          </cell>
          <cell r="K276">
            <v>15201</v>
          </cell>
          <cell r="L276" t="str">
            <v>AC</v>
          </cell>
          <cell r="M276" t="str">
            <v>JB3B-15201-AC</v>
          </cell>
          <cell r="O276">
            <v>42706</v>
          </cell>
          <cell r="P276" t="str">
            <v>Luo,zhoudi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2</v>
          </cell>
          <cell r="Z276">
            <v>2</v>
          </cell>
          <cell r="AA276">
            <v>0.2</v>
          </cell>
          <cell r="AC276">
            <v>-94.67</v>
          </cell>
          <cell r="AD276">
            <v>-0.4</v>
          </cell>
          <cell r="AE276">
            <v>-1.1000000000000001</v>
          </cell>
          <cell r="AF276">
            <v>0</v>
          </cell>
          <cell r="AG276">
            <v>0</v>
          </cell>
          <cell r="AH276">
            <v>-96.17</v>
          </cell>
          <cell r="AI276" t="str">
            <v>CNY</v>
          </cell>
          <cell r="AJ276" t="str">
            <v>LP</v>
          </cell>
          <cell r="AK276" t="str">
            <v>上海科世达 </v>
          </cell>
          <cell r="AL276" t="str">
            <v>ECBRA </v>
          </cell>
          <cell r="BB276">
            <v>0</v>
          </cell>
          <cell r="BC276">
            <v>0</v>
          </cell>
          <cell r="BE276">
            <v>0</v>
          </cell>
          <cell r="BF276">
            <v>0</v>
          </cell>
          <cell r="BG276">
            <v>0</v>
          </cell>
          <cell r="BI276">
            <v>0</v>
          </cell>
          <cell r="BJ276">
            <v>0</v>
          </cell>
        </row>
        <row r="277">
          <cell r="C277" t="str">
            <v>B013-5 </v>
          </cell>
          <cell r="D277" t="str">
            <v>B013-5 </v>
          </cell>
          <cell r="E277" t="str">
            <v xml:space="preserve"> Front Door Bracket </v>
          </cell>
          <cell r="F277" t="str">
            <v>前门支架</v>
          </cell>
          <cell r="G277" t="str">
            <v>D</v>
          </cell>
          <cell r="H277" t="str">
            <v>BIW</v>
          </cell>
          <cell r="I277" t="str">
            <v>TH</v>
          </cell>
          <cell r="J277" t="str">
            <v>JD8B</v>
          </cell>
          <cell r="K277" t="str">
            <v>F21192 </v>
          </cell>
          <cell r="L277" t="str">
            <v>AB</v>
          </cell>
          <cell r="M277" t="str">
            <v>JD8B-F21192 -AB</v>
          </cell>
          <cell r="O277">
            <v>42746</v>
          </cell>
          <cell r="P277" t="str">
            <v>赵鹏</v>
          </cell>
          <cell r="Q277" t="str">
            <v>李世龙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1</v>
          </cell>
          <cell r="X277">
            <v>1</v>
          </cell>
          <cell r="Y277">
            <v>1</v>
          </cell>
          <cell r="Z277">
            <v>1</v>
          </cell>
          <cell r="AA277">
            <v>1</v>
          </cell>
          <cell r="AC277">
            <v>-2.25</v>
          </cell>
          <cell r="AD277">
            <v>-0.02</v>
          </cell>
          <cell r="AE277">
            <v>-0.02</v>
          </cell>
          <cell r="AF277">
            <v>0</v>
          </cell>
          <cell r="AG277">
            <v>0</v>
          </cell>
          <cell r="AH277">
            <v>-2.29</v>
          </cell>
          <cell r="AI277" t="str">
            <v>CNY</v>
          </cell>
          <cell r="AJ277" t="str">
            <v>LP</v>
          </cell>
          <cell r="AK277" t="str">
            <v>港湘龙</v>
          </cell>
          <cell r="AL277" t="str">
            <v>GGU8A </v>
          </cell>
          <cell r="AO277">
            <v>2</v>
          </cell>
          <cell r="BB277">
            <v>-179280</v>
          </cell>
          <cell r="BC277">
            <v>-179280</v>
          </cell>
          <cell r="BE277">
            <v>0</v>
          </cell>
          <cell r="BF277">
            <v>0</v>
          </cell>
          <cell r="BG277">
            <v>0</v>
          </cell>
          <cell r="BI277">
            <v>0</v>
          </cell>
          <cell r="BJ277">
            <v>0</v>
          </cell>
        </row>
        <row r="278">
          <cell r="C278" t="str">
            <v>B013-5 </v>
          </cell>
          <cell r="D278" t="str">
            <v>B013-5 </v>
          </cell>
          <cell r="E278" t="str">
            <v xml:space="preserve"> Front Door Bracket </v>
          </cell>
          <cell r="F278" t="str">
            <v>前门支架</v>
          </cell>
          <cell r="G278" t="str">
            <v>D</v>
          </cell>
          <cell r="H278" t="str">
            <v>BIW</v>
          </cell>
          <cell r="I278" t="str">
            <v>TH</v>
          </cell>
          <cell r="J278" t="str">
            <v>JD8B</v>
          </cell>
          <cell r="K278" t="str">
            <v>F21193</v>
          </cell>
          <cell r="L278" t="str">
            <v>AB</v>
          </cell>
          <cell r="M278" t="str">
            <v>JD8B-F21193-AB</v>
          </cell>
          <cell r="O278">
            <v>42746</v>
          </cell>
          <cell r="P278" t="str">
            <v>赵鹏</v>
          </cell>
          <cell r="Q278" t="str">
            <v>李世龙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1</v>
          </cell>
          <cell r="X278">
            <v>1</v>
          </cell>
          <cell r="Y278">
            <v>1</v>
          </cell>
          <cell r="Z278">
            <v>1</v>
          </cell>
          <cell r="AA278">
            <v>1</v>
          </cell>
          <cell r="AC278">
            <v>-2.25</v>
          </cell>
          <cell r="AD278">
            <v>-0.02</v>
          </cell>
          <cell r="AE278">
            <v>-0.02</v>
          </cell>
          <cell r="AF278">
            <v>0</v>
          </cell>
          <cell r="AG278">
            <v>0</v>
          </cell>
          <cell r="AH278">
            <v>-2.29</v>
          </cell>
          <cell r="AI278" t="str">
            <v>CNY</v>
          </cell>
          <cell r="AJ278" t="str">
            <v>LP</v>
          </cell>
          <cell r="AK278" t="str">
            <v>港湘龙</v>
          </cell>
          <cell r="AL278" t="str">
            <v>GGU8A </v>
          </cell>
          <cell r="AO278">
            <v>2</v>
          </cell>
          <cell r="BB278">
            <v>-179280</v>
          </cell>
          <cell r="BC278">
            <v>-179280</v>
          </cell>
          <cell r="BE278">
            <v>0</v>
          </cell>
          <cell r="BF278">
            <v>0</v>
          </cell>
          <cell r="BG278">
            <v>0</v>
          </cell>
          <cell r="BI278">
            <v>0</v>
          </cell>
          <cell r="BJ278">
            <v>0</v>
          </cell>
        </row>
        <row r="279">
          <cell r="C279" t="str">
            <v xml:space="preserve">PTO83-7 </v>
          </cell>
          <cell r="D279" t="str">
            <v xml:space="preserve">PTO83-7 </v>
          </cell>
          <cell r="E279" t="str">
            <v>FEAD S/S</v>
          </cell>
          <cell r="G279" t="str">
            <v>D</v>
          </cell>
          <cell r="H279" t="str">
            <v>PMT4</v>
          </cell>
          <cell r="I279" t="str">
            <v>PF</v>
          </cell>
          <cell r="J279" t="str">
            <v>JX6G</v>
          </cell>
          <cell r="K279" t="str">
            <v>6A247</v>
          </cell>
          <cell r="L279" t="str">
            <v>A1B</v>
          </cell>
          <cell r="M279" t="str">
            <v>JX6G-6A247-A1B</v>
          </cell>
          <cell r="P279" t="str">
            <v>chen,xing</v>
          </cell>
          <cell r="S279">
            <v>1</v>
          </cell>
          <cell r="T279">
            <v>1</v>
          </cell>
          <cell r="U279">
            <v>1</v>
          </cell>
          <cell r="V279">
            <v>1</v>
          </cell>
          <cell r="W279">
            <v>1</v>
          </cell>
          <cell r="X279">
            <v>1</v>
          </cell>
          <cell r="Y279">
            <v>1</v>
          </cell>
          <cell r="Z279">
            <v>1</v>
          </cell>
          <cell r="AA279">
            <v>1</v>
          </cell>
          <cell r="AC279">
            <v>-2.8000000000000003</v>
          </cell>
          <cell r="AD279">
            <v>-0.08</v>
          </cell>
          <cell r="AE279">
            <v>-0.02</v>
          </cell>
          <cell r="AF279">
            <v>0</v>
          </cell>
          <cell r="AG279">
            <v>0</v>
          </cell>
          <cell r="AH279">
            <v>-2.9000000000000004</v>
          </cell>
          <cell r="AI279" t="str">
            <v>CNY</v>
          </cell>
          <cell r="AJ279" t="str">
            <v>LP</v>
          </cell>
          <cell r="AK279" t="str">
            <v>重庆光能荣能</v>
          </cell>
          <cell r="AO279">
            <v>1</v>
          </cell>
          <cell r="BB279">
            <v>-192000</v>
          </cell>
          <cell r="BC279">
            <v>-192000</v>
          </cell>
          <cell r="BE279">
            <v>0</v>
          </cell>
          <cell r="BF279">
            <v>0</v>
          </cell>
          <cell r="BG279">
            <v>0</v>
          </cell>
          <cell r="BI279">
            <v>0</v>
          </cell>
          <cell r="BJ279">
            <v>0</v>
          </cell>
        </row>
        <row r="280">
          <cell r="C280" t="str">
            <v xml:space="preserve">PT104 </v>
          </cell>
          <cell r="D280" t="str">
            <v>-</v>
          </cell>
          <cell r="E280" t="str">
            <v>ATWU Bracket</v>
          </cell>
          <cell r="G280" t="str">
            <v>D</v>
          </cell>
          <cell r="H280" t="str">
            <v>PMT4</v>
          </cell>
          <cell r="I280" t="str">
            <v>PF</v>
          </cell>
          <cell r="J280" t="str">
            <v>JD8P </v>
          </cell>
          <cell r="K280" t="str">
            <v>7B147</v>
          </cell>
          <cell r="L280" t="str">
            <v>AA</v>
          </cell>
          <cell r="M280" t="str">
            <v>JD8P -7B147-AA</v>
          </cell>
          <cell r="O280">
            <v>42753</v>
          </cell>
          <cell r="P280" t="str">
            <v>Liu,ding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1</v>
          </cell>
          <cell r="AA280">
            <v>0.19</v>
          </cell>
          <cell r="AC280">
            <v>-8.19</v>
          </cell>
          <cell r="AD280">
            <v>-0.13</v>
          </cell>
          <cell r="AE280">
            <v>-0.08</v>
          </cell>
          <cell r="AF280">
            <v>0</v>
          </cell>
          <cell r="AG280">
            <v>0</v>
          </cell>
          <cell r="AH280">
            <v>-8.4</v>
          </cell>
          <cell r="AI280" t="str">
            <v>CNY</v>
          </cell>
          <cell r="AJ280" t="str">
            <v>LP</v>
          </cell>
          <cell r="AK280" t="str">
            <v>重庆凌云</v>
          </cell>
          <cell r="BB280">
            <v>-396700</v>
          </cell>
          <cell r="BC280">
            <v>-396700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C281" t="str">
            <v>PT103</v>
          </cell>
          <cell r="D281" t="str">
            <v>PT103</v>
          </cell>
          <cell r="E281" t="str">
            <v xml:space="preserve"> Fuel vapor line bracket</v>
          </cell>
          <cell r="G281" t="str">
            <v>D</v>
          </cell>
          <cell r="H281" t="str">
            <v>PMT4</v>
          </cell>
          <cell r="I281" t="str">
            <v>PF</v>
          </cell>
          <cell r="J281" t="str">
            <v>JD8G</v>
          </cell>
          <cell r="K281" t="str">
            <v>9F931</v>
          </cell>
          <cell r="L281" t="str">
            <v>AA</v>
          </cell>
          <cell r="M281" t="str">
            <v>JD8G-9F931-AA</v>
          </cell>
          <cell r="O281">
            <v>42671</v>
          </cell>
          <cell r="P281" t="str">
            <v>Ren,yu</v>
          </cell>
          <cell r="S281">
            <v>1</v>
          </cell>
          <cell r="T281">
            <v>0</v>
          </cell>
          <cell r="U281">
            <v>1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0.28000000000000003</v>
          </cell>
          <cell r="AC281">
            <v>-2.65</v>
          </cell>
          <cell r="AD281">
            <v>-0.05</v>
          </cell>
          <cell r="AE281">
            <v>-0.04</v>
          </cell>
          <cell r="AF281">
            <v>0</v>
          </cell>
          <cell r="AG281">
            <v>0</v>
          </cell>
          <cell r="AH281">
            <v>-2.7399999999999998</v>
          </cell>
          <cell r="AI281" t="str">
            <v>CNY</v>
          </cell>
          <cell r="AJ281" t="str">
            <v>LP</v>
          </cell>
          <cell r="AK281" t="str">
            <v>重庆港湘龙</v>
          </cell>
          <cell r="AL281" t="str">
            <v>GGU8A </v>
          </cell>
          <cell r="BB281">
            <v>-31798</v>
          </cell>
          <cell r="BC281">
            <v>-31798</v>
          </cell>
          <cell r="BE281">
            <v>0</v>
          </cell>
          <cell r="BF281">
            <v>0</v>
          </cell>
          <cell r="BG281">
            <v>0</v>
          </cell>
          <cell r="BI281">
            <v>0</v>
          </cell>
          <cell r="BJ281">
            <v>0</v>
          </cell>
        </row>
        <row r="282">
          <cell r="C282" t="str">
            <v>E029</v>
          </cell>
          <cell r="D282" t="str">
            <v>-</v>
          </cell>
          <cell r="E282" t="str">
            <v>C490MCA_PASSIVEKEY_E029</v>
          </cell>
          <cell r="G282" t="str">
            <v>B</v>
          </cell>
          <cell r="H282" t="str">
            <v>PMT5</v>
          </cell>
          <cell r="I282" t="str">
            <v>TH</v>
          </cell>
          <cell r="J282" t="str">
            <v>HS7T </v>
          </cell>
          <cell r="K282" t="str">
            <v>15K601 </v>
          </cell>
          <cell r="L282" t="str">
            <v>DC</v>
          </cell>
          <cell r="M282" t="str">
            <v>HS7T -15K601 -DC</v>
          </cell>
          <cell r="O282">
            <v>0</v>
          </cell>
          <cell r="P282" t="str">
            <v>Xu,tiefeng</v>
          </cell>
          <cell r="Q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2</v>
          </cell>
          <cell r="X282">
            <v>2</v>
          </cell>
          <cell r="Y282">
            <v>2</v>
          </cell>
          <cell r="Z282">
            <v>2</v>
          </cell>
          <cell r="AA282">
            <v>0.66</v>
          </cell>
          <cell r="AC282">
            <v>-75.91</v>
          </cell>
          <cell r="AD282">
            <v>-1.05</v>
          </cell>
          <cell r="AE282">
            <v>-1.32</v>
          </cell>
          <cell r="AG282">
            <v>0</v>
          </cell>
          <cell r="AH282">
            <v>-78.279999999999987</v>
          </cell>
          <cell r="AI282" t="str">
            <v>CNY</v>
          </cell>
          <cell r="AJ282" t="str">
            <v>LP</v>
          </cell>
          <cell r="AK282" t="str">
            <v>大陆汽车系统(天津)有限公司</v>
          </cell>
          <cell r="BB282">
            <v>-2898894</v>
          </cell>
          <cell r="BC282">
            <v>-2898894</v>
          </cell>
          <cell r="BE282">
            <v>0</v>
          </cell>
          <cell r="BF282">
            <v>0</v>
          </cell>
          <cell r="BG282">
            <v>0</v>
          </cell>
          <cell r="BI282">
            <v>0</v>
          </cell>
          <cell r="BJ282">
            <v>0</v>
          </cell>
        </row>
        <row r="283">
          <cell r="C283" t="str">
            <v>ET20-10</v>
          </cell>
          <cell r="D283" t="str">
            <v>-</v>
          </cell>
          <cell r="E283" t="str">
            <v>EcoBoost Badge</v>
          </cell>
          <cell r="F283" t="str">
            <v>EcoBoost标牌</v>
          </cell>
          <cell r="G283" t="str">
            <v>D</v>
          </cell>
          <cell r="H283" t="str">
            <v>PMT1</v>
          </cell>
          <cell r="I283" t="str">
            <v>TH</v>
          </cell>
          <cell r="J283" t="str">
            <v>JD8B</v>
          </cell>
          <cell r="K283" t="str">
            <v>R43156 </v>
          </cell>
          <cell r="L283" t="str">
            <v>AC</v>
          </cell>
          <cell r="M283" t="str">
            <v>JD8B-R43156 -AC</v>
          </cell>
          <cell r="O283" t="str">
            <v>NA</v>
          </cell>
          <cell r="P283" t="str">
            <v>刘哲谦</v>
          </cell>
          <cell r="Q283" t="str">
            <v>杜文博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1</v>
          </cell>
          <cell r="X283">
            <v>1</v>
          </cell>
          <cell r="Y283">
            <v>0</v>
          </cell>
          <cell r="Z283">
            <v>1</v>
          </cell>
          <cell r="AA283">
            <v>0.28000000000000003</v>
          </cell>
          <cell r="AC283">
            <v>-8.16</v>
          </cell>
          <cell r="AD283">
            <v>-0.15</v>
          </cell>
          <cell r="AE283">
            <v>-0.28000000000000003</v>
          </cell>
          <cell r="AF283">
            <v>0</v>
          </cell>
          <cell r="AG283">
            <v>0</v>
          </cell>
          <cell r="AH283">
            <v>-8.59</v>
          </cell>
          <cell r="AI283" t="str">
            <v>CNY</v>
          </cell>
          <cell r="AJ283" t="str">
            <v>LP</v>
          </cell>
          <cell r="AK283" t="str">
            <v>Shanghai Real</v>
          </cell>
          <cell r="AL283" t="str">
            <v>FNUWA </v>
          </cell>
          <cell r="BB283">
            <v>-210000</v>
          </cell>
          <cell r="BC283">
            <v>-210000</v>
          </cell>
          <cell r="BE283">
            <v>0</v>
          </cell>
          <cell r="BF283">
            <v>0</v>
          </cell>
          <cell r="BG283">
            <v>0</v>
          </cell>
          <cell r="BI283">
            <v>0</v>
          </cell>
          <cell r="BJ283">
            <v>0</v>
          </cell>
        </row>
        <row r="284">
          <cell r="C284" t="str">
            <v>HARDWARE001-1</v>
          </cell>
          <cell r="D284" t="str">
            <v>HARDWARE001-1</v>
          </cell>
          <cell r="E284" t="str">
            <v>BOLTS</v>
          </cell>
          <cell r="G284" t="str">
            <v>na</v>
          </cell>
          <cell r="H284" t="str">
            <v>PMT3</v>
          </cell>
          <cell r="I284" t="str">
            <v>PF</v>
          </cell>
          <cell r="K284" t="str">
            <v>W709396</v>
          </cell>
          <cell r="L284" t="str">
            <v>S442</v>
          </cell>
          <cell r="M284" t="str">
            <v>-W709396-S442</v>
          </cell>
          <cell r="O284">
            <v>42894</v>
          </cell>
          <cell r="S284">
            <v>0</v>
          </cell>
          <cell r="T284">
            <v>0</v>
          </cell>
          <cell r="U284">
            <v>2</v>
          </cell>
          <cell r="V284">
            <v>2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1.4000000000000001</v>
          </cell>
          <cell r="AC284">
            <v>-0.29720000000000002</v>
          </cell>
          <cell r="AD284">
            <v>-4.7999999999999996E-3</v>
          </cell>
          <cell r="AE284">
            <v>-8.0000000000000002E-3</v>
          </cell>
          <cell r="AF284">
            <v>0</v>
          </cell>
          <cell r="AG284">
            <v>0</v>
          </cell>
          <cell r="AH284">
            <v>-0.31000000000000005</v>
          </cell>
          <cell r="AI284" t="str">
            <v>CNY</v>
          </cell>
          <cell r="AJ284" t="str">
            <v>LP</v>
          </cell>
          <cell r="AK284" t="str">
            <v>宁波长华长盛</v>
          </cell>
          <cell r="AL284" t="str">
            <v>EX7ZB </v>
          </cell>
          <cell r="BB284">
            <v>0</v>
          </cell>
          <cell r="BC284">
            <v>0</v>
          </cell>
          <cell r="BE284">
            <v>0</v>
          </cell>
          <cell r="BF284">
            <v>0</v>
          </cell>
          <cell r="BG284">
            <v>0</v>
          </cell>
          <cell r="BI284">
            <v>0</v>
          </cell>
          <cell r="BJ284">
            <v>0</v>
          </cell>
        </row>
        <row r="285">
          <cell r="C285" t="str">
            <v>HARDWARE001-1</v>
          </cell>
          <cell r="D285" t="str">
            <v>HARDWARE001-1</v>
          </cell>
          <cell r="E285" t="str">
            <v>BOLTS</v>
          </cell>
          <cell r="G285" t="str">
            <v>na</v>
          </cell>
          <cell r="H285" t="str">
            <v>PMT3</v>
          </cell>
          <cell r="I285" t="str">
            <v>PF</v>
          </cell>
          <cell r="K285" t="str">
            <v>W712428</v>
          </cell>
          <cell r="L285" t="str">
            <v>S437</v>
          </cell>
          <cell r="M285" t="str">
            <v>-W712428-S437</v>
          </cell>
          <cell r="O285">
            <v>42894</v>
          </cell>
          <cell r="S285">
            <v>2</v>
          </cell>
          <cell r="T285">
            <v>2</v>
          </cell>
          <cell r="U285">
            <v>2</v>
          </cell>
          <cell r="V285">
            <v>2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C285">
            <v>-0.2104</v>
          </cell>
          <cell r="AD285">
            <v>-3.5999999999999999E-3</v>
          </cell>
          <cell r="AE285">
            <v>-6.0000000000000001E-3</v>
          </cell>
          <cell r="AF285">
            <v>0</v>
          </cell>
          <cell r="AG285">
            <v>0</v>
          </cell>
          <cell r="AH285">
            <v>-0.22</v>
          </cell>
          <cell r="AI285" t="str">
            <v>CNY</v>
          </cell>
          <cell r="AJ285" t="str">
            <v>LP</v>
          </cell>
          <cell r="AK285" t="str">
            <v>宁波长华长盛</v>
          </cell>
          <cell r="AL285" t="str">
            <v>EX7ZB </v>
          </cell>
          <cell r="BB285">
            <v>0</v>
          </cell>
          <cell r="BC285">
            <v>0</v>
          </cell>
          <cell r="BE285">
            <v>0</v>
          </cell>
          <cell r="BF285">
            <v>0</v>
          </cell>
          <cell r="BG285">
            <v>0</v>
          </cell>
          <cell r="BI285">
            <v>0</v>
          </cell>
          <cell r="BJ285">
            <v>0</v>
          </cell>
        </row>
        <row r="286">
          <cell r="C286" t="str">
            <v>HARDWARE001-1</v>
          </cell>
          <cell r="D286" t="str">
            <v>HARDWARE001-1</v>
          </cell>
          <cell r="E286" t="str">
            <v>BOLTS</v>
          </cell>
          <cell r="G286" t="str">
            <v>na</v>
          </cell>
          <cell r="H286" t="str">
            <v>PMT3</v>
          </cell>
          <cell r="I286" t="str">
            <v>PF</v>
          </cell>
          <cell r="K286" t="str">
            <v>W716745</v>
          </cell>
          <cell r="L286" t="str">
            <v>S450B</v>
          </cell>
          <cell r="M286" t="str">
            <v>-W716745-S450B</v>
          </cell>
          <cell r="O286">
            <v>42894</v>
          </cell>
          <cell r="S286">
            <v>6</v>
          </cell>
          <cell r="T286">
            <v>6</v>
          </cell>
          <cell r="U286">
            <v>6</v>
          </cell>
          <cell r="V286">
            <v>6</v>
          </cell>
          <cell r="W286">
            <v>6</v>
          </cell>
          <cell r="X286">
            <v>6</v>
          </cell>
          <cell r="Y286">
            <v>6</v>
          </cell>
          <cell r="Z286">
            <v>6</v>
          </cell>
          <cell r="AA286">
            <v>6</v>
          </cell>
          <cell r="AC286">
            <v>-0.24360000000000001</v>
          </cell>
          <cell r="AD286">
            <v>-2.3999999999999998E-3</v>
          </cell>
          <cell r="AE286">
            <v>-4.0000000000000001E-3</v>
          </cell>
          <cell r="AF286">
            <v>0</v>
          </cell>
          <cell r="AG286">
            <v>0</v>
          </cell>
          <cell r="AH286">
            <v>-0.25</v>
          </cell>
          <cell r="AI286" t="str">
            <v>CNY</v>
          </cell>
          <cell r="AJ286" t="str">
            <v>LP</v>
          </cell>
          <cell r="AK286" t="str">
            <v>宁波长华长盛</v>
          </cell>
          <cell r="AL286" t="str">
            <v>EX7ZB </v>
          </cell>
          <cell r="BB286">
            <v>0</v>
          </cell>
          <cell r="BC286">
            <v>0</v>
          </cell>
          <cell r="BE286">
            <v>0</v>
          </cell>
          <cell r="BF286">
            <v>0</v>
          </cell>
          <cell r="BG286">
            <v>0</v>
          </cell>
          <cell r="BI286">
            <v>0</v>
          </cell>
          <cell r="BJ286">
            <v>0</v>
          </cell>
        </row>
        <row r="287">
          <cell r="C287" t="str">
            <v>HARDWARE001-2</v>
          </cell>
          <cell r="D287" t="str">
            <v>-</v>
          </cell>
          <cell r="E287" t="str">
            <v>NUTS</v>
          </cell>
          <cell r="G287" t="str">
            <v>na</v>
          </cell>
          <cell r="H287" t="str">
            <v>PMT3</v>
          </cell>
          <cell r="I287" t="str">
            <v>PF</v>
          </cell>
          <cell r="K287" t="str">
            <v>W520101</v>
          </cell>
          <cell r="L287" t="str">
            <v>S450</v>
          </cell>
          <cell r="M287" t="str">
            <v>-W520101-S450</v>
          </cell>
          <cell r="O287">
            <v>42894</v>
          </cell>
          <cell r="S287">
            <v>0</v>
          </cell>
          <cell r="T287">
            <v>1</v>
          </cell>
          <cell r="U287">
            <v>0</v>
          </cell>
          <cell r="V287">
            <v>0</v>
          </cell>
          <cell r="W287">
            <v>1</v>
          </cell>
          <cell r="X287">
            <v>0</v>
          </cell>
          <cell r="Y287">
            <v>1</v>
          </cell>
          <cell r="Z287">
            <v>1</v>
          </cell>
          <cell r="AA287">
            <v>0.35</v>
          </cell>
          <cell r="AC287">
            <v>-0.126</v>
          </cell>
          <cell r="AD287">
            <v>-1E-3</v>
          </cell>
          <cell r="AE287">
            <v>-1E-3</v>
          </cell>
          <cell r="AF287">
            <v>0</v>
          </cell>
          <cell r="AG287">
            <v>0</v>
          </cell>
          <cell r="AH287">
            <v>-0.128</v>
          </cell>
          <cell r="AI287" t="str">
            <v>CNY</v>
          </cell>
          <cell r="AJ287" t="str">
            <v>LP</v>
          </cell>
          <cell r="AK287" t="str">
            <v>重庆德隆盛 </v>
          </cell>
          <cell r="AL287" t="str">
            <v>DLVCA</v>
          </cell>
          <cell r="BB287">
            <v>0</v>
          </cell>
          <cell r="BC287">
            <v>0</v>
          </cell>
          <cell r="BE287">
            <v>0</v>
          </cell>
          <cell r="BF287">
            <v>0</v>
          </cell>
          <cell r="BG287">
            <v>0</v>
          </cell>
          <cell r="BI287">
            <v>0</v>
          </cell>
          <cell r="BJ287">
            <v>0</v>
          </cell>
        </row>
        <row r="288">
          <cell r="C288" t="str">
            <v>HARDWARE001-2</v>
          </cell>
          <cell r="D288" t="str">
            <v>HARDWARE001-2</v>
          </cell>
          <cell r="E288" t="str">
            <v>NUTS</v>
          </cell>
          <cell r="G288" t="str">
            <v>na</v>
          </cell>
          <cell r="H288" t="str">
            <v>PMT3</v>
          </cell>
          <cell r="I288" t="str">
            <v>PF</v>
          </cell>
          <cell r="K288" t="str">
            <v>W520213</v>
          </cell>
          <cell r="L288" t="str">
            <v>S440</v>
          </cell>
          <cell r="M288" t="str">
            <v>-W520213-S440</v>
          </cell>
          <cell r="O288">
            <v>42894</v>
          </cell>
          <cell r="S288">
            <v>2</v>
          </cell>
          <cell r="T288">
            <v>2</v>
          </cell>
          <cell r="U288">
            <v>2</v>
          </cell>
          <cell r="V288">
            <v>2</v>
          </cell>
          <cell r="W288">
            <v>2</v>
          </cell>
          <cell r="X288">
            <v>2</v>
          </cell>
          <cell r="Y288">
            <v>2</v>
          </cell>
          <cell r="Z288">
            <v>2</v>
          </cell>
          <cell r="AA288">
            <v>2</v>
          </cell>
          <cell r="AC288">
            <v>-0.45500000000000002</v>
          </cell>
          <cell r="AD288">
            <v>-2E-3</v>
          </cell>
          <cell r="AE288">
            <v>-3.0000000000000001E-3</v>
          </cell>
          <cell r="AF288">
            <v>0</v>
          </cell>
          <cell r="AG288">
            <v>0</v>
          </cell>
          <cell r="AH288">
            <v>-0.46</v>
          </cell>
          <cell r="AI288" t="str">
            <v>CNY</v>
          </cell>
          <cell r="AJ288" t="str">
            <v>LP</v>
          </cell>
          <cell r="AK288" t="str">
            <v>重庆德隆盛 </v>
          </cell>
          <cell r="AL288" t="str">
            <v>DLVCA</v>
          </cell>
          <cell r="BB288">
            <v>0</v>
          </cell>
          <cell r="BC288">
            <v>0</v>
          </cell>
          <cell r="BE288">
            <v>0</v>
          </cell>
          <cell r="BF288">
            <v>0</v>
          </cell>
          <cell r="BG288">
            <v>0</v>
          </cell>
          <cell r="BI288">
            <v>0</v>
          </cell>
          <cell r="BJ288">
            <v>0</v>
          </cell>
        </row>
        <row r="289">
          <cell r="C289" t="str">
            <v>HARDWARE001-2</v>
          </cell>
          <cell r="D289" t="str">
            <v>HARDWARE001-2</v>
          </cell>
          <cell r="E289" t="str">
            <v>NUTS</v>
          </cell>
          <cell r="G289" t="str">
            <v>na</v>
          </cell>
          <cell r="H289" t="str">
            <v>PMT3</v>
          </cell>
          <cell r="I289" t="str">
            <v>PF</v>
          </cell>
          <cell r="K289" t="str">
            <v>W713760</v>
          </cell>
          <cell r="L289" t="str">
            <v>S440</v>
          </cell>
          <cell r="M289" t="str">
            <v>-W713760-S440</v>
          </cell>
          <cell r="O289">
            <v>42894</v>
          </cell>
          <cell r="S289">
            <v>2</v>
          </cell>
          <cell r="T289">
            <v>2</v>
          </cell>
          <cell r="U289">
            <v>2</v>
          </cell>
          <cell r="V289">
            <v>2</v>
          </cell>
          <cell r="W289">
            <v>2</v>
          </cell>
          <cell r="X289">
            <v>2</v>
          </cell>
          <cell r="Y289">
            <v>2</v>
          </cell>
          <cell r="Z289">
            <v>2</v>
          </cell>
          <cell r="AA289">
            <v>2</v>
          </cell>
          <cell r="AC289">
            <v>-0.51200000000000001</v>
          </cell>
          <cell r="AD289">
            <v>-2E-3</v>
          </cell>
          <cell r="AE289">
            <v>-3.0000000000000001E-3</v>
          </cell>
          <cell r="AF289">
            <v>0</v>
          </cell>
          <cell r="AG289">
            <v>0</v>
          </cell>
          <cell r="AH289">
            <v>-0.51700000000000002</v>
          </cell>
          <cell r="AI289" t="str">
            <v>CNY</v>
          </cell>
          <cell r="AJ289" t="str">
            <v>LP</v>
          </cell>
          <cell r="AK289" t="str">
            <v>重庆德隆盛 </v>
          </cell>
          <cell r="AL289" t="str">
            <v>DLVCA</v>
          </cell>
          <cell r="BB289">
            <v>0</v>
          </cell>
          <cell r="BC289">
            <v>0</v>
          </cell>
          <cell r="BE289">
            <v>0</v>
          </cell>
          <cell r="BF289">
            <v>0</v>
          </cell>
          <cell r="BG289">
            <v>0</v>
          </cell>
          <cell r="BI289">
            <v>0</v>
          </cell>
          <cell r="BJ289">
            <v>0</v>
          </cell>
        </row>
        <row r="290">
          <cell r="C290" t="str">
            <v>HARDWARE001-2</v>
          </cell>
          <cell r="D290" t="str">
            <v>HARDWARE001-2</v>
          </cell>
          <cell r="E290" t="str">
            <v>NUTS</v>
          </cell>
          <cell r="G290" t="str">
            <v>na</v>
          </cell>
          <cell r="H290" t="str">
            <v>PMT3</v>
          </cell>
          <cell r="I290" t="str">
            <v>PF</v>
          </cell>
          <cell r="K290" t="str">
            <v>W714098</v>
          </cell>
          <cell r="L290" t="str">
            <v>S442</v>
          </cell>
          <cell r="M290" t="str">
            <v>-W714098-S442</v>
          </cell>
          <cell r="O290">
            <v>42894</v>
          </cell>
          <cell r="S290">
            <v>6</v>
          </cell>
          <cell r="T290">
            <v>6</v>
          </cell>
          <cell r="U290">
            <v>6</v>
          </cell>
          <cell r="V290">
            <v>6</v>
          </cell>
          <cell r="W290">
            <v>6</v>
          </cell>
          <cell r="X290">
            <v>6</v>
          </cell>
          <cell r="Y290">
            <v>6</v>
          </cell>
          <cell r="Z290">
            <v>6</v>
          </cell>
          <cell r="AA290">
            <v>6</v>
          </cell>
          <cell r="AC290">
            <v>-0.23599999999999999</v>
          </cell>
          <cell r="AD290">
            <v>-1E-3</v>
          </cell>
          <cell r="AE290">
            <v>-2E-3</v>
          </cell>
          <cell r="AF290">
            <v>0</v>
          </cell>
          <cell r="AG290">
            <v>0</v>
          </cell>
          <cell r="AH290">
            <v>-0.23899999999999999</v>
          </cell>
          <cell r="AI290" t="str">
            <v>CNY</v>
          </cell>
          <cell r="AJ290" t="str">
            <v>LP</v>
          </cell>
          <cell r="AK290" t="str">
            <v>重庆德隆盛 </v>
          </cell>
          <cell r="AL290" t="str">
            <v>DLVCA</v>
          </cell>
          <cell r="BB290">
            <v>0</v>
          </cell>
          <cell r="BC290">
            <v>0</v>
          </cell>
          <cell r="BE290">
            <v>0</v>
          </cell>
          <cell r="BF290">
            <v>0</v>
          </cell>
          <cell r="BG290">
            <v>0</v>
          </cell>
          <cell r="BI290">
            <v>0</v>
          </cell>
          <cell r="BJ290">
            <v>0</v>
          </cell>
        </row>
        <row r="291">
          <cell r="C291" t="str">
            <v>HARDWARE001-2</v>
          </cell>
          <cell r="D291" t="str">
            <v>HARDWARE001-2</v>
          </cell>
          <cell r="E291" t="str">
            <v>NUTS</v>
          </cell>
          <cell r="G291" t="str">
            <v>na</v>
          </cell>
          <cell r="H291" t="str">
            <v>PMT3</v>
          </cell>
          <cell r="I291" t="str">
            <v>PF</v>
          </cell>
          <cell r="K291" t="str">
            <v>W719799</v>
          </cell>
          <cell r="L291" t="str">
            <v>S450B</v>
          </cell>
          <cell r="M291" t="str">
            <v>-W719799-S450B</v>
          </cell>
          <cell r="O291">
            <v>42894</v>
          </cell>
          <cell r="S291">
            <v>2</v>
          </cell>
          <cell r="T291">
            <v>2</v>
          </cell>
          <cell r="U291">
            <v>2</v>
          </cell>
          <cell r="V291">
            <v>2</v>
          </cell>
          <cell r="W291">
            <v>2</v>
          </cell>
          <cell r="X291">
            <v>2</v>
          </cell>
          <cell r="Y291">
            <v>2</v>
          </cell>
          <cell r="Z291">
            <v>2</v>
          </cell>
          <cell r="AA291">
            <v>2</v>
          </cell>
          <cell r="AC291">
            <v>-0.41799999999999998</v>
          </cell>
          <cell r="AD291">
            <v>-1E-3</v>
          </cell>
          <cell r="AE291">
            <v>-1E-3</v>
          </cell>
          <cell r="AF291">
            <v>0</v>
          </cell>
          <cell r="AG291">
            <v>0</v>
          </cell>
          <cell r="AH291">
            <v>-0.42</v>
          </cell>
          <cell r="AI291" t="str">
            <v>CNY</v>
          </cell>
          <cell r="AJ291" t="str">
            <v>LP</v>
          </cell>
          <cell r="AK291" t="str">
            <v>重庆德隆盛 </v>
          </cell>
          <cell r="AL291" t="str">
            <v>DLVCA</v>
          </cell>
          <cell r="BB291">
            <v>0</v>
          </cell>
          <cell r="BC291">
            <v>0</v>
          </cell>
          <cell r="BE291">
            <v>0</v>
          </cell>
          <cell r="BF291">
            <v>0</v>
          </cell>
          <cell r="BG291">
            <v>0</v>
          </cell>
          <cell r="BI291">
            <v>0</v>
          </cell>
          <cell r="BJ291">
            <v>0</v>
          </cell>
        </row>
        <row r="292">
          <cell r="C292" t="str">
            <v>HARDWARE001-2</v>
          </cell>
          <cell r="D292" t="str">
            <v>HARDWARE001-2</v>
          </cell>
          <cell r="E292" t="str">
            <v>NUTS</v>
          </cell>
          <cell r="G292" t="str">
            <v>na</v>
          </cell>
          <cell r="H292" t="str">
            <v>PMT3</v>
          </cell>
          <cell r="I292" t="str">
            <v>PF</v>
          </cell>
          <cell r="K292" t="str">
            <v>W719080</v>
          </cell>
          <cell r="L292" t="str">
            <v>S442</v>
          </cell>
          <cell r="M292" t="str">
            <v>-W719080-S442</v>
          </cell>
          <cell r="O292">
            <v>42894</v>
          </cell>
          <cell r="S292">
            <v>2</v>
          </cell>
          <cell r="T292">
            <v>2</v>
          </cell>
          <cell r="U292">
            <v>2</v>
          </cell>
          <cell r="V292">
            <v>2</v>
          </cell>
          <cell r="W292">
            <v>2</v>
          </cell>
          <cell r="X292">
            <v>0</v>
          </cell>
          <cell r="Y292">
            <v>0</v>
          </cell>
          <cell r="Z292">
            <v>2</v>
          </cell>
          <cell r="AA292">
            <v>1.62</v>
          </cell>
          <cell r="AC292">
            <v>-0.20499999999999999</v>
          </cell>
          <cell r="AD292">
            <v>-1E-3</v>
          </cell>
          <cell r="AE292">
            <v>-3.0000000000000001E-3</v>
          </cell>
          <cell r="AF292">
            <v>0</v>
          </cell>
          <cell r="AG292">
            <v>0</v>
          </cell>
          <cell r="AH292">
            <v>-0.20899999999999999</v>
          </cell>
          <cell r="AI292" t="str">
            <v>CNY</v>
          </cell>
          <cell r="AJ292" t="str">
            <v>LP</v>
          </cell>
          <cell r="AK292" t="str">
            <v>重庆德隆盛 </v>
          </cell>
          <cell r="AL292" t="str">
            <v>DLVCA</v>
          </cell>
          <cell r="BB292">
            <v>0</v>
          </cell>
          <cell r="BC292">
            <v>0</v>
          </cell>
          <cell r="BE292">
            <v>0</v>
          </cell>
          <cell r="BF292">
            <v>0</v>
          </cell>
          <cell r="BG292">
            <v>0</v>
          </cell>
          <cell r="BI292">
            <v>0</v>
          </cell>
          <cell r="BJ292">
            <v>0</v>
          </cell>
        </row>
        <row r="293">
          <cell r="C293" t="str">
            <v>HARDWARE001-2</v>
          </cell>
          <cell r="D293" t="str">
            <v>HARDWARE001-2</v>
          </cell>
          <cell r="E293" t="str">
            <v>NUTS</v>
          </cell>
          <cell r="G293" t="str">
            <v>na</v>
          </cell>
          <cell r="H293" t="str">
            <v>PMT3</v>
          </cell>
          <cell r="I293" t="str">
            <v>PF</v>
          </cell>
          <cell r="K293" t="str">
            <v>W719514</v>
          </cell>
          <cell r="L293" t="str">
            <v>S450B</v>
          </cell>
          <cell r="M293" t="str">
            <v>-W719514-S450B</v>
          </cell>
          <cell r="O293">
            <v>42894</v>
          </cell>
          <cell r="S293">
            <v>6</v>
          </cell>
          <cell r="T293">
            <v>6</v>
          </cell>
          <cell r="U293">
            <v>6</v>
          </cell>
          <cell r="V293">
            <v>6</v>
          </cell>
          <cell r="W293">
            <v>6</v>
          </cell>
          <cell r="X293">
            <v>6</v>
          </cell>
          <cell r="Y293">
            <v>6</v>
          </cell>
          <cell r="Z293">
            <v>6</v>
          </cell>
          <cell r="AA293">
            <v>6</v>
          </cell>
          <cell r="AC293">
            <v>-0.39300000000000002</v>
          </cell>
          <cell r="AD293">
            <v>-1E-3</v>
          </cell>
          <cell r="AE293">
            <v>-1E-3</v>
          </cell>
          <cell r="AF293">
            <v>0</v>
          </cell>
          <cell r="AG293">
            <v>0</v>
          </cell>
          <cell r="AH293">
            <v>-0.39500000000000002</v>
          </cell>
          <cell r="AI293" t="str">
            <v>CNY</v>
          </cell>
          <cell r="AJ293" t="str">
            <v>LP</v>
          </cell>
          <cell r="AK293" t="str">
            <v>重庆德隆盛 </v>
          </cell>
          <cell r="AL293" t="str">
            <v>DLVCA</v>
          </cell>
          <cell r="BB293">
            <v>0</v>
          </cell>
          <cell r="BC293">
            <v>0</v>
          </cell>
          <cell r="BE293">
            <v>0</v>
          </cell>
          <cell r="BF293">
            <v>0</v>
          </cell>
          <cell r="BG293">
            <v>0</v>
          </cell>
          <cell r="BI293">
            <v>0</v>
          </cell>
          <cell r="BJ293">
            <v>0</v>
          </cell>
        </row>
        <row r="294">
          <cell r="C294" t="str">
            <v>HARDWARE001-2</v>
          </cell>
          <cell r="D294" t="str">
            <v>HARDWARE001-2</v>
          </cell>
          <cell r="E294" t="str">
            <v>NUTS</v>
          </cell>
          <cell r="G294" t="str">
            <v>na</v>
          </cell>
          <cell r="H294" t="str">
            <v>PMT3</v>
          </cell>
          <cell r="I294" t="str">
            <v>PF</v>
          </cell>
          <cell r="K294" t="str">
            <v>W716102</v>
          </cell>
          <cell r="L294" t="str">
            <v>S300</v>
          </cell>
          <cell r="M294" t="str">
            <v>-W716102-S300</v>
          </cell>
          <cell r="O294">
            <v>42894</v>
          </cell>
          <cell r="S294">
            <v>2</v>
          </cell>
          <cell r="T294">
            <v>2</v>
          </cell>
          <cell r="U294">
            <v>2</v>
          </cell>
          <cell r="V294">
            <v>2</v>
          </cell>
          <cell r="W294">
            <v>2</v>
          </cell>
          <cell r="X294">
            <v>2</v>
          </cell>
          <cell r="Y294">
            <v>2</v>
          </cell>
          <cell r="Z294">
            <v>2</v>
          </cell>
          <cell r="AA294">
            <v>2</v>
          </cell>
          <cell r="AC294">
            <v>-0.17799999999999999</v>
          </cell>
          <cell r="AD294">
            <v>-1E-3</v>
          </cell>
          <cell r="AE294">
            <v>-1E-3</v>
          </cell>
          <cell r="AF294">
            <v>0</v>
          </cell>
          <cell r="AG294">
            <v>0</v>
          </cell>
          <cell r="AH294">
            <v>-0.18</v>
          </cell>
          <cell r="AI294" t="str">
            <v>CNY</v>
          </cell>
          <cell r="AJ294" t="str">
            <v>LP</v>
          </cell>
          <cell r="AK294" t="str">
            <v>重庆德隆盛 </v>
          </cell>
          <cell r="AL294" t="str">
            <v>DLVCA</v>
          </cell>
          <cell r="BB294">
            <v>0</v>
          </cell>
          <cell r="BC294">
            <v>0</v>
          </cell>
          <cell r="BE294">
            <v>0</v>
          </cell>
          <cell r="BF294">
            <v>0</v>
          </cell>
          <cell r="BG294">
            <v>0</v>
          </cell>
          <cell r="BI294">
            <v>0</v>
          </cell>
          <cell r="BJ294">
            <v>0</v>
          </cell>
        </row>
        <row r="295">
          <cell r="C295" t="str">
            <v>HARDWARE001-2</v>
          </cell>
          <cell r="D295" t="str">
            <v>HARDWARE001-2</v>
          </cell>
          <cell r="E295" t="str">
            <v>NUTS</v>
          </cell>
          <cell r="G295" t="str">
            <v>na</v>
          </cell>
          <cell r="H295" t="str">
            <v>PMT3</v>
          </cell>
          <cell r="I295" t="str">
            <v>PF</v>
          </cell>
          <cell r="K295" t="str">
            <v>W520764</v>
          </cell>
          <cell r="L295" t="str">
            <v>S300</v>
          </cell>
          <cell r="M295" t="str">
            <v>-W520764-S300</v>
          </cell>
          <cell r="O295">
            <v>42894</v>
          </cell>
          <cell r="S295">
            <v>2</v>
          </cell>
          <cell r="T295">
            <v>2</v>
          </cell>
          <cell r="U295">
            <v>2</v>
          </cell>
          <cell r="V295">
            <v>2</v>
          </cell>
          <cell r="W295">
            <v>2</v>
          </cell>
          <cell r="X295">
            <v>2</v>
          </cell>
          <cell r="Y295">
            <v>2</v>
          </cell>
          <cell r="Z295">
            <v>2</v>
          </cell>
          <cell r="AA295">
            <v>2</v>
          </cell>
          <cell r="AC295">
            <v>-0.51</v>
          </cell>
          <cell r="AD295">
            <v>-4.0000000000000001E-3</v>
          </cell>
          <cell r="AE295">
            <v>-6.0000000000000001E-3</v>
          </cell>
          <cell r="AF295">
            <v>0</v>
          </cell>
          <cell r="AG295">
            <v>0</v>
          </cell>
          <cell r="AH295">
            <v>-0.52</v>
          </cell>
          <cell r="AI295" t="str">
            <v>CNY</v>
          </cell>
          <cell r="AJ295" t="str">
            <v>LP</v>
          </cell>
          <cell r="AK295" t="str">
            <v>重庆德隆盛 </v>
          </cell>
          <cell r="AL295" t="str">
            <v>DLVCA</v>
          </cell>
          <cell r="BB295">
            <v>0</v>
          </cell>
          <cell r="BC295">
            <v>0</v>
          </cell>
          <cell r="BE295">
            <v>0</v>
          </cell>
          <cell r="BF295">
            <v>0</v>
          </cell>
          <cell r="BG295">
            <v>0</v>
          </cell>
          <cell r="BI295">
            <v>0</v>
          </cell>
          <cell r="BJ295">
            <v>0</v>
          </cell>
        </row>
        <row r="296">
          <cell r="C296" t="str">
            <v>HARDWARE001-2</v>
          </cell>
          <cell r="D296" t="str">
            <v>HARDWARE001-2</v>
          </cell>
          <cell r="E296" t="str">
            <v>NUTS</v>
          </cell>
          <cell r="G296" t="str">
            <v>na</v>
          </cell>
          <cell r="H296" t="str">
            <v>PMT3</v>
          </cell>
          <cell r="I296" t="str">
            <v>PF</v>
          </cell>
          <cell r="K296" t="str">
            <v>W520761</v>
          </cell>
          <cell r="L296" t="str">
            <v>S300</v>
          </cell>
          <cell r="M296" t="str">
            <v>-W520761-S300</v>
          </cell>
          <cell r="O296">
            <v>42894</v>
          </cell>
          <cell r="S296">
            <v>2</v>
          </cell>
          <cell r="T296">
            <v>2</v>
          </cell>
          <cell r="U296">
            <v>2</v>
          </cell>
          <cell r="V296">
            <v>2</v>
          </cell>
          <cell r="W296">
            <v>2</v>
          </cell>
          <cell r="X296">
            <v>2</v>
          </cell>
          <cell r="Y296">
            <v>2</v>
          </cell>
          <cell r="Z296">
            <v>2</v>
          </cell>
          <cell r="AA296">
            <v>2</v>
          </cell>
          <cell r="AC296">
            <v>-0.123</v>
          </cell>
          <cell r="AD296">
            <v>-1E-3</v>
          </cell>
          <cell r="AE296">
            <v>-1E-3</v>
          </cell>
          <cell r="AF296">
            <v>0</v>
          </cell>
          <cell r="AG296">
            <v>0</v>
          </cell>
          <cell r="AH296">
            <v>-0.125</v>
          </cell>
          <cell r="AI296" t="str">
            <v>CNY</v>
          </cell>
          <cell r="AJ296" t="str">
            <v>LP</v>
          </cell>
          <cell r="AK296" t="str">
            <v>重庆德隆盛 </v>
          </cell>
          <cell r="AL296" t="str">
            <v>DLVCA</v>
          </cell>
          <cell r="BB296">
            <v>0</v>
          </cell>
          <cell r="BC296">
            <v>0</v>
          </cell>
          <cell r="BE296">
            <v>0</v>
          </cell>
          <cell r="BF296">
            <v>0</v>
          </cell>
          <cell r="BG296">
            <v>0</v>
          </cell>
          <cell r="BI296">
            <v>0</v>
          </cell>
          <cell r="BJ296">
            <v>0</v>
          </cell>
        </row>
        <row r="297">
          <cell r="C297" t="str">
            <v>HARDWARE001-1</v>
          </cell>
          <cell r="D297" t="str">
            <v>HARDWARE001-1</v>
          </cell>
          <cell r="E297" t="str">
            <v>BOLTS</v>
          </cell>
          <cell r="G297" t="str">
            <v>na</v>
          </cell>
          <cell r="H297" t="str">
            <v>PMT3</v>
          </cell>
          <cell r="I297" t="str">
            <v>PF</v>
          </cell>
          <cell r="K297" t="str">
            <v>W500014</v>
          </cell>
          <cell r="L297" t="str">
            <v>S437</v>
          </cell>
          <cell r="M297" t="str">
            <v>-W500014-S437</v>
          </cell>
          <cell r="O297">
            <v>42894</v>
          </cell>
          <cell r="S297">
            <v>2</v>
          </cell>
          <cell r="T297">
            <v>0</v>
          </cell>
          <cell r="U297">
            <v>2</v>
          </cell>
          <cell r="V297">
            <v>2</v>
          </cell>
          <cell r="W297">
            <v>0</v>
          </cell>
          <cell r="X297">
            <v>2</v>
          </cell>
          <cell r="Y297">
            <v>0</v>
          </cell>
          <cell r="Z297">
            <v>0</v>
          </cell>
          <cell r="AA297">
            <v>1.3</v>
          </cell>
          <cell r="AC297">
            <v>-0.111</v>
          </cell>
          <cell r="AD297">
            <v>-2.5999999999999999E-3</v>
          </cell>
          <cell r="AE297">
            <v>-2.2000000000000001E-3</v>
          </cell>
          <cell r="AF297">
            <v>0</v>
          </cell>
          <cell r="AG297">
            <v>0</v>
          </cell>
          <cell r="AH297">
            <v>-0.1158</v>
          </cell>
          <cell r="AI297" t="str">
            <v>CNY</v>
          </cell>
          <cell r="AJ297" t="str">
            <v>LP</v>
          </cell>
          <cell r="AK297" t="str">
            <v>重庆金海</v>
          </cell>
          <cell r="AL297" t="str">
            <v>FJHBB</v>
          </cell>
          <cell r="BB297">
            <v>0</v>
          </cell>
          <cell r="BC297">
            <v>0</v>
          </cell>
          <cell r="BE297">
            <v>0</v>
          </cell>
          <cell r="BF297">
            <v>0</v>
          </cell>
          <cell r="BG297">
            <v>0</v>
          </cell>
          <cell r="BI297">
            <v>0</v>
          </cell>
          <cell r="BJ297">
            <v>0</v>
          </cell>
        </row>
        <row r="298">
          <cell r="C298" t="str">
            <v>HARDWARE001-1</v>
          </cell>
          <cell r="D298" t="str">
            <v>HARDWARE001-1</v>
          </cell>
          <cell r="E298" t="str">
            <v>BOLTS</v>
          </cell>
          <cell r="G298" t="str">
            <v>na</v>
          </cell>
          <cell r="H298" t="str">
            <v>PMT3</v>
          </cell>
          <cell r="I298" t="str">
            <v>PF</v>
          </cell>
          <cell r="K298" t="str">
            <v>W500215</v>
          </cell>
          <cell r="L298" t="str">
            <v>S450B</v>
          </cell>
          <cell r="M298" t="str">
            <v>-W500215-S450B</v>
          </cell>
          <cell r="O298">
            <v>42894</v>
          </cell>
          <cell r="S298">
            <v>2</v>
          </cell>
          <cell r="T298">
            <v>2</v>
          </cell>
          <cell r="U298">
            <v>2</v>
          </cell>
          <cell r="V298">
            <v>2</v>
          </cell>
          <cell r="W298">
            <v>2</v>
          </cell>
          <cell r="X298">
            <v>2</v>
          </cell>
          <cell r="Y298">
            <v>2</v>
          </cell>
          <cell r="Z298">
            <v>2</v>
          </cell>
          <cell r="AA298">
            <v>2</v>
          </cell>
          <cell r="AC298">
            <v>-0.189</v>
          </cell>
          <cell r="AD298">
            <v>-3.0000000000000001E-3</v>
          </cell>
          <cell r="AE298">
            <v>-2.5999999999999999E-3</v>
          </cell>
          <cell r="AF298">
            <v>0</v>
          </cell>
          <cell r="AG298">
            <v>0</v>
          </cell>
          <cell r="AH298">
            <v>-0.1946</v>
          </cell>
          <cell r="AI298" t="str">
            <v>CNY</v>
          </cell>
          <cell r="AJ298" t="str">
            <v>LP</v>
          </cell>
          <cell r="AK298" t="str">
            <v>重庆金海</v>
          </cell>
          <cell r="AL298" t="str">
            <v>FJHBB</v>
          </cell>
          <cell r="BB298">
            <v>0</v>
          </cell>
          <cell r="BC298">
            <v>0</v>
          </cell>
          <cell r="BE298">
            <v>0</v>
          </cell>
          <cell r="BF298">
            <v>0</v>
          </cell>
          <cell r="BG298">
            <v>0</v>
          </cell>
          <cell r="BI298">
            <v>0</v>
          </cell>
          <cell r="BJ298">
            <v>0</v>
          </cell>
        </row>
        <row r="299">
          <cell r="C299" t="str">
            <v>HARDWARE001-1</v>
          </cell>
          <cell r="D299" t="str">
            <v>HARDWARE001-1</v>
          </cell>
          <cell r="E299" t="str">
            <v>BOLTS</v>
          </cell>
          <cell r="G299" t="str">
            <v>na</v>
          </cell>
          <cell r="H299" t="str">
            <v>PMT3</v>
          </cell>
          <cell r="I299" t="str">
            <v>PF</v>
          </cell>
          <cell r="K299" t="str">
            <v>W707103</v>
          </cell>
          <cell r="L299" t="str">
            <v>S439</v>
          </cell>
          <cell r="M299" t="str">
            <v>-W707103-S439</v>
          </cell>
          <cell r="O299">
            <v>42894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C299">
            <v>-0.26600000000000001</v>
          </cell>
          <cell r="AD299">
            <v>-5.5999999999999999E-3</v>
          </cell>
          <cell r="AE299">
            <v>-4.7999999999999996E-3</v>
          </cell>
          <cell r="AF299">
            <v>0</v>
          </cell>
          <cell r="AG299">
            <v>0</v>
          </cell>
          <cell r="AH299">
            <v>-0.27640000000000003</v>
          </cell>
          <cell r="AI299" t="str">
            <v>CNY</v>
          </cell>
          <cell r="AJ299" t="str">
            <v>LP</v>
          </cell>
          <cell r="AK299" t="str">
            <v>重庆金海</v>
          </cell>
          <cell r="AL299" t="str">
            <v>FJHBB</v>
          </cell>
          <cell r="BB299">
            <v>0</v>
          </cell>
          <cell r="BC299">
            <v>0</v>
          </cell>
          <cell r="BE299">
            <v>0</v>
          </cell>
          <cell r="BF299">
            <v>0</v>
          </cell>
          <cell r="BG299">
            <v>0</v>
          </cell>
          <cell r="BI299">
            <v>0</v>
          </cell>
          <cell r="BJ299">
            <v>0</v>
          </cell>
        </row>
        <row r="300">
          <cell r="C300" t="str">
            <v>HARDWARE001-1</v>
          </cell>
          <cell r="D300" t="str">
            <v>HARDWARE001-1</v>
          </cell>
          <cell r="E300" t="str">
            <v>BOLTS</v>
          </cell>
          <cell r="G300" t="str">
            <v>na</v>
          </cell>
          <cell r="H300" t="str">
            <v>PMT3</v>
          </cell>
          <cell r="I300" t="str">
            <v>PF</v>
          </cell>
          <cell r="K300" t="str">
            <v>W716272</v>
          </cell>
          <cell r="L300" t="str">
            <v>S450</v>
          </cell>
          <cell r="M300" t="str">
            <v>-W716272-S450</v>
          </cell>
          <cell r="O300">
            <v>42894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C300">
            <v>-0.752</v>
          </cell>
          <cell r="AD300">
            <v>-6.8999999999999999E-3</v>
          </cell>
          <cell r="AE300">
            <v>-5.8999999999999999E-3</v>
          </cell>
          <cell r="AF300">
            <v>0</v>
          </cell>
          <cell r="AG300">
            <v>0</v>
          </cell>
          <cell r="AH300">
            <v>-0.76480000000000004</v>
          </cell>
          <cell r="AI300" t="str">
            <v>CNY</v>
          </cell>
          <cell r="AJ300" t="str">
            <v>LP</v>
          </cell>
          <cell r="AK300" t="str">
            <v>重庆金海</v>
          </cell>
          <cell r="AL300" t="str">
            <v>FJHBB</v>
          </cell>
          <cell r="BB300">
            <v>0</v>
          </cell>
          <cell r="BC300">
            <v>0</v>
          </cell>
          <cell r="BE300">
            <v>0</v>
          </cell>
          <cell r="BF300">
            <v>0</v>
          </cell>
          <cell r="BG300">
            <v>0</v>
          </cell>
          <cell r="BI300">
            <v>0</v>
          </cell>
          <cell r="BJ300">
            <v>0</v>
          </cell>
        </row>
        <row r="301">
          <cell r="C301" t="str">
            <v>HARDWARE001-1</v>
          </cell>
          <cell r="D301" t="str">
            <v>HARDWARE001-1</v>
          </cell>
          <cell r="E301" t="str">
            <v>BOLTS</v>
          </cell>
          <cell r="G301" t="str">
            <v>na</v>
          </cell>
          <cell r="H301" t="str">
            <v>PMT3</v>
          </cell>
          <cell r="I301" t="str">
            <v>PF</v>
          </cell>
          <cell r="K301" t="str">
            <v>W716576</v>
          </cell>
          <cell r="L301" t="str">
            <v>S442</v>
          </cell>
          <cell r="M301" t="str">
            <v>-W716576-S442</v>
          </cell>
          <cell r="O301">
            <v>42894</v>
          </cell>
          <cell r="S301">
            <v>6</v>
          </cell>
          <cell r="T301">
            <v>6</v>
          </cell>
          <cell r="U301">
            <v>6</v>
          </cell>
          <cell r="V301">
            <v>6</v>
          </cell>
          <cell r="W301">
            <v>6</v>
          </cell>
          <cell r="X301">
            <v>6</v>
          </cell>
          <cell r="Y301">
            <v>6</v>
          </cell>
          <cell r="Z301">
            <v>6</v>
          </cell>
          <cell r="AA301">
            <v>6</v>
          </cell>
          <cell r="AC301">
            <v>-0.21299999999999999</v>
          </cell>
          <cell r="AD301">
            <v>-3.7000000000000002E-3</v>
          </cell>
          <cell r="AE301">
            <v>-3.2000000000000002E-3</v>
          </cell>
          <cell r="AF301">
            <v>0</v>
          </cell>
          <cell r="AG301">
            <v>0</v>
          </cell>
          <cell r="AH301">
            <v>-0.21990000000000001</v>
          </cell>
          <cell r="AI301" t="str">
            <v>CNY</v>
          </cell>
          <cell r="AJ301" t="str">
            <v>LP</v>
          </cell>
          <cell r="AK301" t="str">
            <v>重庆金海</v>
          </cell>
          <cell r="AL301" t="str">
            <v>FJHBB</v>
          </cell>
          <cell r="BB301">
            <v>0</v>
          </cell>
          <cell r="BC301">
            <v>0</v>
          </cell>
          <cell r="BE301">
            <v>0</v>
          </cell>
          <cell r="BF301">
            <v>0</v>
          </cell>
          <cell r="BG301">
            <v>0</v>
          </cell>
          <cell r="BI301">
            <v>0</v>
          </cell>
          <cell r="BJ301">
            <v>0</v>
          </cell>
        </row>
        <row r="302">
          <cell r="C302" t="str">
            <v>HARDWARE001-3</v>
          </cell>
          <cell r="D302" t="str">
            <v>HARDWARE001-3</v>
          </cell>
          <cell r="E302" t="str">
            <v>TAPPING SCREW</v>
          </cell>
          <cell r="G302" t="str">
            <v>na</v>
          </cell>
          <cell r="H302" t="str">
            <v>PMT3</v>
          </cell>
          <cell r="I302" t="str">
            <v>PF</v>
          </cell>
          <cell r="K302" t="str">
            <v>W505276</v>
          </cell>
          <cell r="L302" t="str">
            <v>S307</v>
          </cell>
          <cell r="M302" t="str">
            <v>-W505276-S307</v>
          </cell>
          <cell r="O302">
            <v>42894</v>
          </cell>
          <cell r="S302">
            <v>4</v>
          </cell>
          <cell r="T302">
            <v>4</v>
          </cell>
          <cell r="U302">
            <v>4</v>
          </cell>
          <cell r="V302">
            <v>4</v>
          </cell>
          <cell r="W302">
            <v>4</v>
          </cell>
          <cell r="X302">
            <v>4</v>
          </cell>
          <cell r="Y302">
            <v>4</v>
          </cell>
          <cell r="Z302">
            <v>4</v>
          </cell>
          <cell r="AA302">
            <v>4</v>
          </cell>
          <cell r="AC302">
            <v>-0.86299999999999999</v>
          </cell>
          <cell r="AD302">
            <v>-1.2E-2</v>
          </cell>
          <cell r="AE302">
            <v>-2.5000000000000001E-2</v>
          </cell>
          <cell r="AF302">
            <v>0</v>
          </cell>
          <cell r="AG302">
            <v>0</v>
          </cell>
          <cell r="AH302">
            <v>-0.9</v>
          </cell>
          <cell r="AI302" t="str">
            <v>CNY</v>
          </cell>
          <cell r="AJ302" t="str">
            <v>LP</v>
          </cell>
          <cell r="AK302" t="str">
            <v>上海奥达科</v>
          </cell>
          <cell r="AL302" t="str">
            <v>GPDKA </v>
          </cell>
          <cell r="BB302">
            <v>0</v>
          </cell>
          <cell r="BC302">
            <v>0</v>
          </cell>
          <cell r="BE302">
            <v>0</v>
          </cell>
          <cell r="BF302">
            <v>0</v>
          </cell>
          <cell r="BG302">
            <v>0</v>
          </cell>
          <cell r="BI302">
            <v>0</v>
          </cell>
          <cell r="BJ302">
            <v>0</v>
          </cell>
        </row>
        <row r="303">
          <cell r="C303" t="str">
            <v>HARDWARE001-3</v>
          </cell>
          <cell r="D303" t="str">
            <v>HARDWARE001-3</v>
          </cell>
          <cell r="E303" t="str">
            <v>TAPPING SCREW</v>
          </cell>
          <cell r="G303" t="str">
            <v>na</v>
          </cell>
          <cell r="H303" t="str">
            <v>PMT3</v>
          </cell>
          <cell r="I303" t="str">
            <v>PF</v>
          </cell>
          <cell r="K303" t="str">
            <v>W506976</v>
          </cell>
          <cell r="L303" t="str">
            <v>S303</v>
          </cell>
          <cell r="M303" t="str">
            <v>-W506976-S303</v>
          </cell>
          <cell r="O303">
            <v>42894</v>
          </cell>
          <cell r="S303">
            <v>4</v>
          </cell>
          <cell r="T303">
            <v>4</v>
          </cell>
          <cell r="U303">
            <v>4</v>
          </cell>
          <cell r="V303">
            <v>4</v>
          </cell>
          <cell r="W303">
            <v>4</v>
          </cell>
          <cell r="X303">
            <v>4</v>
          </cell>
          <cell r="Y303">
            <v>4</v>
          </cell>
          <cell r="Z303">
            <v>4</v>
          </cell>
          <cell r="AA303">
            <v>4</v>
          </cell>
          <cell r="AC303">
            <v>-0.442</v>
          </cell>
          <cell r="AD303">
            <v>-3.0000000000000001E-3</v>
          </cell>
          <cell r="AE303">
            <v>-5.0000000000000001E-3</v>
          </cell>
          <cell r="AF303">
            <v>0</v>
          </cell>
          <cell r="AG303">
            <v>0</v>
          </cell>
          <cell r="AH303">
            <v>-0.45</v>
          </cell>
          <cell r="AI303" t="str">
            <v>CNY</v>
          </cell>
          <cell r="AJ303" t="str">
            <v>LP</v>
          </cell>
          <cell r="AK303" t="str">
            <v>上海奥达科</v>
          </cell>
          <cell r="AL303" t="str">
            <v>GPDKA </v>
          </cell>
          <cell r="BB303">
            <v>0</v>
          </cell>
          <cell r="BC303">
            <v>0</v>
          </cell>
          <cell r="BE303">
            <v>0</v>
          </cell>
          <cell r="BF303">
            <v>0</v>
          </cell>
          <cell r="BG303">
            <v>0</v>
          </cell>
          <cell r="BI303">
            <v>0</v>
          </cell>
          <cell r="BJ303">
            <v>0</v>
          </cell>
        </row>
        <row r="304">
          <cell r="C304" t="str">
            <v>HARDWARE001-3</v>
          </cell>
          <cell r="D304" t="str">
            <v>HARDWARE001-3</v>
          </cell>
          <cell r="E304" t="str">
            <v>TAPPING SCREW</v>
          </cell>
          <cell r="G304" t="str">
            <v>na</v>
          </cell>
          <cell r="H304" t="str">
            <v>PMT3</v>
          </cell>
          <cell r="I304" t="str">
            <v>PF</v>
          </cell>
          <cell r="K304" t="str">
            <v>W702816</v>
          </cell>
          <cell r="L304" t="str">
            <v>S307</v>
          </cell>
          <cell r="M304" t="str">
            <v>-W702816-S307</v>
          </cell>
          <cell r="O304">
            <v>42894</v>
          </cell>
          <cell r="S304">
            <v>8</v>
          </cell>
          <cell r="T304">
            <v>8</v>
          </cell>
          <cell r="U304">
            <v>8</v>
          </cell>
          <cell r="V304">
            <v>8</v>
          </cell>
          <cell r="W304">
            <v>8</v>
          </cell>
          <cell r="X304">
            <v>8</v>
          </cell>
          <cell r="Y304">
            <v>8</v>
          </cell>
          <cell r="Z304">
            <v>8</v>
          </cell>
          <cell r="AA304">
            <v>8</v>
          </cell>
          <cell r="AC304">
            <v>-0.29399999999999998</v>
          </cell>
          <cell r="AD304">
            <v>-3.0000000000000001E-3</v>
          </cell>
          <cell r="AE304">
            <v>-6.0000000000000001E-3</v>
          </cell>
          <cell r="AF304">
            <v>0</v>
          </cell>
          <cell r="AG304">
            <v>0</v>
          </cell>
          <cell r="AH304">
            <v>-0.30299999999999999</v>
          </cell>
          <cell r="AI304" t="str">
            <v>CNY</v>
          </cell>
          <cell r="AJ304" t="str">
            <v>LP</v>
          </cell>
          <cell r="AK304" t="str">
            <v>上海奥达科</v>
          </cell>
          <cell r="AL304" t="str">
            <v>GPDKA </v>
          </cell>
          <cell r="BB304">
            <v>0</v>
          </cell>
          <cell r="BC304">
            <v>0</v>
          </cell>
          <cell r="BE304">
            <v>0</v>
          </cell>
          <cell r="BF304">
            <v>0</v>
          </cell>
          <cell r="BG304">
            <v>0</v>
          </cell>
          <cell r="BI304">
            <v>0</v>
          </cell>
          <cell r="BJ304">
            <v>0</v>
          </cell>
        </row>
        <row r="305">
          <cell r="C305" t="str">
            <v>HARDWARE001-3</v>
          </cell>
          <cell r="D305" t="str">
            <v>HARDWARE001-3</v>
          </cell>
          <cell r="E305" t="str">
            <v>TAPPING SCREW</v>
          </cell>
          <cell r="G305" t="str">
            <v>na</v>
          </cell>
          <cell r="H305" t="str">
            <v>PMT3</v>
          </cell>
          <cell r="I305" t="str">
            <v>PF</v>
          </cell>
          <cell r="K305" t="str">
            <v>W708322</v>
          </cell>
          <cell r="L305" t="str">
            <v>S424</v>
          </cell>
          <cell r="M305" t="str">
            <v>-W708322-S424</v>
          </cell>
          <cell r="O305">
            <v>42894</v>
          </cell>
          <cell r="S305">
            <v>11</v>
          </cell>
          <cell r="T305">
            <v>11</v>
          </cell>
          <cell r="U305">
            <v>11</v>
          </cell>
          <cell r="V305">
            <v>11</v>
          </cell>
          <cell r="W305">
            <v>11</v>
          </cell>
          <cell r="X305">
            <v>11</v>
          </cell>
          <cell r="Y305">
            <v>11</v>
          </cell>
          <cell r="Z305">
            <v>11</v>
          </cell>
          <cell r="AA305">
            <v>11</v>
          </cell>
          <cell r="AC305">
            <v>-1.2150000000000001</v>
          </cell>
          <cell r="AD305">
            <v>-1.7000000000000001E-2</v>
          </cell>
          <cell r="AE305">
            <v>-3.5000000000000003E-2</v>
          </cell>
          <cell r="AF305">
            <v>0</v>
          </cell>
          <cell r="AG305">
            <v>0</v>
          </cell>
          <cell r="AH305">
            <v>-1.2669999999999999</v>
          </cell>
          <cell r="AI305" t="str">
            <v>CNY</v>
          </cell>
          <cell r="AJ305" t="str">
            <v>LP</v>
          </cell>
          <cell r="AK305" t="str">
            <v>上海奥达科</v>
          </cell>
          <cell r="AL305" t="str">
            <v>GPDKA </v>
          </cell>
          <cell r="BB305">
            <v>0</v>
          </cell>
          <cell r="BC305">
            <v>0</v>
          </cell>
          <cell r="BE305">
            <v>0</v>
          </cell>
          <cell r="BF305">
            <v>0</v>
          </cell>
          <cell r="BG305">
            <v>0</v>
          </cell>
          <cell r="BI305">
            <v>0</v>
          </cell>
          <cell r="BJ305">
            <v>0</v>
          </cell>
        </row>
        <row r="306">
          <cell r="C306" t="str">
            <v>HARDWARE001-3</v>
          </cell>
          <cell r="D306" t="str">
            <v>HARDWARE001-3</v>
          </cell>
          <cell r="E306" t="str">
            <v>TAPPING SCREW</v>
          </cell>
          <cell r="G306" t="str">
            <v>na</v>
          </cell>
          <cell r="H306" t="str">
            <v>PMT3</v>
          </cell>
          <cell r="I306" t="str">
            <v>PF</v>
          </cell>
          <cell r="K306" t="str">
            <v>W709721</v>
          </cell>
          <cell r="L306" t="str">
            <v>S451</v>
          </cell>
          <cell r="M306" t="str">
            <v>-W709721-S451</v>
          </cell>
          <cell r="O306">
            <v>42894</v>
          </cell>
          <cell r="S306">
            <v>8</v>
          </cell>
          <cell r="T306">
            <v>8</v>
          </cell>
          <cell r="U306">
            <v>8</v>
          </cell>
          <cell r="V306">
            <v>8</v>
          </cell>
          <cell r="W306">
            <v>8</v>
          </cell>
          <cell r="X306">
            <v>8</v>
          </cell>
          <cell r="Y306">
            <v>8</v>
          </cell>
          <cell r="Z306">
            <v>8</v>
          </cell>
          <cell r="AA306">
            <v>8</v>
          </cell>
          <cell r="AC306">
            <v>-0.17499999999999999</v>
          </cell>
          <cell r="AD306">
            <v>-2E-3</v>
          </cell>
          <cell r="AE306">
            <v>-3.0000000000000001E-3</v>
          </cell>
          <cell r="AF306">
            <v>0</v>
          </cell>
          <cell r="AG306">
            <v>0</v>
          </cell>
          <cell r="AH306">
            <v>-0.18</v>
          </cell>
          <cell r="AI306" t="str">
            <v>CNY</v>
          </cell>
          <cell r="AJ306" t="str">
            <v>LP</v>
          </cell>
          <cell r="AK306" t="str">
            <v>上海奥达科</v>
          </cell>
          <cell r="AL306" t="str">
            <v>GPDKA </v>
          </cell>
          <cell r="BB306">
            <v>0</v>
          </cell>
          <cell r="BC306">
            <v>0</v>
          </cell>
          <cell r="BE306">
            <v>0</v>
          </cell>
          <cell r="BF306">
            <v>0</v>
          </cell>
          <cell r="BG306">
            <v>0</v>
          </cell>
          <cell r="BI306">
            <v>0</v>
          </cell>
          <cell r="BJ306">
            <v>0</v>
          </cell>
        </row>
        <row r="307">
          <cell r="C307" t="str">
            <v>HARDWARE001-3</v>
          </cell>
          <cell r="D307" t="str">
            <v>HARDWARE001-3</v>
          </cell>
          <cell r="E307" t="str">
            <v>TAPPING SCREW</v>
          </cell>
          <cell r="G307" t="str">
            <v>na</v>
          </cell>
          <cell r="H307" t="str">
            <v>PMT3</v>
          </cell>
          <cell r="I307" t="str">
            <v>PF</v>
          </cell>
          <cell r="K307" t="str">
            <v>W716659</v>
          </cell>
          <cell r="L307" t="str">
            <v>S450L</v>
          </cell>
          <cell r="M307" t="str">
            <v>-W716659-S450L</v>
          </cell>
          <cell r="O307">
            <v>42894</v>
          </cell>
          <cell r="S307">
            <v>1</v>
          </cell>
          <cell r="T307">
            <v>1</v>
          </cell>
          <cell r="U307">
            <v>1</v>
          </cell>
          <cell r="V307">
            <v>1</v>
          </cell>
          <cell r="W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C307">
            <v>-1.7749999999999999</v>
          </cell>
          <cell r="AD307">
            <v>-8.0000000000000002E-3</v>
          </cell>
          <cell r="AE307">
            <v>-1.7000000000000001E-2</v>
          </cell>
          <cell r="AF307">
            <v>0</v>
          </cell>
          <cell r="AG307">
            <v>0</v>
          </cell>
          <cell r="AH307">
            <v>-1.7999999999999998</v>
          </cell>
          <cell r="AI307" t="str">
            <v>CNY</v>
          </cell>
          <cell r="AJ307" t="str">
            <v>LP</v>
          </cell>
          <cell r="AK307" t="str">
            <v>上海奥达科</v>
          </cell>
          <cell r="AL307" t="str">
            <v>GPDKA </v>
          </cell>
          <cell r="BB307">
            <v>0</v>
          </cell>
          <cell r="BC307">
            <v>0</v>
          </cell>
          <cell r="BE307">
            <v>0</v>
          </cell>
          <cell r="BF307">
            <v>0</v>
          </cell>
          <cell r="BG307">
            <v>0</v>
          </cell>
          <cell r="BI307">
            <v>0</v>
          </cell>
          <cell r="BJ307">
            <v>0</v>
          </cell>
        </row>
        <row r="308">
          <cell r="C308" t="str">
            <v>HARDWARE001-3</v>
          </cell>
          <cell r="D308" t="str">
            <v>HARDWARE001-3</v>
          </cell>
          <cell r="E308" t="str">
            <v>TAPPING SCREW</v>
          </cell>
          <cell r="G308" t="str">
            <v>na</v>
          </cell>
          <cell r="H308" t="str">
            <v>PMT3</v>
          </cell>
          <cell r="I308" t="str">
            <v>PF</v>
          </cell>
          <cell r="K308" t="str">
            <v>W718492</v>
          </cell>
          <cell r="L308" t="str">
            <v>S439</v>
          </cell>
          <cell r="M308" t="str">
            <v>-W718492-S439</v>
          </cell>
          <cell r="O308">
            <v>42894</v>
          </cell>
          <cell r="S308">
            <v>2</v>
          </cell>
          <cell r="T308">
            <v>2</v>
          </cell>
          <cell r="U308">
            <v>2</v>
          </cell>
          <cell r="V308">
            <v>2</v>
          </cell>
          <cell r="W308">
            <v>2</v>
          </cell>
          <cell r="X308">
            <v>2</v>
          </cell>
          <cell r="Y308">
            <v>2</v>
          </cell>
          <cell r="Z308">
            <v>2</v>
          </cell>
          <cell r="AA308">
            <v>2</v>
          </cell>
          <cell r="AC308">
            <v>-9.4E-2</v>
          </cell>
          <cell r="AD308">
            <v>-1E-3</v>
          </cell>
          <cell r="AE308">
            <v>-3.0000000000000001E-3</v>
          </cell>
          <cell r="AF308">
            <v>0</v>
          </cell>
          <cell r="AG308">
            <v>0</v>
          </cell>
          <cell r="AH308">
            <v>-9.8000000000000004E-2</v>
          </cell>
          <cell r="AI308" t="str">
            <v>CNY</v>
          </cell>
          <cell r="AJ308" t="str">
            <v>LP</v>
          </cell>
          <cell r="AK308" t="str">
            <v>上海奥达科</v>
          </cell>
          <cell r="AL308" t="str">
            <v>GPDKA </v>
          </cell>
          <cell r="BB308">
            <v>0</v>
          </cell>
          <cell r="BC308">
            <v>0</v>
          </cell>
          <cell r="BE308">
            <v>0</v>
          </cell>
          <cell r="BF308">
            <v>0</v>
          </cell>
          <cell r="BG308">
            <v>0</v>
          </cell>
          <cell r="BI308">
            <v>0</v>
          </cell>
          <cell r="BJ308">
            <v>0</v>
          </cell>
        </row>
        <row r="309">
          <cell r="C309" t="str">
            <v>HARDWARE001-3</v>
          </cell>
          <cell r="D309" t="str">
            <v>HARDWARE001-3</v>
          </cell>
          <cell r="E309" t="str">
            <v>TAPPING SCREW</v>
          </cell>
          <cell r="G309" t="str">
            <v>na</v>
          </cell>
          <cell r="H309" t="str">
            <v>PMT3</v>
          </cell>
          <cell r="I309" t="str">
            <v>PF</v>
          </cell>
          <cell r="K309" t="str">
            <v>W505253</v>
          </cell>
          <cell r="L309" t="str">
            <v>S439</v>
          </cell>
          <cell r="M309" t="str">
            <v>-W505253-S439</v>
          </cell>
          <cell r="O309">
            <v>42894</v>
          </cell>
          <cell r="S309">
            <v>6</v>
          </cell>
          <cell r="T309">
            <v>6</v>
          </cell>
          <cell r="U309">
            <v>6</v>
          </cell>
          <cell r="V309">
            <v>6</v>
          </cell>
          <cell r="W309">
            <v>6</v>
          </cell>
          <cell r="X309">
            <v>6</v>
          </cell>
          <cell r="Y309">
            <v>6</v>
          </cell>
          <cell r="Z309">
            <v>6</v>
          </cell>
          <cell r="AA309">
            <v>6</v>
          </cell>
          <cell r="AC309">
            <v>-0.28000000000000003</v>
          </cell>
          <cell r="AD309">
            <v>-3.0000000000000001E-3</v>
          </cell>
          <cell r="AE309">
            <v>-5.0000000000000001E-3</v>
          </cell>
          <cell r="AF309">
            <v>0</v>
          </cell>
          <cell r="AG309">
            <v>0</v>
          </cell>
          <cell r="AH309">
            <v>-0.28800000000000003</v>
          </cell>
          <cell r="AI309" t="str">
            <v>CNY</v>
          </cell>
          <cell r="AJ309" t="str">
            <v>LP</v>
          </cell>
          <cell r="AK309" t="str">
            <v>上海奥达科</v>
          </cell>
          <cell r="AL309" t="str">
            <v>GPDKA </v>
          </cell>
          <cell r="BB309">
            <v>0</v>
          </cell>
          <cell r="BC309">
            <v>0</v>
          </cell>
          <cell r="BE309">
            <v>0</v>
          </cell>
          <cell r="BF309">
            <v>0</v>
          </cell>
          <cell r="BG309">
            <v>0</v>
          </cell>
          <cell r="BI309">
            <v>0</v>
          </cell>
          <cell r="BJ309">
            <v>0</v>
          </cell>
        </row>
        <row r="310">
          <cell r="C310" t="str">
            <v>HARDWARE001-3</v>
          </cell>
          <cell r="D310" t="str">
            <v>HARDWARE001-3</v>
          </cell>
          <cell r="E310" t="str">
            <v>TAPPING SCREW</v>
          </cell>
          <cell r="G310" t="str">
            <v>na</v>
          </cell>
          <cell r="H310" t="str">
            <v>PMT3</v>
          </cell>
          <cell r="I310" t="str">
            <v>PF</v>
          </cell>
          <cell r="K310" t="str">
            <v>W719640</v>
          </cell>
          <cell r="L310" t="str">
            <v>S451</v>
          </cell>
          <cell r="M310" t="str">
            <v>-W719640-S451</v>
          </cell>
          <cell r="O310">
            <v>42894</v>
          </cell>
          <cell r="S310">
            <v>3</v>
          </cell>
          <cell r="T310">
            <v>3</v>
          </cell>
          <cell r="U310">
            <v>3</v>
          </cell>
          <cell r="V310">
            <v>3</v>
          </cell>
          <cell r="W310">
            <v>3</v>
          </cell>
          <cell r="X310">
            <v>3</v>
          </cell>
          <cell r="Y310">
            <v>3</v>
          </cell>
          <cell r="Z310">
            <v>3</v>
          </cell>
          <cell r="AA310">
            <v>3</v>
          </cell>
          <cell r="AC310">
            <v>-0.66700000000000004</v>
          </cell>
          <cell r="AD310">
            <v>-4.0000000000000001E-3</v>
          </cell>
          <cell r="AE310">
            <v>-7.0000000000000001E-3</v>
          </cell>
          <cell r="AF310">
            <v>0</v>
          </cell>
          <cell r="AG310">
            <v>0</v>
          </cell>
          <cell r="AH310">
            <v>-0.67800000000000005</v>
          </cell>
          <cell r="AI310" t="str">
            <v>CNY</v>
          </cell>
          <cell r="AJ310" t="str">
            <v>LP</v>
          </cell>
          <cell r="AK310" t="str">
            <v>上海奥达科</v>
          </cell>
          <cell r="AL310" t="str">
            <v>GPDKA </v>
          </cell>
          <cell r="BB310">
            <v>0</v>
          </cell>
          <cell r="BC310">
            <v>0</v>
          </cell>
          <cell r="BE310">
            <v>0</v>
          </cell>
          <cell r="BF310">
            <v>0</v>
          </cell>
          <cell r="BG310">
            <v>0</v>
          </cell>
          <cell r="BI310">
            <v>0</v>
          </cell>
          <cell r="BJ310">
            <v>0</v>
          </cell>
        </row>
        <row r="311">
          <cell r="C311" t="str">
            <v>HARDWARE001-3</v>
          </cell>
          <cell r="D311" t="str">
            <v>HARDWARE001-3</v>
          </cell>
          <cell r="E311" t="str">
            <v>TAPPING SCREW</v>
          </cell>
          <cell r="G311" t="str">
            <v>na</v>
          </cell>
          <cell r="H311" t="str">
            <v>PMT3</v>
          </cell>
          <cell r="I311" t="str">
            <v>PF</v>
          </cell>
          <cell r="K311" t="str">
            <v>W505261</v>
          </cell>
          <cell r="L311" t="str">
            <v>S450L</v>
          </cell>
          <cell r="M311" t="str">
            <v>-W505261-S450L</v>
          </cell>
          <cell r="O311">
            <v>42894</v>
          </cell>
          <cell r="S311">
            <v>3</v>
          </cell>
          <cell r="T311">
            <v>3</v>
          </cell>
          <cell r="U311">
            <v>3</v>
          </cell>
          <cell r="V311">
            <v>3</v>
          </cell>
          <cell r="W311">
            <v>3</v>
          </cell>
          <cell r="X311">
            <v>3</v>
          </cell>
          <cell r="Y311">
            <v>3</v>
          </cell>
          <cell r="Z311">
            <v>3</v>
          </cell>
          <cell r="AA311">
            <v>3</v>
          </cell>
          <cell r="AC311">
            <v>-0.51</v>
          </cell>
          <cell r="AD311">
            <v>-0.01</v>
          </cell>
          <cell r="AE311">
            <v>-0.01</v>
          </cell>
          <cell r="AF311">
            <v>0</v>
          </cell>
          <cell r="AG311">
            <v>0</v>
          </cell>
          <cell r="AH311">
            <v>-0.53</v>
          </cell>
          <cell r="AI311" t="str">
            <v>CNY</v>
          </cell>
          <cell r="AJ311" t="str">
            <v>LP</v>
          </cell>
          <cell r="AK311" t="str">
            <v>上海日泰</v>
          </cell>
          <cell r="AL311" t="str">
            <v>FW5VA</v>
          </cell>
          <cell r="BB311">
            <v>0</v>
          </cell>
          <cell r="BC311">
            <v>0</v>
          </cell>
          <cell r="BE311">
            <v>0</v>
          </cell>
          <cell r="BF311">
            <v>0</v>
          </cell>
          <cell r="BG311">
            <v>0</v>
          </cell>
          <cell r="BI311">
            <v>0</v>
          </cell>
          <cell r="BJ311">
            <v>0</v>
          </cell>
        </row>
        <row r="312">
          <cell r="C312" t="str">
            <v>HARDWARE001-3</v>
          </cell>
          <cell r="D312" t="str">
            <v>HARDWARE001-3</v>
          </cell>
          <cell r="E312" t="str">
            <v>TAPPING SCREW</v>
          </cell>
          <cell r="G312" t="str">
            <v>na</v>
          </cell>
          <cell r="H312" t="str">
            <v>PMT3</v>
          </cell>
          <cell r="I312" t="str">
            <v>PF</v>
          </cell>
          <cell r="K312" t="str">
            <v>W715235</v>
          </cell>
          <cell r="L312" t="str">
            <v>S442</v>
          </cell>
          <cell r="M312" t="str">
            <v>-W715235-S442</v>
          </cell>
          <cell r="O312">
            <v>42894</v>
          </cell>
          <cell r="S312">
            <v>1</v>
          </cell>
          <cell r="T312">
            <v>1</v>
          </cell>
          <cell r="U312">
            <v>1</v>
          </cell>
          <cell r="V312">
            <v>1</v>
          </cell>
          <cell r="W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C312">
            <v>-0.86</v>
          </cell>
          <cell r="AD312">
            <v>-0.01</v>
          </cell>
          <cell r="AE312">
            <v>-0.02</v>
          </cell>
          <cell r="AF312">
            <v>0</v>
          </cell>
          <cell r="AG312">
            <v>0</v>
          </cell>
          <cell r="AH312">
            <v>-0.89</v>
          </cell>
          <cell r="AI312" t="str">
            <v>CNY</v>
          </cell>
          <cell r="AJ312" t="str">
            <v>LP</v>
          </cell>
          <cell r="AK312" t="str">
            <v>上海日泰</v>
          </cell>
          <cell r="AL312" t="str">
            <v>FW5VA</v>
          </cell>
          <cell r="BB312">
            <v>0</v>
          </cell>
          <cell r="BC312">
            <v>0</v>
          </cell>
          <cell r="BE312">
            <v>0</v>
          </cell>
          <cell r="BF312">
            <v>0</v>
          </cell>
          <cell r="BG312">
            <v>0</v>
          </cell>
          <cell r="BI312">
            <v>0</v>
          </cell>
          <cell r="BJ312">
            <v>0</v>
          </cell>
        </row>
        <row r="313">
          <cell r="C313" t="str">
            <v>BOLTS+HARDWARE001-1+CHONGQING DELONGSHENG</v>
          </cell>
          <cell r="D313" t="str">
            <v>BOLTS+HARDWARE001-1+CHONGQING DELONGSHENG</v>
          </cell>
          <cell r="E313" t="str">
            <v>BOLTS</v>
          </cell>
          <cell r="G313" t="str">
            <v>na</v>
          </cell>
          <cell r="H313" t="str">
            <v>PMT3</v>
          </cell>
          <cell r="I313" t="str">
            <v>PF</v>
          </cell>
          <cell r="K313" t="str">
            <v>W711557</v>
          </cell>
          <cell r="L313" t="str">
            <v>S450</v>
          </cell>
          <cell r="M313" t="str">
            <v>-W711557-S450</v>
          </cell>
          <cell r="O313">
            <v>42894</v>
          </cell>
          <cell r="S313">
            <v>4</v>
          </cell>
          <cell r="T313">
            <v>4</v>
          </cell>
          <cell r="U313">
            <v>4</v>
          </cell>
          <cell r="V313">
            <v>4</v>
          </cell>
          <cell r="W313">
            <v>4</v>
          </cell>
          <cell r="X313">
            <v>4</v>
          </cell>
          <cell r="Y313">
            <v>4</v>
          </cell>
          <cell r="Z313">
            <v>4</v>
          </cell>
          <cell r="AA313">
            <v>4</v>
          </cell>
          <cell r="AC313">
            <v>-0.29199999999999998</v>
          </cell>
          <cell r="AD313">
            <v>-2E-3</v>
          </cell>
          <cell r="AE313">
            <v>-3.0000000000000001E-3</v>
          </cell>
          <cell r="AF313">
            <v>0</v>
          </cell>
          <cell r="AG313">
            <v>0</v>
          </cell>
          <cell r="AH313">
            <v>-0.29699999999999999</v>
          </cell>
          <cell r="AI313" t="str">
            <v>CNY</v>
          </cell>
          <cell r="AJ313" t="str">
            <v>LP</v>
          </cell>
          <cell r="AK313" t="str">
            <v>上海日泰</v>
          </cell>
          <cell r="AL313" t="str">
            <v>FW5VA</v>
          </cell>
          <cell r="BB313">
            <v>0</v>
          </cell>
          <cell r="BC313">
            <v>0</v>
          </cell>
          <cell r="BE313">
            <v>0</v>
          </cell>
          <cell r="BF313">
            <v>0</v>
          </cell>
          <cell r="BG313">
            <v>0</v>
          </cell>
          <cell r="BI313">
            <v>0</v>
          </cell>
          <cell r="BJ313">
            <v>0</v>
          </cell>
        </row>
        <row r="314">
          <cell r="C314" t="str">
            <v>BOLTS+HARDWARE001-1+CHONGQING DELONGSHENG</v>
          </cell>
          <cell r="D314" t="str">
            <v>BOLTS+HARDWARE001-1+CHONGQING DELONGSHENG</v>
          </cell>
          <cell r="E314" t="str">
            <v>BOLTS</v>
          </cell>
          <cell r="G314" t="str">
            <v>na</v>
          </cell>
          <cell r="H314" t="str">
            <v>PMT3</v>
          </cell>
          <cell r="I314" t="str">
            <v>PF</v>
          </cell>
          <cell r="K314" t="str">
            <v>W715134</v>
          </cell>
          <cell r="L314" t="str">
            <v>S450</v>
          </cell>
          <cell r="M314" t="str">
            <v>-W715134-S450</v>
          </cell>
          <cell r="O314">
            <v>42894</v>
          </cell>
          <cell r="S314">
            <v>8</v>
          </cell>
          <cell r="T314">
            <v>8</v>
          </cell>
          <cell r="U314">
            <v>8</v>
          </cell>
          <cell r="V314">
            <v>8</v>
          </cell>
          <cell r="W314">
            <v>8</v>
          </cell>
          <cell r="X314">
            <v>8</v>
          </cell>
          <cell r="Y314">
            <v>8</v>
          </cell>
          <cell r="Z314">
            <v>8</v>
          </cell>
          <cell r="AA314">
            <v>8</v>
          </cell>
          <cell r="AC314">
            <v>-0.28899999999999998</v>
          </cell>
          <cell r="AD314">
            <v>-2E-3</v>
          </cell>
          <cell r="AE314">
            <v>-3.0000000000000001E-3</v>
          </cell>
          <cell r="AF314">
            <v>0</v>
          </cell>
          <cell r="AG314">
            <v>0</v>
          </cell>
          <cell r="AH314">
            <v>-0.29399999999999998</v>
          </cell>
          <cell r="AI314" t="str">
            <v>CNY</v>
          </cell>
          <cell r="AJ314" t="str">
            <v>LP</v>
          </cell>
          <cell r="AK314" t="str">
            <v>上海日泰</v>
          </cell>
          <cell r="AL314" t="str">
            <v>FW5VA</v>
          </cell>
          <cell r="BB314">
            <v>0</v>
          </cell>
          <cell r="BC314">
            <v>0</v>
          </cell>
          <cell r="BE314">
            <v>0</v>
          </cell>
          <cell r="BF314">
            <v>0</v>
          </cell>
          <cell r="BG314">
            <v>0</v>
          </cell>
          <cell r="BI314">
            <v>0</v>
          </cell>
          <cell r="BJ314">
            <v>0</v>
          </cell>
        </row>
        <row r="315">
          <cell r="C315" t="str">
            <v>BOLTS+HARDWARE001-1+CHONGQING DELONGSHENG</v>
          </cell>
          <cell r="D315" t="str">
            <v>BOLTS+HARDWARE001-1+CHONGQING DELONGSHENG</v>
          </cell>
          <cell r="E315" t="str">
            <v>BOLTS</v>
          </cell>
          <cell r="G315" t="str">
            <v>na</v>
          </cell>
          <cell r="H315" t="str">
            <v>PMT3</v>
          </cell>
          <cell r="I315" t="str">
            <v>PF</v>
          </cell>
          <cell r="K315" t="str">
            <v>W715729</v>
          </cell>
          <cell r="L315" t="str">
            <v>S437</v>
          </cell>
          <cell r="M315" t="str">
            <v>-W715729-S437</v>
          </cell>
          <cell r="O315">
            <v>42894</v>
          </cell>
          <cell r="S315">
            <v>4</v>
          </cell>
          <cell r="T315">
            <v>4</v>
          </cell>
          <cell r="U315">
            <v>4</v>
          </cell>
          <cell r="V315">
            <v>4</v>
          </cell>
          <cell r="W315">
            <v>4</v>
          </cell>
          <cell r="X315">
            <v>4</v>
          </cell>
          <cell r="Y315">
            <v>4</v>
          </cell>
          <cell r="Z315">
            <v>4</v>
          </cell>
          <cell r="AA315">
            <v>4</v>
          </cell>
          <cell r="AC315">
            <v>-0.48399999999999999</v>
          </cell>
          <cell r="AD315">
            <v>-5.0000000000000001E-3</v>
          </cell>
          <cell r="AE315">
            <v>-7.0000000000000001E-3</v>
          </cell>
          <cell r="AF315">
            <v>0</v>
          </cell>
          <cell r="AG315">
            <v>0</v>
          </cell>
          <cell r="AH315">
            <v>-0.496</v>
          </cell>
          <cell r="AI315" t="str">
            <v>CNY</v>
          </cell>
          <cell r="AJ315" t="str">
            <v>LP</v>
          </cell>
          <cell r="AK315" t="str">
            <v>上海日泰</v>
          </cell>
          <cell r="AL315" t="str">
            <v>FW5VA</v>
          </cell>
          <cell r="BB315">
            <v>0</v>
          </cell>
          <cell r="BC315">
            <v>0</v>
          </cell>
          <cell r="BE315">
            <v>0</v>
          </cell>
          <cell r="BF315">
            <v>0</v>
          </cell>
          <cell r="BG315">
            <v>0</v>
          </cell>
          <cell r="BI315">
            <v>0</v>
          </cell>
          <cell r="BJ315">
            <v>0</v>
          </cell>
        </row>
        <row r="316">
          <cell r="C316" t="str">
            <v>BOLTS+HARDWARE001-1+CHONGQING DELONGSHENG</v>
          </cell>
          <cell r="D316" t="str">
            <v>BOLTS+HARDWARE001-1+CHONGQING DELONGSHENG</v>
          </cell>
          <cell r="E316" t="str">
            <v>BOLTS</v>
          </cell>
          <cell r="G316" t="str">
            <v>na</v>
          </cell>
          <cell r="H316" t="str">
            <v>PMT3</v>
          </cell>
          <cell r="I316" t="str">
            <v>PF</v>
          </cell>
          <cell r="K316" t="str">
            <v>W715752</v>
          </cell>
          <cell r="L316" t="str">
            <v>S442</v>
          </cell>
          <cell r="M316" t="str">
            <v>-W715752-S442</v>
          </cell>
          <cell r="O316">
            <v>42894</v>
          </cell>
          <cell r="S316">
            <v>8</v>
          </cell>
          <cell r="T316">
            <v>8</v>
          </cell>
          <cell r="U316">
            <v>8</v>
          </cell>
          <cell r="V316">
            <v>8</v>
          </cell>
          <cell r="W316">
            <v>8</v>
          </cell>
          <cell r="X316">
            <v>8</v>
          </cell>
          <cell r="Y316">
            <v>8</v>
          </cell>
          <cell r="Z316">
            <v>8</v>
          </cell>
          <cell r="AA316">
            <v>8</v>
          </cell>
          <cell r="AC316">
            <v>-0.61499999999999999</v>
          </cell>
          <cell r="AD316">
            <v>-5.0000000000000001E-3</v>
          </cell>
          <cell r="AE316">
            <v>-8.0000000000000002E-3</v>
          </cell>
          <cell r="AF316">
            <v>0</v>
          </cell>
          <cell r="AG316">
            <v>0</v>
          </cell>
          <cell r="AH316">
            <v>-0.628</v>
          </cell>
          <cell r="AI316" t="str">
            <v>CNY</v>
          </cell>
          <cell r="AJ316" t="str">
            <v>LP</v>
          </cell>
          <cell r="AK316" t="str">
            <v>上海日泰</v>
          </cell>
          <cell r="AL316" t="str">
            <v>FW5VA</v>
          </cell>
          <cell r="BB316">
            <v>0</v>
          </cell>
          <cell r="BC316">
            <v>0</v>
          </cell>
          <cell r="BE316">
            <v>0</v>
          </cell>
          <cell r="BF316">
            <v>0</v>
          </cell>
          <cell r="BG316">
            <v>0</v>
          </cell>
          <cell r="BI316">
            <v>0</v>
          </cell>
          <cell r="BJ316">
            <v>0</v>
          </cell>
        </row>
        <row r="317">
          <cell r="C317" t="str">
            <v>BOLTS+HARDWARE001-1+CHONGQING DELONGSHENG</v>
          </cell>
          <cell r="D317" t="str">
            <v>BOLTS+HARDWARE001-1+CHONGQING DELONGSHENG</v>
          </cell>
          <cell r="E317" t="str">
            <v>BOLTS</v>
          </cell>
          <cell r="G317" t="str">
            <v>na</v>
          </cell>
          <cell r="H317" t="str">
            <v>PMT3</v>
          </cell>
          <cell r="I317" t="str">
            <v>PF</v>
          </cell>
          <cell r="K317" t="str">
            <v>W715871</v>
          </cell>
          <cell r="L317" t="str">
            <v>S442</v>
          </cell>
          <cell r="M317" t="str">
            <v>-W715871-S442</v>
          </cell>
          <cell r="O317">
            <v>42894</v>
          </cell>
          <cell r="S317">
            <v>8</v>
          </cell>
          <cell r="T317">
            <v>8</v>
          </cell>
          <cell r="U317">
            <v>8</v>
          </cell>
          <cell r="V317">
            <v>8</v>
          </cell>
          <cell r="W317">
            <v>8</v>
          </cell>
          <cell r="X317">
            <v>8</v>
          </cell>
          <cell r="Y317">
            <v>8</v>
          </cell>
          <cell r="Z317">
            <v>8</v>
          </cell>
          <cell r="AA317">
            <v>8</v>
          </cell>
          <cell r="AC317">
            <v>-1.7549999999999999</v>
          </cell>
          <cell r="AD317">
            <v>-1.7999999999999999E-2</v>
          </cell>
          <cell r="AE317">
            <v>-2.7E-2</v>
          </cell>
          <cell r="AF317">
            <v>0</v>
          </cell>
          <cell r="AG317">
            <v>0</v>
          </cell>
          <cell r="AH317">
            <v>-1.7999999999999998</v>
          </cell>
          <cell r="AI317" t="str">
            <v>CNY</v>
          </cell>
          <cell r="AJ317" t="str">
            <v>LP</v>
          </cell>
          <cell r="AK317" t="str">
            <v>上海日泰</v>
          </cell>
          <cell r="AL317" t="str">
            <v>FW5VA</v>
          </cell>
          <cell r="BB317">
            <v>0</v>
          </cell>
          <cell r="BC317">
            <v>0</v>
          </cell>
          <cell r="BE317">
            <v>0</v>
          </cell>
          <cell r="BF317">
            <v>0</v>
          </cell>
          <cell r="BG317">
            <v>0</v>
          </cell>
          <cell r="BI317">
            <v>0</v>
          </cell>
          <cell r="BJ317">
            <v>0</v>
          </cell>
        </row>
        <row r="318">
          <cell r="C318" t="str">
            <v>BOLTS+HARDWARE001-1+CHONGQING DELONGSHENG</v>
          </cell>
          <cell r="D318" t="str">
            <v>BOLTS+HARDWARE001-1+CHONGQING DELONGSHENG</v>
          </cell>
          <cell r="E318" t="str">
            <v>BOLTS</v>
          </cell>
          <cell r="G318" t="str">
            <v>na</v>
          </cell>
          <cell r="H318" t="str">
            <v>PMT3</v>
          </cell>
          <cell r="I318" t="str">
            <v>PF</v>
          </cell>
          <cell r="K318" t="str">
            <v>W718254</v>
          </cell>
          <cell r="L318" t="str">
            <v>S442</v>
          </cell>
          <cell r="M318" t="str">
            <v>-W718254-S442</v>
          </cell>
          <cell r="O318">
            <v>42894</v>
          </cell>
          <cell r="S318">
            <v>1</v>
          </cell>
          <cell r="T318">
            <v>1</v>
          </cell>
          <cell r="U318">
            <v>1</v>
          </cell>
          <cell r="V318">
            <v>1</v>
          </cell>
          <cell r="W318">
            <v>1</v>
          </cell>
          <cell r="X318">
            <v>1</v>
          </cell>
          <cell r="Y318">
            <v>1</v>
          </cell>
          <cell r="Z318">
            <v>1</v>
          </cell>
          <cell r="AA318">
            <v>1</v>
          </cell>
          <cell r="AC318">
            <v>-0.84399999999999997</v>
          </cell>
          <cell r="AD318">
            <v>-7.0000000000000001E-3</v>
          </cell>
          <cell r="AE318">
            <v>-8.9999999999999993E-3</v>
          </cell>
          <cell r="AF318">
            <v>0</v>
          </cell>
          <cell r="AG318">
            <v>0</v>
          </cell>
          <cell r="AH318">
            <v>-0.86</v>
          </cell>
          <cell r="AI318" t="str">
            <v>CNY</v>
          </cell>
          <cell r="AJ318" t="str">
            <v>LP</v>
          </cell>
          <cell r="AK318" t="str">
            <v>上海日泰</v>
          </cell>
          <cell r="AL318" t="str">
            <v>FW5VA</v>
          </cell>
          <cell r="BB318">
            <v>0</v>
          </cell>
          <cell r="BC318">
            <v>0</v>
          </cell>
          <cell r="BE318">
            <v>0</v>
          </cell>
          <cell r="BF318">
            <v>0</v>
          </cell>
          <cell r="BG318">
            <v>0</v>
          </cell>
          <cell r="BI318">
            <v>0</v>
          </cell>
          <cell r="BJ318">
            <v>0</v>
          </cell>
        </row>
        <row r="319">
          <cell r="C319" t="str">
            <v>HARDWARE001-2</v>
          </cell>
          <cell r="D319" t="str">
            <v>HARDWARE001-2</v>
          </cell>
          <cell r="E319" t="str">
            <v>NUTS</v>
          </cell>
          <cell r="G319" t="str">
            <v>na</v>
          </cell>
          <cell r="H319" t="str">
            <v>PMT3</v>
          </cell>
          <cell r="I319" t="str">
            <v>PF</v>
          </cell>
          <cell r="K319" t="str">
            <v>W709923 </v>
          </cell>
          <cell r="L319" t="str">
            <v>S437 </v>
          </cell>
          <cell r="M319" t="str">
            <v>-W709923 -S437 </v>
          </cell>
          <cell r="O319">
            <v>42894</v>
          </cell>
          <cell r="S319">
            <v>4</v>
          </cell>
          <cell r="T319">
            <v>4</v>
          </cell>
          <cell r="U319">
            <v>4</v>
          </cell>
          <cell r="V319">
            <v>4</v>
          </cell>
          <cell r="W319">
            <v>4</v>
          </cell>
          <cell r="X319">
            <v>4</v>
          </cell>
          <cell r="Y319">
            <v>4</v>
          </cell>
          <cell r="Z319">
            <v>4</v>
          </cell>
          <cell r="AA319">
            <v>4</v>
          </cell>
          <cell r="AC319">
            <v>-0.52110000000000001</v>
          </cell>
          <cell r="AD319">
            <v>-1.6999999999999999E-3</v>
          </cell>
          <cell r="AE319">
            <v>-7.1999999999999998E-3</v>
          </cell>
          <cell r="AF319">
            <v>0</v>
          </cell>
          <cell r="AG319">
            <v>0</v>
          </cell>
          <cell r="AH319">
            <v>-0.53</v>
          </cell>
          <cell r="AI319" t="str">
            <v>CNY</v>
          </cell>
          <cell r="AJ319" t="str">
            <v>LP</v>
          </cell>
          <cell r="AK319" t="str">
            <v>宁波长华长盛</v>
          </cell>
          <cell r="AL319" t="str">
            <v>EX7ZB </v>
          </cell>
          <cell r="BB319">
            <v>0</v>
          </cell>
          <cell r="BC319">
            <v>0</v>
          </cell>
          <cell r="BE319">
            <v>0</v>
          </cell>
          <cell r="BF319">
            <v>0</v>
          </cell>
          <cell r="BG319">
            <v>0</v>
          </cell>
          <cell r="BI319">
            <v>0</v>
          </cell>
          <cell r="BJ319">
            <v>0</v>
          </cell>
        </row>
        <row r="320">
          <cell r="C320" t="str">
            <v>HARDWARE001-2</v>
          </cell>
          <cell r="D320" t="str">
            <v>HARDWARE001-2</v>
          </cell>
          <cell r="E320" t="str">
            <v>NUTS</v>
          </cell>
          <cell r="G320" t="str">
            <v>na</v>
          </cell>
          <cell r="H320" t="str">
            <v>PMT3</v>
          </cell>
          <cell r="I320" t="str">
            <v>PF</v>
          </cell>
          <cell r="K320" t="str">
            <v>W710771</v>
          </cell>
          <cell r="L320" t="str">
            <v>S442</v>
          </cell>
          <cell r="M320" t="str">
            <v>-W710771-S442</v>
          </cell>
          <cell r="O320">
            <v>42894</v>
          </cell>
          <cell r="S320">
            <v>3</v>
          </cell>
          <cell r="T320">
            <v>3</v>
          </cell>
          <cell r="U320">
            <v>3</v>
          </cell>
          <cell r="V320">
            <v>3</v>
          </cell>
          <cell r="W320">
            <v>3</v>
          </cell>
          <cell r="X320">
            <v>3</v>
          </cell>
          <cell r="Y320">
            <v>3</v>
          </cell>
          <cell r="Z320">
            <v>3</v>
          </cell>
          <cell r="AA320">
            <v>3</v>
          </cell>
          <cell r="AC320">
            <v>-0.1784</v>
          </cell>
          <cell r="AD320">
            <v>-5.9999999999999995E-4</v>
          </cell>
          <cell r="AE320">
            <v>-7.1999999999999998E-3</v>
          </cell>
          <cell r="AF320">
            <v>0</v>
          </cell>
          <cell r="AG320">
            <v>0</v>
          </cell>
          <cell r="AH320">
            <v>-0.1862</v>
          </cell>
          <cell r="AI320" t="str">
            <v>CNY</v>
          </cell>
          <cell r="AJ320" t="str">
            <v>LP</v>
          </cell>
          <cell r="AK320" t="str">
            <v>宁波长华长盛</v>
          </cell>
          <cell r="AL320" t="str">
            <v>EX7ZB </v>
          </cell>
          <cell r="BB320">
            <v>0</v>
          </cell>
          <cell r="BC320">
            <v>0</v>
          </cell>
          <cell r="BE320">
            <v>0</v>
          </cell>
          <cell r="BF320">
            <v>0</v>
          </cell>
          <cell r="BG320">
            <v>0</v>
          </cell>
          <cell r="BI320">
            <v>0</v>
          </cell>
          <cell r="BJ320">
            <v>0</v>
          </cell>
        </row>
        <row r="321">
          <cell r="C321" t="str">
            <v>PT04- stage 6 1.0 Fox</v>
          </cell>
          <cell r="D321" t="str">
            <v>-</v>
          </cell>
          <cell r="E321" t="str">
            <v>Cold End</v>
          </cell>
          <cell r="G321" t="str">
            <v>B</v>
          </cell>
          <cell r="H321" t="str">
            <v>PMT4</v>
          </cell>
          <cell r="I321" t="str">
            <v>PF</v>
          </cell>
          <cell r="J321" t="str">
            <v>KD8G</v>
          </cell>
          <cell r="K321" t="str">
            <v>5E292</v>
          </cell>
          <cell r="L321" t="str">
            <v>AC</v>
          </cell>
          <cell r="M321" t="str">
            <v>KD8G-5E292-AC</v>
          </cell>
          <cell r="O321">
            <v>42907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</v>
          </cell>
          <cell r="Y321">
            <v>0</v>
          </cell>
          <cell r="Z321">
            <v>1</v>
          </cell>
          <cell r="AA321">
            <v>0.28000000000000003</v>
          </cell>
          <cell r="AC321">
            <v>-567.96</v>
          </cell>
          <cell r="AD321">
            <v>-3.36</v>
          </cell>
          <cell r="AE321">
            <v>-11.59</v>
          </cell>
          <cell r="AG321">
            <v>-14.16</v>
          </cell>
          <cell r="AH321">
            <v>-597.07000000000005</v>
          </cell>
          <cell r="AI321" t="str">
            <v>CNY</v>
          </cell>
          <cell r="AJ321" t="str">
            <v>LP</v>
          </cell>
          <cell r="AK321" t="str">
            <v>天纳克陵川</v>
          </cell>
          <cell r="AL321" t="str">
            <v>na</v>
          </cell>
          <cell r="BB321">
            <v>-1430000</v>
          </cell>
          <cell r="BC321">
            <v>-1430000</v>
          </cell>
          <cell r="BE321">
            <v>-2009910</v>
          </cell>
          <cell r="BF321">
            <v>141936</v>
          </cell>
          <cell r="BG321">
            <v>0</v>
          </cell>
          <cell r="BI321">
            <v>0</v>
          </cell>
          <cell r="BJ321">
            <v>0</v>
          </cell>
        </row>
        <row r="322">
          <cell r="C322" t="str">
            <v>CH049</v>
          </cell>
          <cell r="D322" t="str">
            <v>CH049</v>
          </cell>
          <cell r="E322" t="str">
            <v>Fuel Lines and hoses (non-KC)</v>
          </cell>
          <cell r="G322" t="str">
            <v>B</v>
          </cell>
          <cell r="H322" t="str">
            <v>PMT4</v>
          </cell>
          <cell r="I322" t="str">
            <v>PF</v>
          </cell>
          <cell r="J322" t="str">
            <v>JD8G</v>
          </cell>
          <cell r="K322" t="str">
            <v>9C047</v>
          </cell>
          <cell r="L322" t="str">
            <v>AB</v>
          </cell>
          <cell r="M322" t="str">
            <v>JD8G-9C047-AB</v>
          </cell>
          <cell r="O322" t="str">
            <v>NA</v>
          </cell>
          <cell r="S322">
            <v>1</v>
          </cell>
          <cell r="T322">
            <v>1</v>
          </cell>
          <cell r="U322">
            <v>1</v>
          </cell>
          <cell r="V322">
            <v>1</v>
          </cell>
          <cell r="W322">
            <v>1</v>
          </cell>
          <cell r="X322">
            <v>1</v>
          </cell>
          <cell r="Y322">
            <v>1</v>
          </cell>
          <cell r="Z322">
            <v>1</v>
          </cell>
          <cell r="AA322">
            <v>1</v>
          </cell>
          <cell r="AC322">
            <v>-19.2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-19.2</v>
          </cell>
          <cell r="AI322" t="str">
            <v>CNY</v>
          </cell>
          <cell r="AJ322" t="str">
            <v>LP</v>
          </cell>
          <cell r="AK322" t="str">
            <v>na</v>
          </cell>
          <cell r="AL322" t="str">
            <v>na</v>
          </cell>
          <cell r="BB322">
            <v>-141840</v>
          </cell>
          <cell r="BC322">
            <v>-141840</v>
          </cell>
          <cell r="BE322">
            <v>0</v>
          </cell>
          <cell r="BF322">
            <v>0</v>
          </cell>
          <cell r="BG322">
            <v>0</v>
          </cell>
          <cell r="BI322">
            <v>0</v>
          </cell>
          <cell r="BJ322">
            <v>0</v>
          </cell>
          <cell r="BK322">
            <v>0</v>
          </cell>
        </row>
        <row r="323">
          <cell r="C323" t="str">
            <v>CH049</v>
          </cell>
          <cell r="D323" t="str">
            <v>CH049</v>
          </cell>
          <cell r="E323" t="str">
            <v>Fuel Lines and hoses (non-KC)</v>
          </cell>
          <cell r="G323" t="str">
            <v>B</v>
          </cell>
          <cell r="H323" t="str">
            <v>PMT4</v>
          </cell>
          <cell r="I323" t="str">
            <v>PF</v>
          </cell>
          <cell r="J323" t="str">
            <v>JD8G</v>
          </cell>
          <cell r="K323" t="str">
            <v>9A322</v>
          </cell>
          <cell r="L323" t="str">
            <v>AA</v>
          </cell>
          <cell r="M323" t="str">
            <v>JD8G-9A322-AA</v>
          </cell>
          <cell r="O323" t="str">
            <v>NA</v>
          </cell>
          <cell r="S323">
            <v>1</v>
          </cell>
          <cell r="T323">
            <v>1</v>
          </cell>
          <cell r="U323">
            <v>1</v>
          </cell>
          <cell r="V323">
            <v>1</v>
          </cell>
          <cell r="W323">
            <v>1</v>
          </cell>
          <cell r="X323">
            <v>1</v>
          </cell>
          <cell r="Y323">
            <v>1</v>
          </cell>
          <cell r="Z323">
            <v>1</v>
          </cell>
          <cell r="AA323">
            <v>1</v>
          </cell>
          <cell r="AC323">
            <v>-87.272740979626903</v>
          </cell>
          <cell r="AD323">
            <v>-0.3</v>
          </cell>
          <cell r="AE323">
            <v>-0.31</v>
          </cell>
          <cell r="AG323">
            <v>-0.18</v>
          </cell>
          <cell r="AH323">
            <v>-88.062740979626909</v>
          </cell>
          <cell r="AI323" t="str">
            <v>CNY</v>
          </cell>
          <cell r="AJ323" t="str">
            <v>LP</v>
          </cell>
          <cell r="AK323" t="str">
            <v>NA</v>
          </cell>
          <cell r="AL323" t="str">
            <v>NA</v>
          </cell>
          <cell r="BB323">
            <v>-97740</v>
          </cell>
          <cell r="BC323">
            <v>-97740</v>
          </cell>
          <cell r="BE323">
            <v>0</v>
          </cell>
          <cell r="BF323">
            <v>0</v>
          </cell>
          <cell r="BG323">
            <v>0</v>
          </cell>
          <cell r="BI323">
            <v>0</v>
          </cell>
          <cell r="BJ323">
            <v>0</v>
          </cell>
        </row>
        <row r="324">
          <cell r="C324" t="str">
            <v>HARDWARE001-3</v>
          </cell>
          <cell r="D324" t="str">
            <v>HARDWARE001-3</v>
          </cell>
          <cell r="E324" t="str">
            <v>SCREW 6X20 PC TI TFP TH</v>
          </cell>
          <cell r="G324" t="str">
            <v>na</v>
          </cell>
          <cell r="H324" t="str">
            <v>PMT1</v>
          </cell>
          <cell r="I324" t="str">
            <v>TH</v>
          </cell>
          <cell r="K324" t="str">
            <v>W506976</v>
          </cell>
          <cell r="L324" t="str">
            <v>S442</v>
          </cell>
          <cell r="M324" t="str">
            <v>-W506976-S442</v>
          </cell>
          <cell r="O324">
            <v>0</v>
          </cell>
          <cell r="S324">
            <v>6</v>
          </cell>
          <cell r="T324">
            <v>6</v>
          </cell>
          <cell r="U324">
            <v>6</v>
          </cell>
          <cell r="V324">
            <v>6</v>
          </cell>
          <cell r="W324">
            <v>6</v>
          </cell>
          <cell r="X324">
            <v>6</v>
          </cell>
          <cell r="Y324">
            <v>6</v>
          </cell>
          <cell r="Z324">
            <v>6</v>
          </cell>
          <cell r="AA324">
            <v>6</v>
          </cell>
          <cell r="AC324">
            <v>-0.51300000000000001</v>
          </cell>
          <cell r="AD324">
            <v>-3.0000000000000001E-3</v>
          </cell>
          <cell r="AE324">
            <v>-5.0000000000000001E-3</v>
          </cell>
          <cell r="AH324">
            <v>-0.52100000000000002</v>
          </cell>
          <cell r="AI324" t="str">
            <v>CNY</v>
          </cell>
          <cell r="AJ324" t="str">
            <v>LP</v>
          </cell>
          <cell r="AK324" t="str">
            <v>na</v>
          </cell>
          <cell r="AL324" t="str">
            <v>na</v>
          </cell>
          <cell r="BB324">
            <v>0</v>
          </cell>
          <cell r="BC324">
            <v>0</v>
          </cell>
          <cell r="BE324">
            <v>0</v>
          </cell>
          <cell r="BF324">
            <v>0</v>
          </cell>
          <cell r="BG324">
            <v>0</v>
          </cell>
          <cell r="BI324">
            <v>0</v>
          </cell>
          <cell r="BJ324">
            <v>0</v>
          </cell>
        </row>
        <row r="325">
          <cell r="C325" t="str">
            <v>B044</v>
          </cell>
          <cell r="D325" t="str">
            <v>B044</v>
          </cell>
          <cell r="E325" t="str">
            <v>Out sourcing stamping</v>
          </cell>
          <cell r="G325" t="str">
            <v>D</v>
          </cell>
          <cell r="H325" t="str">
            <v>BIW</v>
          </cell>
          <cell r="I325" t="str">
            <v>TH</v>
          </cell>
          <cell r="J325" t="str">
            <v>JD8B</v>
          </cell>
          <cell r="K325" t="str">
            <v>F46644</v>
          </cell>
          <cell r="L325" t="str">
            <v>AA</v>
          </cell>
          <cell r="M325" t="str">
            <v>JD8B-F46644-AA</v>
          </cell>
          <cell r="O325" t="str">
            <v>NA</v>
          </cell>
          <cell r="P325" t="str">
            <v>李泽念</v>
          </cell>
          <cell r="Q325" t="str">
            <v>李世龙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C325">
            <v>-24.67</v>
          </cell>
          <cell r="AD325">
            <v>-1.43</v>
          </cell>
          <cell r="AE325">
            <v>-1.43</v>
          </cell>
          <cell r="AF325">
            <v>0</v>
          </cell>
          <cell r="AG325">
            <v>0</v>
          </cell>
          <cell r="AH325">
            <v>-27.53</v>
          </cell>
          <cell r="AI325" t="str">
            <v>CNY</v>
          </cell>
          <cell r="AJ325" t="str">
            <v>LP</v>
          </cell>
          <cell r="AK325" t="str">
            <v>Zhixin</v>
          </cell>
          <cell r="AL325" t="str">
            <v>EC1AC </v>
          </cell>
          <cell r="BB325">
            <v>-163196</v>
          </cell>
          <cell r="BC325">
            <v>-163196</v>
          </cell>
          <cell r="BE325">
            <v>0</v>
          </cell>
          <cell r="BF325">
            <v>0</v>
          </cell>
          <cell r="BG325">
            <v>0</v>
          </cell>
          <cell r="BI325">
            <v>0</v>
          </cell>
          <cell r="BJ325">
            <v>0</v>
          </cell>
        </row>
        <row r="326">
          <cell r="C326" t="str">
            <v>B044</v>
          </cell>
          <cell r="D326" t="str">
            <v>B044</v>
          </cell>
          <cell r="E326" t="str">
            <v>Out sourcing stamping</v>
          </cell>
          <cell r="G326" t="str">
            <v>D</v>
          </cell>
          <cell r="H326" t="str">
            <v>BIW</v>
          </cell>
          <cell r="I326" t="str">
            <v>TH</v>
          </cell>
          <cell r="J326" t="str">
            <v>JD8B</v>
          </cell>
          <cell r="K326" t="str">
            <v>F46645</v>
          </cell>
          <cell r="L326" t="str">
            <v>AA</v>
          </cell>
          <cell r="M326" t="str">
            <v>JD8B-F46645-AA</v>
          </cell>
          <cell r="O326" t="str">
            <v>NA</v>
          </cell>
          <cell r="P326" t="str">
            <v>李泽念</v>
          </cell>
          <cell r="Q326" t="str">
            <v>李世龙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C326">
            <v>-24.67</v>
          </cell>
          <cell r="AD326">
            <v>-1.43</v>
          </cell>
          <cell r="AE326">
            <v>-1.43</v>
          </cell>
          <cell r="AF326">
            <v>0</v>
          </cell>
          <cell r="AG326">
            <v>0</v>
          </cell>
          <cell r="AH326">
            <v>-27.53</v>
          </cell>
          <cell r="AI326" t="str">
            <v>CNY</v>
          </cell>
          <cell r="AJ326" t="str">
            <v>LP</v>
          </cell>
          <cell r="AK326" t="str">
            <v>Zhixin</v>
          </cell>
          <cell r="AL326" t="str">
            <v>EC1AC </v>
          </cell>
          <cell r="BB326">
            <v>-163196</v>
          </cell>
          <cell r="BC326">
            <v>-163196</v>
          </cell>
          <cell r="BE326">
            <v>0</v>
          </cell>
          <cell r="BF326">
            <v>0</v>
          </cell>
          <cell r="BG326">
            <v>0</v>
          </cell>
          <cell r="BI326">
            <v>0</v>
          </cell>
          <cell r="BJ326">
            <v>0</v>
          </cell>
        </row>
        <row r="327">
          <cell r="C327" t="str">
            <v>B044</v>
          </cell>
          <cell r="D327" t="str">
            <v>B044</v>
          </cell>
          <cell r="E327" t="str">
            <v>Out sourcing stamping</v>
          </cell>
          <cell r="F327" t="str">
            <v>置物板总成</v>
          </cell>
          <cell r="G327" t="str">
            <v>D</v>
          </cell>
          <cell r="H327" t="str">
            <v>BIW</v>
          </cell>
          <cell r="I327" t="str">
            <v>TH</v>
          </cell>
          <cell r="J327" t="str">
            <v>JD8B</v>
          </cell>
          <cell r="K327" t="str">
            <v>F46506</v>
          </cell>
          <cell r="L327" t="str">
            <v>AA</v>
          </cell>
          <cell r="M327" t="str">
            <v>JD8B-F46506-AA</v>
          </cell>
          <cell r="O327" t="str">
            <v>NA</v>
          </cell>
          <cell r="P327" t="str">
            <v>李泽念</v>
          </cell>
          <cell r="Q327" t="str">
            <v>杨梅</v>
          </cell>
          <cell r="S327">
            <v>1</v>
          </cell>
          <cell r="T327">
            <v>1</v>
          </cell>
          <cell r="U327">
            <v>1</v>
          </cell>
          <cell r="V327">
            <v>1</v>
          </cell>
          <cell r="W327">
            <v>1</v>
          </cell>
          <cell r="X327">
            <v>1</v>
          </cell>
          <cell r="Y327">
            <v>1</v>
          </cell>
          <cell r="Z327">
            <v>1</v>
          </cell>
          <cell r="AA327">
            <v>1</v>
          </cell>
          <cell r="AC327">
            <v>-64.86</v>
          </cell>
          <cell r="AD327">
            <v>-2.79</v>
          </cell>
          <cell r="AE327">
            <v>-2.79</v>
          </cell>
          <cell r="AF327">
            <v>0</v>
          </cell>
          <cell r="AG327">
            <v>0</v>
          </cell>
          <cell r="AH327">
            <v>-70.440000000000012</v>
          </cell>
          <cell r="AI327" t="str">
            <v>CNY</v>
          </cell>
          <cell r="AJ327" t="str">
            <v>LP</v>
          </cell>
          <cell r="AK327" t="str">
            <v>Zhixin</v>
          </cell>
          <cell r="AL327" t="str">
            <v>EC1AC </v>
          </cell>
          <cell r="BB327">
            <v>-774466</v>
          </cell>
          <cell r="BC327">
            <v>-774466</v>
          </cell>
          <cell r="BE327">
            <v>0</v>
          </cell>
          <cell r="BF327">
            <v>0</v>
          </cell>
          <cell r="BG327">
            <v>0</v>
          </cell>
          <cell r="BI327">
            <v>0</v>
          </cell>
          <cell r="BJ327">
            <v>0</v>
          </cell>
        </row>
        <row r="328">
          <cell r="C328" t="str">
            <v>CH029</v>
          </cell>
          <cell r="D328" t="str">
            <v>-</v>
          </cell>
          <cell r="E328" t="str">
            <v>Top Mount</v>
          </cell>
          <cell r="G328" t="str">
            <v>J</v>
          </cell>
          <cell r="H328" t="str">
            <v>PMT3</v>
          </cell>
          <cell r="I328" t="str">
            <v>PF</v>
          </cell>
          <cell r="J328" t="str">
            <v>CV61</v>
          </cell>
          <cell r="K328" t="str">
            <v>3K155 </v>
          </cell>
          <cell r="L328" t="str">
            <v>B1B</v>
          </cell>
          <cell r="M328" t="str">
            <v>CV61-3K155 -B1B</v>
          </cell>
          <cell r="O328" t="str">
            <v>NA</v>
          </cell>
          <cell r="P328" t="str">
            <v>蒋莉萍</v>
          </cell>
          <cell r="Q328" t="str">
            <v>陈毅</v>
          </cell>
          <cell r="S328">
            <v>0</v>
          </cell>
          <cell r="T328">
            <v>2</v>
          </cell>
          <cell r="U328">
            <v>0</v>
          </cell>
          <cell r="V328">
            <v>2</v>
          </cell>
          <cell r="W328">
            <v>0</v>
          </cell>
          <cell r="X328">
            <v>2</v>
          </cell>
          <cell r="Y328">
            <v>2</v>
          </cell>
          <cell r="Z328">
            <v>2</v>
          </cell>
          <cell r="AA328">
            <v>1.2600000000000002</v>
          </cell>
          <cell r="AC328">
            <v>-20.810000000000002</v>
          </cell>
          <cell r="AD328">
            <v>-0.35</v>
          </cell>
          <cell r="AE328">
            <v>0</v>
          </cell>
          <cell r="AF328">
            <v>0</v>
          </cell>
          <cell r="AG328">
            <v>0</v>
          </cell>
          <cell r="AH328">
            <v>-21.160000000000004</v>
          </cell>
          <cell r="AI328" t="str">
            <v>CNY</v>
          </cell>
          <cell r="AJ328" t="str">
            <v>LP</v>
          </cell>
          <cell r="AK328" t="str">
            <v>无锡特瑞堡 </v>
          </cell>
          <cell r="AL328" t="str">
            <v>CQSZA </v>
          </cell>
          <cell r="BB328">
            <v>-945000</v>
          </cell>
          <cell r="BC328">
            <v>-945000</v>
          </cell>
          <cell r="BE328">
            <v>0</v>
          </cell>
          <cell r="BF328">
            <v>0</v>
          </cell>
          <cell r="BG328">
            <v>0</v>
          </cell>
          <cell r="BI328">
            <v>0</v>
          </cell>
          <cell r="BJ328">
            <v>0</v>
          </cell>
        </row>
        <row r="329">
          <cell r="C329" t="str">
            <v>IT04-2</v>
          </cell>
          <cell r="D329" t="str">
            <v>IT04-2</v>
          </cell>
          <cell r="E329" t="str">
            <v>Manual CCH</v>
          </cell>
          <cell r="F329" t="str">
            <v>手动空调控制面板</v>
          </cell>
          <cell r="G329" t="str">
            <v>B</v>
          </cell>
          <cell r="H329" t="str">
            <v>PMT5</v>
          </cell>
          <cell r="I329" t="str">
            <v>TH</v>
          </cell>
          <cell r="J329" t="str">
            <v>JD8T</v>
          </cell>
          <cell r="K329">
            <v>19980</v>
          </cell>
          <cell r="L329" t="str">
            <v>BA</v>
          </cell>
          <cell r="M329" t="str">
            <v>JD8T-19980-BA</v>
          </cell>
          <cell r="O329" t="str">
            <v>NA</v>
          </cell>
          <cell r="P329" t="str">
            <v>裴刚</v>
          </cell>
          <cell r="Q329" t="str">
            <v>Wang, YuLong (Jade.)</v>
          </cell>
          <cell r="S329">
            <v>1</v>
          </cell>
          <cell r="T329">
            <v>1</v>
          </cell>
          <cell r="U329">
            <v>1</v>
          </cell>
          <cell r="V329">
            <v>1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0.67</v>
          </cell>
          <cell r="AC329">
            <v>-231.12</v>
          </cell>
          <cell r="AD329">
            <v>-2.8</v>
          </cell>
          <cell r="AE329">
            <v>-5.65</v>
          </cell>
          <cell r="AF329">
            <v>-5.21</v>
          </cell>
          <cell r="AG329">
            <v>-16.91</v>
          </cell>
          <cell r="AH329">
            <v>-261.69000000000005</v>
          </cell>
          <cell r="AI329" t="str">
            <v>CNY</v>
          </cell>
          <cell r="AJ329" t="str">
            <v>LP</v>
          </cell>
          <cell r="AK329" t="str">
            <v>深圳法雷奥 </v>
          </cell>
          <cell r="AL329" t="str">
            <v>GH70A </v>
          </cell>
          <cell r="BB329">
            <v>-2438000</v>
          </cell>
          <cell r="BC329">
            <v>-2438000</v>
          </cell>
          <cell r="BE329">
            <v>-6505696</v>
          </cell>
          <cell r="BF329">
            <v>381437</v>
          </cell>
          <cell r="BG329">
            <v>0</v>
          </cell>
          <cell r="BI329">
            <v>-4906045</v>
          </cell>
          <cell r="BJ329">
            <v>911000</v>
          </cell>
        </row>
        <row r="330">
          <cell r="C330" t="str">
            <v>IT04-1</v>
          </cell>
          <cell r="D330" t="str">
            <v>-</v>
          </cell>
          <cell r="E330" t="str">
            <v>EATC</v>
          </cell>
          <cell r="F330" t="str">
            <v xml:space="preserve">自动空调控制面板 </v>
          </cell>
          <cell r="G330" t="str">
            <v>B</v>
          </cell>
          <cell r="H330" t="str">
            <v>PMT5</v>
          </cell>
          <cell r="I330" t="str">
            <v>TH</v>
          </cell>
          <cell r="J330" t="str">
            <v>JD8T</v>
          </cell>
          <cell r="K330" t="str">
            <v>18C612</v>
          </cell>
          <cell r="L330" t="str">
            <v>BB</v>
          </cell>
          <cell r="M330" t="str">
            <v>JD8T-18C612-BB</v>
          </cell>
          <cell r="O330" t="str">
            <v>NA</v>
          </cell>
          <cell r="P330" t="str">
            <v>裴刚</v>
          </cell>
          <cell r="Q330" t="str">
            <v>Wang, YuLong (Jade.)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1</v>
          </cell>
          <cell r="X330">
            <v>1</v>
          </cell>
          <cell r="Y330">
            <v>0</v>
          </cell>
          <cell r="Z330">
            <v>0</v>
          </cell>
          <cell r="AA330">
            <v>0.23</v>
          </cell>
          <cell r="AC330">
            <v>-252.42</v>
          </cell>
          <cell r="AD330">
            <v>-2.8</v>
          </cell>
          <cell r="AE330">
            <v>-5.65</v>
          </cell>
          <cell r="AF330">
            <v>-9.02</v>
          </cell>
          <cell r="AG330">
            <v>-16.91</v>
          </cell>
          <cell r="AH330">
            <v>-286.8</v>
          </cell>
          <cell r="AI330" t="str">
            <v>CNY</v>
          </cell>
          <cell r="AJ330" t="str">
            <v>LP</v>
          </cell>
          <cell r="AK330" t="str">
            <v>深圳法雷奥 </v>
          </cell>
          <cell r="AL330" t="str">
            <v>GH70A </v>
          </cell>
          <cell r="BB330">
            <v>-562000</v>
          </cell>
          <cell r="BC330">
            <v>-562000</v>
          </cell>
          <cell r="BE330" t="str">
            <v>Incl.below</v>
          </cell>
          <cell r="BF330">
            <v>0</v>
          </cell>
          <cell r="BG330">
            <v>0</v>
          </cell>
          <cell r="BI330">
            <v>0</v>
          </cell>
          <cell r="BJ330">
            <v>0</v>
          </cell>
        </row>
        <row r="331">
          <cell r="C331" t="str">
            <v>IT04-1</v>
          </cell>
          <cell r="D331" t="str">
            <v>-</v>
          </cell>
          <cell r="E331" t="str">
            <v>EATC</v>
          </cell>
          <cell r="F331" t="str">
            <v xml:space="preserve">自动空调控制面板 </v>
          </cell>
          <cell r="G331" t="str">
            <v>B</v>
          </cell>
          <cell r="H331" t="str">
            <v>PMT5</v>
          </cell>
          <cell r="I331" t="str">
            <v>TH</v>
          </cell>
          <cell r="J331" t="str">
            <v>JD8T</v>
          </cell>
          <cell r="K331" t="str">
            <v>18C612</v>
          </cell>
          <cell r="L331" t="str">
            <v>CB</v>
          </cell>
          <cell r="M331" t="str">
            <v>JD8T-18C612-CB</v>
          </cell>
          <cell r="O331" t="str">
            <v>NA</v>
          </cell>
          <cell r="P331" t="str">
            <v>裴刚</v>
          </cell>
          <cell r="Q331" t="str">
            <v>Wang, YuLong (Jade.)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1</v>
          </cell>
          <cell r="Z331">
            <v>0</v>
          </cell>
          <cell r="AA331">
            <v>0.05</v>
          </cell>
          <cell r="AC331">
            <v>-258.32</v>
          </cell>
          <cell r="AD331">
            <v>-2.8</v>
          </cell>
          <cell r="AE331">
            <v>-5.65</v>
          </cell>
          <cell r="AF331">
            <v>-9.02</v>
          </cell>
          <cell r="AG331">
            <v>-16.91</v>
          </cell>
          <cell r="AH331">
            <v>-292.7</v>
          </cell>
          <cell r="AI331" t="str">
            <v>CNY</v>
          </cell>
          <cell r="AJ331" t="str">
            <v>LP</v>
          </cell>
          <cell r="AK331" t="str">
            <v>深圳法雷奥 </v>
          </cell>
          <cell r="AL331" t="str">
            <v>GH70A </v>
          </cell>
          <cell r="BB331">
            <v>0</v>
          </cell>
          <cell r="BC331">
            <v>0</v>
          </cell>
          <cell r="BE331">
            <v>-3204304</v>
          </cell>
          <cell r="BF331">
            <v>187871</v>
          </cell>
          <cell r="BG331">
            <v>0</v>
          </cell>
          <cell r="BI331">
            <v>-6945919</v>
          </cell>
          <cell r="BJ331">
            <v>776000</v>
          </cell>
        </row>
        <row r="332">
          <cell r="C332" t="str">
            <v>IT04-1</v>
          </cell>
          <cell r="D332" t="str">
            <v>-</v>
          </cell>
          <cell r="E332" t="str">
            <v>EATC</v>
          </cell>
          <cell r="F332" t="str">
            <v xml:space="preserve">自动空调控制面板 </v>
          </cell>
          <cell r="G332" t="str">
            <v>B</v>
          </cell>
          <cell r="H332" t="str">
            <v>PMT5</v>
          </cell>
          <cell r="I332" t="str">
            <v>TH</v>
          </cell>
          <cell r="J332" t="str">
            <v>JD8T</v>
          </cell>
          <cell r="K332" t="str">
            <v>18C612</v>
          </cell>
          <cell r="L332" t="str">
            <v>DA</v>
          </cell>
          <cell r="M332" t="str">
            <v>JD8T-18C612-DA</v>
          </cell>
          <cell r="O332" t="str">
            <v>NA</v>
          </cell>
          <cell r="P332" t="str">
            <v>裴刚</v>
          </cell>
          <cell r="Q332" t="str">
            <v>Wang, YuLong (Jade.)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1</v>
          </cell>
          <cell r="AA332">
            <v>0.05</v>
          </cell>
          <cell r="AC332">
            <v>-256.45999999999998</v>
          </cell>
          <cell r="AD332">
            <v>-2.8</v>
          </cell>
          <cell r="AE332">
            <v>-5.65</v>
          </cell>
          <cell r="AF332">
            <v>-9.02</v>
          </cell>
          <cell r="AG332">
            <v>-16.91</v>
          </cell>
          <cell r="AH332">
            <v>-290.83999999999997</v>
          </cell>
          <cell r="AI332" t="str">
            <v>CNY</v>
          </cell>
          <cell r="AJ332" t="str">
            <v>LP</v>
          </cell>
          <cell r="AK332" t="str">
            <v>深圳法雷奥 </v>
          </cell>
          <cell r="AL332" t="str">
            <v>GH70A </v>
          </cell>
          <cell r="BB332">
            <v>0</v>
          </cell>
          <cell r="BC332">
            <v>0</v>
          </cell>
          <cell r="BE332">
            <v>0</v>
          </cell>
          <cell r="BG332">
            <v>0</v>
          </cell>
        </row>
        <row r="333">
          <cell r="C333" t="str">
            <v>IT16-2</v>
          </cell>
          <cell r="D333" t="str">
            <v>IT16-2</v>
          </cell>
          <cell r="E333" t="str">
            <v>Insulation/NVH-Tophat</v>
          </cell>
          <cell r="G333" t="str">
            <v>B</v>
          </cell>
          <cell r="H333" t="str">
            <v>PMT2</v>
          </cell>
          <cell r="I333" t="str">
            <v>TH</v>
          </cell>
          <cell r="J333" t="str">
            <v>JD8B</v>
          </cell>
          <cell r="K333" t="str">
            <v>F01688 </v>
          </cell>
          <cell r="L333" t="str">
            <v>AA</v>
          </cell>
          <cell r="M333" t="str">
            <v>JD8B-F01688 -AA</v>
          </cell>
          <cell r="O333" t="str">
            <v>NA</v>
          </cell>
          <cell r="P333" t="str">
            <v>陈林</v>
          </cell>
          <cell r="Q333" t="str">
            <v>白丽颖</v>
          </cell>
          <cell r="S333">
            <v>1</v>
          </cell>
          <cell r="T333">
            <v>1</v>
          </cell>
          <cell r="U333">
            <v>1</v>
          </cell>
          <cell r="V333">
            <v>1</v>
          </cell>
          <cell r="W333">
            <v>1</v>
          </cell>
          <cell r="X333">
            <v>1</v>
          </cell>
          <cell r="Y333">
            <v>1</v>
          </cell>
          <cell r="Z333">
            <v>1</v>
          </cell>
          <cell r="AA333">
            <v>1</v>
          </cell>
          <cell r="AC333">
            <v>-100.92</v>
          </cell>
          <cell r="AD333">
            <v>-0.83</v>
          </cell>
          <cell r="AE333">
            <v>-1.46</v>
          </cell>
          <cell r="AF333">
            <v>0</v>
          </cell>
          <cell r="AG333">
            <v>0</v>
          </cell>
          <cell r="AH333">
            <v>-103.21</v>
          </cell>
          <cell r="AI333" t="str">
            <v>CNY</v>
          </cell>
          <cell r="AJ333" t="str">
            <v>LP</v>
          </cell>
          <cell r="AK333" t="str">
            <v>重庆欧拓 </v>
          </cell>
          <cell r="AL333" t="str">
            <v>FEXAA </v>
          </cell>
          <cell r="BB333">
            <v>-32000</v>
          </cell>
          <cell r="BC333">
            <v>-32000</v>
          </cell>
          <cell r="BE333">
            <v>0</v>
          </cell>
          <cell r="BF333">
            <v>0</v>
          </cell>
          <cell r="BG333">
            <v>0</v>
          </cell>
          <cell r="BI333">
            <v>0</v>
          </cell>
          <cell r="BJ333">
            <v>0</v>
          </cell>
        </row>
        <row r="334">
          <cell r="C334" t="str">
            <v>IT16-2</v>
          </cell>
          <cell r="D334" t="str">
            <v>IT16-2</v>
          </cell>
          <cell r="E334" t="str">
            <v>Insulation/NVH-Tophat</v>
          </cell>
          <cell r="F334" t="str">
            <v/>
          </cell>
          <cell r="G334" t="str">
            <v>B</v>
          </cell>
          <cell r="H334" t="str">
            <v>PMT2</v>
          </cell>
          <cell r="I334" t="str">
            <v>TH</v>
          </cell>
          <cell r="J334" t="str">
            <v>JD8B</v>
          </cell>
          <cell r="K334" t="str">
            <v>F16746 </v>
          </cell>
          <cell r="L334" t="str">
            <v>AC</v>
          </cell>
          <cell r="M334" t="str">
            <v>JD8B-F16746 -AC</v>
          </cell>
          <cell r="O334" t="str">
            <v>NA</v>
          </cell>
          <cell r="P334" t="str">
            <v>陈林</v>
          </cell>
          <cell r="Q334" t="str">
            <v>白丽颖</v>
          </cell>
          <cell r="S334">
            <v>1</v>
          </cell>
          <cell r="T334">
            <v>1</v>
          </cell>
          <cell r="U334">
            <v>1</v>
          </cell>
          <cell r="V334">
            <v>1</v>
          </cell>
          <cell r="W334">
            <v>1</v>
          </cell>
          <cell r="X334">
            <v>1</v>
          </cell>
          <cell r="Y334">
            <v>1</v>
          </cell>
          <cell r="Z334">
            <v>1</v>
          </cell>
          <cell r="AA334">
            <v>1</v>
          </cell>
          <cell r="AC334">
            <v>-34.369999999999997</v>
          </cell>
          <cell r="AD334">
            <v>-0.41</v>
          </cell>
          <cell r="AE334">
            <v>-0.88</v>
          </cell>
          <cell r="AF334">
            <v>0</v>
          </cell>
          <cell r="AG334">
            <v>0</v>
          </cell>
          <cell r="AH334">
            <v>-35.659999999999997</v>
          </cell>
          <cell r="AI334" t="str">
            <v>CNY</v>
          </cell>
          <cell r="AJ334" t="str">
            <v>LP</v>
          </cell>
          <cell r="AK334" t="str">
            <v>重庆欧拓 </v>
          </cell>
          <cell r="AL334" t="str">
            <v>FEXAA </v>
          </cell>
          <cell r="BB334">
            <v>-452000</v>
          </cell>
          <cell r="BC334">
            <v>-452000</v>
          </cell>
          <cell r="BE334">
            <v>0</v>
          </cell>
          <cell r="BF334">
            <v>0</v>
          </cell>
          <cell r="BG334">
            <v>0</v>
          </cell>
          <cell r="BI334">
            <v>0</v>
          </cell>
          <cell r="BJ334">
            <v>0</v>
          </cell>
        </row>
        <row r="335">
          <cell r="C335" t="str">
            <v>E013</v>
          </cell>
          <cell r="D335" t="str">
            <v>-</v>
          </cell>
          <cell r="E335" t="str">
            <v>Steering column switch</v>
          </cell>
          <cell r="F335" t="str">
            <v>组合开关</v>
          </cell>
          <cell r="G335" t="str">
            <v>B</v>
          </cell>
          <cell r="H335" t="str">
            <v>PMT5</v>
          </cell>
          <cell r="I335" t="str">
            <v>TH</v>
          </cell>
          <cell r="J335" t="str">
            <v>JD8T </v>
          </cell>
          <cell r="K335" t="str">
            <v>13N064 </v>
          </cell>
          <cell r="L335" t="str">
            <v>AA</v>
          </cell>
          <cell r="M335" t="str">
            <v>JD8T -13N064 -AA</v>
          </cell>
          <cell r="O335" t="str">
            <v>NA</v>
          </cell>
          <cell r="P335" t="str">
            <v>肖裔理</v>
          </cell>
          <cell r="Q335" t="str">
            <v>姜燕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1</v>
          </cell>
          <cell r="X335">
            <v>1</v>
          </cell>
          <cell r="Y335">
            <v>1</v>
          </cell>
          <cell r="Z335">
            <v>1</v>
          </cell>
          <cell r="AA335">
            <v>0.33</v>
          </cell>
          <cell r="AC335">
            <v>-126.13</v>
          </cell>
          <cell r="AD335">
            <v>-0.8</v>
          </cell>
          <cell r="AE335">
            <v>0</v>
          </cell>
          <cell r="AF335">
            <v>-0.7</v>
          </cell>
          <cell r="AG335">
            <v>0</v>
          </cell>
          <cell r="AH335">
            <v>-127.63</v>
          </cell>
          <cell r="AI335" t="str">
            <v>CNY</v>
          </cell>
          <cell r="AJ335" t="str">
            <v>LP</v>
          </cell>
          <cell r="AK335" t="str">
            <v>上海科世达 </v>
          </cell>
          <cell r="AL335" t="str">
            <v>ECBRA </v>
          </cell>
          <cell r="BB335">
            <v>-10905</v>
          </cell>
          <cell r="BC335">
            <v>-10905</v>
          </cell>
          <cell r="BE335">
            <v>0</v>
          </cell>
          <cell r="BF335">
            <v>0</v>
          </cell>
          <cell r="BG335">
            <v>0</v>
          </cell>
          <cell r="BI335">
            <v>-1080670</v>
          </cell>
          <cell r="BJ335">
            <v>1548196</v>
          </cell>
        </row>
        <row r="336">
          <cell r="C336" t="str">
            <v>E013</v>
          </cell>
          <cell r="D336" t="str">
            <v>E013</v>
          </cell>
          <cell r="E336" t="str">
            <v>Steering column switch</v>
          </cell>
          <cell r="F336" t="str">
            <v>组合开关</v>
          </cell>
          <cell r="G336" t="str">
            <v>B</v>
          </cell>
          <cell r="H336" t="str">
            <v>PMT5</v>
          </cell>
          <cell r="I336" t="str">
            <v>TH</v>
          </cell>
          <cell r="J336" t="str">
            <v>JD8T </v>
          </cell>
          <cell r="K336" t="str">
            <v>13N064 </v>
          </cell>
          <cell r="L336" t="str">
            <v>BA</v>
          </cell>
          <cell r="M336" t="str">
            <v>JD8T -13N064 -BA</v>
          </cell>
          <cell r="O336" t="str">
            <v>NA</v>
          </cell>
          <cell r="P336" t="str">
            <v>肖裔理</v>
          </cell>
          <cell r="Q336" t="str">
            <v>姜燕</v>
          </cell>
          <cell r="S336">
            <v>1</v>
          </cell>
          <cell r="T336">
            <v>1</v>
          </cell>
          <cell r="U336">
            <v>1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0.67</v>
          </cell>
          <cell r="AC336">
            <v>-126.13</v>
          </cell>
          <cell r="AD336">
            <v>-0.8</v>
          </cell>
          <cell r="AE336">
            <v>0</v>
          </cell>
          <cell r="AF336">
            <v>-0.7</v>
          </cell>
          <cell r="AG336">
            <v>0</v>
          </cell>
          <cell r="AH336">
            <v>-127.63</v>
          </cell>
          <cell r="AI336" t="str">
            <v>CNY</v>
          </cell>
          <cell r="AJ336" t="str">
            <v>LP</v>
          </cell>
          <cell r="AK336" t="str">
            <v>上海科世达 </v>
          </cell>
          <cell r="AL336" t="str">
            <v>ECBRA </v>
          </cell>
          <cell r="BB336">
            <v>0</v>
          </cell>
          <cell r="BC336">
            <v>0</v>
          </cell>
          <cell r="BE336">
            <v>0</v>
          </cell>
          <cell r="BF336">
            <v>0</v>
          </cell>
          <cell r="BG336">
            <v>0</v>
          </cell>
        </row>
        <row r="337">
          <cell r="C337" t="str">
            <v>E02</v>
          </cell>
          <cell r="D337" t="str">
            <v>E02</v>
          </cell>
          <cell r="E337" t="str">
            <v>A/C Compressor</v>
          </cell>
          <cell r="F337" t="str">
            <v>空调压缩机</v>
          </cell>
          <cell r="G337" t="str">
            <v>B</v>
          </cell>
          <cell r="H337" t="str">
            <v>PMT2</v>
          </cell>
          <cell r="I337" t="str">
            <v>PF</v>
          </cell>
          <cell r="J337" t="str">
            <v>JD8B</v>
          </cell>
          <cell r="K337" t="str">
            <v>19D629</v>
          </cell>
          <cell r="L337" t="str">
            <v>AB</v>
          </cell>
          <cell r="M337" t="str">
            <v>JD8B-19D629-AB</v>
          </cell>
          <cell r="O337" t="str">
            <v>NA</v>
          </cell>
          <cell r="P337" t="str">
            <v>周瑜</v>
          </cell>
          <cell r="Q337" t="str">
            <v>于奋飞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0</v>
          </cell>
          <cell r="X337">
            <v>0</v>
          </cell>
          <cell r="Y337">
            <v>1</v>
          </cell>
          <cell r="Z337">
            <v>0</v>
          </cell>
          <cell r="AA337">
            <v>0.72000000000000008</v>
          </cell>
          <cell r="AC337">
            <v>-603.16000000000008</v>
          </cell>
          <cell r="AD337">
            <v>-6.48</v>
          </cell>
          <cell r="AE337">
            <v>0</v>
          </cell>
          <cell r="AF337">
            <v>-7.21</v>
          </cell>
          <cell r="AG337">
            <v>-4.54</v>
          </cell>
          <cell r="AH337">
            <v>-621.3900000000001</v>
          </cell>
          <cell r="AI337" t="str">
            <v>CNY</v>
          </cell>
          <cell r="AJ337" t="str">
            <v>LP</v>
          </cell>
          <cell r="AK337" t="str">
            <v>电装中国 </v>
          </cell>
          <cell r="AL337" t="str">
            <v>ERTFA </v>
          </cell>
          <cell r="BB337">
            <v>-1674400</v>
          </cell>
          <cell r="BC337">
            <v>-1674400</v>
          </cell>
          <cell r="BE337">
            <v>-1748703</v>
          </cell>
          <cell r="BF337">
            <v>574899</v>
          </cell>
          <cell r="BG337">
            <v>0</v>
          </cell>
          <cell r="BI337">
            <v>-11514099</v>
          </cell>
          <cell r="BJ337">
            <v>1596962</v>
          </cell>
        </row>
        <row r="338">
          <cell r="C338" t="str">
            <v>E02</v>
          </cell>
          <cell r="D338" t="str">
            <v>-</v>
          </cell>
          <cell r="E338" t="str">
            <v>A/C Compressor</v>
          </cell>
          <cell r="F338" t="str">
            <v>空调压缩机</v>
          </cell>
          <cell r="G338" t="str">
            <v>B</v>
          </cell>
          <cell r="H338" t="str">
            <v>PMT2</v>
          </cell>
          <cell r="I338" t="str">
            <v>PF</v>
          </cell>
          <cell r="J338" t="str">
            <v>JD8B</v>
          </cell>
          <cell r="K338" t="str">
            <v>19D629</v>
          </cell>
          <cell r="L338" t="str">
            <v>BB</v>
          </cell>
          <cell r="M338" t="str">
            <v>JD8B-19D629-BB</v>
          </cell>
          <cell r="O338" t="str">
            <v>NA</v>
          </cell>
          <cell r="P338" t="str">
            <v>周瑜</v>
          </cell>
          <cell r="Q338" t="str">
            <v>于奋飞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</v>
          </cell>
          <cell r="X338">
            <v>1</v>
          </cell>
          <cell r="Y338">
            <v>0</v>
          </cell>
          <cell r="Z338">
            <v>1</v>
          </cell>
          <cell r="AA338">
            <v>0.28000000000000003</v>
          </cell>
          <cell r="AC338">
            <v>-603.16000000000008</v>
          </cell>
          <cell r="AD338">
            <v>-6.48</v>
          </cell>
          <cell r="AE338">
            <v>0</v>
          </cell>
          <cell r="AF338">
            <v>-7.21</v>
          </cell>
          <cell r="AG338">
            <v>-4.54</v>
          </cell>
          <cell r="AH338">
            <v>-621.3900000000001</v>
          </cell>
          <cell r="AI338" t="str">
            <v>CNY</v>
          </cell>
          <cell r="AJ338" t="str">
            <v>LP</v>
          </cell>
          <cell r="AK338" t="str">
            <v>电装中国 </v>
          </cell>
          <cell r="AL338" t="str">
            <v>ERTFA </v>
          </cell>
          <cell r="BB338">
            <v>-1674400</v>
          </cell>
          <cell r="BC338">
            <v>-1674400</v>
          </cell>
          <cell r="BE338">
            <v>-861302</v>
          </cell>
          <cell r="BF338" t="str">
            <v>incl. in above</v>
          </cell>
          <cell r="BG338">
            <v>0</v>
          </cell>
          <cell r="BI338" t="str">
            <v>incl. in above</v>
          </cell>
        </row>
        <row r="339">
          <cell r="C339" t="str">
            <v>E012</v>
          </cell>
          <cell r="D339" t="str">
            <v>E012</v>
          </cell>
          <cell r="E339" t="str">
            <v>Headlamp switch</v>
          </cell>
          <cell r="F339" t="str">
            <v>大灯开关</v>
          </cell>
          <cell r="G339" t="str">
            <v>B</v>
          </cell>
          <cell r="H339" t="str">
            <v>PMT5</v>
          </cell>
          <cell r="I339" t="str">
            <v>TH</v>
          </cell>
          <cell r="J339" t="str">
            <v>JD8T</v>
          </cell>
          <cell r="K339" t="str">
            <v>13A024 </v>
          </cell>
          <cell r="L339" t="str">
            <v>AB</v>
          </cell>
          <cell r="M339" t="str">
            <v>JD8T-13A024 -AB</v>
          </cell>
          <cell r="O339" t="str">
            <v>NA</v>
          </cell>
          <cell r="P339" t="str">
            <v>肖裔理</v>
          </cell>
          <cell r="Q339" t="str">
            <v>姜燕</v>
          </cell>
          <cell r="S339">
            <v>0</v>
          </cell>
          <cell r="T339">
            <v>0</v>
          </cell>
          <cell r="U339">
            <v>1</v>
          </cell>
          <cell r="V339">
            <v>1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0.37</v>
          </cell>
          <cell r="AC339">
            <v>-41.6</v>
          </cell>
          <cell r="AD339">
            <v>-0.3</v>
          </cell>
          <cell r="AE339">
            <v>0</v>
          </cell>
          <cell r="AF339">
            <v>-0.44</v>
          </cell>
          <cell r="AG339">
            <v>0</v>
          </cell>
          <cell r="AH339">
            <v>-42.339999999999996</v>
          </cell>
          <cell r="AI339" t="str">
            <v>CNY</v>
          </cell>
          <cell r="AJ339" t="str">
            <v>LP</v>
          </cell>
          <cell r="AK339" t="str">
            <v>上海科世达 </v>
          </cell>
          <cell r="AL339" t="str">
            <v>ECBRA </v>
          </cell>
          <cell r="BB339">
            <v>0</v>
          </cell>
          <cell r="BC339">
            <v>0</v>
          </cell>
          <cell r="BE339">
            <v>0</v>
          </cell>
          <cell r="BF339">
            <v>0</v>
          </cell>
          <cell r="BG339">
            <v>0</v>
          </cell>
          <cell r="BI339">
            <v>-681700</v>
          </cell>
          <cell r="BJ339">
            <v>1548196</v>
          </cell>
        </row>
        <row r="340">
          <cell r="C340" t="str">
            <v>E012</v>
          </cell>
          <cell r="D340" t="str">
            <v>-</v>
          </cell>
          <cell r="E340" t="str">
            <v>Headlamp switch</v>
          </cell>
          <cell r="F340" t="str">
            <v>大灯开关</v>
          </cell>
          <cell r="G340" t="str">
            <v>B</v>
          </cell>
          <cell r="H340" t="str">
            <v>PMT5</v>
          </cell>
          <cell r="I340" t="str">
            <v>TH</v>
          </cell>
          <cell r="J340" t="str">
            <v>JD8T</v>
          </cell>
          <cell r="K340" t="str">
            <v>13A024 </v>
          </cell>
          <cell r="L340" t="str">
            <v>BB</v>
          </cell>
          <cell r="M340" t="str">
            <v>JD8T-13A024 -BB</v>
          </cell>
          <cell r="O340" t="str">
            <v>NA</v>
          </cell>
          <cell r="P340" t="str">
            <v>肖裔理</v>
          </cell>
          <cell r="Q340" t="str">
            <v>姜燕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1</v>
          </cell>
          <cell r="X340">
            <v>1</v>
          </cell>
          <cell r="Y340">
            <v>1</v>
          </cell>
          <cell r="Z340">
            <v>1</v>
          </cell>
          <cell r="AA340">
            <v>0.33</v>
          </cell>
          <cell r="AC340">
            <v>-41.6</v>
          </cell>
          <cell r="AD340">
            <v>-0.3</v>
          </cell>
          <cell r="AE340">
            <v>0</v>
          </cell>
          <cell r="AF340">
            <v>-0.44</v>
          </cell>
          <cell r="AG340">
            <v>0</v>
          </cell>
          <cell r="AH340">
            <v>-42.339999999999996</v>
          </cell>
          <cell r="AI340" t="str">
            <v>CNY</v>
          </cell>
          <cell r="AJ340" t="str">
            <v>LP</v>
          </cell>
          <cell r="AK340" t="str">
            <v>上海科世达 </v>
          </cell>
          <cell r="AL340" t="str">
            <v>ECBRA </v>
          </cell>
          <cell r="BB340">
            <v>0</v>
          </cell>
          <cell r="BC340">
            <v>0</v>
          </cell>
          <cell r="BE340">
            <v>0</v>
          </cell>
          <cell r="BF340">
            <v>0</v>
          </cell>
          <cell r="BG340">
            <v>0</v>
          </cell>
          <cell r="BI340" t="str">
            <v>incl. in above</v>
          </cell>
        </row>
        <row r="341">
          <cell r="C341" t="str">
            <v>E012</v>
          </cell>
          <cell r="D341" t="str">
            <v>-</v>
          </cell>
          <cell r="E341" t="str">
            <v>Headlamp switch</v>
          </cell>
          <cell r="F341" t="str">
            <v>大灯开关</v>
          </cell>
          <cell r="G341" t="str">
            <v>B</v>
          </cell>
          <cell r="H341" t="str">
            <v>PMT5</v>
          </cell>
          <cell r="I341" t="str">
            <v>TH</v>
          </cell>
          <cell r="J341" t="str">
            <v>JD8T</v>
          </cell>
          <cell r="K341" t="str">
            <v>13A024 </v>
          </cell>
          <cell r="L341" t="str">
            <v>CB</v>
          </cell>
          <cell r="M341" t="str">
            <v>JD8T-13A024 -CB</v>
          </cell>
          <cell r="O341" t="str">
            <v>NA</v>
          </cell>
          <cell r="P341" t="str">
            <v>肖裔理</v>
          </cell>
          <cell r="Q341" t="str">
            <v>姜燕</v>
          </cell>
          <cell r="S341">
            <v>1</v>
          </cell>
          <cell r="T341">
            <v>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0.30000000000000004</v>
          </cell>
          <cell r="AC341">
            <v>-40.550000000000004</v>
          </cell>
          <cell r="AD341">
            <v>-0.3</v>
          </cell>
          <cell r="AE341">
            <v>0</v>
          </cell>
          <cell r="AF341">
            <v>-0.44</v>
          </cell>
          <cell r="AG341">
            <v>0</v>
          </cell>
          <cell r="AH341">
            <v>-41.29</v>
          </cell>
          <cell r="AI341" t="str">
            <v>CNY</v>
          </cell>
          <cell r="AJ341" t="str">
            <v>LP</v>
          </cell>
          <cell r="AK341" t="str">
            <v>上海科世达 </v>
          </cell>
          <cell r="AL341" t="str">
            <v>ECBRA </v>
          </cell>
          <cell r="BB341">
            <v>0</v>
          </cell>
          <cell r="BC341">
            <v>0</v>
          </cell>
          <cell r="BE341">
            <v>0</v>
          </cell>
          <cell r="BF341">
            <v>0</v>
          </cell>
          <cell r="BG341">
            <v>0</v>
          </cell>
          <cell r="BI341" t="str">
            <v>incl. in above</v>
          </cell>
        </row>
        <row r="342">
          <cell r="C342" t="str">
            <v>ET17-1</v>
          </cell>
          <cell r="D342" t="str">
            <v>ET17-1</v>
          </cell>
          <cell r="E342" t="str">
            <v>Wheel arch liners(Rear)</v>
          </cell>
          <cell r="F342" t="str">
            <v>后轮毂包</v>
          </cell>
          <cell r="G342" t="str">
            <v>D</v>
          </cell>
          <cell r="H342" t="str">
            <v>PMT1</v>
          </cell>
          <cell r="I342" t="str">
            <v>TH</v>
          </cell>
          <cell r="J342" t="str">
            <v>JD8B</v>
          </cell>
          <cell r="K342" t="str">
            <v>F278B50</v>
          </cell>
          <cell r="L342" t="str">
            <v>AB</v>
          </cell>
          <cell r="M342" t="str">
            <v>JD8B-F278B50-AB</v>
          </cell>
          <cell r="O342" t="str">
            <v>NA</v>
          </cell>
          <cell r="P342" t="str">
            <v>陈林</v>
          </cell>
          <cell r="Q342" t="str">
            <v>白丽颖</v>
          </cell>
          <cell r="S342">
            <v>1</v>
          </cell>
          <cell r="T342">
            <v>1</v>
          </cell>
          <cell r="U342">
            <v>1</v>
          </cell>
          <cell r="V342">
            <v>1</v>
          </cell>
          <cell r="W342">
            <v>1</v>
          </cell>
          <cell r="X342">
            <v>1</v>
          </cell>
          <cell r="Y342">
            <v>1</v>
          </cell>
          <cell r="Z342">
            <v>1</v>
          </cell>
          <cell r="AA342">
            <v>1</v>
          </cell>
          <cell r="AC342">
            <v>-30.15</v>
          </cell>
          <cell r="AD342">
            <v>-0.8</v>
          </cell>
          <cell r="AE342">
            <v>-1.33</v>
          </cell>
          <cell r="AF342">
            <v>0</v>
          </cell>
          <cell r="AG342">
            <v>0</v>
          </cell>
          <cell r="AH342">
            <v>-32.28</v>
          </cell>
          <cell r="AI342" t="str">
            <v>CNY</v>
          </cell>
          <cell r="AJ342" t="str">
            <v>LP</v>
          </cell>
          <cell r="AK342" t="str">
            <v>重庆佛吉亚长鹏 </v>
          </cell>
          <cell r="AL342" t="str">
            <v>HC89A </v>
          </cell>
          <cell r="BB342">
            <v>-690000</v>
          </cell>
          <cell r="BC342">
            <v>-690000</v>
          </cell>
          <cell r="BE342">
            <v>0</v>
          </cell>
          <cell r="BF342">
            <v>0</v>
          </cell>
          <cell r="BG342">
            <v>0</v>
          </cell>
          <cell r="BI342">
            <v>0</v>
          </cell>
          <cell r="BJ342">
            <v>0</v>
          </cell>
        </row>
        <row r="343">
          <cell r="C343" t="str">
            <v>ET17-1</v>
          </cell>
          <cell r="D343" t="str">
            <v>ET17-1</v>
          </cell>
          <cell r="E343" t="str">
            <v>Wheel arch liners(Rear)</v>
          </cell>
          <cell r="F343" t="str">
            <v>后轮毂包</v>
          </cell>
          <cell r="G343" t="str">
            <v>D</v>
          </cell>
          <cell r="H343" t="str">
            <v>PMT1</v>
          </cell>
          <cell r="I343" t="str">
            <v>TH</v>
          </cell>
          <cell r="J343" t="str">
            <v>JD8B</v>
          </cell>
          <cell r="K343" t="str">
            <v>F278B51</v>
          </cell>
          <cell r="L343" t="str">
            <v>AB</v>
          </cell>
          <cell r="M343" t="str">
            <v>JD8B-F278B51-AB</v>
          </cell>
          <cell r="O343" t="str">
            <v>NA</v>
          </cell>
          <cell r="P343" t="str">
            <v>陈林</v>
          </cell>
          <cell r="Q343" t="str">
            <v>白丽颖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C343">
            <v>-34.630000000000003</v>
          </cell>
          <cell r="AD343">
            <v>-0.8</v>
          </cell>
          <cell r="AE343">
            <v>-1.33</v>
          </cell>
          <cell r="AF343">
            <v>0</v>
          </cell>
          <cell r="AG343">
            <v>0</v>
          </cell>
          <cell r="AH343">
            <v>-36.76</v>
          </cell>
          <cell r="AI343" t="str">
            <v>CNY</v>
          </cell>
          <cell r="AJ343" t="str">
            <v>LP</v>
          </cell>
          <cell r="AK343" t="str">
            <v>重庆佛吉亚长鹏 </v>
          </cell>
          <cell r="AL343" t="str">
            <v>HC89A </v>
          </cell>
          <cell r="BB343">
            <v>-690000</v>
          </cell>
          <cell r="BC343">
            <v>-690000</v>
          </cell>
          <cell r="BE343">
            <v>0</v>
          </cell>
          <cell r="BF343">
            <v>0</v>
          </cell>
          <cell r="BG343">
            <v>0</v>
          </cell>
          <cell r="BI343">
            <v>0</v>
          </cell>
          <cell r="BJ343">
            <v>0</v>
          </cell>
        </row>
        <row r="344">
          <cell r="C344" t="str">
            <v>IT90</v>
          </cell>
          <cell r="D344" t="str">
            <v>-</v>
          </cell>
          <cell r="E344" t="str">
            <v>Headliner (grab handle)</v>
          </cell>
          <cell r="F344" t="str">
            <v>顶棚</v>
          </cell>
          <cell r="G344" t="str">
            <v>D</v>
          </cell>
          <cell r="H344" t="str">
            <v>PMT2</v>
          </cell>
          <cell r="I344" t="str">
            <v>TH</v>
          </cell>
          <cell r="J344" t="str">
            <v>JD8B</v>
          </cell>
          <cell r="K344" t="str">
            <v>F51918</v>
          </cell>
          <cell r="L344" t="str">
            <v>ACW</v>
          </cell>
          <cell r="M344" t="str">
            <v>JD8B-F51918-ACW</v>
          </cell>
          <cell r="O344" t="str">
            <v>NA</v>
          </cell>
          <cell r="P344" t="str">
            <v>刘腾飞</v>
          </cell>
          <cell r="Q344" t="str">
            <v>白丽颖</v>
          </cell>
          <cell r="S344">
            <v>1</v>
          </cell>
          <cell r="T344">
            <v>1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0.30000000000000004</v>
          </cell>
          <cell r="AC344">
            <v>-248.49</v>
          </cell>
          <cell r="AD344">
            <v>-3</v>
          </cell>
          <cell r="AE344">
            <v>-4</v>
          </cell>
          <cell r="AF344">
            <v>-0.08</v>
          </cell>
          <cell r="AG344">
            <v>0</v>
          </cell>
          <cell r="AH344">
            <v>-255.57000000000002</v>
          </cell>
          <cell r="AI344" t="str">
            <v>CNY</v>
          </cell>
          <cell r="AJ344" t="str">
            <v>LP</v>
          </cell>
          <cell r="AK344" t="str">
            <v>重庆安通林拓普 </v>
          </cell>
          <cell r="AL344" t="str">
            <v>EM7SA </v>
          </cell>
          <cell r="BB344">
            <v>-130000</v>
          </cell>
          <cell r="BC344">
            <v>-130000</v>
          </cell>
          <cell r="BE344">
            <v>0</v>
          </cell>
          <cell r="BF344">
            <v>0</v>
          </cell>
          <cell r="BG344">
            <v>0</v>
          </cell>
          <cell r="BI344">
            <v>-132000</v>
          </cell>
          <cell r="BJ344">
            <v>1694763</v>
          </cell>
        </row>
        <row r="345">
          <cell r="C345" t="str">
            <v>IT90</v>
          </cell>
          <cell r="D345" t="str">
            <v>IT90</v>
          </cell>
          <cell r="E345" t="str">
            <v>Headliner (grab handle)</v>
          </cell>
          <cell r="F345" t="str">
            <v>顶棚</v>
          </cell>
          <cell r="G345" t="str">
            <v>D</v>
          </cell>
          <cell r="H345" t="str">
            <v>PMT2</v>
          </cell>
          <cell r="I345" t="str">
            <v>TH</v>
          </cell>
          <cell r="J345" t="str">
            <v>JD8B</v>
          </cell>
          <cell r="K345" t="str">
            <v>F51918</v>
          </cell>
          <cell r="L345" t="str">
            <v>BDW</v>
          </cell>
          <cell r="M345" t="str">
            <v>JD8B-F51918-BDW</v>
          </cell>
          <cell r="O345" t="str">
            <v>NA</v>
          </cell>
          <cell r="P345" t="str">
            <v>刘腾飞</v>
          </cell>
          <cell r="Q345" t="str">
            <v>白丽颖</v>
          </cell>
          <cell r="S345">
            <v>0</v>
          </cell>
          <cell r="T345">
            <v>0</v>
          </cell>
          <cell r="U345">
            <v>1</v>
          </cell>
          <cell r="V345">
            <v>1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0.37</v>
          </cell>
          <cell r="AC345">
            <v>-320.93</v>
          </cell>
          <cell r="AD345">
            <v>-3</v>
          </cell>
          <cell r="AE345">
            <v>-4</v>
          </cell>
          <cell r="AF345">
            <v>-0.08</v>
          </cell>
          <cell r="AG345">
            <v>0</v>
          </cell>
          <cell r="AH345">
            <v>-328.01</v>
          </cell>
          <cell r="AI345" t="str">
            <v>CNY</v>
          </cell>
          <cell r="AJ345" t="str">
            <v>LP</v>
          </cell>
          <cell r="AK345" t="str">
            <v>重庆安通林拓普 </v>
          </cell>
          <cell r="AL345" t="str">
            <v>EM7SA </v>
          </cell>
          <cell r="BB345" t="str">
            <v>incl. in above</v>
          </cell>
          <cell r="BC345" t="str">
            <v>incl. in above</v>
          </cell>
          <cell r="BE345">
            <v>0</v>
          </cell>
          <cell r="BF345">
            <v>0</v>
          </cell>
          <cell r="BG345">
            <v>0</v>
          </cell>
          <cell r="BI345" t="str">
            <v>incl. in above</v>
          </cell>
        </row>
        <row r="346">
          <cell r="C346" t="str">
            <v>IT90</v>
          </cell>
          <cell r="D346" t="str">
            <v>-</v>
          </cell>
          <cell r="E346" t="str">
            <v>Headliner (grab handle)</v>
          </cell>
          <cell r="F346" t="str">
            <v>顶棚</v>
          </cell>
          <cell r="G346" t="str">
            <v>D</v>
          </cell>
          <cell r="H346" t="str">
            <v>PMT2</v>
          </cell>
          <cell r="I346" t="str">
            <v>TH</v>
          </cell>
          <cell r="J346" t="str">
            <v>JD8B</v>
          </cell>
          <cell r="K346" t="str">
            <v>F51918</v>
          </cell>
          <cell r="L346" t="str">
            <v>CDW</v>
          </cell>
          <cell r="M346" t="str">
            <v>JD8B-F51918-CDW</v>
          </cell>
          <cell r="O346" t="str">
            <v>NA</v>
          </cell>
          <cell r="P346" t="str">
            <v>刘腾飞</v>
          </cell>
          <cell r="Q346" t="str">
            <v>白丽颖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-317.98999999999995</v>
          </cell>
          <cell r="AD346">
            <v>-3</v>
          </cell>
          <cell r="AE346">
            <v>-4</v>
          </cell>
          <cell r="AF346">
            <v>-0.08</v>
          </cell>
          <cell r="AG346">
            <v>0</v>
          </cell>
          <cell r="AH346">
            <v>-325.06999999999994</v>
          </cell>
          <cell r="AI346" t="str">
            <v>CNY</v>
          </cell>
          <cell r="AJ346" t="str">
            <v>LP</v>
          </cell>
          <cell r="AK346" t="str">
            <v>重庆安通林拓普 </v>
          </cell>
          <cell r="AL346" t="str">
            <v>EM7SA </v>
          </cell>
          <cell r="BB346" t="str">
            <v>incl. in above</v>
          </cell>
          <cell r="BC346" t="str">
            <v>incl. in above</v>
          </cell>
          <cell r="BE346">
            <v>0</v>
          </cell>
          <cell r="BF346">
            <v>0</v>
          </cell>
          <cell r="BG346">
            <v>0</v>
          </cell>
          <cell r="BI346" t="str">
            <v>incl. in above</v>
          </cell>
        </row>
        <row r="347">
          <cell r="C347" t="str">
            <v>IT90</v>
          </cell>
          <cell r="D347" t="str">
            <v>-</v>
          </cell>
          <cell r="E347" t="str">
            <v>Headliner (grab handle)</v>
          </cell>
          <cell r="F347" t="str">
            <v>顶棚</v>
          </cell>
          <cell r="G347" t="str">
            <v>D</v>
          </cell>
          <cell r="H347" t="str">
            <v>PMT2</v>
          </cell>
          <cell r="I347" t="str">
            <v>TH</v>
          </cell>
          <cell r="J347" t="str">
            <v>JD8B</v>
          </cell>
          <cell r="K347" t="str">
            <v>F51918</v>
          </cell>
          <cell r="L347" t="str">
            <v>DDW</v>
          </cell>
          <cell r="M347" t="str">
            <v>JD8B-F51918-DDW</v>
          </cell>
          <cell r="O347" t="str">
            <v>NA</v>
          </cell>
          <cell r="P347" t="str">
            <v>刘腾飞</v>
          </cell>
          <cell r="Q347" t="str">
            <v>白丽颖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0.33</v>
          </cell>
          <cell r="AC347">
            <v>-317.98999999999995</v>
          </cell>
          <cell r="AD347">
            <v>-3</v>
          </cell>
          <cell r="AE347">
            <v>-4</v>
          </cell>
          <cell r="AF347">
            <v>-0.08</v>
          </cell>
          <cell r="AG347">
            <v>0</v>
          </cell>
          <cell r="AH347">
            <v>-325.06999999999994</v>
          </cell>
          <cell r="AI347" t="str">
            <v>CNY</v>
          </cell>
          <cell r="AJ347" t="str">
            <v>LP</v>
          </cell>
          <cell r="AK347" t="str">
            <v>重庆安通林拓普 </v>
          </cell>
          <cell r="AL347" t="str">
            <v>EM7SA </v>
          </cell>
          <cell r="BB347" t="str">
            <v>incl. in above</v>
          </cell>
          <cell r="BC347" t="str">
            <v>incl. in above</v>
          </cell>
          <cell r="BE347">
            <v>0</v>
          </cell>
          <cell r="BF347">
            <v>0</v>
          </cell>
          <cell r="BG347">
            <v>0</v>
          </cell>
          <cell r="BI347" t="str">
            <v>incl. in above</v>
          </cell>
        </row>
        <row r="348">
          <cell r="C348" t="str">
            <v>IT13</v>
          </cell>
          <cell r="D348" t="str">
            <v>-</v>
          </cell>
          <cell r="E348" t="str">
            <v>Rain Sensor cover lower</v>
          </cell>
          <cell r="F348" t="str">
            <v>雨量传感器下盖板</v>
          </cell>
          <cell r="G348" t="str">
            <v>D</v>
          </cell>
          <cell r="H348" t="str">
            <v>PMT2</v>
          </cell>
          <cell r="I348" t="str">
            <v>TH</v>
          </cell>
          <cell r="J348" t="str">
            <v>JD8B</v>
          </cell>
          <cell r="K348" t="str">
            <v>17D550</v>
          </cell>
          <cell r="L348" t="str">
            <v>ABW</v>
          </cell>
          <cell r="M348" t="str">
            <v>JD8B-17D550-ABW</v>
          </cell>
          <cell r="O348" t="str">
            <v>NA</v>
          </cell>
          <cell r="P348" t="str">
            <v>陈宇游</v>
          </cell>
          <cell r="Q348" t="str">
            <v>张光辉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1</v>
          </cell>
          <cell r="Z348">
            <v>1</v>
          </cell>
          <cell r="AA348">
            <v>0.1</v>
          </cell>
          <cell r="AC348">
            <v>-3.7</v>
          </cell>
          <cell r="AD348">
            <v>-0.25</v>
          </cell>
          <cell r="AE348">
            <v>-0.2</v>
          </cell>
          <cell r="AF348">
            <v>0</v>
          </cell>
          <cell r="AG348">
            <v>0</v>
          </cell>
          <cell r="AH348">
            <v>-4.1500000000000004</v>
          </cell>
          <cell r="AI348" t="str">
            <v>CNY</v>
          </cell>
          <cell r="AJ348" t="str">
            <v>LP</v>
          </cell>
          <cell r="AK348" t="str">
            <v>重庆平伟 </v>
          </cell>
          <cell r="AL348" t="str">
            <v>GZM7A </v>
          </cell>
          <cell r="BB348">
            <v>-230000</v>
          </cell>
          <cell r="BC348">
            <v>-230000</v>
          </cell>
          <cell r="BE348">
            <v>0</v>
          </cell>
          <cell r="BF348">
            <v>0</v>
          </cell>
          <cell r="BG348">
            <v>0</v>
          </cell>
          <cell r="BI348">
            <v>0</v>
          </cell>
          <cell r="BJ348">
            <v>0</v>
          </cell>
        </row>
        <row r="349">
          <cell r="C349" t="str">
            <v>IT13</v>
          </cell>
          <cell r="D349" t="str">
            <v>-</v>
          </cell>
          <cell r="E349" t="str">
            <v>Rain Sensor Cover upper</v>
          </cell>
          <cell r="F349" t="str">
            <v>雨量传感器上盖板</v>
          </cell>
          <cell r="G349" t="str">
            <v>D</v>
          </cell>
          <cell r="H349" t="str">
            <v>PMT2</v>
          </cell>
          <cell r="I349" t="str">
            <v>TH</v>
          </cell>
          <cell r="J349" t="str">
            <v>JD8B</v>
          </cell>
          <cell r="K349" t="str">
            <v>17D568 </v>
          </cell>
          <cell r="L349" t="str">
            <v>AAW</v>
          </cell>
          <cell r="M349" t="str">
            <v>JD8B-17D568 -AAW</v>
          </cell>
          <cell r="O349" t="str">
            <v>NA</v>
          </cell>
          <cell r="P349" t="str">
            <v>陈宇游</v>
          </cell>
          <cell r="Q349" t="str">
            <v>张光辉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1</v>
          </cell>
          <cell r="Z349">
            <v>1</v>
          </cell>
          <cell r="AA349">
            <v>0.1</v>
          </cell>
          <cell r="AC349">
            <v>-5</v>
          </cell>
          <cell r="AD349">
            <v>-0.25</v>
          </cell>
          <cell r="AE349">
            <v>-0.2</v>
          </cell>
          <cell r="AF349">
            <v>0</v>
          </cell>
          <cell r="AG349">
            <v>0</v>
          </cell>
          <cell r="AH349">
            <v>-5.45</v>
          </cell>
          <cell r="AI349" t="str">
            <v>CNY</v>
          </cell>
          <cell r="AJ349" t="str">
            <v>LP</v>
          </cell>
          <cell r="AK349" t="str">
            <v>重庆平伟 </v>
          </cell>
          <cell r="AL349" t="str">
            <v>GZM7A </v>
          </cell>
          <cell r="BB349">
            <v>-115000</v>
          </cell>
          <cell r="BC349">
            <v>-115000</v>
          </cell>
          <cell r="BE349">
            <v>0</v>
          </cell>
          <cell r="BF349">
            <v>0</v>
          </cell>
          <cell r="BG349">
            <v>0</v>
          </cell>
          <cell r="BI349">
            <v>0</v>
          </cell>
          <cell r="BJ349">
            <v>0</v>
          </cell>
        </row>
        <row r="350">
          <cell r="C350" t="str">
            <v>B018</v>
          </cell>
          <cell r="D350" t="str">
            <v>-</v>
          </cell>
          <cell r="E350" t="str">
            <v>Window Lift Assemblies/Regulators</v>
          </cell>
          <cell r="F350" t="str">
            <v>玻璃升降器</v>
          </cell>
          <cell r="G350" t="str">
            <v>B</v>
          </cell>
          <cell r="H350" t="str">
            <v>PMT1</v>
          </cell>
          <cell r="I350" t="str">
            <v>TH</v>
          </cell>
          <cell r="J350" t="str">
            <v>JD8B </v>
          </cell>
          <cell r="K350" t="str">
            <v>F23200</v>
          </cell>
          <cell r="L350" t="str">
            <v>BA</v>
          </cell>
          <cell r="M350" t="str">
            <v>JD8B -F23200-BA</v>
          </cell>
          <cell r="O350" t="str">
            <v>NA</v>
          </cell>
          <cell r="P350" t="str">
            <v>孔斌</v>
          </cell>
          <cell r="Q350" t="str">
            <v>刘哲谦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1</v>
          </cell>
          <cell r="Z350">
            <v>1</v>
          </cell>
          <cell r="AA350">
            <v>0.1</v>
          </cell>
          <cell r="AC350">
            <v>-136.69999999999999</v>
          </cell>
          <cell r="AD350">
            <v>-1.1200000000000001</v>
          </cell>
          <cell r="AE350">
            <v>-2.2599999999999998</v>
          </cell>
          <cell r="AF350">
            <v>-0.99</v>
          </cell>
          <cell r="AG350">
            <v>0</v>
          </cell>
          <cell r="AH350">
            <v>-141.07</v>
          </cell>
          <cell r="AI350" t="str">
            <v>CNY</v>
          </cell>
          <cell r="AJ350" t="str">
            <v>LP</v>
          </cell>
          <cell r="AK350" t="str">
            <v>重庆博泽 </v>
          </cell>
          <cell r="AL350" t="str">
            <v>GL6TA </v>
          </cell>
          <cell r="BB350">
            <v>-180000</v>
          </cell>
          <cell r="BC350">
            <v>-180000</v>
          </cell>
          <cell r="BE350">
            <v>0</v>
          </cell>
          <cell r="BF350">
            <v>0</v>
          </cell>
          <cell r="BG350">
            <v>0</v>
          </cell>
          <cell r="BI350">
            <v>-1532714</v>
          </cell>
          <cell r="BJ350">
            <v>1548196</v>
          </cell>
        </row>
        <row r="351">
          <cell r="C351" t="str">
            <v>B018</v>
          </cell>
          <cell r="D351" t="str">
            <v>-</v>
          </cell>
          <cell r="E351" t="str">
            <v>Window Lift Assemblies/Regulators</v>
          </cell>
          <cell r="F351" t="str">
            <v>玻璃升降器</v>
          </cell>
          <cell r="G351" t="str">
            <v>B</v>
          </cell>
          <cell r="H351" t="str">
            <v>PMT1</v>
          </cell>
          <cell r="I351" t="str">
            <v>TH</v>
          </cell>
          <cell r="J351" t="str">
            <v>JD8B </v>
          </cell>
          <cell r="K351" t="str">
            <v>F23201</v>
          </cell>
          <cell r="L351" t="str">
            <v>BA</v>
          </cell>
          <cell r="M351" t="str">
            <v>JD8B -F23201-BA</v>
          </cell>
          <cell r="O351" t="str">
            <v>NA</v>
          </cell>
          <cell r="P351" t="str">
            <v>孔斌</v>
          </cell>
          <cell r="Q351" t="str">
            <v>刘哲谦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1</v>
          </cell>
          <cell r="Z351">
            <v>1</v>
          </cell>
          <cell r="AA351">
            <v>0.1</v>
          </cell>
          <cell r="AC351">
            <v>-136.69999999999999</v>
          </cell>
          <cell r="AD351">
            <v>-1.1200000000000001</v>
          </cell>
          <cell r="AE351">
            <v>-2.2599999999999998</v>
          </cell>
          <cell r="AF351">
            <v>-0.99</v>
          </cell>
          <cell r="AG351">
            <v>0</v>
          </cell>
          <cell r="AH351">
            <v>-141.07</v>
          </cell>
          <cell r="AI351" t="str">
            <v>CNY</v>
          </cell>
          <cell r="AJ351" t="str">
            <v>LP</v>
          </cell>
          <cell r="AK351" t="str">
            <v>重庆博泽 </v>
          </cell>
          <cell r="AL351" t="str">
            <v>GL6TA </v>
          </cell>
          <cell r="BB351">
            <v>0</v>
          </cell>
          <cell r="BC351">
            <v>0</v>
          </cell>
          <cell r="BE351">
            <v>0</v>
          </cell>
          <cell r="BF351">
            <v>0</v>
          </cell>
          <cell r="BG351">
            <v>0</v>
          </cell>
          <cell r="BI351">
            <v>-1532714</v>
          </cell>
          <cell r="BJ351">
            <v>1548196</v>
          </cell>
        </row>
        <row r="352">
          <cell r="C352" t="str">
            <v>E092</v>
          </cell>
          <cell r="D352" t="str">
            <v>E092</v>
          </cell>
          <cell r="E352" t="str">
            <v>Sunroof switch</v>
          </cell>
          <cell r="F352" t="str">
            <v>天窗开关</v>
          </cell>
          <cell r="G352" t="str">
            <v>B</v>
          </cell>
          <cell r="H352" t="str">
            <v>PMT5</v>
          </cell>
          <cell r="I352" t="str">
            <v>TH</v>
          </cell>
          <cell r="J352" t="str">
            <v>JD8T</v>
          </cell>
          <cell r="K352" t="str">
            <v>14529 </v>
          </cell>
          <cell r="L352" t="str">
            <v>BA</v>
          </cell>
          <cell r="M352" t="str">
            <v>JD8T-14529 -BA</v>
          </cell>
          <cell r="O352" t="str">
            <v>NA</v>
          </cell>
          <cell r="P352" t="str">
            <v>肖裔理</v>
          </cell>
          <cell r="Q352" t="str">
            <v>姜燕</v>
          </cell>
          <cell r="S352">
            <v>0</v>
          </cell>
          <cell r="T352">
            <v>0</v>
          </cell>
          <cell r="U352">
            <v>1</v>
          </cell>
          <cell r="V352">
            <v>1</v>
          </cell>
          <cell r="W352">
            <v>1</v>
          </cell>
          <cell r="X352">
            <v>1</v>
          </cell>
          <cell r="Y352">
            <v>1</v>
          </cell>
          <cell r="Z352">
            <v>1</v>
          </cell>
          <cell r="AA352">
            <v>0.70000000000000007</v>
          </cell>
          <cell r="AC352">
            <v>-12.28</v>
          </cell>
          <cell r="AD352">
            <v>-0.1</v>
          </cell>
          <cell r="AE352">
            <v>0</v>
          </cell>
          <cell r="AF352">
            <v>0</v>
          </cell>
          <cell r="AG352">
            <v>0</v>
          </cell>
          <cell r="AH352">
            <v>-12.379999999999999</v>
          </cell>
          <cell r="AI352" t="str">
            <v>CNY</v>
          </cell>
          <cell r="AJ352" t="str">
            <v>LP</v>
          </cell>
          <cell r="AK352" t="str">
            <v>上海科世达 </v>
          </cell>
          <cell r="AL352" t="str">
            <v>ECBRA </v>
          </cell>
          <cell r="BB352">
            <v>0</v>
          </cell>
          <cell r="BC352">
            <v>0</v>
          </cell>
          <cell r="BE352">
            <v>0</v>
          </cell>
          <cell r="BF352">
            <v>0</v>
          </cell>
          <cell r="BG352">
            <v>0</v>
          </cell>
          <cell r="BI352">
            <v>0</v>
          </cell>
          <cell r="BJ352">
            <v>0</v>
          </cell>
        </row>
        <row r="353">
          <cell r="C353" t="str">
            <v>E050</v>
          </cell>
          <cell r="D353" t="str">
            <v>-</v>
          </cell>
          <cell r="E353" t="str">
            <v>Power Window Switches System</v>
          </cell>
          <cell r="F353" t="str">
            <v>单个车窗开关-副驾驶</v>
          </cell>
          <cell r="G353" t="str">
            <v>B</v>
          </cell>
          <cell r="H353" t="str">
            <v>PMT5</v>
          </cell>
          <cell r="I353" t="str">
            <v>TH</v>
          </cell>
          <cell r="J353" t="str">
            <v>JD8T</v>
          </cell>
          <cell r="K353" t="str">
            <v>14529 </v>
          </cell>
          <cell r="L353" t="str">
            <v>AA</v>
          </cell>
          <cell r="M353" t="str">
            <v>JD8T-14529 -AA</v>
          </cell>
          <cell r="O353" t="str">
            <v>NA</v>
          </cell>
          <cell r="P353" t="str">
            <v>肖裔理</v>
          </cell>
          <cell r="Q353" t="str">
            <v>姜燕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</v>
          </cell>
          <cell r="Z353">
            <v>1</v>
          </cell>
          <cell r="AA353">
            <v>0.1</v>
          </cell>
          <cell r="AC353">
            <v>-15.84</v>
          </cell>
          <cell r="AD353">
            <v>-0.1</v>
          </cell>
          <cell r="AE353">
            <v>0</v>
          </cell>
          <cell r="AF353">
            <v>0</v>
          </cell>
          <cell r="AG353">
            <v>-8.6999999999999993</v>
          </cell>
          <cell r="AH353">
            <v>-24.64</v>
          </cell>
          <cell r="AI353" t="str">
            <v>CNY</v>
          </cell>
          <cell r="AJ353" t="str">
            <v>LP</v>
          </cell>
          <cell r="AK353" t="str">
            <v>上海科世达 </v>
          </cell>
          <cell r="AL353" t="str">
            <v>ECBRA </v>
          </cell>
          <cell r="BB353">
            <v>-150000</v>
          </cell>
          <cell r="BC353">
            <v>-150000</v>
          </cell>
          <cell r="BE353">
            <v>0</v>
          </cell>
          <cell r="BF353">
            <v>0</v>
          </cell>
          <cell r="BG353">
            <v>0</v>
          </cell>
          <cell r="BI353">
            <v>0</v>
          </cell>
          <cell r="BJ353">
            <v>0</v>
          </cell>
        </row>
        <row r="354">
          <cell r="C354" t="str">
            <v>E050</v>
          </cell>
          <cell r="D354" t="str">
            <v>E050</v>
          </cell>
          <cell r="E354" t="str">
            <v>Power Window Switches System</v>
          </cell>
          <cell r="F354" t="str">
            <v>主电动车窗开关</v>
          </cell>
          <cell r="G354" t="str">
            <v>B</v>
          </cell>
          <cell r="H354" t="str">
            <v>PMT5</v>
          </cell>
          <cell r="I354" t="str">
            <v>TH</v>
          </cell>
          <cell r="J354" t="str">
            <v>JD8T</v>
          </cell>
          <cell r="K354">
            <v>14540</v>
          </cell>
          <cell r="L354" t="str">
            <v>AA</v>
          </cell>
          <cell r="M354" t="str">
            <v>JD8T-14540-AA</v>
          </cell>
          <cell r="O354" t="str">
            <v>NA</v>
          </cell>
          <cell r="P354" t="str">
            <v>肖裔理</v>
          </cell>
          <cell r="Q354" t="str">
            <v>邬栋海(dwu36),</v>
          </cell>
          <cell r="U354">
            <v>1</v>
          </cell>
          <cell r="V354">
            <v>1</v>
          </cell>
          <cell r="W354">
            <v>1</v>
          </cell>
          <cell r="X354">
            <v>1</v>
          </cell>
          <cell r="AA354">
            <v>0.6</v>
          </cell>
          <cell r="AC354">
            <v>-78.23</v>
          </cell>
          <cell r="AD354">
            <v>-0.5</v>
          </cell>
          <cell r="AE354">
            <v>0</v>
          </cell>
          <cell r="AF354">
            <v>-0.39</v>
          </cell>
          <cell r="AG354">
            <v>0</v>
          </cell>
          <cell r="AH354">
            <v>-79.12</v>
          </cell>
          <cell r="AI354" t="str">
            <v>CNY</v>
          </cell>
          <cell r="AJ354" t="str">
            <v>LP</v>
          </cell>
          <cell r="AK354" t="str">
            <v>上海科世达 </v>
          </cell>
          <cell r="AL354" t="str">
            <v>ECBRA </v>
          </cell>
          <cell r="BB354">
            <v>0</v>
          </cell>
          <cell r="BC354">
            <v>0</v>
          </cell>
          <cell r="BE354">
            <v>0</v>
          </cell>
          <cell r="BF354">
            <v>0</v>
          </cell>
          <cell r="BI354">
            <v>-607100</v>
          </cell>
          <cell r="BJ354">
            <v>1548196</v>
          </cell>
        </row>
        <row r="355">
          <cell r="C355" t="str">
            <v>E050</v>
          </cell>
          <cell r="D355" t="str">
            <v>-</v>
          </cell>
          <cell r="E355" t="str">
            <v>Power Window Switches System</v>
          </cell>
          <cell r="H355" t="str">
            <v>PMT2</v>
          </cell>
          <cell r="I355" t="str">
            <v>TH</v>
          </cell>
          <cell r="J355" t="str">
            <v>JD8T</v>
          </cell>
          <cell r="K355">
            <v>14540</v>
          </cell>
          <cell r="L355" t="str">
            <v>CA</v>
          </cell>
          <cell r="M355" t="str">
            <v>JD8T-14540-CA</v>
          </cell>
          <cell r="P355" t="str">
            <v>肖裔理</v>
          </cell>
          <cell r="Q355" t="str">
            <v>邬栋海(dwu36),</v>
          </cell>
          <cell r="S355">
            <v>1</v>
          </cell>
          <cell r="T355">
            <v>1</v>
          </cell>
          <cell r="AA355">
            <v>0.30000000000000004</v>
          </cell>
          <cell r="AC355">
            <v>-74.36</v>
          </cell>
          <cell r="AD355">
            <v>-0.5</v>
          </cell>
          <cell r="AE355">
            <v>0</v>
          </cell>
          <cell r="AF355">
            <v>-0.39</v>
          </cell>
          <cell r="AG355">
            <v>0</v>
          </cell>
          <cell r="AH355">
            <v>-75.25</v>
          </cell>
          <cell r="AI355" t="str">
            <v>CNY</v>
          </cell>
          <cell r="AJ355" t="str">
            <v>LP</v>
          </cell>
          <cell r="AK355" t="str">
            <v>上海科世达 </v>
          </cell>
          <cell r="AL355" t="str">
            <v>ECBRA </v>
          </cell>
        </row>
        <row r="356">
          <cell r="C356" t="str">
            <v>IT8</v>
          </cell>
          <cell r="D356" t="str">
            <v>IT8</v>
          </cell>
          <cell r="E356" t="str">
            <v>Power Window Switches System</v>
          </cell>
          <cell r="H356" t="str">
            <v>PMT2</v>
          </cell>
          <cell r="I356" t="str">
            <v>TH</v>
          </cell>
          <cell r="J356" t="str">
            <v>ED8B </v>
          </cell>
          <cell r="K356" t="str">
            <v>F237W20 </v>
          </cell>
          <cell r="L356" t="str">
            <v>AEW </v>
          </cell>
          <cell r="M356" t="str">
            <v>ED8B -F237W20 -AEW </v>
          </cell>
          <cell r="P356" t="str">
            <v>范叶嘉(yfan29)</v>
          </cell>
          <cell r="Q356" t="str">
            <v>张光辉(gzhang23)</v>
          </cell>
          <cell r="U356">
            <v>1</v>
          </cell>
          <cell r="V356">
            <v>1</v>
          </cell>
          <cell r="W356">
            <v>1</v>
          </cell>
          <cell r="X356">
            <v>1</v>
          </cell>
          <cell r="Y356">
            <v>1</v>
          </cell>
          <cell r="Z356">
            <v>1</v>
          </cell>
          <cell r="AA356">
            <v>0.70000000000000007</v>
          </cell>
          <cell r="AC356">
            <v>-6.98</v>
          </cell>
          <cell r="AD356">
            <v>-0.14000000000000001</v>
          </cell>
          <cell r="AE356">
            <v>0</v>
          </cell>
          <cell r="AF356">
            <v>0</v>
          </cell>
          <cell r="AG356">
            <v>0</v>
          </cell>
          <cell r="AH356">
            <v>-7.12</v>
          </cell>
          <cell r="AI356" t="str">
            <v>CNY</v>
          </cell>
          <cell r="AJ356" t="str">
            <v>LP</v>
          </cell>
          <cell r="AK356" t="str">
            <v>重庆光能佛吉亚</v>
          </cell>
          <cell r="AL356" t="str">
            <v>GJ7UA</v>
          </cell>
        </row>
        <row r="357">
          <cell r="C357" t="str">
            <v>IT8</v>
          </cell>
          <cell r="D357" t="str">
            <v>IT8</v>
          </cell>
          <cell r="E357" t="str">
            <v>Power Window Switches System</v>
          </cell>
          <cell r="H357" t="str">
            <v>PMT2</v>
          </cell>
          <cell r="I357" t="str">
            <v>TH</v>
          </cell>
          <cell r="J357" t="str">
            <v>ED8B </v>
          </cell>
          <cell r="K357" t="str">
            <v>F237W21</v>
          </cell>
          <cell r="L357" t="str">
            <v>AEW </v>
          </cell>
          <cell r="M357" t="str">
            <v>ED8B -F237W21-AEW </v>
          </cell>
          <cell r="P357" t="str">
            <v>范叶嘉(yfan29)</v>
          </cell>
          <cell r="Q357" t="str">
            <v>张光辉(gzhang23)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0.70000000000000007</v>
          </cell>
          <cell r="AC357">
            <v>-6.98</v>
          </cell>
          <cell r="AD357">
            <v>-0.14000000000000001</v>
          </cell>
          <cell r="AE357">
            <v>0</v>
          </cell>
          <cell r="AF357">
            <v>0</v>
          </cell>
          <cell r="AG357">
            <v>0</v>
          </cell>
          <cell r="AH357">
            <v>-7.12</v>
          </cell>
          <cell r="AI357" t="str">
            <v>CNY</v>
          </cell>
          <cell r="AJ357" t="str">
            <v>LP</v>
          </cell>
          <cell r="AK357" t="str">
            <v>重庆光能佛吉亚</v>
          </cell>
          <cell r="AL357" t="str">
            <v>GJ7UA</v>
          </cell>
        </row>
        <row r="358">
          <cell r="C358" t="str">
            <v>IT8</v>
          </cell>
          <cell r="D358" t="str">
            <v>IT8</v>
          </cell>
          <cell r="E358" t="str">
            <v>Power Window Switches System</v>
          </cell>
          <cell r="H358" t="str">
            <v>PMT2</v>
          </cell>
          <cell r="I358" t="str">
            <v>TH</v>
          </cell>
          <cell r="J358" t="str">
            <v>ED8B </v>
          </cell>
          <cell r="K358" t="str">
            <v>F240A40</v>
          </cell>
          <cell r="L358" t="str">
            <v>ADW</v>
          </cell>
          <cell r="M358" t="str">
            <v>ED8B -F240A40-ADW</v>
          </cell>
          <cell r="P358" t="str">
            <v>范叶嘉(yfan29)</v>
          </cell>
          <cell r="Q358" t="str">
            <v>张光辉(gzhang23)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AA358">
            <v>0.6</v>
          </cell>
          <cell r="AC358">
            <v>-7.45</v>
          </cell>
          <cell r="AD358">
            <v>-0.14000000000000001</v>
          </cell>
          <cell r="AE358">
            <v>0</v>
          </cell>
          <cell r="AF358">
            <v>0</v>
          </cell>
          <cell r="AG358">
            <v>0</v>
          </cell>
          <cell r="AH358">
            <v>-7.59</v>
          </cell>
          <cell r="AI358" t="str">
            <v>CNY</v>
          </cell>
          <cell r="AJ358" t="str">
            <v>LP</v>
          </cell>
          <cell r="AK358" t="str">
            <v>重庆光能佛吉亚</v>
          </cell>
          <cell r="AL358" t="str">
            <v>GJ7UA</v>
          </cell>
        </row>
        <row r="359">
          <cell r="C359" t="str">
            <v>IT8</v>
          </cell>
          <cell r="D359" t="str">
            <v>IT8</v>
          </cell>
          <cell r="E359" t="str">
            <v>Power Window Switches System</v>
          </cell>
          <cell r="H359" t="str">
            <v>PMT2</v>
          </cell>
          <cell r="I359" t="str">
            <v>TH</v>
          </cell>
          <cell r="J359" t="str">
            <v>JD8B</v>
          </cell>
          <cell r="K359" t="str">
            <v>F240A41</v>
          </cell>
          <cell r="L359" t="str">
            <v>AAW</v>
          </cell>
          <cell r="M359" t="str">
            <v>JD8B-F240A41-AAW</v>
          </cell>
          <cell r="P359" t="str">
            <v>范叶嘉(yfan29)</v>
          </cell>
          <cell r="Q359" t="str">
            <v>张光辉(gzhang23)</v>
          </cell>
          <cell r="U359">
            <v>1</v>
          </cell>
          <cell r="V359">
            <v>1</v>
          </cell>
          <cell r="W359">
            <v>1</v>
          </cell>
          <cell r="X359">
            <v>1</v>
          </cell>
          <cell r="AA359">
            <v>0.6</v>
          </cell>
          <cell r="AC359">
            <v>-9.01</v>
          </cell>
          <cell r="AD359">
            <v>-0.14000000000000001</v>
          </cell>
          <cell r="AE359">
            <v>0</v>
          </cell>
          <cell r="AF359">
            <v>0</v>
          </cell>
          <cell r="AG359">
            <v>0</v>
          </cell>
          <cell r="AH359">
            <v>-9.15</v>
          </cell>
          <cell r="AI359" t="str">
            <v>CNY</v>
          </cell>
          <cell r="AJ359" t="str">
            <v>LP</v>
          </cell>
          <cell r="AK359" t="str">
            <v>重庆光能佛吉亚</v>
          </cell>
          <cell r="AL359" t="str">
            <v>GJ7UA</v>
          </cell>
        </row>
        <row r="360">
          <cell r="C360" t="str">
            <v>IT8</v>
          </cell>
          <cell r="D360" t="str">
            <v>-</v>
          </cell>
          <cell r="E360" t="str">
            <v>Power Window Switches System</v>
          </cell>
          <cell r="H360" t="str">
            <v>PMT2</v>
          </cell>
          <cell r="I360" t="str">
            <v>TH</v>
          </cell>
          <cell r="J360" t="str">
            <v>JD8B</v>
          </cell>
          <cell r="K360" t="str">
            <v>F240A41</v>
          </cell>
          <cell r="L360" t="str">
            <v>CAW</v>
          </cell>
          <cell r="M360" t="str">
            <v>JD8B-F240A41-CAW</v>
          </cell>
          <cell r="P360" t="str">
            <v>范叶嘉(yfan29)</v>
          </cell>
          <cell r="Q360" t="str">
            <v>张光辉(gzhang23)</v>
          </cell>
          <cell r="S360">
            <v>1</v>
          </cell>
          <cell r="T360">
            <v>1</v>
          </cell>
          <cell r="AA360">
            <v>0.30000000000000004</v>
          </cell>
          <cell r="AC360">
            <v>-9.01</v>
          </cell>
          <cell r="AD360">
            <v>-0.14000000000000001</v>
          </cell>
          <cell r="AE360">
            <v>0</v>
          </cell>
          <cell r="AF360">
            <v>0</v>
          </cell>
          <cell r="AG360">
            <v>0</v>
          </cell>
          <cell r="AH360">
            <v>-9.15</v>
          </cell>
          <cell r="AI360" t="str">
            <v>CNY</v>
          </cell>
          <cell r="AJ360" t="str">
            <v>LP</v>
          </cell>
          <cell r="AK360" t="str">
            <v>重庆光能佛吉亚</v>
          </cell>
          <cell r="AL360" t="str">
            <v>GJ7UA</v>
          </cell>
        </row>
        <row r="361">
          <cell r="C361" t="str">
            <v>B041</v>
          </cell>
          <cell r="D361" t="str">
            <v>B041</v>
          </cell>
          <cell r="E361" t="str">
            <v>Stamping_outsource stamping &amp; welding assy-chunk 1</v>
          </cell>
          <cell r="F361" t="str">
            <v>前暖风室总成</v>
          </cell>
          <cell r="G361" t="str">
            <v>D</v>
          </cell>
          <cell r="H361" t="str">
            <v>BIW</v>
          </cell>
          <cell r="I361" t="str">
            <v>PF</v>
          </cell>
          <cell r="J361" t="str">
            <v>JD8B</v>
          </cell>
          <cell r="K361" t="str">
            <v>18B260</v>
          </cell>
          <cell r="L361" t="str">
            <v>AB</v>
          </cell>
          <cell r="M361" t="str">
            <v>JD8B-18B260-AB</v>
          </cell>
          <cell r="O361" t="str">
            <v>NA</v>
          </cell>
          <cell r="P361" t="str">
            <v>魏晓伟</v>
          </cell>
          <cell r="Q361" t="str">
            <v>丁敏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  <cell r="Y361">
            <v>1</v>
          </cell>
          <cell r="Z361">
            <v>1</v>
          </cell>
          <cell r="AA361">
            <v>1</v>
          </cell>
          <cell r="AC361">
            <v>-65.88</v>
          </cell>
          <cell r="AD361">
            <v>-2.80000000000001</v>
          </cell>
          <cell r="AH361">
            <v>-68.680000000000007</v>
          </cell>
          <cell r="AI361" t="str">
            <v>CNY</v>
          </cell>
          <cell r="AJ361" t="str">
            <v>LP</v>
          </cell>
          <cell r="AK361" t="str">
            <v>重庆联伟 </v>
          </cell>
          <cell r="AL361" t="str">
            <v>EHDAA </v>
          </cell>
          <cell r="BB361">
            <v>-196304</v>
          </cell>
          <cell r="BC361">
            <v>-196304</v>
          </cell>
          <cell r="BI361">
            <v>0</v>
          </cell>
          <cell r="BJ361">
            <v>0</v>
          </cell>
        </row>
        <row r="362">
          <cell r="C362" t="str">
            <v>B044</v>
          </cell>
          <cell r="D362" t="str">
            <v>B044</v>
          </cell>
          <cell r="E362" t="str">
            <v>Stamping_outsource stamping &amp; welding assy-chunk 12</v>
          </cell>
          <cell r="F362" t="str">
            <v>雨刮支架</v>
          </cell>
          <cell r="G362" t="str">
            <v>D</v>
          </cell>
          <cell r="H362" t="str">
            <v>BIW</v>
          </cell>
          <cell r="I362" t="str">
            <v>PF</v>
          </cell>
          <cell r="J362" t="str">
            <v>JD8B</v>
          </cell>
          <cell r="K362" t="str">
            <v>F17496</v>
          </cell>
          <cell r="L362" t="str">
            <v>AB</v>
          </cell>
          <cell r="M362" t="str">
            <v>JD8B-F17496-AB</v>
          </cell>
          <cell r="O362" t="str">
            <v>NA</v>
          </cell>
          <cell r="P362" t="str">
            <v>陈刚</v>
          </cell>
          <cell r="Q362" t="str">
            <v>丁敏</v>
          </cell>
          <cell r="S362">
            <v>1</v>
          </cell>
          <cell r="T362">
            <v>1</v>
          </cell>
          <cell r="U362">
            <v>1</v>
          </cell>
          <cell r="V362">
            <v>1</v>
          </cell>
          <cell r="W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C362">
            <v>-2.63</v>
          </cell>
          <cell r="AD362">
            <v>-0.18</v>
          </cell>
          <cell r="AE362">
            <v>-0.27</v>
          </cell>
          <cell r="AF362">
            <v>0</v>
          </cell>
          <cell r="AG362">
            <v>0</v>
          </cell>
          <cell r="AH362">
            <v>-3.08</v>
          </cell>
          <cell r="AI362" t="str">
            <v>CNY</v>
          </cell>
          <cell r="AJ362" t="str">
            <v>LP</v>
          </cell>
          <cell r="AK362" t="str">
            <v>重庆百能达普什 </v>
          </cell>
          <cell r="AL362" t="str">
            <v>GK18A </v>
          </cell>
          <cell r="BB362">
            <v>-435787</v>
          </cell>
          <cell r="BC362">
            <v>-435787</v>
          </cell>
          <cell r="BI362">
            <v>0</v>
          </cell>
          <cell r="BJ362">
            <v>0</v>
          </cell>
        </row>
        <row r="363">
          <cell r="C363" t="str">
            <v>B044</v>
          </cell>
          <cell r="D363" t="str">
            <v>B044</v>
          </cell>
          <cell r="E363" t="str">
            <v>Stamping_outsource stamping &amp; welding assy-chunk 12</v>
          </cell>
          <cell r="F363" t="str">
            <v>雨刮支架</v>
          </cell>
          <cell r="G363" t="str">
            <v>D</v>
          </cell>
          <cell r="H363" t="str">
            <v>BIW</v>
          </cell>
          <cell r="I363" t="str">
            <v>PF</v>
          </cell>
          <cell r="J363" t="str">
            <v>JD8B</v>
          </cell>
          <cell r="K363" t="str">
            <v>F17497</v>
          </cell>
          <cell r="L363" t="str">
            <v>AA</v>
          </cell>
          <cell r="M363" t="str">
            <v>JD8B-F17497-AA</v>
          </cell>
          <cell r="O363" t="str">
            <v>NA</v>
          </cell>
          <cell r="P363" t="str">
            <v>陈刚</v>
          </cell>
          <cell r="Q363" t="str">
            <v>丁敏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C363">
            <v>-1.59</v>
          </cell>
          <cell r="AD363">
            <v>-0.18</v>
          </cell>
          <cell r="AE363">
            <v>-0.28000000000000003</v>
          </cell>
          <cell r="AF363">
            <v>0</v>
          </cell>
          <cell r="AG363">
            <v>0</v>
          </cell>
          <cell r="AH363">
            <v>-2.0499999999999998</v>
          </cell>
          <cell r="AI363" t="str">
            <v>CNY</v>
          </cell>
          <cell r="AJ363" t="str">
            <v>LP</v>
          </cell>
          <cell r="AK363" t="str">
            <v>重庆百能达普什 </v>
          </cell>
          <cell r="AL363" t="str">
            <v>GK18A </v>
          </cell>
          <cell r="BB363">
            <v>-411873</v>
          </cell>
          <cell r="BC363">
            <v>-411873</v>
          </cell>
          <cell r="BE363">
            <v>0</v>
          </cell>
          <cell r="BF363">
            <v>0</v>
          </cell>
          <cell r="BG363">
            <v>0</v>
          </cell>
          <cell r="BI363">
            <v>0</v>
          </cell>
          <cell r="BJ363">
            <v>0</v>
          </cell>
        </row>
        <row r="364">
          <cell r="C364" t="str">
            <v>IT01-2</v>
          </cell>
          <cell r="D364" t="str">
            <v>IT01-2</v>
          </cell>
          <cell r="E364" t="str">
            <v>Seat Belts-Rear</v>
          </cell>
          <cell r="F364" t="str">
            <v>后安全带</v>
          </cell>
          <cell r="G364" t="str">
            <v>B</v>
          </cell>
          <cell r="H364" t="str">
            <v>PMT2</v>
          </cell>
          <cell r="I364" t="str">
            <v>TH</v>
          </cell>
          <cell r="J364" t="str">
            <v>JD8B</v>
          </cell>
          <cell r="K364" t="str">
            <v>611B64</v>
          </cell>
          <cell r="L364" t="str">
            <v>AAW</v>
          </cell>
          <cell r="M364" t="str">
            <v>JD8B-611B64-AAW</v>
          </cell>
          <cell r="O364" t="str">
            <v>NA</v>
          </cell>
          <cell r="P364" t="str">
            <v>张鸿春</v>
          </cell>
          <cell r="Q364" t="str">
            <v>张兴华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W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C364">
            <v>-56.45</v>
          </cell>
          <cell r="AD364">
            <v>-0.55000000000000004</v>
          </cell>
          <cell r="AE364">
            <v>-0.35</v>
          </cell>
          <cell r="AF364">
            <v>-0.18</v>
          </cell>
          <cell r="AG364">
            <v>-0.2</v>
          </cell>
          <cell r="AH364">
            <v>-57.730000000000004</v>
          </cell>
          <cell r="AI364" t="str">
            <v>CNY</v>
          </cell>
          <cell r="AJ364" t="str">
            <v>LP</v>
          </cell>
          <cell r="AK364" t="str">
            <v>上海延锋百利得 </v>
          </cell>
          <cell r="AL364" t="str">
            <v>EP4TA </v>
          </cell>
          <cell r="BB364">
            <v>0</v>
          </cell>
          <cell r="BC364">
            <v>0</v>
          </cell>
          <cell r="BE364">
            <v>-113680</v>
          </cell>
          <cell r="BF364">
            <v>574899</v>
          </cell>
          <cell r="BG364">
            <v>0</v>
          </cell>
          <cell r="BI364">
            <v>-282250</v>
          </cell>
          <cell r="BJ364">
            <v>1600000</v>
          </cell>
        </row>
        <row r="365">
          <cell r="C365" t="str">
            <v>IT01-2</v>
          </cell>
          <cell r="D365" t="str">
            <v>-</v>
          </cell>
          <cell r="E365" t="str">
            <v>Seat Belts-Rear</v>
          </cell>
          <cell r="F365" t="str">
            <v>后安全带</v>
          </cell>
          <cell r="G365" t="str">
            <v>B</v>
          </cell>
          <cell r="H365" t="str">
            <v>PMT2</v>
          </cell>
          <cell r="I365" t="str">
            <v>TH</v>
          </cell>
          <cell r="J365" t="str">
            <v>JD8B</v>
          </cell>
          <cell r="K365" t="str">
            <v>611B68</v>
          </cell>
          <cell r="L365" t="str">
            <v>ABW</v>
          </cell>
          <cell r="M365" t="str">
            <v>JD8B-611B68-ABW</v>
          </cell>
          <cell r="O365" t="str">
            <v>NA</v>
          </cell>
          <cell r="P365" t="str">
            <v>张鸿春</v>
          </cell>
          <cell r="Q365" t="str">
            <v>张兴华</v>
          </cell>
          <cell r="S365">
            <v>0</v>
          </cell>
          <cell r="T365">
            <v>0</v>
          </cell>
          <cell r="U365">
            <v>0</v>
          </cell>
          <cell r="V365">
            <v>1</v>
          </cell>
          <cell r="W365">
            <v>0</v>
          </cell>
          <cell r="X365">
            <v>0</v>
          </cell>
          <cell r="Y365">
            <v>1</v>
          </cell>
          <cell r="Z365">
            <v>1</v>
          </cell>
          <cell r="AA365">
            <v>0.33</v>
          </cell>
          <cell r="AC365">
            <v>-91.83</v>
          </cell>
          <cell r="AD365">
            <v>-0.45</v>
          </cell>
          <cell r="AE365">
            <v>-0.55000000000000004</v>
          </cell>
          <cell r="AF365">
            <v>-0.16</v>
          </cell>
          <cell r="AG365">
            <v>-1.49</v>
          </cell>
          <cell r="AH365">
            <v>-94.47999999999999</v>
          </cell>
          <cell r="AI365" t="str">
            <v>CNY</v>
          </cell>
          <cell r="AJ365" t="str">
            <v>LP</v>
          </cell>
          <cell r="AK365" t="str">
            <v>上海延锋百利得 </v>
          </cell>
          <cell r="AL365" t="str">
            <v>EP4TA </v>
          </cell>
          <cell r="BB365">
            <v>-300000</v>
          </cell>
          <cell r="BC365">
            <v>-300000</v>
          </cell>
          <cell r="BE365">
            <v>-385000</v>
          </cell>
          <cell r="BF365">
            <v>258705</v>
          </cell>
          <cell r="BG365">
            <v>0</v>
          </cell>
          <cell r="BI365">
            <v>-519660</v>
          </cell>
          <cell r="BJ365">
            <v>3200000</v>
          </cell>
        </row>
        <row r="366">
          <cell r="C366" t="str">
            <v>IT01-2</v>
          </cell>
          <cell r="D366" t="str">
            <v>-</v>
          </cell>
          <cell r="E366" t="str">
            <v>Seat Belts-Rear</v>
          </cell>
          <cell r="F366" t="str">
            <v>后安全带</v>
          </cell>
          <cell r="G366" t="str">
            <v>B</v>
          </cell>
          <cell r="H366" t="str">
            <v>PMT2</v>
          </cell>
          <cell r="I366" t="str">
            <v>TH</v>
          </cell>
          <cell r="J366" t="str">
            <v>JD8B</v>
          </cell>
          <cell r="K366" t="str">
            <v>611B69</v>
          </cell>
          <cell r="L366" t="str">
            <v>ABW</v>
          </cell>
          <cell r="M366" t="str">
            <v>JD8B-611B69-ABW</v>
          </cell>
          <cell r="O366" t="str">
            <v>NA</v>
          </cell>
          <cell r="P366" t="str">
            <v>张鸿春</v>
          </cell>
          <cell r="Q366" t="str">
            <v>张兴华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1</v>
          </cell>
          <cell r="Z366">
            <v>1</v>
          </cell>
          <cell r="AA366">
            <v>0.33</v>
          </cell>
          <cell r="AC366">
            <v>-91.83</v>
          </cell>
          <cell r="AD366">
            <v>-0.45</v>
          </cell>
          <cell r="AE366">
            <v>-0.55000000000000004</v>
          </cell>
          <cell r="AF366">
            <v>-0.16</v>
          </cell>
          <cell r="AG366">
            <v>-1.49</v>
          </cell>
          <cell r="AH366">
            <v>-94.47999999999999</v>
          </cell>
          <cell r="AI366" t="str">
            <v>CNY</v>
          </cell>
          <cell r="AJ366" t="str">
            <v>LP</v>
          </cell>
          <cell r="AK366" t="str">
            <v>上海延锋百利得 </v>
          </cell>
          <cell r="AL366" t="str">
            <v>EP4TA </v>
          </cell>
          <cell r="BB366">
            <v>-300000</v>
          </cell>
          <cell r="BC366">
            <v>-300000</v>
          </cell>
          <cell r="BE366">
            <v>-385000</v>
          </cell>
          <cell r="BF366">
            <v>258705</v>
          </cell>
          <cell r="BG366">
            <v>0</v>
          </cell>
          <cell r="BI366">
            <v>-519660</v>
          </cell>
          <cell r="BJ366">
            <v>3200000</v>
          </cell>
        </row>
        <row r="367">
          <cell r="C367" t="str">
            <v>IT01-2</v>
          </cell>
          <cell r="D367" t="str">
            <v>IT01-2</v>
          </cell>
          <cell r="E367" t="str">
            <v>Seat Belts-Rear</v>
          </cell>
          <cell r="F367" t="str">
            <v>后安全带</v>
          </cell>
          <cell r="G367" t="str">
            <v>B</v>
          </cell>
          <cell r="H367" t="str">
            <v>PMT2</v>
          </cell>
          <cell r="I367" t="str">
            <v>TH</v>
          </cell>
          <cell r="J367" t="str">
            <v>JD8B</v>
          </cell>
          <cell r="K367" t="str">
            <v>613K21</v>
          </cell>
          <cell r="L367" t="str">
            <v>AAW</v>
          </cell>
          <cell r="M367" t="str">
            <v>JD8B-613K21-AAW</v>
          </cell>
          <cell r="O367" t="str">
            <v>NA</v>
          </cell>
          <cell r="P367" t="str">
            <v>张鸿春</v>
          </cell>
          <cell r="Q367" t="str">
            <v>张兴华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C367">
            <v>-31.97</v>
          </cell>
          <cell r="AD367">
            <v>-0.59</v>
          </cell>
          <cell r="AE367">
            <v>-0.3</v>
          </cell>
          <cell r="AF367">
            <v>-0.18</v>
          </cell>
          <cell r="AG367">
            <v>-0.2</v>
          </cell>
          <cell r="AH367">
            <v>-33.24</v>
          </cell>
          <cell r="AI367" t="str">
            <v>CNY</v>
          </cell>
          <cell r="AJ367" t="str">
            <v>LP</v>
          </cell>
          <cell r="AK367" t="str">
            <v>上海延锋百利得 </v>
          </cell>
          <cell r="AL367" t="str">
            <v>EP4TA </v>
          </cell>
          <cell r="BB367">
            <v>0</v>
          </cell>
          <cell r="BC367">
            <v>0</v>
          </cell>
          <cell r="BE367">
            <v>-113680</v>
          </cell>
          <cell r="BF367">
            <v>574899</v>
          </cell>
          <cell r="BG367">
            <v>0</v>
          </cell>
          <cell r="BI367">
            <v>-288375</v>
          </cell>
          <cell r="BJ367">
            <v>1600000</v>
          </cell>
        </row>
        <row r="368">
          <cell r="C368" t="str">
            <v>E014</v>
          </cell>
          <cell r="D368" t="str">
            <v>E014</v>
          </cell>
          <cell r="E368" t="str">
            <v>AC Lines</v>
          </cell>
          <cell r="F368" t="str">
            <v>空调管</v>
          </cell>
          <cell r="G368" t="str">
            <v>D</v>
          </cell>
          <cell r="H368" t="str">
            <v>PMT2</v>
          </cell>
          <cell r="I368" t="str">
            <v>PF</v>
          </cell>
          <cell r="J368" t="str">
            <v>JD8B</v>
          </cell>
          <cell r="K368" t="str">
            <v>19A834</v>
          </cell>
          <cell r="L368" t="str">
            <v>AA</v>
          </cell>
          <cell r="M368" t="str">
            <v>JD8B-19A834-AA</v>
          </cell>
          <cell r="O368" t="str">
            <v>NA</v>
          </cell>
          <cell r="P368" t="str">
            <v>李 平</v>
          </cell>
          <cell r="Q368" t="str">
            <v>于奋飞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C368">
            <v>-96.64</v>
          </cell>
          <cell r="AD368">
            <v>-1.1299999999999999</v>
          </cell>
          <cell r="AE368">
            <v>-2.23</v>
          </cell>
          <cell r="AF368">
            <v>0</v>
          </cell>
          <cell r="AG368">
            <v>0</v>
          </cell>
          <cell r="AH368">
            <v>-100</v>
          </cell>
          <cell r="AI368" t="str">
            <v>CNY</v>
          </cell>
          <cell r="AJ368" t="str">
            <v>LP</v>
          </cell>
          <cell r="AK368" t="str">
            <v>重庆南方英特空调 </v>
          </cell>
          <cell r="AL368" t="str">
            <v>CQSGA </v>
          </cell>
          <cell r="BB368">
            <v>-200000</v>
          </cell>
          <cell r="BC368">
            <v>-200000</v>
          </cell>
          <cell r="BE368">
            <v>0</v>
          </cell>
          <cell r="BF368">
            <v>0</v>
          </cell>
          <cell r="BG368">
            <v>0</v>
          </cell>
          <cell r="BI368">
            <v>0</v>
          </cell>
          <cell r="BJ368">
            <v>0</v>
          </cell>
        </row>
        <row r="369">
          <cell r="C369" t="str">
            <v>E014</v>
          </cell>
          <cell r="D369" t="str">
            <v>E014</v>
          </cell>
          <cell r="E369" t="str">
            <v>AC Lines</v>
          </cell>
          <cell r="F369" t="str">
            <v>空调管</v>
          </cell>
          <cell r="G369" t="str">
            <v>D</v>
          </cell>
          <cell r="H369" t="str">
            <v>PMT2</v>
          </cell>
          <cell r="I369" t="str">
            <v>PF</v>
          </cell>
          <cell r="J369" t="str">
            <v>JD8B</v>
          </cell>
          <cell r="K369" t="str">
            <v>19N601 </v>
          </cell>
          <cell r="L369" t="str">
            <v>AA</v>
          </cell>
          <cell r="M369" t="str">
            <v>JD8B-19N601 -AA</v>
          </cell>
          <cell r="O369" t="str">
            <v>NA</v>
          </cell>
          <cell r="P369" t="str">
            <v>李 平</v>
          </cell>
          <cell r="Q369" t="str">
            <v>于奋飞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0</v>
          </cell>
          <cell r="X369">
            <v>0</v>
          </cell>
          <cell r="Y369">
            <v>1</v>
          </cell>
          <cell r="Z369">
            <v>0</v>
          </cell>
          <cell r="AA369">
            <v>0.72000000000000008</v>
          </cell>
          <cell r="AC369">
            <v>-76.62</v>
          </cell>
          <cell r="AD369">
            <v>-0.79</v>
          </cell>
          <cell r="AE369">
            <v>-0.96</v>
          </cell>
          <cell r="AF369">
            <v>0</v>
          </cell>
          <cell r="AG369">
            <v>0</v>
          </cell>
          <cell r="AH369">
            <v>-78.37</v>
          </cell>
          <cell r="AI369" t="str">
            <v>CNY</v>
          </cell>
          <cell r="AJ369" t="str">
            <v>LP</v>
          </cell>
          <cell r="AK369" t="str">
            <v>重庆南方英特空调 </v>
          </cell>
          <cell r="AL369" t="str">
            <v>CQSGA </v>
          </cell>
          <cell r="BB369">
            <v>-40000</v>
          </cell>
          <cell r="BC369">
            <v>-40000</v>
          </cell>
          <cell r="BE369">
            <v>0</v>
          </cell>
          <cell r="BF369">
            <v>0</v>
          </cell>
          <cell r="BG369">
            <v>0</v>
          </cell>
          <cell r="BI369">
            <v>0</v>
          </cell>
          <cell r="BJ369">
            <v>0</v>
          </cell>
        </row>
        <row r="370">
          <cell r="C370" t="str">
            <v>E014</v>
          </cell>
          <cell r="D370" t="str">
            <v>-</v>
          </cell>
          <cell r="E370" t="str">
            <v>AC Lines</v>
          </cell>
          <cell r="F370" t="str">
            <v>空调管</v>
          </cell>
          <cell r="G370" t="str">
            <v>D</v>
          </cell>
          <cell r="H370" t="str">
            <v>PMT2</v>
          </cell>
          <cell r="I370" t="str">
            <v>PF</v>
          </cell>
          <cell r="J370" t="str">
            <v>JD8B</v>
          </cell>
          <cell r="K370" t="str">
            <v>19N601 </v>
          </cell>
          <cell r="L370" t="str">
            <v>BA</v>
          </cell>
          <cell r="M370" t="str">
            <v>JD8B-19N601 -BA</v>
          </cell>
          <cell r="O370" t="str">
            <v>NA</v>
          </cell>
          <cell r="P370" t="str">
            <v>李 平</v>
          </cell>
          <cell r="Q370" t="str">
            <v>于奋飞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1</v>
          </cell>
          <cell r="X370">
            <v>1</v>
          </cell>
          <cell r="Y370">
            <v>0</v>
          </cell>
          <cell r="Z370">
            <v>1</v>
          </cell>
          <cell r="AA370">
            <v>0.28000000000000003</v>
          </cell>
          <cell r="AC370">
            <v>-81.38</v>
          </cell>
          <cell r="AD370">
            <v>-0.79</v>
          </cell>
          <cell r="AE370">
            <v>-0.96</v>
          </cell>
          <cell r="AF370">
            <v>0</v>
          </cell>
          <cell r="AG370">
            <v>0</v>
          </cell>
          <cell r="AH370">
            <v>-83.13</v>
          </cell>
          <cell r="AI370" t="str">
            <v>CNY</v>
          </cell>
          <cell r="AJ370" t="str">
            <v>LP</v>
          </cell>
          <cell r="AK370" t="str">
            <v>重庆南方英特空调 </v>
          </cell>
          <cell r="AL370" t="str">
            <v>CQSGA </v>
          </cell>
          <cell r="BB370">
            <v>-50000</v>
          </cell>
          <cell r="BC370">
            <v>-50000</v>
          </cell>
          <cell r="BE370">
            <v>0</v>
          </cell>
          <cell r="BF370">
            <v>0</v>
          </cell>
          <cell r="BG370">
            <v>0</v>
          </cell>
          <cell r="BI370">
            <v>0</v>
          </cell>
          <cell r="BJ370">
            <v>0</v>
          </cell>
        </row>
        <row r="371">
          <cell r="C371" t="str">
            <v>E014</v>
          </cell>
          <cell r="D371" t="str">
            <v>E014</v>
          </cell>
          <cell r="E371" t="str">
            <v>AC Lines</v>
          </cell>
          <cell r="F371" t="str">
            <v>空调管</v>
          </cell>
          <cell r="G371" t="str">
            <v>D</v>
          </cell>
          <cell r="H371" t="str">
            <v>PMT2</v>
          </cell>
          <cell r="I371" t="str">
            <v>PF</v>
          </cell>
          <cell r="J371" t="str">
            <v>JD8B</v>
          </cell>
          <cell r="K371" t="str">
            <v>19N602 </v>
          </cell>
          <cell r="L371" t="str">
            <v>AA</v>
          </cell>
          <cell r="M371" t="str">
            <v>JD8B-19N602 -AA</v>
          </cell>
          <cell r="O371" t="str">
            <v>NA</v>
          </cell>
          <cell r="P371" t="str">
            <v>李 平</v>
          </cell>
          <cell r="Q371" t="str">
            <v>于奋飞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0</v>
          </cell>
          <cell r="X371">
            <v>0</v>
          </cell>
          <cell r="Y371">
            <v>1</v>
          </cell>
          <cell r="Z371">
            <v>0</v>
          </cell>
          <cell r="AA371">
            <v>0.72000000000000008</v>
          </cell>
          <cell r="AC371">
            <v>-50.8</v>
          </cell>
          <cell r="AD371">
            <v>-0.79</v>
          </cell>
          <cell r="AE371">
            <v>-0.96</v>
          </cell>
          <cell r="AF371">
            <v>0</v>
          </cell>
          <cell r="AG371">
            <v>0</v>
          </cell>
          <cell r="AH371">
            <v>-52.55</v>
          </cell>
          <cell r="AI371" t="str">
            <v>CNY</v>
          </cell>
          <cell r="AJ371" t="str">
            <v>LP</v>
          </cell>
          <cell r="AK371" t="str">
            <v>重庆南方英特空调 </v>
          </cell>
          <cell r="AL371" t="str">
            <v>CQSGA </v>
          </cell>
          <cell r="BB371">
            <v>-60000</v>
          </cell>
          <cell r="BC371">
            <v>-60000</v>
          </cell>
          <cell r="BE371">
            <v>0</v>
          </cell>
          <cell r="BF371">
            <v>0</v>
          </cell>
          <cell r="BG371">
            <v>0</v>
          </cell>
          <cell r="BI371">
            <v>0</v>
          </cell>
          <cell r="BJ371">
            <v>0</v>
          </cell>
        </row>
        <row r="372">
          <cell r="C372" t="str">
            <v>E014</v>
          </cell>
          <cell r="D372" t="str">
            <v>-</v>
          </cell>
          <cell r="E372" t="str">
            <v>AC Lines</v>
          </cell>
          <cell r="F372" t="str">
            <v>空调管</v>
          </cell>
          <cell r="G372" t="str">
            <v>D</v>
          </cell>
          <cell r="H372" t="str">
            <v>PMT2</v>
          </cell>
          <cell r="I372" t="str">
            <v>PF</v>
          </cell>
          <cell r="J372" t="str">
            <v>JD8B</v>
          </cell>
          <cell r="K372" t="str">
            <v>19N602 </v>
          </cell>
          <cell r="L372" t="str">
            <v>BA</v>
          </cell>
          <cell r="M372" t="str">
            <v>JD8B-19N602 -BA</v>
          </cell>
          <cell r="O372" t="str">
            <v>NA</v>
          </cell>
          <cell r="P372" t="str">
            <v>李 平</v>
          </cell>
          <cell r="Q372" t="str">
            <v>于奋飞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1</v>
          </cell>
          <cell r="X372">
            <v>1</v>
          </cell>
          <cell r="Y372">
            <v>0</v>
          </cell>
          <cell r="Z372">
            <v>1</v>
          </cell>
          <cell r="AA372">
            <v>0.28000000000000003</v>
          </cell>
          <cell r="AC372">
            <v>-51.11</v>
          </cell>
          <cell r="AD372">
            <v>-0.79</v>
          </cell>
          <cell r="AE372">
            <v>-0.96</v>
          </cell>
          <cell r="AF372">
            <v>0</v>
          </cell>
          <cell r="AG372">
            <v>0</v>
          </cell>
          <cell r="AH372">
            <v>-52.86</v>
          </cell>
          <cell r="AI372" t="str">
            <v>CNY</v>
          </cell>
          <cell r="AJ372" t="str">
            <v>LP</v>
          </cell>
          <cell r="AK372" t="str">
            <v>重庆南方英特空调 </v>
          </cell>
          <cell r="AL372" t="str">
            <v>CQSGA </v>
          </cell>
          <cell r="BB372">
            <v>-60000</v>
          </cell>
          <cell r="BC372">
            <v>-60000</v>
          </cell>
          <cell r="BE372">
            <v>0</v>
          </cell>
          <cell r="BF372">
            <v>0</v>
          </cell>
          <cell r="BG372">
            <v>0</v>
          </cell>
          <cell r="BI372">
            <v>0</v>
          </cell>
          <cell r="BJ372">
            <v>0</v>
          </cell>
        </row>
        <row r="373">
          <cell r="C373" t="str">
            <v>E014</v>
          </cell>
          <cell r="D373" t="str">
            <v>-</v>
          </cell>
          <cell r="E373" t="str">
            <v>AC Lines</v>
          </cell>
          <cell r="F373" t="str">
            <v>空调管</v>
          </cell>
          <cell r="G373" t="str">
            <v>D</v>
          </cell>
          <cell r="H373" t="str">
            <v>PMT2</v>
          </cell>
          <cell r="I373" t="str">
            <v>PF</v>
          </cell>
          <cell r="J373" t="str">
            <v>JD8B</v>
          </cell>
          <cell r="K373" t="str">
            <v>19N651 </v>
          </cell>
          <cell r="L373" t="str">
            <v>AA</v>
          </cell>
          <cell r="M373" t="str">
            <v>JD8B-19N651 -AA</v>
          </cell>
          <cell r="O373" t="str">
            <v>NA</v>
          </cell>
          <cell r="P373" t="str">
            <v>李 平</v>
          </cell>
          <cell r="Q373" t="str">
            <v>于奋飞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</v>
          </cell>
          <cell r="X373">
            <v>1</v>
          </cell>
          <cell r="Y373">
            <v>0</v>
          </cell>
          <cell r="Z373">
            <v>1</v>
          </cell>
          <cell r="AA373">
            <v>0.28000000000000003</v>
          </cell>
          <cell r="AC373">
            <v>-25.86</v>
          </cell>
          <cell r="AD373">
            <v>-0.79</v>
          </cell>
          <cell r="AE373">
            <v>-0.96</v>
          </cell>
          <cell r="AF373">
            <v>0</v>
          </cell>
          <cell r="AG373">
            <v>0</v>
          </cell>
          <cell r="AH373">
            <v>-27.61</v>
          </cell>
          <cell r="AI373" t="str">
            <v>CNY</v>
          </cell>
          <cell r="AJ373" t="str">
            <v>LP</v>
          </cell>
          <cell r="AK373" t="str">
            <v>重庆南方英特空调 </v>
          </cell>
          <cell r="AL373" t="str">
            <v>CQSGA </v>
          </cell>
          <cell r="BB373">
            <v>-40000</v>
          </cell>
          <cell r="BC373">
            <v>-40000</v>
          </cell>
          <cell r="BE373">
            <v>0</v>
          </cell>
          <cell r="BF373">
            <v>0</v>
          </cell>
          <cell r="BG373">
            <v>0</v>
          </cell>
          <cell r="BI373">
            <v>0</v>
          </cell>
          <cell r="BJ373">
            <v>0</v>
          </cell>
        </row>
        <row r="374">
          <cell r="C374" t="str">
            <v>B046</v>
          </cell>
          <cell r="D374" t="str">
            <v>B046</v>
          </cell>
          <cell r="E374" t="str">
            <v>Stamping_Outsource small stamping+METAL BRACKET</v>
          </cell>
          <cell r="F374" t="str">
            <v>翼子板加强件内构件</v>
          </cell>
          <cell r="G374" t="str">
            <v>D</v>
          </cell>
          <cell r="H374" t="str">
            <v>BIW</v>
          </cell>
          <cell r="I374" t="str">
            <v>TH</v>
          </cell>
          <cell r="J374" t="str">
            <v>JD8B</v>
          </cell>
          <cell r="K374" t="str">
            <v>F16E060</v>
          </cell>
          <cell r="L374" t="str">
            <v>AA</v>
          </cell>
          <cell r="M374" t="str">
            <v>JD8B-F16E060-AA</v>
          </cell>
          <cell r="O374" t="str">
            <v>NA</v>
          </cell>
          <cell r="S374">
            <v>1</v>
          </cell>
          <cell r="T374">
            <v>1</v>
          </cell>
          <cell r="U374">
            <v>1</v>
          </cell>
          <cell r="V374">
            <v>1</v>
          </cell>
          <cell r="W374">
            <v>1</v>
          </cell>
          <cell r="X374">
            <v>1</v>
          </cell>
          <cell r="Y374">
            <v>1</v>
          </cell>
          <cell r="Z374">
            <v>1</v>
          </cell>
          <cell r="AA374">
            <v>1</v>
          </cell>
          <cell r="AC374">
            <v>-6.86</v>
          </cell>
          <cell r="AD374">
            <v>-0.1</v>
          </cell>
          <cell r="AE374">
            <v>-0.09</v>
          </cell>
          <cell r="AF374">
            <v>0</v>
          </cell>
          <cell r="AG374">
            <v>0</v>
          </cell>
          <cell r="AH374">
            <v>-7.05</v>
          </cell>
          <cell r="AI374" t="str">
            <v>CNY</v>
          </cell>
          <cell r="AJ374" t="str">
            <v>LP</v>
          </cell>
          <cell r="AK374" t="str">
            <v>重庆港湘龙 </v>
          </cell>
          <cell r="AL374" t="str">
            <v>GGU8A </v>
          </cell>
          <cell r="BB374">
            <v>-253927</v>
          </cell>
          <cell r="BC374">
            <v>-253927</v>
          </cell>
          <cell r="BE374">
            <v>0</v>
          </cell>
          <cell r="BF374">
            <v>0</v>
          </cell>
          <cell r="BG374">
            <v>0</v>
          </cell>
        </row>
        <row r="375">
          <cell r="C375" t="str">
            <v>B046</v>
          </cell>
          <cell r="D375" t="str">
            <v>B046</v>
          </cell>
          <cell r="E375" t="str">
            <v>Stamping_Outsource small stamping+METAL BRACKET</v>
          </cell>
          <cell r="F375" t="str">
            <v>翼子板加强件内构件（左）</v>
          </cell>
          <cell r="G375" t="str">
            <v>D</v>
          </cell>
          <cell r="H375" t="str">
            <v>BIW</v>
          </cell>
          <cell r="I375" t="str">
            <v>TH</v>
          </cell>
          <cell r="J375" t="str">
            <v>JD8B</v>
          </cell>
          <cell r="K375" t="str">
            <v>F16E061</v>
          </cell>
          <cell r="L375" t="str">
            <v>AA</v>
          </cell>
          <cell r="M375" t="str">
            <v>JD8B-F16E061-AA</v>
          </cell>
          <cell r="O375" t="str">
            <v>NA</v>
          </cell>
          <cell r="S375">
            <v>1</v>
          </cell>
          <cell r="T375">
            <v>1</v>
          </cell>
          <cell r="U375">
            <v>1</v>
          </cell>
          <cell r="V375">
            <v>1</v>
          </cell>
          <cell r="W375">
            <v>1</v>
          </cell>
          <cell r="X375">
            <v>1</v>
          </cell>
          <cell r="Y375">
            <v>1</v>
          </cell>
          <cell r="Z375">
            <v>1</v>
          </cell>
          <cell r="AA375">
            <v>1</v>
          </cell>
          <cell r="AC375">
            <v>-6.86</v>
          </cell>
          <cell r="AD375">
            <v>-0.1</v>
          </cell>
          <cell r="AE375">
            <v>-0.09</v>
          </cell>
          <cell r="AF375">
            <v>0</v>
          </cell>
          <cell r="AG375">
            <v>0</v>
          </cell>
          <cell r="AH375">
            <v>-7.05</v>
          </cell>
          <cell r="AI375" t="str">
            <v>CNY</v>
          </cell>
          <cell r="AJ375" t="str">
            <v>LP</v>
          </cell>
          <cell r="AK375" t="str">
            <v>重庆港湘龙 </v>
          </cell>
          <cell r="AL375" t="str">
            <v>GGU8A </v>
          </cell>
          <cell r="BB375">
            <v>-253927</v>
          </cell>
          <cell r="BC375">
            <v>-253927</v>
          </cell>
          <cell r="BE375">
            <v>0</v>
          </cell>
          <cell r="BF375">
            <v>0</v>
          </cell>
          <cell r="BG375">
            <v>0</v>
          </cell>
        </row>
        <row r="376">
          <cell r="C376" t="str">
            <v>ET53</v>
          </cell>
          <cell r="D376" t="str">
            <v>-</v>
          </cell>
          <cell r="E376" t="str">
            <v>Wheel protective film</v>
          </cell>
          <cell r="F376" t="str">
            <v>车轮保护膜</v>
          </cell>
          <cell r="G376" t="str">
            <v>J</v>
          </cell>
          <cell r="H376" t="str">
            <v>PMT3</v>
          </cell>
          <cell r="I376" t="str">
            <v>PF</v>
          </cell>
          <cell r="J376" t="str">
            <v>BV61</v>
          </cell>
          <cell r="K376" t="str">
            <v>1A201</v>
          </cell>
          <cell r="L376" t="str">
            <v>C1A</v>
          </cell>
          <cell r="M376" t="str">
            <v>BV61-1A201-C1A</v>
          </cell>
          <cell r="O376" t="str">
            <v>NA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4</v>
          </cell>
          <cell r="Z376">
            <v>4</v>
          </cell>
          <cell r="AA376">
            <v>0.4</v>
          </cell>
          <cell r="AC376">
            <v>-3.26</v>
          </cell>
          <cell r="AD376">
            <v>-0.06</v>
          </cell>
          <cell r="AE376">
            <v>-0.03</v>
          </cell>
          <cell r="AF376">
            <v>0</v>
          </cell>
          <cell r="AG376">
            <v>0</v>
          </cell>
          <cell r="AH376">
            <v>-3.3499999999999996</v>
          </cell>
          <cell r="AI376" t="str">
            <v>CNY</v>
          </cell>
          <cell r="AJ376" t="str">
            <v>LP</v>
          </cell>
          <cell r="AK376" t="str">
            <v>重庆福德 </v>
          </cell>
          <cell r="AL376" t="str">
            <v>GMT6A </v>
          </cell>
          <cell r="BB376">
            <v>0</v>
          </cell>
          <cell r="BC376">
            <v>0</v>
          </cell>
          <cell r="BE376">
            <v>0</v>
          </cell>
          <cell r="BF376">
            <v>0</v>
          </cell>
          <cell r="BG376">
            <v>0</v>
          </cell>
          <cell r="BI376">
            <v>0</v>
          </cell>
          <cell r="BJ376">
            <v>0</v>
          </cell>
        </row>
        <row r="377">
          <cell r="C377" t="str">
            <v>ET53</v>
          </cell>
          <cell r="D377" t="str">
            <v>-</v>
          </cell>
          <cell r="E377" t="str">
            <v>Wheel protective film</v>
          </cell>
          <cell r="F377" t="str">
            <v>车轮保护膜</v>
          </cell>
          <cell r="G377" t="str">
            <v>J</v>
          </cell>
          <cell r="H377" t="str">
            <v>PMT3</v>
          </cell>
          <cell r="I377" t="str">
            <v>PF</v>
          </cell>
          <cell r="J377" t="str">
            <v>ED8C</v>
          </cell>
          <cell r="K377" t="str">
            <v>1A201</v>
          </cell>
          <cell r="L377" t="str">
            <v>AA</v>
          </cell>
          <cell r="M377" t="str">
            <v>ED8C-1A201-AA</v>
          </cell>
          <cell r="O377" t="str">
            <v>NA</v>
          </cell>
          <cell r="S377">
            <v>4</v>
          </cell>
          <cell r="T377">
            <v>4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1.2000000000000002</v>
          </cell>
          <cell r="AC377">
            <v>-3.64</v>
          </cell>
          <cell r="AD377">
            <v>-0.06</v>
          </cell>
          <cell r="AE377">
            <v>-0.03</v>
          </cell>
          <cell r="AF377">
            <v>0</v>
          </cell>
          <cell r="AG377">
            <v>0</v>
          </cell>
          <cell r="AH377">
            <v>-3.73</v>
          </cell>
          <cell r="AI377" t="str">
            <v>CNY</v>
          </cell>
          <cell r="AJ377" t="str">
            <v>LP</v>
          </cell>
          <cell r="AK377" t="str">
            <v>重庆福德 </v>
          </cell>
          <cell r="AL377" t="str">
            <v>GMT6A </v>
          </cell>
          <cell r="BB377">
            <v>0</v>
          </cell>
          <cell r="BC377">
            <v>0</v>
          </cell>
          <cell r="BE377">
            <v>0</v>
          </cell>
          <cell r="BF377">
            <v>0</v>
          </cell>
          <cell r="BG377">
            <v>0</v>
          </cell>
          <cell r="BI377">
            <v>0</v>
          </cell>
          <cell r="BJ377">
            <v>0</v>
          </cell>
        </row>
        <row r="378">
          <cell r="C378" t="str">
            <v>ET53</v>
          </cell>
          <cell r="D378" t="str">
            <v>ET53</v>
          </cell>
          <cell r="E378" t="str">
            <v>Wheel protective film</v>
          </cell>
          <cell r="F378" t="str">
            <v>车轮保护膜</v>
          </cell>
          <cell r="G378" t="str">
            <v>J</v>
          </cell>
          <cell r="H378" t="str">
            <v>PMT3</v>
          </cell>
          <cell r="I378" t="str">
            <v>PF</v>
          </cell>
          <cell r="J378" t="str">
            <v>ED8C</v>
          </cell>
          <cell r="K378" t="str">
            <v>1A201</v>
          </cell>
          <cell r="L378" t="str">
            <v>BA</v>
          </cell>
          <cell r="M378" t="str">
            <v>ED8C-1A201-BA</v>
          </cell>
          <cell r="O378" t="str">
            <v>NA</v>
          </cell>
          <cell r="S378">
            <v>0</v>
          </cell>
          <cell r="T378">
            <v>0</v>
          </cell>
          <cell r="U378">
            <v>4</v>
          </cell>
          <cell r="V378">
            <v>4</v>
          </cell>
          <cell r="W378">
            <v>4</v>
          </cell>
          <cell r="X378">
            <v>4</v>
          </cell>
          <cell r="Y378">
            <v>0</v>
          </cell>
          <cell r="Z378">
            <v>0</v>
          </cell>
          <cell r="AA378">
            <v>2.4</v>
          </cell>
          <cell r="AC378">
            <v>-3.64</v>
          </cell>
          <cell r="AD378">
            <v>-0.06</v>
          </cell>
          <cell r="AE378">
            <v>-0.03</v>
          </cell>
          <cell r="AF378">
            <v>0</v>
          </cell>
          <cell r="AG378">
            <v>0</v>
          </cell>
          <cell r="AH378">
            <v>-3.73</v>
          </cell>
          <cell r="AI378" t="str">
            <v>CNY</v>
          </cell>
          <cell r="AJ378" t="str">
            <v>LP</v>
          </cell>
          <cell r="AK378" t="str">
            <v>重庆福德 </v>
          </cell>
          <cell r="AL378" t="str">
            <v>GMT6A </v>
          </cell>
          <cell r="BB378">
            <v>0</v>
          </cell>
          <cell r="BC378">
            <v>0</v>
          </cell>
          <cell r="BE378">
            <v>0</v>
          </cell>
          <cell r="BF378">
            <v>0</v>
          </cell>
          <cell r="BG378">
            <v>0</v>
          </cell>
          <cell r="BI378">
            <v>0</v>
          </cell>
          <cell r="BJ378">
            <v>0</v>
          </cell>
        </row>
        <row r="379">
          <cell r="C379" t="str">
            <v>B044</v>
          </cell>
          <cell r="D379" t="str">
            <v>B044</v>
          </cell>
          <cell r="E379" t="str">
            <v>Stamping_outsource stamping &amp; welding assy-chunk 12</v>
          </cell>
          <cell r="F379" t="str">
            <v>前罩板总成</v>
          </cell>
          <cell r="G379" t="str">
            <v>D</v>
          </cell>
          <cell r="H379" t="str">
            <v>BIW</v>
          </cell>
          <cell r="I379" t="str">
            <v>TH</v>
          </cell>
          <cell r="J379" t="str">
            <v>JD8B</v>
          </cell>
          <cell r="K379" t="str">
            <v>F02010</v>
          </cell>
          <cell r="L379" t="str">
            <v>AA</v>
          </cell>
          <cell r="M379" t="str">
            <v>JD8B-F02010-AA</v>
          </cell>
          <cell r="O379" t="str">
            <v>NA</v>
          </cell>
          <cell r="S379">
            <v>1</v>
          </cell>
          <cell r="T379">
            <v>1</v>
          </cell>
          <cell r="U379">
            <v>1</v>
          </cell>
          <cell r="V379">
            <v>1</v>
          </cell>
          <cell r="W379">
            <v>1</v>
          </cell>
          <cell r="X379">
            <v>1</v>
          </cell>
          <cell r="Y379">
            <v>1</v>
          </cell>
          <cell r="Z379">
            <v>1</v>
          </cell>
          <cell r="AA379">
            <v>1</v>
          </cell>
          <cell r="AC379">
            <v>-30.4</v>
          </cell>
          <cell r="AD379">
            <v>-0.69</v>
          </cell>
          <cell r="AE379">
            <v>-0.86</v>
          </cell>
          <cell r="AF379">
            <v>0</v>
          </cell>
          <cell r="AG379">
            <v>0</v>
          </cell>
          <cell r="AH379">
            <v>-31.95</v>
          </cell>
          <cell r="AI379" t="str">
            <v>CNY</v>
          </cell>
          <cell r="AJ379" t="str">
            <v>LP</v>
          </cell>
          <cell r="AK379" t="str">
            <v>重庆百能达普什 </v>
          </cell>
          <cell r="AL379" t="str">
            <v>GK18A </v>
          </cell>
          <cell r="BB379">
            <v>-97254</v>
          </cell>
          <cell r="BC379">
            <v>-97254</v>
          </cell>
          <cell r="BE379">
            <v>0</v>
          </cell>
          <cell r="BF379">
            <v>0</v>
          </cell>
          <cell r="BG379">
            <v>0</v>
          </cell>
          <cell r="BI379">
            <v>0</v>
          </cell>
          <cell r="BJ379">
            <v>0</v>
          </cell>
        </row>
        <row r="380">
          <cell r="C380" t="str">
            <v>B047</v>
          </cell>
          <cell r="D380" t="str">
            <v>-</v>
          </cell>
          <cell r="E380" t="str">
            <v>EDS Bracket</v>
          </cell>
          <cell r="F380" t="str">
            <v>线束支架</v>
          </cell>
          <cell r="G380" t="str">
            <v>D</v>
          </cell>
          <cell r="H380" t="str">
            <v>PMT5</v>
          </cell>
          <cell r="I380" t="str">
            <v>TH</v>
          </cell>
          <cell r="J380" t="str">
            <v>JD8T</v>
          </cell>
          <cell r="K380" t="str">
            <v>14A301</v>
          </cell>
          <cell r="L380" t="str">
            <v>AA</v>
          </cell>
          <cell r="M380" t="str">
            <v>JD8T-14A301-AA</v>
          </cell>
          <cell r="O380" t="str">
            <v>NA</v>
          </cell>
          <cell r="S380">
            <v>0</v>
          </cell>
          <cell r="T380">
            <v>1</v>
          </cell>
          <cell r="U380">
            <v>0</v>
          </cell>
          <cell r="V380">
            <v>1</v>
          </cell>
          <cell r="W380">
            <v>0</v>
          </cell>
          <cell r="X380">
            <v>1</v>
          </cell>
          <cell r="Y380">
            <v>1</v>
          </cell>
          <cell r="Z380">
            <v>1</v>
          </cell>
          <cell r="AA380">
            <v>0.63000000000000012</v>
          </cell>
          <cell r="AC380">
            <v>-7.0900000000000007</v>
          </cell>
          <cell r="AD380">
            <v>-0.36</v>
          </cell>
          <cell r="AE380">
            <v>-0.11</v>
          </cell>
          <cell r="AF380">
            <v>0</v>
          </cell>
          <cell r="AG380">
            <v>0</v>
          </cell>
          <cell r="AH380">
            <v>-7.5600000000000014</v>
          </cell>
          <cell r="AI380" t="str">
            <v>CNY</v>
          </cell>
          <cell r="AJ380" t="str">
            <v>LP</v>
          </cell>
          <cell r="AK380" t="str">
            <v>重庆港湘龙 </v>
          </cell>
          <cell r="AL380" t="str">
            <v>GGU8A </v>
          </cell>
          <cell r="BB380">
            <v>-659060</v>
          </cell>
          <cell r="BC380">
            <v>-659060</v>
          </cell>
          <cell r="BE380">
            <v>0</v>
          </cell>
          <cell r="BF380">
            <v>0</v>
          </cell>
          <cell r="BG380">
            <v>0</v>
          </cell>
        </row>
        <row r="381">
          <cell r="C381" t="str">
            <v>PT56</v>
          </cell>
          <cell r="D381" t="str">
            <v>-</v>
          </cell>
          <cell r="E381" t="str">
            <v>Trans Vent</v>
          </cell>
          <cell r="F381" t="str">
            <v>变速器通风管</v>
          </cell>
          <cell r="G381" t="str">
            <v>B</v>
          </cell>
          <cell r="H381" t="str">
            <v>PMT4</v>
          </cell>
          <cell r="I381" t="str">
            <v>PF</v>
          </cell>
          <cell r="J381" t="str">
            <v>JD8P</v>
          </cell>
          <cell r="K381" t="str">
            <v>7034</v>
          </cell>
          <cell r="L381" t="str">
            <v>BA</v>
          </cell>
          <cell r="M381" t="str">
            <v>JD8P-7034-BA</v>
          </cell>
          <cell r="O381" t="str">
            <v>NA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1</v>
          </cell>
          <cell r="Y381">
            <v>0</v>
          </cell>
          <cell r="Z381">
            <v>1</v>
          </cell>
          <cell r="AA381">
            <v>0.19</v>
          </cell>
          <cell r="AC381">
            <v>-11</v>
          </cell>
          <cell r="AD381">
            <v>-0.2</v>
          </cell>
          <cell r="AE381">
            <v>-0.15</v>
          </cell>
          <cell r="AF381">
            <v>0</v>
          </cell>
          <cell r="AG381">
            <v>0</v>
          </cell>
          <cell r="AH381">
            <v>-11.35</v>
          </cell>
          <cell r="AI381" t="str">
            <v>CNY</v>
          </cell>
          <cell r="AJ381" t="str">
            <v>LP</v>
          </cell>
          <cell r="AK381" t="str">
            <v>上海帕萨思 </v>
          </cell>
          <cell r="AL381" t="str">
            <v>GNNYA </v>
          </cell>
          <cell r="BB381">
            <v>-105000</v>
          </cell>
          <cell r="BC381">
            <v>-105000</v>
          </cell>
          <cell r="BE381">
            <v>0</v>
          </cell>
          <cell r="BF381">
            <v>0</v>
          </cell>
          <cell r="BG381">
            <v>0</v>
          </cell>
          <cell r="BI381">
            <v>0</v>
          </cell>
          <cell r="BJ381">
            <v>0</v>
          </cell>
        </row>
        <row r="382">
          <cell r="C382" t="str">
            <v>PT56</v>
          </cell>
          <cell r="D382" t="str">
            <v>-</v>
          </cell>
          <cell r="E382" t="str">
            <v>Trans Vent</v>
          </cell>
          <cell r="F382" t="str">
            <v>变速器通风管</v>
          </cell>
          <cell r="G382" t="str">
            <v>B</v>
          </cell>
          <cell r="H382" t="str">
            <v>PMT4</v>
          </cell>
          <cell r="I382" t="str">
            <v>PF</v>
          </cell>
          <cell r="J382" t="str">
            <v>JD8P</v>
          </cell>
          <cell r="K382" t="str">
            <v>7034</v>
          </cell>
          <cell r="L382" t="str">
            <v>AA</v>
          </cell>
          <cell r="M382" t="str">
            <v>JD8P-7034-AA</v>
          </cell>
          <cell r="O382" t="str">
            <v>NA</v>
          </cell>
          <cell r="S382">
            <v>0</v>
          </cell>
          <cell r="T382">
            <v>1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1</v>
          </cell>
          <cell r="Z382">
            <v>0</v>
          </cell>
          <cell r="AA382">
            <v>0.44</v>
          </cell>
          <cell r="AC382">
            <v>-10.93</v>
          </cell>
          <cell r="AD382">
            <v>-0.2</v>
          </cell>
          <cell r="AE382">
            <v>-0.15</v>
          </cell>
          <cell r="AF382">
            <v>0</v>
          </cell>
          <cell r="AG382">
            <v>0</v>
          </cell>
          <cell r="AH382">
            <v>-11.28</v>
          </cell>
          <cell r="AI382" t="str">
            <v>CNY</v>
          </cell>
          <cell r="AJ382" t="str">
            <v>LP</v>
          </cell>
          <cell r="AK382" t="str">
            <v>上海帕萨思 </v>
          </cell>
          <cell r="AL382" t="str">
            <v>GNNYA </v>
          </cell>
          <cell r="BB382">
            <v>-130000</v>
          </cell>
          <cell r="BC382">
            <v>-130000</v>
          </cell>
          <cell r="BE382">
            <v>0</v>
          </cell>
          <cell r="BF382">
            <v>0</v>
          </cell>
          <cell r="BG382">
            <v>0</v>
          </cell>
          <cell r="BI382">
            <v>0</v>
          </cell>
          <cell r="BJ382">
            <v>0</v>
          </cell>
        </row>
        <row r="383">
          <cell r="C383" t="str">
            <v>ET20-2</v>
          </cell>
          <cell r="D383" t="str">
            <v>-</v>
          </cell>
          <cell r="E383" t="str">
            <v>TITANIUM badge</v>
          </cell>
          <cell r="F383" t="str">
            <v>TITANIUM 字标</v>
          </cell>
          <cell r="G383" t="str">
            <v>na</v>
          </cell>
          <cell r="H383" t="str">
            <v>PMT1</v>
          </cell>
          <cell r="I383" t="str">
            <v>TH</v>
          </cell>
          <cell r="J383" t="str">
            <v>GR2B</v>
          </cell>
          <cell r="K383">
            <v>16702</v>
          </cell>
          <cell r="L383" t="str">
            <v>BB</v>
          </cell>
          <cell r="M383" t="str">
            <v>GR2B-16702-BB</v>
          </cell>
          <cell r="O383" t="str">
            <v>NA</v>
          </cell>
          <cell r="P383" t="str">
            <v>刘哲谦</v>
          </cell>
          <cell r="Q383" t="str">
            <v>杜文博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1</v>
          </cell>
          <cell r="Z383">
            <v>1</v>
          </cell>
          <cell r="AA383">
            <v>0.1</v>
          </cell>
          <cell r="AC383">
            <v>-3.98</v>
          </cell>
          <cell r="AD383">
            <v>-0.17</v>
          </cell>
          <cell r="AE383">
            <v>-0.18</v>
          </cell>
          <cell r="AH383">
            <v>-4.33</v>
          </cell>
          <cell r="AI383" t="str">
            <v>CNY</v>
          </cell>
          <cell r="AJ383" t="str">
            <v>LP</v>
          </cell>
          <cell r="AK383" t="str">
            <v>深圳市东方骏实业有限公司</v>
          </cell>
          <cell r="AL383" t="str">
            <v>GM02A</v>
          </cell>
          <cell r="BB383">
            <v>0</v>
          </cell>
          <cell r="BC383">
            <v>0</v>
          </cell>
          <cell r="BE383">
            <v>0</v>
          </cell>
          <cell r="BF383">
            <v>0</v>
          </cell>
          <cell r="BG383">
            <v>0</v>
          </cell>
          <cell r="BI383">
            <v>0</v>
          </cell>
          <cell r="BJ383">
            <v>0</v>
          </cell>
        </row>
        <row r="384">
          <cell r="C384" t="str">
            <v>IT17</v>
          </cell>
          <cell r="D384" t="str">
            <v>IT17</v>
          </cell>
          <cell r="E384" t="str">
            <v>Carpet</v>
          </cell>
          <cell r="F384" t="str">
            <v>主地毯</v>
          </cell>
          <cell r="G384" t="str">
            <v>D</v>
          </cell>
          <cell r="H384" t="str">
            <v>PMT2</v>
          </cell>
          <cell r="I384" t="str">
            <v>TH</v>
          </cell>
          <cell r="J384" t="str">
            <v>JD8B</v>
          </cell>
          <cell r="K384" t="str">
            <v>F11454</v>
          </cell>
          <cell r="L384" t="str">
            <v>AAW</v>
          </cell>
          <cell r="M384" t="str">
            <v>JD8B-F11454-AAW</v>
          </cell>
          <cell r="O384" t="str">
            <v>NA</v>
          </cell>
          <cell r="S384">
            <v>1</v>
          </cell>
          <cell r="T384">
            <v>1</v>
          </cell>
          <cell r="U384">
            <v>1</v>
          </cell>
          <cell r="V384">
            <v>1</v>
          </cell>
          <cell r="W384">
            <v>1</v>
          </cell>
          <cell r="X384">
            <v>1</v>
          </cell>
          <cell r="Y384">
            <v>1</v>
          </cell>
          <cell r="Z384">
            <v>1</v>
          </cell>
          <cell r="AA384">
            <v>1</v>
          </cell>
          <cell r="AC384">
            <v>-173.96</v>
          </cell>
          <cell r="AD384">
            <v>-3.6</v>
          </cell>
          <cell r="AE384">
            <v>-3.49</v>
          </cell>
          <cell r="AF384">
            <v>0</v>
          </cell>
          <cell r="AG384">
            <v>0</v>
          </cell>
          <cell r="AH384">
            <v>-181.05</v>
          </cell>
          <cell r="AI384" t="str">
            <v>CNY</v>
          </cell>
          <cell r="AJ384" t="str">
            <v>LP</v>
          </cell>
          <cell r="AK384" t="str">
            <v>重庆佩尔哲 </v>
          </cell>
          <cell r="AL384" t="str">
            <v>EMLJA </v>
          </cell>
          <cell r="BB384">
            <v>-350000</v>
          </cell>
          <cell r="BC384">
            <v>-350000</v>
          </cell>
          <cell r="BE384">
            <v>0</v>
          </cell>
          <cell r="BF384">
            <v>0</v>
          </cell>
          <cell r="BG384">
            <v>0</v>
          </cell>
          <cell r="BI384">
            <v>0</v>
          </cell>
          <cell r="BJ384">
            <v>0</v>
          </cell>
        </row>
        <row r="385">
          <cell r="C385" t="str">
            <v>IT22</v>
          </cell>
          <cell r="D385" t="str">
            <v>IT22</v>
          </cell>
          <cell r="E385" t="str">
            <v xml:space="preserve">Cargo Trim </v>
          </cell>
          <cell r="F385" t="str">
            <v>尾门内饰板</v>
          </cell>
          <cell r="G385" t="str">
            <v>D</v>
          </cell>
          <cell r="H385" t="str">
            <v>PMT2</v>
          </cell>
          <cell r="I385" t="str">
            <v>TH</v>
          </cell>
          <cell r="J385" t="str">
            <v>JD8B</v>
          </cell>
          <cell r="K385" t="str">
            <v>F407A64</v>
          </cell>
          <cell r="L385" t="str">
            <v>ABW</v>
          </cell>
          <cell r="M385" t="str">
            <v>JD8B-F407A64-ABW</v>
          </cell>
          <cell r="O385" t="str">
            <v>NA</v>
          </cell>
          <cell r="S385">
            <v>1</v>
          </cell>
          <cell r="T385">
            <v>1</v>
          </cell>
          <cell r="U385">
            <v>1</v>
          </cell>
          <cell r="V385">
            <v>1</v>
          </cell>
          <cell r="W385">
            <v>1</v>
          </cell>
          <cell r="X385">
            <v>1</v>
          </cell>
          <cell r="Y385">
            <v>1</v>
          </cell>
          <cell r="Z385">
            <v>1</v>
          </cell>
          <cell r="AA385">
            <v>1</v>
          </cell>
          <cell r="AC385">
            <v>-19.829999999999998</v>
          </cell>
          <cell r="AD385">
            <v>-0.68</v>
          </cell>
          <cell r="AE385">
            <v>-0.5</v>
          </cell>
          <cell r="AF385">
            <v>0</v>
          </cell>
          <cell r="AG385">
            <v>0</v>
          </cell>
          <cell r="AH385">
            <v>-21.009999999999998</v>
          </cell>
          <cell r="AI385" t="str">
            <v>CNY</v>
          </cell>
          <cell r="AJ385" t="str">
            <v>LP</v>
          </cell>
          <cell r="AK385" t="str">
            <v>宁波拓普 </v>
          </cell>
          <cell r="AL385" t="str">
            <v>DLVBB </v>
          </cell>
          <cell r="BB385">
            <v>-150000</v>
          </cell>
          <cell r="BC385">
            <v>-150000</v>
          </cell>
          <cell r="BE385">
            <v>0</v>
          </cell>
          <cell r="BF385">
            <v>0</v>
          </cell>
          <cell r="BG385">
            <v>0</v>
          </cell>
          <cell r="BI385">
            <v>0</v>
          </cell>
          <cell r="BJ385">
            <v>0</v>
          </cell>
        </row>
        <row r="386">
          <cell r="C386" t="str">
            <v>IT23</v>
          </cell>
          <cell r="D386" t="str">
            <v>IT23</v>
          </cell>
          <cell r="E386" t="str">
            <v>Package Tray</v>
          </cell>
          <cell r="F386" t="str">
            <v>后置物板</v>
          </cell>
          <cell r="G386" t="str">
            <v>D</v>
          </cell>
          <cell r="H386" t="str">
            <v>PMT2</v>
          </cell>
          <cell r="I386" t="str">
            <v>TH</v>
          </cell>
          <cell r="J386" t="str">
            <v>JD8B</v>
          </cell>
          <cell r="K386" t="str">
            <v>F46668</v>
          </cell>
          <cell r="L386" t="str">
            <v>AAW</v>
          </cell>
          <cell r="M386" t="str">
            <v>JD8B-F46668-AAW</v>
          </cell>
          <cell r="O386" t="str">
            <v>NA</v>
          </cell>
          <cell r="S386">
            <v>1</v>
          </cell>
          <cell r="T386">
            <v>1</v>
          </cell>
          <cell r="U386">
            <v>1</v>
          </cell>
          <cell r="V386">
            <v>1</v>
          </cell>
          <cell r="W386">
            <v>1</v>
          </cell>
          <cell r="X386">
            <v>1</v>
          </cell>
          <cell r="Y386">
            <v>1</v>
          </cell>
          <cell r="Z386">
            <v>1</v>
          </cell>
          <cell r="AA386">
            <v>1</v>
          </cell>
          <cell r="AC386">
            <v>-83.46</v>
          </cell>
          <cell r="AD386">
            <v>-2.08</v>
          </cell>
          <cell r="AE386">
            <v>-1</v>
          </cell>
          <cell r="AF386">
            <v>0</v>
          </cell>
          <cell r="AG386">
            <v>0</v>
          </cell>
          <cell r="AH386">
            <v>-86.539999999999992</v>
          </cell>
          <cell r="AI386" t="str">
            <v>CNY</v>
          </cell>
          <cell r="AJ386" t="str">
            <v>LP</v>
          </cell>
          <cell r="AK386" t="str">
            <v>宁波拓普 </v>
          </cell>
          <cell r="AL386" t="str">
            <v>DLVBB </v>
          </cell>
          <cell r="BB386">
            <v>-60000</v>
          </cell>
          <cell r="BC386">
            <v>-60000</v>
          </cell>
          <cell r="BE386">
            <v>0</v>
          </cell>
          <cell r="BF386">
            <v>0</v>
          </cell>
          <cell r="BG386">
            <v>0</v>
          </cell>
          <cell r="BI386">
            <v>0</v>
          </cell>
          <cell r="BJ386">
            <v>0</v>
          </cell>
        </row>
        <row r="387">
          <cell r="C387" t="str">
            <v>B021</v>
          </cell>
          <cell r="D387" t="str">
            <v>B021</v>
          </cell>
          <cell r="E387" t="str">
            <v>Lock Sets</v>
          </cell>
          <cell r="F387" t="str">
            <v>锁芯</v>
          </cell>
          <cell r="G387" t="str">
            <v>B</v>
          </cell>
          <cell r="H387" t="str">
            <v>PMT1</v>
          </cell>
          <cell r="I387" t="str">
            <v>TH</v>
          </cell>
          <cell r="J387" t="str">
            <v>JD8B</v>
          </cell>
          <cell r="K387" t="str">
            <v>F22050</v>
          </cell>
          <cell r="L387" t="str">
            <v>AB</v>
          </cell>
          <cell r="M387" t="str">
            <v>JD8B-F22050-AB</v>
          </cell>
          <cell r="O387" t="str">
            <v>NA</v>
          </cell>
          <cell r="P387" t="str">
            <v>翟万里</v>
          </cell>
          <cell r="Q387" t="str">
            <v>金正斌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0.67</v>
          </cell>
          <cell r="AC387">
            <v>-72.73</v>
          </cell>
          <cell r="AD387">
            <v>-2.92</v>
          </cell>
          <cell r="AE387">
            <v>-0.88</v>
          </cell>
          <cell r="AF387">
            <v>-1.46</v>
          </cell>
          <cell r="AG387">
            <v>-0.35</v>
          </cell>
          <cell r="AH387">
            <v>-78.339999999999989</v>
          </cell>
          <cell r="AI387" t="str">
            <v>CNY</v>
          </cell>
          <cell r="AJ387" t="str">
            <v>LP</v>
          </cell>
          <cell r="AK387" t="str">
            <v xml:space="preserve">烟台霍富 
</v>
          </cell>
          <cell r="AL387" t="str">
            <v>EBQTA </v>
          </cell>
          <cell r="BE387" t="str">
            <v>incl. in JD8B-F22-5--BC</v>
          </cell>
          <cell r="BG387">
            <v>0</v>
          </cell>
          <cell r="BI387" t="str">
            <v>incl. in JD8B-F22-5--BC</v>
          </cell>
        </row>
        <row r="388">
          <cell r="C388" t="str">
            <v>B021</v>
          </cell>
          <cell r="D388" t="str">
            <v>-</v>
          </cell>
          <cell r="E388" t="str">
            <v>Lock Sets</v>
          </cell>
          <cell r="F388" t="str">
            <v>锁芯</v>
          </cell>
          <cell r="G388" t="str">
            <v>B</v>
          </cell>
          <cell r="H388" t="str">
            <v>PMT1</v>
          </cell>
          <cell r="I388" t="str">
            <v>TH</v>
          </cell>
          <cell r="J388" t="str">
            <v>JD8B</v>
          </cell>
          <cell r="K388" t="str">
            <v>F22050</v>
          </cell>
          <cell r="L388" t="str">
            <v>BC</v>
          </cell>
          <cell r="M388" t="str">
            <v>JD8B-F22050-BC</v>
          </cell>
          <cell r="O388" t="str">
            <v>NA</v>
          </cell>
          <cell r="P388" t="str">
            <v>翟万里</v>
          </cell>
          <cell r="Q388" t="str">
            <v>金正斌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1</v>
          </cell>
          <cell r="Z388">
            <v>1</v>
          </cell>
          <cell r="AA388">
            <v>0.1</v>
          </cell>
          <cell r="AC388">
            <v>-86.09</v>
          </cell>
          <cell r="AD388">
            <v>-2.92</v>
          </cell>
          <cell r="AE388">
            <v>-0.88</v>
          </cell>
          <cell r="AF388">
            <v>-1.46</v>
          </cell>
          <cell r="AG388">
            <v>-0.35</v>
          </cell>
          <cell r="AH388">
            <v>-91.699999999999989</v>
          </cell>
          <cell r="AI388" t="str">
            <v>CNY</v>
          </cell>
          <cell r="AJ388" t="str">
            <v>LP</v>
          </cell>
          <cell r="AK388" t="str">
            <v xml:space="preserve">烟台霍富 
</v>
          </cell>
          <cell r="AL388" t="str">
            <v>EBQTA </v>
          </cell>
          <cell r="BB388">
            <v>-666800</v>
          </cell>
          <cell r="BC388">
            <v>-666800</v>
          </cell>
          <cell r="BE388">
            <v>-201990</v>
          </cell>
          <cell r="BF388">
            <v>574899</v>
          </cell>
          <cell r="BG388">
            <v>0</v>
          </cell>
          <cell r="BI388">
            <v>-2257491</v>
          </cell>
          <cell r="BJ388">
            <v>-1548192</v>
          </cell>
        </row>
        <row r="389">
          <cell r="C389" t="str">
            <v>B021</v>
          </cell>
          <cell r="D389" t="str">
            <v>-</v>
          </cell>
          <cell r="E389" t="str">
            <v>Lock Sets</v>
          </cell>
          <cell r="F389" t="str">
            <v>锁芯</v>
          </cell>
          <cell r="G389" t="str">
            <v>B</v>
          </cell>
          <cell r="H389" t="str">
            <v>PMT1</v>
          </cell>
          <cell r="I389" t="str">
            <v>TH</v>
          </cell>
          <cell r="J389" t="str">
            <v>JD8B</v>
          </cell>
          <cell r="K389" t="str">
            <v>F22050</v>
          </cell>
          <cell r="L389" t="str">
            <v>CC</v>
          </cell>
          <cell r="M389" t="str">
            <v>JD8B-F22050-CC</v>
          </cell>
          <cell r="O389" t="str">
            <v>NA</v>
          </cell>
          <cell r="P389" t="str">
            <v>翟万里</v>
          </cell>
          <cell r="Q389" t="str">
            <v>金正斌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</v>
          </cell>
          <cell r="X389">
            <v>1</v>
          </cell>
          <cell r="Y389">
            <v>0</v>
          </cell>
          <cell r="Z389">
            <v>0</v>
          </cell>
          <cell r="AA389">
            <v>0.23</v>
          </cell>
          <cell r="AC389">
            <v>-86.09</v>
          </cell>
          <cell r="AD389">
            <v>-2.92</v>
          </cell>
          <cell r="AE389">
            <v>-0.88</v>
          </cell>
          <cell r="AF389">
            <v>-1.46</v>
          </cell>
          <cell r="AG389">
            <v>-0.35</v>
          </cell>
          <cell r="AH389">
            <v>-91.699999999999989</v>
          </cell>
          <cell r="AI389" t="str">
            <v>CNY</v>
          </cell>
          <cell r="AJ389" t="str">
            <v>LP</v>
          </cell>
          <cell r="AK389" t="str">
            <v xml:space="preserve">烟台霍富 
</v>
          </cell>
          <cell r="AL389" t="str">
            <v>EBQTA </v>
          </cell>
          <cell r="BE389" t="str">
            <v>incl. in JD8B-F22-5--BC</v>
          </cell>
          <cell r="BG389">
            <v>0</v>
          </cell>
          <cell r="BI389" t="str">
            <v>incl. in JD8B-F22-5--BC</v>
          </cell>
        </row>
        <row r="390">
          <cell r="C390" t="str">
            <v>ET9</v>
          </cell>
          <cell r="D390" t="str">
            <v>ET9</v>
          </cell>
          <cell r="E390" t="str">
            <v>Cowl Grille</v>
          </cell>
          <cell r="F390" t="str">
            <v>通风格栅</v>
          </cell>
          <cell r="G390" t="str">
            <v>D</v>
          </cell>
          <cell r="H390" t="str">
            <v>PMT1</v>
          </cell>
          <cell r="I390" t="str">
            <v>TH</v>
          </cell>
          <cell r="J390" t="str">
            <v>JD8B</v>
          </cell>
          <cell r="K390" t="str">
            <v>F02216</v>
          </cell>
          <cell r="L390" t="str">
            <v>AE</v>
          </cell>
          <cell r="M390" t="str">
            <v>JD8B-F02216-AE</v>
          </cell>
          <cell r="O390" t="str">
            <v>NA</v>
          </cell>
          <cell r="P390" t="str">
            <v>龚硕</v>
          </cell>
          <cell r="Q390" t="str">
            <v>杜文博</v>
          </cell>
          <cell r="S390">
            <v>1</v>
          </cell>
          <cell r="T390">
            <v>1</v>
          </cell>
          <cell r="U390">
            <v>1</v>
          </cell>
          <cell r="V390">
            <v>1</v>
          </cell>
          <cell r="W390">
            <v>1</v>
          </cell>
          <cell r="X390">
            <v>1</v>
          </cell>
          <cell r="Y390">
            <v>1</v>
          </cell>
          <cell r="Z390">
            <v>1</v>
          </cell>
          <cell r="AA390">
            <v>1</v>
          </cell>
          <cell r="AC390">
            <v>-59.72</v>
          </cell>
          <cell r="AD390">
            <v>-0.61</v>
          </cell>
          <cell r="AE390">
            <v>-1.32</v>
          </cell>
          <cell r="AF390">
            <v>0</v>
          </cell>
          <cell r="AG390">
            <v>0</v>
          </cell>
          <cell r="AH390">
            <v>-61.65</v>
          </cell>
          <cell r="AI390" t="str">
            <v>CNY</v>
          </cell>
          <cell r="AJ390" t="str">
            <v>LP</v>
          </cell>
          <cell r="AK390" t="str">
            <v>重庆光能荣能 </v>
          </cell>
          <cell r="AL390" t="str">
            <v>DH0HA </v>
          </cell>
          <cell r="BB390">
            <v>-4104676</v>
          </cell>
          <cell r="BC390">
            <v>-4104676</v>
          </cell>
          <cell r="BE390">
            <v>0</v>
          </cell>
          <cell r="BF390">
            <v>0</v>
          </cell>
          <cell r="BG390">
            <v>0</v>
          </cell>
          <cell r="BI390">
            <v>0</v>
          </cell>
          <cell r="BJ390">
            <v>0</v>
          </cell>
        </row>
        <row r="391">
          <cell r="C391" t="str">
            <v>ET17-2</v>
          </cell>
          <cell r="D391" t="str">
            <v>ET17-2</v>
          </cell>
          <cell r="E391" t="str">
            <v>Wheel arch liners (front)</v>
          </cell>
          <cell r="F391" t="str">
            <v>前轮毂包</v>
          </cell>
          <cell r="G391" t="str">
            <v>D</v>
          </cell>
          <cell r="H391" t="str">
            <v>PMT1</v>
          </cell>
          <cell r="I391" t="str">
            <v>TH</v>
          </cell>
          <cell r="J391" t="str">
            <v>JD8B</v>
          </cell>
          <cell r="K391" t="str">
            <v>F16114</v>
          </cell>
          <cell r="L391" t="str">
            <v>AD</v>
          </cell>
          <cell r="M391" t="str">
            <v>JD8B-F16114-AD</v>
          </cell>
          <cell r="O391" t="str">
            <v>NA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W391">
            <v>1</v>
          </cell>
          <cell r="X391">
            <v>1</v>
          </cell>
          <cell r="Y391">
            <v>1</v>
          </cell>
          <cell r="Z391">
            <v>1</v>
          </cell>
          <cell r="AA391">
            <v>1</v>
          </cell>
          <cell r="AC391">
            <v>-43.89</v>
          </cell>
          <cell r="AD391">
            <v>-0.3</v>
          </cell>
          <cell r="AE391">
            <v>-0.6</v>
          </cell>
          <cell r="AF391">
            <v>0</v>
          </cell>
          <cell r="AG391">
            <v>0</v>
          </cell>
          <cell r="AH391">
            <v>-44.79</v>
          </cell>
          <cell r="AI391" t="str">
            <v>CNY</v>
          </cell>
          <cell r="AJ391" t="str">
            <v>LP</v>
          </cell>
          <cell r="AK391" t="str">
            <v>重庆光能荣能 </v>
          </cell>
          <cell r="AL391" t="str">
            <v>DH0HA </v>
          </cell>
          <cell r="BB391">
            <v>-905000</v>
          </cell>
          <cell r="BC391">
            <v>-905000</v>
          </cell>
          <cell r="BE391">
            <v>0</v>
          </cell>
          <cell r="BF391">
            <v>0</v>
          </cell>
          <cell r="BG391">
            <v>0</v>
          </cell>
          <cell r="BI391">
            <v>0</v>
          </cell>
          <cell r="BJ391">
            <v>0</v>
          </cell>
        </row>
        <row r="392">
          <cell r="C392" t="str">
            <v>ET17-2</v>
          </cell>
          <cell r="D392" t="str">
            <v>ET17-2</v>
          </cell>
          <cell r="E392" t="str">
            <v>Wheel arch liners (front)</v>
          </cell>
          <cell r="F392" t="str">
            <v>前轮毂包</v>
          </cell>
          <cell r="G392" t="str">
            <v>D</v>
          </cell>
          <cell r="H392" t="str">
            <v>PMT1</v>
          </cell>
          <cell r="I392" t="str">
            <v>TH</v>
          </cell>
          <cell r="J392" t="str">
            <v>JD8B</v>
          </cell>
          <cell r="K392" t="str">
            <v>F16115</v>
          </cell>
          <cell r="L392" t="str">
            <v>AC</v>
          </cell>
          <cell r="M392" t="str">
            <v>JD8B-F16115-AC</v>
          </cell>
          <cell r="O392" t="str">
            <v>NA</v>
          </cell>
          <cell r="S392">
            <v>1</v>
          </cell>
          <cell r="T392">
            <v>1</v>
          </cell>
          <cell r="U392">
            <v>1</v>
          </cell>
          <cell r="V392">
            <v>1</v>
          </cell>
          <cell r="W392">
            <v>1</v>
          </cell>
          <cell r="X392">
            <v>1</v>
          </cell>
          <cell r="Y392">
            <v>1</v>
          </cell>
          <cell r="Z392">
            <v>1</v>
          </cell>
          <cell r="AA392">
            <v>1</v>
          </cell>
          <cell r="AC392">
            <v>-33.56</v>
          </cell>
          <cell r="AD392">
            <v>-0.3</v>
          </cell>
          <cell r="AE392">
            <v>-0.6</v>
          </cell>
          <cell r="AF392">
            <v>0</v>
          </cell>
          <cell r="AG392">
            <v>0</v>
          </cell>
          <cell r="AH392">
            <v>-34.46</v>
          </cell>
          <cell r="AI392" t="str">
            <v>CNY</v>
          </cell>
          <cell r="AJ392" t="str">
            <v>LP</v>
          </cell>
          <cell r="AK392" t="str">
            <v>重庆光能荣能 </v>
          </cell>
          <cell r="AL392" t="str">
            <v>DH0HA </v>
          </cell>
          <cell r="BB392">
            <v>-880000</v>
          </cell>
          <cell r="BC392">
            <v>-880000</v>
          </cell>
          <cell r="BE392">
            <v>0</v>
          </cell>
          <cell r="BF392">
            <v>0</v>
          </cell>
          <cell r="BG392">
            <v>0</v>
          </cell>
          <cell r="BI392">
            <v>0</v>
          </cell>
          <cell r="BJ392">
            <v>0</v>
          </cell>
        </row>
        <row r="393">
          <cell r="C393" t="str">
            <v>B041</v>
          </cell>
          <cell r="D393" t="str">
            <v>-</v>
          </cell>
          <cell r="E393" t="str">
            <v>Out sourcing stamping</v>
          </cell>
          <cell r="F393" t="str">
            <v>发动机安装支架（左）</v>
          </cell>
          <cell r="G393" t="str">
            <v>D</v>
          </cell>
          <cell r="H393" t="str">
            <v>BIW</v>
          </cell>
          <cell r="I393" t="str">
            <v>PF</v>
          </cell>
          <cell r="J393" t="str">
            <v>JD8B</v>
          </cell>
          <cell r="K393" t="str">
            <v>6A095 </v>
          </cell>
          <cell r="L393" t="str">
            <v>AA</v>
          </cell>
          <cell r="M393" t="str">
            <v>JD8B-6A095 -AA</v>
          </cell>
          <cell r="O393" t="str">
            <v>NA</v>
          </cell>
          <cell r="S393">
            <v>0</v>
          </cell>
          <cell r="T393">
            <v>1</v>
          </cell>
          <cell r="U393">
            <v>0</v>
          </cell>
          <cell r="V393">
            <v>1</v>
          </cell>
          <cell r="W393">
            <v>0</v>
          </cell>
          <cell r="X393">
            <v>1</v>
          </cell>
          <cell r="Y393">
            <v>1</v>
          </cell>
          <cell r="Z393">
            <v>1</v>
          </cell>
          <cell r="AA393">
            <v>0.63000000000000012</v>
          </cell>
          <cell r="AC393">
            <v>-6.39</v>
          </cell>
          <cell r="AD393">
            <v>-0.08</v>
          </cell>
          <cell r="AE393">
            <v>-0.05</v>
          </cell>
          <cell r="AF393">
            <v>0</v>
          </cell>
          <cell r="AG393">
            <v>0</v>
          </cell>
          <cell r="AH393">
            <v>-6.52</v>
          </cell>
          <cell r="AI393" t="str">
            <v>CNY</v>
          </cell>
          <cell r="AJ393" t="str">
            <v>LP</v>
          </cell>
          <cell r="AK393" t="str">
            <v>重庆联伟 </v>
          </cell>
          <cell r="AL393" t="str">
            <v>EHDAA </v>
          </cell>
          <cell r="BB393">
            <v>-486658</v>
          </cell>
          <cell r="BC393">
            <v>-486658</v>
          </cell>
          <cell r="BE393">
            <v>0</v>
          </cell>
          <cell r="BF393">
            <v>0</v>
          </cell>
          <cell r="BG393">
            <v>0</v>
          </cell>
          <cell r="BI393">
            <v>0</v>
          </cell>
          <cell r="BJ393">
            <v>0</v>
          </cell>
        </row>
        <row r="394">
          <cell r="C394" t="str">
            <v>B041</v>
          </cell>
          <cell r="E394" t="str">
            <v>Out sourcing stamping</v>
          </cell>
          <cell r="F394" t="str">
            <v>发动机安装支架装配（左）</v>
          </cell>
          <cell r="G394" t="str">
            <v>D</v>
          </cell>
          <cell r="H394" t="str">
            <v>BIW</v>
          </cell>
          <cell r="I394" t="str">
            <v>PF</v>
          </cell>
          <cell r="J394" t="str">
            <v>JD8B</v>
          </cell>
          <cell r="K394" t="str">
            <v>R6E042 </v>
          </cell>
          <cell r="L394" t="str">
            <v>AA</v>
          </cell>
          <cell r="M394" t="str">
            <v>JD8B-R6E042 -AA</v>
          </cell>
          <cell r="O394" t="str">
            <v>NA</v>
          </cell>
          <cell r="S394">
            <v>0</v>
          </cell>
          <cell r="T394">
            <v>1</v>
          </cell>
          <cell r="U394">
            <v>0</v>
          </cell>
          <cell r="V394">
            <v>1</v>
          </cell>
          <cell r="W394">
            <v>0</v>
          </cell>
          <cell r="X394">
            <v>1</v>
          </cell>
          <cell r="Y394">
            <v>1</v>
          </cell>
          <cell r="Z394">
            <v>1</v>
          </cell>
          <cell r="AA394">
            <v>0.63000000000000012</v>
          </cell>
          <cell r="AC394">
            <v>-7.07</v>
          </cell>
          <cell r="AD394">
            <v>-0.08</v>
          </cell>
          <cell r="AE394">
            <v>-0.05</v>
          </cell>
          <cell r="AF394">
            <v>0</v>
          </cell>
          <cell r="AG394">
            <v>0</v>
          </cell>
          <cell r="AH394">
            <v>-7.2</v>
          </cell>
          <cell r="AI394" t="str">
            <v>CNY</v>
          </cell>
          <cell r="AJ394" t="str">
            <v>LP</v>
          </cell>
          <cell r="AK394" t="str">
            <v>重庆联伟 </v>
          </cell>
          <cell r="AL394" t="str">
            <v>EHDAA </v>
          </cell>
          <cell r="BB394">
            <v>-476658</v>
          </cell>
          <cell r="BC394">
            <v>-476658</v>
          </cell>
          <cell r="BE394">
            <v>0</v>
          </cell>
          <cell r="BF394">
            <v>0</v>
          </cell>
          <cell r="BG394">
            <v>0</v>
          </cell>
          <cell r="BI394">
            <v>0</v>
          </cell>
          <cell r="BJ394">
            <v>0</v>
          </cell>
        </row>
        <row r="395">
          <cell r="C395" t="str">
            <v>PT02</v>
          </cell>
          <cell r="E395" t="str">
            <v xml:space="preserve">Shifter Assembly - Automatic Transmission (AT) </v>
          </cell>
          <cell r="F395" t="str">
            <v>自动动换档器</v>
          </cell>
          <cell r="G395" t="str">
            <v>B</v>
          </cell>
          <cell r="H395" t="str">
            <v>PMT4</v>
          </cell>
          <cell r="I395" t="str">
            <v>PF</v>
          </cell>
          <cell r="J395" t="str">
            <v>JD8P</v>
          </cell>
          <cell r="K395" t="str">
            <v>7K004</v>
          </cell>
          <cell r="L395" t="str">
            <v>BAW</v>
          </cell>
          <cell r="M395" t="str">
            <v>JD8P-7K004-BAW</v>
          </cell>
          <cell r="O395" t="str">
            <v>NA</v>
          </cell>
          <cell r="S395">
            <v>0</v>
          </cell>
          <cell r="T395">
            <v>1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0.16</v>
          </cell>
          <cell r="AC395">
            <v>-214.49</v>
          </cell>
          <cell r="AD395">
            <v>-7.18</v>
          </cell>
          <cell r="AE395">
            <v>-12.88</v>
          </cell>
          <cell r="AF395">
            <v>0</v>
          </cell>
          <cell r="AG395">
            <v>0</v>
          </cell>
          <cell r="AH395">
            <v>-234.55</v>
          </cell>
          <cell r="AI395" t="str">
            <v>CNY</v>
          </cell>
          <cell r="AJ395" t="str">
            <v>LP</v>
          </cell>
          <cell r="AK395" t="str">
            <v>佛山东海理化 </v>
          </cell>
          <cell r="AL395" t="str">
            <v>FN02A </v>
          </cell>
          <cell r="BB395">
            <v>-39440</v>
          </cell>
          <cell r="BC395">
            <v>-39440</v>
          </cell>
          <cell r="BE395">
            <v>0</v>
          </cell>
          <cell r="BF395">
            <v>0</v>
          </cell>
          <cell r="BG395">
            <v>0</v>
          </cell>
          <cell r="BI395">
            <v>0</v>
          </cell>
          <cell r="BJ395">
            <v>0</v>
          </cell>
        </row>
        <row r="396">
          <cell r="C396" t="str">
            <v>PT02</v>
          </cell>
          <cell r="E396" t="str">
            <v xml:space="preserve">Shifter Assembly - Automatic Transmission (AT) </v>
          </cell>
          <cell r="F396" t="str">
            <v>自动动换档器</v>
          </cell>
          <cell r="G396" t="str">
            <v>B</v>
          </cell>
          <cell r="H396" t="str">
            <v>PMT4</v>
          </cell>
          <cell r="I396" t="str">
            <v>PF</v>
          </cell>
          <cell r="J396" t="str">
            <v>JD8P</v>
          </cell>
          <cell r="K396" t="str">
            <v>7K004</v>
          </cell>
          <cell r="L396" t="str">
            <v>CAW</v>
          </cell>
          <cell r="M396" t="str">
            <v>JD8P-7K004-CAW</v>
          </cell>
          <cell r="O396" t="str">
            <v>NA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1</v>
          </cell>
          <cell r="Y396">
            <v>0</v>
          </cell>
          <cell r="Z396">
            <v>0</v>
          </cell>
          <cell r="AA396">
            <v>0.37</v>
          </cell>
          <cell r="AC396">
            <v>-256.5</v>
          </cell>
          <cell r="AD396">
            <v>-7.18</v>
          </cell>
          <cell r="AE396">
            <v>-12.88</v>
          </cell>
          <cell r="AF396">
            <v>-1.1499999999999999</v>
          </cell>
          <cell r="AG396">
            <v>0</v>
          </cell>
          <cell r="AH396">
            <v>-277.70999999999998</v>
          </cell>
          <cell r="AI396" t="str">
            <v>CNY</v>
          </cell>
          <cell r="AJ396" t="str">
            <v>LP</v>
          </cell>
          <cell r="AK396" t="str">
            <v>佛山东海理化 </v>
          </cell>
          <cell r="AL396" t="str">
            <v>FN02A </v>
          </cell>
          <cell r="BB396">
            <v>-76160</v>
          </cell>
          <cell r="BC396">
            <v>-76160</v>
          </cell>
          <cell r="BE396">
            <v>0</v>
          </cell>
          <cell r="BF396">
            <v>0</v>
          </cell>
          <cell r="BG396">
            <v>0</v>
          </cell>
          <cell r="BI396">
            <v>-560000</v>
          </cell>
          <cell r="BJ396">
            <v>486956</v>
          </cell>
        </row>
        <row r="397">
          <cell r="C397" t="str">
            <v>PT02</v>
          </cell>
          <cell r="E397" t="str">
            <v xml:space="preserve">Shifter Assembly - Automatic Transmission (AT) </v>
          </cell>
          <cell r="F397" t="str">
            <v>自动动换档器</v>
          </cell>
          <cell r="G397" t="str">
            <v>B</v>
          </cell>
          <cell r="H397" t="str">
            <v>PMT4</v>
          </cell>
          <cell r="I397" t="str">
            <v>PF</v>
          </cell>
          <cell r="J397" t="str">
            <v>JD8P</v>
          </cell>
          <cell r="K397" t="str">
            <v>7K004</v>
          </cell>
          <cell r="L397" t="str">
            <v>DBW</v>
          </cell>
          <cell r="M397" t="str">
            <v>JD8P-7K004-DBW</v>
          </cell>
          <cell r="O397" t="str">
            <v>NA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1</v>
          </cell>
          <cell r="Z397">
            <v>1</v>
          </cell>
          <cell r="AA397">
            <v>0.1</v>
          </cell>
          <cell r="AC397">
            <v>-261.10000000000002</v>
          </cell>
          <cell r="AD397">
            <v>-7.18</v>
          </cell>
          <cell r="AE397">
            <v>-12.88</v>
          </cell>
          <cell r="AF397">
            <v>-1.1499999999999999</v>
          </cell>
          <cell r="AG397">
            <v>0</v>
          </cell>
          <cell r="AH397">
            <v>-282.31</v>
          </cell>
          <cell r="AI397" t="str">
            <v>CNY</v>
          </cell>
          <cell r="AJ397" t="str">
            <v>LP</v>
          </cell>
          <cell r="AK397" t="str">
            <v>佛山东海理化 </v>
          </cell>
          <cell r="AL397" t="str">
            <v>FN02A </v>
          </cell>
          <cell r="BB397">
            <v>-20400</v>
          </cell>
          <cell r="BC397">
            <v>-20400</v>
          </cell>
          <cell r="BE397">
            <v>0</v>
          </cell>
          <cell r="BF397">
            <v>0</v>
          </cell>
          <cell r="BG397">
            <v>0</v>
          </cell>
          <cell r="BI397" t="str">
            <v>incl. in above</v>
          </cell>
          <cell r="BJ397" t="str">
            <v>incl. in above</v>
          </cell>
        </row>
        <row r="398">
          <cell r="C398" t="str">
            <v>PT83-1</v>
          </cell>
          <cell r="E398" t="str">
            <v>Stretch Belt</v>
          </cell>
          <cell r="F398" t="str">
            <v>弹性皮带</v>
          </cell>
          <cell r="G398" t="str">
            <v>na</v>
          </cell>
          <cell r="H398" t="str">
            <v>PMT4</v>
          </cell>
          <cell r="I398" t="str">
            <v>PF</v>
          </cell>
          <cell r="J398" t="str">
            <v>GN1G </v>
          </cell>
          <cell r="K398" t="str">
            <v>6C301 </v>
          </cell>
          <cell r="L398" t="str">
            <v>AA</v>
          </cell>
          <cell r="M398" t="str">
            <v>GN1G -6C301 -AA</v>
          </cell>
          <cell r="O398" t="str">
            <v>NA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0.72000000000000008</v>
          </cell>
          <cell r="AC398">
            <v>-25.6</v>
          </cell>
          <cell r="AD398">
            <v>-7.0000000000000007E-2</v>
          </cell>
          <cell r="AE398">
            <v>-0.2</v>
          </cell>
          <cell r="AF398">
            <v>-0.4</v>
          </cell>
          <cell r="AG398">
            <v>0</v>
          </cell>
          <cell r="AH398">
            <v>-26.27</v>
          </cell>
          <cell r="AI398" t="str">
            <v>CNY</v>
          </cell>
          <cell r="AJ398" t="str">
            <v>LP</v>
          </cell>
          <cell r="AK398" t="str">
            <v>苏州哈金森 </v>
          </cell>
          <cell r="AL398" t="str">
            <v>EYN0B </v>
          </cell>
          <cell r="BB398">
            <v>-175000</v>
          </cell>
          <cell r="BC398">
            <v>-175000</v>
          </cell>
          <cell r="BE398">
            <v>-70127</v>
          </cell>
          <cell r="BF398">
            <v>176263</v>
          </cell>
          <cell r="BG398">
            <v>0</v>
          </cell>
          <cell r="BI398">
            <v>0</v>
          </cell>
          <cell r="BJ398">
            <v>0</v>
          </cell>
        </row>
        <row r="399">
          <cell r="C399" t="str">
            <v>ET22</v>
          </cell>
          <cell r="E399" t="str">
            <v>Hood seal</v>
          </cell>
          <cell r="F399" t="str">
            <v>前盖胶条</v>
          </cell>
          <cell r="G399" t="str">
            <v>B</v>
          </cell>
          <cell r="H399" t="str">
            <v>PMT1</v>
          </cell>
          <cell r="I399" t="str">
            <v>TH</v>
          </cell>
          <cell r="J399" t="str">
            <v>JD8B</v>
          </cell>
          <cell r="K399" t="str">
            <v>F02824</v>
          </cell>
          <cell r="L399" t="str">
            <v>AC</v>
          </cell>
          <cell r="M399" t="str">
            <v>JD8B-F02824-AC</v>
          </cell>
          <cell r="O399" t="str">
            <v>NA</v>
          </cell>
          <cell r="P399" t="str">
            <v>谌洁(jchen202)</v>
          </cell>
          <cell r="Q399" t="str">
            <v>金正斌(zjin5)</v>
          </cell>
          <cell r="S399">
            <v>1</v>
          </cell>
          <cell r="T399">
            <v>1</v>
          </cell>
          <cell r="U399">
            <v>1</v>
          </cell>
          <cell r="V399">
            <v>1</v>
          </cell>
          <cell r="W399">
            <v>1</v>
          </cell>
          <cell r="X399">
            <v>1</v>
          </cell>
          <cell r="Y399">
            <v>1</v>
          </cell>
          <cell r="Z399">
            <v>1</v>
          </cell>
          <cell r="AA399">
            <v>1</v>
          </cell>
          <cell r="AC399">
            <v>-5.73</v>
          </cell>
          <cell r="AD399">
            <v>-0.25</v>
          </cell>
          <cell r="AE399">
            <v>-0.24</v>
          </cell>
          <cell r="AF399">
            <v>-0.02</v>
          </cell>
          <cell r="AG399">
            <v>0</v>
          </cell>
          <cell r="AH399">
            <v>-6.24</v>
          </cell>
          <cell r="AI399" t="str">
            <v>CNY</v>
          </cell>
          <cell r="AJ399" t="str">
            <v>LP</v>
          </cell>
          <cell r="AK399" t="str">
            <v>福州福光 </v>
          </cell>
          <cell r="AL399" t="str">
            <v>DKERA </v>
          </cell>
          <cell r="BB399">
            <v>-65000</v>
          </cell>
          <cell r="BC399">
            <v>-65000</v>
          </cell>
          <cell r="BE399">
            <v>0</v>
          </cell>
          <cell r="BF399">
            <v>0</v>
          </cell>
          <cell r="BG399">
            <v>0</v>
          </cell>
          <cell r="BI399">
            <v>-30290</v>
          </cell>
          <cell r="BJ399">
            <v>-1694763</v>
          </cell>
        </row>
        <row r="400">
          <cell r="C400" t="str">
            <v>B041</v>
          </cell>
          <cell r="E400" t="str">
            <v>Stamping_outsource stamping</v>
          </cell>
          <cell r="F400" t="str">
            <v>车顶后横梁</v>
          </cell>
          <cell r="G400" t="str">
            <v>D</v>
          </cell>
          <cell r="H400" t="str">
            <v>BIW</v>
          </cell>
          <cell r="I400" t="str">
            <v>TH</v>
          </cell>
          <cell r="J400" t="str">
            <v>ED8B</v>
          </cell>
          <cell r="K400" t="str">
            <v>F422B64 </v>
          </cell>
          <cell r="L400" t="str">
            <v>AF</v>
          </cell>
          <cell r="M400" t="str">
            <v>ED8B-F422B64 -AF</v>
          </cell>
          <cell r="O400" t="str">
            <v>NA</v>
          </cell>
          <cell r="P400" t="str">
            <v>陈刚</v>
          </cell>
          <cell r="Q400" t="str">
            <v>刘兆宇</v>
          </cell>
          <cell r="S400">
            <v>1</v>
          </cell>
          <cell r="T400">
            <v>1</v>
          </cell>
          <cell r="U400">
            <v>1</v>
          </cell>
          <cell r="V400">
            <v>1</v>
          </cell>
          <cell r="W400">
            <v>1</v>
          </cell>
          <cell r="X400">
            <v>1</v>
          </cell>
          <cell r="Y400">
            <v>1</v>
          </cell>
          <cell r="Z400">
            <v>1</v>
          </cell>
          <cell r="AA400">
            <v>1</v>
          </cell>
          <cell r="AC400">
            <v>-40.707999999999998</v>
          </cell>
          <cell r="AD400">
            <v>-0.37</v>
          </cell>
          <cell r="AE400">
            <v>-0.46</v>
          </cell>
          <cell r="AF400">
            <v>0</v>
          </cell>
          <cell r="AG400">
            <v>0</v>
          </cell>
          <cell r="AH400">
            <v>-41.537999999999997</v>
          </cell>
          <cell r="AI400" t="str">
            <v>CNY</v>
          </cell>
          <cell r="AJ400" t="str">
            <v>LP</v>
          </cell>
          <cell r="AK400" t="str">
            <v>重庆百能达普什 </v>
          </cell>
          <cell r="AL400" t="str">
            <v>GK18A </v>
          </cell>
          <cell r="BB400">
            <v>0</v>
          </cell>
          <cell r="BC400">
            <v>0</v>
          </cell>
          <cell r="BE400">
            <v>0</v>
          </cell>
          <cell r="BF400">
            <v>0</v>
          </cell>
          <cell r="BI400">
            <v>0</v>
          </cell>
          <cell r="BJ400">
            <v>0</v>
          </cell>
        </row>
        <row r="401">
          <cell r="C401" t="str">
            <v>IT17</v>
          </cell>
          <cell r="E401" t="str">
            <v>Console</v>
          </cell>
          <cell r="F401" t="str">
            <v>副仪表板</v>
          </cell>
          <cell r="G401" t="str">
            <v>B</v>
          </cell>
          <cell r="H401" t="str">
            <v>PMT2</v>
          </cell>
          <cell r="I401" t="str">
            <v>TH</v>
          </cell>
          <cell r="J401" t="str">
            <v>JD8B</v>
          </cell>
          <cell r="K401" t="str">
            <v>F044H83</v>
          </cell>
          <cell r="L401" t="str">
            <v>AAW</v>
          </cell>
          <cell r="M401" t="str">
            <v>JD8B-F044H83-AAW</v>
          </cell>
          <cell r="O401" t="str">
            <v>NA</v>
          </cell>
          <cell r="P401" t="str">
            <v>朱文斌(wzhu25)</v>
          </cell>
          <cell r="Q401" t="str">
            <v>李卫(wli77)</v>
          </cell>
          <cell r="S401">
            <v>1</v>
          </cell>
          <cell r="T401">
            <v>1</v>
          </cell>
          <cell r="U401">
            <v>1</v>
          </cell>
          <cell r="V401">
            <v>1</v>
          </cell>
          <cell r="W401">
            <v>1</v>
          </cell>
          <cell r="X401">
            <v>1</v>
          </cell>
          <cell r="AA401">
            <v>0.9</v>
          </cell>
          <cell r="AC401">
            <v>-15.480212765957445</v>
          </cell>
          <cell r="AE401">
            <v>-0.02</v>
          </cell>
          <cell r="AH401">
            <v>-15.500212765957444</v>
          </cell>
          <cell r="AI401" t="str">
            <v>CNY</v>
          </cell>
          <cell r="AJ401" t="str">
            <v>LP</v>
          </cell>
          <cell r="AK401" t="str">
            <v>重庆延峰</v>
          </cell>
          <cell r="AL401" t="str">
            <v>DBNJA</v>
          </cell>
          <cell r="BB401">
            <v>-200000</v>
          </cell>
          <cell r="BC401">
            <v>-200000</v>
          </cell>
          <cell r="BE401">
            <v>0</v>
          </cell>
          <cell r="BF401">
            <v>0</v>
          </cell>
        </row>
        <row r="402">
          <cell r="C402" t="str">
            <v>IT17</v>
          </cell>
          <cell r="E402" t="str">
            <v>Console</v>
          </cell>
          <cell r="F402" t="str">
            <v>副仪表板</v>
          </cell>
          <cell r="G402" t="str">
            <v>B</v>
          </cell>
          <cell r="H402" t="str">
            <v>PMT2</v>
          </cell>
          <cell r="I402" t="str">
            <v>TH</v>
          </cell>
          <cell r="J402" t="str">
            <v>JD8B</v>
          </cell>
          <cell r="K402" t="str">
            <v>F044H83</v>
          </cell>
          <cell r="L402" t="str">
            <v>BBW</v>
          </cell>
          <cell r="M402" t="str">
            <v>JD8B-F044H83-BBW</v>
          </cell>
          <cell r="O402" t="str">
            <v>NA</v>
          </cell>
          <cell r="P402" t="str">
            <v>朱文斌(wzhu26)</v>
          </cell>
          <cell r="Q402" t="str">
            <v>李卫(wli78)</v>
          </cell>
          <cell r="Y402">
            <v>1</v>
          </cell>
          <cell r="Z402">
            <v>1</v>
          </cell>
          <cell r="AA402">
            <v>0.1</v>
          </cell>
          <cell r="AC402">
            <v>-34.150212765957406</v>
          </cell>
          <cell r="AE402">
            <v>-0.02</v>
          </cell>
          <cell r="AH402">
            <v>-34.170212765957409</v>
          </cell>
          <cell r="AI402" t="str">
            <v>CNY</v>
          </cell>
          <cell r="AJ402" t="str">
            <v>LP</v>
          </cell>
          <cell r="AK402" t="str">
            <v>重庆延峰</v>
          </cell>
          <cell r="AL402" t="str">
            <v>DBNJA</v>
          </cell>
          <cell r="BB402">
            <v>-435000</v>
          </cell>
          <cell r="BC402">
            <v>-435000</v>
          </cell>
          <cell r="BE402">
            <v>0</v>
          </cell>
          <cell r="BF402">
            <v>0</v>
          </cell>
        </row>
        <row r="403">
          <cell r="C403" t="str">
            <v>IT17</v>
          </cell>
          <cell r="E403" t="str">
            <v>Console</v>
          </cell>
          <cell r="F403" t="str">
            <v>副仪表板</v>
          </cell>
          <cell r="G403" t="str">
            <v>B</v>
          </cell>
          <cell r="H403" t="str">
            <v>PMT2</v>
          </cell>
          <cell r="I403" t="str">
            <v>TH</v>
          </cell>
          <cell r="J403" t="str">
            <v>JD8B</v>
          </cell>
          <cell r="K403" t="str">
            <v>F045A06</v>
          </cell>
          <cell r="L403" t="str">
            <v>AHW</v>
          </cell>
          <cell r="M403" t="str">
            <v>JD8B-F045A06-AHW</v>
          </cell>
          <cell r="O403" t="str">
            <v>NA</v>
          </cell>
          <cell r="P403" t="str">
            <v>朱文斌(wzhu27)</v>
          </cell>
          <cell r="Q403" t="str">
            <v>李卫(wli79)</v>
          </cell>
          <cell r="U403">
            <v>1</v>
          </cell>
          <cell r="V403">
            <v>1</v>
          </cell>
          <cell r="AA403">
            <v>0.37</v>
          </cell>
          <cell r="AC403">
            <v>-239.76</v>
          </cell>
          <cell r="AD403">
            <v>0</v>
          </cell>
          <cell r="AE403">
            <v>-0.93</v>
          </cell>
          <cell r="AH403">
            <v>-240.69</v>
          </cell>
          <cell r="AI403" t="str">
            <v>CNY</v>
          </cell>
          <cell r="AK403" t="str">
            <v>延锋汽车饰件系统重庆有限公司</v>
          </cell>
          <cell r="AL403" t="str">
            <v>DBNJA</v>
          </cell>
          <cell r="BB403">
            <v>-6242390</v>
          </cell>
          <cell r="BC403">
            <v>-6242390</v>
          </cell>
          <cell r="BE403">
            <v>0</v>
          </cell>
          <cell r="BF403">
            <v>0</v>
          </cell>
        </row>
        <row r="404">
          <cell r="C404" t="str">
            <v>IT17</v>
          </cell>
          <cell r="E404" t="str">
            <v>Console</v>
          </cell>
          <cell r="F404" t="str">
            <v>副仪表板</v>
          </cell>
          <cell r="G404" t="str">
            <v>B</v>
          </cell>
          <cell r="H404" t="str">
            <v>PMT2</v>
          </cell>
          <cell r="I404" t="str">
            <v>TH</v>
          </cell>
          <cell r="J404" t="str">
            <v>JD8B</v>
          </cell>
          <cell r="K404" t="str">
            <v>F045A06</v>
          </cell>
          <cell r="L404" t="str">
            <v>BHW</v>
          </cell>
          <cell r="M404" t="str">
            <v>JD8B-F045A06-BHW</v>
          </cell>
          <cell r="O404" t="str">
            <v>NA</v>
          </cell>
          <cell r="P404" t="str">
            <v>朱文斌(wzhu28)</v>
          </cell>
          <cell r="Q404" t="str">
            <v>李卫(wli80)</v>
          </cell>
          <cell r="Y404">
            <v>1</v>
          </cell>
          <cell r="Z404">
            <v>1</v>
          </cell>
          <cell r="AA404">
            <v>0.1</v>
          </cell>
          <cell r="AC404">
            <v>-242.20999999999998</v>
          </cell>
          <cell r="AD404">
            <v>0</v>
          </cell>
          <cell r="AE404">
            <v>-0.93</v>
          </cell>
          <cell r="AH404">
            <v>-243.14</v>
          </cell>
          <cell r="AI404" t="str">
            <v>CNY</v>
          </cell>
          <cell r="AK404" t="str">
            <v>延锋汽车饰件系统重庆有限公司</v>
          </cell>
          <cell r="AL404" t="str">
            <v>DBNJA</v>
          </cell>
          <cell r="BB404">
            <v>0</v>
          </cell>
          <cell r="BC404">
            <v>0</v>
          </cell>
          <cell r="BE404">
            <v>0</v>
          </cell>
          <cell r="BF404">
            <v>0</v>
          </cell>
        </row>
        <row r="405">
          <cell r="C405" t="str">
            <v>IT17</v>
          </cell>
          <cell r="E405" t="str">
            <v>Console</v>
          </cell>
          <cell r="F405" t="str">
            <v>副仪表板</v>
          </cell>
          <cell r="G405" t="str">
            <v>B</v>
          </cell>
          <cell r="H405" t="str">
            <v>PMT2</v>
          </cell>
          <cell r="I405" t="str">
            <v>TH</v>
          </cell>
          <cell r="J405" t="str">
            <v>JD8B</v>
          </cell>
          <cell r="K405" t="str">
            <v>F045A06</v>
          </cell>
          <cell r="L405" t="str">
            <v>CFW</v>
          </cell>
          <cell r="M405" t="str">
            <v>JD8B-F045A06-CFW</v>
          </cell>
          <cell r="O405" t="str">
            <v>NA</v>
          </cell>
          <cell r="P405" t="str">
            <v>朱文斌(wzhu29)</v>
          </cell>
          <cell r="Q405" t="str">
            <v>李卫(wli81)</v>
          </cell>
          <cell r="S405">
            <v>1</v>
          </cell>
          <cell r="T405">
            <v>1</v>
          </cell>
          <cell r="AA405">
            <v>0.30000000000000004</v>
          </cell>
          <cell r="AC405">
            <v>-191.65</v>
          </cell>
          <cell r="AD405">
            <v>0</v>
          </cell>
          <cell r="AE405">
            <v>-0.93</v>
          </cell>
          <cell r="AH405">
            <v>-192.58</v>
          </cell>
          <cell r="AI405" t="str">
            <v>CNY</v>
          </cell>
          <cell r="AK405" t="str">
            <v>延锋汽车饰件系统重庆有限公司</v>
          </cell>
          <cell r="AL405" t="str">
            <v>DBNJA</v>
          </cell>
          <cell r="BB405">
            <v>0</v>
          </cell>
          <cell r="BC405">
            <v>0</v>
          </cell>
          <cell r="BE405">
            <v>0</v>
          </cell>
          <cell r="BF405">
            <v>0</v>
          </cell>
        </row>
        <row r="406">
          <cell r="C406" t="str">
            <v>IT17</v>
          </cell>
          <cell r="E406" t="str">
            <v>Console</v>
          </cell>
          <cell r="F406" t="str">
            <v>副仪表板</v>
          </cell>
          <cell r="G406" t="str">
            <v>B</v>
          </cell>
          <cell r="H406" t="str">
            <v>PMT2</v>
          </cell>
          <cell r="I406" t="str">
            <v>TH</v>
          </cell>
          <cell r="J406" t="str">
            <v>JD8B</v>
          </cell>
          <cell r="K406" t="str">
            <v>F045A06</v>
          </cell>
          <cell r="L406" t="str">
            <v>DHW</v>
          </cell>
          <cell r="M406" t="str">
            <v>JD8B-F045A06-DHW</v>
          </cell>
          <cell r="O406" t="str">
            <v>NA</v>
          </cell>
          <cell r="P406" t="str">
            <v>朱文斌(wzhu30)</v>
          </cell>
          <cell r="Q406" t="str">
            <v>李卫(wli82)</v>
          </cell>
          <cell r="W406">
            <v>1</v>
          </cell>
          <cell r="X406">
            <v>1</v>
          </cell>
          <cell r="Z406">
            <v>1</v>
          </cell>
          <cell r="AA406">
            <v>0.28000000000000003</v>
          </cell>
          <cell r="AC406">
            <v>-239.76</v>
          </cell>
          <cell r="AD406">
            <v>0</v>
          </cell>
          <cell r="AE406">
            <v>-0.93</v>
          </cell>
          <cell r="AH406">
            <v>-240.69</v>
          </cell>
          <cell r="AI406" t="str">
            <v>CNY</v>
          </cell>
          <cell r="AK406" t="str">
            <v>延锋汽车饰件系统重庆有限公司</v>
          </cell>
          <cell r="AL406" t="str">
            <v>DBNJA</v>
          </cell>
          <cell r="BE406">
            <v>0</v>
          </cell>
          <cell r="BF406">
            <v>0</v>
          </cell>
        </row>
        <row r="407">
          <cell r="C407" t="str">
            <v>IT17</v>
          </cell>
          <cell r="E407" t="str">
            <v>Console</v>
          </cell>
          <cell r="F407" t="str">
            <v>副仪表板</v>
          </cell>
          <cell r="G407" t="str">
            <v>B</v>
          </cell>
          <cell r="H407" t="str">
            <v>PMT2</v>
          </cell>
          <cell r="I407" t="str">
            <v>TH</v>
          </cell>
          <cell r="J407" t="str">
            <v>JD8B</v>
          </cell>
          <cell r="K407" t="str">
            <v>F046C00</v>
          </cell>
          <cell r="L407" t="str">
            <v>ACW</v>
          </cell>
          <cell r="M407" t="str">
            <v>JD8B-F046C00-ACW</v>
          </cell>
          <cell r="O407" t="str">
            <v>NA</v>
          </cell>
          <cell r="P407" t="str">
            <v>朱文斌(wzhu31)</v>
          </cell>
          <cell r="Q407" t="str">
            <v>李卫(wli83)</v>
          </cell>
          <cell r="S407">
            <v>1</v>
          </cell>
          <cell r="T407">
            <v>1</v>
          </cell>
          <cell r="AA407">
            <v>0.30000000000000004</v>
          </cell>
          <cell r="AC407">
            <v>-63.132723404255316</v>
          </cell>
          <cell r="AE407">
            <v>-0.4</v>
          </cell>
          <cell r="AH407">
            <v>-63.532723404255314</v>
          </cell>
          <cell r="AI407" t="str">
            <v>CNY</v>
          </cell>
          <cell r="AJ407" t="str">
            <v>LP</v>
          </cell>
          <cell r="AK407" t="str">
            <v>重庆延峰</v>
          </cell>
          <cell r="AL407" t="str">
            <v>DBNJA</v>
          </cell>
          <cell r="BB407">
            <v>-1797300</v>
          </cell>
          <cell r="BC407">
            <v>-1797300</v>
          </cell>
          <cell r="BE407">
            <v>0</v>
          </cell>
          <cell r="BF407">
            <v>0</v>
          </cell>
        </row>
        <row r="408">
          <cell r="C408" t="str">
            <v>IT17</v>
          </cell>
          <cell r="E408" t="str">
            <v>Console</v>
          </cell>
          <cell r="F408" t="str">
            <v>副仪表板</v>
          </cell>
          <cell r="G408" t="str">
            <v>B</v>
          </cell>
          <cell r="H408" t="str">
            <v>PMT2</v>
          </cell>
          <cell r="I408" t="str">
            <v>TH</v>
          </cell>
          <cell r="J408" t="str">
            <v>JD8B</v>
          </cell>
          <cell r="K408" t="str">
            <v>F046C00</v>
          </cell>
          <cell r="L408" t="str">
            <v>BCW</v>
          </cell>
          <cell r="M408" t="str">
            <v>JD8B-F046C00-BCW</v>
          </cell>
          <cell r="O408" t="str">
            <v>NA</v>
          </cell>
          <cell r="P408" t="str">
            <v>朱文斌(wzhu32)</v>
          </cell>
          <cell r="Q408" t="str">
            <v>李卫(wli84)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AA408">
            <v>0.6</v>
          </cell>
          <cell r="AC408">
            <v>-62.722723404255312</v>
          </cell>
          <cell r="AE408">
            <v>-0.4</v>
          </cell>
          <cell r="AH408">
            <v>-63.122723404255311</v>
          </cell>
          <cell r="AI408" t="str">
            <v>CNY</v>
          </cell>
          <cell r="AJ408" t="str">
            <v>LP</v>
          </cell>
          <cell r="AK408" t="str">
            <v>重庆延峰</v>
          </cell>
          <cell r="AL408" t="str">
            <v>DBNJA</v>
          </cell>
          <cell r="BB408">
            <v>0</v>
          </cell>
          <cell r="BC408">
            <v>0</v>
          </cell>
          <cell r="BE408">
            <v>0</v>
          </cell>
          <cell r="BF408">
            <v>0</v>
          </cell>
        </row>
        <row r="409">
          <cell r="C409" t="str">
            <v>IT17</v>
          </cell>
          <cell r="E409" t="str">
            <v>Console</v>
          </cell>
          <cell r="F409" t="str">
            <v>副仪表板</v>
          </cell>
          <cell r="G409" t="str">
            <v>B</v>
          </cell>
          <cell r="H409" t="str">
            <v>PMT2</v>
          </cell>
          <cell r="I409" t="str">
            <v>TH</v>
          </cell>
          <cell r="J409" t="str">
            <v>JD8B</v>
          </cell>
          <cell r="K409" t="str">
            <v>F046C00</v>
          </cell>
          <cell r="L409" t="str">
            <v>CCW</v>
          </cell>
          <cell r="M409" t="str">
            <v>JD8B-F046C00-CCW</v>
          </cell>
          <cell r="O409" t="str">
            <v>NA</v>
          </cell>
          <cell r="P409" t="str">
            <v>朱文斌(wzhu33)</v>
          </cell>
          <cell r="Q409" t="str">
            <v>李卫(wli85)</v>
          </cell>
          <cell r="Y409">
            <v>1</v>
          </cell>
          <cell r="Z409">
            <v>1</v>
          </cell>
          <cell r="AA409">
            <v>0.1</v>
          </cell>
          <cell r="AC409">
            <v>-76.622723404255311</v>
          </cell>
          <cell r="AE409">
            <v>-0.4</v>
          </cell>
          <cell r="AH409">
            <v>-77.022723404255316</v>
          </cell>
          <cell r="AI409" t="str">
            <v>CNY</v>
          </cell>
          <cell r="AJ409" t="str">
            <v>LP</v>
          </cell>
          <cell r="AK409" t="str">
            <v>重庆延峰</v>
          </cell>
          <cell r="AL409" t="str">
            <v>DBNJA</v>
          </cell>
          <cell r="BB409">
            <v>0</v>
          </cell>
          <cell r="BC409">
            <v>0</v>
          </cell>
          <cell r="BE409">
            <v>0</v>
          </cell>
          <cell r="BF409">
            <v>0</v>
          </cell>
        </row>
        <row r="410">
          <cell r="C410" t="str">
            <v>Blk-99</v>
          </cell>
          <cell r="E410" t="str">
            <v>Trans oil</v>
          </cell>
          <cell r="F410" t="str">
            <v>变速器油</v>
          </cell>
          <cell r="G410" t="str">
            <v>B</v>
          </cell>
          <cell r="H410" t="str">
            <v>PMT4</v>
          </cell>
          <cell r="I410" t="str">
            <v>TH</v>
          </cell>
          <cell r="J410" t="str">
            <v>WSS </v>
          </cell>
          <cell r="K410" t="str">
            <v>M2C200</v>
          </cell>
          <cell r="L410" t="str">
            <v>D2</v>
          </cell>
          <cell r="M410" t="str">
            <v>WSS -M2C200-D2</v>
          </cell>
          <cell r="O410" t="str">
            <v>NA</v>
          </cell>
          <cell r="P410" t="str">
            <v>朱文斌(wzhu34)</v>
          </cell>
          <cell r="Q410" t="str">
            <v>李卫(wli86)</v>
          </cell>
          <cell r="S410">
            <v>1</v>
          </cell>
          <cell r="T410">
            <v>0</v>
          </cell>
          <cell r="U410">
            <v>1</v>
          </cell>
          <cell r="V410">
            <v>0</v>
          </cell>
          <cell r="W410">
            <v>1</v>
          </cell>
          <cell r="X410">
            <v>0</v>
          </cell>
          <cell r="Y410">
            <v>0</v>
          </cell>
          <cell r="Z410">
            <v>0</v>
          </cell>
          <cell r="AA410">
            <v>0.37</v>
          </cell>
          <cell r="AC410">
            <v>-36.5</v>
          </cell>
          <cell r="AD410">
            <v>0</v>
          </cell>
          <cell r="AE410">
            <v>-0.5</v>
          </cell>
          <cell r="AF410">
            <v>0</v>
          </cell>
          <cell r="AG410">
            <v>0</v>
          </cell>
          <cell r="AH410">
            <v>-37</v>
          </cell>
          <cell r="AI410" t="str">
            <v>CNY</v>
          </cell>
          <cell r="AJ410" t="str">
            <v>LP</v>
          </cell>
          <cell r="AK410" t="str">
            <v>重庆世鹏 </v>
          </cell>
          <cell r="AL410" t="str">
            <v>NA</v>
          </cell>
          <cell r="BB410">
            <v>0</v>
          </cell>
          <cell r="BC410">
            <v>0</v>
          </cell>
          <cell r="BE410">
            <v>0</v>
          </cell>
          <cell r="BF410">
            <v>0</v>
          </cell>
          <cell r="BG410">
            <v>0</v>
          </cell>
          <cell r="BI410">
            <v>0</v>
          </cell>
          <cell r="BJ410">
            <v>0</v>
          </cell>
        </row>
        <row r="411">
          <cell r="C411" t="str">
            <v>IT02-1</v>
          </cell>
          <cell r="E411" t="str">
            <v>Seat Belts-Front</v>
          </cell>
          <cell r="F411" t="str">
            <v>前安全带</v>
          </cell>
          <cell r="G411" t="str">
            <v>B</v>
          </cell>
          <cell r="H411" t="str">
            <v>PMT2</v>
          </cell>
          <cell r="I411" t="str">
            <v>TH</v>
          </cell>
          <cell r="J411" t="str">
            <v>ED8B</v>
          </cell>
          <cell r="K411" t="str">
            <v>61208</v>
          </cell>
          <cell r="L411" t="str">
            <v>ACW</v>
          </cell>
          <cell r="M411" t="str">
            <v>ED8B-61208-ACW</v>
          </cell>
          <cell r="O411" t="str">
            <v>NA</v>
          </cell>
          <cell r="P411" t="str">
            <v>张鸿春</v>
          </cell>
          <cell r="Q411" t="str">
            <v>张兴华</v>
          </cell>
          <cell r="S411">
            <v>1</v>
          </cell>
          <cell r="T411">
            <v>1</v>
          </cell>
          <cell r="U411">
            <v>1</v>
          </cell>
          <cell r="V411">
            <v>1</v>
          </cell>
          <cell r="W411">
            <v>1</v>
          </cell>
          <cell r="X411">
            <v>1</v>
          </cell>
          <cell r="Y411">
            <v>1</v>
          </cell>
          <cell r="Z411">
            <v>1</v>
          </cell>
          <cell r="AA411">
            <v>1</v>
          </cell>
          <cell r="AC411">
            <v>-32.32</v>
          </cell>
          <cell r="AD411">
            <v>-0.15</v>
          </cell>
          <cell r="AE411" t="str">
            <v>Milkrun</v>
          </cell>
          <cell r="AF411">
            <v>0</v>
          </cell>
          <cell r="AG411">
            <v>-0.23</v>
          </cell>
          <cell r="AH411">
            <v>-32.699999999999996</v>
          </cell>
          <cell r="AI411" t="str">
            <v>CNY</v>
          </cell>
          <cell r="AJ411" t="str">
            <v>LP</v>
          </cell>
          <cell r="AK411" t="str">
            <v>南京奥托立夫 </v>
          </cell>
          <cell r="AL411" t="str">
            <v>V2CGA </v>
          </cell>
          <cell r="BB411">
            <v>0</v>
          </cell>
          <cell r="BC411">
            <v>0</v>
          </cell>
          <cell r="BE411" t="str">
            <v>share with 61294</v>
          </cell>
        </row>
        <row r="412">
          <cell r="C412" t="str">
            <v>IT02-1</v>
          </cell>
          <cell r="E412" t="str">
            <v>Seat Belts-Front</v>
          </cell>
          <cell r="F412" t="str">
            <v>前安全带</v>
          </cell>
          <cell r="G412" t="str">
            <v>B</v>
          </cell>
          <cell r="H412" t="str">
            <v>PMT2</v>
          </cell>
          <cell r="I412" t="str">
            <v>TH</v>
          </cell>
          <cell r="J412" t="str">
            <v>ED8B</v>
          </cell>
          <cell r="K412" t="str">
            <v>61209</v>
          </cell>
          <cell r="L412" t="str">
            <v>ACW</v>
          </cell>
          <cell r="M412" t="str">
            <v>ED8B-61209-ACW</v>
          </cell>
          <cell r="O412" t="str">
            <v>NA</v>
          </cell>
          <cell r="P412" t="str">
            <v>张鸿春</v>
          </cell>
          <cell r="Q412" t="str">
            <v>张兴华</v>
          </cell>
          <cell r="S412">
            <v>1</v>
          </cell>
          <cell r="T412">
            <v>1</v>
          </cell>
          <cell r="U412">
            <v>1</v>
          </cell>
          <cell r="V412">
            <v>1</v>
          </cell>
          <cell r="W412">
            <v>1</v>
          </cell>
          <cell r="X412">
            <v>1</v>
          </cell>
          <cell r="Y412">
            <v>1</v>
          </cell>
          <cell r="Z412">
            <v>1</v>
          </cell>
          <cell r="AA412">
            <v>1</v>
          </cell>
          <cell r="AC412">
            <v>-34.369999999999997</v>
          </cell>
          <cell r="AD412">
            <v>-0.15</v>
          </cell>
          <cell r="AE412" t="str">
            <v>Milkrun</v>
          </cell>
          <cell r="AF412">
            <v>0</v>
          </cell>
          <cell r="AG412">
            <v>-0.23</v>
          </cell>
          <cell r="AH412">
            <v>-34.749999999999993</v>
          </cell>
          <cell r="AI412" t="str">
            <v>CNY</v>
          </cell>
          <cell r="AJ412" t="str">
            <v>LP</v>
          </cell>
          <cell r="AK412" t="str">
            <v>南京奥托立夫 </v>
          </cell>
          <cell r="AL412" t="str">
            <v>V2CGA </v>
          </cell>
          <cell r="BB412">
            <v>0</v>
          </cell>
          <cell r="BC412">
            <v>0</v>
          </cell>
          <cell r="BE412" t="str">
            <v>share with 61294</v>
          </cell>
        </row>
        <row r="413">
          <cell r="C413" t="str">
            <v>IT02-1</v>
          </cell>
          <cell r="E413" t="str">
            <v>Seat Belts-Front</v>
          </cell>
          <cell r="F413" t="str">
            <v>前安全带</v>
          </cell>
          <cell r="G413" t="str">
            <v>B</v>
          </cell>
          <cell r="H413" t="str">
            <v>PMT2</v>
          </cell>
          <cell r="I413" t="str">
            <v>TH</v>
          </cell>
          <cell r="J413" t="str">
            <v>ED8B</v>
          </cell>
          <cell r="K413" t="str">
            <v>61294</v>
          </cell>
          <cell r="L413" t="str">
            <v>ACW</v>
          </cell>
          <cell r="M413" t="str">
            <v>ED8B-61294-ACW</v>
          </cell>
          <cell r="O413" t="str">
            <v>NA</v>
          </cell>
          <cell r="P413" t="str">
            <v>张鸿春</v>
          </cell>
          <cell r="Q413" t="str">
            <v>张兴华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C413">
            <v>-103.2</v>
          </cell>
          <cell r="AD413">
            <v>-1.01</v>
          </cell>
          <cell r="AE413" t="str">
            <v>Milkrun</v>
          </cell>
          <cell r="AF413">
            <v>-0.56000000000000005</v>
          </cell>
          <cell r="AG413">
            <v>-0.23</v>
          </cell>
          <cell r="AH413">
            <v>-105.00000000000001</v>
          </cell>
          <cell r="AI413" t="str">
            <v>CNY</v>
          </cell>
          <cell r="AJ413" t="str">
            <v>LP</v>
          </cell>
          <cell r="AK413" t="str">
            <v>南京奥托立夫 </v>
          </cell>
          <cell r="AL413" t="str">
            <v>V2CGA </v>
          </cell>
          <cell r="BB413">
            <v>0</v>
          </cell>
          <cell r="BC413">
            <v>0</v>
          </cell>
          <cell r="BE413">
            <v>-529998</v>
          </cell>
          <cell r="BF413">
            <v>2299556</v>
          </cell>
          <cell r="BI413">
            <v>-1793718</v>
          </cell>
          <cell r="BJ413">
            <v>3193156</v>
          </cell>
        </row>
        <row r="414">
          <cell r="C414" t="str">
            <v>IT02-1</v>
          </cell>
          <cell r="E414" t="str">
            <v>Seat Belts-Front</v>
          </cell>
          <cell r="F414" t="str">
            <v>前安全带</v>
          </cell>
          <cell r="G414" t="str">
            <v>B</v>
          </cell>
          <cell r="H414" t="str">
            <v>PMT2</v>
          </cell>
          <cell r="I414" t="str">
            <v>TH</v>
          </cell>
          <cell r="J414" t="str">
            <v>ED8B</v>
          </cell>
          <cell r="K414" t="str">
            <v>61295</v>
          </cell>
          <cell r="L414" t="str">
            <v>ACW</v>
          </cell>
          <cell r="M414" t="str">
            <v>ED8B-61295-ACW</v>
          </cell>
          <cell r="O414" t="str">
            <v>NA</v>
          </cell>
          <cell r="P414" t="str">
            <v>张鸿春</v>
          </cell>
          <cell r="Q414" t="str">
            <v>张兴华</v>
          </cell>
          <cell r="S414">
            <v>1</v>
          </cell>
          <cell r="T414">
            <v>1</v>
          </cell>
          <cell r="U414">
            <v>1</v>
          </cell>
          <cell r="V414">
            <v>1</v>
          </cell>
          <cell r="W414">
            <v>1</v>
          </cell>
          <cell r="X414">
            <v>1</v>
          </cell>
          <cell r="Y414">
            <v>1</v>
          </cell>
          <cell r="Z414">
            <v>1</v>
          </cell>
          <cell r="AA414">
            <v>1</v>
          </cell>
          <cell r="AC414">
            <v>-103.2</v>
          </cell>
          <cell r="AD414">
            <v>-1.01</v>
          </cell>
          <cell r="AE414" t="str">
            <v>Milkrun</v>
          </cell>
          <cell r="AF414">
            <v>-0.56000000000000005</v>
          </cell>
          <cell r="AG414">
            <v>-0.23</v>
          </cell>
          <cell r="AH414">
            <v>-105.00000000000001</v>
          </cell>
          <cell r="AI414" t="str">
            <v>CNY</v>
          </cell>
          <cell r="AJ414" t="str">
            <v>LP</v>
          </cell>
          <cell r="AK414" t="str">
            <v>南京奥托立夫 </v>
          </cell>
          <cell r="AL414" t="str">
            <v>V2CGA </v>
          </cell>
          <cell r="BB414">
            <v>0</v>
          </cell>
          <cell r="BC414">
            <v>0</v>
          </cell>
          <cell r="BE414" t="str">
            <v>share with 61294</v>
          </cell>
          <cell r="BI414" t="str">
            <v>incl.in above</v>
          </cell>
        </row>
        <row r="415">
          <cell r="C415" t="str">
            <v>B044</v>
          </cell>
          <cell r="E415" t="str">
            <v>Fastener</v>
          </cell>
          <cell r="G415" t="str">
            <v>na</v>
          </cell>
          <cell r="H415" t="str">
            <v>BIW</v>
          </cell>
          <cell r="I415" t="str">
            <v>TH</v>
          </cell>
          <cell r="K415" t="str">
            <v>W708839 </v>
          </cell>
          <cell r="L415" t="str">
            <v>S403 </v>
          </cell>
          <cell r="M415" t="str">
            <v>-W708839 -S403 </v>
          </cell>
          <cell r="O415" t="str">
            <v>NA</v>
          </cell>
          <cell r="P415" t="str">
            <v>张春晖</v>
          </cell>
          <cell r="Q415" t="str">
            <v>江桢</v>
          </cell>
          <cell r="S415">
            <v>1</v>
          </cell>
          <cell r="T415">
            <v>1</v>
          </cell>
          <cell r="U415">
            <v>1</v>
          </cell>
          <cell r="V415">
            <v>1</v>
          </cell>
          <cell r="W415">
            <v>1</v>
          </cell>
          <cell r="X415">
            <v>1</v>
          </cell>
          <cell r="Y415">
            <v>1</v>
          </cell>
          <cell r="Z415">
            <v>1</v>
          </cell>
          <cell r="AA415">
            <v>1</v>
          </cell>
          <cell r="AC415">
            <v>-0.124</v>
          </cell>
          <cell r="AD415">
            <v>-2E-3</v>
          </cell>
          <cell r="AE415">
            <v>-4.0000000000000001E-3</v>
          </cell>
          <cell r="AF415">
            <v>0</v>
          </cell>
          <cell r="AG415">
            <v>0</v>
          </cell>
          <cell r="AH415">
            <v>-0.13</v>
          </cell>
          <cell r="AI415" t="str">
            <v>CNY</v>
          </cell>
          <cell r="AJ415" t="str">
            <v>LP</v>
          </cell>
          <cell r="AK415" t="str">
            <v>上海奥达科 </v>
          </cell>
          <cell r="AL415" t="str">
            <v>V2CGA </v>
          </cell>
          <cell r="BB415">
            <v>0</v>
          </cell>
          <cell r="BC415">
            <v>0</v>
          </cell>
          <cell r="BE415">
            <v>0</v>
          </cell>
          <cell r="BF415">
            <v>0</v>
          </cell>
          <cell r="BG415">
            <v>0</v>
          </cell>
          <cell r="BI415">
            <v>0</v>
          </cell>
          <cell r="BJ415">
            <v>0</v>
          </cell>
        </row>
        <row r="416">
          <cell r="C416" t="str">
            <v>IT91</v>
          </cell>
          <cell r="E416" t="str">
            <v>Instrument Panel, IP Finish Panels</v>
          </cell>
          <cell r="G416" t="str">
            <v>B</v>
          </cell>
          <cell r="H416" t="str">
            <v>PMT2</v>
          </cell>
          <cell r="I416" t="str">
            <v>TH</v>
          </cell>
          <cell r="J416" t="str">
            <v>MJD8B </v>
          </cell>
          <cell r="K416" t="str">
            <v>LBBA</v>
          </cell>
          <cell r="L416" t="str">
            <v>AGW</v>
          </cell>
          <cell r="M416" t="str">
            <v>MJD8B -LBBA-AGW</v>
          </cell>
          <cell r="O416" t="str">
            <v>NA</v>
          </cell>
          <cell r="P416" t="str">
            <v>林庆(qlin12)</v>
          </cell>
          <cell r="Q416" t="str">
            <v>李卫</v>
          </cell>
          <cell r="S416">
            <v>1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0.14000000000000001</v>
          </cell>
          <cell r="AC416">
            <v>-750.76</v>
          </cell>
          <cell r="AE416">
            <v>-8.44</v>
          </cell>
          <cell r="AF416">
            <v>-2.12</v>
          </cell>
          <cell r="AH416">
            <v>-761.32</v>
          </cell>
          <cell r="AI416" t="str">
            <v>CNY</v>
          </cell>
          <cell r="AJ416" t="str">
            <v>LP</v>
          </cell>
          <cell r="AK416" t="str">
            <v>重庆延锋 </v>
          </cell>
          <cell r="AL416" t="str">
            <v>DBNJA </v>
          </cell>
          <cell r="BB416">
            <v>-7413400</v>
          </cell>
          <cell r="BC416">
            <v>-7413400</v>
          </cell>
          <cell r="BE416">
            <v>0</v>
          </cell>
          <cell r="BF416">
            <v>0</v>
          </cell>
          <cell r="BI416">
            <v>0</v>
          </cell>
          <cell r="BJ416">
            <v>0</v>
          </cell>
        </row>
        <row r="417">
          <cell r="C417" t="str">
            <v>IT91</v>
          </cell>
          <cell r="E417" t="str">
            <v>Instrument Panel, IP Finish Panels</v>
          </cell>
          <cell r="G417" t="str">
            <v>B</v>
          </cell>
          <cell r="H417" t="str">
            <v>PMT2</v>
          </cell>
          <cell r="I417" t="str">
            <v>TH</v>
          </cell>
          <cell r="J417" t="str">
            <v>MJD8B </v>
          </cell>
          <cell r="K417" t="str">
            <v>LBBA</v>
          </cell>
          <cell r="L417" t="str">
            <v>BGW</v>
          </cell>
          <cell r="M417" t="str">
            <v>MJD8B -LBBA-BGW</v>
          </cell>
          <cell r="O417" t="str">
            <v>NA</v>
          </cell>
          <cell r="P417" t="str">
            <v>林庆(qlin13)</v>
          </cell>
          <cell r="Q417" t="str">
            <v>李卫</v>
          </cell>
          <cell r="S417">
            <v>0</v>
          </cell>
          <cell r="T417">
            <v>1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0.16</v>
          </cell>
          <cell r="AC417">
            <v>-750.76</v>
          </cell>
          <cell r="AE417">
            <v>-8.44</v>
          </cell>
          <cell r="AF417">
            <v>-2.12</v>
          </cell>
          <cell r="AH417">
            <v>-761.32</v>
          </cell>
          <cell r="AI417" t="str">
            <v>CNY</v>
          </cell>
          <cell r="AJ417" t="str">
            <v>LP</v>
          </cell>
          <cell r="AK417" t="str">
            <v>重庆延锋 </v>
          </cell>
          <cell r="AL417" t="str">
            <v>DBNJA </v>
          </cell>
          <cell r="BE417">
            <v>0</v>
          </cell>
          <cell r="BF417">
            <v>0</v>
          </cell>
          <cell r="BI417">
            <v>0</v>
          </cell>
          <cell r="BJ417">
            <v>0</v>
          </cell>
        </row>
        <row r="418">
          <cell r="C418" t="str">
            <v>IT91</v>
          </cell>
          <cell r="E418" t="str">
            <v>Instrument Panel, IP Finish Panels</v>
          </cell>
          <cell r="G418" t="str">
            <v>B</v>
          </cell>
          <cell r="H418" t="str">
            <v>PMT2</v>
          </cell>
          <cell r="I418" t="str">
            <v>TH</v>
          </cell>
          <cell r="J418" t="str">
            <v>MJD8B </v>
          </cell>
          <cell r="K418" t="str">
            <v>LBBA</v>
          </cell>
          <cell r="L418" t="str">
            <v>CGW</v>
          </cell>
          <cell r="M418" t="str">
            <v>MJD8B -LBBA-CGW</v>
          </cell>
          <cell r="O418" t="str">
            <v>NA</v>
          </cell>
          <cell r="P418" t="str">
            <v>林庆(qlin14)</v>
          </cell>
          <cell r="Q418" t="str">
            <v>李卫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-735.22</v>
          </cell>
          <cell r="AE418">
            <v>-8.44</v>
          </cell>
          <cell r="AF418">
            <v>-2.12</v>
          </cell>
          <cell r="AH418">
            <v>-745.78000000000009</v>
          </cell>
          <cell r="AI418" t="str">
            <v>CNY</v>
          </cell>
          <cell r="AJ418" t="str">
            <v>LP</v>
          </cell>
          <cell r="AK418" t="str">
            <v>重庆延锋 </v>
          </cell>
          <cell r="AL418" t="str">
            <v>DBNJA </v>
          </cell>
          <cell r="BE418">
            <v>0</v>
          </cell>
          <cell r="BF418">
            <v>0</v>
          </cell>
          <cell r="BI418">
            <v>0</v>
          </cell>
          <cell r="BJ418">
            <v>0</v>
          </cell>
        </row>
        <row r="419">
          <cell r="C419" t="str">
            <v>IT91</v>
          </cell>
          <cell r="E419" t="str">
            <v>Instrument Panel, IP Finish Panels</v>
          </cell>
          <cell r="G419" t="str">
            <v>B</v>
          </cell>
          <cell r="H419" t="str">
            <v>PMT2</v>
          </cell>
          <cell r="I419" t="str">
            <v>TH</v>
          </cell>
          <cell r="J419" t="str">
            <v>MJD8B </v>
          </cell>
          <cell r="K419" t="str">
            <v>LBBA</v>
          </cell>
          <cell r="L419" t="str">
            <v>DGW</v>
          </cell>
          <cell r="M419" t="str">
            <v>MJD8B -LBBA-DGW</v>
          </cell>
          <cell r="O419" t="str">
            <v>NA</v>
          </cell>
          <cell r="P419" t="str">
            <v>林庆(qlin15)</v>
          </cell>
          <cell r="Q419" t="str">
            <v>李卫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-735.22</v>
          </cell>
          <cell r="AE419">
            <v>-8.44</v>
          </cell>
          <cell r="AF419">
            <v>-2.12</v>
          </cell>
          <cell r="AH419">
            <v>-745.78000000000009</v>
          </cell>
          <cell r="AI419" t="str">
            <v>CNY</v>
          </cell>
          <cell r="AJ419" t="str">
            <v>LP</v>
          </cell>
          <cell r="AK419" t="str">
            <v>重庆延锋 </v>
          </cell>
          <cell r="AL419" t="str">
            <v>DBNJA </v>
          </cell>
          <cell r="BE419">
            <v>0</v>
          </cell>
          <cell r="BF419">
            <v>0</v>
          </cell>
          <cell r="BI419">
            <v>0</v>
          </cell>
          <cell r="BJ419">
            <v>0</v>
          </cell>
        </row>
        <row r="420">
          <cell r="C420" t="str">
            <v>IT91</v>
          </cell>
          <cell r="E420" t="str">
            <v>Instrument Panel, IP Finish Panels</v>
          </cell>
          <cell r="G420" t="str">
            <v>B</v>
          </cell>
          <cell r="H420" t="str">
            <v>PMT2</v>
          </cell>
          <cell r="I420" t="str">
            <v>TH</v>
          </cell>
          <cell r="J420" t="str">
            <v>MJD8B </v>
          </cell>
          <cell r="K420" t="str">
            <v>LBBA</v>
          </cell>
          <cell r="L420" t="str">
            <v>EGW</v>
          </cell>
          <cell r="M420" t="str">
            <v>MJD8B -LBBA-EGW</v>
          </cell>
          <cell r="O420" t="str">
            <v>NA</v>
          </cell>
          <cell r="P420" t="str">
            <v>林庆(qlin16)</v>
          </cell>
          <cell r="Q420" t="str">
            <v>李卫</v>
          </cell>
          <cell r="S420">
            <v>0</v>
          </cell>
          <cell r="T420">
            <v>0</v>
          </cell>
          <cell r="U420">
            <v>1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0.14000000000000001</v>
          </cell>
          <cell r="AC420">
            <v>-1040.83</v>
          </cell>
          <cell r="AE420">
            <v>-8.4600000000000009</v>
          </cell>
          <cell r="AF420">
            <v>-2.12</v>
          </cell>
          <cell r="AH420">
            <v>-1051.4099999999999</v>
          </cell>
          <cell r="AI420" t="str">
            <v>CNY</v>
          </cell>
          <cell r="AJ420" t="str">
            <v>LP</v>
          </cell>
          <cell r="AK420" t="str">
            <v>重庆延锋 </v>
          </cell>
          <cell r="AL420" t="str">
            <v>DBNJA </v>
          </cell>
          <cell r="BE420">
            <v>0</v>
          </cell>
          <cell r="BF420">
            <v>0</v>
          </cell>
          <cell r="BI420">
            <v>0</v>
          </cell>
          <cell r="BJ420">
            <v>0</v>
          </cell>
        </row>
        <row r="421">
          <cell r="C421" t="str">
            <v>IT91</v>
          </cell>
          <cell r="E421" t="str">
            <v>Instrument Panel, IP Finish Panels</v>
          </cell>
          <cell r="G421" t="str">
            <v>B</v>
          </cell>
          <cell r="H421" t="str">
            <v>PMT2</v>
          </cell>
          <cell r="I421" t="str">
            <v>TH</v>
          </cell>
          <cell r="J421" t="str">
            <v>MJD8B </v>
          </cell>
          <cell r="K421" t="str">
            <v>LBBA</v>
          </cell>
          <cell r="L421" t="str">
            <v>FGW</v>
          </cell>
          <cell r="M421" t="str">
            <v>MJD8B -LBBA-FGW</v>
          </cell>
          <cell r="O421" t="str">
            <v>NA</v>
          </cell>
          <cell r="P421" t="str">
            <v>林庆(qlin17)</v>
          </cell>
          <cell r="Q421" t="str">
            <v>李卫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0.23</v>
          </cell>
          <cell r="AC421">
            <v>-1040.83</v>
          </cell>
          <cell r="AE421">
            <v>-8.4600000000000009</v>
          </cell>
          <cell r="AF421">
            <v>-2.12</v>
          </cell>
          <cell r="AH421">
            <v>-1051.4099999999999</v>
          </cell>
          <cell r="AI421" t="str">
            <v>CNY</v>
          </cell>
          <cell r="AJ421" t="str">
            <v>LP</v>
          </cell>
          <cell r="AK421" t="str">
            <v>重庆延锋 </v>
          </cell>
          <cell r="AL421" t="str">
            <v>DBNJA </v>
          </cell>
          <cell r="BE421">
            <v>0</v>
          </cell>
          <cell r="BF421">
            <v>0</v>
          </cell>
          <cell r="BI421">
            <v>0</v>
          </cell>
          <cell r="BJ421">
            <v>0</v>
          </cell>
        </row>
        <row r="422">
          <cell r="C422" t="str">
            <v>IT91</v>
          </cell>
          <cell r="E422" t="str">
            <v>Instrument Panel, IP Finish Panels</v>
          </cell>
          <cell r="G422" t="str">
            <v>B</v>
          </cell>
          <cell r="H422" t="str">
            <v>PMT2</v>
          </cell>
          <cell r="I422" t="str">
            <v>TH</v>
          </cell>
          <cell r="J422" t="str">
            <v>MJD8B </v>
          </cell>
          <cell r="K422" t="str">
            <v>LBBA</v>
          </cell>
          <cell r="L422" t="str">
            <v>GGW</v>
          </cell>
          <cell r="M422" t="str">
            <v>MJD8B -LBBA-GGW</v>
          </cell>
          <cell r="O422" t="str">
            <v>NA</v>
          </cell>
          <cell r="P422" t="str">
            <v>林庆(qlin18)</v>
          </cell>
          <cell r="Q422" t="str">
            <v>李卫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-1025.29</v>
          </cell>
          <cell r="AE422">
            <v>-8.4600000000000009</v>
          </cell>
          <cell r="AF422">
            <v>-2.12</v>
          </cell>
          <cell r="AH422">
            <v>-1035.8699999999999</v>
          </cell>
          <cell r="AI422" t="str">
            <v>CNY</v>
          </cell>
          <cell r="AJ422" t="str">
            <v>LP</v>
          </cell>
          <cell r="AK422" t="str">
            <v>重庆延锋 </v>
          </cell>
          <cell r="AL422" t="str">
            <v>DBNJA </v>
          </cell>
          <cell r="BE422">
            <v>0</v>
          </cell>
          <cell r="BF422">
            <v>0</v>
          </cell>
          <cell r="BI422">
            <v>0</v>
          </cell>
          <cell r="BJ422">
            <v>0</v>
          </cell>
        </row>
        <row r="423">
          <cell r="C423" t="str">
            <v>IT91</v>
          </cell>
          <cell r="E423" t="str">
            <v>Instrument Panel, IP Finish Panels</v>
          </cell>
          <cell r="G423" t="str">
            <v>B</v>
          </cell>
          <cell r="H423" t="str">
            <v>PMT2</v>
          </cell>
          <cell r="I423" t="str">
            <v>TH</v>
          </cell>
          <cell r="J423" t="str">
            <v>MJD8B </v>
          </cell>
          <cell r="K423" t="str">
            <v>LBBA</v>
          </cell>
          <cell r="L423" t="str">
            <v>HGW</v>
          </cell>
          <cell r="M423" t="str">
            <v>MJD8B -LBBA-HGW</v>
          </cell>
          <cell r="O423" t="str">
            <v>NA</v>
          </cell>
          <cell r="P423" t="str">
            <v>林庆(qlin19)</v>
          </cell>
          <cell r="Q423" t="str">
            <v>李卫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-1025.29</v>
          </cell>
          <cell r="AE423">
            <v>-8.4600000000000009</v>
          </cell>
          <cell r="AF423">
            <v>-2.12</v>
          </cell>
          <cell r="AH423">
            <v>-1035.8699999999999</v>
          </cell>
          <cell r="AI423" t="str">
            <v>CNY</v>
          </cell>
          <cell r="AJ423" t="str">
            <v>LP</v>
          </cell>
          <cell r="AK423" t="str">
            <v>重庆延锋 </v>
          </cell>
          <cell r="AL423" t="str">
            <v>DBNJA </v>
          </cell>
          <cell r="BE423">
            <v>0</v>
          </cell>
          <cell r="BF423">
            <v>0</v>
          </cell>
          <cell r="BI423">
            <v>0</v>
          </cell>
          <cell r="BJ423">
            <v>0</v>
          </cell>
        </row>
        <row r="424">
          <cell r="C424" t="str">
            <v>IT91</v>
          </cell>
          <cell r="E424" t="str">
            <v>Instrument Panel, IP Finish Panels</v>
          </cell>
          <cell r="G424" t="str">
            <v>B</v>
          </cell>
          <cell r="H424" t="str">
            <v>PMT2</v>
          </cell>
          <cell r="I424" t="str">
            <v>TH</v>
          </cell>
          <cell r="J424" t="str">
            <v>MJD8B </v>
          </cell>
          <cell r="K424" t="str">
            <v>LBBA</v>
          </cell>
          <cell r="L424" t="str">
            <v>JGW</v>
          </cell>
          <cell r="M424" t="str">
            <v>MJD8B -LBBA-JGW</v>
          </cell>
          <cell r="O424" t="str">
            <v>NA</v>
          </cell>
          <cell r="P424" t="str">
            <v>林庆(qlin20)</v>
          </cell>
          <cell r="Q424" t="str">
            <v>李卫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0.09</v>
          </cell>
          <cell r="AC424">
            <v>-943.43</v>
          </cell>
          <cell r="AE424">
            <v>-8.4600000000000009</v>
          </cell>
          <cell r="AF424">
            <v>-2.12</v>
          </cell>
          <cell r="AH424">
            <v>-954.01</v>
          </cell>
          <cell r="AI424" t="str">
            <v>CNY</v>
          </cell>
          <cell r="AJ424" t="str">
            <v>LP</v>
          </cell>
          <cell r="AK424" t="str">
            <v>重庆延锋 </v>
          </cell>
          <cell r="AL424" t="str">
            <v>DBNJA </v>
          </cell>
          <cell r="BE424">
            <v>0</v>
          </cell>
          <cell r="BF424">
            <v>0</v>
          </cell>
          <cell r="BI424">
            <v>0</v>
          </cell>
          <cell r="BJ424">
            <v>0</v>
          </cell>
        </row>
        <row r="425">
          <cell r="C425" t="str">
            <v>IT91</v>
          </cell>
          <cell r="E425" t="str">
            <v>Instrument Panel, IP Finish Panels</v>
          </cell>
          <cell r="G425" t="str">
            <v>B</v>
          </cell>
          <cell r="H425" t="str">
            <v>PMT2</v>
          </cell>
          <cell r="I425" t="str">
            <v>TH</v>
          </cell>
          <cell r="J425" t="str">
            <v>MJD8B </v>
          </cell>
          <cell r="K425" t="str">
            <v>LBBA</v>
          </cell>
          <cell r="L425" t="str">
            <v>KGW</v>
          </cell>
          <cell r="M425" t="str">
            <v>MJD8B -LBBA-KGW</v>
          </cell>
          <cell r="O425" t="str">
            <v>NA</v>
          </cell>
          <cell r="P425" t="str">
            <v>林庆(qlin21)</v>
          </cell>
          <cell r="Q425" t="str">
            <v>李卫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1</v>
          </cell>
          <cell r="Y425">
            <v>0</v>
          </cell>
          <cell r="Z425">
            <v>0</v>
          </cell>
          <cell r="AA425">
            <v>0.14000000000000001</v>
          </cell>
          <cell r="AC425">
            <v>-943.43</v>
          </cell>
          <cell r="AE425">
            <v>-8.4600000000000009</v>
          </cell>
          <cell r="AF425">
            <v>-2.12</v>
          </cell>
          <cell r="AH425">
            <v>-954.01</v>
          </cell>
          <cell r="AI425" t="str">
            <v>CNY</v>
          </cell>
          <cell r="AJ425" t="str">
            <v>LP</v>
          </cell>
          <cell r="AK425" t="str">
            <v>重庆延锋 </v>
          </cell>
          <cell r="AL425" t="str">
            <v>DBNJA </v>
          </cell>
          <cell r="BE425">
            <v>0</v>
          </cell>
          <cell r="BF425">
            <v>0</v>
          </cell>
          <cell r="BI425">
            <v>0</v>
          </cell>
          <cell r="BJ425">
            <v>0</v>
          </cell>
        </row>
        <row r="426">
          <cell r="C426" t="str">
            <v>IT91</v>
          </cell>
          <cell r="E426" t="str">
            <v>Instrument Panel, IP Finish Panels</v>
          </cell>
          <cell r="G426" t="str">
            <v>B</v>
          </cell>
          <cell r="H426" t="str">
            <v>PMT2</v>
          </cell>
          <cell r="I426" t="str">
            <v>TH</v>
          </cell>
          <cell r="J426" t="str">
            <v>MJD8B </v>
          </cell>
          <cell r="K426" t="str">
            <v>LBBA</v>
          </cell>
          <cell r="L426" t="str">
            <v>LGW</v>
          </cell>
          <cell r="M426" t="str">
            <v>MJD8B -LBBA-LGW</v>
          </cell>
          <cell r="O426" t="str">
            <v>NA</v>
          </cell>
          <cell r="P426" t="str">
            <v>林庆(qlin22)</v>
          </cell>
          <cell r="Q426" t="str">
            <v>李卫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1</v>
          </cell>
          <cell r="Z426">
            <v>1</v>
          </cell>
          <cell r="AA426">
            <v>0.1</v>
          </cell>
          <cell r="AC426">
            <v>-995.92</v>
          </cell>
          <cell r="AE426">
            <v>-8.4600000000000009</v>
          </cell>
          <cell r="AF426">
            <v>-2.12</v>
          </cell>
          <cell r="AH426">
            <v>-1006.5</v>
          </cell>
          <cell r="AI426" t="str">
            <v>CNY</v>
          </cell>
          <cell r="AJ426" t="str">
            <v>LP</v>
          </cell>
          <cell r="AK426" t="str">
            <v>重庆延锋 </v>
          </cell>
          <cell r="AL426" t="str">
            <v>DBNJA </v>
          </cell>
          <cell r="BB426">
            <v>-376000</v>
          </cell>
          <cell r="BC426">
            <v>-376000</v>
          </cell>
          <cell r="BE426">
            <v>0</v>
          </cell>
          <cell r="BF426">
            <v>0</v>
          </cell>
          <cell r="BI426">
            <v>0</v>
          </cell>
          <cell r="BJ426">
            <v>0</v>
          </cell>
        </row>
        <row r="427">
          <cell r="C427" t="str">
            <v>IT91</v>
          </cell>
          <cell r="E427" t="str">
            <v>Instrument Panel, IP Finish Panels</v>
          </cell>
          <cell r="G427" t="str">
            <v>B</v>
          </cell>
          <cell r="H427" t="str">
            <v>PMT2</v>
          </cell>
          <cell r="I427" t="str">
            <v>TH</v>
          </cell>
          <cell r="J427" t="str">
            <v>MJD8B </v>
          </cell>
          <cell r="K427" t="str">
            <v>LBBA</v>
          </cell>
          <cell r="L427" t="str">
            <v>MGW</v>
          </cell>
          <cell r="M427" t="str">
            <v>MJD8B -LBBA-MGW</v>
          </cell>
          <cell r="N427" t="str">
            <v>DELETE</v>
          </cell>
          <cell r="O427" t="str">
            <v>NA</v>
          </cell>
          <cell r="P427" t="str">
            <v>林庆(qlin23)</v>
          </cell>
          <cell r="Q427" t="str">
            <v>李卫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0</v>
          </cell>
          <cell r="AE427">
            <v>0</v>
          </cell>
          <cell r="AF427">
            <v>0</v>
          </cell>
          <cell r="AH427">
            <v>0</v>
          </cell>
          <cell r="AI427" t="str">
            <v>CNY</v>
          </cell>
          <cell r="AJ427" t="str">
            <v>LP</v>
          </cell>
          <cell r="AK427" t="str">
            <v>重庆延锋 </v>
          </cell>
          <cell r="AL427" t="str">
            <v>DBNJA </v>
          </cell>
          <cell r="BE427">
            <v>0</v>
          </cell>
          <cell r="BF427">
            <v>0</v>
          </cell>
          <cell r="BI427">
            <v>0</v>
          </cell>
          <cell r="BJ427">
            <v>0</v>
          </cell>
        </row>
        <row r="428">
          <cell r="C428" t="str">
            <v>B046</v>
          </cell>
          <cell r="E428" t="str">
            <v>Stamping_Outsource small stamping</v>
          </cell>
          <cell r="G428" t="str">
            <v>D</v>
          </cell>
          <cell r="H428" t="str">
            <v>BIW</v>
          </cell>
          <cell r="I428" t="str">
            <v>PF</v>
          </cell>
          <cell r="J428" t="str">
            <v>JD8B</v>
          </cell>
          <cell r="K428" t="str">
            <v>R6K034 </v>
          </cell>
          <cell r="L428" t="str">
            <v>AA</v>
          </cell>
          <cell r="M428" t="str">
            <v>JD8B-R6K034 -AA</v>
          </cell>
          <cell r="O428" t="str">
            <v>NA</v>
          </cell>
          <cell r="P428" t="str">
            <v>李泽念</v>
          </cell>
          <cell r="Q428" t="str">
            <v>熊景景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1</v>
          </cell>
          <cell r="Y428">
            <v>1</v>
          </cell>
          <cell r="Z428">
            <v>1</v>
          </cell>
          <cell r="AA428">
            <v>1</v>
          </cell>
          <cell r="AC428">
            <v>-13.6</v>
          </cell>
          <cell r="AD428">
            <v>-0.37</v>
          </cell>
          <cell r="AE428">
            <v>-0.37</v>
          </cell>
          <cell r="AF428">
            <v>0</v>
          </cell>
          <cell r="AG428">
            <v>0</v>
          </cell>
          <cell r="AH428">
            <v>-14.339999999999998</v>
          </cell>
          <cell r="AI428" t="str">
            <v>CNY</v>
          </cell>
          <cell r="AJ428" t="str">
            <v>LP</v>
          </cell>
          <cell r="AK428" t="str">
            <v>重庆至信 </v>
          </cell>
          <cell r="AL428" t="str">
            <v>EC1AC </v>
          </cell>
          <cell r="BB428">
            <v>-515267</v>
          </cell>
          <cell r="BC428">
            <v>-515267</v>
          </cell>
          <cell r="BE428">
            <v>0</v>
          </cell>
          <cell r="BF428">
            <v>0</v>
          </cell>
          <cell r="BG428">
            <v>0</v>
          </cell>
          <cell r="BI428">
            <v>0</v>
          </cell>
          <cell r="BJ428">
            <v>0</v>
          </cell>
        </row>
        <row r="429">
          <cell r="C429" t="str">
            <v>E077</v>
          </cell>
          <cell r="E429" t="str">
            <v>Rear view camera</v>
          </cell>
          <cell r="G429" t="str">
            <v>B</v>
          </cell>
          <cell r="H429" t="str">
            <v>PMT5</v>
          </cell>
          <cell r="I429" t="str">
            <v>TH</v>
          </cell>
          <cell r="J429" t="str">
            <v>JD8T </v>
          </cell>
          <cell r="K429" t="str">
            <v>19G490 </v>
          </cell>
          <cell r="L429" t="str">
            <v>AB</v>
          </cell>
          <cell r="M429" t="str">
            <v>JD8T -19G490 -AB</v>
          </cell>
          <cell r="O429" t="str">
            <v>NA</v>
          </cell>
          <cell r="P429" t="str">
            <v>王勤勤</v>
          </cell>
          <cell r="Q429" t="str">
            <v>于佳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1</v>
          </cell>
          <cell r="X429">
            <v>1</v>
          </cell>
          <cell r="Y429">
            <v>1</v>
          </cell>
          <cell r="Z429">
            <v>1</v>
          </cell>
          <cell r="AA429">
            <v>0.33</v>
          </cell>
          <cell r="AC429">
            <v>-217.63890000000001</v>
          </cell>
          <cell r="AD429">
            <v>-0.25</v>
          </cell>
          <cell r="AE429">
            <v>-1.5</v>
          </cell>
          <cell r="AF429">
            <v>0</v>
          </cell>
          <cell r="AG429">
            <v>-0.75</v>
          </cell>
          <cell r="AH429">
            <v>-220.13890000000001</v>
          </cell>
          <cell r="AI429" t="str">
            <v>CNY</v>
          </cell>
          <cell r="AJ429" t="str">
            <v>LP</v>
          </cell>
          <cell r="AK429" t="str">
            <v>麦格纳电子（张家港） </v>
          </cell>
          <cell r="AL429" t="str">
            <v>GPH2A </v>
          </cell>
          <cell r="BB429">
            <v>0</v>
          </cell>
          <cell r="BC429">
            <v>0</v>
          </cell>
          <cell r="BE429">
            <v>-284073</v>
          </cell>
          <cell r="BF429">
            <v>375459</v>
          </cell>
          <cell r="BG429">
            <v>0</v>
          </cell>
          <cell r="BI429">
            <v>0</v>
          </cell>
          <cell r="BJ429">
            <v>0</v>
          </cell>
        </row>
        <row r="430">
          <cell r="C430" t="str">
            <v>PT25-1</v>
          </cell>
          <cell r="D430" t="str">
            <v>PT25-1</v>
          </cell>
          <cell r="E430" t="str">
            <v>UEGO</v>
          </cell>
          <cell r="G430" t="str">
            <v>B</v>
          </cell>
          <cell r="H430" t="str">
            <v>PMT4</v>
          </cell>
          <cell r="I430" t="str">
            <v>PF</v>
          </cell>
          <cell r="J430" t="str">
            <v>E1GA</v>
          </cell>
          <cell r="K430" t="str">
            <v>9Y460 </v>
          </cell>
          <cell r="L430" t="str">
            <v>GA </v>
          </cell>
          <cell r="M430" t="str">
            <v>E1GA-9Y460 -GA </v>
          </cell>
          <cell r="O430" t="str">
            <v>NA</v>
          </cell>
          <cell r="P430" t="str">
            <v>刘鼎</v>
          </cell>
          <cell r="Q430" t="str">
            <v>谭廷庆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1</v>
          </cell>
          <cell r="X430">
            <v>1</v>
          </cell>
          <cell r="Y430">
            <v>0</v>
          </cell>
          <cell r="Z430">
            <v>0</v>
          </cell>
          <cell r="AA430">
            <v>0.23</v>
          </cell>
          <cell r="AC430">
            <v>-134.69999999999999</v>
          </cell>
          <cell r="AD430">
            <v>0</v>
          </cell>
          <cell r="AE430">
            <v>-1.27</v>
          </cell>
          <cell r="AF430">
            <v>0</v>
          </cell>
          <cell r="AG430">
            <v>0</v>
          </cell>
          <cell r="AH430">
            <v>-135.97</v>
          </cell>
          <cell r="AI430" t="str">
            <v>CNY</v>
          </cell>
          <cell r="AJ430" t="str">
            <v>LP</v>
          </cell>
          <cell r="AK430" t="str">
            <v>联合汽车电子</v>
          </cell>
          <cell r="AL430" t="str">
            <v>CUEQA</v>
          </cell>
          <cell r="BB430">
            <v>0</v>
          </cell>
          <cell r="BC430">
            <v>0</v>
          </cell>
          <cell r="BE430">
            <v>0</v>
          </cell>
          <cell r="BF430">
            <v>0</v>
          </cell>
          <cell r="BG430">
            <v>0</v>
          </cell>
          <cell r="BI430">
            <v>0</v>
          </cell>
          <cell r="BJ430">
            <v>0</v>
          </cell>
        </row>
        <row r="431">
          <cell r="C431" t="str">
            <v>E052</v>
          </cell>
          <cell r="E431" t="str">
            <v xml:space="preserve">Washer Bottle Assy </v>
          </cell>
          <cell r="G431" t="str">
            <v>B</v>
          </cell>
          <cell r="H431" t="str">
            <v>PMT1</v>
          </cell>
          <cell r="I431" t="str">
            <v>TH</v>
          </cell>
          <cell r="J431" t="str">
            <v>JD8B </v>
          </cell>
          <cell r="K431" t="str">
            <v>17K605 </v>
          </cell>
          <cell r="L431" t="str">
            <v>AA </v>
          </cell>
          <cell r="M431" t="str">
            <v>JD8B -17K605 -AA </v>
          </cell>
          <cell r="O431" t="str">
            <v>NA</v>
          </cell>
          <cell r="P431" t="str">
            <v>谌洁</v>
          </cell>
          <cell r="Q431" t="str">
            <v>孔斌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C431">
            <v>-22.21</v>
          </cell>
          <cell r="AD431">
            <v>-0.2</v>
          </cell>
          <cell r="AE431">
            <v>-0.03</v>
          </cell>
          <cell r="AF431">
            <v>-0.41</v>
          </cell>
          <cell r="AG431">
            <v>0</v>
          </cell>
          <cell r="AH431">
            <v>-22.85</v>
          </cell>
          <cell r="AI431" t="str">
            <v>CNY</v>
          </cell>
          <cell r="AJ431" t="str">
            <v>LP</v>
          </cell>
          <cell r="AK431" t="str">
            <v>重庆法可赛汽车配件有限公司 </v>
          </cell>
          <cell r="AL431" t="str">
            <v>EBYGB </v>
          </cell>
          <cell r="BB431">
            <v>-55000</v>
          </cell>
          <cell r="BC431">
            <v>-55000</v>
          </cell>
          <cell r="BE431">
            <v>0</v>
          </cell>
          <cell r="BF431">
            <v>0</v>
          </cell>
          <cell r="BG431">
            <v>0</v>
          </cell>
          <cell r="BI431">
            <v>-653999.28845926397</v>
          </cell>
          <cell r="BJ431">
            <v>1596578</v>
          </cell>
        </row>
        <row r="432">
          <cell r="C432" t="str">
            <v>IT8</v>
          </cell>
          <cell r="E432" t="str">
            <v>Door Trim - Front/Rear</v>
          </cell>
          <cell r="F432" t="str">
            <v>门饰板</v>
          </cell>
          <cell r="G432" t="str">
            <v>B</v>
          </cell>
          <cell r="H432" t="str">
            <v>PMT2</v>
          </cell>
          <cell r="I432" t="str">
            <v>TH</v>
          </cell>
          <cell r="J432" t="str">
            <v>ED8B</v>
          </cell>
          <cell r="K432" t="str">
            <v>F23942 </v>
          </cell>
          <cell r="L432" t="str">
            <v>BGW</v>
          </cell>
          <cell r="M432" t="str">
            <v>ED8B-F23942 -BGW</v>
          </cell>
          <cell r="O432" t="str">
            <v>NA</v>
          </cell>
          <cell r="P432" t="str">
            <v>范叶嘉</v>
          </cell>
          <cell r="Q432" t="str">
            <v>张光辉</v>
          </cell>
          <cell r="S432">
            <v>0</v>
          </cell>
          <cell r="T432">
            <v>0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0</v>
          </cell>
          <cell r="Z432">
            <v>0</v>
          </cell>
          <cell r="AA432">
            <v>0.6</v>
          </cell>
          <cell r="AC432">
            <v>-118.54</v>
          </cell>
          <cell r="AD432">
            <v>-0.19</v>
          </cell>
          <cell r="AE432">
            <v>-1.67</v>
          </cell>
          <cell r="AF432">
            <v>0</v>
          </cell>
          <cell r="AG432">
            <v>0</v>
          </cell>
          <cell r="AH432">
            <v>-120.4</v>
          </cell>
          <cell r="AI432" t="str">
            <v>CNY</v>
          </cell>
          <cell r="AJ432" t="str">
            <v>LP</v>
          </cell>
          <cell r="AK432" t="str">
            <v>重庆光能佛吉亚 </v>
          </cell>
          <cell r="AL432" t="str">
            <v>GJ7UA </v>
          </cell>
          <cell r="BB432">
            <v>0</v>
          </cell>
          <cell r="BC432">
            <v>0</v>
          </cell>
          <cell r="BE432">
            <v>0</v>
          </cell>
          <cell r="BF432">
            <v>0</v>
          </cell>
          <cell r="BG432">
            <v>0</v>
          </cell>
          <cell r="BI432">
            <v>0</v>
          </cell>
          <cell r="BJ432">
            <v>0</v>
          </cell>
        </row>
        <row r="433">
          <cell r="C433" t="str">
            <v>IT8</v>
          </cell>
          <cell r="E433" t="str">
            <v>Door Trim - Front/Rear</v>
          </cell>
          <cell r="F433" t="str">
            <v>门饰板</v>
          </cell>
          <cell r="G433" t="str">
            <v>B</v>
          </cell>
          <cell r="H433" t="str">
            <v>PMT2</v>
          </cell>
          <cell r="I433" t="str">
            <v>TH</v>
          </cell>
          <cell r="J433" t="str">
            <v>ED8B</v>
          </cell>
          <cell r="K433" t="str">
            <v>F27406 </v>
          </cell>
          <cell r="L433" t="str">
            <v>BHW</v>
          </cell>
          <cell r="M433" t="str">
            <v>ED8B-F27406 -BHW</v>
          </cell>
          <cell r="O433" t="str">
            <v>NA</v>
          </cell>
          <cell r="P433" t="str">
            <v>范叶嘉</v>
          </cell>
          <cell r="Q433" t="str">
            <v>张光辉</v>
          </cell>
          <cell r="S433">
            <v>0</v>
          </cell>
          <cell r="T433">
            <v>0</v>
          </cell>
          <cell r="U433">
            <v>1</v>
          </cell>
          <cell r="V433">
            <v>1</v>
          </cell>
          <cell r="W433">
            <v>1</v>
          </cell>
          <cell r="X433">
            <v>1</v>
          </cell>
          <cell r="Y433">
            <v>0</v>
          </cell>
          <cell r="Z433">
            <v>0</v>
          </cell>
          <cell r="AA433">
            <v>0.6</v>
          </cell>
          <cell r="AC433">
            <v>-111.93</v>
          </cell>
          <cell r="AD433">
            <v>-0.19</v>
          </cell>
          <cell r="AE433">
            <v>-1.67</v>
          </cell>
          <cell r="AF433">
            <v>0</v>
          </cell>
          <cell r="AG433">
            <v>0</v>
          </cell>
          <cell r="AH433">
            <v>-113.79</v>
          </cell>
          <cell r="AI433" t="str">
            <v>CNY</v>
          </cell>
          <cell r="AJ433" t="str">
            <v>LP</v>
          </cell>
          <cell r="AK433" t="str">
            <v>重庆光能佛吉亚 </v>
          </cell>
          <cell r="AL433" t="str">
            <v>GJ7UA </v>
          </cell>
          <cell r="BB433">
            <v>0</v>
          </cell>
          <cell r="BC433">
            <v>0</v>
          </cell>
          <cell r="BE433">
            <v>0</v>
          </cell>
          <cell r="BF433">
            <v>0</v>
          </cell>
          <cell r="BG433">
            <v>0</v>
          </cell>
          <cell r="BI433">
            <v>0</v>
          </cell>
          <cell r="BJ433">
            <v>0</v>
          </cell>
        </row>
        <row r="434">
          <cell r="C434" t="str">
            <v>IT8</v>
          </cell>
          <cell r="E434" t="str">
            <v>Door Trim - Front/Rear</v>
          </cell>
          <cell r="F434" t="str">
            <v>门饰板</v>
          </cell>
          <cell r="G434" t="str">
            <v>B</v>
          </cell>
          <cell r="H434" t="str">
            <v>PMT2</v>
          </cell>
          <cell r="I434" t="str">
            <v>TH</v>
          </cell>
          <cell r="J434" t="str">
            <v>ED8B</v>
          </cell>
          <cell r="K434" t="str">
            <v>F27407 </v>
          </cell>
          <cell r="L434" t="str">
            <v>BHW</v>
          </cell>
          <cell r="M434" t="str">
            <v>ED8B-F27407 -BHW</v>
          </cell>
          <cell r="O434" t="str">
            <v>NA</v>
          </cell>
          <cell r="P434" t="str">
            <v>范叶嘉</v>
          </cell>
          <cell r="Q434" t="str">
            <v>张光辉</v>
          </cell>
          <cell r="S434">
            <v>0</v>
          </cell>
          <cell r="T434">
            <v>0</v>
          </cell>
          <cell r="U434">
            <v>1</v>
          </cell>
          <cell r="V434">
            <v>1</v>
          </cell>
          <cell r="W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0.6</v>
          </cell>
          <cell r="AC434">
            <v>-111.93</v>
          </cell>
          <cell r="AD434">
            <v>-0.19</v>
          </cell>
          <cell r="AE434">
            <v>-1.67</v>
          </cell>
          <cell r="AF434">
            <v>0</v>
          </cell>
          <cell r="AG434">
            <v>0</v>
          </cell>
          <cell r="AH434">
            <v>-113.79</v>
          </cell>
          <cell r="AI434" t="str">
            <v>CNY</v>
          </cell>
          <cell r="AJ434" t="str">
            <v>LP</v>
          </cell>
          <cell r="AK434" t="str">
            <v>重庆光能佛吉亚 </v>
          </cell>
          <cell r="AL434" t="str">
            <v>GJ7UA </v>
          </cell>
          <cell r="BB434">
            <v>0</v>
          </cell>
          <cell r="BC434">
            <v>0</v>
          </cell>
          <cell r="BE434">
            <v>0</v>
          </cell>
          <cell r="BF434">
            <v>0</v>
          </cell>
          <cell r="BG434">
            <v>0</v>
          </cell>
          <cell r="BI434">
            <v>0</v>
          </cell>
          <cell r="BJ434">
            <v>0</v>
          </cell>
        </row>
        <row r="435">
          <cell r="C435" t="str">
            <v>IT8</v>
          </cell>
          <cell r="E435" t="str">
            <v>Door Trim - Front/Rear</v>
          </cell>
          <cell r="F435" t="str">
            <v>门饰板</v>
          </cell>
          <cell r="G435" t="str">
            <v>B</v>
          </cell>
          <cell r="H435" t="str">
            <v>PMT2</v>
          </cell>
          <cell r="I435" t="str">
            <v>TH</v>
          </cell>
          <cell r="J435" t="str">
            <v>JD8B</v>
          </cell>
          <cell r="K435" t="str">
            <v>F23942 </v>
          </cell>
          <cell r="L435" t="str">
            <v>AAW</v>
          </cell>
          <cell r="M435" t="str">
            <v>JD8B-F23942 -AAW</v>
          </cell>
          <cell r="O435" t="str">
            <v>NA</v>
          </cell>
          <cell r="P435" t="str">
            <v>范叶嘉</v>
          </cell>
          <cell r="Q435" t="str">
            <v>张光辉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1</v>
          </cell>
          <cell r="Z435">
            <v>1</v>
          </cell>
          <cell r="AA435">
            <v>0.1</v>
          </cell>
          <cell r="AC435">
            <v>-118.98</v>
          </cell>
          <cell r="AD435">
            <v>-0.19</v>
          </cell>
          <cell r="AE435">
            <v>-1.67</v>
          </cell>
          <cell r="AF435">
            <v>0</v>
          </cell>
          <cell r="AG435">
            <v>0</v>
          </cell>
          <cell r="AH435">
            <v>-120.84</v>
          </cell>
          <cell r="AI435" t="str">
            <v>CNY</v>
          </cell>
          <cell r="AJ435" t="str">
            <v>LP</v>
          </cell>
          <cell r="AK435" t="str">
            <v>重庆光能佛吉亚 </v>
          </cell>
          <cell r="AL435" t="str">
            <v>GJ7UA </v>
          </cell>
          <cell r="BB435">
            <v>0</v>
          </cell>
          <cell r="BC435">
            <v>0</v>
          </cell>
          <cell r="BE435">
            <v>0</v>
          </cell>
          <cell r="BF435">
            <v>0</v>
          </cell>
          <cell r="BG435">
            <v>0</v>
          </cell>
          <cell r="BI435">
            <v>0</v>
          </cell>
          <cell r="BJ435">
            <v>0</v>
          </cell>
        </row>
        <row r="436">
          <cell r="C436" t="str">
            <v>IT8</v>
          </cell>
          <cell r="E436" t="str">
            <v>Door Trim - Front/Rear</v>
          </cell>
          <cell r="F436" t="str">
            <v>门饰板</v>
          </cell>
          <cell r="G436" t="str">
            <v>B</v>
          </cell>
          <cell r="H436" t="str">
            <v>PMT2</v>
          </cell>
          <cell r="I436" t="str">
            <v>TH</v>
          </cell>
          <cell r="J436" t="str">
            <v>JD8B</v>
          </cell>
          <cell r="K436" t="str">
            <v>F27406 </v>
          </cell>
          <cell r="L436" t="str">
            <v>AAW</v>
          </cell>
          <cell r="M436" t="str">
            <v>JD8B-F27406 -AAW</v>
          </cell>
          <cell r="O436" t="str">
            <v>NA</v>
          </cell>
          <cell r="P436" t="str">
            <v>范叶嘉</v>
          </cell>
          <cell r="Q436" t="str">
            <v>张光辉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1</v>
          </cell>
          <cell r="Z436">
            <v>1</v>
          </cell>
          <cell r="AA436">
            <v>0.1</v>
          </cell>
          <cell r="AC436">
            <v>-112.37</v>
          </cell>
          <cell r="AD436">
            <v>-0.19</v>
          </cell>
          <cell r="AE436">
            <v>-1.67</v>
          </cell>
          <cell r="AF436">
            <v>0</v>
          </cell>
          <cell r="AG436">
            <v>0</v>
          </cell>
          <cell r="AH436">
            <v>-114.23</v>
          </cell>
          <cell r="AI436" t="str">
            <v>CNY</v>
          </cell>
          <cell r="AJ436" t="str">
            <v>LP</v>
          </cell>
          <cell r="AK436" t="str">
            <v>重庆光能佛吉亚 </v>
          </cell>
          <cell r="AL436" t="str">
            <v>GJ7UA </v>
          </cell>
          <cell r="BB436">
            <v>0</v>
          </cell>
          <cell r="BC436">
            <v>0</v>
          </cell>
          <cell r="BE436">
            <v>0</v>
          </cell>
          <cell r="BF436">
            <v>0</v>
          </cell>
          <cell r="BG436">
            <v>0</v>
          </cell>
          <cell r="BI436">
            <v>0</v>
          </cell>
          <cell r="BJ436">
            <v>0</v>
          </cell>
        </row>
        <row r="437">
          <cell r="C437" t="str">
            <v>IT8</v>
          </cell>
          <cell r="E437" t="str">
            <v>Door Trim - Front/Rear</v>
          </cell>
          <cell r="F437" t="str">
            <v>门饰板</v>
          </cell>
          <cell r="G437" t="str">
            <v>B</v>
          </cell>
          <cell r="H437" t="str">
            <v>PMT2</v>
          </cell>
          <cell r="I437" t="str">
            <v>TH</v>
          </cell>
          <cell r="J437" t="str">
            <v>JD8B</v>
          </cell>
          <cell r="K437" t="str">
            <v>F27407 </v>
          </cell>
          <cell r="L437" t="str">
            <v>AAW</v>
          </cell>
          <cell r="M437" t="str">
            <v>JD8B-F27407 -AAW</v>
          </cell>
          <cell r="O437" t="str">
            <v>NA</v>
          </cell>
          <cell r="P437" t="str">
            <v>范叶嘉</v>
          </cell>
          <cell r="Q437" t="str">
            <v>张光辉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1</v>
          </cell>
          <cell r="Z437">
            <v>1</v>
          </cell>
          <cell r="AA437">
            <v>0.1</v>
          </cell>
          <cell r="AC437">
            <v>-112.37</v>
          </cell>
          <cell r="AD437">
            <v>-0.19</v>
          </cell>
          <cell r="AE437">
            <v>-1.67</v>
          </cell>
          <cell r="AF437">
            <v>0</v>
          </cell>
          <cell r="AG437">
            <v>0</v>
          </cell>
          <cell r="AH437">
            <v>-114.23</v>
          </cell>
          <cell r="AI437" t="str">
            <v>CNY</v>
          </cell>
          <cell r="AJ437" t="str">
            <v>LP</v>
          </cell>
          <cell r="AK437" t="str">
            <v>重庆光能佛吉亚 </v>
          </cell>
          <cell r="AL437" t="str">
            <v>GJ7UA </v>
          </cell>
          <cell r="BB437">
            <v>0</v>
          </cell>
          <cell r="BC437">
            <v>0</v>
          </cell>
          <cell r="BE437">
            <v>0</v>
          </cell>
          <cell r="BF437">
            <v>0</v>
          </cell>
          <cell r="BG437">
            <v>0</v>
          </cell>
          <cell r="BI437">
            <v>0</v>
          </cell>
          <cell r="BJ437">
            <v>0</v>
          </cell>
        </row>
        <row r="438">
          <cell r="C438" t="str">
            <v>IT8</v>
          </cell>
          <cell r="E438" t="str">
            <v>Door Trim - Front/Rear</v>
          </cell>
          <cell r="F438" t="str">
            <v>门饰板</v>
          </cell>
          <cell r="G438" t="str">
            <v>B</v>
          </cell>
          <cell r="H438" t="str">
            <v>PMT2</v>
          </cell>
          <cell r="I438" t="str">
            <v>TH</v>
          </cell>
          <cell r="J438" t="str">
            <v>JD8B</v>
          </cell>
          <cell r="K438" t="str">
            <v>F23943</v>
          </cell>
          <cell r="L438" t="str">
            <v>ACW</v>
          </cell>
          <cell r="M438" t="str">
            <v>JD8B-F23943-ACW</v>
          </cell>
          <cell r="O438" t="str">
            <v>NA</v>
          </cell>
          <cell r="P438" t="str">
            <v>范叶嘉</v>
          </cell>
          <cell r="Q438" t="str">
            <v>张光辉</v>
          </cell>
          <cell r="S438">
            <v>1</v>
          </cell>
          <cell r="T438">
            <v>1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0.30000000000000004</v>
          </cell>
          <cell r="AC438">
            <v>-106.71</v>
          </cell>
          <cell r="AD438">
            <v>-0.19</v>
          </cell>
          <cell r="AE438">
            <v>-1.67</v>
          </cell>
          <cell r="AF438">
            <v>0</v>
          </cell>
          <cell r="AG438">
            <v>0</v>
          </cell>
          <cell r="AH438">
            <v>-108.57</v>
          </cell>
          <cell r="AI438" t="str">
            <v>CNY</v>
          </cell>
          <cell r="AJ438" t="str">
            <v>LP</v>
          </cell>
          <cell r="AK438" t="str">
            <v>重庆光能佛吉亚 </v>
          </cell>
          <cell r="AL438" t="str">
            <v>GJ7UA </v>
          </cell>
          <cell r="BB438">
            <v>-925600</v>
          </cell>
          <cell r="BC438">
            <v>-925600</v>
          </cell>
          <cell r="BE438">
            <v>0</v>
          </cell>
          <cell r="BF438">
            <v>0</v>
          </cell>
          <cell r="BG438">
            <v>0</v>
          </cell>
          <cell r="BI438">
            <v>0</v>
          </cell>
          <cell r="BJ438">
            <v>0</v>
          </cell>
        </row>
        <row r="439">
          <cell r="C439" t="str">
            <v>IT8</v>
          </cell>
          <cell r="E439" t="str">
            <v>Door Trim - Front/Rear</v>
          </cell>
          <cell r="F439" t="str">
            <v>门饰板</v>
          </cell>
          <cell r="G439" t="str">
            <v>B</v>
          </cell>
          <cell r="H439" t="str">
            <v>PMT2</v>
          </cell>
          <cell r="I439" t="str">
            <v>TH</v>
          </cell>
          <cell r="J439" t="str">
            <v>JD8B</v>
          </cell>
          <cell r="K439" t="str">
            <v>F23943</v>
          </cell>
          <cell r="L439" t="str">
            <v>BCW</v>
          </cell>
          <cell r="M439" t="str">
            <v>JD8B-F23943-BCW</v>
          </cell>
          <cell r="O439" t="str">
            <v>NA</v>
          </cell>
          <cell r="P439" t="str">
            <v>范叶嘉</v>
          </cell>
          <cell r="Q439" t="str">
            <v>张光辉</v>
          </cell>
          <cell r="S439">
            <v>0</v>
          </cell>
          <cell r="T439">
            <v>0</v>
          </cell>
          <cell r="U439">
            <v>1</v>
          </cell>
          <cell r="V439">
            <v>1</v>
          </cell>
          <cell r="W439">
            <v>1</v>
          </cell>
          <cell r="X439">
            <v>1</v>
          </cell>
          <cell r="Y439">
            <v>0</v>
          </cell>
          <cell r="Z439">
            <v>0</v>
          </cell>
          <cell r="AA439">
            <v>0.6</v>
          </cell>
          <cell r="AC439">
            <v>-121.46</v>
          </cell>
          <cell r="AD439">
            <v>-0.19</v>
          </cell>
          <cell r="AE439">
            <v>-1.67</v>
          </cell>
          <cell r="AF439">
            <v>0</v>
          </cell>
          <cell r="AG439">
            <v>0</v>
          </cell>
          <cell r="AH439">
            <v>-123.32</v>
          </cell>
          <cell r="AI439" t="str">
            <v>CNY</v>
          </cell>
          <cell r="AJ439" t="str">
            <v>LP</v>
          </cell>
          <cell r="AK439" t="str">
            <v>重庆光能佛吉亚 </v>
          </cell>
          <cell r="AL439" t="str">
            <v>GJ7UA </v>
          </cell>
          <cell r="BB439">
            <v>0</v>
          </cell>
          <cell r="BC439">
            <v>0</v>
          </cell>
          <cell r="BE439">
            <v>0</v>
          </cell>
          <cell r="BF439">
            <v>0</v>
          </cell>
          <cell r="BG439">
            <v>0</v>
          </cell>
          <cell r="BI439">
            <v>0</v>
          </cell>
          <cell r="BJ439">
            <v>0</v>
          </cell>
        </row>
        <row r="440">
          <cell r="C440" t="str">
            <v>IT8</v>
          </cell>
          <cell r="E440" t="str">
            <v>Door Trim - Front/Rear</v>
          </cell>
          <cell r="F440" t="str">
            <v>门饰板</v>
          </cell>
          <cell r="G440" t="str">
            <v>B</v>
          </cell>
          <cell r="H440" t="str">
            <v>PMT2</v>
          </cell>
          <cell r="I440" t="str">
            <v>TH</v>
          </cell>
          <cell r="J440" t="str">
            <v>JD8B</v>
          </cell>
          <cell r="K440" t="str">
            <v>F23943</v>
          </cell>
          <cell r="L440" t="str">
            <v>CBW</v>
          </cell>
          <cell r="M440" t="str">
            <v>JD8B-F23943-CBW</v>
          </cell>
          <cell r="O440" t="str">
            <v>NA</v>
          </cell>
          <cell r="P440" t="str">
            <v>范叶嘉</v>
          </cell>
          <cell r="Q440" t="str">
            <v>张光辉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1</v>
          </cell>
          <cell r="Z440">
            <v>1</v>
          </cell>
          <cell r="AA440">
            <v>0.1</v>
          </cell>
          <cell r="AC440">
            <v>-121.46</v>
          </cell>
          <cell r="AD440">
            <v>-0.19</v>
          </cell>
          <cell r="AE440">
            <v>-1.67</v>
          </cell>
          <cell r="AF440">
            <v>0</v>
          </cell>
          <cell r="AG440">
            <v>0</v>
          </cell>
          <cell r="AH440">
            <v>-123.32</v>
          </cell>
          <cell r="AI440" t="str">
            <v>CNY</v>
          </cell>
          <cell r="AJ440" t="str">
            <v>LP</v>
          </cell>
          <cell r="AK440" t="str">
            <v>重庆光能佛吉亚 </v>
          </cell>
          <cell r="AL440" t="str">
            <v>GJ7UA </v>
          </cell>
          <cell r="BB440">
            <v>0</v>
          </cell>
          <cell r="BC440">
            <v>0</v>
          </cell>
          <cell r="BE440">
            <v>0</v>
          </cell>
          <cell r="BF440">
            <v>0</v>
          </cell>
          <cell r="BG440">
            <v>0</v>
          </cell>
          <cell r="BI440">
            <v>0</v>
          </cell>
          <cell r="BJ440">
            <v>0</v>
          </cell>
        </row>
        <row r="441">
          <cell r="C441" t="str">
            <v>IT8</v>
          </cell>
          <cell r="E441" t="str">
            <v>Door Trim - Front/Rear</v>
          </cell>
          <cell r="F441" t="str">
            <v>门饰板</v>
          </cell>
          <cell r="G441" t="str">
            <v>B</v>
          </cell>
          <cell r="H441" t="str">
            <v>PMT2</v>
          </cell>
          <cell r="I441" t="str">
            <v>TH</v>
          </cell>
          <cell r="J441" t="str">
            <v>JD8B </v>
          </cell>
          <cell r="K441" t="str">
            <v>F240A40 </v>
          </cell>
          <cell r="L441" t="str">
            <v>BAW</v>
          </cell>
          <cell r="M441" t="str">
            <v>JD8B -F240A40 -BAW</v>
          </cell>
          <cell r="O441" t="str">
            <v>NA</v>
          </cell>
          <cell r="P441" t="str">
            <v>范叶嘉</v>
          </cell>
          <cell r="Q441" t="str">
            <v>张光辉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1</v>
          </cell>
          <cell r="Z441">
            <v>1</v>
          </cell>
          <cell r="AA441">
            <v>0.1</v>
          </cell>
          <cell r="AC441">
            <v>-7.45</v>
          </cell>
          <cell r="AD441">
            <v>-0.14000000000000001</v>
          </cell>
          <cell r="AE441">
            <v>0</v>
          </cell>
          <cell r="AF441">
            <v>0</v>
          </cell>
          <cell r="AG441">
            <v>0</v>
          </cell>
          <cell r="AH441">
            <v>-7.59</v>
          </cell>
          <cell r="AI441" t="str">
            <v>CNY</v>
          </cell>
          <cell r="AJ441" t="str">
            <v>LP</v>
          </cell>
          <cell r="AK441" t="str">
            <v>重庆光能佛吉亚 </v>
          </cell>
          <cell r="AL441" t="str">
            <v>GJ7UA </v>
          </cell>
          <cell r="BB441">
            <v>-14000</v>
          </cell>
          <cell r="BC441">
            <v>-14000</v>
          </cell>
          <cell r="BE441">
            <v>0</v>
          </cell>
          <cell r="BF441">
            <v>0</v>
          </cell>
          <cell r="BG441">
            <v>0</v>
          </cell>
          <cell r="BI441">
            <v>0</v>
          </cell>
          <cell r="BJ441">
            <v>0</v>
          </cell>
        </row>
        <row r="442">
          <cell r="C442" t="str">
            <v>IT8</v>
          </cell>
          <cell r="E442" t="str">
            <v>Door Trim - Front/Rear</v>
          </cell>
          <cell r="F442" t="str">
            <v>门饰板</v>
          </cell>
          <cell r="G442" t="str">
            <v>B</v>
          </cell>
          <cell r="H442" t="str">
            <v>PMT2</v>
          </cell>
          <cell r="I442" t="str">
            <v>TH</v>
          </cell>
          <cell r="J442" t="str">
            <v>JD8B </v>
          </cell>
          <cell r="K442" t="str">
            <v>F240A41 </v>
          </cell>
          <cell r="L442" t="str">
            <v>AAW</v>
          </cell>
          <cell r="M442" t="str">
            <v>JD8B -F240A41 -AAW</v>
          </cell>
          <cell r="O442" t="str">
            <v>NA</v>
          </cell>
          <cell r="P442" t="str">
            <v>范叶嘉</v>
          </cell>
          <cell r="Q442" t="str">
            <v>张光辉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-8.15</v>
          </cell>
          <cell r="AD442">
            <v>-0.14000000000000001</v>
          </cell>
          <cell r="AE442">
            <v>0</v>
          </cell>
          <cell r="AF442">
            <v>0</v>
          </cell>
          <cell r="AG442">
            <v>0</v>
          </cell>
          <cell r="AH442">
            <v>-8.2900000000000009</v>
          </cell>
          <cell r="AI442" t="str">
            <v>CNY</v>
          </cell>
          <cell r="AJ442" t="str">
            <v>LP</v>
          </cell>
          <cell r="AK442" t="str">
            <v>重庆光能佛吉亚 </v>
          </cell>
          <cell r="AL442" t="str">
            <v>GJ7UA </v>
          </cell>
          <cell r="BB442">
            <v>0</v>
          </cell>
          <cell r="BC442">
            <v>0</v>
          </cell>
          <cell r="BE442">
            <v>0</v>
          </cell>
          <cell r="BF442">
            <v>0</v>
          </cell>
          <cell r="BG442">
            <v>0</v>
          </cell>
          <cell r="BI442">
            <v>0</v>
          </cell>
          <cell r="BJ442">
            <v>0</v>
          </cell>
        </row>
        <row r="443">
          <cell r="C443" t="str">
            <v>IT8</v>
          </cell>
          <cell r="E443" t="str">
            <v>Door Trim - Front/Rear</v>
          </cell>
          <cell r="F443" t="str">
            <v>门饰板</v>
          </cell>
          <cell r="G443" t="str">
            <v>B</v>
          </cell>
          <cell r="H443" t="str">
            <v>PMT2</v>
          </cell>
          <cell r="I443" t="str">
            <v>TH</v>
          </cell>
          <cell r="J443" t="str">
            <v>JD8B</v>
          </cell>
          <cell r="K443" t="str">
            <v>F240A41</v>
          </cell>
          <cell r="L443" t="str">
            <v>BAW</v>
          </cell>
          <cell r="M443" t="str">
            <v>JD8B-F240A41-BAW</v>
          </cell>
          <cell r="O443" t="str">
            <v>NA</v>
          </cell>
          <cell r="P443" t="str">
            <v>范叶嘉</v>
          </cell>
          <cell r="Q443" t="str">
            <v>张光辉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1</v>
          </cell>
          <cell r="Z443">
            <v>1</v>
          </cell>
          <cell r="AA443">
            <v>0.1</v>
          </cell>
          <cell r="AC443">
            <v>-9.01</v>
          </cell>
          <cell r="AD443">
            <v>-0.14000000000000001</v>
          </cell>
          <cell r="AE443">
            <v>0</v>
          </cell>
          <cell r="AF443">
            <v>0</v>
          </cell>
          <cell r="AG443">
            <v>0</v>
          </cell>
          <cell r="AH443">
            <v>-9.15</v>
          </cell>
          <cell r="AI443" t="str">
            <v>CNY</v>
          </cell>
          <cell r="AJ443" t="str">
            <v>LP</v>
          </cell>
          <cell r="AK443" t="str">
            <v>重庆光能佛吉亚 </v>
          </cell>
          <cell r="AL443" t="str">
            <v>GJ7UA </v>
          </cell>
          <cell r="BB443">
            <v>0</v>
          </cell>
          <cell r="BC443">
            <v>0</v>
          </cell>
          <cell r="BE443">
            <v>0</v>
          </cell>
          <cell r="BF443">
            <v>0</v>
          </cell>
          <cell r="BG443">
            <v>0</v>
          </cell>
          <cell r="BI443">
            <v>0</v>
          </cell>
          <cell r="BJ443">
            <v>0</v>
          </cell>
        </row>
        <row r="444">
          <cell r="C444" t="str">
            <v>IT8</v>
          </cell>
          <cell r="E444" t="str">
            <v>Door Trim - Front/Rear</v>
          </cell>
          <cell r="F444" t="str">
            <v>门饰板</v>
          </cell>
          <cell r="G444" t="str">
            <v>B</v>
          </cell>
          <cell r="H444" t="str">
            <v>PMT2</v>
          </cell>
          <cell r="I444" t="str">
            <v>TH</v>
          </cell>
          <cell r="J444" t="str">
            <v>JD8B </v>
          </cell>
          <cell r="K444" t="str">
            <v>F24184 </v>
          </cell>
          <cell r="L444" t="str">
            <v>AAW</v>
          </cell>
          <cell r="M444" t="str">
            <v>JD8B -F24184 -AAW</v>
          </cell>
          <cell r="O444" t="str">
            <v>NA</v>
          </cell>
          <cell r="P444" t="str">
            <v>范叶嘉</v>
          </cell>
          <cell r="Q444" t="str">
            <v>张光辉</v>
          </cell>
          <cell r="S444">
            <v>1</v>
          </cell>
          <cell r="T444">
            <v>1</v>
          </cell>
          <cell r="U444">
            <v>1</v>
          </cell>
          <cell r="V444">
            <v>1</v>
          </cell>
          <cell r="W444">
            <v>1</v>
          </cell>
          <cell r="X444">
            <v>1</v>
          </cell>
          <cell r="Y444">
            <v>0</v>
          </cell>
          <cell r="Z444">
            <v>0</v>
          </cell>
          <cell r="AA444">
            <v>0.9</v>
          </cell>
          <cell r="AC444">
            <v>-10.7</v>
          </cell>
          <cell r="AD444">
            <v>-0.15</v>
          </cell>
          <cell r="AE444">
            <v>-0.08</v>
          </cell>
          <cell r="AF444">
            <v>0</v>
          </cell>
          <cell r="AG444">
            <v>0</v>
          </cell>
          <cell r="AH444">
            <v>-10.93</v>
          </cell>
          <cell r="AI444" t="str">
            <v>CNY</v>
          </cell>
          <cell r="AJ444" t="str">
            <v>LP</v>
          </cell>
          <cell r="AK444" t="str">
            <v>重庆光能佛吉亚 </v>
          </cell>
          <cell r="AL444" t="str">
            <v>GJ7UA </v>
          </cell>
          <cell r="BB444">
            <v>0</v>
          </cell>
          <cell r="BC444">
            <v>0</v>
          </cell>
          <cell r="BE444">
            <v>0</v>
          </cell>
          <cell r="BF444">
            <v>0</v>
          </cell>
          <cell r="BG444">
            <v>0</v>
          </cell>
          <cell r="BI444">
            <v>0</v>
          </cell>
          <cell r="BJ444">
            <v>0</v>
          </cell>
        </row>
        <row r="445">
          <cell r="C445" t="str">
            <v>IT8</v>
          </cell>
          <cell r="E445" t="str">
            <v>Door Trim - Front/Rear</v>
          </cell>
          <cell r="F445" t="str">
            <v>门饰板</v>
          </cell>
          <cell r="G445" t="str">
            <v>B</v>
          </cell>
          <cell r="H445" t="str">
            <v>PMT2</v>
          </cell>
          <cell r="I445" t="str">
            <v>TH</v>
          </cell>
          <cell r="J445" t="str">
            <v>JD8B </v>
          </cell>
          <cell r="K445" t="str">
            <v>F24184 </v>
          </cell>
          <cell r="L445" t="str">
            <v>BAW</v>
          </cell>
          <cell r="M445" t="str">
            <v>JD8B -F24184 -BAW</v>
          </cell>
          <cell r="O445" t="str">
            <v>NA</v>
          </cell>
          <cell r="P445" t="str">
            <v>范叶嘉</v>
          </cell>
          <cell r="Q445" t="str">
            <v>张光辉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</v>
          </cell>
          <cell r="Z445">
            <v>1</v>
          </cell>
          <cell r="AA445">
            <v>0.1</v>
          </cell>
          <cell r="AC445">
            <v>-16.850000000000001</v>
          </cell>
          <cell r="AD445">
            <v>-0.15</v>
          </cell>
          <cell r="AE445">
            <v>-0.08</v>
          </cell>
          <cell r="AF445">
            <v>0</v>
          </cell>
          <cell r="AG445">
            <v>0</v>
          </cell>
          <cell r="AH445">
            <v>-17.079999999999998</v>
          </cell>
          <cell r="AI445" t="str">
            <v>CNY</v>
          </cell>
          <cell r="AJ445" t="str">
            <v>LP</v>
          </cell>
          <cell r="AK445" t="str">
            <v>重庆光能佛吉亚 </v>
          </cell>
          <cell r="AL445" t="str">
            <v>GJ7UA </v>
          </cell>
          <cell r="BB445">
            <v>0</v>
          </cell>
          <cell r="BC445">
            <v>0</v>
          </cell>
          <cell r="BE445">
            <v>0</v>
          </cell>
          <cell r="BF445">
            <v>0</v>
          </cell>
          <cell r="BG445">
            <v>0</v>
          </cell>
          <cell r="BI445">
            <v>0</v>
          </cell>
          <cell r="BJ445">
            <v>0</v>
          </cell>
        </row>
        <row r="446">
          <cell r="C446" t="str">
            <v>IT8</v>
          </cell>
          <cell r="E446" t="str">
            <v>Door Trim - Front/Rear</v>
          </cell>
          <cell r="F446" t="str">
            <v>门饰板</v>
          </cell>
          <cell r="G446" t="str">
            <v>B</v>
          </cell>
          <cell r="H446" t="str">
            <v>PMT2</v>
          </cell>
          <cell r="I446" t="str">
            <v>TH</v>
          </cell>
          <cell r="J446" t="str">
            <v>JD8B </v>
          </cell>
          <cell r="K446" t="str">
            <v>F24185 </v>
          </cell>
          <cell r="L446" t="str">
            <v>AAW</v>
          </cell>
          <cell r="M446" t="str">
            <v>JD8B -F24185 -AAW</v>
          </cell>
          <cell r="O446" t="str">
            <v>NA</v>
          </cell>
          <cell r="P446" t="str">
            <v>范叶嘉</v>
          </cell>
          <cell r="Q446" t="str">
            <v>张光辉</v>
          </cell>
          <cell r="S446">
            <v>1</v>
          </cell>
          <cell r="T446">
            <v>1</v>
          </cell>
          <cell r="U446">
            <v>1</v>
          </cell>
          <cell r="V446">
            <v>1</v>
          </cell>
          <cell r="W446">
            <v>1</v>
          </cell>
          <cell r="X446">
            <v>1</v>
          </cell>
          <cell r="Y446">
            <v>0</v>
          </cell>
          <cell r="Z446">
            <v>0</v>
          </cell>
          <cell r="AA446">
            <v>0.9</v>
          </cell>
          <cell r="AC446">
            <v>-10.7</v>
          </cell>
          <cell r="AD446">
            <v>-0.15</v>
          </cell>
          <cell r="AE446">
            <v>-0.08</v>
          </cell>
          <cell r="AF446">
            <v>0</v>
          </cell>
          <cell r="AG446">
            <v>0</v>
          </cell>
          <cell r="AH446">
            <v>-10.93</v>
          </cell>
          <cell r="AI446" t="str">
            <v>CNY</v>
          </cell>
          <cell r="AJ446" t="str">
            <v>LP</v>
          </cell>
          <cell r="AK446" t="str">
            <v>重庆光能佛吉亚 </v>
          </cell>
          <cell r="AL446" t="str">
            <v>GJ7UA </v>
          </cell>
          <cell r="BB446">
            <v>0</v>
          </cell>
          <cell r="BC446">
            <v>0</v>
          </cell>
          <cell r="BE446">
            <v>0</v>
          </cell>
          <cell r="BF446">
            <v>0</v>
          </cell>
          <cell r="BG446">
            <v>0</v>
          </cell>
          <cell r="BI446">
            <v>0</v>
          </cell>
          <cell r="BJ446">
            <v>0</v>
          </cell>
        </row>
        <row r="447">
          <cell r="C447" t="str">
            <v>IT8</v>
          </cell>
          <cell r="E447" t="str">
            <v>Door Trim - Front/Rear</v>
          </cell>
          <cell r="F447" t="str">
            <v>门饰板</v>
          </cell>
          <cell r="G447" t="str">
            <v>B</v>
          </cell>
          <cell r="H447" t="str">
            <v>PMT2</v>
          </cell>
          <cell r="I447" t="str">
            <v>TH</v>
          </cell>
          <cell r="J447" t="str">
            <v>JD8B </v>
          </cell>
          <cell r="K447" t="str">
            <v>F24185 </v>
          </cell>
          <cell r="L447" t="str">
            <v>BAW</v>
          </cell>
          <cell r="M447" t="str">
            <v>JD8B -F24185 -BAW</v>
          </cell>
          <cell r="O447" t="str">
            <v>NA</v>
          </cell>
          <cell r="P447" t="str">
            <v>范叶嘉</v>
          </cell>
          <cell r="Q447" t="str">
            <v>张光辉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1</v>
          </cell>
          <cell r="Z447">
            <v>1</v>
          </cell>
          <cell r="AA447">
            <v>0.1</v>
          </cell>
          <cell r="AC447">
            <v>-16.850000000000001</v>
          </cell>
          <cell r="AD447">
            <v>-0.15</v>
          </cell>
          <cell r="AE447">
            <v>-0.08</v>
          </cell>
          <cell r="AF447">
            <v>0</v>
          </cell>
          <cell r="AG447">
            <v>0</v>
          </cell>
          <cell r="AH447">
            <v>-17.079999999999998</v>
          </cell>
          <cell r="AI447" t="str">
            <v>CNY</v>
          </cell>
          <cell r="AJ447" t="str">
            <v>LP</v>
          </cell>
          <cell r="AK447" t="str">
            <v>重庆光能佛吉亚 </v>
          </cell>
          <cell r="AL447" t="str">
            <v>GJ7UA </v>
          </cell>
          <cell r="BB447">
            <v>0</v>
          </cell>
          <cell r="BC447">
            <v>0</v>
          </cell>
          <cell r="BE447">
            <v>0</v>
          </cell>
          <cell r="BF447">
            <v>0</v>
          </cell>
          <cell r="BG447">
            <v>0</v>
          </cell>
          <cell r="BI447">
            <v>0</v>
          </cell>
          <cell r="BJ447">
            <v>0</v>
          </cell>
        </row>
        <row r="448">
          <cell r="C448" t="str">
            <v>IT8</v>
          </cell>
          <cell r="E448" t="str">
            <v>Door Trim - Front/Rear</v>
          </cell>
          <cell r="F448" t="str">
            <v>门饰板</v>
          </cell>
          <cell r="G448" t="str">
            <v>B</v>
          </cell>
          <cell r="H448" t="str">
            <v>PMT2</v>
          </cell>
          <cell r="I448" t="str">
            <v>TH</v>
          </cell>
          <cell r="J448" t="str">
            <v>JD8B </v>
          </cell>
          <cell r="K448" t="str">
            <v>F27442 </v>
          </cell>
          <cell r="L448" t="str">
            <v>AAW</v>
          </cell>
          <cell r="M448" t="str">
            <v>JD8B -F27442 -AAW</v>
          </cell>
          <cell r="O448" t="str">
            <v>NA</v>
          </cell>
          <cell r="P448" t="str">
            <v>范叶嘉</v>
          </cell>
          <cell r="Q448" t="str">
            <v>张光辉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0.9</v>
          </cell>
          <cell r="AC448">
            <v>-13.73</v>
          </cell>
          <cell r="AD448">
            <v>-0.15</v>
          </cell>
          <cell r="AE448">
            <v>-0.08</v>
          </cell>
          <cell r="AF448">
            <v>0</v>
          </cell>
          <cell r="AG448">
            <v>0</v>
          </cell>
          <cell r="AH448">
            <v>-13.96</v>
          </cell>
          <cell r="AI448" t="str">
            <v>CNY</v>
          </cell>
          <cell r="AJ448" t="str">
            <v>LP</v>
          </cell>
          <cell r="AK448" t="str">
            <v>重庆光能佛吉亚 </v>
          </cell>
          <cell r="AL448" t="str">
            <v>GJ7UA </v>
          </cell>
          <cell r="BB448">
            <v>0</v>
          </cell>
          <cell r="BC448">
            <v>0</v>
          </cell>
          <cell r="BE448">
            <v>0</v>
          </cell>
          <cell r="BF448">
            <v>0</v>
          </cell>
          <cell r="BG448">
            <v>0</v>
          </cell>
          <cell r="BI448">
            <v>0</v>
          </cell>
          <cell r="BJ448">
            <v>0</v>
          </cell>
        </row>
        <row r="449">
          <cell r="C449" t="str">
            <v>IT8</v>
          </cell>
          <cell r="E449" t="str">
            <v>Door Trim - Front/Rear</v>
          </cell>
          <cell r="F449" t="str">
            <v>门饰板</v>
          </cell>
          <cell r="G449" t="str">
            <v>B</v>
          </cell>
          <cell r="H449" t="str">
            <v>PMT2</v>
          </cell>
          <cell r="I449" t="str">
            <v>TH</v>
          </cell>
          <cell r="J449" t="str">
            <v>JD8B </v>
          </cell>
          <cell r="K449" t="str">
            <v>F27442 </v>
          </cell>
          <cell r="L449" t="str">
            <v>BAW</v>
          </cell>
          <cell r="M449" t="str">
            <v>JD8B -F27442 -BAW</v>
          </cell>
          <cell r="O449" t="str">
            <v>NA</v>
          </cell>
          <cell r="P449" t="str">
            <v>范叶嘉</v>
          </cell>
          <cell r="Q449" t="str">
            <v>张光辉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1</v>
          </cell>
          <cell r="Z449">
            <v>1</v>
          </cell>
          <cell r="AA449">
            <v>0.1</v>
          </cell>
          <cell r="AC449">
            <v>-19.88</v>
          </cell>
          <cell r="AD449">
            <v>-0.15</v>
          </cell>
          <cell r="AE449">
            <v>-0.08</v>
          </cell>
          <cell r="AF449">
            <v>0</v>
          </cell>
          <cell r="AG449">
            <v>0</v>
          </cell>
          <cell r="AH449">
            <v>-20.109999999999996</v>
          </cell>
          <cell r="AI449" t="str">
            <v>CNY</v>
          </cell>
          <cell r="AJ449" t="str">
            <v>LP</v>
          </cell>
          <cell r="AK449" t="str">
            <v>重庆光能佛吉亚 </v>
          </cell>
          <cell r="AL449" t="str">
            <v>GJ7UA </v>
          </cell>
          <cell r="BB449">
            <v>0</v>
          </cell>
          <cell r="BC449">
            <v>0</v>
          </cell>
          <cell r="BE449">
            <v>0</v>
          </cell>
          <cell r="BF449">
            <v>0</v>
          </cell>
          <cell r="BG449">
            <v>0</v>
          </cell>
          <cell r="BI449">
            <v>0</v>
          </cell>
          <cell r="BJ449">
            <v>0</v>
          </cell>
        </row>
        <row r="450">
          <cell r="C450" t="str">
            <v>IT8</v>
          </cell>
          <cell r="E450" t="str">
            <v>Door Trim - Front/Rear</v>
          </cell>
          <cell r="F450" t="str">
            <v>门饰板</v>
          </cell>
          <cell r="G450" t="str">
            <v>B</v>
          </cell>
          <cell r="H450" t="str">
            <v>PMT2</v>
          </cell>
          <cell r="I450" t="str">
            <v>TH</v>
          </cell>
          <cell r="J450" t="str">
            <v>JD8B </v>
          </cell>
          <cell r="K450" t="str">
            <v>F27443 </v>
          </cell>
          <cell r="L450" t="str">
            <v>AAW</v>
          </cell>
          <cell r="M450" t="str">
            <v>JD8B -F27443 -AAW</v>
          </cell>
          <cell r="O450" t="str">
            <v>NA</v>
          </cell>
          <cell r="P450" t="str">
            <v>范叶嘉</v>
          </cell>
          <cell r="Q450" t="str">
            <v>张光辉</v>
          </cell>
          <cell r="S450">
            <v>1</v>
          </cell>
          <cell r="T450">
            <v>1</v>
          </cell>
          <cell r="U450">
            <v>1</v>
          </cell>
          <cell r="V450">
            <v>1</v>
          </cell>
          <cell r="W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0.9</v>
          </cell>
          <cell r="AC450">
            <v>-13.73</v>
          </cell>
          <cell r="AD450">
            <v>-0.15</v>
          </cell>
          <cell r="AE450">
            <v>-0.08</v>
          </cell>
          <cell r="AF450">
            <v>0</v>
          </cell>
          <cell r="AG450">
            <v>0</v>
          </cell>
          <cell r="AH450">
            <v>-13.96</v>
          </cell>
          <cell r="AI450" t="str">
            <v>CNY</v>
          </cell>
          <cell r="AJ450" t="str">
            <v>LP</v>
          </cell>
          <cell r="AK450" t="str">
            <v>重庆光能佛吉亚 </v>
          </cell>
          <cell r="AL450" t="str">
            <v>GJ7UA </v>
          </cell>
          <cell r="BB450">
            <v>0</v>
          </cell>
          <cell r="BC450">
            <v>0</v>
          </cell>
          <cell r="BE450">
            <v>0</v>
          </cell>
          <cell r="BF450">
            <v>0</v>
          </cell>
          <cell r="BG450">
            <v>0</v>
          </cell>
          <cell r="BI450">
            <v>0</v>
          </cell>
          <cell r="BJ450">
            <v>0</v>
          </cell>
        </row>
        <row r="451">
          <cell r="C451" t="str">
            <v>E035</v>
          </cell>
          <cell r="E451" t="str">
            <v>PARKING AID SYSTEM</v>
          </cell>
          <cell r="G451" t="str">
            <v>NA</v>
          </cell>
          <cell r="H451" t="str">
            <v>PMT5</v>
          </cell>
          <cell r="I451" t="str">
            <v>TH</v>
          </cell>
          <cell r="J451" t="str">
            <v>ED8T </v>
          </cell>
          <cell r="K451" t="str">
            <v>15K859</v>
          </cell>
          <cell r="L451" t="str">
            <v>ACW</v>
          </cell>
          <cell r="M451" t="str">
            <v>ED8T -15K859-ACW</v>
          </cell>
          <cell r="O451" t="str">
            <v>NA</v>
          </cell>
          <cell r="P451" t="str">
            <v>杨银辉</v>
          </cell>
          <cell r="Q451" t="str">
            <v>范梦阳</v>
          </cell>
          <cell r="S451">
            <v>3</v>
          </cell>
          <cell r="T451">
            <v>3</v>
          </cell>
          <cell r="U451">
            <v>3</v>
          </cell>
          <cell r="V451">
            <v>3</v>
          </cell>
          <cell r="W451">
            <v>3</v>
          </cell>
          <cell r="X451">
            <v>3</v>
          </cell>
          <cell r="Y451">
            <v>3</v>
          </cell>
          <cell r="Z451">
            <v>3</v>
          </cell>
          <cell r="AA451">
            <v>3</v>
          </cell>
          <cell r="AC451">
            <v>-33.200000000000003</v>
          </cell>
          <cell r="AD451">
            <v>-0.11</v>
          </cell>
          <cell r="AE451">
            <v>-0.26</v>
          </cell>
          <cell r="AF451">
            <v>0</v>
          </cell>
          <cell r="AG451">
            <v>0</v>
          </cell>
          <cell r="AH451">
            <v>-33.57</v>
          </cell>
          <cell r="AI451" t="str">
            <v>CNY</v>
          </cell>
          <cell r="AJ451" t="str">
            <v>LP</v>
          </cell>
          <cell r="AK451" t="str">
            <v>同致电子科技（厦门）有限公司</v>
          </cell>
          <cell r="AL451" t="str">
            <v>ENBDA </v>
          </cell>
          <cell r="BB451">
            <v>0</v>
          </cell>
          <cell r="BC451">
            <v>0</v>
          </cell>
          <cell r="BE451">
            <v>0</v>
          </cell>
          <cell r="BF451">
            <v>0</v>
          </cell>
          <cell r="BG451">
            <v>0</v>
          </cell>
          <cell r="BI451">
            <v>0</v>
          </cell>
          <cell r="BJ451">
            <v>0</v>
          </cell>
        </row>
        <row r="452">
          <cell r="C452" t="str">
            <v>E035</v>
          </cell>
          <cell r="E452" t="str">
            <v>PARKING AID SYSTEM</v>
          </cell>
          <cell r="G452" t="str">
            <v>NA</v>
          </cell>
          <cell r="H452" t="str">
            <v>PMT5</v>
          </cell>
          <cell r="I452" t="str">
            <v>TH</v>
          </cell>
          <cell r="J452" t="str">
            <v>JD8T</v>
          </cell>
          <cell r="K452" t="str">
            <v>15T850</v>
          </cell>
          <cell r="L452" t="str">
            <v>AA</v>
          </cell>
          <cell r="M452" t="str">
            <v>JD8T-15T850-AA</v>
          </cell>
          <cell r="O452" t="str">
            <v>NA</v>
          </cell>
          <cell r="P452" t="str">
            <v>杨银辉</v>
          </cell>
          <cell r="Q452" t="str">
            <v>范梦阳</v>
          </cell>
          <cell r="S452">
            <v>1</v>
          </cell>
          <cell r="T452">
            <v>1</v>
          </cell>
          <cell r="U452">
            <v>1</v>
          </cell>
          <cell r="V452">
            <v>1</v>
          </cell>
          <cell r="W452">
            <v>1</v>
          </cell>
          <cell r="X452">
            <v>1</v>
          </cell>
          <cell r="Y452">
            <v>1</v>
          </cell>
          <cell r="Z452">
            <v>1</v>
          </cell>
          <cell r="AA452">
            <v>1</v>
          </cell>
          <cell r="AC452">
            <v>-54.56</v>
          </cell>
          <cell r="AD452">
            <v>-0.32</v>
          </cell>
          <cell r="AE452">
            <v>-0.39</v>
          </cell>
          <cell r="AF452">
            <v>0</v>
          </cell>
          <cell r="AG452">
            <v>0</v>
          </cell>
          <cell r="AH452">
            <v>-55.27</v>
          </cell>
          <cell r="AI452" t="str">
            <v>CNY</v>
          </cell>
          <cell r="AJ452" t="str">
            <v>LP</v>
          </cell>
          <cell r="AK452" t="str">
            <v>同致电子科技（厦门）有限公司</v>
          </cell>
          <cell r="AL452" t="str">
            <v>ENBDA </v>
          </cell>
          <cell r="BB452">
            <v>0</v>
          </cell>
          <cell r="BC452">
            <v>0</v>
          </cell>
          <cell r="BE452">
            <v>0</v>
          </cell>
          <cell r="BF452">
            <v>0</v>
          </cell>
          <cell r="BG452">
            <v>0</v>
          </cell>
          <cell r="BI452">
            <v>0</v>
          </cell>
          <cell r="BJ452">
            <v>0</v>
          </cell>
        </row>
        <row r="453">
          <cell r="C453" t="str">
            <v>E035</v>
          </cell>
          <cell r="E453" t="str">
            <v>PARKING AID SYSTEM</v>
          </cell>
          <cell r="G453" t="str">
            <v>NA</v>
          </cell>
          <cell r="H453" t="str">
            <v>PMT5</v>
          </cell>
          <cell r="I453" t="str">
            <v>TH</v>
          </cell>
          <cell r="J453">
            <v>0</v>
          </cell>
          <cell r="K453">
            <v>0</v>
          </cell>
          <cell r="L453">
            <v>0</v>
          </cell>
          <cell r="M453" t="str">
            <v>0-0-0</v>
          </cell>
          <cell r="O453" t="str">
            <v>NA</v>
          </cell>
          <cell r="P453" t="str">
            <v>杨银辉</v>
          </cell>
          <cell r="Q453" t="str">
            <v>范梦阳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-0.75</v>
          </cell>
          <cell r="AD453">
            <v>-0.18</v>
          </cell>
          <cell r="AE453">
            <v>-0.17</v>
          </cell>
          <cell r="AF453">
            <v>0</v>
          </cell>
          <cell r="AG453">
            <v>0</v>
          </cell>
          <cell r="AH453">
            <v>-1.0999999999999999</v>
          </cell>
          <cell r="AI453" t="str">
            <v>CNY</v>
          </cell>
          <cell r="AJ453" t="str">
            <v>LP</v>
          </cell>
          <cell r="AK453" t="str">
            <v>同致电子科技（厦门）有限公司</v>
          </cell>
          <cell r="AL453" t="str">
            <v>ENBDA </v>
          </cell>
          <cell r="BB453">
            <v>0</v>
          </cell>
          <cell r="BC453">
            <v>0</v>
          </cell>
          <cell r="BE453">
            <v>0</v>
          </cell>
          <cell r="BF453">
            <v>0</v>
          </cell>
          <cell r="BG453">
            <v>0</v>
          </cell>
          <cell r="BI453">
            <v>0</v>
          </cell>
          <cell r="BJ453">
            <v>0</v>
          </cell>
        </row>
        <row r="454">
          <cell r="C454" t="str">
            <v>E035</v>
          </cell>
          <cell r="E454" t="str">
            <v>PARKING AID SYSTEM</v>
          </cell>
          <cell r="G454" t="str">
            <v>NA</v>
          </cell>
          <cell r="H454" t="str">
            <v>PMT5</v>
          </cell>
          <cell r="I454" t="str">
            <v>TH</v>
          </cell>
          <cell r="J454" t="str">
            <v>JD8T</v>
          </cell>
          <cell r="K454" t="str">
            <v>15K870</v>
          </cell>
          <cell r="L454" t="str">
            <v>AA</v>
          </cell>
          <cell r="M454" t="str">
            <v>JD8T-15K870-AA</v>
          </cell>
          <cell r="O454" t="str">
            <v>NA</v>
          </cell>
          <cell r="P454" t="str">
            <v>杨银辉</v>
          </cell>
          <cell r="Q454" t="str">
            <v>范梦阳</v>
          </cell>
          <cell r="S454">
            <v>3</v>
          </cell>
          <cell r="T454">
            <v>3</v>
          </cell>
          <cell r="U454">
            <v>3</v>
          </cell>
          <cell r="V454">
            <v>3</v>
          </cell>
          <cell r="W454">
            <v>3</v>
          </cell>
          <cell r="X454">
            <v>3</v>
          </cell>
          <cell r="Y454">
            <v>3</v>
          </cell>
          <cell r="Z454">
            <v>3</v>
          </cell>
          <cell r="AA454">
            <v>3</v>
          </cell>
          <cell r="AC454">
            <v>-0.75</v>
          </cell>
          <cell r="AD454">
            <v>-0.18</v>
          </cell>
          <cell r="AE454">
            <v>-0.17</v>
          </cell>
          <cell r="AF454">
            <v>0</v>
          </cell>
          <cell r="AG454">
            <v>0</v>
          </cell>
          <cell r="AH454">
            <v>-1.0999999999999999</v>
          </cell>
          <cell r="AI454" t="str">
            <v>CNY</v>
          </cell>
          <cell r="AJ454" t="str">
            <v>LP</v>
          </cell>
          <cell r="AK454" t="str">
            <v>同致电子科技（厦门）有限公司</v>
          </cell>
          <cell r="AL454" t="str">
            <v>ENBDA </v>
          </cell>
          <cell r="BB454">
            <v>0</v>
          </cell>
          <cell r="BC454">
            <v>0</v>
          </cell>
          <cell r="BE454">
            <v>0</v>
          </cell>
          <cell r="BF454">
            <v>0</v>
          </cell>
          <cell r="BG454">
            <v>0</v>
          </cell>
          <cell r="BI454">
            <v>0</v>
          </cell>
          <cell r="BJ454">
            <v>0</v>
          </cell>
        </row>
        <row r="455">
          <cell r="C455" t="str">
            <v>E118</v>
          </cell>
          <cell r="E455" t="str">
            <v>TPMS Sensor</v>
          </cell>
          <cell r="G455" t="str">
            <v>NA</v>
          </cell>
          <cell r="H455" t="str">
            <v>PMT5</v>
          </cell>
          <cell r="I455" t="str">
            <v>TH</v>
          </cell>
          <cell r="J455" t="str">
            <v>F2GT </v>
          </cell>
          <cell r="K455" t="str">
            <v>1A180</v>
          </cell>
          <cell r="L455" t="str">
            <v>CD</v>
          </cell>
          <cell r="M455" t="str">
            <v>F2GT -1A180-CD</v>
          </cell>
          <cell r="O455" t="str">
            <v>NA</v>
          </cell>
          <cell r="P455" t="str">
            <v>杨银辉</v>
          </cell>
          <cell r="Q455" t="str">
            <v>胡强</v>
          </cell>
          <cell r="S455">
            <v>0</v>
          </cell>
          <cell r="T455">
            <v>0</v>
          </cell>
          <cell r="U455">
            <v>4</v>
          </cell>
          <cell r="V455">
            <v>4</v>
          </cell>
          <cell r="W455">
            <v>4</v>
          </cell>
          <cell r="X455">
            <v>4</v>
          </cell>
          <cell r="Y455">
            <v>4</v>
          </cell>
          <cell r="Z455">
            <v>4</v>
          </cell>
          <cell r="AA455">
            <v>2.8000000000000003</v>
          </cell>
          <cell r="AC455">
            <v>-29.34</v>
          </cell>
          <cell r="AD455">
            <v>-0.3</v>
          </cell>
          <cell r="AE455">
            <v>-0.7</v>
          </cell>
          <cell r="AF455">
            <v>0</v>
          </cell>
          <cell r="AG455">
            <v>0</v>
          </cell>
          <cell r="AH455">
            <v>-30.34</v>
          </cell>
          <cell r="AI455" t="str">
            <v>CNY</v>
          </cell>
          <cell r="AJ455" t="str">
            <v>LP</v>
          </cell>
          <cell r="AK455" t="str">
            <v>森萨塔传感器（常州）有限公司</v>
          </cell>
          <cell r="AL455" t="str">
            <v>HBKRA </v>
          </cell>
          <cell r="BB455">
            <v>0</v>
          </cell>
          <cell r="BC455">
            <v>0</v>
          </cell>
          <cell r="BE455">
            <v>0</v>
          </cell>
          <cell r="BF455">
            <v>0</v>
          </cell>
          <cell r="BG455">
            <v>0</v>
          </cell>
          <cell r="BI455">
            <v>0</v>
          </cell>
          <cell r="BJ455">
            <v>0</v>
          </cell>
        </row>
        <row r="456">
          <cell r="C456" t="str">
            <v>IT29</v>
          </cell>
          <cell r="E456" t="str">
            <v>Labels-New design</v>
          </cell>
          <cell r="G456" t="str">
            <v>D</v>
          </cell>
          <cell r="H456" t="str">
            <v>PMT1</v>
          </cell>
          <cell r="I456" t="str">
            <v>TH</v>
          </cell>
          <cell r="J456" t="str">
            <v>JD8B</v>
          </cell>
          <cell r="K456" t="str">
            <v>19A688 </v>
          </cell>
          <cell r="L456" t="str">
            <v>AA</v>
          </cell>
          <cell r="M456" t="str">
            <v>JD8B-19A688 -AA</v>
          </cell>
          <cell r="O456" t="str">
            <v>NA</v>
          </cell>
          <cell r="P456" t="str">
            <v>龚硕</v>
          </cell>
          <cell r="Q456" t="str">
            <v>刘春艳</v>
          </cell>
          <cell r="S456">
            <v>1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-0.47</v>
          </cell>
          <cell r="AD456">
            <v>-0.02</v>
          </cell>
          <cell r="AE456">
            <v>-0.01</v>
          </cell>
          <cell r="AF456">
            <v>0</v>
          </cell>
          <cell r="AG456">
            <v>0</v>
          </cell>
          <cell r="AH456">
            <v>-0.5</v>
          </cell>
          <cell r="AI456" t="str">
            <v>CNY</v>
          </cell>
          <cell r="AJ456" t="str">
            <v>LP</v>
          </cell>
          <cell r="AK456" t="str">
            <v>重庆迅昌 </v>
          </cell>
          <cell r="AL456" t="str">
            <v>GQVUA </v>
          </cell>
          <cell r="BB456">
            <v>0</v>
          </cell>
          <cell r="BC456">
            <v>0</v>
          </cell>
          <cell r="BE456">
            <v>0</v>
          </cell>
          <cell r="BF456">
            <v>0</v>
          </cell>
          <cell r="BG456">
            <v>0</v>
          </cell>
          <cell r="BI456">
            <v>0</v>
          </cell>
          <cell r="BJ456">
            <v>0</v>
          </cell>
        </row>
        <row r="457">
          <cell r="C457" t="str">
            <v>IT29</v>
          </cell>
          <cell r="E457" t="str">
            <v>Labels-New design</v>
          </cell>
          <cell r="G457" t="str">
            <v>D</v>
          </cell>
          <cell r="H457" t="str">
            <v>PMT1</v>
          </cell>
          <cell r="I457" t="str">
            <v>TH</v>
          </cell>
          <cell r="J457" t="str">
            <v>JD8B</v>
          </cell>
          <cell r="K457" t="str">
            <v>1A514 </v>
          </cell>
          <cell r="L457" t="str">
            <v>AB</v>
          </cell>
          <cell r="M457" t="str">
            <v>JD8B-1A514 -AB</v>
          </cell>
          <cell r="O457" t="str">
            <v>NA</v>
          </cell>
          <cell r="P457" t="str">
            <v>龚硕</v>
          </cell>
          <cell r="Q457" t="str">
            <v>刘春艳</v>
          </cell>
          <cell r="S457">
            <v>1</v>
          </cell>
          <cell r="T457">
            <v>1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0.30000000000000004</v>
          </cell>
          <cell r="AC457">
            <v>-0.39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-0.39</v>
          </cell>
          <cell r="AI457" t="str">
            <v>CNY</v>
          </cell>
          <cell r="AJ457" t="str">
            <v>LP</v>
          </cell>
          <cell r="AK457" t="str">
            <v>重庆迅昌 </v>
          </cell>
          <cell r="AL457" t="str">
            <v>GQVUA </v>
          </cell>
          <cell r="BB457">
            <v>0</v>
          </cell>
          <cell r="BC457">
            <v>0</v>
          </cell>
          <cell r="BE457">
            <v>0</v>
          </cell>
          <cell r="BF457">
            <v>0</v>
          </cell>
          <cell r="BG457">
            <v>0</v>
          </cell>
          <cell r="BI457">
            <v>0</v>
          </cell>
          <cell r="BJ457">
            <v>0</v>
          </cell>
        </row>
        <row r="458">
          <cell r="C458" t="str">
            <v>IT29</v>
          </cell>
          <cell r="E458" t="str">
            <v>Labels-New design</v>
          </cell>
          <cell r="G458" t="str">
            <v>D</v>
          </cell>
          <cell r="H458" t="str">
            <v>PMT1</v>
          </cell>
          <cell r="I458" t="str">
            <v>TH</v>
          </cell>
          <cell r="J458" t="str">
            <v>JD8B</v>
          </cell>
          <cell r="K458" t="str">
            <v>1A514 </v>
          </cell>
          <cell r="L458" t="str">
            <v>AAW</v>
          </cell>
          <cell r="M458" t="str">
            <v>JD8B-1A514 -AAW</v>
          </cell>
          <cell r="O458" t="str">
            <v>NA</v>
          </cell>
          <cell r="P458" t="str">
            <v>龚硕</v>
          </cell>
          <cell r="Q458" t="str">
            <v>刘春艳</v>
          </cell>
          <cell r="S458">
            <v>0</v>
          </cell>
          <cell r="T458">
            <v>0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0</v>
          </cell>
          <cell r="Z458">
            <v>0</v>
          </cell>
          <cell r="AA458">
            <v>0.6</v>
          </cell>
          <cell r="AC458">
            <v>-0.39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-0.39</v>
          </cell>
          <cell r="AI458" t="str">
            <v>CNY</v>
          </cell>
          <cell r="AJ458" t="str">
            <v>LP</v>
          </cell>
          <cell r="AK458" t="str">
            <v>重庆迅昌 </v>
          </cell>
          <cell r="AL458" t="str">
            <v>GQVUA </v>
          </cell>
          <cell r="BB458">
            <v>0</v>
          </cell>
          <cell r="BC458">
            <v>0</v>
          </cell>
          <cell r="BE458">
            <v>0</v>
          </cell>
          <cell r="BF458">
            <v>0</v>
          </cell>
          <cell r="BG458">
            <v>0</v>
          </cell>
          <cell r="BI458">
            <v>0</v>
          </cell>
          <cell r="BJ458">
            <v>0</v>
          </cell>
        </row>
        <row r="459">
          <cell r="C459" t="str">
            <v>IT29</v>
          </cell>
          <cell r="E459" t="str">
            <v>Labels-New design</v>
          </cell>
          <cell r="G459" t="str">
            <v>D</v>
          </cell>
          <cell r="H459" t="str">
            <v>PMT1</v>
          </cell>
          <cell r="I459" t="str">
            <v>TH</v>
          </cell>
          <cell r="J459" t="str">
            <v>JD8B</v>
          </cell>
          <cell r="K459" t="str">
            <v>1A514 </v>
          </cell>
          <cell r="L459" t="str">
            <v>CA</v>
          </cell>
          <cell r="M459" t="str">
            <v>JD8B-1A514 -CA</v>
          </cell>
          <cell r="O459" t="str">
            <v>NA</v>
          </cell>
          <cell r="P459" t="str">
            <v>龚硕</v>
          </cell>
          <cell r="Q459" t="str">
            <v>刘春艳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1</v>
          </cell>
          <cell r="Z459">
            <v>1</v>
          </cell>
          <cell r="AA459">
            <v>0.1</v>
          </cell>
          <cell r="AC459">
            <v>-0.39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-0.39</v>
          </cell>
          <cell r="AI459" t="str">
            <v>CNY</v>
          </cell>
          <cell r="AJ459" t="str">
            <v>LP</v>
          </cell>
          <cell r="AK459" t="str">
            <v>重庆迅昌 </v>
          </cell>
          <cell r="AL459" t="str">
            <v>GQVUA </v>
          </cell>
          <cell r="BB459">
            <v>0</v>
          </cell>
          <cell r="BC459">
            <v>0</v>
          </cell>
          <cell r="BE459">
            <v>0</v>
          </cell>
          <cell r="BF459">
            <v>0</v>
          </cell>
          <cell r="BG459">
            <v>0</v>
          </cell>
          <cell r="BI459">
            <v>0</v>
          </cell>
          <cell r="BJ459">
            <v>0</v>
          </cell>
        </row>
        <row r="460">
          <cell r="C460" t="str">
            <v>ET2</v>
          </cell>
          <cell r="E460" t="str">
            <v>Windshield and Other Fixed Glass</v>
          </cell>
          <cell r="G460" t="str">
            <v>B</v>
          </cell>
          <cell r="H460" t="str">
            <v>PMT1</v>
          </cell>
          <cell r="I460" t="str">
            <v>TH</v>
          </cell>
          <cell r="J460" t="str">
            <v>ED8B </v>
          </cell>
          <cell r="K460" t="str">
            <v>F29700 </v>
          </cell>
          <cell r="L460" t="str">
            <v>AG</v>
          </cell>
          <cell r="M460" t="str">
            <v>ED8B -F29700 -AG</v>
          </cell>
          <cell r="O460" t="str">
            <v>NA</v>
          </cell>
          <cell r="P460" t="str">
            <v>谌洁</v>
          </cell>
          <cell r="Q460" t="str">
            <v>钟勇</v>
          </cell>
          <cell r="S460">
            <v>1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0</v>
          </cell>
          <cell r="Z460">
            <v>0</v>
          </cell>
          <cell r="AA460">
            <v>0.9</v>
          </cell>
          <cell r="AC460">
            <v>-67.22</v>
          </cell>
          <cell r="AD460">
            <v>-1.3377567916048601</v>
          </cell>
          <cell r="AE460">
            <v>-0.375</v>
          </cell>
          <cell r="AF460">
            <v>0</v>
          </cell>
          <cell r="AG460">
            <v>0</v>
          </cell>
          <cell r="AH460">
            <v>-42.509875882150361</v>
          </cell>
          <cell r="AI460" t="str">
            <v>CNY</v>
          </cell>
          <cell r="AJ460" t="str">
            <v>LP</v>
          </cell>
          <cell r="AK460" t="str">
            <v>重庆福耀 </v>
          </cell>
          <cell r="AL460" t="str">
            <v>DMLQA </v>
          </cell>
          <cell r="BB460">
            <v>-495000</v>
          </cell>
          <cell r="BC460">
            <v>-495000</v>
          </cell>
          <cell r="BE460">
            <v>0</v>
          </cell>
          <cell r="BF460">
            <v>0</v>
          </cell>
          <cell r="BG460">
            <v>0</v>
          </cell>
          <cell r="BI460">
            <v>0</v>
          </cell>
          <cell r="BJ460">
            <v>0</v>
          </cell>
        </row>
        <row r="461">
          <cell r="C461" t="str">
            <v>ET2</v>
          </cell>
          <cell r="E461" t="str">
            <v>Windshield and Other Fixed Glass</v>
          </cell>
          <cell r="G461" t="str">
            <v>B</v>
          </cell>
          <cell r="H461" t="str">
            <v>PMT1</v>
          </cell>
          <cell r="I461" t="str">
            <v>TH</v>
          </cell>
          <cell r="J461" t="str">
            <v>JD8B </v>
          </cell>
          <cell r="K461" t="str">
            <v>F29700 </v>
          </cell>
          <cell r="L461" t="str">
            <v>AA</v>
          </cell>
          <cell r="M461" t="str">
            <v>JD8B -F29700 -AA</v>
          </cell>
          <cell r="O461" t="str">
            <v>NA</v>
          </cell>
          <cell r="P461" t="str">
            <v>谌洁</v>
          </cell>
          <cell r="Q461" t="str">
            <v>钟勇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1</v>
          </cell>
          <cell r="Z461">
            <v>1</v>
          </cell>
          <cell r="AA461">
            <v>0.1</v>
          </cell>
          <cell r="AC461">
            <v>-67.22</v>
          </cell>
          <cell r="AD461">
            <v>-1.3377567916048601</v>
          </cell>
          <cell r="AE461">
            <v>-0.375</v>
          </cell>
          <cell r="AF461">
            <v>0</v>
          </cell>
          <cell r="AG461">
            <v>0</v>
          </cell>
          <cell r="AH461">
            <v>-68.932756791604859</v>
          </cell>
          <cell r="AI461" t="str">
            <v>CNY</v>
          </cell>
          <cell r="AJ461" t="str">
            <v>LP</v>
          </cell>
          <cell r="AK461" t="str">
            <v>重庆福耀 </v>
          </cell>
          <cell r="AL461" t="str">
            <v>DMLQA </v>
          </cell>
          <cell r="BB461">
            <v>0</v>
          </cell>
          <cell r="BC461">
            <v>0</v>
          </cell>
          <cell r="BE461">
            <v>0</v>
          </cell>
          <cell r="BF461">
            <v>0</v>
          </cell>
          <cell r="BG461">
            <v>0</v>
          </cell>
          <cell r="BI461">
            <v>0</v>
          </cell>
          <cell r="BJ461">
            <v>0</v>
          </cell>
        </row>
        <row r="462">
          <cell r="C462" t="str">
            <v>ET2</v>
          </cell>
          <cell r="E462" t="str">
            <v>Windshield and Other Fixed Glass</v>
          </cell>
          <cell r="G462" t="str">
            <v>B</v>
          </cell>
          <cell r="H462" t="str">
            <v>PMT1</v>
          </cell>
          <cell r="I462" t="str">
            <v>TH</v>
          </cell>
          <cell r="J462" t="str">
            <v>ED8B </v>
          </cell>
          <cell r="K462" t="str">
            <v>F29701 </v>
          </cell>
          <cell r="L462" t="str">
            <v>AG</v>
          </cell>
          <cell r="M462" t="str">
            <v>ED8B -F29701 -AG</v>
          </cell>
          <cell r="O462" t="str">
            <v>NA</v>
          </cell>
          <cell r="P462" t="str">
            <v>谌洁</v>
          </cell>
          <cell r="Q462" t="str">
            <v>钟勇</v>
          </cell>
          <cell r="S462">
            <v>1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0</v>
          </cell>
          <cell r="Z462">
            <v>0</v>
          </cell>
          <cell r="AA462">
            <v>0.9</v>
          </cell>
          <cell r="AC462">
            <v>-40.7971190905455</v>
          </cell>
          <cell r="AD462">
            <v>-1.3377567916048601</v>
          </cell>
          <cell r="AE462">
            <v>-0.375</v>
          </cell>
          <cell r="AF462">
            <v>0</v>
          </cell>
          <cell r="AG462">
            <v>0</v>
          </cell>
          <cell r="AH462">
            <v>-42.509875882150361</v>
          </cell>
          <cell r="AI462" t="str">
            <v>CNY</v>
          </cell>
          <cell r="AJ462" t="str">
            <v>LP</v>
          </cell>
          <cell r="AK462" t="str">
            <v>重庆福耀 </v>
          </cell>
          <cell r="AL462" t="str">
            <v>DMLQA </v>
          </cell>
          <cell r="BB462">
            <v>-495000</v>
          </cell>
          <cell r="BC462">
            <v>-495000</v>
          </cell>
          <cell r="BE462">
            <v>0</v>
          </cell>
          <cell r="BF462">
            <v>0</v>
          </cell>
          <cell r="BG462">
            <v>0</v>
          </cell>
          <cell r="BI462">
            <v>0</v>
          </cell>
          <cell r="BJ462">
            <v>0</v>
          </cell>
        </row>
        <row r="463">
          <cell r="C463" t="str">
            <v>ET2</v>
          </cell>
          <cell r="E463" t="str">
            <v>Windshield and Other Fixed Glass</v>
          </cell>
          <cell r="G463" t="str">
            <v>B</v>
          </cell>
          <cell r="H463" t="str">
            <v>PMT1</v>
          </cell>
          <cell r="I463" t="str">
            <v>TH</v>
          </cell>
          <cell r="J463" t="str">
            <v>JD8B </v>
          </cell>
          <cell r="K463" t="str">
            <v>F29701 </v>
          </cell>
          <cell r="L463" t="str">
            <v>AA</v>
          </cell>
          <cell r="M463" t="str">
            <v>JD8B -F29701 -AA</v>
          </cell>
          <cell r="O463" t="str">
            <v>NA</v>
          </cell>
          <cell r="P463" t="str">
            <v>谌洁</v>
          </cell>
          <cell r="Q463" t="str">
            <v>钟勇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1</v>
          </cell>
          <cell r="Z463">
            <v>1</v>
          </cell>
          <cell r="AA463">
            <v>0.1</v>
          </cell>
          <cell r="AC463">
            <v>-40.7971190905455</v>
          </cell>
          <cell r="AD463">
            <v>-1.3377567916048601</v>
          </cell>
          <cell r="AE463">
            <v>-0.375</v>
          </cell>
          <cell r="AF463">
            <v>0</v>
          </cell>
          <cell r="AG463">
            <v>0</v>
          </cell>
          <cell r="AH463">
            <v>-68.932756791604859</v>
          </cell>
          <cell r="AI463" t="str">
            <v>CNY</v>
          </cell>
          <cell r="AJ463" t="str">
            <v>LP</v>
          </cell>
          <cell r="AK463" t="str">
            <v>重庆福耀 </v>
          </cell>
          <cell r="AL463" t="str">
            <v>DMLQA </v>
          </cell>
          <cell r="BB463">
            <v>0</v>
          </cell>
          <cell r="BC463">
            <v>0</v>
          </cell>
          <cell r="BE463">
            <v>0</v>
          </cell>
          <cell r="BF463">
            <v>0</v>
          </cell>
          <cell r="BG463">
            <v>0</v>
          </cell>
          <cell r="BI463">
            <v>0</v>
          </cell>
          <cell r="BJ463">
            <v>0</v>
          </cell>
        </row>
        <row r="464">
          <cell r="C464" t="str">
            <v>ET2</v>
          </cell>
          <cell r="E464" t="str">
            <v>Windshield and Other Fixed Glass</v>
          </cell>
          <cell r="G464" t="str">
            <v>B</v>
          </cell>
          <cell r="H464" t="str">
            <v>PMT1</v>
          </cell>
          <cell r="I464" t="str">
            <v>TH</v>
          </cell>
          <cell r="J464" t="str">
            <v>JD8B </v>
          </cell>
          <cell r="K464" t="str">
            <v>F42004 </v>
          </cell>
          <cell r="L464" t="str">
            <v>AC</v>
          </cell>
          <cell r="M464" t="str">
            <v>JD8B -F42004 -AC</v>
          </cell>
          <cell r="O464" t="str">
            <v>NA</v>
          </cell>
          <cell r="P464" t="str">
            <v>谌洁</v>
          </cell>
          <cell r="Q464" t="str">
            <v>钟勇</v>
          </cell>
          <cell r="S464">
            <v>1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-131.46</v>
          </cell>
          <cell r="AD464">
            <v>-1.4891064107448</v>
          </cell>
          <cell r="AE464">
            <v>-1.2</v>
          </cell>
          <cell r="AF464">
            <v>0</v>
          </cell>
          <cell r="AG464">
            <v>0</v>
          </cell>
          <cell r="AH464">
            <v>-134.14910641074479</v>
          </cell>
          <cell r="AI464" t="str">
            <v>CNY</v>
          </cell>
          <cell r="AJ464" t="str">
            <v>LP</v>
          </cell>
          <cell r="AK464" t="str">
            <v>重庆福耀 </v>
          </cell>
          <cell r="AL464" t="str">
            <v>DMLQA </v>
          </cell>
          <cell r="BB464">
            <v>-10000</v>
          </cell>
          <cell r="BC464">
            <v>-10000</v>
          </cell>
          <cell r="BE464">
            <v>0</v>
          </cell>
          <cell r="BF464">
            <v>0</v>
          </cell>
          <cell r="BG464">
            <v>0</v>
          </cell>
          <cell r="BI464">
            <v>0</v>
          </cell>
          <cell r="BJ464">
            <v>0</v>
          </cell>
        </row>
        <row r="465">
          <cell r="C465" t="str">
            <v>ET2</v>
          </cell>
          <cell r="E465" t="str">
            <v>Windshield and Other Fixed Glass</v>
          </cell>
          <cell r="G465" t="str">
            <v>B</v>
          </cell>
          <cell r="H465" t="str">
            <v>PMT1</v>
          </cell>
          <cell r="I465" t="str">
            <v>TH</v>
          </cell>
          <cell r="J465" t="str">
            <v>JD8B</v>
          </cell>
          <cell r="K465" t="str">
            <v>F03100 </v>
          </cell>
          <cell r="L465" t="str">
            <v>AD</v>
          </cell>
          <cell r="M465" t="str">
            <v>JD8B-F03100 -AD</v>
          </cell>
          <cell r="O465" t="str">
            <v>NA</v>
          </cell>
          <cell r="P465" t="str">
            <v>谌洁</v>
          </cell>
          <cell r="Q465" t="str">
            <v>钟勇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1</v>
          </cell>
          <cell r="Z465">
            <v>1</v>
          </cell>
          <cell r="AA465">
            <v>0.1</v>
          </cell>
          <cell r="AC465">
            <v>-248.33098336279201</v>
          </cell>
          <cell r="AD465">
            <v>-1.46421518523112</v>
          </cell>
          <cell r="AE465">
            <v>-1.5</v>
          </cell>
          <cell r="AF465">
            <v>0</v>
          </cell>
          <cell r="AG465">
            <v>0</v>
          </cell>
          <cell r="AH465">
            <v>-251.29519854802314</v>
          </cell>
          <cell r="AI465" t="str">
            <v>CNY</v>
          </cell>
          <cell r="AJ465" t="str">
            <v>LP</v>
          </cell>
          <cell r="AK465" t="str">
            <v>重庆福耀 </v>
          </cell>
          <cell r="AL465" t="str">
            <v>DMLQA </v>
          </cell>
          <cell r="BB465">
            <v>-347650</v>
          </cell>
          <cell r="BC465">
            <v>-347650</v>
          </cell>
          <cell r="BE465">
            <v>0</v>
          </cell>
          <cell r="BF465">
            <v>0</v>
          </cell>
          <cell r="BG465">
            <v>0</v>
          </cell>
          <cell r="BI465">
            <v>0</v>
          </cell>
          <cell r="BJ465">
            <v>0</v>
          </cell>
        </row>
        <row r="466">
          <cell r="C466" t="str">
            <v>ET2</v>
          </cell>
          <cell r="E466" t="str">
            <v>Windshield and Other Fixed Glass</v>
          </cell>
          <cell r="G466" t="str">
            <v>B</v>
          </cell>
          <cell r="H466" t="str">
            <v>PMT1</v>
          </cell>
          <cell r="I466" t="str">
            <v>TH</v>
          </cell>
          <cell r="J466" t="str">
            <v>JD8B</v>
          </cell>
          <cell r="K466" t="str">
            <v>F03100 </v>
          </cell>
          <cell r="L466" t="str">
            <v>BC</v>
          </cell>
          <cell r="M466" t="str">
            <v>JD8B-F03100 -BC</v>
          </cell>
          <cell r="O466" t="str">
            <v>NA</v>
          </cell>
          <cell r="P466" t="str">
            <v>谌洁</v>
          </cell>
          <cell r="Q466" t="str">
            <v>钟勇</v>
          </cell>
          <cell r="S466">
            <v>1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0.9</v>
          </cell>
          <cell r="AC466">
            <v>-219.83082051139101</v>
          </cell>
          <cell r="AD466">
            <v>-1.46421518523112</v>
          </cell>
          <cell r="AE466">
            <v>-1.5</v>
          </cell>
          <cell r="AF466">
            <v>0</v>
          </cell>
          <cell r="AG466">
            <v>0</v>
          </cell>
          <cell r="AH466">
            <v>-222.79503569662214</v>
          </cell>
          <cell r="AI466" t="str">
            <v>CNY</v>
          </cell>
          <cell r="AJ466" t="str">
            <v>LP</v>
          </cell>
          <cell r="AK466" t="str">
            <v>重庆福耀 </v>
          </cell>
          <cell r="AL466" t="str">
            <v>DMLQA </v>
          </cell>
          <cell r="BB466">
            <v>-477350</v>
          </cell>
          <cell r="BC466">
            <v>-477350</v>
          </cell>
          <cell r="BE466">
            <v>0</v>
          </cell>
          <cell r="BF466">
            <v>0</v>
          </cell>
          <cell r="BG466">
            <v>0</v>
          </cell>
          <cell r="BI466">
            <v>0</v>
          </cell>
          <cell r="BJ466">
            <v>0</v>
          </cell>
        </row>
        <row r="467">
          <cell r="C467" t="str">
            <v>B044</v>
          </cell>
          <cell r="E467" t="str">
            <v xml:space="preserve">Small Stamping Bracket </v>
          </cell>
          <cell r="G467" t="str">
            <v>D</v>
          </cell>
          <cell r="H467" t="str">
            <v>BIW</v>
          </cell>
          <cell r="I467" t="str">
            <v>TH</v>
          </cell>
          <cell r="J467" t="str">
            <v>JD8B </v>
          </cell>
          <cell r="K467" t="str">
            <v>F431F92 </v>
          </cell>
          <cell r="L467" t="str">
            <v>AB</v>
          </cell>
          <cell r="M467" t="str">
            <v>JD8B -F431F92 -AB</v>
          </cell>
          <cell r="O467" t="str">
            <v>NA</v>
          </cell>
          <cell r="P467" t="str">
            <v>魏晓伟</v>
          </cell>
          <cell r="Q467" t="str">
            <v>秦大东</v>
          </cell>
          <cell r="S467">
            <v>1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-1.65</v>
          </cell>
          <cell r="AD467">
            <v>-0.03</v>
          </cell>
          <cell r="AE467">
            <v>-0.04</v>
          </cell>
          <cell r="AF467">
            <v>0</v>
          </cell>
          <cell r="AG467">
            <v>0</v>
          </cell>
          <cell r="AH467">
            <v>-1.72</v>
          </cell>
          <cell r="AI467" t="str">
            <v>CNY</v>
          </cell>
          <cell r="AJ467" t="str">
            <v>LP</v>
          </cell>
          <cell r="AK467" t="str">
            <v>重庆至信 </v>
          </cell>
          <cell r="AL467" t="str">
            <v>EC1AC </v>
          </cell>
          <cell r="BB467">
            <v>-275476</v>
          </cell>
          <cell r="BC467">
            <v>-275476</v>
          </cell>
          <cell r="BE467">
            <v>0</v>
          </cell>
          <cell r="BF467">
            <v>0</v>
          </cell>
          <cell r="BG467">
            <v>0</v>
          </cell>
          <cell r="BI467">
            <v>0</v>
          </cell>
          <cell r="BJ467">
            <v>0</v>
          </cell>
        </row>
        <row r="468">
          <cell r="C468" t="str">
            <v>B044</v>
          </cell>
          <cell r="E468" t="str">
            <v>Fastener</v>
          </cell>
          <cell r="G468" t="str">
            <v>D</v>
          </cell>
          <cell r="H468" t="str">
            <v>BIW</v>
          </cell>
          <cell r="I468" t="str">
            <v>TH</v>
          </cell>
          <cell r="K468" t="str">
            <v>W705212 </v>
          </cell>
          <cell r="L468" t="str">
            <v>S300 </v>
          </cell>
          <cell r="M468" t="str">
            <v>-W705212 -S300 </v>
          </cell>
          <cell r="O468" t="str">
            <v>NA</v>
          </cell>
          <cell r="P468" t="str">
            <v>张春晖</v>
          </cell>
          <cell r="Q468" t="str">
            <v>秦大东</v>
          </cell>
          <cell r="S468">
            <v>2</v>
          </cell>
          <cell r="T468">
            <v>2</v>
          </cell>
          <cell r="U468">
            <v>2</v>
          </cell>
          <cell r="V468">
            <v>2</v>
          </cell>
          <cell r="W468">
            <v>2</v>
          </cell>
          <cell r="X468">
            <v>2</v>
          </cell>
          <cell r="Y468">
            <v>2</v>
          </cell>
          <cell r="Z468">
            <v>2</v>
          </cell>
          <cell r="AA468">
            <v>2</v>
          </cell>
          <cell r="AC468">
            <v>-0.14000000000000001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-0.14000000000000001</v>
          </cell>
          <cell r="AI468" t="str">
            <v>CNY</v>
          </cell>
          <cell r="AJ468" t="str">
            <v>LP</v>
          </cell>
          <cell r="AK468" t="str">
            <v>浙江长华 </v>
          </cell>
          <cell r="AL468" t="str">
            <v>EX7ZB </v>
          </cell>
          <cell r="BB468">
            <v>0</v>
          </cell>
          <cell r="BC468">
            <v>0</v>
          </cell>
          <cell r="BE468">
            <v>0</v>
          </cell>
          <cell r="BF468">
            <v>0</v>
          </cell>
          <cell r="BG468">
            <v>0</v>
          </cell>
          <cell r="BI468">
            <v>0</v>
          </cell>
          <cell r="BJ468">
            <v>0</v>
          </cell>
        </row>
        <row r="469">
          <cell r="C469" t="str">
            <v>IT01-3</v>
          </cell>
          <cell r="E469" t="str">
            <v>Air Bag Units - Drivers Side - DAB</v>
          </cell>
          <cell r="G469" t="str">
            <v>B</v>
          </cell>
          <cell r="H469" t="str">
            <v>PMT2</v>
          </cell>
          <cell r="I469" t="str">
            <v>TH</v>
          </cell>
          <cell r="J469" t="str">
            <v>JD8B </v>
          </cell>
          <cell r="K469" t="str">
            <v>F042B85</v>
          </cell>
          <cell r="L469" t="str">
            <v>AA</v>
          </cell>
          <cell r="M469" t="str">
            <v>JD8B -F042B85-AA</v>
          </cell>
          <cell r="O469" t="str">
            <v>NA</v>
          </cell>
          <cell r="P469" t="str">
            <v>郭琳玲</v>
          </cell>
          <cell r="Q469" t="str">
            <v>张兴华</v>
          </cell>
          <cell r="S469">
            <v>1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-143.51</v>
          </cell>
          <cell r="AD469">
            <v>-2.31</v>
          </cell>
          <cell r="AE469">
            <v>0</v>
          </cell>
          <cell r="AF469">
            <v>-0.75</v>
          </cell>
          <cell r="AG469">
            <v>-3.3</v>
          </cell>
          <cell r="AH469">
            <v>-149.87</v>
          </cell>
          <cell r="AI469" t="str">
            <v>CNY</v>
          </cell>
          <cell r="AJ469" t="str">
            <v>LP</v>
          </cell>
          <cell r="AK469" t="str">
            <v>上海奥托立夫 </v>
          </cell>
          <cell r="AL469" t="str">
            <v>DCHFA </v>
          </cell>
          <cell r="BB469">
            <v>-460000</v>
          </cell>
          <cell r="BC469">
            <v>-460000</v>
          </cell>
          <cell r="BE469">
            <v>-1841710</v>
          </cell>
          <cell r="BF469">
            <v>558000</v>
          </cell>
          <cell r="BI469">
            <v>-1196529</v>
          </cell>
          <cell r="BJ469">
            <v>1596578</v>
          </cell>
        </row>
        <row r="470">
          <cell r="C470" t="str">
            <v>IT02-3</v>
          </cell>
          <cell r="E470" t="str">
            <v xml:space="preserve">Side Air Bag (SAB) </v>
          </cell>
          <cell r="G470" t="str">
            <v>B</v>
          </cell>
          <cell r="H470" t="str">
            <v>PMT2</v>
          </cell>
          <cell r="I470" t="str">
            <v>TH</v>
          </cell>
          <cell r="J470" t="str">
            <v>JD8B </v>
          </cell>
          <cell r="K470" t="str">
            <v>F611D10</v>
          </cell>
          <cell r="L470" t="str">
            <v>AA</v>
          </cell>
          <cell r="M470" t="str">
            <v>JD8B -F611D10-AA</v>
          </cell>
          <cell r="O470" t="str">
            <v>NA</v>
          </cell>
          <cell r="P470" t="str">
            <v>王俊</v>
          </cell>
          <cell r="Q470" t="str">
            <v>张兴华</v>
          </cell>
          <cell r="S470">
            <v>1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-83.22</v>
          </cell>
          <cell r="AD470">
            <v>-1.89</v>
          </cell>
          <cell r="AE470" t="str">
            <v>Milkrun</v>
          </cell>
          <cell r="AF470">
            <v>-0.42</v>
          </cell>
          <cell r="AG470">
            <v>-0.25</v>
          </cell>
          <cell r="AH470">
            <v>-85.78</v>
          </cell>
          <cell r="AI470" t="str">
            <v>CNY</v>
          </cell>
          <cell r="AJ470" t="str">
            <v>LP</v>
          </cell>
          <cell r="AK470" t="str">
            <v>上海奥托立夫 </v>
          </cell>
          <cell r="AL470" t="str">
            <v>DCHFA </v>
          </cell>
          <cell r="BB470">
            <v>0</v>
          </cell>
          <cell r="BC470">
            <v>0</v>
          </cell>
          <cell r="BE470">
            <v>-143175</v>
          </cell>
          <cell r="BF470">
            <v>574899</v>
          </cell>
          <cell r="BI470">
            <v>-668446</v>
          </cell>
          <cell r="BJ470">
            <v>1596578</v>
          </cell>
        </row>
        <row r="471">
          <cell r="C471" t="str">
            <v>IT02-3</v>
          </cell>
          <cell r="E471" t="str">
            <v xml:space="preserve">Side Air Bag (SAB) </v>
          </cell>
          <cell r="G471" t="str">
            <v>B</v>
          </cell>
          <cell r="H471" t="str">
            <v>PMT2</v>
          </cell>
          <cell r="I471" t="str">
            <v>TH</v>
          </cell>
          <cell r="J471" t="str">
            <v>JD8B </v>
          </cell>
          <cell r="K471" t="str">
            <v>F611D11</v>
          </cell>
          <cell r="L471" t="str">
            <v>AA</v>
          </cell>
          <cell r="M471" t="str">
            <v>JD8B -F611D11-AA</v>
          </cell>
          <cell r="O471" t="str">
            <v>NA</v>
          </cell>
          <cell r="P471" t="str">
            <v>王俊</v>
          </cell>
          <cell r="Q471" t="str">
            <v>张兴华</v>
          </cell>
          <cell r="S471">
            <v>1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-83.22</v>
          </cell>
          <cell r="AD471">
            <v>-1.89</v>
          </cell>
          <cell r="AE471" t="str">
            <v>Milkrun</v>
          </cell>
          <cell r="AF471">
            <v>-0.42</v>
          </cell>
          <cell r="AG471">
            <v>-0.25</v>
          </cell>
          <cell r="AH471">
            <v>-85.78</v>
          </cell>
          <cell r="AI471" t="str">
            <v>CNY</v>
          </cell>
          <cell r="AJ471" t="str">
            <v>LP</v>
          </cell>
          <cell r="AK471" t="str">
            <v>上海奥托立夫 </v>
          </cell>
          <cell r="AL471" t="str">
            <v>DCHFA </v>
          </cell>
          <cell r="BB471">
            <v>0</v>
          </cell>
          <cell r="BC471">
            <v>0</v>
          </cell>
          <cell r="BE471">
            <v>-143175</v>
          </cell>
          <cell r="BF471">
            <v>574899</v>
          </cell>
          <cell r="BI471">
            <v>-668446</v>
          </cell>
          <cell r="BJ471">
            <v>1596578</v>
          </cell>
        </row>
        <row r="472">
          <cell r="C472" t="str">
            <v>CH025</v>
          </cell>
          <cell r="E472" t="str">
            <v>Front Coil Spring</v>
          </cell>
          <cell r="G472" t="str">
            <v>NA</v>
          </cell>
          <cell r="H472" t="str">
            <v>PMT3</v>
          </cell>
          <cell r="I472" t="str">
            <v>PF</v>
          </cell>
          <cell r="J472" t="str">
            <v>JD8C</v>
          </cell>
          <cell r="K472">
            <v>5310</v>
          </cell>
          <cell r="L472" t="str">
            <v>AB</v>
          </cell>
          <cell r="M472" t="str">
            <v>JD8C-5310-AB</v>
          </cell>
          <cell r="P472" t="str">
            <v>刘青文</v>
          </cell>
          <cell r="Q472" t="str">
            <v>邱军</v>
          </cell>
          <cell r="S472">
            <v>2</v>
          </cell>
          <cell r="T472">
            <v>0</v>
          </cell>
          <cell r="U472">
            <v>2</v>
          </cell>
          <cell r="V472">
            <v>0</v>
          </cell>
          <cell r="W472">
            <v>2</v>
          </cell>
          <cell r="X472">
            <v>0</v>
          </cell>
          <cell r="Y472">
            <v>0</v>
          </cell>
          <cell r="Z472">
            <v>0</v>
          </cell>
          <cell r="AA472">
            <v>0.74</v>
          </cell>
          <cell r="AC472">
            <v>-35.28</v>
          </cell>
          <cell r="AD472">
            <v>-1.86</v>
          </cell>
          <cell r="AE472">
            <v>-3.47</v>
          </cell>
          <cell r="AF472">
            <v>-0.18</v>
          </cell>
          <cell r="AG472">
            <v>0</v>
          </cell>
          <cell r="AH472">
            <v>-40.79</v>
          </cell>
          <cell r="AI472" t="str">
            <v>CNY</v>
          </cell>
          <cell r="AJ472" t="str">
            <v>LP</v>
          </cell>
          <cell r="AK472" t="str">
            <v>慕贝尔汽车部件（沈阳）有限公司</v>
          </cell>
          <cell r="BB472">
            <v>0</v>
          </cell>
          <cell r="BC472">
            <v>0</v>
          </cell>
          <cell r="BE472">
            <v>0</v>
          </cell>
          <cell r="BF472">
            <v>0</v>
          </cell>
          <cell r="BI472">
            <v>0</v>
          </cell>
          <cell r="BJ472">
            <v>0</v>
          </cell>
        </row>
        <row r="473">
          <cell r="C473" t="str">
            <v>CH025</v>
          </cell>
          <cell r="E473" t="str">
            <v>Front Coil Spring</v>
          </cell>
          <cell r="G473" t="str">
            <v>NA</v>
          </cell>
          <cell r="H473" t="str">
            <v>PMT3</v>
          </cell>
          <cell r="I473" t="str">
            <v>PF</v>
          </cell>
          <cell r="J473" t="str">
            <v>JD8C</v>
          </cell>
          <cell r="K473">
            <v>5310</v>
          </cell>
          <cell r="L473" t="str">
            <v>BB</v>
          </cell>
          <cell r="M473" t="str">
            <v>JD8C-5310-BB</v>
          </cell>
          <cell r="P473" t="str">
            <v>刘青文</v>
          </cell>
          <cell r="Q473" t="str">
            <v>邱军</v>
          </cell>
          <cell r="S473">
            <v>0</v>
          </cell>
          <cell r="T473">
            <v>2</v>
          </cell>
          <cell r="U473">
            <v>0</v>
          </cell>
          <cell r="V473">
            <v>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0.78</v>
          </cell>
          <cell r="AC473">
            <v>-37.06</v>
          </cell>
          <cell r="AD473">
            <v>-1.86</v>
          </cell>
          <cell r="AE473">
            <v>-3.63</v>
          </cell>
          <cell r="AF473">
            <v>-0.18</v>
          </cell>
          <cell r="AG473">
            <v>0</v>
          </cell>
          <cell r="AH473">
            <v>-42.730000000000004</v>
          </cell>
          <cell r="AI473" t="str">
            <v>CNY</v>
          </cell>
          <cell r="AJ473" t="str">
            <v>LP</v>
          </cell>
          <cell r="AK473" t="str">
            <v>慕贝尔汽车部件（沈阳）有限公司</v>
          </cell>
          <cell r="BB473">
            <v>0</v>
          </cell>
          <cell r="BC473">
            <v>0</v>
          </cell>
          <cell r="BE473">
            <v>0</v>
          </cell>
          <cell r="BF473">
            <v>0</v>
          </cell>
          <cell r="BI473">
            <v>0</v>
          </cell>
          <cell r="BJ473">
            <v>0</v>
          </cell>
        </row>
        <row r="474">
          <cell r="C474" t="str">
            <v>CH025</v>
          </cell>
          <cell r="E474" t="str">
            <v>Front Coil Spring</v>
          </cell>
          <cell r="G474" t="str">
            <v>NA</v>
          </cell>
          <cell r="H474" t="str">
            <v>PMT3</v>
          </cell>
          <cell r="I474" t="str">
            <v>PF</v>
          </cell>
          <cell r="J474" t="str">
            <v>JD8C</v>
          </cell>
          <cell r="K474">
            <v>5310</v>
          </cell>
          <cell r="L474" t="str">
            <v>CB</v>
          </cell>
          <cell r="M474" t="str">
            <v>JD8C-5310-CB</v>
          </cell>
          <cell r="P474" t="str">
            <v>刘青文</v>
          </cell>
          <cell r="Q474" t="str">
            <v>邱军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2</v>
          </cell>
          <cell r="Y474">
            <v>2</v>
          </cell>
          <cell r="Z474">
            <v>2</v>
          </cell>
          <cell r="AA474">
            <v>0.48</v>
          </cell>
          <cell r="AC474">
            <v>-37.46</v>
          </cell>
          <cell r="AD474">
            <v>-1.86</v>
          </cell>
          <cell r="AE474">
            <v>-3.63</v>
          </cell>
          <cell r="AF474">
            <v>-0.18</v>
          </cell>
          <cell r="AG474">
            <v>0</v>
          </cell>
          <cell r="AH474">
            <v>-43.13</v>
          </cell>
          <cell r="AI474" t="str">
            <v>CNY</v>
          </cell>
          <cell r="AJ474" t="str">
            <v>LP</v>
          </cell>
          <cell r="AK474" t="str">
            <v>慕贝尔汽车部件（沈阳）有限公司</v>
          </cell>
          <cell r="BB474">
            <v>0</v>
          </cell>
          <cell r="BC474">
            <v>0</v>
          </cell>
          <cell r="BE474">
            <v>0</v>
          </cell>
          <cell r="BF474">
            <v>0</v>
          </cell>
          <cell r="BI474">
            <v>0</v>
          </cell>
          <cell r="BJ474">
            <v>0</v>
          </cell>
        </row>
        <row r="475">
          <cell r="C475" t="str">
            <v>CH025</v>
          </cell>
          <cell r="E475" t="str">
            <v>Front Coil Spring</v>
          </cell>
          <cell r="G475" t="str">
            <v>NA</v>
          </cell>
          <cell r="H475" t="str">
            <v>PMT3</v>
          </cell>
          <cell r="I475" t="str">
            <v>PF</v>
          </cell>
          <cell r="J475" t="str">
            <v>JD8C</v>
          </cell>
          <cell r="K475">
            <v>5560</v>
          </cell>
          <cell r="L475" t="str">
            <v>AB</v>
          </cell>
          <cell r="M475" t="str">
            <v>JD8C-5560-AB</v>
          </cell>
          <cell r="P475" t="str">
            <v>刘青文</v>
          </cell>
          <cell r="Q475" t="str">
            <v>邱军</v>
          </cell>
          <cell r="S475">
            <v>2</v>
          </cell>
          <cell r="T475">
            <v>2</v>
          </cell>
          <cell r="U475">
            <v>2</v>
          </cell>
          <cell r="V475">
            <v>2</v>
          </cell>
          <cell r="W475">
            <v>2</v>
          </cell>
          <cell r="X475">
            <v>2</v>
          </cell>
          <cell r="Y475">
            <v>2</v>
          </cell>
          <cell r="Z475">
            <v>2</v>
          </cell>
          <cell r="AA475">
            <v>2</v>
          </cell>
          <cell r="AC475">
            <v>-35.929999999999993</v>
          </cell>
          <cell r="AD475">
            <v>-1.86</v>
          </cell>
          <cell r="AE475">
            <v>-3.31</v>
          </cell>
          <cell r="AF475">
            <v>-0.17</v>
          </cell>
          <cell r="AG475">
            <v>0</v>
          </cell>
          <cell r="AH475">
            <v>-41.269999999999996</v>
          </cell>
          <cell r="AI475" t="str">
            <v>CNY</v>
          </cell>
          <cell r="AJ475" t="str">
            <v>LP</v>
          </cell>
          <cell r="AK475" t="str">
            <v>慕贝尔汽车部件（沈阳）有限公司</v>
          </cell>
          <cell r="BB475">
            <v>0</v>
          </cell>
          <cell r="BC475">
            <v>0</v>
          </cell>
          <cell r="BE475">
            <v>0</v>
          </cell>
          <cell r="BF475">
            <v>0</v>
          </cell>
          <cell r="BI475">
            <v>0</v>
          </cell>
          <cell r="BJ475">
            <v>0</v>
          </cell>
        </row>
        <row r="476">
          <cell r="C476" t="str">
            <v>CH025</v>
          </cell>
          <cell r="E476" t="str">
            <v>Front Coil Spring</v>
          </cell>
          <cell r="G476" t="str">
            <v>NA</v>
          </cell>
          <cell r="H476" t="str">
            <v>PMT3</v>
          </cell>
          <cell r="I476" t="str">
            <v>PF</v>
          </cell>
          <cell r="J476" t="str">
            <v>JD8C</v>
          </cell>
          <cell r="K476">
            <v>5560</v>
          </cell>
          <cell r="L476" t="str">
            <v>AA</v>
          </cell>
          <cell r="M476" t="str">
            <v>JD8C-5560-AA</v>
          </cell>
          <cell r="P476" t="str">
            <v>刘青文</v>
          </cell>
          <cell r="Q476" t="str">
            <v>邱军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-38.059999999999995</v>
          </cell>
          <cell r="AD476">
            <v>-1.86</v>
          </cell>
          <cell r="AE476">
            <v>-3.31</v>
          </cell>
          <cell r="AF476">
            <v>-0.17</v>
          </cell>
          <cell r="AG476">
            <v>0</v>
          </cell>
          <cell r="AH476">
            <v>-43.4</v>
          </cell>
          <cell r="AI476" t="str">
            <v>CNY</v>
          </cell>
          <cell r="AJ476" t="str">
            <v>LP</v>
          </cell>
          <cell r="AK476" t="str">
            <v>慕贝尔汽车部件（沈阳）有限公司</v>
          </cell>
          <cell r="BB476">
            <v>0</v>
          </cell>
          <cell r="BC476">
            <v>0</v>
          </cell>
          <cell r="BE476">
            <v>0</v>
          </cell>
          <cell r="BF476">
            <v>0</v>
          </cell>
          <cell r="BI476">
            <v>0</v>
          </cell>
          <cell r="BJ476">
            <v>0</v>
          </cell>
        </row>
        <row r="477">
          <cell r="C477" t="str">
            <v>CH066</v>
          </cell>
          <cell r="E477" t="str">
            <v>CLTUCH PEDAL</v>
          </cell>
          <cell r="G477" t="str">
            <v>NA</v>
          </cell>
          <cell r="H477" t="str">
            <v>PMT3</v>
          </cell>
          <cell r="I477" t="str">
            <v>PF</v>
          </cell>
          <cell r="J477" t="str">
            <v>JD8C</v>
          </cell>
          <cell r="K477" t="str">
            <v>7B633</v>
          </cell>
          <cell r="L477" t="str">
            <v>AA</v>
          </cell>
          <cell r="M477" t="str">
            <v>JD8C-7B633-AA</v>
          </cell>
          <cell r="P477" t="str">
            <v>陈鑫</v>
          </cell>
          <cell r="Q477" t="str">
            <v>李冠廷</v>
          </cell>
          <cell r="S477">
            <v>1</v>
          </cell>
          <cell r="T477">
            <v>0</v>
          </cell>
          <cell r="U477">
            <v>1</v>
          </cell>
          <cell r="V477">
            <v>0</v>
          </cell>
          <cell r="W477">
            <v>1</v>
          </cell>
          <cell r="X477">
            <v>0</v>
          </cell>
          <cell r="Y477">
            <v>0</v>
          </cell>
          <cell r="Z477">
            <v>0</v>
          </cell>
          <cell r="AA477">
            <v>0.37</v>
          </cell>
          <cell r="AC477">
            <v>-49.61</v>
          </cell>
          <cell r="AD477">
            <v>-0.5</v>
          </cell>
          <cell r="AE477">
            <v>-1</v>
          </cell>
          <cell r="AF477">
            <v>0</v>
          </cell>
          <cell r="AG477">
            <v>0</v>
          </cell>
          <cell r="AH477">
            <v>-51.11</v>
          </cell>
          <cell r="AI477" t="str">
            <v>CNY</v>
          </cell>
          <cell r="AJ477" t="str">
            <v>LP</v>
          </cell>
          <cell r="AK477" t="str">
            <v>希捷汽车零部件（重庆）有限公司</v>
          </cell>
          <cell r="BB477">
            <v>-68800</v>
          </cell>
          <cell r="BC477">
            <v>-68800</v>
          </cell>
          <cell r="BE477">
            <v>0</v>
          </cell>
          <cell r="BF477">
            <v>0</v>
          </cell>
          <cell r="BI477">
            <v>0</v>
          </cell>
          <cell r="BJ477">
            <v>0</v>
          </cell>
        </row>
        <row r="478">
          <cell r="C478" t="str">
            <v>Hardware001-1</v>
          </cell>
          <cell r="E478" t="str">
            <v>BOLT&amp;WSHR M6X20 HX NP CON</v>
          </cell>
          <cell r="G478" t="str">
            <v>D</v>
          </cell>
          <cell r="H478" t="str">
            <v>PMT4</v>
          </cell>
          <cell r="I478" t="str">
            <v>PF</v>
          </cell>
          <cell r="K478" t="str">
            <v>W505424 </v>
          </cell>
          <cell r="L478" t="str">
            <v>S442</v>
          </cell>
          <cell r="M478" t="str">
            <v>-W505424 -S442</v>
          </cell>
          <cell r="P478" t="str">
            <v>张春晖</v>
          </cell>
          <cell r="Q478" t="str">
            <v>梁伟华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0.23</v>
          </cell>
          <cell r="AC478">
            <v>-2.5100000000000001E-2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-2.5100000000000001E-2</v>
          </cell>
          <cell r="AI478" t="str">
            <v>CNY</v>
          </cell>
          <cell r="AJ478" t="str">
            <v>LP</v>
          </cell>
          <cell r="AK478" t="str">
            <v>重庆金海标准件有限公司</v>
          </cell>
          <cell r="BB478">
            <v>0</v>
          </cell>
          <cell r="BC478">
            <v>0</v>
          </cell>
          <cell r="BE478">
            <v>0</v>
          </cell>
          <cell r="BF478">
            <v>0</v>
          </cell>
          <cell r="BG478">
            <v>0</v>
          </cell>
          <cell r="BI478">
            <v>0</v>
          </cell>
          <cell r="BJ478">
            <v>0</v>
          </cell>
        </row>
        <row r="479">
          <cell r="C479" t="str">
            <v xml:space="preserve">PT03-5-1 </v>
          </cell>
          <cell r="E479" t="str">
            <v>Catalyst</v>
          </cell>
          <cell r="G479" t="str">
            <v>B</v>
          </cell>
          <cell r="H479" t="str">
            <v>PMT4</v>
          </cell>
          <cell r="I479" t="str">
            <v>PF</v>
          </cell>
          <cell r="J479" t="str">
            <v>JX61</v>
          </cell>
          <cell r="K479" t="str">
            <v>5F228</v>
          </cell>
          <cell r="L479" t="str">
            <v>YA</v>
          </cell>
          <cell r="M479" t="str">
            <v>JX61-5F228-YA</v>
          </cell>
          <cell r="P479" t="str">
            <v>苏旭鹏</v>
          </cell>
          <cell r="Q479" t="str">
            <v>夏徐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1</v>
          </cell>
          <cell r="X479">
            <v>1</v>
          </cell>
          <cell r="Y479">
            <v>1</v>
          </cell>
          <cell r="Z479">
            <v>1</v>
          </cell>
          <cell r="AA479">
            <v>0.33</v>
          </cell>
          <cell r="AC479">
            <v>-560.44000000000005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-560.44000000000005</v>
          </cell>
          <cell r="AI479" t="str">
            <v>CNY</v>
          </cell>
          <cell r="AJ479" t="str">
            <v>LP</v>
          </cell>
          <cell r="AK479" t="str">
            <v>上海巴斯夫</v>
          </cell>
          <cell r="BB479">
            <v>0</v>
          </cell>
          <cell r="BC479">
            <v>0</v>
          </cell>
          <cell r="BE479">
            <v>0</v>
          </cell>
          <cell r="BF479">
            <v>0</v>
          </cell>
          <cell r="BI479">
            <v>0</v>
          </cell>
          <cell r="BJ479">
            <v>0</v>
          </cell>
        </row>
        <row r="480">
          <cell r="C480" t="str">
            <v>CH067</v>
          </cell>
          <cell r="D480" t="str">
            <v>PARKING LEVEL DARK</v>
          </cell>
          <cell r="E480" t="str">
            <v>PARKING LEVEL DARK</v>
          </cell>
          <cell r="G480" t="str">
            <v>B</v>
          </cell>
          <cell r="H480" t="str">
            <v>PMT3</v>
          </cell>
          <cell r="I480" t="str">
            <v>PF</v>
          </cell>
          <cell r="J480" t="str">
            <v>JD8C</v>
          </cell>
          <cell r="K480">
            <v>2780</v>
          </cell>
          <cell r="L480" t="str">
            <v>AA3JM7</v>
          </cell>
          <cell r="M480" t="str">
            <v>JD8C-2780-AA3JM7</v>
          </cell>
          <cell r="P480" t="str">
            <v>李瑶远</v>
          </cell>
          <cell r="Q480" t="str">
            <v>李冠廷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1</v>
          </cell>
          <cell r="Z480">
            <v>1</v>
          </cell>
          <cell r="AA480">
            <v>0.1</v>
          </cell>
          <cell r="AC480">
            <v>-80.347709300000005</v>
          </cell>
          <cell r="AD480">
            <v>-1</v>
          </cell>
          <cell r="AE480">
            <v>-1.3</v>
          </cell>
          <cell r="AF480">
            <v>-2.62</v>
          </cell>
          <cell r="AH480">
            <v>-85.267709300000007</v>
          </cell>
          <cell r="AI480" t="str">
            <v>CNY</v>
          </cell>
          <cell r="AJ480" t="str">
            <v>LP</v>
          </cell>
          <cell r="AK480" t="str">
            <v>上海迪由 </v>
          </cell>
          <cell r="BB480">
            <v>-985000</v>
          </cell>
          <cell r="BC480">
            <v>-985000</v>
          </cell>
          <cell r="BE480">
            <v>-78700</v>
          </cell>
          <cell r="BF480">
            <v>57490</v>
          </cell>
          <cell r="BI480">
            <v>-4183034.3600000003</v>
          </cell>
          <cell r="BJ480">
            <v>1596578</v>
          </cell>
        </row>
        <row r="481">
          <cell r="C481" t="str">
            <v>CH067</v>
          </cell>
          <cell r="D481" t="str">
            <v>PARKING LEVEL DARK</v>
          </cell>
          <cell r="E481" t="str">
            <v>PARKING LEVEL DARK</v>
          </cell>
          <cell r="G481" t="str">
            <v>B</v>
          </cell>
          <cell r="H481" t="str">
            <v>PMT3</v>
          </cell>
          <cell r="I481" t="str">
            <v>PF</v>
          </cell>
          <cell r="J481" t="str">
            <v>JD8C</v>
          </cell>
          <cell r="K481">
            <v>2780</v>
          </cell>
          <cell r="L481" t="str">
            <v>AA3JU6</v>
          </cell>
          <cell r="M481" t="str">
            <v>JD8C-2780-AA3JU6</v>
          </cell>
          <cell r="P481" t="str">
            <v>李瑶远</v>
          </cell>
          <cell r="Q481" t="str">
            <v>李冠廷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</v>
          </cell>
          <cell r="Z481">
            <v>1</v>
          </cell>
          <cell r="AA481">
            <v>0.1</v>
          </cell>
          <cell r="AC481">
            <v>-80.347709300000005</v>
          </cell>
          <cell r="AD481">
            <v>-1</v>
          </cell>
          <cell r="AE481">
            <v>-1.3</v>
          </cell>
          <cell r="AF481">
            <v>-2.62</v>
          </cell>
          <cell r="AH481">
            <v>-85.267709300000007</v>
          </cell>
          <cell r="AI481" t="str">
            <v>CNY</v>
          </cell>
          <cell r="AJ481" t="str">
            <v>LP</v>
          </cell>
          <cell r="AK481" t="str">
            <v>上海迪由 </v>
          </cell>
          <cell r="BB481">
            <v>0</v>
          </cell>
          <cell r="BC481">
            <v>0</v>
          </cell>
          <cell r="BE481">
            <v>0</v>
          </cell>
          <cell r="BF481">
            <v>0</v>
          </cell>
        </row>
        <row r="482">
          <cell r="C482" t="str">
            <v>CH003-1</v>
          </cell>
          <cell r="E482" t="str">
            <v>STEERING GEAR &amp; LINKAGE ASSY + CH003-1</v>
          </cell>
          <cell r="G482" t="str">
            <v>NA</v>
          </cell>
          <cell r="H482" t="str">
            <v>PMT3</v>
          </cell>
          <cell r="I482" t="str">
            <v>PF</v>
          </cell>
          <cell r="J482" t="str">
            <v>JD8C</v>
          </cell>
          <cell r="K482" t="str">
            <v>3A500</v>
          </cell>
          <cell r="L482" t="str">
            <v>AB</v>
          </cell>
          <cell r="M482" t="str">
            <v>JD8C-3A500-AB</v>
          </cell>
          <cell r="P482" t="str">
            <v>刘开宇</v>
          </cell>
          <cell r="Q482" t="str">
            <v>孙志旺</v>
          </cell>
          <cell r="S482">
            <v>1</v>
          </cell>
          <cell r="T482">
            <v>1</v>
          </cell>
          <cell r="U482">
            <v>1</v>
          </cell>
          <cell r="V482">
            <v>1</v>
          </cell>
          <cell r="W482">
            <v>1</v>
          </cell>
          <cell r="X482">
            <v>1</v>
          </cell>
          <cell r="Y482">
            <v>1</v>
          </cell>
          <cell r="Z482">
            <v>1</v>
          </cell>
          <cell r="AA482">
            <v>1</v>
          </cell>
          <cell r="AC482">
            <v>-337.18</v>
          </cell>
          <cell r="AD482">
            <v>-6.8</v>
          </cell>
          <cell r="AE482">
            <v>-7.25</v>
          </cell>
          <cell r="AF482">
            <v>-0.81</v>
          </cell>
          <cell r="AG482">
            <v>0</v>
          </cell>
          <cell r="AH482">
            <v>-352.04</v>
          </cell>
          <cell r="AI482" t="str">
            <v>CNY</v>
          </cell>
          <cell r="AJ482" t="str">
            <v>LP</v>
          </cell>
          <cell r="AK482" t="str">
            <v>新乡艾迪威</v>
          </cell>
          <cell r="BB482">
            <v>0</v>
          </cell>
          <cell r="BC482">
            <v>0</v>
          </cell>
          <cell r="BE482">
            <v>0</v>
          </cell>
          <cell r="BF482">
            <v>0</v>
          </cell>
          <cell r="BI482">
            <v>0</v>
          </cell>
          <cell r="BJ482">
            <v>0</v>
          </cell>
        </row>
        <row r="483">
          <cell r="C483" t="str">
            <v>ET8-1</v>
          </cell>
          <cell r="E483" t="str">
            <v>Radiator Air Deflector (lower)</v>
          </cell>
          <cell r="G483" t="str">
            <v>D</v>
          </cell>
          <cell r="H483" t="str">
            <v>PMT1</v>
          </cell>
          <cell r="I483" t="str">
            <v>TH</v>
          </cell>
          <cell r="J483" t="str">
            <v>JD8B</v>
          </cell>
          <cell r="K483" t="str">
            <v xml:space="preserve">  F8B384</v>
          </cell>
          <cell r="L483" t="str">
            <v>AB</v>
          </cell>
          <cell r="M483" t="str">
            <v>JD8B-F8B384-AB</v>
          </cell>
          <cell r="P483" t="str">
            <v>翟万里</v>
          </cell>
          <cell r="Q483" t="str">
            <v>杜文博</v>
          </cell>
          <cell r="S483">
            <v>1</v>
          </cell>
          <cell r="T483">
            <v>1</v>
          </cell>
          <cell r="U483">
            <v>1</v>
          </cell>
          <cell r="V483">
            <v>1</v>
          </cell>
          <cell r="W483">
            <v>1</v>
          </cell>
          <cell r="X483">
            <v>1</v>
          </cell>
          <cell r="Y483">
            <v>1</v>
          </cell>
          <cell r="Z483">
            <v>1</v>
          </cell>
          <cell r="AA483">
            <v>1</v>
          </cell>
          <cell r="AC483">
            <v>-43.94</v>
          </cell>
          <cell r="AD483">
            <v>-0.71</v>
          </cell>
          <cell r="AE483">
            <v>-1.83</v>
          </cell>
          <cell r="AF483">
            <v>0</v>
          </cell>
          <cell r="AG483">
            <v>0</v>
          </cell>
          <cell r="AH483">
            <v>-46.48</v>
          </cell>
          <cell r="AI483" t="str">
            <v>CNY</v>
          </cell>
          <cell r="AJ483" t="str">
            <v>LP</v>
          </cell>
          <cell r="AK483" t="str">
            <v>重庆平伟 </v>
          </cell>
          <cell r="AL483" t="str">
            <v>GZM7A </v>
          </cell>
          <cell r="BB483">
            <v>-790000</v>
          </cell>
          <cell r="BC483">
            <v>-790000</v>
          </cell>
          <cell r="BE483">
            <v>0</v>
          </cell>
          <cell r="BF483">
            <v>0</v>
          </cell>
          <cell r="BI483">
            <v>0</v>
          </cell>
          <cell r="BJ483">
            <v>0</v>
          </cell>
        </row>
        <row r="484">
          <cell r="C484" t="str">
            <v>CH064</v>
          </cell>
          <cell r="E484" t="str">
            <v>Brake lines</v>
          </cell>
          <cell r="F484" t="str">
            <v>制动硬管</v>
          </cell>
          <cell r="G484" t="str">
            <v>B</v>
          </cell>
          <cell r="H484" t="str">
            <v>PMT3</v>
          </cell>
          <cell r="I484" t="str">
            <v>PF</v>
          </cell>
          <cell r="J484" t="str">
            <v>JD8C</v>
          </cell>
          <cell r="K484" t="str">
            <v>2234 </v>
          </cell>
          <cell r="L484" t="str">
            <v>BA</v>
          </cell>
          <cell r="M484" t="str">
            <v>JD8C-2234 -BA</v>
          </cell>
          <cell r="P484" t="str">
            <v>李冠廷</v>
          </cell>
          <cell r="Q484" t="str">
            <v>刘青文</v>
          </cell>
          <cell r="S484">
            <v>1</v>
          </cell>
          <cell r="T484">
            <v>1</v>
          </cell>
          <cell r="U484">
            <v>1</v>
          </cell>
          <cell r="V484">
            <v>1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0.72000000000000008</v>
          </cell>
          <cell r="AC484">
            <v>-16.940000000000001</v>
          </cell>
          <cell r="AD484">
            <v>-0.18</v>
          </cell>
          <cell r="AE484">
            <v>-0.18</v>
          </cell>
          <cell r="AF484">
            <v>-0.02</v>
          </cell>
          <cell r="AG484">
            <v>0</v>
          </cell>
          <cell r="AH484">
            <v>-17.32</v>
          </cell>
          <cell r="AI484" t="str">
            <v>CNY</v>
          </cell>
          <cell r="AJ484" t="str">
            <v>LP</v>
          </cell>
          <cell r="AK484" t="str">
            <v>重庆邦迪 </v>
          </cell>
          <cell r="AL484" t="str">
            <v>DZQXA </v>
          </cell>
          <cell r="BB484">
            <v>-270920</v>
          </cell>
          <cell r="BC484">
            <v>-270920</v>
          </cell>
          <cell r="BE484">
            <v>0</v>
          </cell>
          <cell r="BF484">
            <v>0</v>
          </cell>
          <cell r="BI484">
            <v>-17746</v>
          </cell>
          <cell r="BJ484">
            <v>742509</v>
          </cell>
        </row>
        <row r="485">
          <cell r="C485" t="str">
            <v>CH064</v>
          </cell>
          <cell r="E485" t="str">
            <v>Brake lines</v>
          </cell>
          <cell r="F485" t="str">
            <v>制动硬管</v>
          </cell>
          <cell r="G485" t="str">
            <v>B</v>
          </cell>
          <cell r="H485" t="str">
            <v>PMT3</v>
          </cell>
          <cell r="I485" t="str">
            <v>PF</v>
          </cell>
          <cell r="J485" t="str">
            <v>JD8C</v>
          </cell>
          <cell r="K485" t="str">
            <v>2234 </v>
          </cell>
          <cell r="L485" t="str">
            <v>CA</v>
          </cell>
          <cell r="M485" t="str">
            <v>JD8C-2234 -CA</v>
          </cell>
          <cell r="P485" t="str">
            <v>李冠廷</v>
          </cell>
          <cell r="Q485" t="str">
            <v>刘青文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1</v>
          </cell>
          <cell r="X485">
            <v>1</v>
          </cell>
          <cell r="Y485">
            <v>0</v>
          </cell>
          <cell r="Z485">
            <v>1</v>
          </cell>
          <cell r="AA485">
            <v>0.28000000000000003</v>
          </cell>
          <cell r="AC485">
            <v>-12.85</v>
          </cell>
          <cell r="AD485">
            <v>-0.16</v>
          </cell>
          <cell r="AE485">
            <v>-0.16</v>
          </cell>
          <cell r="AF485">
            <v>-0.04</v>
          </cell>
          <cell r="AG485">
            <v>0</v>
          </cell>
          <cell r="AH485">
            <v>-13.209999999999999</v>
          </cell>
          <cell r="AI485" t="str">
            <v>CNY</v>
          </cell>
          <cell r="AJ485" t="str">
            <v>LP</v>
          </cell>
          <cell r="AK485" t="str">
            <v>重庆邦迪 </v>
          </cell>
          <cell r="AL485" t="str">
            <v>DZQXA </v>
          </cell>
          <cell r="BB485">
            <v>-27150</v>
          </cell>
          <cell r="BC485">
            <v>-27150</v>
          </cell>
          <cell r="BE485">
            <v>0</v>
          </cell>
          <cell r="BF485">
            <v>0</v>
          </cell>
          <cell r="BI485">
            <v>-14944</v>
          </cell>
          <cell r="BJ485">
            <v>402788</v>
          </cell>
        </row>
        <row r="486">
          <cell r="C486" t="str">
            <v>CH064</v>
          </cell>
          <cell r="E486" t="str">
            <v>Brake lines</v>
          </cell>
          <cell r="F486" t="str">
            <v>制动硬管</v>
          </cell>
          <cell r="G486" t="str">
            <v>B</v>
          </cell>
          <cell r="H486" t="str">
            <v>PMT3</v>
          </cell>
          <cell r="I486" t="str">
            <v>PF</v>
          </cell>
          <cell r="J486" t="str">
            <v>JD8C</v>
          </cell>
          <cell r="K486" t="str">
            <v>2263 </v>
          </cell>
          <cell r="L486" t="str">
            <v>AA</v>
          </cell>
          <cell r="M486" t="str">
            <v>JD8C-2263 -AA</v>
          </cell>
          <cell r="P486" t="str">
            <v>李冠廷</v>
          </cell>
          <cell r="Q486" t="str">
            <v>刘青文</v>
          </cell>
          <cell r="S486">
            <v>1</v>
          </cell>
          <cell r="T486">
            <v>1</v>
          </cell>
          <cell r="U486">
            <v>1</v>
          </cell>
          <cell r="V486">
            <v>1</v>
          </cell>
          <cell r="W486">
            <v>1</v>
          </cell>
          <cell r="X486">
            <v>1</v>
          </cell>
          <cell r="Y486">
            <v>1</v>
          </cell>
          <cell r="Z486">
            <v>1</v>
          </cell>
          <cell r="AA486">
            <v>1</v>
          </cell>
          <cell r="AC486">
            <v>-18.399999999999999</v>
          </cell>
          <cell r="AD486">
            <v>-0.22</v>
          </cell>
          <cell r="AE486">
            <v>-0.22</v>
          </cell>
          <cell r="AF486">
            <v>-7.0000000000000007E-2</v>
          </cell>
          <cell r="AG486">
            <v>0</v>
          </cell>
          <cell r="AH486">
            <v>-18.909999999999997</v>
          </cell>
          <cell r="AI486" t="str">
            <v>CNY</v>
          </cell>
          <cell r="AJ486" t="str">
            <v>LP</v>
          </cell>
          <cell r="AK486" t="str">
            <v>重庆邦迪 </v>
          </cell>
          <cell r="AL486" t="str">
            <v>DZQXA </v>
          </cell>
          <cell r="BB486">
            <v>-212260</v>
          </cell>
          <cell r="BC486">
            <v>-212260</v>
          </cell>
          <cell r="BE486">
            <v>0</v>
          </cell>
          <cell r="BF486">
            <v>0</v>
          </cell>
          <cell r="BI486">
            <v>-21015</v>
          </cell>
          <cell r="BJ486">
            <v>287921</v>
          </cell>
        </row>
        <row r="487">
          <cell r="C487" t="str">
            <v>CH064</v>
          </cell>
          <cell r="E487" t="str">
            <v>Brake lines</v>
          </cell>
          <cell r="F487" t="str">
            <v>制动硬管</v>
          </cell>
          <cell r="G487" t="str">
            <v>B</v>
          </cell>
          <cell r="H487" t="str">
            <v>PMT3</v>
          </cell>
          <cell r="I487" t="str">
            <v>PF</v>
          </cell>
          <cell r="J487" t="str">
            <v>ED8C</v>
          </cell>
          <cell r="K487" t="str">
            <v>2A040 </v>
          </cell>
          <cell r="L487" t="str">
            <v>AC</v>
          </cell>
          <cell r="M487" t="str">
            <v>ED8C-2A040 -AC</v>
          </cell>
          <cell r="P487" t="str">
            <v>李冠廷</v>
          </cell>
          <cell r="Q487" t="str">
            <v>刘青文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1</v>
          </cell>
          <cell r="X487">
            <v>1</v>
          </cell>
          <cell r="Y487">
            <v>0</v>
          </cell>
          <cell r="Z487">
            <v>1</v>
          </cell>
          <cell r="AA487">
            <v>0.28000000000000003</v>
          </cell>
          <cell r="AC487">
            <v>-14.45</v>
          </cell>
          <cell r="AD487">
            <v>-0.16</v>
          </cell>
          <cell r="AE487">
            <v>-0.16</v>
          </cell>
          <cell r="AF487">
            <v>-0.04</v>
          </cell>
          <cell r="AG487">
            <v>0</v>
          </cell>
          <cell r="AH487">
            <v>-14.809999999999999</v>
          </cell>
          <cell r="AI487" t="str">
            <v>CNY</v>
          </cell>
          <cell r="AJ487" t="str">
            <v>LP</v>
          </cell>
          <cell r="AK487" t="str">
            <v>重庆邦迪 </v>
          </cell>
          <cell r="AL487" t="str">
            <v>DZQXA </v>
          </cell>
          <cell r="BB487">
            <v>0</v>
          </cell>
          <cell r="BC487">
            <v>0</v>
          </cell>
          <cell r="BE487">
            <v>0</v>
          </cell>
          <cell r="BF487">
            <v>0</v>
          </cell>
          <cell r="BI487">
            <v>-17746</v>
          </cell>
          <cell r="BJ487">
            <v>402788</v>
          </cell>
        </row>
        <row r="488">
          <cell r="C488" t="str">
            <v>CH064</v>
          </cell>
          <cell r="E488" t="str">
            <v>Brake lines</v>
          </cell>
          <cell r="F488" t="str">
            <v>制动硬管</v>
          </cell>
          <cell r="G488" t="str">
            <v>B</v>
          </cell>
          <cell r="H488" t="str">
            <v>PMT3</v>
          </cell>
          <cell r="I488" t="str">
            <v>PF</v>
          </cell>
          <cell r="J488" t="str">
            <v>JD8C</v>
          </cell>
          <cell r="K488" t="str">
            <v>2A040 </v>
          </cell>
          <cell r="L488" t="str">
            <v>BA</v>
          </cell>
          <cell r="M488" t="str">
            <v>JD8C-2A040 -BA</v>
          </cell>
          <cell r="P488" t="str">
            <v>李冠廷</v>
          </cell>
          <cell r="Q488" t="str">
            <v>刘青文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W488">
            <v>0</v>
          </cell>
          <cell r="X488">
            <v>0</v>
          </cell>
          <cell r="Y488">
            <v>1</v>
          </cell>
          <cell r="Z488">
            <v>0</v>
          </cell>
          <cell r="AA488">
            <v>0.72000000000000008</v>
          </cell>
          <cell r="AC488">
            <v>-19.11</v>
          </cell>
          <cell r="AD488">
            <v>-0.2</v>
          </cell>
          <cell r="AE488">
            <v>-0.2</v>
          </cell>
          <cell r="AF488">
            <v>-0.27</v>
          </cell>
          <cell r="AG488">
            <v>0</v>
          </cell>
          <cell r="AH488">
            <v>-19.779999999999998</v>
          </cell>
          <cell r="AI488" t="str">
            <v>CNY</v>
          </cell>
          <cell r="AJ488" t="str">
            <v>LP</v>
          </cell>
          <cell r="AK488" t="str">
            <v>重庆邦迪 </v>
          </cell>
          <cell r="AL488" t="str">
            <v>DZQXA </v>
          </cell>
          <cell r="BB488">
            <v>-270920</v>
          </cell>
          <cell r="BC488">
            <v>-270920</v>
          </cell>
          <cell r="BE488">
            <v>0</v>
          </cell>
          <cell r="BF488">
            <v>0</v>
          </cell>
          <cell r="BI488">
            <v>-135330</v>
          </cell>
          <cell r="BJ488">
            <v>494432</v>
          </cell>
        </row>
        <row r="489">
          <cell r="C489" t="str">
            <v>E10</v>
          </cell>
          <cell r="E489" t="str">
            <v>MT Starter motor</v>
          </cell>
          <cell r="F489" t="str">
            <v>MT启动电机</v>
          </cell>
          <cell r="G489" t="str">
            <v>B</v>
          </cell>
          <cell r="H489" t="str">
            <v>PMT5</v>
          </cell>
          <cell r="I489" t="str">
            <v>TH</v>
          </cell>
          <cell r="J489" t="str">
            <v>JX6T</v>
          </cell>
          <cell r="K489" t="str">
            <v>11000 </v>
          </cell>
          <cell r="L489" t="str">
            <v>CA</v>
          </cell>
          <cell r="M489" t="str">
            <v>JX6T-11000 -CA</v>
          </cell>
          <cell r="N489" t="str">
            <v>MT启动电机</v>
          </cell>
          <cell r="P489" t="str">
            <v>王勤勤</v>
          </cell>
          <cell r="Q489" t="str">
            <v>蔡操</v>
          </cell>
          <cell r="S489">
            <v>1</v>
          </cell>
          <cell r="T489">
            <v>0</v>
          </cell>
          <cell r="U489">
            <v>1</v>
          </cell>
          <cell r="V489">
            <v>0</v>
          </cell>
          <cell r="W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0.37</v>
          </cell>
          <cell r="AC489">
            <v>-226.09</v>
          </cell>
          <cell r="AD489">
            <v>-2.37</v>
          </cell>
          <cell r="AE489">
            <v>-0.75</v>
          </cell>
          <cell r="AF489">
            <v>0</v>
          </cell>
          <cell r="AG489">
            <v>0</v>
          </cell>
          <cell r="AH489">
            <v>-229.21</v>
          </cell>
          <cell r="AI489" t="str">
            <v>CNY</v>
          </cell>
          <cell r="AJ489" t="str">
            <v>LP</v>
          </cell>
          <cell r="AK489" t="str">
            <v>成都华川 </v>
          </cell>
          <cell r="AL489" t="str">
            <v>DRD8A </v>
          </cell>
          <cell r="BB489">
            <v>0</v>
          </cell>
          <cell r="BC489">
            <v>0</v>
          </cell>
          <cell r="BE489">
            <v>0</v>
          </cell>
          <cell r="BF489">
            <v>0</v>
          </cell>
          <cell r="BG489">
            <v>0</v>
          </cell>
          <cell r="BI489">
            <v>0</v>
          </cell>
          <cell r="BJ489">
            <v>0</v>
          </cell>
        </row>
        <row r="490">
          <cell r="C490" t="str">
            <v>E10</v>
          </cell>
          <cell r="E490" t="str">
            <v>AT Starter Motor</v>
          </cell>
          <cell r="F490" t="str">
            <v>AT 启动电机</v>
          </cell>
          <cell r="G490" t="str">
            <v>B</v>
          </cell>
          <cell r="H490" t="str">
            <v>PMT5</v>
          </cell>
          <cell r="I490" t="str">
            <v>TH</v>
          </cell>
          <cell r="J490" t="str">
            <v>JX6T</v>
          </cell>
          <cell r="K490" t="str">
            <v>11000 </v>
          </cell>
          <cell r="L490" t="str">
            <v>DA</v>
          </cell>
          <cell r="M490" t="str">
            <v>JX6T-11000 -DA</v>
          </cell>
          <cell r="N490" t="str">
            <v>AT启动电机</v>
          </cell>
          <cell r="P490" t="str">
            <v>王勤勤</v>
          </cell>
          <cell r="Q490" t="str">
            <v>蔡操</v>
          </cell>
          <cell r="S490">
            <v>0</v>
          </cell>
          <cell r="T490">
            <v>1</v>
          </cell>
          <cell r="U490">
            <v>0</v>
          </cell>
          <cell r="V490">
            <v>1</v>
          </cell>
          <cell r="W490">
            <v>0</v>
          </cell>
          <cell r="X490">
            <v>1</v>
          </cell>
          <cell r="Y490">
            <v>1</v>
          </cell>
          <cell r="Z490">
            <v>1</v>
          </cell>
          <cell r="AA490">
            <v>0.63000000000000012</v>
          </cell>
          <cell r="AC490">
            <v>-261.41000000000003</v>
          </cell>
          <cell r="AD490">
            <v>-2.37</v>
          </cell>
          <cell r="AE490">
            <v>-0.75</v>
          </cell>
          <cell r="AF490">
            <v>0</v>
          </cell>
          <cell r="AG490">
            <v>0</v>
          </cell>
          <cell r="AH490">
            <v>-264.53000000000003</v>
          </cell>
          <cell r="AI490" t="str">
            <v>CNY</v>
          </cell>
          <cell r="AJ490" t="str">
            <v>LP</v>
          </cell>
          <cell r="AK490" t="str">
            <v>成都华川 </v>
          </cell>
          <cell r="AL490" t="str">
            <v>DRD8A </v>
          </cell>
          <cell r="BB490">
            <v>0</v>
          </cell>
          <cell r="BC490">
            <v>0</v>
          </cell>
          <cell r="BE490">
            <v>0</v>
          </cell>
          <cell r="BF490">
            <v>0</v>
          </cell>
          <cell r="BG490">
            <v>0</v>
          </cell>
          <cell r="BI490">
            <v>0</v>
          </cell>
          <cell r="BJ490">
            <v>0</v>
          </cell>
        </row>
        <row r="491">
          <cell r="C491" t="str">
            <v>E01</v>
          </cell>
          <cell r="E491" t="str">
            <v>EATC HVAC</v>
          </cell>
          <cell r="F491" t="str">
            <v>自动空调箱</v>
          </cell>
          <cell r="G491" t="str">
            <v>B</v>
          </cell>
          <cell r="H491" t="str">
            <v>PMT2</v>
          </cell>
          <cell r="I491" t="str">
            <v>PF</v>
          </cell>
          <cell r="J491" t="str">
            <v>JD8B</v>
          </cell>
          <cell r="K491" t="str">
            <v>19B555 </v>
          </cell>
          <cell r="L491" t="str">
            <v>BA</v>
          </cell>
          <cell r="M491" t="str">
            <v>JD8B-19B555 -BA</v>
          </cell>
          <cell r="P491" t="str">
            <v>张鸿春</v>
          </cell>
          <cell r="Q491" t="str">
            <v>于奋飞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0.33</v>
          </cell>
          <cell r="AC491">
            <v>-706.27</v>
          </cell>
          <cell r="AD491">
            <v>-5.2</v>
          </cell>
          <cell r="AE491">
            <v>-4.68</v>
          </cell>
          <cell r="AF491">
            <v>-2.4700000000000002</v>
          </cell>
          <cell r="AG491">
            <v>-0.25</v>
          </cell>
          <cell r="AH491">
            <v>-718.87</v>
          </cell>
          <cell r="AI491" t="str">
            <v>CNY</v>
          </cell>
          <cell r="AJ491" t="str">
            <v>LP</v>
          </cell>
          <cell r="AK491" t="str">
            <v>重庆翰昂 </v>
          </cell>
          <cell r="AL491" t="str">
            <v>GSKFA </v>
          </cell>
          <cell r="BB491">
            <v>-94146</v>
          </cell>
          <cell r="BC491">
            <v>-94146</v>
          </cell>
          <cell r="BE491">
            <v>-47748</v>
          </cell>
          <cell r="BF491">
            <v>189717</v>
          </cell>
          <cell r="BI491">
            <v>-1988503</v>
          </cell>
          <cell r="BJ491">
            <v>805062</v>
          </cell>
        </row>
        <row r="492">
          <cell r="C492" t="str">
            <v>E01</v>
          </cell>
          <cell r="E492" t="str">
            <v>EATC HVAC</v>
          </cell>
          <cell r="F492" t="str">
            <v>自动空调箱</v>
          </cell>
          <cell r="G492" t="str">
            <v>B</v>
          </cell>
          <cell r="H492" t="str">
            <v>PMT2</v>
          </cell>
          <cell r="I492" t="str">
            <v>PF</v>
          </cell>
          <cell r="J492" t="str">
            <v>JD8B</v>
          </cell>
          <cell r="K492" t="str">
            <v>19B555 </v>
          </cell>
          <cell r="L492" t="str">
            <v>CA</v>
          </cell>
          <cell r="M492" t="str">
            <v>JD8B-19B555 -CA</v>
          </cell>
          <cell r="P492" t="str">
            <v>张鸿春</v>
          </cell>
          <cell r="Q492" t="str">
            <v>于奋飞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>CNY</v>
          </cell>
          <cell r="AJ492" t="str">
            <v>LP</v>
          </cell>
          <cell r="AK492" t="str">
            <v>重庆翰昂 </v>
          </cell>
          <cell r="AL492" t="str">
            <v>GSKFA </v>
          </cell>
          <cell r="BB492" t="str">
            <v>incl. in above</v>
          </cell>
          <cell r="BE492" t="str">
            <v>incl. in above</v>
          </cell>
          <cell r="BI492" t="str">
            <v>incl. in above</v>
          </cell>
        </row>
        <row r="493">
          <cell r="C493" t="str">
            <v>E01</v>
          </cell>
          <cell r="E493" t="str">
            <v>Manual HVAC</v>
          </cell>
          <cell r="F493" t="str">
            <v>自动空调箱</v>
          </cell>
          <cell r="G493" t="str">
            <v>B</v>
          </cell>
          <cell r="H493" t="str">
            <v>PMT2</v>
          </cell>
          <cell r="I493" t="str">
            <v>PF</v>
          </cell>
          <cell r="J493" t="str">
            <v>JD8B</v>
          </cell>
          <cell r="K493" t="str">
            <v>19B555 </v>
          </cell>
          <cell r="L493" t="str">
            <v>AA</v>
          </cell>
          <cell r="M493" t="str">
            <v>JD8B-19B555 -AA</v>
          </cell>
          <cell r="P493" t="str">
            <v>张鸿春</v>
          </cell>
          <cell r="Q493" t="str">
            <v>于奋飞</v>
          </cell>
          <cell r="S493">
            <v>1</v>
          </cell>
          <cell r="T493">
            <v>1</v>
          </cell>
          <cell r="U493">
            <v>1</v>
          </cell>
          <cell r="V493">
            <v>1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0.67</v>
          </cell>
          <cell r="AC493">
            <v>-695</v>
          </cell>
          <cell r="AD493">
            <v>-1.85</v>
          </cell>
          <cell r="AE493">
            <v>-5.13</v>
          </cell>
          <cell r="AF493">
            <v>-4.2300000000000004</v>
          </cell>
          <cell r="AG493">
            <v>0</v>
          </cell>
          <cell r="AH493">
            <v>-706.21</v>
          </cell>
          <cell r="AI493" t="str">
            <v>CNY</v>
          </cell>
          <cell r="AJ493" t="str">
            <v>LP</v>
          </cell>
          <cell r="AK493" t="str">
            <v>南方英特空调有限公司</v>
          </cell>
          <cell r="AL493" t="str">
            <v>GSKFA </v>
          </cell>
          <cell r="BB493">
            <v>-333000</v>
          </cell>
          <cell r="BC493">
            <v>-333000</v>
          </cell>
          <cell r="BE493">
            <v>0</v>
          </cell>
          <cell r="BF493">
            <v>0</v>
          </cell>
          <cell r="BG493">
            <v>0</v>
          </cell>
          <cell r="BI493">
            <v>-3143725</v>
          </cell>
          <cell r="BJ493">
            <v>743134</v>
          </cell>
        </row>
        <row r="494">
          <cell r="C494" t="str">
            <v>CH037</v>
          </cell>
          <cell r="E494" t="str">
            <v>Sub-Frame</v>
          </cell>
          <cell r="G494" t="str">
            <v>J</v>
          </cell>
          <cell r="H494" t="str">
            <v>PMT3</v>
          </cell>
          <cell r="I494" t="str">
            <v>PF</v>
          </cell>
          <cell r="J494" t="str">
            <v>JD8C </v>
          </cell>
          <cell r="K494" t="str">
            <v>5019</v>
          </cell>
          <cell r="L494" t="str">
            <v>AA</v>
          </cell>
          <cell r="M494" t="str">
            <v>JD8C -5019-AA</v>
          </cell>
          <cell r="P494" t="str">
            <v>汪明明</v>
          </cell>
          <cell r="Q494" t="str">
            <v>李遥远</v>
          </cell>
          <cell r="S494">
            <v>1</v>
          </cell>
          <cell r="T494">
            <v>1</v>
          </cell>
          <cell r="U494">
            <v>1</v>
          </cell>
          <cell r="V494">
            <v>1</v>
          </cell>
          <cell r="W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C494">
            <v>-352.76</v>
          </cell>
          <cell r="AD494">
            <v>-5.99</v>
          </cell>
          <cell r="AE494">
            <v>-7.3</v>
          </cell>
          <cell r="AF494">
            <v>0</v>
          </cell>
          <cell r="AG494">
            <v>0</v>
          </cell>
          <cell r="AH494">
            <v>-366.05</v>
          </cell>
          <cell r="AI494" t="str">
            <v>CNY</v>
          </cell>
          <cell r="AJ494" t="str">
            <v>LP</v>
          </cell>
          <cell r="AK494" t="str">
            <v>重庆海斯坦普 </v>
          </cell>
          <cell r="AL494" t="str">
            <v>ECNXB </v>
          </cell>
          <cell r="BB494">
            <v>-997500</v>
          </cell>
          <cell r="BC494">
            <v>-997500</v>
          </cell>
          <cell r="BE494">
            <v>0</v>
          </cell>
          <cell r="BF494">
            <v>0</v>
          </cell>
          <cell r="BI494">
            <v>0</v>
          </cell>
          <cell r="BJ494">
            <v>0</v>
          </cell>
        </row>
        <row r="495">
          <cell r="C495" t="str">
            <v>E024-1</v>
          </cell>
          <cell r="E495" t="str">
            <v>Start/Stop Battery(T7)</v>
          </cell>
          <cell r="G495" t="str">
            <v>B</v>
          </cell>
          <cell r="H495" t="str">
            <v>PMT5</v>
          </cell>
          <cell r="I495" t="str">
            <v>TH</v>
          </cell>
          <cell r="J495" t="str">
            <v>GV4T</v>
          </cell>
          <cell r="K495" t="str">
            <v>10655 </v>
          </cell>
          <cell r="L495" t="str">
            <v>BB</v>
          </cell>
          <cell r="M495" t="str">
            <v>GV4T-10655 -BB</v>
          </cell>
          <cell r="P495" t="str">
            <v>王勤勤</v>
          </cell>
          <cell r="Q495" t="str">
            <v>蔡操</v>
          </cell>
          <cell r="S495">
            <v>1</v>
          </cell>
          <cell r="T495">
            <v>1</v>
          </cell>
          <cell r="U495">
            <v>1</v>
          </cell>
          <cell r="V495">
            <v>1</v>
          </cell>
          <cell r="W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C495">
            <v>-358.18</v>
          </cell>
          <cell r="AD495">
            <v>-4.2</v>
          </cell>
          <cell r="AE495">
            <v>-6.3</v>
          </cell>
          <cell r="AF495">
            <v>0</v>
          </cell>
          <cell r="AG495">
            <v>0</v>
          </cell>
          <cell r="AH495">
            <v>-368.68</v>
          </cell>
          <cell r="AI495" t="str">
            <v>CNY</v>
          </cell>
          <cell r="AJ495" t="str">
            <v>LP</v>
          </cell>
          <cell r="AK495" t="str">
            <v>骆驼集团蓄电池销售有限公司</v>
          </cell>
          <cell r="BB495">
            <v>0</v>
          </cell>
          <cell r="BC495">
            <v>0</v>
          </cell>
          <cell r="BE495">
            <v>0</v>
          </cell>
          <cell r="BF495">
            <v>0</v>
          </cell>
          <cell r="BI495">
            <v>0</v>
          </cell>
          <cell r="BJ495">
            <v>0</v>
          </cell>
        </row>
        <row r="496">
          <cell r="C496" t="str">
            <v>PTO60-2</v>
          </cell>
          <cell r="E496" t="str">
            <v>Exhaust Gasket</v>
          </cell>
          <cell r="G496" t="str">
            <v>B</v>
          </cell>
          <cell r="H496" t="str">
            <v>PMT4</v>
          </cell>
          <cell r="I496" t="str">
            <v>PF</v>
          </cell>
          <cell r="J496" t="str">
            <v>GN11 </v>
          </cell>
          <cell r="K496">
            <v>9451</v>
          </cell>
          <cell r="L496" t="str">
            <v>AB</v>
          </cell>
          <cell r="M496" t="str">
            <v>GN11 -9451-AB</v>
          </cell>
          <cell r="P496" t="str">
            <v>苏旭鹏</v>
          </cell>
          <cell r="Q496" t="str">
            <v>郭阳</v>
          </cell>
          <cell r="S496">
            <v>1</v>
          </cell>
          <cell r="T496">
            <v>1</v>
          </cell>
          <cell r="U496">
            <v>1</v>
          </cell>
          <cell r="V496">
            <v>1</v>
          </cell>
          <cell r="W496">
            <v>1</v>
          </cell>
          <cell r="X496">
            <v>1</v>
          </cell>
          <cell r="Y496">
            <v>1</v>
          </cell>
          <cell r="Z496">
            <v>1</v>
          </cell>
          <cell r="AA496">
            <v>1</v>
          </cell>
          <cell r="AC496">
            <v>-7.86</v>
          </cell>
          <cell r="AD496">
            <v>-0.47</v>
          </cell>
          <cell r="AE496">
            <v>-0.3</v>
          </cell>
          <cell r="AF496">
            <v>0</v>
          </cell>
          <cell r="AG496">
            <v>0</v>
          </cell>
          <cell r="AH496">
            <v>-8.6300000000000008</v>
          </cell>
          <cell r="AI496" t="str">
            <v>CNY</v>
          </cell>
          <cell r="AJ496" t="str">
            <v>LP</v>
          </cell>
          <cell r="AK496" t="str">
            <v>长春爱尔铃克铃尔有限公司</v>
          </cell>
          <cell r="BB496">
            <v>0</v>
          </cell>
          <cell r="BC496">
            <v>0</v>
          </cell>
          <cell r="BE496">
            <v>0</v>
          </cell>
          <cell r="BF496">
            <v>0</v>
          </cell>
          <cell r="BI496">
            <v>0</v>
          </cell>
          <cell r="BJ496">
            <v>0</v>
          </cell>
        </row>
        <row r="497">
          <cell r="C497" t="str">
            <v>B024</v>
          </cell>
          <cell r="E497" t="str">
            <v>Decklid latch &amp; striker</v>
          </cell>
          <cell r="G497" t="str">
            <v>B</v>
          </cell>
          <cell r="H497" t="str">
            <v>PMT1</v>
          </cell>
          <cell r="I497" t="str">
            <v>TH</v>
          </cell>
          <cell r="J497" t="str">
            <v>JD8B</v>
          </cell>
          <cell r="K497" t="str">
            <v>F43282 </v>
          </cell>
          <cell r="L497" t="str">
            <v>AA</v>
          </cell>
          <cell r="M497" t="str">
            <v>JD8B-F43282 -AA</v>
          </cell>
          <cell r="P497" t="str">
            <v>陶泫宗</v>
          </cell>
          <cell r="Q497" t="str">
            <v>金正斌</v>
          </cell>
          <cell r="S497">
            <v>1</v>
          </cell>
          <cell r="T497">
            <v>1</v>
          </cell>
          <cell r="U497">
            <v>1</v>
          </cell>
          <cell r="V497">
            <v>1</v>
          </cell>
          <cell r="W497">
            <v>1</v>
          </cell>
          <cell r="X497">
            <v>1</v>
          </cell>
          <cell r="Y497">
            <v>1</v>
          </cell>
          <cell r="Z497">
            <v>1</v>
          </cell>
          <cell r="AA497">
            <v>1</v>
          </cell>
          <cell r="AC497">
            <v>-37.06</v>
          </cell>
          <cell r="AD497">
            <v>-1.19</v>
          </cell>
          <cell r="AE497">
            <v>-2</v>
          </cell>
          <cell r="AF497">
            <v>0</v>
          </cell>
          <cell r="AG497">
            <v>0</v>
          </cell>
          <cell r="AH497">
            <v>-40.25</v>
          </cell>
          <cell r="AI497" t="str">
            <v>CNY</v>
          </cell>
          <cell r="AJ497" t="str">
            <v>LP</v>
          </cell>
          <cell r="AK497" t="str">
            <v>伟速达中国 </v>
          </cell>
          <cell r="AL497" t="str">
            <v>CQS5A </v>
          </cell>
          <cell r="BB497">
            <v>-200000</v>
          </cell>
          <cell r="BC497">
            <v>-200000</v>
          </cell>
          <cell r="BE497">
            <v>0</v>
          </cell>
          <cell r="BF497">
            <v>0</v>
          </cell>
          <cell r="BI497">
            <v>0</v>
          </cell>
          <cell r="BJ497">
            <v>0</v>
          </cell>
        </row>
        <row r="498">
          <cell r="C498" t="str">
            <v>B024</v>
          </cell>
          <cell r="E498" t="str">
            <v>Fastener</v>
          </cell>
          <cell r="G498" t="str">
            <v>B</v>
          </cell>
          <cell r="H498" t="str">
            <v>PMT1</v>
          </cell>
          <cell r="I498" t="str">
            <v>TH</v>
          </cell>
          <cell r="K498" t="str">
            <v>W520412 </v>
          </cell>
          <cell r="L498" t="str">
            <v>S442 </v>
          </cell>
          <cell r="M498" t="str">
            <v>-W520412 -S442 </v>
          </cell>
          <cell r="P498" t="str">
            <v>张春晖</v>
          </cell>
          <cell r="Q498" t="str">
            <v>金正斌</v>
          </cell>
          <cell r="S498">
            <v>2</v>
          </cell>
          <cell r="T498">
            <v>2</v>
          </cell>
          <cell r="U498">
            <v>2</v>
          </cell>
          <cell r="V498">
            <v>2</v>
          </cell>
          <cell r="W498">
            <v>2</v>
          </cell>
          <cell r="X498">
            <v>2</v>
          </cell>
          <cell r="Y498">
            <v>2</v>
          </cell>
          <cell r="Z498">
            <v>2</v>
          </cell>
          <cell r="AA498">
            <v>2</v>
          </cell>
          <cell r="AC498">
            <v>-0.08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-0.08</v>
          </cell>
          <cell r="AI498" t="str">
            <v>CNY</v>
          </cell>
          <cell r="AJ498" t="str">
            <v>LP</v>
          </cell>
          <cell r="AK498" t="str">
            <v>宁波长华长盛 </v>
          </cell>
          <cell r="AL498" t="str">
            <v>EX7ZB </v>
          </cell>
          <cell r="BB498">
            <v>0</v>
          </cell>
          <cell r="BC498">
            <v>0</v>
          </cell>
          <cell r="BE498">
            <v>0</v>
          </cell>
          <cell r="BF498">
            <v>0</v>
          </cell>
          <cell r="BG498">
            <v>0</v>
          </cell>
          <cell r="BI498">
            <v>0</v>
          </cell>
          <cell r="BJ498">
            <v>0</v>
          </cell>
        </row>
        <row r="499">
          <cell r="C499" t="str">
            <v>B024</v>
          </cell>
          <cell r="E499" t="str">
            <v>Bolt</v>
          </cell>
          <cell r="G499" t="str">
            <v>B</v>
          </cell>
          <cell r="H499" t="str">
            <v>PMT4</v>
          </cell>
          <cell r="I499" t="str">
            <v>TH</v>
          </cell>
          <cell r="K499" t="str">
            <v>W500012 </v>
          </cell>
          <cell r="L499" t="str">
            <v>S442 </v>
          </cell>
          <cell r="M499" t="str">
            <v>-W500012 -S442 </v>
          </cell>
          <cell r="P499" t="str">
            <v>NA</v>
          </cell>
          <cell r="Q499" t="str">
            <v>NA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2</v>
          </cell>
          <cell r="X499">
            <v>2</v>
          </cell>
          <cell r="Y499">
            <v>0</v>
          </cell>
          <cell r="Z499">
            <v>2</v>
          </cell>
          <cell r="AA499">
            <v>0.56000000000000005</v>
          </cell>
          <cell r="AC499">
            <v>-0.126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-0.126</v>
          </cell>
          <cell r="AI499" t="str">
            <v>CNY</v>
          </cell>
          <cell r="AJ499" t="str">
            <v>LP</v>
          </cell>
          <cell r="AK499" t="str">
            <v>NA</v>
          </cell>
          <cell r="AL499" t="str">
            <v>NA</v>
          </cell>
          <cell r="BB499">
            <v>0</v>
          </cell>
          <cell r="BC499">
            <v>0</v>
          </cell>
          <cell r="BE499">
            <v>0</v>
          </cell>
          <cell r="BF499">
            <v>0</v>
          </cell>
          <cell r="BG499">
            <v>0</v>
          </cell>
          <cell r="BI499">
            <v>0</v>
          </cell>
          <cell r="BJ499">
            <v>0</v>
          </cell>
        </row>
        <row r="500">
          <cell r="C500" t="str">
            <v>CH072-1</v>
          </cell>
          <cell r="E500" t="str">
            <v>Hood release cable &amp; handle assembly</v>
          </cell>
          <cell r="G500" t="str">
            <v>B</v>
          </cell>
          <cell r="H500" t="str">
            <v>PMT1</v>
          </cell>
          <cell r="I500" t="str">
            <v>TH</v>
          </cell>
          <cell r="J500" t="str">
            <v>JD8B</v>
          </cell>
          <cell r="K500" t="str">
            <v>16A770</v>
          </cell>
          <cell r="L500" t="str">
            <v>AB</v>
          </cell>
          <cell r="M500" t="str">
            <v>JD8B-16A770-AB</v>
          </cell>
          <cell r="P500" t="str">
            <v>陈鑫</v>
          </cell>
          <cell r="Q500" t="str">
            <v>金正斌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Z500">
            <v>1</v>
          </cell>
          <cell r="AA500">
            <v>1</v>
          </cell>
          <cell r="AC500">
            <v>-7.74</v>
          </cell>
          <cell r="AD500">
            <v>-0.25</v>
          </cell>
          <cell r="AE500">
            <v>-0.25</v>
          </cell>
          <cell r="AF500">
            <v>0</v>
          </cell>
          <cell r="AG500">
            <v>0</v>
          </cell>
          <cell r="AH500">
            <v>-8.24</v>
          </cell>
          <cell r="AI500" t="str">
            <v>CNY</v>
          </cell>
          <cell r="AJ500" t="str">
            <v>LP</v>
          </cell>
          <cell r="AK500" t="str">
            <v>上海德韧干巷 </v>
          </cell>
          <cell r="AL500" t="str">
            <v>EXGTA </v>
          </cell>
          <cell r="BB500">
            <v>0</v>
          </cell>
          <cell r="BC500">
            <v>0</v>
          </cell>
          <cell r="BE500">
            <v>0</v>
          </cell>
          <cell r="BF500">
            <v>0</v>
          </cell>
          <cell r="BI500">
            <v>0</v>
          </cell>
          <cell r="BJ500">
            <v>0</v>
          </cell>
        </row>
        <row r="501">
          <cell r="C501" t="str">
            <v>CH072-1</v>
          </cell>
          <cell r="E501" t="str">
            <v>Hood release cable &amp; handle assembly</v>
          </cell>
          <cell r="G501" t="str">
            <v>B</v>
          </cell>
          <cell r="H501" t="str">
            <v>PMT1</v>
          </cell>
          <cell r="I501" t="str">
            <v>TH</v>
          </cell>
          <cell r="J501" t="str">
            <v>JD8B</v>
          </cell>
          <cell r="K501" t="str">
            <v>16C657</v>
          </cell>
          <cell r="L501" t="str">
            <v>AB</v>
          </cell>
          <cell r="M501" t="str">
            <v>JD8B-16C657-AB</v>
          </cell>
          <cell r="P501" t="str">
            <v>陈鑫</v>
          </cell>
          <cell r="Q501" t="str">
            <v>金正斌</v>
          </cell>
          <cell r="S501">
            <v>1</v>
          </cell>
          <cell r="T501">
            <v>1</v>
          </cell>
          <cell r="U501">
            <v>1</v>
          </cell>
          <cell r="V501">
            <v>1</v>
          </cell>
          <cell r="W501">
            <v>1</v>
          </cell>
          <cell r="X501">
            <v>1</v>
          </cell>
          <cell r="Y501">
            <v>1</v>
          </cell>
          <cell r="Z501">
            <v>1</v>
          </cell>
          <cell r="AA501">
            <v>1</v>
          </cell>
          <cell r="AC501">
            <v>-11.99</v>
          </cell>
          <cell r="AD501">
            <v>-0.25</v>
          </cell>
          <cell r="AE501">
            <v>-0.8</v>
          </cell>
          <cell r="AF501">
            <v>0</v>
          </cell>
          <cell r="AG501">
            <v>0</v>
          </cell>
          <cell r="AH501">
            <v>-13.040000000000001</v>
          </cell>
          <cell r="AI501" t="str">
            <v>CNY</v>
          </cell>
          <cell r="AJ501" t="str">
            <v>LP</v>
          </cell>
          <cell r="AK501" t="str">
            <v>上海德韧干巷 </v>
          </cell>
          <cell r="AL501" t="str">
            <v>EXGTA </v>
          </cell>
          <cell r="BB501">
            <v>0</v>
          </cell>
          <cell r="BC501">
            <v>0</v>
          </cell>
          <cell r="BE501">
            <v>0</v>
          </cell>
          <cell r="BF501">
            <v>0</v>
          </cell>
          <cell r="BI501">
            <v>0</v>
          </cell>
          <cell r="BJ501">
            <v>0</v>
          </cell>
        </row>
        <row r="502">
          <cell r="C502" t="str">
            <v>ET21</v>
          </cell>
          <cell r="E502" t="str">
            <v>Sealing - Static Glass Runs &amp; Belts</v>
          </cell>
          <cell r="G502" t="str">
            <v>B</v>
          </cell>
          <cell r="H502" t="str">
            <v>PMT1</v>
          </cell>
          <cell r="I502" t="str">
            <v>TH</v>
          </cell>
          <cell r="J502" t="str">
            <v>JD8B</v>
          </cell>
          <cell r="K502">
            <v>20562</v>
          </cell>
          <cell r="L502" t="str">
            <v>AC</v>
          </cell>
          <cell r="M502" t="str">
            <v>JD8B-20562-AC</v>
          </cell>
          <cell r="P502" t="str">
            <v>谌洁(jchen202)</v>
          </cell>
          <cell r="Q502" t="str">
            <v>孔斌(bkong)</v>
          </cell>
          <cell r="S502">
            <v>1</v>
          </cell>
          <cell r="T502">
            <v>1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0.30000000000000004</v>
          </cell>
          <cell r="AC502">
            <v>-24.32</v>
          </cell>
          <cell r="AD502">
            <v>0</v>
          </cell>
          <cell r="AE502">
            <v>-0.26</v>
          </cell>
          <cell r="AG502">
            <v>-1.03</v>
          </cell>
          <cell r="AH502">
            <v>-25.610000000000003</v>
          </cell>
          <cell r="AI502" t="str">
            <v>CNY</v>
          </cell>
          <cell r="AJ502" t="str">
            <v>LP</v>
          </cell>
          <cell r="AK502" t="str">
            <v>武汉哈金森</v>
          </cell>
          <cell r="AL502" t="str">
            <v>DCVWA</v>
          </cell>
          <cell r="BB502">
            <v>-202750</v>
          </cell>
          <cell r="BC502">
            <v>-202750</v>
          </cell>
          <cell r="BE502">
            <v>-739994</v>
          </cell>
          <cell r="BF502">
            <v>718441</v>
          </cell>
          <cell r="BI502">
            <v>0</v>
          </cell>
          <cell r="BJ502">
            <v>0</v>
          </cell>
        </row>
        <row r="503">
          <cell r="C503" t="str">
            <v>ET21</v>
          </cell>
          <cell r="E503" t="str">
            <v>Sealing - Static Glass Runs &amp; Belts</v>
          </cell>
          <cell r="G503" t="str">
            <v>B</v>
          </cell>
          <cell r="H503" t="str">
            <v>PMT1</v>
          </cell>
          <cell r="I503" t="str">
            <v>TH</v>
          </cell>
          <cell r="J503" t="str">
            <v>JD8B</v>
          </cell>
          <cell r="K503">
            <v>20562</v>
          </cell>
          <cell r="L503" t="str">
            <v>BD</v>
          </cell>
          <cell r="M503" t="str">
            <v>JD8B-20562-BD</v>
          </cell>
          <cell r="P503" t="str">
            <v>谌洁(jchen202)</v>
          </cell>
          <cell r="Q503" t="str">
            <v>孔斌(bkong)</v>
          </cell>
          <cell r="S503">
            <v>0</v>
          </cell>
          <cell r="T503">
            <v>0</v>
          </cell>
          <cell r="U503">
            <v>1</v>
          </cell>
          <cell r="V503">
            <v>1</v>
          </cell>
          <cell r="W503">
            <v>1</v>
          </cell>
          <cell r="X503">
            <v>1</v>
          </cell>
          <cell r="Y503">
            <v>1</v>
          </cell>
          <cell r="Z503">
            <v>1</v>
          </cell>
          <cell r="AA503">
            <v>0.70000000000000007</v>
          </cell>
          <cell r="AC503">
            <v>-30.19</v>
          </cell>
          <cell r="AD503">
            <v>0</v>
          </cell>
          <cell r="AE503">
            <v>-0.46</v>
          </cell>
          <cell r="AG503">
            <v>-0.69</v>
          </cell>
          <cell r="AH503">
            <v>-31.340000000000003</v>
          </cell>
          <cell r="AI503" t="str">
            <v>CNY</v>
          </cell>
          <cell r="AJ503" t="str">
            <v>LP</v>
          </cell>
          <cell r="AK503" t="str">
            <v>武汉哈金森</v>
          </cell>
          <cell r="AL503" t="str">
            <v>DCVWA</v>
          </cell>
          <cell r="BB503">
            <v>-202750</v>
          </cell>
          <cell r="BC503">
            <v>-202750</v>
          </cell>
          <cell r="BE503">
            <v>-739994</v>
          </cell>
          <cell r="BF503">
            <v>1072455</v>
          </cell>
          <cell r="BI503">
            <v>0</v>
          </cell>
          <cell r="BJ503">
            <v>0</v>
          </cell>
        </row>
        <row r="504">
          <cell r="C504" t="str">
            <v>ET21</v>
          </cell>
          <cell r="E504" t="str">
            <v>Sealing - Static Glass Runs &amp; Belts</v>
          </cell>
          <cell r="G504" t="str">
            <v>B</v>
          </cell>
          <cell r="H504" t="str">
            <v>PMT1</v>
          </cell>
          <cell r="I504" t="str">
            <v>TH</v>
          </cell>
          <cell r="J504" t="str">
            <v>JD8B</v>
          </cell>
          <cell r="K504">
            <v>20563</v>
          </cell>
          <cell r="L504" t="str">
            <v>AC</v>
          </cell>
          <cell r="M504" t="str">
            <v>JD8B-20563-AC</v>
          </cell>
          <cell r="P504" t="str">
            <v>谌洁(jchen202)</v>
          </cell>
          <cell r="Q504" t="str">
            <v>孔斌(bkong)</v>
          </cell>
          <cell r="S504">
            <v>1</v>
          </cell>
          <cell r="T504">
            <v>1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0.30000000000000004</v>
          </cell>
          <cell r="AC504">
            <v>-24.32</v>
          </cell>
          <cell r="AD504">
            <v>0</v>
          </cell>
          <cell r="AE504">
            <v>-0.26</v>
          </cell>
          <cell r="AG504">
            <v>-1.03</v>
          </cell>
          <cell r="AH504">
            <v>-25.610000000000003</v>
          </cell>
          <cell r="AI504" t="str">
            <v>CNY</v>
          </cell>
          <cell r="AJ504" t="str">
            <v>LP</v>
          </cell>
          <cell r="AK504" t="str">
            <v>武汉哈金森</v>
          </cell>
          <cell r="AL504" t="str">
            <v>DCVWA</v>
          </cell>
          <cell r="BB504">
            <v>-202750</v>
          </cell>
          <cell r="BC504">
            <v>-202750</v>
          </cell>
          <cell r="BE504">
            <v>-739994</v>
          </cell>
          <cell r="BF504">
            <v>718441</v>
          </cell>
          <cell r="BI504">
            <v>0</v>
          </cell>
          <cell r="BJ504">
            <v>0</v>
          </cell>
        </row>
        <row r="505">
          <cell r="C505" t="str">
            <v>ET21</v>
          </cell>
          <cell r="E505" t="str">
            <v>Sealing - Static Glass Runs &amp; Belts</v>
          </cell>
          <cell r="G505" t="str">
            <v>B</v>
          </cell>
          <cell r="H505" t="str">
            <v>PMT1</v>
          </cell>
          <cell r="I505" t="str">
            <v>TH</v>
          </cell>
          <cell r="J505" t="str">
            <v>JD8B</v>
          </cell>
          <cell r="K505">
            <v>20563</v>
          </cell>
          <cell r="L505" t="str">
            <v>BD</v>
          </cell>
          <cell r="M505" t="str">
            <v>JD8B-20563-BD</v>
          </cell>
          <cell r="P505" t="str">
            <v>谌洁(jchen202)</v>
          </cell>
          <cell r="Q505" t="str">
            <v>孔斌(bkong)</v>
          </cell>
          <cell r="S505">
            <v>0</v>
          </cell>
          <cell r="T505">
            <v>0</v>
          </cell>
          <cell r="U505">
            <v>1</v>
          </cell>
          <cell r="V505">
            <v>1</v>
          </cell>
          <cell r="W505">
            <v>1</v>
          </cell>
          <cell r="X505">
            <v>1</v>
          </cell>
          <cell r="Y505">
            <v>1</v>
          </cell>
          <cell r="Z505">
            <v>1</v>
          </cell>
          <cell r="AA505">
            <v>0.70000000000000007</v>
          </cell>
          <cell r="AC505">
            <v>-30.19</v>
          </cell>
          <cell r="AD505">
            <v>0</v>
          </cell>
          <cell r="AE505">
            <v>-0.46</v>
          </cell>
          <cell r="AG505">
            <v>-0.69</v>
          </cell>
          <cell r="AH505">
            <v>-31.340000000000003</v>
          </cell>
          <cell r="AI505" t="str">
            <v>CNY</v>
          </cell>
          <cell r="AJ505" t="str">
            <v>LP</v>
          </cell>
          <cell r="AK505" t="str">
            <v>武汉哈金森</v>
          </cell>
          <cell r="AL505" t="str">
            <v>DCVWA</v>
          </cell>
          <cell r="BB505" t="str">
            <v>incl.above</v>
          </cell>
          <cell r="BC505" t="str">
            <v>incl.above</v>
          </cell>
          <cell r="BE505">
            <v>-739994</v>
          </cell>
          <cell r="BF505">
            <v>1072455</v>
          </cell>
          <cell r="BI505">
            <v>0</v>
          </cell>
          <cell r="BJ505">
            <v>0</v>
          </cell>
        </row>
        <row r="506">
          <cell r="C506" t="str">
            <v>ET21</v>
          </cell>
          <cell r="D506" t="str">
            <v>Sealing - Static Glass Runs &amp; Belts</v>
          </cell>
          <cell r="E506" t="str">
            <v>Sealing - Static Glass Runs &amp; Belts</v>
          </cell>
          <cell r="F506" t="str">
            <v>B</v>
          </cell>
          <cell r="G506" t="str">
            <v>B</v>
          </cell>
          <cell r="H506" t="str">
            <v>PMT1</v>
          </cell>
          <cell r="I506" t="str">
            <v>TH</v>
          </cell>
          <cell r="J506" t="str">
            <v>JD8B</v>
          </cell>
          <cell r="K506">
            <v>21510</v>
          </cell>
          <cell r="L506" t="str">
            <v>AB</v>
          </cell>
          <cell r="M506" t="str">
            <v>JD8B-21510-AB</v>
          </cell>
          <cell r="P506" t="str">
            <v>谌洁(jchen202)</v>
          </cell>
          <cell r="Q506" t="str">
            <v>孔斌(bkong)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0</v>
          </cell>
          <cell r="Z506">
            <v>0</v>
          </cell>
          <cell r="AA506">
            <v>0.9</v>
          </cell>
          <cell r="AB506">
            <v>-76.569999999999993</v>
          </cell>
          <cell r="AC506">
            <v>-48.69</v>
          </cell>
          <cell r="AD506">
            <v>-5.18</v>
          </cell>
          <cell r="AE506">
            <v>-1.5</v>
          </cell>
          <cell r="AF506">
            <v>-0.28000000000000003</v>
          </cell>
          <cell r="AG506">
            <v>-0.6</v>
          </cell>
          <cell r="AH506">
            <v>-56.25</v>
          </cell>
          <cell r="AI506" t="str">
            <v>CNY</v>
          </cell>
          <cell r="AJ506" t="str">
            <v>LP</v>
          </cell>
          <cell r="AK506" t="str">
            <v>武汉哈金森</v>
          </cell>
          <cell r="AL506" t="str">
            <v>DCVWA</v>
          </cell>
          <cell r="AP506">
            <v>-3087632</v>
          </cell>
          <cell r="AQ506">
            <v>-3087632</v>
          </cell>
          <cell r="AS506">
            <v>-1262951</v>
          </cell>
          <cell r="AT506">
            <v>423809.06040268455</v>
          </cell>
          <cell r="BB506">
            <v>-908324</v>
          </cell>
          <cell r="BC506">
            <v>-908324</v>
          </cell>
          <cell r="BE506">
            <v>-620756</v>
          </cell>
          <cell r="BF506">
            <v>1034818.2000000001</v>
          </cell>
        </row>
        <row r="507">
          <cell r="C507" t="str">
            <v>ET21</v>
          </cell>
          <cell r="E507" t="str">
            <v>Sealing - Static Glass Runs &amp; Belts</v>
          </cell>
          <cell r="G507" t="str">
            <v>B</v>
          </cell>
          <cell r="H507" t="str">
            <v>PMT1</v>
          </cell>
          <cell r="I507" t="str">
            <v>TH</v>
          </cell>
          <cell r="J507" t="str">
            <v>JD8B</v>
          </cell>
          <cell r="K507">
            <v>21510</v>
          </cell>
          <cell r="L507" t="str">
            <v>BC</v>
          </cell>
          <cell r="M507" t="str">
            <v>JD8B-21510-BC</v>
          </cell>
          <cell r="P507" t="str">
            <v>谌洁(jchen202)</v>
          </cell>
          <cell r="Q507" t="str">
            <v>孔斌(bkong)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1</v>
          </cell>
          <cell r="Z507">
            <v>1</v>
          </cell>
          <cell r="AA507">
            <v>0.1</v>
          </cell>
          <cell r="AC507">
            <v>-76.569999999999993</v>
          </cell>
          <cell r="AD507">
            <v>-5.18</v>
          </cell>
          <cell r="AE507">
            <v>-1.5</v>
          </cell>
          <cell r="AF507">
            <v>0</v>
          </cell>
          <cell r="AG507">
            <v>-2.98</v>
          </cell>
          <cell r="AH507">
            <v>-86.23</v>
          </cell>
          <cell r="AI507" t="str">
            <v>CNY</v>
          </cell>
          <cell r="AJ507" t="str">
            <v>LP</v>
          </cell>
          <cell r="AK507" t="str">
            <v>武汉哈金森</v>
          </cell>
          <cell r="AL507" t="str">
            <v>DCVWA</v>
          </cell>
          <cell r="BB507">
            <v>-3087632</v>
          </cell>
          <cell r="BC507">
            <v>-3087632</v>
          </cell>
          <cell r="BE507">
            <v>-1262951</v>
          </cell>
          <cell r="BF507">
            <v>423809.06040268455</v>
          </cell>
        </row>
        <row r="508">
          <cell r="C508" t="str">
            <v>ET21</v>
          </cell>
          <cell r="D508" t="str">
            <v>Sealing - Static Glass Runs &amp; Belts</v>
          </cell>
          <cell r="E508" t="str">
            <v>Sealing - Static Glass Runs &amp; Belts</v>
          </cell>
          <cell r="F508" t="str">
            <v>PMT1</v>
          </cell>
          <cell r="G508" t="str">
            <v>B</v>
          </cell>
          <cell r="H508" t="str">
            <v>PMT1</v>
          </cell>
          <cell r="I508" t="str">
            <v>TH</v>
          </cell>
          <cell r="J508" t="str">
            <v>JD8B</v>
          </cell>
          <cell r="K508">
            <v>21511</v>
          </cell>
          <cell r="L508" t="str">
            <v>AB</v>
          </cell>
          <cell r="M508" t="str">
            <v>JD8B-21511-AB</v>
          </cell>
          <cell r="P508" t="str">
            <v>谌洁(jchen202)</v>
          </cell>
          <cell r="Q508" t="str">
            <v>孔斌(bkong)</v>
          </cell>
          <cell r="S508">
            <v>1</v>
          </cell>
          <cell r="T508">
            <v>1</v>
          </cell>
          <cell r="U508">
            <v>1</v>
          </cell>
          <cell r="V508">
            <v>1</v>
          </cell>
          <cell r="W508">
            <v>1</v>
          </cell>
          <cell r="X508">
            <v>1</v>
          </cell>
          <cell r="Y508">
            <v>0</v>
          </cell>
          <cell r="Z508">
            <v>0</v>
          </cell>
          <cell r="AA508">
            <v>0.9</v>
          </cell>
          <cell r="AC508">
            <v>-48.69</v>
          </cell>
          <cell r="AD508">
            <v>-5.18</v>
          </cell>
          <cell r="AE508">
            <v>-1.5</v>
          </cell>
          <cell r="AF508">
            <v>-0.28000000000000003</v>
          </cell>
          <cell r="AG508">
            <v>-0.6</v>
          </cell>
          <cell r="AH508">
            <v>-56.25</v>
          </cell>
          <cell r="AI508" t="str">
            <v>CNY</v>
          </cell>
          <cell r="AJ508" t="str">
            <v>LP</v>
          </cell>
          <cell r="AK508" t="str">
            <v>武汉哈金森</v>
          </cell>
          <cell r="AL508" t="str">
            <v>DCVWA</v>
          </cell>
          <cell r="BB508" t="str">
            <v xml:space="preserve">Incl.in 21510 </v>
          </cell>
          <cell r="BC508" t="str">
            <v xml:space="preserve">Incl.in 21510 </v>
          </cell>
          <cell r="BE508" t="str">
            <v xml:space="preserve">Incl.in 21510 </v>
          </cell>
          <cell r="BF508" t="str">
            <v xml:space="preserve">Incl.in 21510 </v>
          </cell>
        </row>
        <row r="509">
          <cell r="C509" t="str">
            <v>ET21</v>
          </cell>
          <cell r="E509" t="str">
            <v>Sealing - Static Glass Runs &amp; Belts</v>
          </cell>
          <cell r="G509" t="str">
            <v>B</v>
          </cell>
          <cell r="H509" t="str">
            <v>PMT1</v>
          </cell>
          <cell r="I509" t="str">
            <v>TH</v>
          </cell>
          <cell r="J509" t="str">
            <v>JD8B</v>
          </cell>
          <cell r="K509">
            <v>21511</v>
          </cell>
          <cell r="L509" t="str">
            <v>BC</v>
          </cell>
          <cell r="M509" t="str">
            <v>JD8B-21511-BC</v>
          </cell>
          <cell r="P509" t="str">
            <v>谌洁(jchen202)</v>
          </cell>
          <cell r="Q509" t="str">
            <v>孔斌(bkong)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1</v>
          </cell>
          <cell r="Z509">
            <v>1</v>
          </cell>
          <cell r="AA509">
            <v>0.1</v>
          </cell>
          <cell r="AC509">
            <v>-76.569999999999993</v>
          </cell>
          <cell r="AD509">
            <v>-5.18</v>
          </cell>
          <cell r="AE509">
            <v>-1.5</v>
          </cell>
          <cell r="AF509">
            <v>0</v>
          </cell>
          <cell r="AG509">
            <v>-2.98</v>
          </cell>
          <cell r="AH509">
            <v>-86.23</v>
          </cell>
          <cell r="AI509" t="str">
            <v>CNY</v>
          </cell>
          <cell r="AJ509" t="str">
            <v>LP</v>
          </cell>
          <cell r="AK509" t="str">
            <v>武汉哈金森</v>
          </cell>
          <cell r="AL509" t="str">
            <v>DCVWA</v>
          </cell>
          <cell r="BB509" t="str">
            <v xml:space="preserve">Incl.in 21510 </v>
          </cell>
          <cell r="BC509" t="str">
            <v xml:space="preserve">Incl.in 21510 </v>
          </cell>
          <cell r="BE509" t="str">
            <v xml:space="preserve">Incl.in 21510 </v>
          </cell>
          <cell r="BF509" t="str">
            <v xml:space="preserve">Incl.in 21510 </v>
          </cell>
        </row>
        <row r="510">
          <cell r="C510" t="str">
            <v>ET21</v>
          </cell>
          <cell r="E510" t="str">
            <v>Sealing - Static Glass Runs &amp; Belts</v>
          </cell>
          <cell r="G510" t="str">
            <v>B</v>
          </cell>
          <cell r="H510" t="str">
            <v>PMT1</v>
          </cell>
          <cell r="I510" t="str">
            <v>TH</v>
          </cell>
          <cell r="J510" t="str">
            <v>JD8B</v>
          </cell>
          <cell r="K510">
            <v>25824</v>
          </cell>
          <cell r="L510" t="str">
            <v>BC</v>
          </cell>
          <cell r="M510" t="str">
            <v>JD8B-25824-BC</v>
          </cell>
          <cell r="P510" t="str">
            <v>谌洁(jchen202)</v>
          </cell>
          <cell r="Q510" t="str">
            <v>孔斌(bkong)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1</v>
          </cell>
          <cell r="Z510">
            <v>1</v>
          </cell>
          <cell r="AA510">
            <v>0.1</v>
          </cell>
          <cell r="AC510">
            <v>-54.928380679964633</v>
          </cell>
          <cell r="AD510">
            <v>-5.27</v>
          </cell>
          <cell r="AE510">
            <v>-1.38</v>
          </cell>
          <cell r="AF510">
            <v>0</v>
          </cell>
          <cell r="AG510">
            <v>-2.98</v>
          </cell>
          <cell r="AH510">
            <v>-64.558380679964628</v>
          </cell>
          <cell r="AI510" t="str">
            <v>CNY</v>
          </cell>
          <cell r="AJ510" t="str">
            <v>LP</v>
          </cell>
          <cell r="AK510" t="str">
            <v>武汉哈金森</v>
          </cell>
          <cell r="AL510" t="str">
            <v>DCVWA</v>
          </cell>
          <cell r="BB510">
            <v>-2512362</v>
          </cell>
          <cell r="BC510">
            <v>-2512362</v>
          </cell>
          <cell r="BE510">
            <v>-1262942</v>
          </cell>
          <cell r="BF510">
            <v>423806.04026845639</v>
          </cell>
        </row>
        <row r="511">
          <cell r="C511" t="str">
            <v>ET21</v>
          </cell>
          <cell r="E511" t="str">
            <v>Sealing - Static Glass Runs &amp; Belts</v>
          </cell>
          <cell r="G511" t="str">
            <v>B</v>
          </cell>
          <cell r="H511" t="str">
            <v>PMT1</v>
          </cell>
          <cell r="I511" t="str">
            <v>TH</v>
          </cell>
          <cell r="J511" t="str">
            <v>JD8B</v>
          </cell>
          <cell r="K511">
            <v>25825</v>
          </cell>
          <cell r="L511" t="str">
            <v>BC</v>
          </cell>
          <cell r="M511" t="str">
            <v>JD8B-25825-BC</v>
          </cell>
          <cell r="P511" t="str">
            <v>谌洁(jchen202)</v>
          </cell>
          <cell r="Q511" t="str">
            <v>孔斌(bkong)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1</v>
          </cell>
          <cell r="Z511">
            <v>1</v>
          </cell>
          <cell r="AA511">
            <v>0.1</v>
          </cell>
          <cell r="AC511">
            <v>-54.928380679964633</v>
          </cell>
          <cell r="AD511">
            <v>-5.27</v>
          </cell>
          <cell r="AE511">
            <v>-1.38</v>
          </cell>
          <cell r="AF511">
            <v>0</v>
          </cell>
          <cell r="AG511">
            <v>-2.98</v>
          </cell>
          <cell r="AH511">
            <v>-64.558380679964628</v>
          </cell>
          <cell r="AI511" t="str">
            <v>CNY</v>
          </cell>
          <cell r="AJ511" t="str">
            <v>LP</v>
          </cell>
          <cell r="AK511" t="str">
            <v>武汉哈金森</v>
          </cell>
          <cell r="AL511" t="str">
            <v>DCVWA</v>
          </cell>
          <cell r="BB511" t="str">
            <v>incl.above</v>
          </cell>
          <cell r="BC511" t="str">
            <v>incl.above</v>
          </cell>
          <cell r="BE511" t="str">
            <v>incl.above</v>
          </cell>
          <cell r="BF511" t="str">
            <v>incl.above</v>
          </cell>
        </row>
        <row r="512">
          <cell r="C512" t="str">
            <v>IT7</v>
          </cell>
          <cell r="E512" t="str">
            <v>Console Floor/Rear</v>
          </cell>
          <cell r="G512" t="str">
            <v>B</v>
          </cell>
          <cell r="H512" t="str">
            <v>PMT2</v>
          </cell>
          <cell r="I512" t="str">
            <v>TH</v>
          </cell>
          <cell r="J512" t="str">
            <v>JD8B</v>
          </cell>
          <cell r="K512" t="str">
            <v>F045L34</v>
          </cell>
          <cell r="L512" t="str">
            <v>AAW</v>
          </cell>
          <cell r="M512" t="str">
            <v>JD8B-F045L34-AAW</v>
          </cell>
          <cell r="P512" t="str">
            <v>朱文斌(wzhu26)</v>
          </cell>
          <cell r="Q512" t="str">
            <v>李卫(wli78)</v>
          </cell>
          <cell r="S512">
            <v>0</v>
          </cell>
          <cell r="T512">
            <v>0</v>
          </cell>
          <cell r="U512">
            <v>1</v>
          </cell>
          <cell r="V512">
            <v>1</v>
          </cell>
          <cell r="W512">
            <v>1</v>
          </cell>
          <cell r="X512">
            <v>1</v>
          </cell>
          <cell r="Y512">
            <v>1</v>
          </cell>
          <cell r="Z512">
            <v>1</v>
          </cell>
          <cell r="AA512">
            <v>0.70000000000000007</v>
          </cell>
          <cell r="AC512">
            <v>-24.84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-24.84</v>
          </cell>
          <cell r="AI512" t="str">
            <v>CNY</v>
          </cell>
          <cell r="AJ512" t="str">
            <v>LP</v>
          </cell>
          <cell r="AK512" t="str">
            <v>重庆延锋</v>
          </cell>
          <cell r="AL512" t="str">
            <v>DBNJA</v>
          </cell>
          <cell r="BB512">
            <v>0</v>
          </cell>
          <cell r="BC512">
            <v>0</v>
          </cell>
          <cell r="BE512">
            <v>0</v>
          </cell>
          <cell r="BF512">
            <v>0</v>
          </cell>
        </row>
        <row r="513">
          <cell r="C513" t="str">
            <v>PT37- S</v>
          </cell>
          <cell r="E513" t="str">
            <v>Clutch Master/Slave Cylinder (non-KC)</v>
          </cell>
          <cell r="G513" t="str">
            <v>J</v>
          </cell>
          <cell r="H513" t="str">
            <v>PMT4</v>
          </cell>
          <cell r="I513" t="str">
            <v>PF</v>
          </cell>
          <cell r="J513" t="str">
            <v>H6B1</v>
          </cell>
          <cell r="K513" t="str">
            <v>7A564</v>
          </cell>
          <cell r="L513" t="str">
            <v>AA</v>
          </cell>
          <cell r="M513" t="str">
            <v>H6B1-7A564-AA</v>
          </cell>
          <cell r="P513" t="str">
            <v>苏旭鹏(xsu10)</v>
          </cell>
          <cell r="Q513" t="str">
            <v>车六平(lche2)</v>
          </cell>
          <cell r="S513">
            <v>1</v>
          </cell>
          <cell r="T513">
            <v>0</v>
          </cell>
          <cell r="U513">
            <v>1</v>
          </cell>
          <cell r="V513">
            <v>0</v>
          </cell>
          <cell r="W513">
            <v>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-61.11</v>
          </cell>
          <cell r="AD513">
            <v>-1</v>
          </cell>
          <cell r="AE513">
            <v>-1.2</v>
          </cell>
          <cell r="AF513">
            <v>0</v>
          </cell>
          <cell r="AG513">
            <v>-2.77</v>
          </cell>
          <cell r="AH513">
            <v>-66.08</v>
          </cell>
          <cell r="AI513" t="str">
            <v>CNY</v>
          </cell>
          <cell r="AJ513" t="str">
            <v>LP</v>
          </cell>
          <cell r="AK513" t="str">
            <v>太仓福缔</v>
          </cell>
          <cell r="AL513" t="str">
            <v>GH10A </v>
          </cell>
          <cell r="BB513">
            <v>0</v>
          </cell>
          <cell r="BC513">
            <v>0</v>
          </cell>
          <cell r="BE513">
            <v>-1846975</v>
          </cell>
          <cell r="BF513">
            <v>667010</v>
          </cell>
        </row>
        <row r="514">
          <cell r="C514" t="str">
            <v>IT7</v>
          </cell>
          <cell r="E514" t="str">
            <v>Console Floor/Rear</v>
          </cell>
          <cell r="G514" t="str">
            <v>B</v>
          </cell>
          <cell r="H514" t="str">
            <v>PMT2</v>
          </cell>
          <cell r="I514" t="str">
            <v>TH</v>
          </cell>
          <cell r="J514" t="str">
            <v>JD8B</v>
          </cell>
          <cell r="K514" t="str">
            <v>F045L34</v>
          </cell>
          <cell r="L514" t="str">
            <v>BAW</v>
          </cell>
          <cell r="M514" t="str">
            <v>JD8B-F045L34-BAW</v>
          </cell>
          <cell r="P514" t="str">
            <v>朱文斌(wzhu26)</v>
          </cell>
          <cell r="Q514" t="str">
            <v>李卫(wli78)</v>
          </cell>
          <cell r="S514">
            <v>1</v>
          </cell>
          <cell r="T514">
            <v>1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-16.920000000000002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-16.920000000000002</v>
          </cell>
          <cell r="AI514" t="str">
            <v>CNY</v>
          </cell>
          <cell r="AJ514" t="str">
            <v>LP</v>
          </cell>
          <cell r="AK514" t="str">
            <v>重庆延锋</v>
          </cell>
          <cell r="AL514" t="str">
            <v>DBNJA</v>
          </cell>
          <cell r="BB514">
            <v>0</v>
          </cell>
          <cell r="BC514">
            <v>0</v>
          </cell>
          <cell r="BE514">
            <v>0</v>
          </cell>
          <cell r="BF514">
            <v>0</v>
          </cell>
        </row>
        <row r="515">
          <cell r="C515" t="str">
            <v>E056</v>
          </cell>
          <cell r="E515" t="str">
            <v>ULCR</v>
          </cell>
          <cell r="H515" t="str">
            <v>PMT5</v>
          </cell>
          <cell r="I515" t="str">
            <v>TH</v>
          </cell>
          <cell r="J515" t="str">
            <v>JD8T </v>
          </cell>
          <cell r="K515" t="str">
            <v>18C815 </v>
          </cell>
          <cell r="L515" t="str">
            <v>AB</v>
          </cell>
          <cell r="M515" t="str">
            <v>JD8T -18C815 -AB</v>
          </cell>
          <cell r="P515" t="str">
            <v>Zhou,yicen</v>
          </cell>
          <cell r="Q515" t="str">
            <v>Zhou,Guirong</v>
          </cell>
          <cell r="S515">
            <v>1</v>
          </cell>
          <cell r="T515">
            <v>1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0.30000000000000004</v>
          </cell>
          <cell r="AC515">
            <v>-744.59</v>
          </cell>
          <cell r="AD515">
            <v>-0.98</v>
          </cell>
          <cell r="AE515">
            <v>-0.7</v>
          </cell>
          <cell r="AF515">
            <v>-9.31</v>
          </cell>
          <cell r="AG515">
            <v>-26.212004437853299</v>
          </cell>
          <cell r="AH515">
            <v>-781.79200443785339</v>
          </cell>
          <cell r="AI515" t="str">
            <v>CNY</v>
          </cell>
          <cell r="AJ515" t="str">
            <v>LP</v>
          </cell>
          <cell r="AK515" t="str">
            <v>延锋伟世通</v>
          </cell>
          <cell r="AL515" t="str">
            <v>CQSVA </v>
          </cell>
          <cell r="BB515">
            <v>-557780</v>
          </cell>
          <cell r="BC515">
            <v>0</v>
          </cell>
          <cell r="BE515">
            <v>-8078336</v>
          </cell>
          <cell r="BF515">
            <v>308146</v>
          </cell>
        </row>
        <row r="516">
          <cell r="C516" t="str">
            <v>E056</v>
          </cell>
          <cell r="E516" t="str">
            <v>ULCR</v>
          </cell>
          <cell r="H516" t="str">
            <v>PMT5</v>
          </cell>
          <cell r="I516" t="str">
            <v>TH</v>
          </cell>
          <cell r="J516" t="str">
            <v>JD8T </v>
          </cell>
          <cell r="K516" t="str">
            <v>18C815 </v>
          </cell>
          <cell r="L516" t="str">
            <v>BB</v>
          </cell>
          <cell r="M516" t="str">
            <v>JD8T -18C815 -BB</v>
          </cell>
          <cell r="P516" t="str">
            <v>Zhou,yicen</v>
          </cell>
          <cell r="Q516" t="str">
            <v>Zhou,Guirong</v>
          </cell>
          <cell r="S516">
            <v>0</v>
          </cell>
          <cell r="T516">
            <v>0</v>
          </cell>
          <cell r="U516">
            <v>1</v>
          </cell>
          <cell r="V516">
            <v>1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0.37</v>
          </cell>
          <cell r="AC516">
            <v>-744.59</v>
          </cell>
          <cell r="AD516">
            <v>-0.98</v>
          </cell>
          <cell r="AE516">
            <v>-0.7</v>
          </cell>
          <cell r="AF516">
            <v>-9.31</v>
          </cell>
          <cell r="AG516">
            <v>-26.212004437853299</v>
          </cell>
          <cell r="AH516">
            <v>-781.79200443785339</v>
          </cell>
          <cell r="AI516" t="str">
            <v>CNY</v>
          </cell>
          <cell r="AJ516" t="str">
            <v>LP</v>
          </cell>
          <cell r="AK516" t="str">
            <v>延锋伟世通</v>
          </cell>
          <cell r="AL516" t="str">
            <v>CQSVA </v>
          </cell>
          <cell r="BB516">
            <v>0</v>
          </cell>
          <cell r="BC516">
            <v>0</v>
          </cell>
          <cell r="BE516">
            <v>0</v>
          </cell>
          <cell r="BF516">
            <v>0</v>
          </cell>
        </row>
        <row r="517">
          <cell r="C517" t="str">
            <v>B020</v>
          </cell>
          <cell r="E517" t="str">
            <v>Exhaust heat shield</v>
          </cell>
          <cell r="H517" t="str">
            <v>PMT4</v>
          </cell>
          <cell r="I517" t="str">
            <v>PF</v>
          </cell>
          <cell r="J517" t="str">
            <v>GN11</v>
          </cell>
          <cell r="K517" t="str">
            <v>9N454</v>
          </cell>
          <cell r="L517" t="str">
            <v>CA</v>
          </cell>
          <cell r="M517" t="str">
            <v>GN11-9N454-CA</v>
          </cell>
          <cell r="P517" t="str">
            <v>龚硕(sgong7)</v>
          </cell>
          <cell r="Q517" t="str">
            <v>郭阳(yguo41)</v>
          </cell>
          <cell r="S517">
            <v>1</v>
          </cell>
          <cell r="T517">
            <v>1</v>
          </cell>
          <cell r="U517">
            <v>1</v>
          </cell>
          <cell r="V517">
            <v>1</v>
          </cell>
          <cell r="Y517">
            <v>1</v>
          </cell>
          <cell r="Z517">
            <v>1</v>
          </cell>
          <cell r="AA517">
            <v>0.77000000000000013</v>
          </cell>
          <cell r="AC517">
            <v>-39.57</v>
          </cell>
          <cell r="AD517">
            <v>-0.91</v>
          </cell>
          <cell r="AE517">
            <v>-1.18</v>
          </cell>
          <cell r="AF517">
            <v>0</v>
          </cell>
          <cell r="AG517">
            <v>0</v>
          </cell>
          <cell r="AH517">
            <v>-41.66</v>
          </cell>
          <cell r="AI517" t="str">
            <v>CNY</v>
          </cell>
          <cell r="AJ517" t="str">
            <v>LP</v>
          </cell>
          <cell r="AK517" t="str">
            <v>爱尔铃克铃尔 </v>
          </cell>
          <cell r="AL517" t="str">
            <v>FEZLA</v>
          </cell>
        </row>
        <row r="518">
          <cell r="C518" t="str">
            <v>CH028-1</v>
          </cell>
          <cell r="E518" t="str">
            <v>Front Strut-R</v>
          </cell>
          <cell r="H518" t="str">
            <v>PMT3</v>
          </cell>
          <cell r="I518" t="str">
            <v>PF</v>
          </cell>
          <cell r="J518" t="str">
            <v>JD8C </v>
          </cell>
          <cell r="K518" t="str">
            <v>18045 </v>
          </cell>
          <cell r="L518" t="str">
            <v>AB</v>
          </cell>
          <cell r="M518" t="str">
            <v>JD8C -18045 -AB</v>
          </cell>
          <cell r="P518" t="str">
            <v>陈鑫</v>
          </cell>
          <cell r="Q518" t="str">
            <v>张健</v>
          </cell>
          <cell r="S518">
            <v>1</v>
          </cell>
          <cell r="T518">
            <v>0</v>
          </cell>
          <cell r="U518">
            <v>1</v>
          </cell>
          <cell r="V518">
            <v>0</v>
          </cell>
          <cell r="W518">
            <v>1</v>
          </cell>
          <cell r="X518">
            <v>0</v>
          </cell>
          <cell r="Y518">
            <v>0</v>
          </cell>
          <cell r="Z518">
            <v>0</v>
          </cell>
          <cell r="AA518">
            <v>0.37</v>
          </cell>
          <cell r="AC518">
            <v>-104.24</v>
          </cell>
          <cell r="AD518">
            <v>-4.5199999999999996</v>
          </cell>
          <cell r="AE518">
            <v>-4</v>
          </cell>
          <cell r="AF518">
            <v>-0.26</v>
          </cell>
          <cell r="AG518">
            <v>0</v>
          </cell>
          <cell r="AH518">
            <v>-113.02</v>
          </cell>
          <cell r="AI518" t="str">
            <v>CNY</v>
          </cell>
          <cell r="AJ518" t="str">
            <v>LP</v>
          </cell>
          <cell r="AK518" t="str">
            <v>天纳克（北京）汽车减振器有限公司</v>
          </cell>
          <cell r="AL518" t="str">
            <v>ECBUA </v>
          </cell>
          <cell r="BB518">
            <v>0</v>
          </cell>
          <cell r="BC518">
            <v>0</v>
          </cell>
          <cell r="BE518">
            <v>0</v>
          </cell>
          <cell r="BF518">
            <v>0</v>
          </cell>
        </row>
        <row r="519">
          <cell r="C519" t="str">
            <v>CH028-1</v>
          </cell>
          <cell r="E519" t="str">
            <v>Front Strut-R</v>
          </cell>
          <cell r="H519" t="str">
            <v>PMT3</v>
          </cell>
          <cell r="I519" t="str">
            <v>PF</v>
          </cell>
          <cell r="J519" t="str">
            <v>JD8C </v>
          </cell>
          <cell r="K519" t="str">
            <v>18045 </v>
          </cell>
          <cell r="L519" t="str">
            <v>BB</v>
          </cell>
          <cell r="M519" t="str">
            <v>JD8C -18045 -BB</v>
          </cell>
          <cell r="P519" t="str">
            <v>陈鑫</v>
          </cell>
          <cell r="Q519" t="str">
            <v>张健</v>
          </cell>
          <cell r="S519">
            <v>0</v>
          </cell>
          <cell r="T519">
            <v>1</v>
          </cell>
          <cell r="U519">
            <v>0</v>
          </cell>
          <cell r="V519">
            <v>1</v>
          </cell>
          <cell r="W519">
            <v>0</v>
          </cell>
          <cell r="X519">
            <v>1</v>
          </cell>
          <cell r="Y519">
            <v>1</v>
          </cell>
          <cell r="Z519">
            <v>1</v>
          </cell>
          <cell r="AA519">
            <v>0.63000000000000012</v>
          </cell>
          <cell r="AC519">
            <v>-104.15</v>
          </cell>
          <cell r="AD519">
            <v>-4.5199999999999996</v>
          </cell>
          <cell r="AE519">
            <v>-4</v>
          </cell>
          <cell r="AF519">
            <v>-0.26</v>
          </cell>
          <cell r="AG519">
            <v>0</v>
          </cell>
          <cell r="AH519">
            <v>-112.93</v>
          </cell>
          <cell r="AI519" t="str">
            <v>CNY</v>
          </cell>
          <cell r="AJ519" t="str">
            <v>LP</v>
          </cell>
          <cell r="AK519" t="str">
            <v>天纳克（北京）汽车减振器有限公司</v>
          </cell>
          <cell r="AL519" t="str">
            <v>ECBUA </v>
          </cell>
          <cell r="BB519">
            <v>0</v>
          </cell>
          <cell r="BC519">
            <v>0</v>
          </cell>
          <cell r="BE519">
            <v>0</v>
          </cell>
          <cell r="BF519">
            <v>0</v>
          </cell>
        </row>
        <row r="520">
          <cell r="C520" t="str">
            <v>CH028-1</v>
          </cell>
          <cell r="E520" t="str">
            <v>Front Strut-R</v>
          </cell>
          <cell r="H520" t="str">
            <v>PMT3</v>
          </cell>
          <cell r="I520" t="str">
            <v>PF</v>
          </cell>
          <cell r="J520">
            <v>0</v>
          </cell>
          <cell r="K520">
            <v>0</v>
          </cell>
          <cell r="L520">
            <v>0</v>
          </cell>
          <cell r="M520" t="str">
            <v>0-0-0</v>
          </cell>
          <cell r="P520" t="str">
            <v>陈鑫</v>
          </cell>
          <cell r="Q520" t="str">
            <v>张健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-104.15</v>
          </cell>
          <cell r="AD520">
            <v>-4.5199999999999996</v>
          </cell>
          <cell r="AE520">
            <v>-4</v>
          </cell>
          <cell r="AF520">
            <v>-0.26</v>
          </cell>
          <cell r="AG520">
            <v>0</v>
          </cell>
          <cell r="AH520">
            <v>-112.93</v>
          </cell>
          <cell r="AI520" t="str">
            <v>CNY</v>
          </cell>
          <cell r="AJ520" t="str">
            <v>LP</v>
          </cell>
          <cell r="AK520" t="str">
            <v>天纳克（北京）汽车减振器有限公司</v>
          </cell>
          <cell r="AL520" t="str">
            <v>ECBUA </v>
          </cell>
          <cell r="BB520">
            <v>0</v>
          </cell>
          <cell r="BC520">
            <v>0</v>
          </cell>
          <cell r="BE520">
            <v>0</v>
          </cell>
          <cell r="BF520">
            <v>0</v>
          </cell>
        </row>
        <row r="521">
          <cell r="C521" t="str">
            <v>CH028-1</v>
          </cell>
          <cell r="E521" t="str">
            <v>FRONT STRUT/REAR SHOCK</v>
          </cell>
          <cell r="H521" t="str">
            <v>PMT3</v>
          </cell>
          <cell r="I521" t="str">
            <v>PF</v>
          </cell>
          <cell r="J521" t="str">
            <v>JD8C </v>
          </cell>
          <cell r="K521">
            <v>18080</v>
          </cell>
          <cell r="L521" t="str">
            <v>AB</v>
          </cell>
          <cell r="M521" t="str">
            <v>JD8C -18080-AB</v>
          </cell>
          <cell r="P521" t="str">
            <v>陈鑫</v>
          </cell>
          <cell r="Q521" t="str">
            <v>张健</v>
          </cell>
          <cell r="S521">
            <v>2</v>
          </cell>
          <cell r="T521">
            <v>2</v>
          </cell>
          <cell r="U521">
            <v>2</v>
          </cell>
          <cell r="V521">
            <v>2</v>
          </cell>
          <cell r="W521">
            <v>2</v>
          </cell>
          <cell r="X521">
            <v>2</v>
          </cell>
          <cell r="Y521">
            <v>2</v>
          </cell>
          <cell r="Z521">
            <v>2</v>
          </cell>
          <cell r="AA521">
            <v>2</v>
          </cell>
          <cell r="AC521">
            <v>-110.57</v>
          </cell>
          <cell r="AD521">
            <v>-1.8</v>
          </cell>
          <cell r="AE521">
            <v>-3</v>
          </cell>
          <cell r="AF521">
            <v>-0.3</v>
          </cell>
          <cell r="AG521">
            <v>0</v>
          </cell>
          <cell r="AH521">
            <v>-115.66999999999999</v>
          </cell>
          <cell r="AI521" t="str">
            <v>CNY</v>
          </cell>
          <cell r="AJ521" t="str">
            <v>LP</v>
          </cell>
          <cell r="AK521" t="str">
            <v>天纳克（北京）汽车减振器有限公司</v>
          </cell>
          <cell r="AL521" t="str">
            <v>ECBUA </v>
          </cell>
          <cell r="BB521">
            <v>0</v>
          </cell>
          <cell r="BC521">
            <v>0</v>
          </cell>
          <cell r="BE521">
            <v>0</v>
          </cell>
          <cell r="BF521">
            <v>0</v>
          </cell>
        </row>
        <row r="522">
          <cell r="C522" t="str">
            <v>CH028-1</v>
          </cell>
          <cell r="E522" t="str">
            <v>Front Strut-L</v>
          </cell>
          <cell r="H522" t="str">
            <v>PMT3</v>
          </cell>
          <cell r="I522" t="str">
            <v>PF</v>
          </cell>
          <cell r="J522" t="str">
            <v>JD8C </v>
          </cell>
          <cell r="K522" t="str">
            <v>18K001</v>
          </cell>
          <cell r="L522" t="str">
            <v>CA</v>
          </cell>
          <cell r="M522" t="str">
            <v>JD8C -18K001-CA</v>
          </cell>
          <cell r="P522" t="str">
            <v>陈鑫</v>
          </cell>
          <cell r="Q522" t="str">
            <v>张健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C522">
            <v>-104.15</v>
          </cell>
          <cell r="AD522">
            <v>-4.5199999999999996</v>
          </cell>
          <cell r="AE522">
            <v>-4</v>
          </cell>
          <cell r="AF522">
            <v>-0.26</v>
          </cell>
          <cell r="AH522">
            <v>-112.93</v>
          </cell>
          <cell r="AI522" t="str">
            <v>CNY</v>
          </cell>
          <cell r="AJ522" t="str">
            <v>LP</v>
          </cell>
          <cell r="AK522" t="str">
            <v>天纳克（北京）汽车减振器有限公司</v>
          </cell>
          <cell r="AL522" t="str">
            <v>ECBUA </v>
          </cell>
          <cell r="BB522">
            <v>0</v>
          </cell>
          <cell r="BC522">
            <v>0</v>
          </cell>
          <cell r="BE522">
            <v>0</v>
          </cell>
          <cell r="BF522">
            <v>0</v>
          </cell>
        </row>
        <row r="523">
          <cell r="C523" t="str">
            <v>CH028-1</v>
          </cell>
          <cell r="E523" t="str">
            <v>Front Strut-L</v>
          </cell>
          <cell r="H523" t="str">
            <v>PMT3</v>
          </cell>
          <cell r="I523" t="str">
            <v>PF</v>
          </cell>
          <cell r="J523" t="str">
            <v>JD8C </v>
          </cell>
          <cell r="K523" t="str">
            <v>18K001</v>
          </cell>
          <cell r="L523" t="str">
            <v>AB</v>
          </cell>
          <cell r="M523" t="str">
            <v>JD8C -18K001-AB</v>
          </cell>
          <cell r="P523" t="str">
            <v>陈鑫</v>
          </cell>
          <cell r="Q523" t="str">
            <v>张健</v>
          </cell>
          <cell r="S523">
            <v>1</v>
          </cell>
          <cell r="T523">
            <v>0</v>
          </cell>
          <cell r="U523">
            <v>1</v>
          </cell>
          <cell r="V523">
            <v>0</v>
          </cell>
          <cell r="W523">
            <v>1</v>
          </cell>
          <cell r="X523">
            <v>0</v>
          </cell>
          <cell r="Y523">
            <v>0</v>
          </cell>
          <cell r="Z523">
            <v>0</v>
          </cell>
          <cell r="AA523">
            <v>0.37</v>
          </cell>
          <cell r="AC523">
            <v>-104.24</v>
          </cell>
          <cell r="AD523">
            <v>-4.5199999999999996</v>
          </cell>
          <cell r="AE523">
            <v>-4</v>
          </cell>
          <cell r="AF523">
            <v>-0.26</v>
          </cell>
          <cell r="AH523">
            <v>-113.02</v>
          </cell>
          <cell r="AI523" t="str">
            <v>CNY</v>
          </cell>
          <cell r="AJ523" t="str">
            <v>LP</v>
          </cell>
          <cell r="AK523" t="str">
            <v>天纳克（北京）汽车减振器有限公司</v>
          </cell>
          <cell r="AL523" t="str">
            <v>ECBUA </v>
          </cell>
          <cell r="BB523">
            <v>0</v>
          </cell>
          <cell r="BC523">
            <v>0</v>
          </cell>
          <cell r="BE523">
            <v>0</v>
          </cell>
          <cell r="BF523">
            <v>0</v>
          </cell>
        </row>
        <row r="524">
          <cell r="C524" t="str">
            <v>CH028-1</v>
          </cell>
          <cell r="E524" t="str">
            <v>Front Strut-L</v>
          </cell>
          <cell r="H524" t="str">
            <v>PMT3</v>
          </cell>
          <cell r="I524" t="str">
            <v>PF</v>
          </cell>
          <cell r="J524" t="str">
            <v>JD8C </v>
          </cell>
          <cell r="K524" t="str">
            <v>18K001</v>
          </cell>
          <cell r="L524" t="str">
            <v>BB</v>
          </cell>
          <cell r="M524" t="str">
            <v>JD8C -18K001-BB</v>
          </cell>
          <cell r="P524" t="str">
            <v>陈鑫</v>
          </cell>
          <cell r="Q524" t="str">
            <v>张健</v>
          </cell>
          <cell r="S524">
            <v>0</v>
          </cell>
          <cell r="T524">
            <v>1</v>
          </cell>
          <cell r="U524">
            <v>0</v>
          </cell>
          <cell r="V524">
            <v>1</v>
          </cell>
          <cell r="W524">
            <v>0</v>
          </cell>
          <cell r="X524">
            <v>1</v>
          </cell>
          <cell r="Y524">
            <v>1</v>
          </cell>
          <cell r="Z524">
            <v>1</v>
          </cell>
          <cell r="AA524">
            <v>0.63000000000000012</v>
          </cell>
          <cell r="AC524">
            <v>-104.15</v>
          </cell>
          <cell r="AD524">
            <v>-4.5199999999999996</v>
          </cell>
          <cell r="AE524">
            <v>-4</v>
          </cell>
          <cell r="AF524">
            <v>-0.26</v>
          </cell>
          <cell r="AG524">
            <v>0</v>
          </cell>
          <cell r="AH524">
            <v>-112.93</v>
          </cell>
          <cell r="AI524" t="str">
            <v>CNY</v>
          </cell>
          <cell r="AJ524" t="str">
            <v>LP</v>
          </cell>
          <cell r="AK524" t="str">
            <v>天纳克（北京）汽车减振器有限公司</v>
          </cell>
          <cell r="AL524" t="str">
            <v>ECBUA </v>
          </cell>
          <cell r="BB524">
            <v>0</v>
          </cell>
          <cell r="BC524">
            <v>0</v>
          </cell>
          <cell r="BE524">
            <v>0</v>
          </cell>
          <cell r="BF524">
            <v>0</v>
          </cell>
        </row>
        <row r="525">
          <cell r="C525" t="str">
            <v>CH004</v>
          </cell>
          <cell r="E525" t="str">
            <v xml:space="preserve">STEERING COLUMN </v>
          </cell>
          <cell r="H525" t="str">
            <v>PMT3</v>
          </cell>
          <cell r="I525" t="str">
            <v>PF</v>
          </cell>
          <cell r="J525" t="str">
            <v>JD8C </v>
          </cell>
          <cell r="K525" t="str">
            <v>3D071 </v>
          </cell>
          <cell r="L525" t="str">
            <v>BB</v>
          </cell>
          <cell r="M525" t="str">
            <v>JD8C -3D071 -BB</v>
          </cell>
          <cell r="P525" t="str">
            <v>孙志旺(zsun15)</v>
          </cell>
          <cell r="Q525" t="str">
            <v>刘开宇(kliu21)</v>
          </cell>
          <cell r="S525">
            <v>1</v>
          </cell>
          <cell r="T525">
            <v>1</v>
          </cell>
          <cell r="U525">
            <v>1</v>
          </cell>
          <cell r="V525">
            <v>1</v>
          </cell>
          <cell r="W525">
            <v>1</v>
          </cell>
          <cell r="X525">
            <v>1</v>
          </cell>
          <cell r="Y525">
            <v>1</v>
          </cell>
          <cell r="Z525">
            <v>1</v>
          </cell>
          <cell r="AA525">
            <v>1</v>
          </cell>
          <cell r="AC525">
            <v>-1421.6999999999998</v>
          </cell>
          <cell r="AD525">
            <v>-15</v>
          </cell>
          <cell r="AF525">
            <v>-1.72</v>
          </cell>
          <cell r="AH525">
            <v>-1438.4199999999998</v>
          </cell>
          <cell r="AI525" t="str">
            <v>CNY</v>
          </cell>
          <cell r="AJ525" t="str">
            <v>LP</v>
          </cell>
          <cell r="AK525" t="str">
            <v>天合汽车科技（上海）有限公司</v>
          </cell>
          <cell r="AL525" t="str">
            <v>GNHHA</v>
          </cell>
          <cell r="BB525">
            <v>0</v>
          </cell>
          <cell r="BC525">
            <v>0</v>
          </cell>
          <cell r="BE525">
            <v>0</v>
          </cell>
          <cell r="BF525">
            <v>0</v>
          </cell>
        </row>
        <row r="526">
          <cell r="C526" t="str">
            <v>IT10</v>
          </cell>
          <cell r="E526" t="str">
            <v>SEAT</v>
          </cell>
          <cell r="G526" t="str">
            <v>B</v>
          </cell>
          <cell r="H526" t="str">
            <v>PMT2</v>
          </cell>
          <cell r="I526" t="str">
            <v>TH</v>
          </cell>
          <cell r="J526" t="str">
            <v>JD8B</v>
          </cell>
          <cell r="K526" t="str">
            <v>F130A02</v>
          </cell>
          <cell r="L526" t="str">
            <v>ABW</v>
          </cell>
          <cell r="M526" t="str">
            <v>JD8B-F130A02-ABW</v>
          </cell>
          <cell r="P526" t="str">
            <v>熊啸(xxiong2)</v>
          </cell>
          <cell r="Q526" t="str">
            <v>张兴华(xzhan195)</v>
          </cell>
          <cell r="S526">
            <v>1</v>
          </cell>
          <cell r="T526">
            <v>1</v>
          </cell>
          <cell r="U526">
            <v>1</v>
          </cell>
          <cell r="V526">
            <v>1</v>
          </cell>
          <cell r="W526">
            <v>1</v>
          </cell>
          <cell r="X526">
            <v>1</v>
          </cell>
          <cell r="Y526">
            <v>1</v>
          </cell>
          <cell r="Z526">
            <v>1</v>
          </cell>
          <cell r="AA526">
            <v>1</v>
          </cell>
          <cell r="AC526">
            <v>-2.16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-2.16</v>
          </cell>
          <cell r="AI526" t="str">
            <v>CNY</v>
          </cell>
          <cell r="AJ526" t="str">
            <v>LP</v>
          </cell>
          <cell r="AK526" t="str">
            <v>重庆延锋安道拓</v>
          </cell>
          <cell r="AL526" t="str">
            <v>EADHA</v>
          </cell>
          <cell r="BB526">
            <v>-9543879</v>
          </cell>
          <cell r="BC526">
            <v>-9543879</v>
          </cell>
          <cell r="BE526">
            <v>-9347539</v>
          </cell>
          <cell r="BF526">
            <v>574889</v>
          </cell>
        </row>
        <row r="527">
          <cell r="C527" t="str">
            <v>IT10</v>
          </cell>
          <cell r="E527" t="str">
            <v>SEAT</v>
          </cell>
          <cell r="G527" t="str">
            <v>B</v>
          </cell>
          <cell r="H527" t="str">
            <v>PMT2</v>
          </cell>
          <cell r="I527" t="str">
            <v>TH</v>
          </cell>
          <cell r="J527" t="str">
            <v>JD8B</v>
          </cell>
          <cell r="K527" t="str">
            <v>F130A03</v>
          </cell>
          <cell r="L527" t="str">
            <v>ABW</v>
          </cell>
          <cell r="M527" t="str">
            <v>JD8B-F130A03-ABW</v>
          </cell>
          <cell r="P527" t="str">
            <v>熊啸(xxiong2)</v>
          </cell>
          <cell r="Q527" t="str">
            <v>张兴华(xzhan195)</v>
          </cell>
          <cell r="S527">
            <v>1</v>
          </cell>
          <cell r="T527">
            <v>1</v>
          </cell>
          <cell r="U527">
            <v>1</v>
          </cell>
          <cell r="V527">
            <v>1</v>
          </cell>
          <cell r="W527">
            <v>1</v>
          </cell>
          <cell r="X527">
            <v>1</v>
          </cell>
          <cell r="Y527">
            <v>1</v>
          </cell>
          <cell r="Z527">
            <v>1</v>
          </cell>
          <cell r="AA527">
            <v>1</v>
          </cell>
          <cell r="AC527">
            <v>-2.16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-2.16</v>
          </cell>
          <cell r="AI527" t="str">
            <v>CNY</v>
          </cell>
          <cell r="AJ527" t="str">
            <v>LP</v>
          </cell>
          <cell r="AK527" t="str">
            <v>重庆延锋安道拓</v>
          </cell>
          <cell r="AL527" t="str">
            <v>EADHA</v>
          </cell>
          <cell r="BB527" t="str">
            <v>incl.above</v>
          </cell>
          <cell r="BC527" t="str">
            <v>incl.above</v>
          </cell>
          <cell r="BE527" t="str">
            <v>incl.above</v>
          </cell>
          <cell r="BF527" t="str">
            <v>incl.above</v>
          </cell>
        </row>
        <row r="528">
          <cell r="C528" t="str">
            <v>IT10</v>
          </cell>
          <cell r="E528" t="str">
            <v>SEAT</v>
          </cell>
          <cell r="G528" t="str">
            <v>B</v>
          </cell>
          <cell r="H528" t="str">
            <v>PMT2</v>
          </cell>
          <cell r="I528" t="str">
            <v>TH</v>
          </cell>
          <cell r="J528" t="str">
            <v>JD8B</v>
          </cell>
          <cell r="K528" t="str">
            <v>F618D00</v>
          </cell>
          <cell r="L528" t="str">
            <v>ABW</v>
          </cell>
          <cell r="M528" t="str">
            <v>JD8B-F618D00-ABW</v>
          </cell>
          <cell r="P528" t="str">
            <v>熊啸(xxiong2)</v>
          </cell>
          <cell r="Q528" t="str">
            <v>张兴华(xzhan195)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Z528">
            <v>1</v>
          </cell>
          <cell r="AA528">
            <v>1</v>
          </cell>
          <cell r="AC528">
            <v>-2.3561999999999999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-2.3561999999999999</v>
          </cell>
          <cell r="AI528" t="str">
            <v>CNY</v>
          </cell>
          <cell r="AJ528" t="str">
            <v>LP</v>
          </cell>
          <cell r="AK528" t="str">
            <v>重庆延锋安道拓</v>
          </cell>
          <cell r="AL528" t="str">
            <v>EADHA</v>
          </cell>
          <cell r="BB528" t="str">
            <v>incl.above</v>
          </cell>
          <cell r="BC528" t="str">
            <v>incl.above</v>
          </cell>
          <cell r="BE528" t="str">
            <v>incl.above</v>
          </cell>
          <cell r="BF528" t="str">
            <v>incl.above</v>
          </cell>
        </row>
        <row r="529">
          <cell r="C529" t="str">
            <v>IT10</v>
          </cell>
          <cell r="E529" t="str">
            <v>SEAT</v>
          </cell>
          <cell r="G529" t="str">
            <v>B</v>
          </cell>
          <cell r="H529" t="str">
            <v>PMT2</v>
          </cell>
          <cell r="I529" t="str">
            <v>TH</v>
          </cell>
          <cell r="J529" t="str">
            <v>JD8B</v>
          </cell>
          <cell r="K529" t="str">
            <v>F618D01</v>
          </cell>
          <cell r="L529" t="str">
            <v>ABW</v>
          </cell>
          <cell r="M529" t="str">
            <v>JD8B-F618D01-ABW</v>
          </cell>
          <cell r="P529" t="str">
            <v>熊啸(xxiong2)</v>
          </cell>
          <cell r="Q529" t="str">
            <v>张兴华(xzhan195)</v>
          </cell>
          <cell r="S529">
            <v>1</v>
          </cell>
          <cell r="T529">
            <v>1</v>
          </cell>
          <cell r="U529">
            <v>1</v>
          </cell>
          <cell r="V529">
            <v>1</v>
          </cell>
          <cell r="W529">
            <v>1</v>
          </cell>
          <cell r="X529">
            <v>1</v>
          </cell>
          <cell r="Y529">
            <v>1</v>
          </cell>
          <cell r="Z529">
            <v>1</v>
          </cell>
          <cell r="AA529">
            <v>1</v>
          </cell>
          <cell r="AC529">
            <v>-2.3561999999999999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-2.3561999999999999</v>
          </cell>
          <cell r="AI529" t="str">
            <v>CNY</v>
          </cell>
          <cell r="AJ529" t="str">
            <v>LP</v>
          </cell>
          <cell r="AK529" t="str">
            <v>重庆延锋安道拓</v>
          </cell>
          <cell r="AL529" t="str">
            <v>EADHA</v>
          </cell>
          <cell r="BB529" t="str">
            <v>incl.above</v>
          </cell>
          <cell r="BC529" t="str">
            <v>incl.above</v>
          </cell>
          <cell r="BE529" t="str">
            <v>incl.above</v>
          </cell>
          <cell r="BF529" t="str">
            <v>incl.above</v>
          </cell>
        </row>
        <row r="530">
          <cell r="C530" t="str">
            <v>IT10</v>
          </cell>
          <cell r="E530" t="str">
            <v>SEAT</v>
          </cell>
          <cell r="G530" t="str">
            <v>B</v>
          </cell>
          <cell r="H530" t="str">
            <v>PMT2</v>
          </cell>
          <cell r="I530" t="str">
            <v>TH</v>
          </cell>
          <cell r="J530" t="str">
            <v>JD8B</v>
          </cell>
          <cell r="K530" t="str">
            <v>F600A30</v>
          </cell>
          <cell r="L530" t="str">
            <v>ABW</v>
          </cell>
          <cell r="M530" t="str">
            <v>JD8B-F600A30-ABW</v>
          </cell>
          <cell r="P530" t="str">
            <v>熊啸(xxiong2)</v>
          </cell>
          <cell r="Q530" t="str">
            <v>张兴华(xzhan195)</v>
          </cell>
          <cell r="S530">
            <v>1</v>
          </cell>
          <cell r="T530">
            <v>1</v>
          </cell>
          <cell r="AA530">
            <v>0.30000000000000004</v>
          </cell>
          <cell r="AC530">
            <v>-816.27200000000005</v>
          </cell>
          <cell r="AG530">
            <v>-4.8780000000000001</v>
          </cell>
          <cell r="AH530">
            <v>-821.15000000000009</v>
          </cell>
          <cell r="AI530" t="str">
            <v>CNY</v>
          </cell>
          <cell r="AJ530" t="str">
            <v>LP</v>
          </cell>
          <cell r="AK530" t="str">
            <v>重庆延锋安道拓</v>
          </cell>
          <cell r="AL530" t="str">
            <v>EADHA</v>
          </cell>
          <cell r="BB530">
            <v>-7750</v>
          </cell>
          <cell r="BC530">
            <v>-7750</v>
          </cell>
          <cell r="BE530" t="str">
            <v>incl.above</v>
          </cell>
          <cell r="BF530" t="str">
            <v>incl.above</v>
          </cell>
        </row>
        <row r="531">
          <cell r="C531" t="str">
            <v>IT10</v>
          </cell>
          <cell r="E531" t="str">
            <v>SEAT</v>
          </cell>
          <cell r="G531" t="str">
            <v>B</v>
          </cell>
          <cell r="H531" t="str">
            <v>PMT2</v>
          </cell>
          <cell r="I531" t="str">
            <v>TH</v>
          </cell>
          <cell r="J531" t="str">
            <v>JD8B</v>
          </cell>
          <cell r="K531" t="str">
            <v>F600A31</v>
          </cell>
          <cell r="L531" t="str">
            <v>ABW</v>
          </cell>
          <cell r="M531" t="str">
            <v>JD8B-F600A31-ABW</v>
          </cell>
          <cell r="P531" t="str">
            <v>熊啸(xxiong2)</v>
          </cell>
          <cell r="Q531" t="str">
            <v>张兴华(xzhan195)</v>
          </cell>
          <cell r="S531">
            <v>1</v>
          </cell>
          <cell r="T531">
            <v>1</v>
          </cell>
          <cell r="AA531">
            <v>0.30000000000000004</v>
          </cell>
          <cell r="AC531">
            <v>-831.65200000000004</v>
          </cell>
          <cell r="AG531">
            <v>-4.8780000000000001</v>
          </cell>
          <cell r="AH531">
            <v>-836.53000000000009</v>
          </cell>
          <cell r="AI531" t="str">
            <v>CNY</v>
          </cell>
          <cell r="AJ531" t="str">
            <v>LP</v>
          </cell>
          <cell r="AK531" t="str">
            <v>重庆延锋安道拓</v>
          </cell>
          <cell r="AL531" t="str">
            <v>EADHA</v>
          </cell>
          <cell r="BB531" t="str">
            <v>incl.above</v>
          </cell>
          <cell r="BC531" t="str">
            <v>incl.above</v>
          </cell>
          <cell r="BE531" t="str">
            <v>incl.above</v>
          </cell>
          <cell r="BF531" t="str">
            <v>incl.above</v>
          </cell>
        </row>
        <row r="532">
          <cell r="C532" t="str">
            <v>IT10</v>
          </cell>
          <cell r="E532" t="str">
            <v>SEAT</v>
          </cell>
          <cell r="G532" t="str">
            <v>B</v>
          </cell>
          <cell r="H532" t="str">
            <v>PMT2</v>
          </cell>
          <cell r="I532" t="str">
            <v>TH</v>
          </cell>
          <cell r="J532" t="str">
            <v>JD8B</v>
          </cell>
          <cell r="K532" t="str">
            <v>F600A30</v>
          </cell>
          <cell r="L532" t="str">
            <v>CBW</v>
          </cell>
          <cell r="M532" t="str">
            <v>JD8B-F600A30-CBW</v>
          </cell>
          <cell r="P532" t="str">
            <v>熊啸(xxiong2)</v>
          </cell>
          <cell r="Q532" t="str">
            <v>张兴华(xzhan195)</v>
          </cell>
          <cell r="Y532">
            <v>1</v>
          </cell>
          <cell r="Z532">
            <v>1</v>
          </cell>
          <cell r="AA532">
            <v>0.1</v>
          </cell>
          <cell r="AC532">
            <v>-1211.8320000000001</v>
          </cell>
          <cell r="AD532">
            <v>0</v>
          </cell>
          <cell r="AE532">
            <v>0</v>
          </cell>
          <cell r="AF532">
            <v>0</v>
          </cell>
          <cell r="AG532">
            <v>-4.8780000000000001</v>
          </cell>
          <cell r="AH532">
            <v>-1216.71</v>
          </cell>
          <cell r="AI532" t="str">
            <v>CNY</v>
          </cell>
          <cell r="AJ532" t="str">
            <v>LP</v>
          </cell>
          <cell r="AK532" t="str">
            <v>重庆延锋安道拓</v>
          </cell>
          <cell r="AL532" t="str">
            <v>EADHA</v>
          </cell>
          <cell r="BB532">
            <v>0</v>
          </cell>
          <cell r="BC532">
            <v>0</v>
          </cell>
          <cell r="BE532" t="str">
            <v>incl.above</v>
          </cell>
          <cell r="BF532" t="str">
            <v>incl.above</v>
          </cell>
        </row>
        <row r="533">
          <cell r="C533" t="str">
            <v>IT10</v>
          </cell>
          <cell r="E533" t="str">
            <v>SEAT</v>
          </cell>
          <cell r="G533" t="str">
            <v>B</v>
          </cell>
          <cell r="H533" t="str">
            <v>PMT2</v>
          </cell>
          <cell r="I533" t="str">
            <v>TH</v>
          </cell>
          <cell r="J533" t="str">
            <v>JD8B</v>
          </cell>
          <cell r="K533" t="str">
            <v>F600B28</v>
          </cell>
          <cell r="L533" t="str">
            <v>ABW</v>
          </cell>
          <cell r="M533" t="str">
            <v>JD8B-F600B28-ABW</v>
          </cell>
          <cell r="P533" t="str">
            <v>熊啸(xxiong2)</v>
          </cell>
          <cell r="Q533" t="str">
            <v>张兴华(xzhan195)</v>
          </cell>
          <cell r="S533">
            <v>1</v>
          </cell>
          <cell r="T533">
            <v>1</v>
          </cell>
          <cell r="AA533">
            <v>0.30000000000000004</v>
          </cell>
          <cell r="AC533">
            <v>-845.06600000000003</v>
          </cell>
          <cell r="AG533">
            <v>-6.5039999999999996</v>
          </cell>
          <cell r="AH533">
            <v>-851.57</v>
          </cell>
          <cell r="AI533" t="str">
            <v>CNY</v>
          </cell>
          <cell r="AJ533" t="str">
            <v>LP</v>
          </cell>
          <cell r="AK533" t="str">
            <v>重庆延锋安道拓</v>
          </cell>
          <cell r="AL533" t="str">
            <v>EADHA</v>
          </cell>
          <cell r="BE533" t="str">
            <v>incl.above</v>
          </cell>
          <cell r="BF533" t="str">
            <v>incl.above</v>
          </cell>
        </row>
        <row r="534">
          <cell r="C534" t="str">
            <v>IT10</v>
          </cell>
          <cell r="E534" t="str">
            <v>SEAT</v>
          </cell>
          <cell r="G534" t="str">
            <v>B</v>
          </cell>
          <cell r="H534" t="str">
            <v>PMT2</v>
          </cell>
          <cell r="I534" t="str">
            <v>TH</v>
          </cell>
          <cell r="J534" t="str">
            <v>JD8B</v>
          </cell>
          <cell r="K534" t="str">
            <v>F600A31</v>
          </cell>
          <cell r="L534" t="str">
            <v>DCW</v>
          </cell>
          <cell r="M534" t="str">
            <v>JD8B-F600A31-DCW</v>
          </cell>
          <cell r="P534" t="str">
            <v>熊啸(xxiong2)</v>
          </cell>
          <cell r="Q534" t="str">
            <v>张兴华(xzhan195)</v>
          </cell>
          <cell r="W534">
            <v>1</v>
          </cell>
          <cell r="X534">
            <v>1</v>
          </cell>
          <cell r="Z534">
            <v>1</v>
          </cell>
          <cell r="AA534">
            <v>0.28000000000000003</v>
          </cell>
          <cell r="AC534">
            <v>-1173.0619999999999</v>
          </cell>
          <cell r="AD534">
            <v>0</v>
          </cell>
          <cell r="AE534">
            <v>0</v>
          </cell>
          <cell r="AF534">
            <v>0</v>
          </cell>
          <cell r="AG534">
            <v>-4.8780000000000001</v>
          </cell>
          <cell r="AH534">
            <v>-1177.9399999999998</v>
          </cell>
          <cell r="AI534" t="str">
            <v>CNY</v>
          </cell>
          <cell r="AJ534" t="str">
            <v>LP</v>
          </cell>
          <cell r="AK534" t="str">
            <v>重庆延锋安道拓</v>
          </cell>
          <cell r="AL534" t="str">
            <v>EADHA</v>
          </cell>
          <cell r="BE534" t="str">
            <v>incl.above</v>
          </cell>
          <cell r="BF534" t="str">
            <v>incl.above</v>
          </cell>
        </row>
        <row r="535">
          <cell r="C535" t="str">
            <v>IT10</v>
          </cell>
          <cell r="E535" t="str">
            <v>SEAT</v>
          </cell>
          <cell r="G535" t="str">
            <v>B</v>
          </cell>
          <cell r="H535" t="str">
            <v>PMT2</v>
          </cell>
          <cell r="I535" t="str">
            <v>TH</v>
          </cell>
          <cell r="J535" t="str">
            <v>JD8B</v>
          </cell>
          <cell r="K535" t="str">
            <v>F600A30</v>
          </cell>
          <cell r="L535" t="str">
            <v>DBW</v>
          </cell>
          <cell r="M535" t="str">
            <v>JD8B-F600A30-DBW</v>
          </cell>
          <cell r="P535" t="str">
            <v>熊啸(xxiong2)</v>
          </cell>
          <cell r="Q535" t="str">
            <v>张兴华(xzhan195)</v>
          </cell>
          <cell r="W535">
            <v>1</v>
          </cell>
          <cell r="X535">
            <v>1</v>
          </cell>
          <cell r="AA535">
            <v>0.23</v>
          </cell>
          <cell r="AC535">
            <v>-1138.4459999999999</v>
          </cell>
          <cell r="AG535">
            <v>-6.5039999999999996</v>
          </cell>
          <cell r="AH535">
            <v>-1144.9499999999998</v>
          </cell>
          <cell r="AI535" t="str">
            <v>CNY</v>
          </cell>
          <cell r="AJ535" t="str">
            <v>LP</v>
          </cell>
          <cell r="AK535" t="str">
            <v>重庆延锋安道拓</v>
          </cell>
          <cell r="AL535" t="str">
            <v>EADHA</v>
          </cell>
          <cell r="BE535" t="str">
            <v>incl.above</v>
          </cell>
          <cell r="BF535" t="str">
            <v>incl.above</v>
          </cell>
        </row>
        <row r="536">
          <cell r="C536" t="str">
            <v>IT10</v>
          </cell>
          <cell r="E536" t="str">
            <v>SEAT</v>
          </cell>
          <cell r="G536" t="str">
            <v>B</v>
          </cell>
          <cell r="H536" t="str">
            <v>PMT2</v>
          </cell>
          <cell r="I536" t="str">
            <v>TH</v>
          </cell>
          <cell r="J536" t="str">
            <v>JD8B</v>
          </cell>
          <cell r="K536" t="str">
            <v>F600A31</v>
          </cell>
          <cell r="L536" t="str">
            <v>CBW</v>
          </cell>
          <cell r="M536" t="str">
            <v>JD8B-F600A31-CBW</v>
          </cell>
          <cell r="P536" t="str">
            <v>熊啸(xxiong2)</v>
          </cell>
          <cell r="Q536" t="str">
            <v>张兴华(xzhan195)</v>
          </cell>
          <cell r="Y536">
            <v>1</v>
          </cell>
          <cell r="Z536">
            <v>1</v>
          </cell>
          <cell r="AA536">
            <v>0.1</v>
          </cell>
          <cell r="AC536">
            <v>-1675.672</v>
          </cell>
          <cell r="AD536">
            <v>0</v>
          </cell>
          <cell r="AE536">
            <v>0</v>
          </cell>
          <cell r="AF536">
            <v>0</v>
          </cell>
          <cell r="AG536">
            <v>-4.8780000000000001</v>
          </cell>
          <cell r="AH536">
            <v>-1680.55</v>
          </cell>
          <cell r="AI536" t="str">
            <v>CNY</v>
          </cell>
          <cell r="AJ536" t="str">
            <v>LP</v>
          </cell>
          <cell r="AK536" t="str">
            <v>重庆延锋安道拓</v>
          </cell>
          <cell r="AL536" t="str">
            <v>EADHA</v>
          </cell>
          <cell r="BB536">
            <v>-136500</v>
          </cell>
          <cell r="BC536">
            <v>-136500</v>
          </cell>
          <cell r="BE536" t="str">
            <v>incl.above</v>
          </cell>
          <cell r="BF536" t="str">
            <v>incl.above</v>
          </cell>
        </row>
        <row r="537">
          <cell r="C537" t="str">
            <v>IT10</v>
          </cell>
          <cell r="E537" t="str">
            <v>SEAT</v>
          </cell>
          <cell r="G537" t="str">
            <v>B</v>
          </cell>
          <cell r="H537" t="str">
            <v>PMT2</v>
          </cell>
          <cell r="I537" t="str">
            <v>TH</v>
          </cell>
          <cell r="J537" t="str">
            <v>JD8B</v>
          </cell>
          <cell r="K537" t="str">
            <v>F600B28</v>
          </cell>
          <cell r="L537" t="str">
            <v>CDW</v>
          </cell>
          <cell r="M537" t="str">
            <v>JD8B-F600B28-CDW</v>
          </cell>
          <cell r="P537" t="str">
            <v>熊啸(xxiong2)</v>
          </cell>
          <cell r="Q537" t="str">
            <v>张兴华(xzhan195)</v>
          </cell>
          <cell r="Y537">
            <v>1</v>
          </cell>
          <cell r="Z537">
            <v>1</v>
          </cell>
          <cell r="AA537">
            <v>0.1</v>
          </cell>
          <cell r="AC537">
            <v>-1602.47613</v>
          </cell>
          <cell r="AG537">
            <v>-11.343999999999999</v>
          </cell>
          <cell r="AH537">
            <v>-1613.8201300000001</v>
          </cell>
          <cell r="AI537" t="str">
            <v>CNY</v>
          </cell>
          <cell r="AJ537" t="str">
            <v>LP</v>
          </cell>
          <cell r="AK537" t="str">
            <v>重庆延锋安道拓</v>
          </cell>
          <cell r="AL537" t="str">
            <v>EADHA</v>
          </cell>
          <cell r="BB537">
            <v>-69000</v>
          </cell>
          <cell r="BC537">
            <v>-69000</v>
          </cell>
          <cell r="BE537" t="str">
            <v>incl.above</v>
          </cell>
          <cell r="BF537" t="str">
            <v>incl.above</v>
          </cell>
        </row>
        <row r="538">
          <cell r="C538" t="str">
            <v>IT10</v>
          </cell>
          <cell r="E538" t="str">
            <v>SEAT</v>
          </cell>
          <cell r="G538" t="str">
            <v>B</v>
          </cell>
          <cell r="H538" t="str">
            <v>PMT2</v>
          </cell>
          <cell r="I538" t="str">
            <v>TH</v>
          </cell>
          <cell r="J538" t="str">
            <v>JD8B</v>
          </cell>
          <cell r="K538" t="str">
            <v>F600B28</v>
          </cell>
          <cell r="L538" t="str">
            <v>DDW</v>
          </cell>
          <cell r="M538" t="str">
            <v>JD8B-F600B28-DDW</v>
          </cell>
          <cell r="P538" t="str">
            <v>熊啸(xxiong2)</v>
          </cell>
          <cell r="Q538" t="str">
            <v>张兴华(xzhan195)</v>
          </cell>
          <cell r="W538">
            <v>1</v>
          </cell>
          <cell r="X538">
            <v>1</v>
          </cell>
          <cell r="AA538">
            <v>0.23</v>
          </cell>
          <cell r="AC538">
            <v>-1512.1560000000002</v>
          </cell>
          <cell r="AD538">
            <v>0</v>
          </cell>
          <cell r="AE538">
            <v>0</v>
          </cell>
          <cell r="AF538">
            <v>0</v>
          </cell>
          <cell r="AG538">
            <v>-6.5039999999999996</v>
          </cell>
          <cell r="AH538">
            <v>-1518.66</v>
          </cell>
          <cell r="AI538" t="str">
            <v>CNY</v>
          </cell>
          <cell r="AJ538" t="str">
            <v>LP</v>
          </cell>
          <cell r="AK538" t="str">
            <v>重庆延锋安道拓</v>
          </cell>
          <cell r="AL538" t="str">
            <v>EADHA</v>
          </cell>
          <cell r="BE538" t="str">
            <v>incl.above</v>
          </cell>
          <cell r="BF538" t="str">
            <v>incl.above</v>
          </cell>
        </row>
        <row r="539">
          <cell r="C539" t="str">
            <v>IT10</v>
          </cell>
          <cell r="E539" t="str">
            <v>SEAT</v>
          </cell>
          <cell r="G539" t="str">
            <v>B</v>
          </cell>
          <cell r="H539" t="str">
            <v>PMT2</v>
          </cell>
          <cell r="I539" t="str">
            <v>TH</v>
          </cell>
          <cell r="J539" t="str">
            <v>JD8B</v>
          </cell>
          <cell r="K539" t="str">
            <v>F600A30</v>
          </cell>
          <cell r="L539" t="str">
            <v>BBW</v>
          </cell>
          <cell r="M539" t="str">
            <v>JD8B-F600A30-BBW</v>
          </cell>
          <cell r="P539" t="str">
            <v>熊啸(xxiong2)</v>
          </cell>
          <cell r="Q539" t="str">
            <v>张兴华(xzhan195)</v>
          </cell>
          <cell r="U539">
            <v>1</v>
          </cell>
          <cell r="V539">
            <v>1</v>
          </cell>
          <cell r="AA539">
            <v>0.37</v>
          </cell>
          <cell r="AC539">
            <v>-1027.752</v>
          </cell>
          <cell r="AG539">
            <v>-4.8780000000000001</v>
          </cell>
          <cell r="AH539">
            <v>-1032.6299999999999</v>
          </cell>
          <cell r="AI539" t="str">
            <v>CNY</v>
          </cell>
          <cell r="AJ539" t="str">
            <v>LP</v>
          </cell>
          <cell r="AK539" t="str">
            <v>重庆延锋安道拓</v>
          </cell>
          <cell r="AL539" t="str">
            <v>EADHA</v>
          </cell>
          <cell r="BE539" t="str">
            <v>incl.above</v>
          </cell>
          <cell r="BF539" t="str">
            <v>incl.above</v>
          </cell>
        </row>
        <row r="540">
          <cell r="C540" t="str">
            <v>IT10</v>
          </cell>
          <cell r="E540" t="str">
            <v>SEAT</v>
          </cell>
          <cell r="G540" t="str">
            <v>B</v>
          </cell>
          <cell r="H540" t="str">
            <v>PMT2</v>
          </cell>
          <cell r="I540" t="str">
            <v>TH</v>
          </cell>
          <cell r="J540" t="str">
            <v>JD8B</v>
          </cell>
          <cell r="K540" t="str">
            <v>F600A31</v>
          </cell>
          <cell r="L540" t="str">
            <v>BBW</v>
          </cell>
          <cell r="M540" t="str">
            <v>JD8B-F600A31-BBW</v>
          </cell>
          <cell r="P540" t="str">
            <v>熊啸(xxiong2)</v>
          </cell>
          <cell r="Q540" t="str">
            <v>张兴华(xzhan195)</v>
          </cell>
          <cell r="U540">
            <v>1</v>
          </cell>
          <cell r="V540">
            <v>1</v>
          </cell>
          <cell r="AA540">
            <v>0.37</v>
          </cell>
          <cell r="AC540">
            <v>-1009.702</v>
          </cell>
          <cell r="AG540">
            <v>-4.8780000000000001</v>
          </cell>
          <cell r="AH540">
            <v>-1014.58</v>
          </cell>
          <cell r="AI540" t="str">
            <v>CNY</v>
          </cell>
          <cell r="AJ540" t="str">
            <v>LP</v>
          </cell>
          <cell r="AK540" t="str">
            <v>重庆延锋安道拓</v>
          </cell>
          <cell r="AL540" t="str">
            <v>EADHA</v>
          </cell>
          <cell r="BE540" t="str">
            <v>incl.above</v>
          </cell>
          <cell r="BF540" t="str">
            <v>incl.above</v>
          </cell>
        </row>
        <row r="541">
          <cell r="C541" t="str">
            <v>IT10</v>
          </cell>
          <cell r="E541" t="str">
            <v>SEAT</v>
          </cell>
          <cell r="G541" t="str">
            <v>B</v>
          </cell>
          <cell r="H541" t="str">
            <v>PMT2</v>
          </cell>
          <cell r="I541" t="str">
            <v>TH</v>
          </cell>
          <cell r="J541" t="str">
            <v>JD8B</v>
          </cell>
          <cell r="K541" t="str">
            <v>F600B28</v>
          </cell>
          <cell r="L541" t="str">
            <v>BBW</v>
          </cell>
          <cell r="M541" t="str">
            <v>JD8B-F600B28-BBW</v>
          </cell>
          <cell r="P541" t="str">
            <v>熊啸(xxiong2)</v>
          </cell>
          <cell r="Q541" t="str">
            <v>张兴华(xzhan195)</v>
          </cell>
          <cell r="U541">
            <v>1</v>
          </cell>
          <cell r="V541">
            <v>1</v>
          </cell>
          <cell r="AA541">
            <v>0.37</v>
          </cell>
          <cell r="AC541">
            <v>-1314.2560000000001</v>
          </cell>
          <cell r="AD541">
            <v>0</v>
          </cell>
          <cell r="AE541">
            <v>0</v>
          </cell>
          <cell r="AF541">
            <v>0</v>
          </cell>
          <cell r="AG541">
            <v>-6.5039999999999996</v>
          </cell>
          <cell r="AH541">
            <v>-1320.76</v>
          </cell>
          <cell r="AI541" t="str">
            <v>CNY</v>
          </cell>
          <cell r="AJ541" t="str">
            <v>LP</v>
          </cell>
          <cell r="AK541" t="str">
            <v>重庆延锋安道拓</v>
          </cell>
          <cell r="AL541" t="str">
            <v>EADHA</v>
          </cell>
          <cell r="BE541" t="str">
            <v>incl.above</v>
          </cell>
          <cell r="BF541" t="str">
            <v>incl.above</v>
          </cell>
        </row>
        <row r="542">
          <cell r="C542" t="str">
            <v>B013-8</v>
          </cell>
          <cell r="E542" t="str">
            <v>Hot End Bracket</v>
          </cell>
          <cell r="G542" t="str">
            <v>D</v>
          </cell>
          <cell r="H542" t="str">
            <v>PMT4</v>
          </cell>
          <cell r="I542" t="str">
            <v>PF</v>
          </cell>
          <cell r="J542" t="str">
            <v>JX61</v>
          </cell>
          <cell r="K542" t="str">
            <v>5K291</v>
          </cell>
          <cell r="L542" t="str">
            <v>DE</v>
          </cell>
          <cell r="M542" t="str">
            <v>JX61-5K291-DE</v>
          </cell>
          <cell r="P542" t="str">
            <v>袁凤鸣</v>
          </cell>
          <cell r="Q542" t="str">
            <v>郭阳(yguo41)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1</v>
          </cell>
          <cell r="X542">
            <v>1</v>
          </cell>
          <cell r="Y542">
            <v>0</v>
          </cell>
          <cell r="Z542">
            <v>1</v>
          </cell>
          <cell r="AA542">
            <v>0.28000000000000003</v>
          </cell>
          <cell r="AC542">
            <v>-34.760000000000005</v>
          </cell>
          <cell r="AD542">
            <v>-0.97</v>
          </cell>
          <cell r="AE542">
            <v>-1.47</v>
          </cell>
          <cell r="AF542">
            <v>0</v>
          </cell>
          <cell r="AG542">
            <v>0</v>
          </cell>
          <cell r="AH542">
            <v>-37.200000000000003</v>
          </cell>
          <cell r="AI542" t="str">
            <v>CNY</v>
          </cell>
          <cell r="AJ542" t="str">
            <v>LP</v>
          </cell>
          <cell r="AK542" t="str">
            <v>上海帕捷</v>
          </cell>
          <cell r="AL542" t="str">
            <v>FKEEC</v>
          </cell>
          <cell r="BB542" t="str">
            <v>Tooling paied by C519</v>
          </cell>
          <cell r="BE542">
            <v>0</v>
          </cell>
          <cell r="BF542">
            <v>0</v>
          </cell>
          <cell r="BO542" t="str">
            <v>Stage5&amp;Stage6</v>
          </cell>
        </row>
        <row r="543">
          <cell r="C543" t="str">
            <v>PT07-3-1</v>
          </cell>
          <cell r="E543" t="str">
            <v xml:space="preserve">Air Cleaner </v>
          </cell>
          <cell r="G543" t="str">
            <v>D</v>
          </cell>
          <cell r="H543" t="str">
            <v>PMT4</v>
          </cell>
          <cell r="I543" t="str">
            <v>PF</v>
          </cell>
          <cell r="J543" t="str">
            <v>JD8G</v>
          </cell>
          <cell r="K543">
            <v>9600</v>
          </cell>
          <cell r="L543" t="str">
            <v>AB</v>
          </cell>
          <cell r="M543" t="str">
            <v>JD8G-9600-AB</v>
          </cell>
          <cell r="P543" t="str">
            <v>孙爱标(asun7)</v>
          </cell>
          <cell r="Q543" t="str">
            <v>梁伟华(wliang7)</v>
          </cell>
          <cell r="X543">
            <v>1</v>
          </cell>
          <cell r="Z543">
            <v>1</v>
          </cell>
          <cell r="AA543">
            <v>0.19</v>
          </cell>
          <cell r="AC543">
            <v>-49.72</v>
          </cell>
          <cell r="AD543">
            <v>-6.91</v>
          </cell>
          <cell r="AE543">
            <v>-5.0599999999999996</v>
          </cell>
          <cell r="AF543">
            <v>0</v>
          </cell>
          <cell r="AG543">
            <v>0</v>
          </cell>
          <cell r="AH543">
            <v>-61.69</v>
          </cell>
          <cell r="AI543" t="str">
            <v>CNY</v>
          </cell>
          <cell r="AJ543" t="str">
            <v>LP</v>
          </cell>
          <cell r="AK543" t="str">
            <v>成都万友滤机有限公司</v>
          </cell>
          <cell r="AL543" t="str">
            <v>CQS6A</v>
          </cell>
          <cell r="BB543">
            <v>-350000</v>
          </cell>
          <cell r="BC543">
            <v>-350000</v>
          </cell>
          <cell r="BE543">
            <v>0</v>
          </cell>
          <cell r="BF543">
            <v>0</v>
          </cell>
        </row>
        <row r="544">
          <cell r="C544" t="str">
            <v>PT07-3-1</v>
          </cell>
          <cell r="E544" t="str">
            <v xml:space="preserve">Air Cleaner </v>
          </cell>
          <cell r="G544" t="str">
            <v>D</v>
          </cell>
          <cell r="H544" t="str">
            <v>PMT4</v>
          </cell>
          <cell r="I544" t="str">
            <v>PF</v>
          </cell>
          <cell r="J544" t="str">
            <v>JD8G</v>
          </cell>
          <cell r="K544">
            <v>9600</v>
          </cell>
          <cell r="L544" t="str">
            <v>FB</v>
          </cell>
          <cell r="M544" t="str">
            <v>JD8G-9600-FB</v>
          </cell>
          <cell r="P544" t="str">
            <v>孙爱标(asun7)</v>
          </cell>
          <cell r="Q544" t="str">
            <v>梁伟华(wliang7)</v>
          </cell>
          <cell r="W544">
            <v>1</v>
          </cell>
          <cell r="AA544">
            <v>0.09</v>
          </cell>
          <cell r="AC544">
            <v>-49.82</v>
          </cell>
          <cell r="AD544">
            <v>-6.91</v>
          </cell>
          <cell r="AE544">
            <v>-5.0599999999999996</v>
          </cell>
          <cell r="AF544">
            <v>0</v>
          </cell>
          <cell r="AG544">
            <v>0</v>
          </cell>
          <cell r="AH544">
            <v>-61.790000000000006</v>
          </cell>
          <cell r="AI544" t="str">
            <v>CNY</v>
          </cell>
          <cell r="AJ544" t="str">
            <v>LP</v>
          </cell>
          <cell r="AK544" t="str">
            <v>成都万友滤机有限公司</v>
          </cell>
          <cell r="AL544" t="str">
            <v>CQS6A</v>
          </cell>
          <cell r="BB544">
            <v>-350000</v>
          </cell>
          <cell r="BC544">
            <v>-350000</v>
          </cell>
          <cell r="BE544">
            <v>0</v>
          </cell>
          <cell r="BF544">
            <v>0</v>
          </cell>
        </row>
        <row r="545">
          <cell r="C545" t="str">
            <v>PT07-3-1</v>
          </cell>
          <cell r="E545" t="str">
            <v xml:space="preserve">Air Cleaner </v>
          </cell>
          <cell r="G545" t="str">
            <v>D</v>
          </cell>
          <cell r="H545" t="str">
            <v>PMT4</v>
          </cell>
          <cell r="I545" t="str">
            <v>PF</v>
          </cell>
          <cell r="J545" t="str">
            <v>JD8B</v>
          </cell>
          <cell r="K545" t="str">
            <v>9C662</v>
          </cell>
          <cell r="L545" t="str">
            <v>AC</v>
          </cell>
          <cell r="M545" t="str">
            <v>JD8B-9C662-AC</v>
          </cell>
          <cell r="P545" t="str">
            <v>孙爱标(asun7)</v>
          </cell>
          <cell r="Q545" t="str">
            <v>梁伟华(wliang7)</v>
          </cell>
          <cell r="T545">
            <v>1</v>
          </cell>
          <cell r="V545">
            <v>1</v>
          </cell>
          <cell r="Y545">
            <v>1</v>
          </cell>
          <cell r="AA545">
            <v>0.44</v>
          </cell>
          <cell r="AC545">
            <v>-93.16</v>
          </cell>
          <cell r="AD545">
            <v>-9.11</v>
          </cell>
          <cell r="AE545">
            <v>-5.0599999999999996</v>
          </cell>
          <cell r="AF545">
            <v>0</v>
          </cell>
          <cell r="AG545">
            <v>0</v>
          </cell>
          <cell r="AH545">
            <v>-107.33</v>
          </cell>
          <cell r="AI545" t="str">
            <v>CNY</v>
          </cell>
          <cell r="AJ545" t="str">
            <v>LP</v>
          </cell>
          <cell r="AK545" t="str">
            <v>成都万友滤机有限公司</v>
          </cell>
          <cell r="AL545" t="str">
            <v>CQS6A</v>
          </cell>
          <cell r="BB545">
            <v>-830000</v>
          </cell>
          <cell r="BC545">
            <v>-830000</v>
          </cell>
          <cell r="BE545">
            <v>0</v>
          </cell>
          <cell r="BF545">
            <v>0</v>
          </cell>
        </row>
        <row r="546">
          <cell r="C546" t="str">
            <v>PT07-3-1</v>
          </cell>
          <cell r="E546" t="str">
            <v xml:space="preserve">Air Cleaner </v>
          </cell>
          <cell r="G546" t="str">
            <v>D</v>
          </cell>
          <cell r="H546" t="str">
            <v>PMT4</v>
          </cell>
          <cell r="I546" t="str">
            <v>PF</v>
          </cell>
          <cell r="J546" t="str">
            <v>JD8B</v>
          </cell>
          <cell r="K546" t="str">
            <v>9C662</v>
          </cell>
          <cell r="L546" t="str">
            <v>CC</v>
          </cell>
          <cell r="M546" t="str">
            <v>JD8B-9C662-CC</v>
          </cell>
          <cell r="P546" t="str">
            <v>孙爱标(asun7)</v>
          </cell>
          <cell r="Q546" t="str">
            <v>梁伟华(wliang7)</v>
          </cell>
          <cell r="S546">
            <v>1</v>
          </cell>
          <cell r="U546">
            <v>1</v>
          </cell>
          <cell r="AA546">
            <v>0.28000000000000003</v>
          </cell>
          <cell r="AC546">
            <v>-91.92</v>
          </cell>
          <cell r="AD546">
            <v>-9.11</v>
          </cell>
          <cell r="AE546">
            <v>-5.0599999999999996</v>
          </cell>
          <cell r="AF546">
            <v>0</v>
          </cell>
          <cell r="AG546">
            <v>0</v>
          </cell>
          <cell r="AH546">
            <v>-106.09</v>
          </cell>
          <cell r="AI546" t="str">
            <v>CNY</v>
          </cell>
          <cell r="AJ546" t="str">
            <v>LP</v>
          </cell>
          <cell r="AK546" t="str">
            <v>成都万友滤机有限公司</v>
          </cell>
          <cell r="AL546" t="str">
            <v>CQS6A</v>
          </cell>
          <cell r="BB546">
            <v>-451250</v>
          </cell>
          <cell r="BC546">
            <v>-451250</v>
          </cell>
          <cell r="BE546">
            <v>0</v>
          </cell>
          <cell r="BF546">
            <v>0</v>
          </cell>
        </row>
        <row r="547">
          <cell r="C547" t="str">
            <v>PT81</v>
          </cell>
          <cell r="E547" t="str">
            <v>PEM</v>
          </cell>
          <cell r="G547" t="str">
            <v>B</v>
          </cell>
          <cell r="H547" t="str">
            <v>PMT4</v>
          </cell>
          <cell r="I547" t="str">
            <v>PF</v>
          </cell>
          <cell r="J547" t="str">
            <v>FU5A</v>
          </cell>
          <cell r="K547" t="str">
            <v>9D370</v>
          </cell>
          <cell r="L547" t="str">
            <v>KA</v>
          </cell>
          <cell r="M547" t="str">
            <v>FU5A-9D370-KA</v>
          </cell>
          <cell r="P547" t="str">
            <v>刘鼎(dliu46)</v>
          </cell>
          <cell r="Q547" t="str">
            <v>曾宇(yzeng26)</v>
          </cell>
          <cell r="T547">
            <v>1</v>
          </cell>
          <cell r="W547">
            <v>1</v>
          </cell>
          <cell r="X547">
            <v>1</v>
          </cell>
          <cell r="Z547">
            <v>1</v>
          </cell>
          <cell r="AA547">
            <v>0.44</v>
          </cell>
          <cell r="AC547">
            <v>-48.6</v>
          </cell>
          <cell r="AD547">
            <v>-0.81</v>
          </cell>
          <cell r="AE547">
            <v>-0.57999999999999996</v>
          </cell>
          <cell r="AH547">
            <v>-49.99</v>
          </cell>
          <cell r="AI547" t="str">
            <v>CNY</v>
          </cell>
          <cell r="AJ547" t="str">
            <v>LP</v>
          </cell>
          <cell r="AK547" t="str">
            <v>广州欧姆龙</v>
          </cell>
          <cell r="AL547" t="str">
            <v>EP0VA</v>
          </cell>
          <cell r="BB547">
            <v>0</v>
          </cell>
          <cell r="BC547">
            <v>0</v>
          </cell>
          <cell r="BE547">
            <v>0</v>
          </cell>
          <cell r="BF547">
            <v>0</v>
          </cell>
        </row>
        <row r="548">
          <cell r="C548" t="str">
            <v>B041</v>
          </cell>
          <cell r="E548" t="str">
            <v>Stamping_outsource stamping &amp; welding assy-chunk 1</v>
          </cell>
          <cell r="G548" t="str">
            <v>D</v>
          </cell>
          <cell r="H548" t="str">
            <v>BIW</v>
          </cell>
          <cell r="I548" t="str">
            <v>PF</v>
          </cell>
          <cell r="J548" t="str">
            <v>AV61</v>
          </cell>
          <cell r="K548" t="str">
            <v>R10525</v>
          </cell>
          <cell r="L548" t="str">
            <v>AE</v>
          </cell>
          <cell r="M548" t="str">
            <v>AV61-R10525-AE</v>
          </cell>
          <cell r="P548" t="str">
            <v>魏晓伟(xwei22)</v>
          </cell>
          <cell r="Q548" t="str">
            <v>刘阳(yliu168)</v>
          </cell>
          <cell r="S548">
            <v>1</v>
          </cell>
          <cell r="U548">
            <v>1</v>
          </cell>
          <cell r="W548">
            <v>1</v>
          </cell>
          <cell r="AA548">
            <v>0.37</v>
          </cell>
          <cell r="AC548">
            <v>-70.45</v>
          </cell>
          <cell r="AD548">
            <v>-1.44</v>
          </cell>
          <cell r="AE548">
            <v>-0.96</v>
          </cell>
          <cell r="AF548">
            <v>0</v>
          </cell>
          <cell r="AG548">
            <v>0</v>
          </cell>
          <cell r="AH548">
            <v>-72.849999999999994</v>
          </cell>
          <cell r="AI548" t="str">
            <v>CNY</v>
          </cell>
          <cell r="AJ548" t="str">
            <v>LP</v>
          </cell>
          <cell r="AK548" t="str">
            <v>重庆平伟 </v>
          </cell>
          <cell r="AL548" t="str">
            <v>EHDAA</v>
          </cell>
          <cell r="BB548">
            <v>0</v>
          </cell>
          <cell r="BC548">
            <v>0</v>
          </cell>
          <cell r="BE548">
            <v>0</v>
          </cell>
          <cell r="BF548">
            <v>0</v>
          </cell>
        </row>
        <row r="549">
          <cell r="C549" t="str">
            <v>B041</v>
          </cell>
          <cell r="E549" t="str">
            <v>Stamping_outsource stamping &amp; welding assy-chunk 1</v>
          </cell>
          <cell r="G549" t="str">
            <v>D</v>
          </cell>
          <cell r="H549" t="str">
            <v>BIW</v>
          </cell>
          <cell r="I549" t="str">
            <v>PF</v>
          </cell>
          <cell r="J549" t="str">
            <v>JD8B</v>
          </cell>
          <cell r="K549" t="str">
            <v>R10525</v>
          </cell>
          <cell r="L549" t="str">
            <v>AA</v>
          </cell>
          <cell r="M549" t="str">
            <v>JD8B-R10525-AA</v>
          </cell>
          <cell r="P549" t="str">
            <v>魏晓伟(xwei22)</v>
          </cell>
          <cell r="Q549" t="str">
            <v>刘阳(yliu168)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0.63000000000000012</v>
          </cell>
          <cell r="AC549">
            <v>-70.17</v>
          </cell>
          <cell r="AD549">
            <v>-1.44</v>
          </cell>
          <cell r="AE549">
            <v>-0.96</v>
          </cell>
          <cell r="AF549">
            <v>0</v>
          </cell>
          <cell r="AG549">
            <v>0</v>
          </cell>
          <cell r="AH549">
            <v>-72.569999999999993</v>
          </cell>
          <cell r="AI549" t="str">
            <v>CNY</v>
          </cell>
          <cell r="AJ549" t="str">
            <v>LP</v>
          </cell>
          <cell r="AK549" t="str">
            <v>重庆平伟 </v>
          </cell>
          <cell r="AL549" t="str">
            <v>EHDAA</v>
          </cell>
          <cell r="BB549">
            <v>0</v>
          </cell>
          <cell r="BC549">
            <v>0</v>
          </cell>
          <cell r="BE549">
            <v>0</v>
          </cell>
          <cell r="BF549">
            <v>0</v>
          </cell>
        </row>
        <row r="550">
          <cell r="C550" t="str">
            <v>B010</v>
          </cell>
          <cell r="E550" t="str">
            <v>Cross Car Beam</v>
          </cell>
          <cell r="G550" t="str">
            <v>D</v>
          </cell>
          <cell r="H550" t="str">
            <v>PMT2</v>
          </cell>
          <cell r="I550" t="str">
            <v>PF</v>
          </cell>
          <cell r="J550" t="str">
            <v>JD8B</v>
          </cell>
          <cell r="K550" t="str">
            <v>F04545</v>
          </cell>
          <cell r="L550" t="str">
            <v>AA</v>
          </cell>
          <cell r="M550" t="str">
            <v>JD8B-F04545-AA</v>
          </cell>
          <cell r="P550" t="str">
            <v>陈宇游(ychen324)</v>
          </cell>
          <cell r="Q550" t="str">
            <v>李卫(wli78)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-250.14</v>
          </cell>
          <cell r="AD550">
            <v>-1.1200000000000001</v>
          </cell>
          <cell r="AE550">
            <v>-4.92</v>
          </cell>
          <cell r="AH550">
            <v>-256.18</v>
          </cell>
          <cell r="AI550" t="str">
            <v>CNY</v>
          </cell>
          <cell r="AJ550" t="str">
            <v>LP</v>
          </cell>
          <cell r="AK550" t="str">
            <v>重庆奇昊</v>
          </cell>
          <cell r="AL550" t="str">
            <v>GH0KA</v>
          </cell>
          <cell r="BB550">
            <v>0</v>
          </cell>
          <cell r="BC550">
            <v>0</v>
          </cell>
          <cell r="BE550">
            <v>0</v>
          </cell>
          <cell r="BF550">
            <v>0</v>
          </cell>
        </row>
        <row r="551">
          <cell r="C551" t="str">
            <v>IT91</v>
          </cell>
          <cell r="E551" t="str">
            <v>Instrument Panel, IP Finish Panels</v>
          </cell>
          <cell r="G551" t="str">
            <v>B</v>
          </cell>
          <cell r="H551" t="str">
            <v>PMT2</v>
          </cell>
          <cell r="I551" t="str">
            <v>TH</v>
          </cell>
          <cell r="J551" t="str">
            <v>ED8B</v>
          </cell>
          <cell r="K551" t="str">
            <v>F04293</v>
          </cell>
          <cell r="L551" t="str">
            <v>ADW</v>
          </cell>
          <cell r="M551" t="str">
            <v>ED8B-F04293-ADW</v>
          </cell>
          <cell r="P551" t="str">
            <v>朱文斌(wzhu26)</v>
          </cell>
          <cell r="Q551" t="str">
            <v>李卫(wli78)</v>
          </cell>
          <cell r="W551">
            <v>1</v>
          </cell>
          <cell r="X551">
            <v>1</v>
          </cell>
          <cell r="Z551">
            <v>1</v>
          </cell>
          <cell r="AA551">
            <v>0.28000000000000003</v>
          </cell>
          <cell r="AC551">
            <v>-11.34</v>
          </cell>
          <cell r="AD551">
            <v>0</v>
          </cell>
          <cell r="AE551">
            <v>-0.1</v>
          </cell>
          <cell r="AH551">
            <v>-11.44</v>
          </cell>
          <cell r="AI551" t="str">
            <v>CNY</v>
          </cell>
          <cell r="AJ551" t="str">
            <v>LP</v>
          </cell>
          <cell r="AK551" t="str">
            <v>重庆延锋</v>
          </cell>
          <cell r="AL551" t="str">
            <v>DBNJA</v>
          </cell>
          <cell r="BB551">
            <v>0</v>
          </cell>
          <cell r="BC551">
            <v>0</v>
          </cell>
          <cell r="BE551">
            <v>0</v>
          </cell>
          <cell r="BF551">
            <v>0</v>
          </cell>
        </row>
        <row r="552">
          <cell r="C552" t="str">
            <v>IT91</v>
          </cell>
          <cell r="E552" t="str">
            <v>Instrument Panel, IP Finish Panels</v>
          </cell>
          <cell r="G552" t="str">
            <v>B</v>
          </cell>
          <cell r="H552" t="str">
            <v>PMT2</v>
          </cell>
          <cell r="I552" t="str">
            <v>TH</v>
          </cell>
          <cell r="J552" t="str">
            <v>ED8B</v>
          </cell>
          <cell r="K552" t="str">
            <v>F04293</v>
          </cell>
          <cell r="L552" t="str">
            <v>BAW</v>
          </cell>
          <cell r="M552" t="str">
            <v>ED8B-F04293-BAW</v>
          </cell>
          <cell r="P552" t="str">
            <v>朱文斌(wzhu26)</v>
          </cell>
          <cell r="Q552" t="str">
            <v>李卫(wli78)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0</v>
          </cell>
          <cell r="X552">
            <v>0</v>
          </cell>
          <cell r="Y552">
            <v>1</v>
          </cell>
          <cell r="Z552">
            <v>0</v>
          </cell>
          <cell r="AA552">
            <v>0.72000000000000008</v>
          </cell>
          <cell r="AC552">
            <v>-20.28</v>
          </cell>
          <cell r="AD552">
            <v>0</v>
          </cell>
          <cell r="AE552">
            <v>-0.1</v>
          </cell>
          <cell r="AH552">
            <v>-20.380000000000003</v>
          </cell>
          <cell r="AI552" t="str">
            <v>CNY</v>
          </cell>
          <cell r="AJ552" t="str">
            <v>LP</v>
          </cell>
          <cell r="AK552" t="str">
            <v>重庆延锋</v>
          </cell>
          <cell r="AL552" t="str">
            <v>DBNJA</v>
          </cell>
          <cell r="BB552">
            <v>0</v>
          </cell>
          <cell r="BC552">
            <v>0</v>
          </cell>
          <cell r="BE552">
            <v>0</v>
          </cell>
          <cell r="BF552">
            <v>0</v>
          </cell>
        </row>
        <row r="553">
          <cell r="C553" t="str">
            <v>CH062</v>
          </cell>
          <cell r="E553" t="str">
            <v>BRAKE VACUUM BOOSTER</v>
          </cell>
          <cell r="G553" t="str">
            <v>B</v>
          </cell>
          <cell r="H553" t="str">
            <v>PMT3</v>
          </cell>
          <cell r="I553" t="str">
            <v>PF</v>
          </cell>
          <cell r="J553" t="str">
            <v>EV61</v>
          </cell>
          <cell r="K553" t="str">
            <v>2B195</v>
          </cell>
          <cell r="L553" t="str">
            <v>DA</v>
          </cell>
          <cell r="M553" t="str">
            <v>EV61-2B195-DA</v>
          </cell>
          <cell r="P553" t="str">
            <v>Deng,li</v>
          </cell>
          <cell r="Q553" t="str">
            <v>qin,linlin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1</v>
          </cell>
          <cell r="Y553">
            <v>0</v>
          </cell>
          <cell r="Z553">
            <v>1</v>
          </cell>
          <cell r="AA553">
            <v>0.19</v>
          </cell>
          <cell r="AC553">
            <v>-221.07</v>
          </cell>
          <cell r="AD553">
            <v>-5.4</v>
          </cell>
          <cell r="AE553">
            <v>0</v>
          </cell>
          <cell r="AF553">
            <v>0</v>
          </cell>
          <cell r="AG553">
            <v>0</v>
          </cell>
          <cell r="AH553">
            <v>-226.47</v>
          </cell>
          <cell r="AI553" t="str">
            <v>CNY</v>
          </cell>
          <cell r="AJ553" t="str">
            <v>LP</v>
          </cell>
          <cell r="AK553" t="str">
            <v>上海大陆汽车 </v>
          </cell>
          <cell r="AL553" t="str">
            <v>GKPQA </v>
          </cell>
          <cell r="BB553">
            <v>0</v>
          </cell>
          <cell r="BC553">
            <v>0</v>
          </cell>
          <cell r="BE553">
            <v>0</v>
          </cell>
          <cell r="BF553">
            <v>0</v>
          </cell>
        </row>
        <row r="554">
          <cell r="C554" t="str">
            <v>CH062</v>
          </cell>
          <cell r="E554" t="str">
            <v>BRAKE VACUUM BOOSTER</v>
          </cell>
          <cell r="G554" t="str">
            <v>B</v>
          </cell>
          <cell r="H554" t="str">
            <v>PMT3</v>
          </cell>
          <cell r="I554" t="str">
            <v>PF</v>
          </cell>
          <cell r="J554" t="str">
            <v>JD8C</v>
          </cell>
          <cell r="K554" t="str">
            <v>2B195</v>
          </cell>
          <cell r="L554" t="str">
            <v>BA</v>
          </cell>
          <cell r="M554" t="str">
            <v>JD8C-2B195-BA</v>
          </cell>
          <cell r="P554" t="str">
            <v>Deng,li</v>
          </cell>
          <cell r="Q554" t="str">
            <v>qin,linlin</v>
          </cell>
          <cell r="S554">
            <v>0</v>
          </cell>
          <cell r="T554">
            <v>1</v>
          </cell>
          <cell r="U554">
            <v>0</v>
          </cell>
          <cell r="V554">
            <v>1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0.39</v>
          </cell>
          <cell r="AC554">
            <v>-327.26</v>
          </cell>
          <cell r="AD554">
            <v>-5.4</v>
          </cell>
          <cell r="AE554">
            <v>0</v>
          </cell>
          <cell r="AF554">
            <v>0</v>
          </cell>
          <cell r="AG554">
            <v>0</v>
          </cell>
          <cell r="AH554">
            <v>-332.65999999999997</v>
          </cell>
          <cell r="AI554" t="str">
            <v>CNY</v>
          </cell>
          <cell r="AJ554" t="str">
            <v>LP</v>
          </cell>
          <cell r="AK554" t="str">
            <v>上海大陆汽车 </v>
          </cell>
          <cell r="AL554" t="str">
            <v>GKPQA </v>
          </cell>
          <cell r="BB554">
            <v>-580000</v>
          </cell>
          <cell r="BC554">
            <v>-580000</v>
          </cell>
          <cell r="BE554">
            <v>0</v>
          </cell>
          <cell r="BF554">
            <v>0</v>
          </cell>
        </row>
        <row r="555">
          <cell r="C555" t="str">
            <v>CH062</v>
          </cell>
          <cell r="E555" t="str">
            <v>BRAKE VACUUM BOOSTER</v>
          </cell>
          <cell r="G555" t="str">
            <v>B</v>
          </cell>
          <cell r="H555" t="str">
            <v>PMT3</v>
          </cell>
          <cell r="I555" t="str">
            <v>PF</v>
          </cell>
          <cell r="J555" t="str">
            <v>JD8C</v>
          </cell>
          <cell r="K555" t="str">
            <v>2B195</v>
          </cell>
          <cell r="L555" t="str">
            <v>AB</v>
          </cell>
          <cell r="M555" t="str">
            <v>JD8C-2B195-AB</v>
          </cell>
          <cell r="P555" t="str">
            <v>Deng,li</v>
          </cell>
          <cell r="Q555" t="str">
            <v>qin,linlin</v>
          </cell>
          <cell r="S555">
            <v>1</v>
          </cell>
          <cell r="T555">
            <v>0</v>
          </cell>
          <cell r="U555">
            <v>1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0.28000000000000003</v>
          </cell>
          <cell r="AC555">
            <v>-288.60000000000002</v>
          </cell>
          <cell r="AD555">
            <v>-5.4</v>
          </cell>
          <cell r="AE555">
            <v>0</v>
          </cell>
          <cell r="AF555">
            <v>0</v>
          </cell>
          <cell r="AG555">
            <v>0</v>
          </cell>
          <cell r="AH555">
            <v>-294</v>
          </cell>
          <cell r="AI555" t="str">
            <v>CNY</v>
          </cell>
          <cell r="AJ555" t="str">
            <v>LP</v>
          </cell>
          <cell r="AK555" t="str">
            <v>上海大陆汽车 </v>
          </cell>
          <cell r="AL555" t="str">
            <v>GKPQA </v>
          </cell>
          <cell r="BB555">
            <v>0</v>
          </cell>
          <cell r="BC555">
            <v>0</v>
          </cell>
          <cell r="BE555">
            <v>0</v>
          </cell>
          <cell r="BF555">
            <v>0</v>
          </cell>
        </row>
        <row r="556">
          <cell r="C556" t="str">
            <v>CH062</v>
          </cell>
          <cell r="E556" t="str">
            <v>BRAKE VACUUM BOOSTER</v>
          </cell>
          <cell r="G556" t="str">
            <v>B</v>
          </cell>
          <cell r="H556" t="str">
            <v>PMT3</v>
          </cell>
          <cell r="I556" t="str">
            <v>PF</v>
          </cell>
          <cell r="J556" t="str">
            <v>EV61</v>
          </cell>
          <cell r="K556" t="str">
            <v>2B195</v>
          </cell>
          <cell r="L556" t="str">
            <v>CA</v>
          </cell>
          <cell r="M556" t="str">
            <v>EV61-2B195-CA</v>
          </cell>
          <cell r="P556" t="str">
            <v>Deng,li</v>
          </cell>
          <cell r="Q556" t="str">
            <v>qin,linlin</v>
          </cell>
          <cell r="S556">
            <v>0</v>
          </cell>
          <cell r="T556">
            <v>1</v>
          </cell>
          <cell r="U556">
            <v>0</v>
          </cell>
          <cell r="V556">
            <v>1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0.39</v>
          </cell>
          <cell r="AC556">
            <v>-221.07</v>
          </cell>
          <cell r="AD556">
            <v>-5.4</v>
          </cell>
          <cell r="AE556">
            <v>0</v>
          </cell>
          <cell r="AF556">
            <v>0</v>
          </cell>
          <cell r="AG556">
            <v>0</v>
          </cell>
          <cell r="AH556">
            <v>-226.47</v>
          </cell>
          <cell r="AI556" t="str">
            <v>CNY</v>
          </cell>
          <cell r="AJ556" t="str">
            <v>LP</v>
          </cell>
          <cell r="AK556" t="str">
            <v>上海大陆汽车 </v>
          </cell>
          <cell r="AL556" t="str">
            <v>GKPQA </v>
          </cell>
          <cell r="BB556">
            <v>0</v>
          </cell>
          <cell r="BC556">
            <v>0</v>
          </cell>
          <cell r="BE556">
            <v>0</v>
          </cell>
          <cell r="BF556">
            <v>0</v>
          </cell>
        </row>
        <row r="557">
          <cell r="C557" t="str">
            <v>B043</v>
          </cell>
          <cell r="E557" t="str">
            <v>Stamping_outsource stamping &amp; welding assy-chunk 3</v>
          </cell>
          <cell r="G557" t="str">
            <v>D</v>
          </cell>
          <cell r="H557" t="str">
            <v>PMT1</v>
          </cell>
          <cell r="I557" t="str">
            <v>PF</v>
          </cell>
          <cell r="J557" t="str">
            <v>ED8B</v>
          </cell>
          <cell r="K557" t="str">
            <v>F10692</v>
          </cell>
          <cell r="L557" t="str">
            <v>AD</v>
          </cell>
          <cell r="M557" t="str">
            <v>ED8B-F10692-AD</v>
          </cell>
          <cell r="P557" t="str">
            <v>陈刚(gchen38)</v>
          </cell>
          <cell r="Q557" t="str">
            <v>陈婕(jchen153)</v>
          </cell>
          <cell r="S557">
            <v>1</v>
          </cell>
          <cell r="T557">
            <v>1</v>
          </cell>
          <cell r="U557">
            <v>1</v>
          </cell>
          <cell r="V557">
            <v>1</v>
          </cell>
          <cell r="W557">
            <v>1</v>
          </cell>
          <cell r="X557">
            <v>1</v>
          </cell>
          <cell r="Y557">
            <v>1</v>
          </cell>
          <cell r="Z557">
            <v>1</v>
          </cell>
          <cell r="AA557">
            <v>1</v>
          </cell>
          <cell r="AC557">
            <v>-57.1</v>
          </cell>
          <cell r="AD557">
            <v>-1.75</v>
          </cell>
          <cell r="AE557">
            <v>-2.68</v>
          </cell>
          <cell r="AH557">
            <v>-61.53</v>
          </cell>
          <cell r="AI557" t="str">
            <v>CNY</v>
          </cell>
          <cell r="AJ557" t="str">
            <v>LP</v>
          </cell>
          <cell r="AK557" t="str">
            <v>重庆百能达普什</v>
          </cell>
          <cell r="AL557" t="str">
            <v>GK18A</v>
          </cell>
          <cell r="BB557">
            <v>0</v>
          </cell>
          <cell r="BC557">
            <v>0</v>
          </cell>
          <cell r="BE557">
            <v>0</v>
          </cell>
          <cell r="BF557">
            <v>0</v>
          </cell>
        </row>
        <row r="558">
          <cell r="C558" t="str">
            <v>PT01-2</v>
          </cell>
          <cell r="E558" t="str">
            <v>Support- Engine Cover</v>
          </cell>
          <cell r="G558" t="str">
            <v>J</v>
          </cell>
          <cell r="H558" t="str">
            <v>PMT4</v>
          </cell>
          <cell r="I558" t="str">
            <v>PF</v>
          </cell>
          <cell r="J558" t="str">
            <v>JX6G</v>
          </cell>
          <cell r="K558" t="str">
            <v>6A957</v>
          </cell>
          <cell r="L558" t="str">
            <v>CA</v>
          </cell>
          <cell r="M558" t="str">
            <v>JX6G-6A957-CA</v>
          </cell>
          <cell r="P558" t="str">
            <v>刘鼎(dliu46)</v>
          </cell>
          <cell r="Q558" t="str">
            <v>佟刚(gtong1)</v>
          </cell>
          <cell r="S558">
            <v>1</v>
          </cell>
          <cell r="T558">
            <v>1</v>
          </cell>
          <cell r="U558">
            <v>1</v>
          </cell>
          <cell r="V558">
            <v>1</v>
          </cell>
          <cell r="Y558">
            <v>1</v>
          </cell>
          <cell r="AA558">
            <v>0.72000000000000008</v>
          </cell>
          <cell r="AC558">
            <v>-2.94</v>
          </cell>
          <cell r="AD558">
            <v>-0.01</v>
          </cell>
          <cell r="AH558">
            <v>-2.9499999999999997</v>
          </cell>
          <cell r="AI558" t="str">
            <v>CNY</v>
          </cell>
          <cell r="AJ558" t="str">
            <v>LP</v>
          </cell>
          <cell r="AK558" t="str">
            <v>博尔豪夫（无锡）紧固件有限公司</v>
          </cell>
          <cell r="AL558" t="str">
            <v>GNF0A </v>
          </cell>
          <cell r="BB558">
            <v>0</v>
          </cell>
          <cell r="BC558">
            <v>0</v>
          </cell>
          <cell r="BE558">
            <v>0</v>
          </cell>
          <cell r="BF558">
            <v>0</v>
          </cell>
        </row>
        <row r="559">
          <cell r="C559" t="str">
            <v>PTO142</v>
          </cell>
          <cell r="E559" t="str">
            <v>Engine Cover</v>
          </cell>
          <cell r="G559" t="str">
            <v>B</v>
          </cell>
          <cell r="H559" t="str">
            <v>PMT4</v>
          </cell>
          <cell r="I559" t="str">
            <v>TH</v>
          </cell>
          <cell r="J559" t="str">
            <v>JD8G</v>
          </cell>
          <cell r="K559" t="str">
            <v>6A949</v>
          </cell>
          <cell r="L559" t="str">
            <v>AA</v>
          </cell>
          <cell r="M559" t="str">
            <v>JD8G-6A949-AA</v>
          </cell>
          <cell r="P559" t="str">
            <v>陈兴(xchen68)</v>
          </cell>
          <cell r="Q559" t="str">
            <v>佟刚(gtong1)</v>
          </cell>
          <cell r="W559">
            <v>1</v>
          </cell>
          <cell r="X559">
            <v>1</v>
          </cell>
          <cell r="Z559">
            <v>1</v>
          </cell>
          <cell r="AA559">
            <v>0.28000000000000003</v>
          </cell>
          <cell r="AC559">
            <v>-27.939999999999998</v>
          </cell>
          <cell r="AD559">
            <v>-3.1</v>
          </cell>
          <cell r="AE559">
            <v>-0.45</v>
          </cell>
          <cell r="AF559">
            <v>0</v>
          </cell>
          <cell r="AG559">
            <v>0</v>
          </cell>
          <cell r="AH559">
            <v>-31.49</v>
          </cell>
          <cell r="AI559" t="str">
            <v>CNY</v>
          </cell>
          <cell r="AJ559" t="str">
            <v>LP</v>
          </cell>
          <cell r="AK559" t="str">
            <v>鲍尔汽车部件（无锡）有限公司</v>
          </cell>
          <cell r="AL559" t="str">
            <v>GZHHA</v>
          </cell>
          <cell r="BB559">
            <v>-538464</v>
          </cell>
          <cell r="BC559">
            <v>0</v>
          </cell>
          <cell r="BE559">
            <v>0</v>
          </cell>
          <cell r="BF559">
            <v>0</v>
          </cell>
        </row>
        <row r="560">
          <cell r="C560" t="str">
            <v>IT9</v>
          </cell>
          <cell r="E560" t="str">
            <v>Inside Release Handle</v>
          </cell>
          <cell r="G560" t="str">
            <v>B</v>
          </cell>
          <cell r="H560" t="str">
            <v>PMT1</v>
          </cell>
          <cell r="I560" t="str">
            <v>TH</v>
          </cell>
          <cell r="J560" t="str">
            <v>JD8B</v>
          </cell>
          <cell r="K560" t="str">
            <v>F22600</v>
          </cell>
          <cell r="L560" t="str">
            <v>AAW</v>
          </cell>
          <cell r="M560" t="str">
            <v>JD8B-F22600-AAW</v>
          </cell>
          <cell r="P560" t="str">
            <v>周文琦</v>
          </cell>
          <cell r="Q560" t="str">
            <v>金正斌</v>
          </cell>
          <cell r="Y560">
            <v>2</v>
          </cell>
          <cell r="Z560">
            <v>2</v>
          </cell>
          <cell r="AA560">
            <v>0.2</v>
          </cell>
          <cell r="AC560">
            <v>-17.388184048531571</v>
          </cell>
          <cell r="AD560">
            <v>-0.70638888888888884</v>
          </cell>
          <cell r="AE560">
            <v>-7.3758975729756551E-2</v>
          </cell>
          <cell r="AF560">
            <v>0</v>
          </cell>
          <cell r="AG560">
            <v>0</v>
          </cell>
          <cell r="AH560">
            <v>-18.168331913150215</v>
          </cell>
          <cell r="AI560" t="str">
            <v>CNY</v>
          </cell>
          <cell r="AJ560" t="str">
            <v>LP</v>
          </cell>
          <cell r="BB560">
            <v>0</v>
          </cell>
          <cell r="BC560">
            <v>0</v>
          </cell>
          <cell r="BE560">
            <v>0</v>
          </cell>
          <cell r="BF560">
            <v>0</v>
          </cell>
        </row>
        <row r="561">
          <cell r="C561" t="str">
            <v>IT9</v>
          </cell>
          <cell r="E561" t="str">
            <v>Inside Release Handle</v>
          </cell>
          <cell r="G561" t="str">
            <v>B</v>
          </cell>
          <cell r="H561" t="str">
            <v>PMT1</v>
          </cell>
          <cell r="I561" t="str">
            <v>TH</v>
          </cell>
          <cell r="J561" t="str">
            <v>JD8B</v>
          </cell>
          <cell r="K561" t="str">
            <v>F22601</v>
          </cell>
          <cell r="L561" t="str">
            <v>ABW</v>
          </cell>
          <cell r="M561" t="str">
            <v>JD8B-F22601-ABW</v>
          </cell>
          <cell r="P561" t="str">
            <v>周文琦</v>
          </cell>
          <cell r="Q561" t="str">
            <v>金正斌</v>
          </cell>
          <cell r="Y561">
            <v>1</v>
          </cell>
          <cell r="Z561">
            <v>1</v>
          </cell>
          <cell r="AA561">
            <v>0.1</v>
          </cell>
          <cell r="AC561">
            <v>-17.935254048531572</v>
          </cell>
          <cell r="AD561">
            <v>-0.70638888888888884</v>
          </cell>
          <cell r="AE561">
            <v>-7.3758975729756551E-2</v>
          </cell>
          <cell r="AF561">
            <v>0</v>
          </cell>
          <cell r="AG561">
            <v>0</v>
          </cell>
          <cell r="AH561">
            <v>-18.715401913150217</v>
          </cell>
          <cell r="AI561" t="str">
            <v>CNY</v>
          </cell>
          <cell r="AJ561" t="str">
            <v>LP</v>
          </cell>
          <cell r="AK561" t="str">
            <v>上海依工</v>
          </cell>
          <cell r="AL561" t="str">
            <v>DB6JB</v>
          </cell>
          <cell r="BB561">
            <v>0</v>
          </cell>
          <cell r="BC561">
            <v>0</v>
          </cell>
          <cell r="BE561">
            <v>0</v>
          </cell>
        </row>
        <row r="562">
          <cell r="C562" t="str">
            <v>IT9</v>
          </cell>
          <cell r="E562" t="str">
            <v>Inside Release Handle</v>
          </cell>
          <cell r="G562" t="str">
            <v>B</v>
          </cell>
          <cell r="H562" t="str">
            <v>PMT1</v>
          </cell>
          <cell r="I562" t="str">
            <v>TH</v>
          </cell>
          <cell r="J562" t="str">
            <v>JD8B</v>
          </cell>
          <cell r="K562" t="str">
            <v>F22601</v>
          </cell>
          <cell r="L562" t="str">
            <v>BAW</v>
          </cell>
          <cell r="M562" t="str">
            <v>JD8B-F22601-BAW</v>
          </cell>
          <cell r="P562" t="str">
            <v>周文琦</v>
          </cell>
          <cell r="Q562" t="str">
            <v>金正斌</v>
          </cell>
          <cell r="S562">
            <v>1</v>
          </cell>
          <cell r="T562">
            <v>1</v>
          </cell>
          <cell r="U562">
            <v>1</v>
          </cell>
          <cell r="V562">
            <v>1</v>
          </cell>
          <cell r="W562">
            <v>1</v>
          </cell>
          <cell r="X562">
            <v>1</v>
          </cell>
          <cell r="AA562">
            <v>0.9</v>
          </cell>
          <cell r="AC562">
            <v>-17.38</v>
          </cell>
          <cell r="AD562">
            <v>-0.70638888888888884</v>
          </cell>
          <cell r="AE562">
            <v>-7.3758975729756551E-2</v>
          </cell>
          <cell r="AF562">
            <v>0</v>
          </cell>
          <cell r="AG562">
            <v>0</v>
          </cell>
          <cell r="AH562">
            <v>-18.160147864618644</v>
          </cell>
          <cell r="AI562" t="str">
            <v>CNY</v>
          </cell>
          <cell r="AJ562" t="str">
            <v>LP</v>
          </cell>
          <cell r="AK562" t="str">
            <v>上海依工</v>
          </cell>
          <cell r="AL562" t="str">
            <v>DB6JB</v>
          </cell>
          <cell r="BB562">
            <v>-3314245</v>
          </cell>
          <cell r="BC562">
            <v>-3314245</v>
          </cell>
          <cell r="BE562">
            <v>0</v>
          </cell>
          <cell r="BF562">
            <v>0</v>
          </cell>
          <cell r="BI562">
            <v>-50000</v>
          </cell>
          <cell r="BJ562">
            <v>714285.7142857142</v>
          </cell>
        </row>
        <row r="563">
          <cell r="C563" t="str">
            <v>IT9</v>
          </cell>
          <cell r="E563" t="str">
            <v>Inside Release Handle</v>
          </cell>
          <cell r="G563" t="str">
            <v>B</v>
          </cell>
          <cell r="H563" t="str">
            <v>PMT1</v>
          </cell>
          <cell r="I563" t="str">
            <v>TH</v>
          </cell>
          <cell r="J563" t="str">
            <v>JD8B</v>
          </cell>
          <cell r="K563" t="str">
            <v>F226A59</v>
          </cell>
          <cell r="L563" t="str">
            <v>AA</v>
          </cell>
          <cell r="M563" t="str">
            <v>JD8B-F226A59-AA</v>
          </cell>
          <cell r="P563" t="str">
            <v>周文琦</v>
          </cell>
          <cell r="Q563" t="str">
            <v>金正斌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C563">
            <v>-0.9</v>
          </cell>
          <cell r="AD563">
            <v>-0.03</v>
          </cell>
          <cell r="AE563">
            <v>0</v>
          </cell>
          <cell r="AF563">
            <v>0</v>
          </cell>
          <cell r="AG563">
            <v>0</v>
          </cell>
          <cell r="AH563">
            <v>-0.93</v>
          </cell>
          <cell r="AI563" t="str">
            <v>CNY</v>
          </cell>
          <cell r="AJ563" t="str">
            <v>LP</v>
          </cell>
          <cell r="AK563" t="str">
            <v>上海依工</v>
          </cell>
          <cell r="AL563" t="str">
            <v>DB6JB</v>
          </cell>
          <cell r="BB563">
            <v>-259325</v>
          </cell>
          <cell r="BC563">
            <v>-259325</v>
          </cell>
          <cell r="BE563">
            <v>0</v>
          </cell>
        </row>
        <row r="564">
          <cell r="C564" t="str">
            <v>IT9</v>
          </cell>
          <cell r="E564" t="str">
            <v>Inside Release Handle</v>
          </cell>
          <cell r="G564" t="str">
            <v>B</v>
          </cell>
          <cell r="H564" t="str">
            <v>PMT1</v>
          </cell>
          <cell r="I564" t="str">
            <v>TH</v>
          </cell>
          <cell r="J564" t="str">
            <v>JD8B</v>
          </cell>
          <cell r="K564" t="str">
            <v>F22B35</v>
          </cell>
          <cell r="L564" t="str">
            <v>AAW</v>
          </cell>
          <cell r="M564" t="str">
            <v>JD8B-F22B35-AAW</v>
          </cell>
          <cell r="P564" t="str">
            <v>周文琦</v>
          </cell>
          <cell r="Q564" t="str">
            <v>金正斌</v>
          </cell>
          <cell r="Y564">
            <v>1</v>
          </cell>
          <cell r="Z564">
            <v>1</v>
          </cell>
          <cell r="AA564">
            <v>0.1</v>
          </cell>
          <cell r="AC564">
            <v>-17.388184048531571</v>
          </cell>
          <cell r="AD564">
            <v>-0.70638888888888884</v>
          </cell>
          <cell r="AE564">
            <v>-7.3758975729756551E-2</v>
          </cell>
          <cell r="AF564">
            <v>0</v>
          </cell>
          <cell r="AG564">
            <v>0</v>
          </cell>
          <cell r="AH564">
            <v>-18.168331913150215</v>
          </cell>
          <cell r="AI564" t="str">
            <v>CNY</v>
          </cell>
          <cell r="AJ564" t="str">
            <v>LP</v>
          </cell>
          <cell r="AK564" t="str">
            <v>上海依工</v>
          </cell>
          <cell r="AL564" t="str">
            <v>DB6JB</v>
          </cell>
          <cell r="BB564">
            <v>-265430</v>
          </cell>
          <cell r="BC564">
            <v>-265430</v>
          </cell>
          <cell r="BE564">
            <v>0</v>
          </cell>
        </row>
        <row r="565">
          <cell r="C565" t="str">
            <v>IT01-1</v>
          </cell>
          <cell r="E565" t="str">
            <v>Steering Wheel</v>
          </cell>
          <cell r="G565" t="str">
            <v>B</v>
          </cell>
          <cell r="H565" t="str">
            <v>PMT2</v>
          </cell>
          <cell r="I565" t="str">
            <v>TH</v>
          </cell>
          <cell r="J565" t="str">
            <v>JD8B</v>
          </cell>
          <cell r="K565">
            <v>3600</v>
          </cell>
          <cell r="L565" t="str">
            <v>ADW</v>
          </cell>
          <cell r="M565" t="str">
            <v>JD8B-3600-ADW</v>
          </cell>
          <cell r="P565" t="str">
            <v>郭琳玲(lguo8)</v>
          </cell>
          <cell r="Q565" t="str">
            <v>张兴华(xzhan195)</v>
          </cell>
          <cell r="S565">
            <v>1</v>
          </cell>
          <cell r="T565">
            <v>1</v>
          </cell>
          <cell r="AA565">
            <v>0.30000000000000004</v>
          </cell>
          <cell r="AC565">
            <v>-94.29</v>
          </cell>
          <cell r="AD565">
            <v>-1.88</v>
          </cell>
          <cell r="AG565">
            <v>-5.42</v>
          </cell>
          <cell r="AH565">
            <v>-101.59</v>
          </cell>
          <cell r="AI565" t="str">
            <v>CNY</v>
          </cell>
          <cell r="AJ565" t="str">
            <v>LP</v>
          </cell>
          <cell r="AK565" t="str">
            <v>奥托立夫(中国)方向盘</v>
          </cell>
          <cell r="AL565" t="str">
            <v>FBN7A</v>
          </cell>
          <cell r="BB565">
            <v>-432200</v>
          </cell>
          <cell r="BC565">
            <v>-432200</v>
          </cell>
          <cell r="BE565">
            <v>-4613877</v>
          </cell>
          <cell r="BF565">
            <v>851268.8191881919</v>
          </cell>
        </row>
        <row r="566">
          <cell r="C566" t="str">
            <v>IT01-1</v>
          </cell>
          <cell r="E566" t="str">
            <v>Steering Wheel</v>
          </cell>
          <cell r="G566" t="str">
            <v>B</v>
          </cell>
          <cell r="H566" t="str">
            <v>PMT2</v>
          </cell>
          <cell r="I566" t="str">
            <v>TH</v>
          </cell>
          <cell r="J566" t="str">
            <v>JD8B</v>
          </cell>
          <cell r="K566">
            <v>3600</v>
          </cell>
          <cell r="L566" t="str">
            <v>BDW</v>
          </cell>
          <cell r="M566" t="str">
            <v>JD8B-3600-BDW</v>
          </cell>
          <cell r="P566" t="str">
            <v>郭琳玲(lguo8)</v>
          </cell>
          <cell r="Q566" t="str">
            <v>张兴华(xzhan195)</v>
          </cell>
          <cell r="U566">
            <v>1</v>
          </cell>
          <cell r="V566">
            <v>1</v>
          </cell>
          <cell r="AA566">
            <v>0.37</v>
          </cell>
          <cell r="AC566">
            <v>-229.84370000000001</v>
          </cell>
          <cell r="AD566">
            <v>-2.31</v>
          </cell>
          <cell r="AG566">
            <v>-5.42</v>
          </cell>
          <cell r="AH566">
            <v>-237.5737</v>
          </cell>
          <cell r="AI566" t="str">
            <v>CNY</v>
          </cell>
          <cell r="AJ566" t="str">
            <v>LP</v>
          </cell>
          <cell r="AK566" t="str">
            <v>奥托立夫(中国)方向盘</v>
          </cell>
          <cell r="AL566" t="str">
            <v>FBN7A</v>
          </cell>
          <cell r="BB566">
            <v>-909200</v>
          </cell>
          <cell r="BC566">
            <v>-909200</v>
          </cell>
          <cell r="BE566">
            <v>-4613877</v>
          </cell>
          <cell r="BF566">
            <v>851268.8191881919</v>
          </cell>
        </row>
        <row r="567">
          <cell r="C567" t="str">
            <v>IT01-1</v>
          </cell>
          <cell r="E567" t="str">
            <v>Steering Wheel</v>
          </cell>
          <cell r="G567" t="str">
            <v>B</v>
          </cell>
          <cell r="H567" t="str">
            <v>PMT2</v>
          </cell>
          <cell r="I567" t="str">
            <v>TH</v>
          </cell>
          <cell r="J567" t="str">
            <v>JD8B</v>
          </cell>
          <cell r="K567">
            <v>3600</v>
          </cell>
          <cell r="L567" t="str">
            <v>CDW</v>
          </cell>
          <cell r="M567" t="str">
            <v>JD8B-3600-CDW</v>
          </cell>
          <cell r="P567" t="str">
            <v>郭琳玲(lguo8)</v>
          </cell>
          <cell r="Q567" t="str">
            <v>张兴华(xzhan195)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0.33</v>
          </cell>
          <cell r="AC567">
            <v>-257.77</v>
          </cell>
          <cell r="AD567">
            <v>-2.31</v>
          </cell>
          <cell r="AG567">
            <v>-5.42</v>
          </cell>
          <cell r="AH567">
            <v>-265.5</v>
          </cell>
          <cell r="AI567" t="str">
            <v>CNY</v>
          </cell>
          <cell r="AJ567" t="str">
            <v>LP</v>
          </cell>
          <cell r="AK567" t="str">
            <v>奥托立夫(中国)方向盘</v>
          </cell>
          <cell r="AL567" t="str">
            <v>FBN7A</v>
          </cell>
          <cell r="BB567">
            <v>-474200</v>
          </cell>
          <cell r="BC567">
            <v>-474200</v>
          </cell>
          <cell r="BE567">
            <v>-4613877</v>
          </cell>
          <cell r="BF567">
            <v>851268.8191881919</v>
          </cell>
        </row>
        <row r="568">
          <cell r="C568" t="str">
            <v>IT01-1</v>
          </cell>
          <cell r="E568" t="str">
            <v>Steering Wheel</v>
          </cell>
          <cell r="G568" t="str">
            <v>B</v>
          </cell>
          <cell r="H568" t="str">
            <v>PMT2</v>
          </cell>
          <cell r="I568" t="str">
            <v>TH</v>
          </cell>
          <cell r="J568" t="str">
            <v>JD8B</v>
          </cell>
          <cell r="K568" t="str">
            <v>F042B85</v>
          </cell>
          <cell r="L568" t="str">
            <v>AB</v>
          </cell>
          <cell r="M568" t="str">
            <v>JD8B-F042B85-AB</v>
          </cell>
          <cell r="P568" t="str">
            <v>郭琳玲(lguo8)</v>
          </cell>
          <cell r="Q568" t="str">
            <v>张兴华(xzhan195)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C568">
            <v>-143.51</v>
          </cell>
          <cell r="AD568">
            <v>-2.31</v>
          </cell>
          <cell r="AF568">
            <v>-0.75</v>
          </cell>
          <cell r="AG568">
            <v>-3.3</v>
          </cell>
          <cell r="AH568">
            <v>-149.87</v>
          </cell>
          <cell r="AI568" t="str">
            <v>CNY</v>
          </cell>
          <cell r="AJ568" t="str">
            <v>LP</v>
          </cell>
          <cell r="AK568" t="str">
            <v>奥托立夫(中国)方向盘</v>
          </cell>
          <cell r="AL568" t="str">
            <v>FBN7A</v>
          </cell>
          <cell r="BB568">
            <v>-460000</v>
          </cell>
          <cell r="BC568">
            <v>-460000</v>
          </cell>
          <cell r="BE568">
            <v>-1841710</v>
          </cell>
          <cell r="BF568">
            <v>558000</v>
          </cell>
          <cell r="BI568">
            <v>-1196529</v>
          </cell>
          <cell r="BJ568">
            <v>1596578</v>
          </cell>
        </row>
        <row r="569">
          <cell r="C569" t="str">
            <v>CH027-11</v>
          </cell>
          <cell r="E569" t="str">
            <v>Spring Pad-Front lower</v>
          </cell>
          <cell r="G569" t="str">
            <v>J</v>
          </cell>
          <cell r="H569" t="str">
            <v>PMT3</v>
          </cell>
          <cell r="I569" t="str">
            <v>PF</v>
          </cell>
          <cell r="J569" t="str">
            <v>CV61</v>
          </cell>
          <cell r="K569">
            <v>5414</v>
          </cell>
          <cell r="L569" t="str">
            <v>ACD</v>
          </cell>
          <cell r="M569" t="str">
            <v>CV61-5414-ACD</v>
          </cell>
          <cell r="P569" t="str">
            <v>Jiang,liping</v>
          </cell>
          <cell r="Q569" t="str">
            <v>Chen yi</v>
          </cell>
          <cell r="S569">
            <v>2</v>
          </cell>
          <cell r="T569">
            <v>2</v>
          </cell>
          <cell r="U569">
            <v>2</v>
          </cell>
          <cell r="V569">
            <v>2</v>
          </cell>
          <cell r="W569">
            <v>2</v>
          </cell>
          <cell r="X569">
            <v>2</v>
          </cell>
          <cell r="Y569">
            <v>2</v>
          </cell>
          <cell r="Z569">
            <v>2</v>
          </cell>
          <cell r="AA569">
            <v>2</v>
          </cell>
          <cell r="AC569">
            <v>-2.29</v>
          </cell>
          <cell r="AD569">
            <v>-0.12</v>
          </cell>
          <cell r="AE569">
            <v>-0.06</v>
          </cell>
          <cell r="AF569">
            <v>0</v>
          </cell>
          <cell r="AG569">
            <v>0</v>
          </cell>
          <cell r="AH569">
            <v>-2.4700000000000002</v>
          </cell>
          <cell r="AI569" t="str">
            <v>CNY</v>
          </cell>
          <cell r="AJ569" t="str">
            <v>LP</v>
          </cell>
          <cell r="AK569" t="str">
            <v>浙江骆氏 </v>
          </cell>
          <cell r="AL569" t="str">
            <v>FK3LA </v>
          </cell>
          <cell r="BB569">
            <v>-88000</v>
          </cell>
          <cell r="BC569">
            <v>-88000</v>
          </cell>
          <cell r="BE569">
            <v>0</v>
          </cell>
          <cell r="BF569">
            <v>0</v>
          </cell>
          <cell r="BI569">
            <v>0</v>
          </cell>
          <cell r="BJ569">
            <v>0</v>
          </cell>
        </row>
        <row r="570">
          <cell r="C570" t="str">
            <v>E05</v>
          </cell>
          <cell r="E570" t="str">
            <v>ALT ASY</v>
          </cell>
          <cell r="G570" t="str">
            <v>B</v>
          </cell>
          <cell r="H570" t="str">
            <v>PMT5</v>
          </cell>
          <cell r="I570" t="str">
            <v>TH</v>
          </cell>
          <cell r="J570" t="str">
            <v>JX6T</v>
          </cell>
          <cell r="K570" t="str">
            <v>10300 </v>
          </cell>
          <cell r="L570" t="str">
            <v>GB</v>
          </cell>
          <cell r="M570" t="str">
            <v>JX6T-10300 -GB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1</v>
          </cell>
          <cell r="X570">
            <v>1</v>
          </cell>
          <cell r="Y570">
            <v>0</v>
          </cell>
          <cell r="Z570">
            <v>1</v>
          </cell>
          <cell r="AA570">
            <v>0.28000000000000003</v>
          </cell>
          <cell r="AC570">
            <v>-515.23</v>
          </cell>
          <cell r="AD570">
            <v>-3.74</v>
          </cell>
          <cell r="AE570" t="str">
            <v>Milkrun</v>
          </cell>
          <cell r="AF570">
            <v>0</v>
          </cell>
          <cell r="AG570">
            <v>0</v>
          </cell>
          <cell r="AH570">
            <v>-518.97</v>
          </cell>
          <cell r="AI570" t="str">
            <v>CNY</v>
          </cell>
          <cell r="AJ570" t="str">
            <v>LP</v>
          </cell>
          <cell r="AK570" t="str">
            <v>常州三菱 </v>
          </cell>
          <cell r="AL570" t="str">
            <v>EBQ9A</v>
          </cell>
          <cell r="BB570">
            <v>0</v>
          </cell>
          <cell r="BC570">
            <v>-499000</v>
          </cell>
          <cell r="BE570">
            <v>0</v>
          </cell>
          <cell r="BF570">
            <v>0</v>
          </cell>
          <cell r="BI570">
            <v>0</v>
          </cell>
          <cell r="BJ570">
            <v>0</v>
          </cell>
        </row>
        <row r="571">
          <cell r="C571" t="str">
            <v>E05</v>
          </cell>
          <cell r="E571" t="str">
            <v>ALT ASY</v>
          </cell>
          <cell r="G571" t="str">
            <v>B</v>
          </cell>
          <cell r="H571" t="str">
            <v>PMT5</v>
          </cell>
          <cell r="I571" t="str">
            <v>TH</v>
          </cell>
          <cell r="J571" t="str">
            <v>JX6T</v>
          </cell>
          <cell r="K571" t="str">
            <v>10300 </v>
          </cell>
          <cell r="L571" t="str">
            <v>HB</v>
          </cell>
          <cell r="M571" t="str">
            <v>JX6T-10300 -HB</v>
          </cell>
          <cell r="S571">
            <v>1</v>
          </cell>
          <cell r="T571">
            <v>1</v>
          </cell>
          <cell r="U571">
            <v>1</v>
          </cell>
          <cell r="V571">
            <v>1</v>
          </cell>
          <cell r="W571">
            <v>0</v>
          </cell>
          <cell r="X571">
            <v>0</v>
          </cell>
          <cell r="Y571">
            <v>1</v>
          </cell>
          <cell r="Z571">
            <v>0</v>
          </cell>
          <cell r="AA571">
            <v>0.72000000000000008</v>
          </cell>
          <cell r="AC571">
            <v>-512.58000000000004</v>
          </cell>
          <cell r="AD571">
            <v>-3.74</v>
          </cell>
          <cell r="AE571" t="str">
            <v>Milkrun</v>
          </cell>
          <cell r="AF571">
            <v>0</v>
          </cell>
          <cell r="AG571">
            <v>0</v>
          </cell>
          <cell r="AH571">
            <v>-516.32000000000005</v>
          </cell>
          <cell r="AI571" t="str">
            <v>CNY</v>
          </cell>
          <cell r="AJ571" t="str">
            <v>LP</v>
          </cell>
          <cell r="AK571" t="str">
            <v>常州三菱 </v>
          </cell>
          <cell r="AL571" t="str">
            <v>EBQ9A</v>
          </cell>
          <cell r="BB571">
            <v>0</v>
          </cell>
          <cell r="BC571">
            <v>-499000</v>
          </cell>
          <cell r="BE571">
            <v>0</v>
          </cell>
          <cell r="BF571">
            <v>0</v>
          </cell>
          <cell r="BI571">
            <v>0</v>
          </cell>
          <cell r="BJ571">
            <v>0</v>
          </cell>
        </row>
        <row r="572">
          <cell r="C572" t="str">
            <v>TBD</v>
          </cell>
          <cell r="E572" t="str">
            <v>splash shield</v>
          </cell>
          <cell r="G572" t="str">
            <v>D</v>
          </cell>
          <cell r="H572" t="str">
            <v>PMT1</v>
          </cell>
          <cell r="I572" t="str">
            <v>TH</v>
          </cell>
          <cell r="J572" t="str">
            <v>JD8B</v>
          </cell>
          <cell r="K572">
            <v>6775</v>
          </cell>
          <cell r="L572" t="str">
            <v>AB</v>
          </cell>
          <cell r="M572" t="str">
            <v>JD8B-6775-AB</v>
          </cell>
          <cell r="P572" t="str">
            <v>翟万里(wzhai1)</v>
          </cell>
          <cell r="Q572" t="str">
            <v>刘春艳(cliu117)</v>
          </cell>
          <cell r="S572">
            <v>1</v>
          </cell>
          <cell r="T572">
            <v>1</v>
          </cell>
          <cell r="U572">
            <v>1</v>
          </cell>
          <cell r="V572">
            <v>1</v>
          </cell>
          <cell r="AA572">
            <v>0.67</v>
          </cell>
          <cell r="AC572">
            <v>-14.583</v>
          </cell>
          <cell r="AD572">
            <v>-0.3</v>
          </cell>
          <cell r="AE572">
            <v>-0.33333000000000002</v>
          </cell>
          <cell r="AH572">
            <v>-15.216330000000001</v>
          </cell>
          <cell r="AI572" t="str">
            <v>CNY</v>
          </cell>
          <cell r="AJ572" t="str">
            <v>LP</v>
          </cell>
          <cell r="AK572" t="str">
            <v>重庆光能</v>
          </cell>
          <cell r="AL572" t="str">
            <v>DH0HA</v>
          </cell>
          <cell r="BB572">
            <v>-360000</v>
          </cell>
          <cell r="BC572">
            <v>-360000</v>
          </cell>
          <cell r="BE572">
            <v>0</v>
          </cell>
          <cell r="BF572">
            <v>0</v>
          </cell>
        </row>
        <row r="573">
          <cell r="C573" t="str">
            <v>Hardware001-3</v>
          </cell>
          <cell r="D573" t="str">
            <v>Tapping Screw(non-common part)</v>
          </cell>
          <cell r="G573" t="str">
            <v>D</v>
          </cell>
          <cell r="H573" t="str">
            <v>PMT1</v>
          </cell>
          <cell r="I573" t="str">
            <v>TH</v>
          </cell>
          <cell r="K573" t="str">
            <v>W704310</v>
          </cell>
          <cell r="L573" t="str">
            <v>S307</v>
          </cell>
          <cell r="M573" t="str">
            <v>-W704310-S307</v>
          </cell>
          <cell r="P573" t="str">
            <v>张春晖(czhang18)</v>
          </cell>
          <cell r="Q573" t="str">
            <v>邓少翔(sdeng7)</v>
          </cell>
          <cell r="S573">
            <v>2</v>
          </cell>
          <cell r="T573">
            <v>2</v>
          </cell>
          <cell r="U573">
            <v>2</v>
          </cell>
          <cell r="V573">
            <v>2</v>
          </cell>
          <cell r="W573">
            <v>2</v>
          </cell>
          <cell r="X573">
            <v>2</v>
          </cell>
          <cell r="Y573">
            <v>2</v>
          </cell>
          <cell r="Z573">
            <v>2</v>
          </cell>
          <cell r="AA573">
            <v>2</v>
          </cell>
          <cell r="AC573">
            <v>-0.17299999999999999</v>
          </cell>
          <cell r="AD573">
            <v>-4.8999999999999998E-3</v>
          </cell>
          <cell r="AE573">
            <v>-2.0999999999999999E-3</v>
          </cell>
          <cell r="AG573">
            <v>0</v>
          </cell>
          <cell r="AH573">
            <v>-0.17999999999999997</v>
          </cell>
          <cell r="AI573" t="str">
            <v>CNY</v>
          </cell>
          <cell r="AJ573" t="str">
            <v>LP</v>
          </cell>
          <cell r="AK573" t="str">
            <v>重庆金海</v>
          </cell>
          <cell r="AL573" t="str">
            <v>FJHBB</v>
          </cell>
          <cell r="BB573">
            <v>0</v>
          </cell>
          <cell r="BC573">
            <v>0</v>
          </cell>
          <cell r="BE573">
            <v>0</v>
          </cell>
          <cell r="BF573">
            <v>0</v>
          </cell>
          <cell r="BG573">
            <v>0</v>
          </cell>
          <cell r="BI573">
            <v>0</v>
          </cell>
          <cell r="BJ573">
            <v>0</v>
          </cell>
        </row>
        <row r="574">
          <cell r="C574" t="str">
            <v>B041</v>
          </cell>
          <cell r="D574" t="str">
            <v>Stamping_outsource stamping &amp; welding assy-chunk 1</v>
          </cell>
          <cell r="E574" t="str">
            <v>BIW</v>
          </cell>
          <cell r="F574" t="str">
            <v>PF</v>
          </cell>
          <cell r="G574" t="str">
            <v>D</v>
          </cell>
          <cell r="H574" t="str">
            <v>BIW</v>
          </cell>
          <cell r="I574" t="str">
            <v>PF</v>
          </cell>
          <cell r="J574" t="str">
            <v>AV61</v>
          </cell>
          <cell r="K574" t="str">
            <v>R16021</v>
          </cell>
          <cell r="L574" t="str">
            <v>BF</v>
          </cell>
          <cell r="M574" t="str">
            <v>AV61-R16021-BF</v>
          </cell>
          <cell r="O574" t="str">
            <v>2017/1027</v>
          </cell>
          <cell r="P574" t="str">
            <v>张春晖(czhang18),陈善文(schen126),魏晓伟(xwei22)</v>
          </cell>
          <cell r="Q574" t="str">
            <v>刘阳(yliu168)</v>
          </cell>
          <cell r="S574">
            <v>1</v>
          </cell>
          <cell r="T574">
            <v>1</v>
          </cell>
          <cell r="U574">
            <v>1</v>
          </cell>
          <cell r="V574">
            <v>1</v>
          </cell>
          <cell r="W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C574">
            <v>-61.949999999999996</v>
          </cell>
          <cell r="AD574">
            <v>-0.88</v>
          </cell>
          <cell r="AE574">
            <v>-0.59</v>
          </cell>
          <cell r="AH574">
            <v>-63.42</v>
          </cell>
          <cell r="AI574" t="str">
            <v>CNY</v>
          </cell>
          <cell r="AJ574" t="str">
            <v>LP</v>
          </cell>
          <cell r="AK574" t="str">
            <v>重庆平伟 </v>
          </cell>
          <cell r="AL574" t="str">
            <v>EHDAA</v>
          </cell>
          <cell r="BB574">
            <v>-3406626</v>
          </cell>
          <cell r="BC574">
            <v>-3406626</v>
          </cell>
        </row>
        <row r="575">
          <cell r="C575" t="str">
            <v>B029</v>
          </cell>
          <cell r="E575" t="str">
            <v>LMM - B09</v>
          </cell>
          <cell r="G575" t="str">
            <v>B</v>
          </cell>
          <cell r="H575" t="str">
            <v>PMT1</v>
          </cell>
          <cell r="I575" t="str">
            <v>TH</v>
          </cell>
          <cell r="J575" t="str">
            <v>JD8B</v>
          </cell>
          <cell r="K575" t="str">
            <v>F219A64</v>
          </cell>
          <cell r="L575" t="str">
            <v>AC</v>
          </cell>
          <cell r="M575" t="str">
            <v>JD8B-F219A64-AC</v>
          </cell>
          <cell r="P575" t="str">
            <v>陶泫宗(xtao8)</v>
          </cell>
          <cell r="Q575" t="str">
            <v>金正斌(zjin5)</v>
          </cell>
          <cell r="Y575">
            <v>1</v>
          </cell>
          <cell r="Z575">
            <v>1</v>
          </cell>
          <cell r="AA575">
            <v>0.1</v>
          </cell>
          <cell r="AC575">
            <v>-91.33</v>
          </cell>
          <cell r="AD575">
            <v>-1.23</v>
          </cell>
          <cell r="AE575">
            <v>-0.38</v>
          </cell>
          <cell r="AF575">
            <v>-0.63</v>
          </cell>
          <cell r="AG575">
            <v>-3.32</v>
          </cell>
          <cell r="AH575">
            <v>-96.889999999999986</v>
          </cell>
          <cell r="AI575" t="str">
            <v>CNY</v>
          </cell>
          <cell r="AJ575" t="str">
            <v>LP</v>
          </cell>
          <cell r="AK575" t="str">
            <v>重庆博泽</v>
          </cell>
          <cell r="AL575" t="str">
            <v>GL6TA</v>
          </cell>
          <cell r="BB575">
            <v>-400000</v>
          </cell>
          <cell r="BC575">
            <v>-400000</v>
          </cell>
          <cell r="BE575">
            <v>-368470</v>
          </cell>
          <cell r="BF575">
            <v>-110984.93975903615</v>
          </cell>
        </row>
        <row r="576">
          <cell r="C576" t="str">
            <v>B029</v>
          </cell>
          <cell r="E576" t="str">
            <v>LMM - B09</v>
          </cell>
          <cell r="G576" t="str">
            <v>B</v>
          </cell>
          <cell r="H576" t="str">
            <v>PMT1</v>
          </cell>
          <cell r="I576" t="str">
            <v>TH</v>
          </cell>
          <cell r="J576" t="str">
            <v>JD8B</v>
          </cell>
          <cell r="K576" t="str">
            <v>F219A65</v>
          </cell>
          <cell r="L576" t="str">
            <v>AC</v>
          </cell>
          <cell r="M576" t="str">
            <v>JD8B-F219A65-AC</v>
          </cell>
          <cell r="P576" t="str">
            <v>陶泫宗(xtao8)</v>
          </cell>
          <cell r="Q576" t="str">
            <v>金正斌(zjin5)</v>
          </cell>
          <cell r="Y576">
            <v>1</v>
          </cell>
          <cell r="AA576">
            <v>0.05</v>
          </cell>
          <cell r="AC576">
            <v>-94.41</v>
          </cell>
          <cell r="AD576">
            <v>-1.23</v>
          </cell>
          <cell r="AE576">
            <v>-0.38</v>
          </cell>
          <cell r="AF576">
            <v>-0.63</v>
          </cell>
          <cell r="AG576">
            <v>-3.32</v>
          </cell>
          <cell r="AH576">
            <v>-99.969999999999985</v>
          </cell>
          <cell r="AI576" t="str">
            <v>CNY</v>
          </cell>
          <cell r="AJ576" t="str">
            <v>LP</v>
          </cell>
          <cell r="AK576" t="str">
            <v>重庆博泽</v>
          </cell>
          <cell r="AL576" t="str">
            <v>GL6TA</v>
          </cell>
          <cell r="BB576" t="str">
            <v>inc. in above</v>
          </cell>
          <cell r="BC576" t="str">
            <v>inc. in above</v>
          </cell>
          <cell r="BE576" t="str">
            <v>inc. in above</v>
          </cell>
          <cell r="BF576" t="str">
            <v>inc. in above</v>
          </cell>
        </row>
        <row r="577">
          <cell r="C577" t="str">
            <v>ET11</v>
          </cell>
          <cell r="E577" t="str">
            <v>Radiator Support/GOR/Bolster</v>
          </cell>
          <cell r="G577" t="str">
            <v>D</v>
          </cell>
          <cell r="H577" t="str">
            <v>PMT1</v>
          </cell>
          <cell r="I577" t="str">
            <v>TH</v>
          </cell>
          <cell r="J577" t="str">
            <v>JD8B</v>
          </cell>
          <cell r="K577" t="str">
            <v>8B041</v>
          </cell>
          <cell r="L577" t="str">
            <v>AB</v>
          </cell>
          <cell r="M577" t="str">
            <v>JD8B-8B041-AB</v>
          </cell>
          <cell r="P577" t="str">
            <v>杨婷(tyang37)</v>
          </cell>
          <cell r="Q577" t="str">
            <v>邓少翔(sdeng7)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C577">
            <v>-109.49</v>
          </cell>
          <cell r="AD577">
            <v>0</v>
          </cell>
          <cell r="AE577">
            <v>-1.51</v>
          </cell>
          <cell r="AF577">
            <v>-2.4875999999999999E-2</v>
          </cell>
          <cell r="AH577">
            <v>-111.02487600000001</v>
          </cell>
          <cell r="AI577" t="str">
            <v>CNY</v>
          </cell>
          <cell r="AJ577" t="str">
            <v>LP</v>
          </cell>
          <cell r="AK577" t="str">
            <v>重庆延锋</v>
          </cell>
          <cell r="AL577" t="str">
            <v>DBNJA</v>
          </cell>
          <cell r="BB577">
            <v>-8054384</v>
          </cell>
          <cell r="BC577">
            <v>-8854384</v>
          </cell>
          <cell r="BI577">
            <v>-38514.199999999997</v>
          </cell>
          <cell r="BJ577">
            <v>1548196</v>
          </cell>
        </row>
        <row r="578">
          <cell r="C578" t="str">
            <v>CH063</v>
          </cell>
          <cell r="E578" t="str">
            <v>VACUUM HOSE</v>
          </cell>
          <cell r="G578" t="str">
            <v>B</v>
          </cell>
          <cell r="H578" t="str">
            <v>PMT3</v>
          </cell>
          <cell r="I578" t="str">
            <v>PF</v>
          </cell>
          <cell r="J578" t="str">
            <v>JD8C</v>
          </cell>
          <cell r="K578">
            <v>2420</v>
          </cell>
          <cell r="L578" t="str">
            <v>AA</v>
          </cell>
          <cell r="M578" t="str">
            <v>JD8C-2420-AA</v>
          </cell>
          <cell r="S578">
            <v>1</v>
          </cell>
          <cell r="T578">
            <v>0</v>
          </cell>
          <cell r="U578">
            <v>1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0.28000000000000003</v>
          </cell>
          <cell r="AC578">
            <v>-33.24</v>
          </cell>
          <cell r="AD578">
            <v>-0.67</v>
          </cell>
          <cell r="AE578">
            <v>-1.44</v>
          </cell>
          <cell r="AF578">
            <v>0</v>
          </cell>
          <cell r="AG578">
            <v>-0.35</v>
          </cell>
          <cell r="AH578">
            <v>-35.700000000000003</v>
          </cell>
          <cell r="AI578" t="str">
            <v>CNY</v>
          </cell>
          <cell r="AJ578" t="str">
            <v>LP</v>
          </cell>
          <cell r="AK578" t="str">
            <v>无锡康斯博格</v>
          </cell>
          <cell r="AL578" t="str">
            <v>EMLGA</v>
          </cell>
          <cell r="BB578">
            <v>-163200</v>
          </cell>
          <cell r="BC578">
            <v>-163200</v>
          </cell>
          <cell r="BE578">
            <v>-56105</v>
          </cell>
          <cell r="BF578">
            <v>160972</v>
          </cell>
        </row>
        <row r="579">
          <cell r="C579" t="str">
            <v>CH063</v>
          </cell>
          <cell r="E579" t="str">
            <v>VACUUM HOSE</v>
          </cell>
          <cell r="G579" t="str">
            <v>B</v>
          </cell>
          <cell r="H579" t="str">
            <v>PMT3</v>
          </cell>
          <cell r="I579" t="str">
            <v>PF</v>
          </cell>
          <cell r="J579" t="str">
            <v>JD8C</v>
          </cell>
          <cell r="K579">
            <v>2420</v>
          </cell>
          <cell r="L579" t="str">
            <v>BA</v>
          </cell>
          <cell r="M579" t="str">
            <v>JD8C-2420-BA</v>
          </cell>
          <cell r="S579">
            <v>0</v>
          </cell>
          <cell r="T579">
            <v>1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1</v>
          </cell>
          <cell r="Z579">
            <v>0</v>
          </cell>
          <cell r="AA579">
            <v>0.44</v>
          </cell>
          <cell r="AC579">
            <v>-182.49</v>
          </cell>
          <cell r="AD579">
            <v>-0.98</v>
          </cell>
          <cell r="AE579">
            <v>-2.0099999999999998</v>
          </cell>
          <cell r="AF579">
            <v>-0.19</v>
          </cell>
          <cell r="AG579">
            <v>-0.55000000000000004</v>
          </cell>
          <cell r="AH579">
            <v>-186.22</v>
          </cell>
          <cell r="AI579" t="str">
            <v>CNY</v>
          </cell>
          <cell r="AJ579" t="str">
            <v>LP</v>
          </cell>
          <cell r="AK579" t="str">
            <v>无锡康斯博格</v>
          </cell>
          <cell r="AL579" t="str">
            <v>EMLGA</v>
          </cell>
          <cell r="BB579">
            <v>-426000</v>
          </cell>
          <cell r="BC579">
            <v>-426000</v>
          </cell>
          <cell r="BE579">
            <v>-56105</v>
          </cell>
          <cell r="BF579">
            <v>160972</v>
          </cell>
        </row>
        <row r="580">
          <cell r="C580" t="str">
            <v>CH063</v>
          </cell>
          <cell r="E580" t="str">
            <v>VACUUM HOSE</v>
          </cell>
          <cell r="G580" t="str">
            <v>B</v>
          </cell>
          <cell r="H580" t="str">
            <v>PMT3</v>
          </cell>
          <cell r="I580" t="str">
            <v>PF</v>
          </cell>
          <cell r="J580" t="str">
            <v>JD8C</v>
          </cell>
          <cell r="K580">
            <v>2420</v>
          </cell>
          <cell r="L580" t="str">
            <v>CB</v>
          </cell>
          <cell r="M580" t="str">
            <v>JD8C-2420-CB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1</v>
          </cell>
          <cell r="X580">
            <v>1</v>
          </cell>
          <cell r="Y580">
            <v>0</v>
          </cell>
          <cell r="Z580">
            <v>1</v>
          </cell>
          <cell r="AA580">
            <v>0.28000000000000003</v>
          </cell>
          <cell r="AC580">
            <v>-23.81</v>
          </cell>
          <cell r="AD580">
            <v>-0.67</v>
          </cell>
          <cell r="AE580">
            <v>-1.44</v>
          </cell>
          <cell r="AF580">
            <v>0</v>
          </cell>
          <cell r="AG580">
            <v>-0.35</v>
          </cell>
          <cell r="AH580">
            <v>-26.270000000000003</v>
          </cell>
          <cell r="AI580" t="str">
            <v>CNY</v>
          </cell>
          <cell r="AJ580" t="str">
            <v>LP</v>
          </cell>
          <cell r="AK580" t="str">
            <v>无锡康斯博格</v>
          </cell>
          <cell r="AL580" t="str">
            <v>EMLGA</v>
          </cell>
          <cell r="BB580">
            <v>-163200</v>
          </cell>
          <cell r="BC580">
            <v>-163200</v>
          </cell>
          <cell r="BE580">
            <v>-186099.87</v>
          </cell>
          <cell r="BF580">
            <v>252956</v>
          </cell>
        </row>
        <row r="581">
          <cell r="C581" t="str">
            <v>CH016- Center cover</v>
          </cell>
          <cell r="E581" t="str">
            <v>center cover</v>
          </cell>
          <cell r="G581" t="str">
            <v>J</v>
          </cell>
          <cell r="H581" t="str">
            <v>PMT3</v>
          </cell>
          <cell r="I581" t="str">
            <v>PF</v>
          </cell>
          <cell r="J581" t="str">
            <v>6M21</v>
          </cell>
          <cell r="K581" t="str">
            <v>1003 </v>
          </cell>
          <cell r="L581" t="str">
            <v>CA</v>
          </cell>
          <cell r="M581" t="str">
            <v>6M21-1003 -CA</v>
          </cell>
          <cell r="S581">
            <v>4</v>
          </cell>
          <cell r="T581">
            <v>4</v>
          </cell>
          <cell r="U581">
            <v>4</v>
          </cell>
          <cell r="V581">
            <v>4</v>
          </cell>
          <cell r="W581">
            <v>4</v>
          </cell>
          <cell r="X581">
            <v>4</v>
          </cell>
          <cell r="Y581">
            <v>4</v>
          </cell>
          <cell r="Z581">
            <v>4</v>
          </cell>
          <cell r="AA581">
            <v>4</v>
          </cell>
          <cell r="AC581">
            <v>-3.75</v>
          </cell>
          <cell r="AD581">
            <v>-0.05</v>
          </cell>
          <cell r="AE581">
            <v>-0.05</v>
          </cell>
          <cell r="AF581">
            <v>0</v>
          </cell>
          <cell r="AG581">
            <v>0</v>
          </cell>
          <cell r="AH581">
            <v>-3.8499999999999996</v>
          </cell>
          <cell r="AI581" t="str">
            <v>CNY</v>
          </cell>
          <cell r="AJ581" t="str">
            <v>LP</v>
          </cell>
          <cell r="AK581" t="str">
            <v>广州金钟 </v>
          </cell>
          <cell r="AL581" t="str">
            <v>GJFYA</v>
          </cell>
          <cell r="BB581">
            <v>0</v>
          </cell>
          <cell r="BC581">
            <v>0</v>
          </cell>
          <cell r="BE581">
            <v>0</v>
          </cell>
          <cell r="BF581">
            <v>0</v>
          </cell>
          <cell r="BI581">
            <v>0</v>
          </cell>
          <cell r="BJ581">
            <v>0</v>
          </cell>
        </row>
        <row r="582">
          <cell r="C582" t="str">
            <v>CH061</v>
          </cell>
          <cell r="E582" t="str">
            <v>ESC MODULE</v>
          </cell>
          <cell r="G582" t="str">
            <v>B</v>
          </cell>
          <cell r="H582" t="str">
            <v>PMT3</v>
          </cell>
          <cell r="I582" t="str">
            <v>PF</v>
          </cell>
          <cell r="J582" t="str">
            <v>JD8C</v>
          </cell>
          <cell r="K582" t="str">
            <v>2B373</v>
          </cell>
          <cell r="L582" t="str">
            <v>AB</v>
          </cell>
          <cell r="M582" t="str">
            <v>JD8C-2B373-AB</v>
          </cell>
          <cell r="S582">
            <v>1</v>
          </cell>
          <cell r="T582">
            <v>1</v>
          </cell>
          <cell r="U582">
            <v>1</v>
          </cell>
          <cell r="V582">
            <v>1</v>
          </cell>
          <cell r="W582">
            <v>1</v>
          </cell>
          <cell r="X582">
            <v>1</v>
          </cell>
          <cell r="Y582">
            <v>1</v>
          </cell>
          <cell r="Z582">
            <v>1</v>
          </cell>
          <cell r="AA582">
            <v>1</v>
          </cell>
          <cell r="AC582">
            <v>-637.6</v>
          </cell>
          <cell r="AD582">
            <v>-3.8</v>
          </cell>
          <cell r="AE582">
            <v>-13.2</v>
          </cell>
          <cell r="AF582">
            <v>0</v>
          </cell>
          <cell r="AG582">
            <v>0</v>
          </cell>
          <cell r="AH582">
            <v>-654.6</v>
          </cell>
          <cell r="AI582" t="str">
            <v>CNY</v>
          </cell>
          <cell r="AJ582" t="str">
            <v>LP</v>
          </cell>
          <cell r="AK582" t="str">
            <v>上海大陆泰密克</v>
          </cell>
          <cell r="AL582" t="str">
            <v>FN2NA</v>
          </cell>
          <cell r="BB582">
            <v>0</v>
          </cell>
          <cell r="BC582">
            <v>0</v>
          </cell>
          <cell r="BE582">
            <v>0</v>
          </cell>
          <cell r="BF582">
            <v>0</v>
          </cell>
          <cell r="BG582">
            <v>-7340154</v>
          </cell>
          <cell r="BI582">
            <v>0</v>
          </cell>
          <cell r="BJ582">
            <v>0</v>
          </cell>
        </row>
        <row r="583">
          <cell r="C583" t="str">
            <v>CH069</v>
          </cell>
          <cell r="E583" t="str">
            <v>Jack Assembly  (non-KC)</v>
          </cell>
          <cell r="G583" t="str">
            <v>B</v>
          </cell>
          <cell r="H583" t="str">
            <v>PMT3</v>
          </cell>
          <cell r="I583" t="str">
            <v>PF</v>
          </cell>
          <cell r="J583" t="str">
            <v>ED8C </v>
          </cell>
          <cell r="K583">
            <v>17005</v>
          </cell>
          <cell r="L583" t="str">
            <v>AA</v>
          </cell>
          <cell r="M583" t="str">
            <v>ED8C -17005-AA</v>
          </cell>
          <cell r="S583">
            <v>1</v>
          </cell>
          <cell r="T583">
            <v>1</v>
          </cell>
          <cell r="U583">
            <v>1</v>
          </cell>
          <cell r="V583">
            <v>1</v>
          </cell>
          <cell r="W583">
            <v>1</v>
          </cell>
          <cell r="X583">
            <v>1</v>
          </cell>
          <cell r="Y583">
            <v>1</v>
          </cell>
          <cell r="Z583">
            <v>1</v>
          </cell>
          <cell r="AA583">
            <v>1</v>
          </cell>
          <cell r="AC583">
            <v>-1.58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-1.58</v>
          </cell>
          <cell r="AI583" t="str">
            <v>CNY</v>
          </cell>
          <cell r="AJ583" t="str">
            <v>LP</v>
          </cell>
          <cell r="AK583" t="str">
            <v>南通通润 </v>
          </cell>
          <cell r="AL583" t="str">
            <v>EQPLD </v>
          </cell>
          <cell r="BB583">
            <v>0</v>
          </cell>
          <cell r="BC583">
            <v>0</v>
          </cell>
          <cell r="BE583">
            <v>0</v>
          </cell>
          <cell r="BF583">
            <v>0</v>
          </cell>
          <cell r="BI583">
            <v>0</v>
          </cell>
          <cell r="BJ583">
            <v>0</v>
          </cell>
        </row>
        <row r="584">
          <cell r="C584" t="str">
            <v>PTO142</v>
          </cell>
          <cell r="E584" t="str">
            <v>Engine Cover</v>
          </cell>
          <cell r="G584" t="str">
            <v>B</v>
          </cell>
          <cell r="H584" t="str">
            <v>PMT4</v>
          </cell>
          <cell r="I584" t="str">
            <v>TH</v>
          </cell>
          <cell r="J584" t="str">
            <v>JX6G</v>
          </cell>
          <cell r="K584" t="str">
            <v>6A949</v>
          </cell>
          <cell r="L584" t="str">
            <v>HC</v>
          </cell>
          <cell r="M584" t="str">
            <v>JX6G-6A949-HC</v>
          </cell>
          <cell r="P584" t="str">
            <v>陈兴(xchen68)</v>
          </cell>
          <cell r="Q584" t="str">
            <v>佟刚(gtong1)</v>
          </cell>
          <cell r="S584">
            <v>1</v>
          </cell>
          <cell r="T584">
            <v>1</v>
          </cell>
          <cell r="U584">
            <v>1</v>
          </cell>
          <cell r="V584">
            <v>1</v>
          </cell>
          <cell r="W584">
            <v>0</v>
          </cell>
          <cell r="X584">
            <v>0</v>
          </cell>
          <cell r="Y584">
            <v>1</v>
          </cell>
          <cell r="Z584">
            <v>0</v>
          </cell>
          <cell r="AA584">
            <v>0.72000000000000008</v>
          </cell>
          <cell r="AC584">
            <v>-31.01</v>
          </cell>
          <cell r="AD584">
            <v>-3.8</v>
          </cell>
          <cell r="AE584">
            <v>-0.45</v>
          </cell>
          <cell r="AF584">
            <v>0</v>
          </cell>
          <cell r="AG584">
            <v>0</v>
          </cell>
          <cell r="AH584">
            <v>-35.260000000000005</v>
          </cell>
          <cell r="AI584" t="str">
            <v>CNY</v>
          </cell>
          <cell r="AJ584" t="str">
            <v>LP</v>
          </cell>
          <cell r="AK584" t="str">
            <v>无锡鲍尔 </v>
          </cell>
          <cell r="AL584" t="str">
            <v>GZHHA</v>
          </cell>
          <cell r="BC584">
            <v>0</v>
          </cell>
          <cell r="BE584">
            <v>0</v>
          </cell>
          <cell r="BF584">
            <v>0</v>
          </cell>
        </row>
        <row r="585">
          <cell r="C585" t="str">
            <v>CH052</v>
          </cell>
          <cell r="E585" t="str">
            <v>Canister and Bracket Assembly - Fuel Vapor Storage (non-KC)</v>
          </cell>
          <cell r="G585" t="str">
            <v>J</v>
          </cell>
          <cell r="H585" t="str">
            <v>PMT4</v>
          </cell>
          <cell r="I585" t="str">
            <v>PF</v>
          </cell>
          <cell r="J585" t="str">
            <v>JD8G</v>
          </cell>
          <cell r="K585" t="str">
            <v>9E857</v>
          </cell>
          <cell r="L585" t="str">
            <v>AA</v>
          </cell>
          <cell r="M585" t="str">
            <v>JD8G-9E857-AA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Y585">
            <v>1</v>
          </cell>
          <cell r="AA585">
            <v>0.72000000000000008</v>
          </cell>
          <cell r="AC585">
            <v>-112.4543</v>
          </cell>
          <cell r="AD585">
            <v>-1.3792</v>
          </cell>
          <cell r="AE585">
            <v>-2.1714000000000002</v>
          </cell>
          <cell r="AH585">
            <v>-116.00490000000001</v>
          </cell>
          <cell r="AI585" t="str">
            <v>CNY</v>
          </cell>
          <cell r="AJ585" t="str">
            <v>LP</v>
          </cell>
          <cell r="AK585" t="str">
            <v>廊坊华安汽车装备有限公司</v>
          </cell>
          <cell r="AL585" t="str">
            <v>ENFAA</v>
          </cell>
          <cell r="BB585">
            <v>-599000</v>
          </cell>
          <cell r="BC585">
            <v>-599000</v>
          </cell>
          <cell r="BE585">
            <v>0</v>
          </cell>
          <cell r="BF585">
            <v>0</v>
          </cell>
        </row>
        <row r="586">
          <cell r="C586" t="str">
            <v>CH052</v>
          </cell>
          <cell r="E586" t="str">
            <v>Canister and Bracket Assembly - Fuel Vapor Storage (non-KC)</v>
          </cell>
          <cell r="G586" t="str">
            <v>J</v>
          </cell>
          <cell r="H586" t="str">
            <v>PMT4</v>
          </cell>
          <cell r="I586" t="str">
            <v>PF</v>
          </cell>
          <cell r="J586" t="str">
            <v>JD8G</v>
          </cell>
          <cell r="K586" t="str">
            <v>9E857</v>
          </cell>
          <cell r="L586" t="str">
            <v>BA</v>
          </cell>
          <cell r="M586" t="str">
            <v>JD8G-9E857-BA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-41.2254</v>
          </cell>
          <cell r="AD586">
            <v>-1.1292</v>
          </cell>
          <cell r="AE586">
            <v>-1.9</v>
          </cell>
          <cell r="AH586">
            <v>-44.254599999999996</v>
          </cell>
          <cell r="AI586" t="str">
            <v>CNY</v>
          </cell>
          <cell r="AJ586" t="str">
            <v>LP</v>
          </cell>
          <cell r="AK586" t="str">
            <v>廊坊华安汽车装备有限公司</v>
          </cell>
          <cell r="AL586" t="str">
            <v>ENFAA</v>
          </cell>
          <cell r="BB586">
            <v>-60000</v>
          </cell>
          <cell r="BC586">
            <v>-60000</v>
          </cell>
          <cell r="BE586">
            <v>0</v>
          </cell>
          <cell r="BF586">
            <v>0</v>
          </cell>
        </row>
        <row r="587">
          <cell r="C587" t="str">
            <v>CH069</v>
          </cell>
          <cell r="E587" t="str">
            <v>Jack Assembly  (non-KC)</v>
          </cell>
          <cell r="G587" t="str">
            <v>B</v>
          </cell>
          <cell r="H587" t="str">
            <v>PMT3</v>
          </cell>
          <cell r="I587" t="str">
            <v>PF</v>
          </cell>
          <cell r="J587" t="str">
            <v>ED8C </v>
          </cell>
          <cell r="K587">
            <v>17085</v>
          </cell>
          <cell r="L587" t="str">
            <v>AC</v>
          </cell>
          <cell r="M587" t="str">
            <v>ED8C -17085-AC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-42.34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-42.34</v>
          </cell>
          <cell r="AI587" t="str">
            <v>CNY</v>
          </cell>
          <cell r="AJ587" t="str">
            <v>LP</v>
          </cell>
          <cell r="AK587" t="str">
            <v>南通通润 </v>
          </cell>
          <cell r="AL587" t="str">
            <v>EQPLD </v>
          </cell>
          <cell r="BB587">
            <v>0</v>
          </cell>
          <cell r="BC587">
            <v>0</v>
          </cell>
          <cell r="BE587">
            <v>0</v>
          </cell>
          <cell r="BF587">
            <v>0</v>
          </cell>
          <cell r="BI587">
            <v>0</v>
          </cell>
          <cell r="BJ587">
            <v>0</v>
          </cell>
        </row>
        <row r="588">
          <cell r="C588" t="str">
            <v>ET9</v>
          </cell>
          <cell r="E588" t="str">
            <v>Cowl Grille</v>
          </cell>
          <cell r="G588" t="str">
            <v>D</v>
          </cell>
          <cell r="H588" t="str">
            <v>PMT1</v>
          </cell>
          <cell r="I588" t="str">
            <v>TH</v>
          </cell>
          <cell r="J588" t="str">
            <v>JD8B</v>
          </cell>
          <cell r="K588" t="str">
            <v>F02654</v>
          </cell>
          <cell r="L588" t="str">
            <v>AB</v>
          </cell>
          <cell r="M588" t="str">
            <v>JD8B-F02654-AB</v>
          </cell>
          <cell r="P588" t="str">
            <v>龚硕(sgong7)</v>
          </cell>
          <cell r="Q588" t="str">
            <v>刘春艳(cliu117)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-1.31</v>
          </cell>
          <cell r="AD588">
            <v>-0.1</v>
          </cell>
          <cell r="AE588">
            <v>-0.03</v>
          </cell>
          <cell r="AH588">
            <v>-1.4400000000000002</v>
          </cell>
          <cell r="AI588" t="str">
            <v>CNY</v>
          </cell>
          <cell r="AJ588" t="str">
            <v>LP</v>
          </cell>
          <cell r="AK588" t="str">
            <v>重庆光能荣能</v>
          </cell>
          <cell r="AL588" t="str">
            <v>DH0HA</v>
          </cell>
          <cell r="BB588">
            <v>-92000</v>
          </cell>
          <cell r="BC588">
            <v>-92000</v>
          </cell>
          <cell r="BE588">
            <v>0</v>
          </cell>
          <cell r="BF588">
            <v>0</v>
          </cell>
        </row>
        <row r="589">
          <cell r="C589" t="str">
            <v>ET9</v>
          </cell>
          <cell r="E589" t="str">
            <v>Cowl Grille</v>
          </cell>
          <cell r="G589" t="str">
            <v>D</v>
          </cell>
          <cell r="H589" t="str">
            <v>PMT1</v>
          </cell>
          <cell r="I589" t="str">
            <v>TH</v>
          </cell>
          <cell r="J589" t="str">
            <v>JD8B</v>
          </cell>
          <cell r="K589" t="str">
            <v>F02655</v>
          </cell>
          <cell r="L589" t="str">
            <v>AB</v>
          </cell>
          <cell r="M589" t="str">
            <v>JD8B-F02655-AB</v>
          </cell>
          <cell r="P589" t="str">
            <v>龚硕(sgong7)</v>
          </cell>
          <cell r="Q589" t="str">
            <v>刘春艳(cliu117)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-1.31</v>
          </cell>
          <cell r="AD589">
            <v>-0.1</v>
          </cell>
          <cell r="AE589">
            <v>-0.03</v>
          </cell>
          <cell r="AH589">
            <v>-1.4400000000000002</v>
          </cell>
          <cell r="AI589" t="str">
            <v>CNY</v>
          </cell>
          <cell r="AJ589" t="str">
            <v>LP</v>
          </cell>
          <cell r="AK589" t="str">
            <v>重庆光能荣能</v>
          </cell>
          <cell r="AL589" t="str">
            <v>DH0HA</v>
          </cell>
          <cell r="BB589">
            <v>-92000</v>
          </cell>
          <cell r="BC589">
            <v>-92000</v>
          </cell>
          <cell r="BE589">
            <v>0</v>
          </cell>
          <cell r="BF589">
            <v>0</v>
          </cell>
        </row>
        <row r="590">
          <cell r="C590" t="str">
            <v>ET01</v>
          </cell>
          <cell r="E590" t="str">
            <v>Sunroof</v>
          </cell>
          <cell r="G590" t="str">
            <v>B</v>
          </cell>
          <cell r="H590" t="str">
            <v>PMT1</v>
          </cell>
          <cell r="I590" t="str">
            <v>TH</v>
          </cell>
          <cell r="J590" t="str">
            <v>ED8B</v>
          </cell>
          <cell r="K590" t="str">
            <v>F518A30</v>
          </cell>
          <cell r="L590" t="str">
            <v>ALW</v>
          </cell>
          <cell r="M590" t="str">
            <v>ED8B-F518A30-ALW</v>
          </cell>
          <cell r="P590" t="str">
            <v>周健(jzhou29)</v>
          </cell>
          <cell r="Q590" t="str">
            <v>杨倩倩(qyang31)</v>
          </cell>
          <cell r="Y590">
            <v>1</v>
          </cell>
          <cell r="Z590">
            <v>1</v>
          </cell>
          <cell r="AA590">
            <v>0.1</v>
          </cell>
          <cell r="AC590">
            <v>-803.08</v>
          </cell>
          <cell r="AD590">
            <v>-1.8</v>
          </cell>
          <cell r="AE590">
            <v>-1.59</v>
          </cell>
          <cell r="AF590">
            <v>-1.69</v>
          </cell>
          <cell r="AH590">
            <v>-808.16000000000008</v>
          </cell>
          <cell r="AI590" t="str">
            <v>CNY</v>
          </cell>
          <cell r="AJ590" t="str">
            <v>LP</v>
          </cell>
          <cell r="AK590" t="str">
            <v>伟巴斯特车顶系统（重庆）有限公司</v>
          </cell>
          <cell r="AL590" t="str">
            <v>EX4FA</v>
          </cell>
        </row>
        <row r="591">
          <cell r="C591" t="str">
            <v>PT24-2</v>
          </cell>
          <cell r="E591" t="str">
            <v>EGTS</v>
          </cell>
          <cell r="G591" t="str">
            <v>B</v>
          </cell>
          <cell r="H591" t="str">
            <v>PMT4</v>
          </cell>
          <cell r="I591" t="str">
            <v>TH</v>
          </cell>
          <cell r="J591" t="str">
            <v>JD8G</v>
          </cell>
          <cell r="K591" t="str">
            <v>12B591</v>
          </cell>
          <cell r="L591" t="str">
            <v>AA</v>
          </cell>
          <cell r="M591" t="str">
            <v>JD8G-12B591-AA</v>
          </cell>
          <cell r="P591" t="str">
            <v>王秋夜(qwang110)</v>
          </cell>
          <cell r="Q591" t="str">
            <v>唐含涵(htang24)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Y591">
            <v>1</v>
          </cell>
          <cell r="AA591">
            <v>0.72000000000000008</v>
          </cell>
          <cell r="AC591">
            <v>-70.959999999999994</v>
          </cell>
          <cell r="AD591">
            <v>-0.6</v>
          </cell>
          <cell r="AE591">
            <v>-1.4</v>
          </cell>
          <cell r="AH591">
            <v>-72.959999999999994</v>
          </cell>
          <cell r="AI591" t="str">
            <v>CNY</v>
          </cell>
          <cell r="AJ591" t="str">
            <v>LP</v>
          </cell>
          <cell r="AK591" t="str">
            <v>常熟特殊陶业</v>
          </cell>
          <cell r="AL591" t="str">
            <v>GRAJA </v>
          </cell>
        </row>
        <row r="592">
          <cell r="C592" t="str">
            <v>B046-4</v>
          </cell>
          <cell r="E592" t="str">
            <v xml:space="preserve">Bracket - Cold Charge Duct to Engine or Body </v>
          </cell>
          <cell r="G592" t="str">
            <v>D</v>
          </cell>
          <cell r="H592" t="str">
            <v>PMT4</v>
          </cell>
          <cell r="I592" t="str">
            <v>PF</v>
          </cell>
          <cell r="J592" t="str">
            <v>JX61</v>
          </cell>
          <cell r="K592" t="str">
            <v>6C750</v>
          </cell>
          <cell r="L592" t="str">
            <v>CA</v>
          </cell>
          <cell r="M592" t="str">
            <v>JX61-6C750-CA</v>
          </cell>
          <cell r="P592" t="str">
            <v>袁凤鸣(fyuan13)</v>
          </cell>
          <cell r="Q592" t="str">
            <v>梁伟华(wliang7)</v>
          </cell>
          <cell r="W592">
            <v>1</v>
          </cell>
          <cell r="X592">
            <v>1</v>
          </cell>
          <cell r="Z592">
            <v>1</v>
          </cell>
          <cell r="AA592">
            <v>0.28000000000000003</v>
          </cell>
          <cell r="AC592">
            <v>-1.14024190728365</v>
          </cell>
          <cell r="AD592">
            <v>-7.6065613026819898E-2</v>
          </cell>
          <cell r="AE592">
            <v>-3.7499999999999999E-2</v>
          </cell>
          <cell r="AH592">
            <v>-1.2538075203104699</v>
          </cell>
          <cell r="AI592" t="str">
            <v>CNY</v>
          </cell>
          <cell r="AJ592" t="str">
            <v>LP</v>
          </cell>
          <cell r="AK592" t="str">
            <v>重庆凌云汽车零部件有限公司</v>
          </cell>
          <cell r="AL592" t="str">
            <v>CX1JB</v>
          </cell>
          <cell r="BB592">
            <v>-178500</v>
          </cell>
          <cell r="BC592">
            <v>-178500</v>
          </cell>
          <cell r="BE592">
            <v>0</v>
          </cell>
          <cell r="BF592">
            <v>0</v>
          </cell>
          <cell r="BI592">
            <v>0</v>
          </cell>
          <cell r="BJ592">
            <v>0</v>
          </cell>
        </row>
        <row r="593">
          <cell r="C593" t="str">
            <v>E09-4</v>
          </cell>
          <cell r="E593" t="str">
            <v>SEAT WIRING</v>
          </cell>
          <cell r="G593" t="str">
            <v>B</v>
          </cell>
          <cell r="H593" t="str">
            <v>PMT5</v>
          </cell>
          <cell r="I593" t="str">
            <v>PF</v>
          </cell>
          <cell r="J593" t="str">
            <v>JU5T</v>
          </cell>
          <cell r="K593" t="str">
            <v>14D230</v>
          </cell>
          <cell r="L593" t="str">
            <v>FAA</v>
          </cell>
          <cell r="M593" t="str">
            <v>JU5T-14D230-FAA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1</v>
          </cell>
          <cell r="Z593">
            <v>1</v>
          </cell>
          <cell r="AA593">
            <v>0.1</v>
          </cell>
          <cell r="AC593">
            <v>-28.39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-28.39</v>
          </cell>
          <cell r="AI593" t="str">
            <v>CNY</v>
          </cell>
          <cell r="AJ593" t="str">
            <v>LP</v>
          </cell>
          <cell r="AK593" t="str">
            <v>重庆李尔 </v>
          </cell>
          <cell r="AL593" t="str">
            <v>DWG4B</v>
          </cell>
          <cell r="BB593">
            <v>-3000</v>
          </cell>
          <cell r="BC593">
            <v>-3000</v>
          </cell>
          <cell r="BE593">
            <v>0</v>
          </cell>
          <cell r="BF593">
            <v>0</v>
          </cell>
          <cell r="BI593">
            <v>0</v>
          </cell>
          <cell r="BJ593">
            <v>0</v>
          </cell>
        </row>
        <row r="594">
          <cell r="C594" t="str">
            <v>E09-4</v>
          </cell>
          <cell r="E594" t="str">
            <v>SEAT WIRING</v>
          </cell>
          <cell r="G594" t="str">
            <v>B</v>
          </cell>
          <cell r="H594" t="str">
            <v>PMT5</v>
          </cell>
          <cell r="I594" t="str">
            <v>PF</v>
          </cell>
          <cell r="J594" t="str">
            <v>JU5T</v>
          </cell>
          <cell r="K594" t="str">
            <v>14D231</v>
          </cell>
          <cell r="L594" t="str">
            <v>FGA</v>
          </cell>
          <cell r="M594" t="str">
            <v>JU5T-14D231-FGA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0</v>
          </cell>
          <cell r="Z594">
            <v>0</v>
          </cell>
          <cell r="AA594">
            <v>0.9</v>
          </cell>
          <cell r="AC594">
            <v>-23.4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-23.4</v>
          </cell>
          <cell r="AI594" t="str">
            <v>CNY</v>
          </cell>
          <cell r="AJ594" t="str">
            <v>LP</v>
          </cell>
          <cell r="AK594" t="str">
            <v>重庆李尔 </v>
          </cell>
          <cell r="AL594" t="str">
            <v>DWG4B</v>
          </cell>
          <cell r="BB594">
            <v>-3500</v>
          </cell>
          <cell r="BC594">
            <v>-3500</v>
          </cell>
          <cell r="BE594">
            <v>0</v>
          </cell>
          <cell r="BF594">
            <v>0</v>
          </cell>
          <cell r="BI594">
            <v>0</v>
          </cell>
          <cell r="BJ594">
            <v>0</v>
          </cell>
        </row>
        <row r="595">
          <cell r="C595" t="str">
            <v>E09-4</v>
          </cell>
          <cell r="E595" t="str">
            <v>SEAT WIRING</v>
          </cell>
          <cell r="G595" t="str">
            <v>B</v>
          </cell>
          <cell r="H595" t="str">
            <v>PMT5</v>
          </cell>
          <cell r="I595" t="str">
            <v>PF</v>
          </cell>
          <cell r="J595" t="str">
            <v>JU5T</v>
          </cell>
          <cell r="K595" t="str">
            <v>14D231</v>
          </cell>
          <cell r="L595" t="str">
            <v>FHA</v>
          </cell>
          <cell r="M595" t="str">
            <v>JU5T-14D231-FHA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1</v>
          </cell>
          <cell r="Z595">
            <v>1</v>
          </cell>
          <cell r="AA595">
            <v>0.1</v>
          </cell>
          <cell r="AC595">
            <v>-95.26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-95.26</v>
          </cell>
          <cell r="AI595" t="str">
            <v>CNY</v>
          </cell>
          <cell r="AJ595" t="str">
            <v>LP</v>
          </cell>
          <cell r="AK595" t="str">
            <v>重庆李尔 </v>
          </cell>
          <cell r="AL595" t="str">
            <v>DWG4B</v>
          </cell>
          <cell r="BB595">
            <v>-16500</v>
          </cell>
          <cell r="BC595">
            <v>-16500</v>
          </cell>
          <cell r="BE595">
            <v>0</v>
          </cell>
          <cell r="BF595">
            <v>0</v>
          </cell>
          <cell r="BI595">
            <v>0</v>
          </cell>
          <cell r="BJ595">
            <v>0</v>
          </cell>
        </row>
        <row r="596">
          <cell r="C596" t="str">
            <v>CH041-1</v>
          </cell>
          <cell r="E596" t="str">
            <v>Stabilizer Bar (Front -- Solid/Tubular)</v>
          </cell>
          <cell r="G596" t="str">
            <v>B</v>
          </cell>
          <cell r="H596" t="str">
            <v>PMT5</v>
          </cell>
          <cell r="I596" t="str">
            <v>PF</v>
          </cell>
          <cell r="J596" t="str">
            <v>ED8C </v>
          </cell>
          <cell r="K596" t="str">
            <v>5482 </v>
          </cell>
          <cell r="L596" t="str">
            <v>BC</v>
          </cell>
          <cell r="M596" t="str">
            <v>ED8C -5482 -BC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-75.73</v>
          </cell>
          <cell r="AD596">
            <v>-3.68</v>
          </cell>
          <cell r="AE596">
            <v>-4.5</v>
          </cell>
          <cell r="AH596">
            <v>-83.910000000000011</v>
          </cell>
          <cell r="AI596" t="str">
            <v>CNY</v>
          </cell>
          <cell r="AJ596" t="str">
            <v>LP</v>
          </cell>
          <cell r="AK596" t="str">
            <v>上海索格菲苏州工厂 </v>
          </cell>
          <cell r="AL596" t="str">
            <v>GQ4MB </v>
          </cell>
          <cell r="BB596">
            <v>0</v>
          </cell>
          <cell r="BC596">
            <v>0</v>
          </cell>
          <cell r="BE596">
            <v>0</v>
          </cell>
          <cell r="BF596">
            <v>0</v>
          </cell>
          <cell r="BI596">
            <v>0</v>
          </cell>
          <cell r="BJ596">
            <v>0</v>
          </cell>
        </row>
        <row r="597">
          <cell r="C597" t="str">
            <v>CH048</v>
          </cell>
          <cell r="E597" t="str">
            <v>Fuel Filler Pipe and Hose Assembly (non-KC)</v>
          </cell>
          <cell r="G597" t="str">
            <v>B</v>
          </cell>
          <cell r="H597" t="str">
            <v>PMT4</v>
          </cell>
          <cell r="I597" t="str">
            <v>PF</v>
          </cell>
          <cell r="J597" t="str">
            <v>JD8G</v>
          </cell>
          <cell r="K597">
            <v>9032</v>
          </cell>
          <cell r="L597" t="str">
            <v>AD</v>
          </cell>
          <cell r="M597" t="str">
            <v>JD8G-9032-AD</v>
          </cell>
          <cell r="P597" t="str">
            <v>李立(lli71)</v>
          </cell>
          <cell r="Q597" t="str">
            <v>张矛(mzhang64)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-136.09</v>
          </cell>
          <cell r="AD597">
            <v>-1.59</v>
          </cell>
          <cell r="AE597">
            <v>-1.59</v>
          </cell>
          <cell r="AF597">
            <v>-0.78</v>
          </cell>
          <cell r="AG597">
            <v>0</v>
          </cell>
          <cell r="AH597">
            <v>-140.05000000000001</v>
          </cell>
          <cell r="AI597" t="str">
            <v>CNY</v>
          </cell>
          <cell r="AJ597" t="str">
            <v>LP</v>
          </cell>
          <cell r="AK597" t="str">
            <v>重庆诺贝尔福基</v>
          </cell>
          <cell r="AL597" t="str">
            <v>GWZ3A</v>
          </cell>
          <cell r="BB597">
            <v>-165000</v>
          </cell>
          <cell r="BC597">
            <v>-165000</v>
          </cell>
          <cell r="BI597">
            <v>-1306894</v>
          </cell>
          <cell r="BJ597">
            <v>1687210</v>
          </cell>
        </row>
        <row r="598">
          <cell r="C598" t="str">
            <v>CH049</v>
          </cell>
          <cell r="E598" t="str">
            <v>Fuel Lines and hoses (non-KC)</v>
          </cell>
          <cell r="G598" t="str">
            <v>B</v>
          </cell>
          <cell r="H598" t="str">
            <v>PMT4</v>
          </cell>
          <cell r="I598" t="str">
            <v>PF</v>
          </cell>
          <cell r="J598" t="str">
            <v>JD8G</v>
          </cell>
          <cell r="K598" t="str">
            <v>9G271</v>
          </cell>
          <cell r="L598" t="str">
            <v>AA</v>
          </cell>
          <cell r="M598" t="str">
            <v>JD8G-9G271-AA</v>
          </cell>
          <cell r="P598" t="str">
            <v>李立(lli71)</v>
          </cell>
          <cell r="Q598" t="str">
            <v>张矛(mzhang64)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-13.98</v>
          </cell>
          <cell r="AD598">
            <v>-0.63</v>
          </cell>
          <cell r="AE598">
            <v>-0.35</v>
          </cell>
          <cell r="AF598">
            <v>-0.45</v>
          </cell>
          <cell r="AG598">
            <v>0</v>
          </cell>
          <cell r="AH598">
            <v>-15.41</v>
          </cell>
          <cell r="AI598" t="str">
            <v>CNY</v>
          </cell>
          <cell r="AJ598" t="str">
            <v>LP</v>
          </cell>
          <cell r="AK598" t="str">
            <v>重庆库博</v>
          </cell>
          <cell r="AL598" t="str">
            <v>EC0ZA</v>
          </cell>
          <cell r="BB598">
            <v>-158400</v>
          </cell>
          <cell r="BC598">
            <v>-158400</v>
          </cell>
        </row>
        <row r="599">
          <cell r="C599" t="str">
            <v>CH046</v>
          </cell>
          <cell r="E599" t="str">
            <v>Fuel Delivery Module (Sender)</v>
          </cell>
          <cell r="G599" t="str">
            <v>B</v>
          </cell>
          <cell r="H599" t="str">
            <v>PMT4</v>
          </cell>
          <cell r="I599" t="str">
            <v>PF</v>
          </cell>
          <cell r="J599" t="str">
            <v>JD8G</v>
          </cell>
          <cell r="K599" t="str">
            <v>9H307</v>
          </cell>
          <cell r="L599" t="str">
            <v>AA</v>
          </cell>
          <cell r="M599" t="str">
            <v>JD8G-9H307-AA</v>
          </cell>
          <cell r="P599" t="str">
            <v>任宇(yren16)</v>
          </cell>
          <cell r="Q599" t="str">
            <v>邓文强(wdeng9)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Y599">
            <v>1</v>
          </cell>
          <cell r="AA599">
            <v>0.72000000000000008</v>
          </cell>
          <cell r="AC599">
            <v>-205.01</v>
          </cell>
          <cell r="AD599">
            <v>-1</v>
          </cell>
          <cell r="AE599">
            <v>-5</v>
          </cell>
          <cell r="AF599">
            <v>-4.26</v>
          </cell>
          <cell r="AG599">
            <v>-5.49</v>
          </cell>
          <cell r="AH599">
            <v>0</v>
          </cell>
          <cell r="AI599" t="str">
            <v>CNY</v>
          </cell>
          <cell r="AJ599" t="str">
            <v>LP</v>
          </cell>
          <cell r="AK599" t="str">
            <v>北京德尔福万源发动机管理系统有限公司</v>
          </cell>
          <cell r="AL599" t="str">
            <v>GRXCA</v>
          </cell>
          <cell r="BB599">
            <v>-300000</v>
          </cell>
          <cell r="BC599">
            <v>-300000</v>
          </cell>
        </row>
        <row r="600">
          <cell r="C600" t="str">
            <v>CH046</v>
          </cell>
          <cell r="E600" t="str">
            <v>Fuel Delivery Module (Sender)</v>
          </cell>
          <cell r="G600" t="str">
            <v>B</v>
          </cell>
          <cell r="H600" t="str">
            <v>PMT4</v>
          </cell>
          <cell r="I600" t="str">
            <v>PF</v>
          </cell>
          <cell r="J600" t="str">
            <v>JD8G</v>
          </cell>
          <cell r="K600" t="str">
            <v>9H307</v>
          </cell>
          <cell r="L600" t="str">
            <v>BB</v>
          </cell>
          <cell r="M600" t="str">
            <v>JD8G-9H307-BB</v>
          </cell>
          <cell r="P600" t="str">
            <v>任宇(yren16)</v>
          </cell>
          <cell r="Q600" t="str">
            <v>邓文强(wdeng9)</v>
          </cell>
          <cell r="W600">
            <v>1</v>
          </cell>
          <cell r="X600">
            <v>1</v>
          </cell>
          <cell r="Z600">
            <v>1</v>
          </cell>
          <cell r="AA600">
            <v>0.28000000000000003</v>
          </cell>
          <cell r="AC600">
            <v>-222.44</v>
          </cell>
          <cell r="AD600">
            <v>-1</v>
          </cell>
          <cell r="AE600">
            <v>-5</v>
          </cell>
          <cell r="AF600">
            <v>-4.26</v>
          </cell>
          <cell r="AG600">
            <v>-5.49</v>
          </cell>
          <cell r="AH600">
            <v>-238.19</v>
          </cell>
          <cell r="AI600" t="str">
            <v>CNY</v>
          </cell>
          <cell r="AJ600" t="str">
            <v>LP</v>
          </cell>
          <cell r="AK600" t="str">
            <v>北京德尔福万源发动机管理系统有限公司</v>
          </cell>
          <cell r="AL600" t="str">
            <v>GRXCA</v>
          </cell>
          <cell r="BB600">
            <v>-670000</v>
          </cell>
          <cell r="BC600">
            <v>-670000</v>
          </cell>
        </row>
        <row r="601">
          <cell r="C601" t="str">
            <v>bolt-add</v>
          </cell>
          <cell r="E601" t="str">
            <v>Weldstuds</v>
          </cell>
          <cell r="G601" t="str">
            <v>J</v>
          </cell>
          <cell r="H601" t="str">
            <v>PMT1</v>
          </cell>
          <cell r="I601" t="str">
            <v>TH</v>
          </cell>
          <cell r="K601" t="str">
            <v>W700121</v>
          </cell>
          <cell r="L601" t="str">
            <v>S403</v>
          </cell>
          <cell r="M601" t="str">
            <v>-W700121-S403</v>
          </cell>
          <cell r="P601" t="str">
            <v>张春晖</v>
          </cell>
          <cell r="Q601" t="str">
            <v>江桢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-3.6799999999999999E-2</v>
          </cell>
          <cell r="AD601">
            <v>-1E-3</v>
          </cell>
          <cell r="AE601">
            <v>-2.3999999999999998E-3</v>
          </cell>
          <cell r="AF601">
            <v>-1.38E-2</v>
          </cell>
          <cell r="AH601">
            <v>-5.3999999999999999E-2</v>
          </cell>
          <cell r="AI601" t="str">
            <v>CNY</v>
          </cell>
          <cell r="AJ601" t="str">
            <v>LP</v>
          </cell>
          <cell r="AK601" t="str">
            <v>宁波长华长盛</v>
          </cell>
          <cell r="AL601" t="str">
            <v>EX7ZB </v>
          </cell>
          <cell r="BB601">
            <v>0</v>
          </cell>
          <cell r="BC601">
            <v>0</v>
          </cell>
          <cell r="BE601">
            <v>0</v>
          </cell>
          <cell r="BF601">
            <v>0</v>
          </cell>
          <cell r="BG601">
            <v>0</v>
          </cell>
        </row>
        <row r="602">
          <cell r="C602" t="str">
            <v>CH061</v>
          </cell>
          <cell r="E602" t="str">
            <v>ABS Sensor</v>
          </cell>
          <cell r="G602" t="str">
            <v>J</v>
          </cell>
          <cell r="H602" t="str">
            <v>PMT3</v>
          </cell>
          <cell r="I602" t="str">
            <v>PF</v>
          </cell>
          <cell r="J602" t="str">
            <v>BV6T</v>
          </cell>
          <cell r="K602" t="str">
            <v>2C204</v>
          </cell>
          <cell r="L602" t="str">
            <v>FB</v>
          </cell>
          <cell r="M602" t="str">
            <v>BV6T-2C204-FB</v>
          </cell>
          <cell r="S602">
            <v>2</v>
          </cell>
          <cell r="T602">
            <v>2</v>
          </cell>
          <cell r="U602">
            <v>2</v>
          </cell>
          <cell r="V602">
            <v>2</v>
          </cell>
          <cell r="W602">
            <v>2</v>
          </cell>
          <cell r="X602">
            <v>2</v>
          </cell>
          <cell r="Y602">
            <v>2</v>
          </cell>
          <cell r="Z602">
            <v>2</v>
          </cell>
          <cell r="AA602">
            <v>2</v>
          </cell>
          <cell r="AC602">
            <v>-14.65</v>
          </cell>
          <cell r="AD602">
            <v>-0.1</v>
          </cell>
          <cell r="AE602">
            <v>-0.12</v>
          </cell>
          <cell r="AF602">
            <v>0</v>
          </cell>
          <cell r="AG602">
            <v>0</v>
          </cell>
          <cell r="AH602">
            <v>-14.87</v>
          </cell>
          <cell r="AI602" t="str">
            <v>CNY</v>
          </cell>
          <cell r="AJ602" t="str">
            <v>LP</v>
          </cell>
          <cell r="AK602" t="str">
            <v>连云港大陆</v>
          </cell>
          <cell r="AL602" t="str">
            <v>GQKHA </v>
          </cell>
          <cell r="BB602">
            <v>0</v>
          </cell>
          <cell r="BC602">
            <v>0</v>
          </cell>
          <cell r="BE602">
            <v>0</v>
          </cell>
          <cell r="BF602">
            <v>0</v>
          </cell>
        </row>
        <row r="603">
          <cell r="C603" t="str">
            <v>E023</v>
          </cell>
          <cell r="E603" t="str">
            <v>Headlamp</v>
          </cell>
          <cell r="G603" t="str">
            <v>B</v>
          </cell>
          <cell r="H603" t="str">
            <v>PMT4</v>
          </cell>
          <cell r="I603" t="str">
            <v>PF</v>
          </cell>
          <cell r="J603" t="str">
            <v>JX61</v>
          </cell>
          <cell r="K603" t="str">
            <v>6F072</v>
          </cell>
          <cell r="L603" t="str">
            <v>CA</v>
          </cell>
          <cell r="M603" t="str">
            <v>JX61-6F072-CA</v>
          </cell>
          <cell r="P603" t="str">
            <v>孙爱标(asun7)</v>
          </cell>
          <cell r="Q603" t="str">
            <v>梁伟华(wliang7)</v>
          </cell>
          <cell r="W603">
            <v>1</v>
          </cell>
          <cell r="X603">
            <v>1</v>
          </cell>
          <cell r="Z603">
            <v>1</v>
          </cell>
          <cell r="AA603">
            <v>0.28000000000000003</v>
          </cell>
          <cell r="AC603">
            <v>-37.28</v>
          </cell>
          <cell r="AD603">
            <v>-1.07</v>
          </cell>
          <cell r="AE603">
            <v>-0.32</v>
          </cell>
          <cell r="AF603">
            <v>-0.82</v>
          </cell>
          <cell r="AH603">
            <v>-39.49</v>
          </cell>
          <cell r="AI603" t="str">
            <v>CNY</v>
          </cell>
          <cell r="AJ603" t="str">
            <v>LP</v>
          </cell>
          <cell r="AK603" t="str">
            <v>阿汶汽车零部件(重庆)有限公司</v>
          </cell>
          <cell r="AL603" t="str">
            <v>GZ9PA</v>
          </cell>
          <cell r="BB603">
            <v>0</v>
          </cell>
          <cell r="BC603">
            <v>0</v>
          </cell>
          <cell r="BE603">
            <v>0</v>
          </cell>
          <cell r="BF603">
            <v>0</v>
          </cell>
        </row>
        <row r="604">
          <cell r="C604" t="str">
            <v>E022</v>
          </cell>
          <cell r="E604" t="str">
            <v>Tail Lamp</v>
          </cell>
          <cell r="G604" t="str">
            <v>B</v>
          </cell>
          <cell r="H604" t="str">
            <v>PMT1</v>
          </cell>
          <cell r="I604" t="str">
            <v>TH</v>
          </cell>
          <cell r="J604" t="str">
            <v>JD8B</v>
          </cell>
          <cell r="K604" t="str">
            <v>13A602</v>
          </cell>
          <cell r="L604" t="str">
            <v>AE</v>
          </cell>
          <cell r="M604" t="str">
            <v>JD8B-13A602-AE</v>
          </cell>
          <cell r="O604">
            <v>43033</v>
          </cell>
          <cell r="P604" t="str">
            <v>罗周第</v>
          </cell>
          <cell r="Q604" t="str">
            <v>王渝林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-83.67</v>
          </cell>
          <cell r="AD604">
            <v>-1.04</v>
          </cell>
          <cell r="AE604">
            <v>-1.32</v>
          </cell>
          <cell r="AF604">
            <v>0</v>
          </cell>
          <cell r="AG604">
            <v>-1.8</v>
          </cell>
          <cell r="AH604">
            <v>-87.83</v>
          </cell>
          <cell r="AI604" t="str">
            <v>CNY</v>
          </cell>
          <cell r="AJ604" t="str">
            <v>LP</v>
          </cell>
          <cell r="AK604" t="str">
            <v>重庆大茂伟瑞柯车灯有限公司</v>
          </cell>
          <cell r="AL604" t="str">
            <v>FCXBB</v>
          </cell>
          <cell r="BB604">
            <v>0</v>
          </cell>
          <cell r="BC604">
            <v>0</v>
          </cell>
          <cell r="BE604">
            <v>0</v>
          </cell>
          <cell r="BF604">
            <v>0</v>
          </cell>
        </row>
        <row r="605">
          <cell r="C605" t="str">
            <v>E107</v>
          </cell>
          <cell r="E605" t="str">
            <v>2nd 12V powerpoint</v>
          </cell>
          <cell r="G605" t="str">
            <v>J</v>
          </cell>
          <cell r="H605" t="str">
            <v>PMT5</v>
          </cell>
          <cell r="I605" t="str">
            <v>PF</v>
          </cell>
          <cell r="J605" t="str">
            <v>JD8T</v>
          </cell>
          <cell r="K605" t="str">
            <v>19A487</v>
          </cell>
          <cell r="L605" t="str">
            <v>AAW</v>
          </cell>
          <cell r="M605" t="str">
            <v>JD8T-19A487-AAW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-2.67</v>
          </cell>
          <cell r="AD605">
            <v>-0.2</v>
          </cell>
          <cell r="AE605">
            <v>0</v>
          </cell>
          <cell r="AF605">
            <v>0</v>
          </cell>
          <cell r="AG605">
            <v>0</v>
          </cell>
          <cell r="AH605">
            <v>-2.87</v>
          </cell>
          <cell r="AI605" t="str">
            <v>CNY</v>
          </cell>
          <cell r="AJ605" t="str">
            <v>LP</v>
          </cell>
          <cell r="AK605" t="str">
            <v>苏州凯斯库 </v>
          </cell>
          <cell r="AL605" t="str">
            <v>FRBFA </v>
          </cell>
          <cell r="BB605">
            <v>0</v>
          </cell>
          <cell r="BC605">
            <v>0</v>
          </cell>
          <cell r="BE605">
            <v>0</v>
          </cell>
          <cell r="BF605">
            <v>0</v>
          </cell>
        </row>
        <row r="606">
          <cell r="C606" t="str">
            <v>E107</v>
          </cell>
          <cell r="E606" t="str">
            <v>2nd 12V powerpoint</v>
          </cell>
          <cell r="G606" t="str">
            <v>J</v>
          </cell>
          <cell r="H606" t="str">
            <v>PMT5</v>
          </cell>
          <cell r="I606" t="str">
            <v>PF</v>
          </cell>
          <cell r="J606" t="str">
            <v>JD8T</v>
          </cell>
          <cell r="K606" t="str">
            <v>19A487</v>
          </cell>
          <cell r="L606" t="str">
            <v>ABW </v>
          </cell>
          <cell r="M606" t="str">
            <v>JD8T-19A487-ABW 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-2.67</v>
          </cell>
          <cell r="AD606">
            <v>-0.2</v>
          </cell>
          <cell r="AE606">
            <v>0</v>
          </cell>
          <cell r="AF606">
            <v>0</v>
          </cell>
          <cell r="AG606">
            <v>0</v>
          </cell>
          <cell r="AH606">
            <v>-2.87</v>
          </cell>
          <cell r="AI606" t="str">
            <v>CNY</v>
          </cell>
          <cell r="AJ606" t="str">
            <v>LP</v>
          </cell>
          <cell r="AK606" t="str">
            <v>苏州凯斯库 </v>
          </cell>
          <cell r="AL606" t="str">
            <v>FRBFA </v>
          </cell>
          <cell r="BB606">
            <v>0</v>
          </cell>
          <cell r="BC606">
            <v>0</v>
          </cell>
          <cell r="BE606">
            <v>0</v>
          </cell>
          <cell r="BF606">
            <v>0</v>
          </cell>
        </row>
        <row r="607">
          <cell r="C607" t="str">
            <v>E107</v>
          </cell>
          <cell r="E607" t="str">
            <v>2nd 12V powerpoint</v>
          </cell>
          <cell r="G607" t="str">
            <v>J</v>
          </cell>
          <cell r="H607" t="str">
            <v>PMT5</v>
          </cell>
          <cell r="I607" t="str">
            <v>PF</v>
          </cell>
          <cell r="J607" t="str">
            <v>6R33 </v>
          </cell>
          <cell r="K607" t="str">
            <v>19G247</v>
          </cell>
          <cell r="L607" t="str">
            <v>AA</v>
          </cell>
          <cell r="M607" t="str">
            <v>6R33 -19G247-AA</v>
          </cell>
          <cell r="S607">
            <v>1</v>
          </cell>
          <cell r="T607">
            <v>1</v>
          </cell>
          <cell r="U607">
            <v>2</v>
          </cell>
          <cell r="V607">
            <v>2</v>
          </cell>
          <cell r="W607">
            <v>2</v>
          </cell>
          <cell r="X607">
            <v>2</v>
          </cell>
          <cell r="Y607">
            <v>1</v>
          </cell>
          <cell r="Z607">
            <v>1</v>
          </cell>
          <cell r="AA607">
            <v>1.6</v>
          </cell>
          <cell r="AC607">
            <v>-2.62</v>
          </cell>
          <cell r="AD607">
            <v>-0.1</v>
          </cell>
          <cell r="AE607">
            <v>0</v>
          </cell>
          <cell r="AF607">
            <v>0</v>
          </cell>
          <cell r="AG607">
            <v>0</v>
          </cell>
          <cell r="AH607">
            <v>-2.72</v>
          </cell>
          <cell r="AI607" t="str">
            <v>CNY</v>
          </cell>
          <cell r="AJ607" t="str">
            <v>LP</v>
          </cell>
          <cell r="AK607" t="str">
            <v>苏州凯斯库 </v>
          </cell>
          <cell r="AL607" t="str">
            <v>FRBFA </v>
          </cell>
          <cell r="BB607">
            <v>0</v>
          </cell>
          <cell r="BC607">
            <v>0</v>
          </cell>
          <cell r="BE607">
            <v>0</v>
          </cell>
          <cell r="BF607">
            <v>0</v>
          </cell>
        </row>
        <row r="608">
          <cell r="C608" t="str">
            <v>E20</v>
          </cell>
          <cell r="D608" t="str">
            <v/>
          </cell>
          <cell r="E608" t="str">
            <v>Foglamp (non-KC)</v>
          </cell>
          <cell r="G608" t="str">
            <v>J</v>
          </cell>
          <cell r="H608" t="str">
            <v>PMT1</v>
          </cell>
          <cell r="I608" t="str">
            <v>TH</v>
          </cell>
          <cell r="J608" t="str">
            <v>2N11</v>
          </cell>
          <cell r="K608" t="str">
            <v>15201 </v>
          </cell>
          <cell r="L608" t="str">
            <v>BA</v>
          </cell>
          <cell r="M608" t="str">
            <v>2N11-15201 -BA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0</v>
          </cell>
          <cell r="Z608">
            <v>0</v>
          </cell>
          <cell r="AA608">
            <v>0.9</v>
          </cell>
          <cell r="AC608">
            <v>-34.82</v>
          </cell>
          <cell r="AD608">
            <v>-0.5</v>
          </cell>
          <cell r="AE608">
            <v>-1.1000000000000001</v>
          </cell>
          <cell r="AF608">
            <v>0</v>
          </cell>
          <cell r="AG608">
            <v>0</v>
          </cell>
          <cell r="AH608">
            <v>-36.42</v>
          </cell>
          <cell r="AI608" t="str">
            <v>CNY</v>
          </cell>
          <cell r="AJ608" t="str">
            <v>LP</v>
          </cell>
          <cell r="AK608" t="str">
            <v>佛山法雷奥 </v>
          </cell>
          <cell r="AL608" t="str">
            <v>FV3VA</v>
          </cell>
          <cell r="BB608">
            <v>0</v>
          </cell>
          <cell r="BC608">
            <v>0</v>
          </cell>
          <cell r="BE608">
            <v>0</v>
          </cell>
          <cell r="BF608">
            <v>0</v>
          </cell>
        </row>
        <row r="609">
          <cell r="C609" t="str">
            <v>E032</v>
          </cell>
          <cell r="E609" t="str">
            <v>Rear door lock switch</v>
          </cell>
          <cell r="G609" t="str">
            <v>na</v>
          </cell>
          <cell r="H609" t="str">
            <v>PMT5</v>
          </cell>
          <cell r="I609" t="str">
            <v>TH</v>
          </cell>
          <cell r="J609" t="str">
            <v>JB3T</v>
          </cell>
          <cell r="K609" t="str">
            <v>14017 </v>
          </cell>
          <cell r="L609" t="str">
            <v>EAW</v>
          </cell>
          <cell r="M609" t="str">
            <v>JB3T-14017 -EAW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-12.44</v>
          </cell>
          <cell r="AD609">
            <v>-0.06</v>
          </cell>
          <cell r="AE609">
            <v>-0.02</v>
          </cell>
          <cell r="AF609">
            <v>0</v>
          </cell>
          <cell r="AG609">
            <v>0</v>
          </cell>
          <cell r="AH609">
            <v>-12.52</v>
          </cell>
          <cell r="AI609" t="str">
            <v>CNY</v>
          </cell>
          <cell r="AJ609" t="str">
            <v>LP</v>
          </cell>
          <cell r="AK609" t="str">
            <v>重庆大明</v>
          </cell>
          <cell r="AL609" t="str">
            <v>GNJFA </v>
          </cell>
          <cell r="BB609">
            <v>0</v>
          </cell>
          <cell r="BC609">
            <v>0</v>
          </cell>
          <cell r="BE609">
            <v>0</v>
          </cell>
          <cell r="BF609">
            <v>0</v>
          </cell>
        </row>
        <row r="610">
          <cell r="C610" t="str">
            <v>Blk-63</v>
          </cell>
          <cell r="E610" t="str">
            <v>C490MCA Rich Copper</v>
          </cell>
          <cell r="H610" t="str">
            <v>PMT1</v>
          </cell>
          <cell r="I610" t="str">
            <v>TH</v>
          </cell>
          <cell r="J610" t="str">
            <v>ED8B</v>
          </cell>
          <cell r="K610">
            <v>141</v>
          </cell>
          <cell r="L610" t="str">
            <v>AA5HQH </v>
          </cell>
          <cell r="M610" t="str">
            <v>ED8B-141-AA5HQH </v>
          </cell>
          <cell r="P610" t="str">
            <v>黄锡</v>
          </cell>
          <cell r="Q610" t="str">
            <v>蔡伟强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-374.29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-374.29</v>
          </cell>
          <cell r="AI610" t="str">
            <v>CNY</v>
          </cell>
          <cell r="AJ610" t="str">
            <v>LP</v>
          </cell>
          <cell r="AK610" t="str">
            <v>艾仕得涂料系统(长春)</v>
          </cell>
          <cell r="AL610" t="str">
            <v>DAYUA</v>
          </cell>
          <cell r="BB610">
            <v>0</v>
          </cell>
          <cell r="BC610">
            <v>0</v>
          </cell>
          <cell r="BE610">
            <v>0</v>
          </cell>
          <cell r="BF610">
            <v>0</v>
          </cell>
        </row>
        <row r="611">
          <cell r="C611" t="str">
            <v>Blk-63</v>
          </cell>
          <cell r="E611" t="str">
            <v>C490MCA Rich Copper</v>
          </cell>
          <cell r="H611" t="str">
            <v>PMT1</v>
          </cell>
          <cell r="I611" t="str">
            <v>TH</v>
          </cell>
          <cell r="J611" t="str">
            <v>ED8B</v>
          </cell>
          <cell r="K611">
            <v>141</v>
          </cell>
          <cell r="L611" t="str">
            <v>AA5JCT</v>
          </cell>
          <cell r="M611" t="str">
            <v>ED8B-141-AA5JCT</v>
          </cell>
          <cell r="P611" t="str">
            <v>黄锡</v>
          </cell>
          <cell r="Q611" t="str">
            <v>蔡伟强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-369.06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-369.06</v>
          </cell>
          <cell r="AI611" t="str">
            <v>CNY</v>
          </cell>
          <cell r="AJ611" t="str">
            <v>LP</v>
          </cell>
          <cell r="AK611" t="str">
            <v>艾仕得涂料系统(长春)</v>
          </cell>
          <cell r="AL611" t="str">
            <v>DAYUA</v>
          </cell>
          <cell r="BB611">
            <v>0</v>
          </cell>
          <cell r="BC611">
            <v>0</v>
          </cell>
          <cell r="BE611">
            <v>0</v>
          </cell>
          <cell r="BF611">
            <v>0</v>
          </cell>
        </row>
        <row r="612">
          <cell r="C612" t="str">
            <v>Blk-63</v>
          </cell>
          <cell r="E612" t="str">
            <v>C490MCA Rich Copper</v>
          </cell>
          <cell r="H612" t="str">
            <v>PMT1</v>
          </cell>
          <cell r="I612" t="str">
            <v>TH</v>
          </cell>
          <cell r="J612" t="str">
            <v>ED8B</v>
          </cell>
          <cell r="K612">
            <v>141</v>
          </cell>
          <cell r="L612" t="str">
            <v>AA5KRC</v>
          </cell>
          <cell r="M612" t="str">
            <v>ED8B-141-AA5KRC</v>
          </cell>
          <cell r="P612" t="str">
            <v>黄锡</v>
          </cell>
          <cell r="Q612" t="str">
            <v>蔡伟强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-416.4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-416.4</v>
          </cell>
          <cell r="AI612" t="str">
            <v>CNY</v>
          </cell>
          <cell r="AJ612" t="str">
            <v>LP</v>
          </cell>
          <cell r="AK612" t="str">
            <v>PPG涂料（天津）</v>
          </cell>
          <cell r="AL612" t="str">
            <v>FAVYA</v>
          </cell>
          <cell r="BB612">
            <v>0</v>
          </cell>
          <cell r="BC612">
            <v>0</v>
          </cell>
          <cell r="BE612">
            <v>0</v>
          </cell>
          <cell r="BF612">
            <v>0</v>
          </cell>
        </row>
        <row r="613">
          <cell r="C613" t="str">
            <v>PTO69</v>
          </cell>
          <cell r="E613" t="str">
            <v>PCV  Tube</v>
          </cell>
          <cell r="G613" t="str">
            <v>B</v>
          </cell>
          <cell r="H613" t="str">
            <v>PMT4</v>
          </cell>
          <cell r="I613" t="str">
            <v>PF</v>
          </cell>
          <cell r="J613" t="str">
            <v>H6BG</v>
          </cell>
          <cell r="K613">
            <v>6758</v>
          </cell>
          <cell r="L613" t="str">
            <v>AA</v>
          </cell>
          <cell r="M613" t="str">
            <v>H6BG-6758-AA</v>
          </cell>
          <cell r="P613" t="str">
            <v>刘旭</v>
          </cell>
          <cell r="Q613" t="str">
            <v>任宇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1</v>
          </cell>
          <cell r="X613">
            <v>1</v>
          </cell>
          <cell r="Y613">
            <v>0</v>
          </cell>
          <cell r="Z613">
            <v>1</v>
          </cell>
          <cell r="AA613">
            <v>0.28000000000000003</v>
          </cell>
          <cell r="AC613">
            <v>-32.35</v>
          </cell>
          <cell r="AD613">
            <v>-0.5</v>
          </cell>
          <cell r="AE613">
            <v>-0.4</v>
          </cell>
          <cell r="AF613">
            <v>0</v>
          </cell>
          <cell r="AG613">
            <v>0</v>
          </cell>
          <cell r="AH613">
            <v>-33.25</v>
          </cell>
          <cell r="AI613" t="str">
            <v>CNY</v>
          </cell>
          <cell r="AJ613" t="str">
            <v>LP</v>
          </cell>
          <cell r="AK613" t="str">
            <v>帕萨思汽车零部件（上海）有限公司</v>
          </cell>
          <cell r="AL613" t="str">
            <v>GNNYA</v>
          </cell>
          <cell r="BB613">
            <v>0</v>
          </cell>
          <cell r="BC613">
            <v>0</v>
          </cell>
          <cell r="BE613">
            <v>0</v>
          </cell>
          <cell r="BF613">
            <v>0</v>
          </cell>
        </row>
        <row r="614">
          <cell r="C614" t="str">
            <v>B013-8</v>
          </cell>
          <cell r="E614" t="str">
            <v>Exhaust Bracket</v>
          </cell>
          <cell r="H614" t="str">
            <v>PMT4</v>
          </cell>
          <cell r="I614" t="str">
            <v>PF</v>
          </cell>
          <cell r="J614" t="str">
            <v>GN11</v>
          </cell>
          <cell r="K614" t="str">
            <v>5K291</v>
          </cell>
          <cell r="L614" t="str">
            <v xml:space="preserve">DB </v>
          </cell>
          <cell r="M614" t="str">
            <v>GN11-5K291-DB</v>
          </cell>
          <cell r="P614" t="str">
            <v>陈善文(schen126)</v>
          </cell>
          <cell r="Q614" t="str">
            <v>郭阳(yguo41)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0.67</v>
          </cell>
          <cell r="AC614">
            <v>-38.97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-38.97</v>
          </cell>
          <cell r="AI614" t="str">
            <v>CNY</v>
          </cell>
          <cell r="AJ614" t="str">
            <v>LP</v>
          </cell>
          <cell r="AK614" t="str">
            <v>重庆港湘龙</v>
          </cell>
          <cell r="AL614" t="str">
            <v>GGU8A</v>
          </cell>
          <cell r="BB614">
            <v>-790135</v>
          </cell>
          <cell r="BC614">
            <v>-790135</v>
          </cell>
          <cell r="BE614">
            <v>0</v>
          </cell>
          <cell r="BF614">
            <v>0</v>
          </cell>
        </row>
        <row r="615">
          <cell r="C615" t="str">
            <v>CH046</v>
          </cell>
          <cell r="E615" t="str">
            <v>Fuel Tank</v>
          </cell>
          <cell r="H615" t="str">
            <v>PMT4</v>
          </cell>
          <cell r="I615" t="str">
            <v>PF</v>
          </cell>
          <cell r="J615" t="str">
            <v>JD8G</v>
          </cell>
          <cell r="K615" t="str">
            <v>9K007</v>
          </cell>
          <cell r="L615" t="str">
            <v>CB</v>
          </cell>
          <cell r="M615" t="str">
            <v>JD8G-9K007-CB</v>
          </cell>
          <cell r="P615" t="str">
            <v>任宇(yren16)</v>
          </cell>
          <cell r="Q615" t="str">
            <v>邓文强(wdeng9)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0.33</v>
          </cell>
          <cell r="AC615">
            <v>-502.08</v>
          </cell>
          <cell r="AD615">
            <v>-2.4249999999999998</v>
          </cell>
          <cell r="AE615">
            <v>-3</v>
          </cell>
          <cell r="AF615">
            <v>-1.08</v>
          </cell>
          <cell r="AG615">
            <v>0</v>
          </cell>
          <cell r="AH615">
            <v>-508.58499999999998</v>
          </cell>
          <cell r="AI615" t="str">
            <v>CNY</v>
          </cell>
          <cell r="AJ615" t="str">
            <v>LP</v>
          </cell>
          <cell r="AK615" t="str">
            <v>重庆大江亚普汽车部件有限公司</v>
          </cell>
          <cell r="AL615" t="str">
            <v>CQSQC</v>
          </cell>
          <cell r="BB615">
            <v>-301000</v>
          </cell>
          <cell r="BC615">
            <v>-301000</v>
          </cell>
        </row>
        <row r="616">
          <cell r="C616" t="str">
            <v>na</v>
          </cell>
          <cell r="E616" t="str">
            <v>RETAINER 6.4 PIN SPL PLA</v>
          </cell>
          <cell r="H616" t="str">
            <v>PMT1</v>
          </cell>
          <cell r="K616" t="str">
            <v>W710210</v>
          </cell>
          <cell r="L616" t="str">
            <v>S300 </v>
          </cell>
          <cell r="M616" t="str">
            <v>-W710210-S300 </v>
          </cell>
          <cell r="P616" t="str">
            <v>吴松(swu86)</v>
          </cell>
          <cell r="Q616" t="str">
            <v>白丽颖(lbai1)</v>
          </cell>
          <cell r="S616">
            <v>2</v>
          </cell>
          <cell r="T616">
            <v>2</v>
          </cell>
          <cell r="U616">
            <v>2</v>
          </cell>
          <cell r="V616">
            <v>2</v>
          </cell>
          <cell r="W616">
            <v>2</v>
          </cell>
          <cell r="X616">
            <v>2</v>
          </cell>
          <cell r="Y616">
            <v>2</v>
          </cell>
          <cell r="Z616">
            <v>2</v>
          </cell>
          <cell r="AA616">
            <v>2</v>
          </cell>
          <cell r="AC616">
            <v>-0.21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-0.21</v>
          </cell>
          <cell r="AI616" t="str">
            <v>CNY</v>
          </cell>
          <cell r="AJ616" t="str">
            <v>LP</v>
          </cell>
          <cell r="AK616" t="str">
            <v>宁波兰迪汽车部件有限公司</v>
          </cell>
          <cell r="AL616" t="str">
            <v>FJHDA</v>
          </cell>
          <cell r="BB616">
            <v>0</v>
          </cell>
          <cell r="BC616">
            <v>0</v>
          </cell>
          <cell r="BE616">
            <v>0</v>
          </cell>
          <cell r="BF616">
            <v>0</v>
          </cell>
          <cell r="BG616">
            <v>0</v>
          </cell>
        </row>
        <row r="617">
          <cell r="C617" t="str">
            <v>Blk-70</v>
          </cell>
          <cell r="E617" t="str">
            <v>brake fluid</v>
          </cell>
          <cell r="F617" t="str">
            <v>brake fluid</v>
          </cell>
          <cell r="H617" t="str">
            <v>PMT3</v>
          </cell>
          <cell r="I617" t="str">
            <v>PF</v>
          </cell>
          <cell r="J617" t="str">
            <v>WSS</v>
          </cell>
          <cell r="K617" t="str">
            <v>M6C65 </v>
          </cell>
          <cell r="L617" t="str">
            <v>A216MED</v>
          </cell>
          <cell r="M617" t="str">
            <v>WSS-M6C65 -A216MED</v>
          </cell>
          <cell r="P617" t="str">
            <v>Kang,hui</v>
          </cell>
          <cell r="Q617" t="str">
            <v>Zhou,LI</v>
          </cell>
          <cell r="S617">
            <v>0.7</v>
          </cell>
          <cell r="T617">
            <v>0.7</v>
          </cell>
          <cell r="U617">
            <v>0.7</v>
          </cell>
          <cell r="V617">
            <v>0.7</v>
          </cell>
          <cell r="W617">
            <v>0.7</v>
          </cell>
          <cell r="X617">
            <v>0.7</v>
          </cell>
          <cell r="Y617">
            <v>0.7</v>
          </cell>
          <cell r="Z617">
            <v>0.7</v>
          </cell>
          <cell r="AA617">
            <v>0.70000000000000007</v>
          </cell>
          <cell r="AC617">
            <v>-18.3</v>
          </cell>
          <cell r="AD617">
            <v>0</v>
          </cell>
          <cell r="AE617">
            <v>-0.35</v>
          </cell>
          <cell r="AF617">
            <v>0</v>
          </cell>
          <cell r="AG617">
            <v>0</v>
          </cell>
          <cell r="AH617">
            <v>-18.650000000000002</v>
          </cell>
          <cell r="AI617" t="str">
            <v>CNY</v>
          </cell>
          <cell r="AJ617" t="str">
            <v>LP</v>
          </cell>
          <cell r="AK617" t="str">
            <v>重庆盛嘉</v>
          </cell>
          <cell r="AL617" t="str">
            <v>DAMBA </v>
          </cell>
          <cell r="BB617">
            <v>0</v>
          </cell>
          <cell r="BC617">
            <v>0</v>
          </cell>
          <cell r="BE617">
            <v>0</v>
          </cell>
          <cell r="BF617">
            <v>0</v>
          </cell>
        </row>
        <row r="618">
          <cell r="C618" t="str">
            <v>IT101</v>
          </cell>
          <cell r="E618" t="str">
            <v>Wire bracket</v>
          </cell>
          <cell r="H618" t="str">
            <v>PMT5</v>
          </cell>
          <cell r="I618" t="str">
            <v>TH</v>
          </cell>
          <cell r="J618" t="str">
            <v>ED8T </v>
          </cell>
          <cell r="K618" t="str">
            <v>14536 </v>
          </cell>
          <cell r="L618" t="str">
            <v>AE</v>
          </cell>
          <cell r="M618" t="str">
            <v>ED8T -14536 -AE</v>
          </cell>
          <cell r="P618" t="str">
            <v>Liu,zheqian</v>
          </cell>
          <cell r="Q618" t="str">
            <v>zheng,shengwen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C618">
            <v>-4.46</v>
          </cell>
          <cell r="AD618">
            <v>-0.22</v>
          </cell>
          <cell r="AE618">
            <v>-0.11</v>
          </cell>
          <cell r="AF618">
            <v>0</v>
          </cell>
          <cell r="AG618">
            <v>0</v>
          </cell>
          <cell r="AH618">
            <v>-4.79</v>
          </cell>
          <cell r="AI618" t="str">
            <v>CNY</v>
          </cell>
          <cell r="AJ618" t="str">
            <v>LP</v>
          </cell>
          <cell r="AK618" t="str">
            <v>重庆光能荣能</v>
          </cell>
          <cell r="AL618" t="str">
            <v>DH0HA</v>
          </cell>
          <cell r="BB618">
            <v>-16000</v>
          </cell>
          <cell r="BC618">
            <v>-16000</v>
          </cell>
          <cell r="BE618">
            <v>0</v>
          </cell>
          <cell r="BF618">
            <v>0</v>
          </cell>
        </row>
        <row r="619">
          <cell r="C619" t="str">
            <v>B041</v>
          </cell>
          <cell r="E619" t="str">
            <v>Stamping_outsource stamping &amp; welding assy-chunk 1</v>
          </cell>
          <cell r="H619" t="str">
            <v>PMT2</v>
          </cell>
          <cell r="I619" t="str">
            <v>PF</v>
          </cell>
          <cell r="J619" t="str">
            <v>JD8B </v>
          </cell>
          <cell r="K619" t="str">
            <v>R01610 </v>
          </cell>
          <cell r="L619" t="str">
            <v>AA</v>
          </cell>
          <cell r="M619" t="str">
            <v>JD8B -R01610 -AA</v>
          </cell>
          <cell r="P619" t="str">
            <v>魏晓伟</v>
          </cell>
          <cell r="Q619" t="str">
            <v>江桢</v>
          </cell>
          <cell r="S619">
            <v>1</v>
          </cell>
          <cell r="T619">
            <v>1</v>
          </cell>
          <cell r="U619">
            <v>1</v>
          </cell>
          <cell r="V619">
            <v>1</v>
          </cell>
          <cell r="W619">
            <v>1</v>
          </cell>
          <cell r="X619">
            <v>1</v>
          </cell>
          <cell r="Y619">
            <v>1</v>
          </cell>
          <cell r="Z619">
            <v>1</v>
          </cell>
          <cell r="AA619">
            <v>1</v>
          </cell>
          <cell r="AC619">
            <v>-81.3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-81.3</v>
          </cell>
          <cell r="AI619" t="str">
            <v>CNY</v>
          </cell>
          <cell r="AJ619" t="str">
            <v>LP</v>
          </cell>
          <cell r="AK619" t="str">
            <v>联伟汽车零部件（重庆）有限公司</v>
          </cell>
          <cell r="AL619" t="str">
            <v>EHDAA</v>
          </cell>
          <cell r="BB619">
            <v>-3688596</v>
          </cell>
          <cell r="BC619">
            <v>-3688596</v>
          </cell>
          <cell r="BE619">
            <v>0</v>
          </cell>
          <cell r="BF619">
            <v>0</v>
          </cell>
        </row>
        <row r="620">
          <cell r="C620" t="str">
            <v>CH034-1</v>
          </cell>
          <cell r="E620" t="str">
            <v>Front lower control arm</v>
          </cell>
          <cell r="H620" t="str">
            <v>PMT3</v>
          </cell>
          <cell r="I620" t="str">
            <v>PF</v>
          </cell>
          <cell r="J620" t="str">
            <v>ED8C</v>
          </cell>
          <cell r="K620" t="str">
            <v>3A423</v>
          </cell>
          <cell r="L620" t="str">
            <v>AG</v>
          </cell>
          <cell r="M620" t="str">
            <v>ED8C-3A423-AG</v>
          </cell>
          <cell r="P620" t="str">
            <v>李遥远(yli215)</v>
          </cell>
          <cell r="Q620" t="str">
            <v>李贤利(xli191)</v>
          </cell>
          <cell r="S620">
            <v>1</v>
          </cell>
          <cell r="T620">
            <v>1</v>
          </cell>
          <cell r="U620">
            <v>1</v>
          </cell>
          <cell r="V620">
            <v>1</v>
          </cell>
          <cell r="W620">
            <v>1</v>
          </cell>
          <cell r="X620">
            <v>1</v>
          </cell>
          <cell r="Y620">
            <v>1</v>
          </cell>
          <cell r="Z620">
            <v>1</v>
          </cell>
          <cell r="AA620">
            <v>1</v>
          </cell>
          <cell r="AC620">
            <v>-186.01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-186.01</v>
          </cell>
          <cell r="AI620" t="str">
            <v>CNY</v>
          </cell>
          <cell r="AJ620" t="str">
            <v>LP</v>
          </cell>
          <cell r="AK620" t="str">
            <v>本特勒汽车系统（重庆）有限公司</v>
          </cell>
          <cell r="AL620" t="str">
            <v>GK6PA</v>
          </cell>
        </row>
        <row r="621">
          <cell r="C621" t="str">
            <v>CH034-1</v>
          </cell>
          <cell r="E621" t="str">
            <v>Front lower control arm</v>
          </cell>
          <cell r="H621" t="str">
            <v>PMT3</v>
          </cell>
          <cell r="I621" t="str">
            <v>PF</v>
          </cell>
          <cell r="J621" t="str">
            <v>ED8C</v>
          </cell>
          <cell r="K621" t="str">
            <v>3A424</v>
          </cell>
          <cell r="L621" t="str">
            <v>AG</v>
          </cell>
          <cell r="M621" t="str">
            <v>ED8C-3A424-AG</v>
          </cell>
          <cell r="P621" t="str">
            <v>李遥远(yli215)</v>
          </cell>
          <cell r="Q621" t="str">
            <v>李贤利(xli191)</v>
          </cell>
          <cell r="S621">
            <v>1</v>
          </cell>
          <cell r="T621">
            <v>1</v>
          </cell>
          <cell r="U621">
            <v>1</v>
          </cell>
          <cell r="V621">
            <v>1</v>
          </cell>
          <cell r="W621">
            <v>1</v>
          </cell>
          <cell r="X621">
            <v>1</v>
          </cell>
          <cell r="Y621">
            <v>1</v>
          </cell>
          <cell r="Z621">
            <v>1</v>
          </cell>
          <cell r="AA621">
            <v>1</v>
          </cell>
          <cell r="AC621">
            <v>-186.01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-186.01</v>
          </cell>
          <cell r="AI621" t="str">
            <v>CNY</v>
          </cell>
          <cell r="AJ621" t="str">
            <v>LP</v>
          </cell>
          <cell r="AK621" t="str">
            <v>本特勒汽车系统（重庆）有限公司</v>
          </cell>
        </row>
        <row r="622">
          <cell r="C622" t="str">
            <v>IT16-2</v>
          </cell>
          <cell r="E622" t="str">
            <v>FOAM BLOCK</v>
          </cell>
          <cell r="H622" t="str">
            <v>PMT2</v>
          </cell>
          <cell r="I622" t="str">
            <v>TH</v>
          </cell>
          <cell r="J622" t="str">
            <v>ED8B</v>
          </cell>
          <cell r="K622" t="str">
            <v>F278C62</v>
          </cell>
          <cell r="L622" t="str">
            <v>AB</v>
          </cell>
          <cell r="M622" t="str">
            <v>ED8B-F278C62-AB</v>
          </cell>
          <cell r="P622" t="str">
            <v>刘腾飞</v>
          </cell>
          <cell r="Q622" t="str">
            <v>白丽颖</v>
          </cell>
          <cell r="S622">
            <v>2</v>
          </cell>
          <cell r="T622">
            <v>2</v>
          </cell>
          <cell r="U622">
            <v>2</v>
          </cell>
          <cell r="V622">
            <v>2</v>
          </cell>
          <cell r="W622">
            <v>2</v>
          </cell>
          <cell r="X622">
            <v>2</v>
          </cell>
          <cell r="Y622">
            <v>2</v>
          </cell>
          <cell r="Z622">
            <v>2</v>
          </cell>
          <cell r="AA622">
            <v>2</v>
          </cell>
          <cell r="AC622">
            <v>-1.72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-1.72</v>
          </cell>
          <cell r="AI622" t="str">
            <v>CNY</v>
          </cell>
          <cell r="AJ622" t="str">
            <v>LP</v>
          </cell>
          <cell r="AK622" t="str">
            <v>欧拓（重庆）防音配件有限公司</v>
          </cell>
          <cell r="AL622" t="str">
            <v>FEXAA</v>
          </cell>
        </row>
        <row r="623">
          <cell r="C623" t="str">
            <v>IT16-2</v>
          </cell>
          <cell r="E623" t="str">
            <v>INS BDY SD PLR</v>
          </cell>
          <cell r="H623" t="str">
            <v>PMT2</v>
          </cell>
          <cell r="I623" t="str">
            <v>TH</v>
          </cell>
          <cell r="J623" t="str">
            <v>ED8B</v>
          </cell>
          <cell r="K623" t="str">
            <v>F32284 </v>
          </cell>
          <cell r="L623" t="str">
            <v>AA</v>
          </cell>
          <cell r="M623" t="str">
            <v>ED8B-F32284 -AA</v>
          </cell>
          <cell r="P623" t="str">
            <v>刘腾飞</v>
          </cell>
          <cell r="Q623" t="str">
            <v>白丽颖</v>
          </cell>
          <cell r="S623">
            <v>2</v>
          </cell>
          <cell r="T623">
            <v>2</v>
          </cell>
          <cell r="U623">
            <v>2</v>
          </cell>
          <cell r="V623">
            <v>2</v>
          </cell>
          <cell r="W623">
            <v>2</v>
          </cell>
          <cell r="X623">
            <v>2</v>
          </cell>
          <cell r="Y623">
            <v>2</v>
          </cell>
          <cell r="Z623">
            <v>2</v>
          </cell>
          <cell r="AA623">
            <v>2</v>
          </cell>
          <cell r="AC623">
            <v>-0.71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-0.71</v>
          </cell>
          <cell r="AI623" t="str">
            <v>CNY</v>
          </cell>
          <cell r="AJ623" t="str">
            <v>LP</v>
          </cell>
          <cell r="AK623" t="str">
            <v>欧拓（重庆）防音配件有限公司</v>
          </cell>
          <cell r="AL623" t="str">
            <v>FEXAA</v>
          </cell>
        </row>
        <row r="624">
          <cell r="C624" t="str">
            <v>IT16-1</v>
          </cell>
          <cell r="E624" t="str">
            <v>Insulation/NVH-Platform</v>
          </cell>
          <cell r="H624" t="str">
            <v>PMT2</v>
          </cell>
          <cell r="I624" t="str">
            <v>PF</v>
          </cell>
          <cell r="J624" t="str">
            <v>JD8B</v>
          </cell>
          <cell r="K624" t="str">
            <v>R11448</v>
          </cell>
          <cell r="L624" t="str">
            <v>AA</v>
          </cell>
          <cell r="M624" t="str">
            <v>JD8B-R11448-AA</v>
          </cell>
          <cell r="P624" t="str">
            <v>刘腾飞</v>
          </cell>
          <cell r="Q624" t="str">
            <v>白丽颖</v>
          </cell>
          <cell r="S624">
            <v>1</v>
          </cell>
          <cell r="T624">
            <v>1</v>
          </cell>
          <cell r="U624">
            <v>1</v>
          </cell>
          <cell r="V624">
            <v>1</v>
          </cell>
          <cell r="W624">
            <v>1</v>
          </cell>
          <cell r="X624">
            <v>1</v>
          </cell>
          <cell r="Y624">
            <v>1</v>
          </cell>
          <cell r="Z624">
            <v>1</v>
          </cell>
          <cell r="AA624">
            <v>1</v>
          </cell>
          <cell r="AC624">
            <v>-46.02</v>
          </cell>
          <cell r="AD624">
            <v>-0.44</v>
          </cell>
          <cell r="AE624">
            <v>-0.4</v>
          </cell>
          <cell r="AH624">
            <v>-46.86</v>
          </cell>
          <cell r="AI624" t="str">
            <v>CNY</v>
          </cell>
          <cell r="AJ624" t="str">
            <v>LP</v>
          </cell>
          <cell r="AK624" t="str">
            <v>重庆佩尔哲 </v>
          </cell>
          <cell r="AL624" t="str">
            <v>EMLJA </v>
          </cell>
          <cell r="BB624">
            <v>-202000</v>
          </cell>
          <cell r="BC624">
            <v>-202000</v>
          </cell>
          <cell r="BE624">
            <v>0</v>
          </cell>
          <cell r="BF624">
            <v>0</v>
          </cell>
        </row>
        <row r="625">
          <cell r="C625" t="str">
            <v>IT91</v>
          </cell>
          <cell r="E625" t="str">
            <v>DCT FLR RR</v>
          </cell>
          <cell r="H625" t="str">
            <v>PMT2</v>
          </cell>
          <cell r="I625" t="str">
            <v>TH</v>
          </cell>
          <cell r="J625" t="str">
            <v>ED8B</v>
          </cell>
          <cell r="K625" t="str">
            <v>F018C16</v>
          </cell>
          <cell r="L625" t="str">
            <v>AB</v>
          </cell>
          <cell r="M625" t="str">
            <v>ED8B-F018C16-AB</v>
          </cell>
          <cell r="P625" t="str">
            <v>NA</v>
          </cell>
          <cell r="Q625" t="str">
            <v>NA</v>
          </cell>
          <cell r="S625">
            <v>1</v>
          </cell>
          <cell r="T625">
            <v>1</v>
          </cell>
          <cell r="U625">
            <v>1</v>
          </cell>
          <cell r="V625">
            <v>1</v>
          </cell>
          <cell r="W625">
            <v>1</v>
          </cell>
          <cell r="X625">
            <v>1</v>
          </cell>
          <cell r="Y625">
            <v>1</v>
          </cell>
          <cell r="Z625">
            <v>1</v>
          </cell>
          <cell r="AA625">
            <v>1</v>
          </cell>
          <cell r="AC625">
            <v>-4.34</v>
          </cell>
          <cell r="AD625">
            <v>0</v>
          </cell>
          <cell r="AE625">
            <v>-0.03</v>
          </cell>
          <cell r="AF625">
            <v>0</v>
          </cell>
          <cell r="AH625">
            <v>-4.37</v>
          </cell>
          <cell r="AI625" t="str">
            <v>CNY</v>
          </cell>
          <cell r="AJ625" t="str">
            <v>LP</v>
          </cell>
          <cell r="AK625" t="str">
            <v>NA</v>
          </cell>
          <cell r="AL625" t="str">
            <v>NA</v>
          </cell>
          <cell r="BB625">
            <v>-85000</v>
          </cell>
          <cell r="BC625">
            <v>-85000</v>
          </cell>
        </row>
        <row r="626">
          <cell r="C626" t="str">
            <v>IT91</v>
          </cell>
          <cell r="E626" t="str">
            <v>DCT FLR RR</v>
          </cell>
          <cell r="H626" t="str">
            <v>PMT2</v>
          </cell>
          <cell r="I626" t="str">
            <v>TH</v>
          </cell>
          <cell r="J626" t="str">
            <v>ED8B</v>
          </cell>
          <cell r="K626" t="str">
            <v>F018C17</v>
          </cell>
          <cell r="L626" t="str">
            <v>AB</v>
          </cell>
          <cell r="M626" t="str">
            <v>ED8B-F018C17-AB</v>
          </cell>
          <cell r="P626" t="str">
            <v>NA</v>
          </cell>
          <cell r="Q626" t="str">
            <v>NA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-4.34</v>
          </cell>
          <cell r="AD626">
            <v>0</v>
          </cell>
          <cell r="AE626">
            <v>-0.03</v>
          </cell>
          <cell r="AF626">
            <v>0</v>
          </cell>
          <cell r="AH626">
            <v>-4.37</v>
          </cell>
          <cell r="AI626" t="str">
            <v>CNY</v>
          </cell>
          <cell r="AJ626" t="str">
            <v>LP</v>
          </cell>
          <cell r="AK626" t="str">
            <v>NA</v>
          </cell>
          <cell r="AL626" t="str">
            <v>NA</v>
          </cell>
          <cell r="BB626">
            <v>-85000</v>
          </cell>
          <cell r="BC626">
            <v>-85000</v>
          </cell>
        </row>
        <row r="627">
          <cell r="C627" t="str">
            <v>E092</v>
          </cell>
          <cell r="E627" t="str">
            <v>SW.ASY.WDO.REG.CONTR.SNGL</v>
          </cell>
          <cell r="H627" t="str">
            <v>PMT5</v>
          </cell>
          <cell r="I627" t="str">
            <v>TH</v>
          </cell>
          <cell r="J627" t="str">
            <v>ED8T </v>
          </cell>
          <cell r="K627" t="str">
            <v>14529 </v>
          </cell>
          <cell r="L627" t="str">
            <v>CA</v>
          </cell>
          <cell r="M627" t="str">
            <v>ED8T -14529 -CA</v>
          </cell>
          <cell r="P627" t="str">
            <v>NA</v>
          </cell>
          <cell r="Q627" t="str">
            <v>NA</v>
          </cell>
          <cell r="S627">
            <v>0</v>
          </cell>
          <cell r="T627">
            <v>0</v>
          </cell>
          <cell r="U627">
            <v>1</v>
          </cell>
          <cell r="V627">
            <v>1</v>
          </cell>
          <cell r="W627">
            <v>1</v>
          </cell>
          <cell r="X627">
            <v>1</v>
          </cell>
          <cell r="Y627">
            <v>1</v>
          </cell>
          <cell r="Z627">
            <v>1</v>
          </cell>
          <cell r="AA627">
            <v>0.70000000000000007</v>
          </cell>
          <cell r="AC627">
            <v>-12.28</v>
          </cell>
          <cell r="AD627">
            <v>-0.1</v>
          </cell>
          <cell r="AE627">
            <v>0</v>
          </cell>
          <cell r="AF627">
            <v>0</v>
          </cell>
          <cell r="AG627">
            <v>0</v>
          </cell>
          <cell r="AH627">
            <v>-12.379999999999999</v>
          </cell>
          <cell r="AI627" t="str">
            <v>CNY</v>
          </cell>
          <cell r="AJ627" t="str">
            <v>LP</v>
          </cell>
          <cell r="AK627" t="str">
            <v>NA</v>
          </cell>
          <cell r="AL627" t="str">
            <v>NA</v>
          </cell>
          <cell r="BB627">
            <v>0</v>
          </cell>
          <cell r="BC627">
            <v>0</v>
          </cell>
          <cell r="BE627">
            <v>0</v>
          </cell>
          <cell r="BF627">
            <v>0</v>
          </cell>
        </row>
        <row r="628">
          <cell r="C628" t="str">
            <v>ET20-3</v>
          </cell>
          <cell r="E628" t="str">
            <v>rear oval</v>
          </cell>
          <cell r="H628" t="str">
            <v>PMT1</v>
          </cell>
          <cell r="I628" t="str">
            <v>TH</v>
          </cell>
          <cell r="J628" t="str">
            <v>GR2B</v>
          </cell>
          <cell r="K628" t="str">
            <v>402A16</v>
          </cell>
          <cell r="L628" t="str">
            <v>AA</v>
          </cell>
          <cell r="M628" t="str">
            <v>GR2B-402A16-AA</v>
          </cell>
          <cell r="P628" t="str">
            <v>NA</v>
          </cell>
          <cell r="Q628" t="str">
            <v>NA</v>
          </cell>
          <cell r="S628">
            <v>1</v>
          </cell>
          <cell r="T628">
            <v>1</v>
          </cell>
          <cell r="U628">
            <v>1</v>
          </cell>
          <cell r="V628">
            <v>1</v>
          </cell>
          <cell r="W628">
            <v>1</v>
          </cell>
          <cell r="X628">
            <v>1</v>
          </cell>
          <cell r="Y628">
            <v>1</v>
          </cell>
          <cell r="Z628">
            <v>1</v>
          </cell>
          <cell r="AA628">
            <v>1</v>
          </cell>
          <cell r="AC628">
            <v>-13.48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-13.48</v>
          </cell>
          <cell r="AI628" t="str">
            <v>CNY</v>
          </cell>
          <cell r="AJ628" t="str">
            <v>LP</v>
          </cell>
          <cell r="AK628" t="str">
            <v>NA</v>
          </cell>
          <cell r="AL628" t="str">
            <v>NA</v>
          </cell>
          <cell r="BB628">
            <v>0</v>
          </cell>
          <cell r="BC628">
            <v>0</v>
          </cell>
          <cell r="BE628">
            <v>0</v>
          </cell>
          <cell r="BF628">
            <v>0</v>
          </cell>
        </row>
        <row r="629">
          <cell r="C629" t="str">
            <v>E09</v>
          </cell>
          <cell r="E629" t="str">
            <v>Wiring Assembly EDS-- Engine Control, Instrument Panel, Main Body, Battery Cables</v>
          </cell>
          <cell r="H629" t="str">
            <v>PMT5</v>
          </cell>
          <cell r="I629" t="str">
            <v>TH</v>
          </cell>
          <cell r="J629" t="str">
            <v>JD8T </v>
          </cell>
          <cell r="K629" t="str">
            <v>14014 </v>
          </cell>
          <cell r="L629" t="str">
            <v>AA </v>
          </cell>
          <cell r="M629" t="str">
            <v>JD8T -14014 -AA 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0.30000000000000004</v>
          </cell>
          <cell r="AC629">
            <v>-431.67</v>
          </cell>
          <cell r="AD629">
            <v>-0.82</v>
          </cell>
          <cell r="AE629">
            <v>-0.7</v>
          </cell>
          <cell r="AF629">
            <v>0</v>
          </cell>
          <cell r="AG629">
            <v>0</v>
          </cell>
          <cell r="AH629">
            <v>-433.19</v>
          </cell>
          <cell r="AI629" t="str">
            <v>CNY</v>
          </cell>
          <cell r="AJ629" t="str">
            <v>LP</v>
          </cell>
          <cell r="BB629">
            <v>-5346561</v>
          </cell>
          <cell r="BC629">
            <v>-5346561</v>
          </cell>
          <cell r="BE629">
            <v>-8615505</v>
          </cell>
        </row>
        <row r="630">
          <cell r="C630" t="str">
            <v>E09</v>
          </cell>
          <cell r="E630" t="str">
            <v>Wiring Assembly EDS-- Engine Control, Instrument Panel, Main Body, Battery Cables</v>
          </cell>
          <cell r="H630" t="str">
            <v>PMT5</v>
          </cell>
          <cell r="I630" t="str">
            <v>TH</v>
          </cell>
          <cell r="J630" t="str">
            <v>JD8T </v>
          </cell>
          <cell r="K630" t="str">
            <v>14014 </v>
          </cell>
          <cell r="L630" t="str">
            <v>BA </v>
          </cell>
          <cell r="M630" t="str">
            <v>JD8T -14014 -BA </v>
          </cell>
          <cell r="S630">
            <v>0</v>
          </cell>
          <cell r="T630">
            <v>0</v>
          </cell>
          <cell r="U630">
            <v>1</v>
          </cell>
          <cell r="V630">
            <v>1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0.37</v>
          </cell>
          <cell r="AC630">
            <v>-494.35</v>
          </cell>
          <cell r="AD630">
            <v>-0.82</v>
          </cell>
          <cell r="AE630">
            <v>-0.7</v>
          </cell>
          <cell r="AF630">
            <v>0</v>
          </cell>
          <cell r="AG630">
            <v>0</v>
          </cell>
          <cell r="AH630">
            <v>-495.87</v>
          </cell>
          <cell r="AI630" t="str">
            <v>CNY</v>
          </cell>
          <cell r="AJ630" t="str">
            <v>LP</v>
          </cell>
        </row>
        <row r="631">
          <cell r="C631" t="str">
            <v>E09</v>
          </cell>
          <cell r="E631" t="str">
            <v>Wiring Assembly EDS-- Engine Control, Instrument Panel, Main Body, Battery Cables</v>
          </cell>
          <cell r="H631" t="str">
            <v>PMT5</v>
          </cell>
          <cell r="I631" t="str">
            <v>TH</v>
          </cell>
          <cell r="J631" t="str">
            <v>JD8T </v>
          </cell>
          <cell r="K631" t="str">
            <v>14014 </v>
          </cell>
          <cell r="L631" t="str">
            <v>CA </v>
          </cell>
          <cell r="M631" t="str">
            <v>JD8T -14014 -CA </v>
          </cell>
          <cell r="S631">
            <v>0</v>
          </cell>
          <cell r="T631">
            <v>0</v>
          </cell>
          <cell r="U631">
            <v>1</v>
          </cell>
          <cell r="V631">
            <v>1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0.37</v>
          </cell>
          <cell r="AC631">
            <v>-504.29</v>
          </cell>
          <cell r="AD631">
            <v>-0.82</v>
          </cell>
          <cell r="AE631">
            <v>-0.7</v>
          </cell>
          <cell r="AF631">
            <v>0</v>
          </cell>
          <cell r="AG631">
            <v>0</v>
          </cell>
          <cell r="AH631">
            <v>-505.81</v>
          </cell>
          <cell r="AI631" t="str">
            <v>CNY</v>
          </cell>
          <cell r="AJ631" t="str">
            <v>LP</v>
          </cell>
        </row>
        <row r="632">
          <cell r="C632" t="str">
            <v>E09</v>
          </cell>
          <cell r="E632" t="str">
            <v>Wiring Assembly EDS-- Engine Control, Instrument Panel, Main Body, Battery Cables</v>
          </cell>
          <cell r="H632" t="str">
            <v>PMT5</v>
          </cell>
          <cell r="I632" t="str">
            <v>TH</v>
          </cell>
          <cell r="J632" t="str">
            <v>JD8T </v>
          </cell>
          <cell r="K632" t="str">
            <v>14014 </v>
          </cell>
          <cell r="L632" t="str">
            <v>DA </v>
          </cell>
          <cell r="M632" t="str">
            <v>JD8T -14014 -DA </v>
          </cell>
          <cell r="S632">
            <v>0</v>
          </cell>
          <cell r="T632">
            <v>0</v>
          </cell>
          <cell r="U632">
            <v>0</v>
          </cell>
          <cell r="V632">
            <v>1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0.23</v>
          </cell>
          <cell r="AC632">
            <v>-499.92</v>
          </cell>
          <cell r="AD632">
            <v>-0.82</v>
          </cell>
          <cell r="AE632">
            <v>-0.7</v>
          </cell>
          <cell r="AF632">
            <v>0</v>
          </cell>
          <cell r="AG632">
            <v>0</v>
          </cell>
          <cell r="AH632">
            <v>-501.44</v>
          </cell>
          <cell r="AI632" t="str">
            <v>CNY</v>
          </cell>
          <cell r="AJ632" t="str">
            <v>LP</v>
          </cell>
        </row>
        <row r="633">
          <cell r="C633" t="str">
            <v>E09</v>
          </cell>
          <cell r="E633" t="str">
            <v>Wiring Assembly EDS-- Engine Control, Instrument Panel, Main Body, Battery Cables</v>
          </cell>
          <cell r="H633" t="str">
            <v>PMT5</v>
          </cell>
          <cell r="I633" t="str">
            <v>TH</v>
          </cell>
          <cell r="J633" t="str">
            <v>JD8T </v>
          </cell>
          <cell r="K633" t="str">
            <v>14014 </v>
          </cell>
          <cell r="L633" t="str">
            <v>EA </v>
          </cell>
          <cell r="M633" t="str">
            <v>JD8T -14014 -EA </v>
          </cell>
          <cell r="S633">
            <v>0</v>
          </cell>
          <cell r="T633">
            <v>0</v>
          </cell>
          <cell r="U633">
            <v>0</v>
          </cell>
          <cell r="V633">
            <v>1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0.23</v>
          </cell>
          <cell r="AC633">
            <v>-524.65</v>
          </cell>
          <cell r="AD633">
            <v>-0.82</v>
          </cell>
          <cell r="AE633">
            <v>-0.7</v>
          </cell>
          <cell r="AF633">
            <v>0</v>
          </cell>
          <cell r="AG633">
            <v>0</v>
          </cell>
          <cell r="AH633">
            <v>-526.17000000000007</v>
          </cell>
          <cell r="AI633" t="str">
            <v>CNY</v>
          </cell>
          <cell r="AJ633" t="str">
            <v>LP</v>
          </cell>
        </row>
        <row r="634">
          <cell r="C634" t="str">
            <v>E09</v>
          </cell>
          <cell r="E634" t="str">
            <v>Wiring Assembly EDS-- Engine Control, Instrument Panel, Main Body, Battery Cables</v>
          </cell>
          <cell r="H634" t="str">
            <v>PMT5</v>
          </cell>
          <cell r="I634" t="str">
            <v>TH</v>
          </cell>
          <cell r="J634" t="str">
            <v>JD8T </v>
          </cell>
          <cell r="K634" t="str">
            <v>14014 </v>
          </cell>
          <cell r="L634" t="str">
            <v>FA </v>
          </cell>
          <cell r="M634" t="str">
            <v>JD8T -14014 -FA 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</v>
          </cell>
          <cell r="Z634">
            <v>0</v>
          </cell>
          <cell r="AA634">
            <v>0.05</v>
          </cell>
          <cell r="AC634">
            <v>-563.99</v>
          </cell>
          <cell r="AD634">
            <v>-0.82</v>
          </cell>
          <cell r="AE634">
            <v>-0.7</v>
          </cell>
          <cell r="AF634">
            <v>0</v>
          </cell>
          <cell r="AG634">
            <v>0</v>
          </cell>
          <cell r="AH634">
            <v>-565.5100000000001</v>
          </cell>
          <cell r="AI634" t="str">
            <v>CNY</v>
          </cell>
          <cell r="AJ634" t="str">
            <v>LP</v>
          </cell>
        </row>
        <row r="635">
          <cell r="C635" t="str">
            <v>E09</v>
          </cell>
          <cell r="E635" t="str">
            <v>Wiring Assembly EDS-- Engine Control, Instrument Panel, Main Body, Battery Cables</v>
          </cell>
          <cell r="H635" t="str">
            <v>PMT5</v>
          </cell>
          <cell r="I635" t="str">
            <v>TH</v>
          </cell>
          <cell r="J635" t="str">
            <v>JD8T </v>
          </cell>
          <cell r="K635" t="str">
            <v>14014 </v>
          </cell>
          <cell r="L635" t="str">
            <v>GA </v>
          </cell>
          <cell r="M635" t="str">
            <v>JD8T -14014 -GA 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0.30000000000000004</v>
          </cell>
          <cell r="AC635">
            <v>-427.8</v>
          </cell>
          <cell r="AD635">
            <v>-0.82</v>
          </cell>
          <cell r="AE635">
            <v>-0.7</v>
          </cell>
          <cell r="AF635">
            <v>0</v>
          </cell>
          <cell r="AG635">
            <v>0</v>
          </cell>
          <cell r="AH635">
            <v>-429.32</v>
          </cell>
          <cell r="AI635" t="str">
            <v>CNY</v>
          </cell>
          <cell r="AJ635" t="str">
            <v>LP</v>
          </cell>
        </row>
        <row r="636">
          <cell r="C636" t="str">
            <v>E09</v>
          </cell>
          <cell r="E636" t="str">
            <v>Wiring Assembly EDS-- Engine Control, Instrument Panel, Main Body, Battery Cables</v>
          </cell>
          <cell r="H636" t="str">
            <v>PMT5</v>
          </cell>
          <cell r="I636" t="str">
            <v>TH</v>
          </cell>
          <cell r="J636" t="str">
            <v>JD8T </v>
          </cell>
          <cell r="K636" t="str">
            <v>14014 </v>
          </cell>
          <cell r="L636" t="str">
            <v>HA </v>
          </cell>
          <cell r="M636" t="str">
            <v>JD8T -14014 -HA </v>
          </cell>
          <cell r="S636">
            <v>0</v>
          </cell>
          <cell r="T636">
            <v>1</v>
          </cell>
          <cell r="U636">
            <v>0</v>
          </cell>
          <cell r="V636">
            <v>0</v>
          </cell>
          <cell r="W636">
            <v>1</v>
          </cell>
          <cell r="X636">
            <v>0</v>
          </cell>
          <cell r="Y636">
            <v>0</v>
          </cell>
          <cell r="Z636">
            <v>0</v>
          </cell>
          <cell r="AA636">
            <v>0.25</v>
          </cell>
          <cell r="AC636">
            <v>-495.7</v>
          </cell>
          <cell r="AD636">
            <v>-0.82</v>
          </cell>
          <cell r="AE636">
            <v>-0.7</v>
          </cell>
          <cell r="AF636">
            <v>0</v>
          </cell>
          <cell r="AG636">
            <v>0</v>
          </cell>
          <cell r="AH636">
            <v>-497.21999999999997</v>
          </cell>
          <cell r="AI636" t="str">
            <v>CNY</v>
          </cell>
          <cell r="AJ636" t="str">
            <v>LP</v>
          </cell>
        </row>
        <row r="637">
          <cell r="C637" t="str">
            <v>E09</v>
          </cell>
          <cell r="E637" t="str">
            <v>Wiring Assembly EDS-- Engine Control, Instrument Panel, Main Body, Battery Cables</v>
          </cell>
          <cell r="H637" t="str">
            <v>PMT5</v>
          </cell>
          <cell r="I637" t="str">
            <v>TH</v>
          </cell>
          <cell r="J637" t="str">
            <v>JD8T </v>
          </cell>
          <cell r="K637" t="str">
            <v>14014 </v>
          </cell>
          <cell r="L637" t="str">
            <v>JA </v>
          </cell>
          <cell r="M637" t="str">
            <v>JD8T -14014 -JA </v>
          </cell>
          <cell r="S637">
            <v>0</v>
          </cell>
          <cell r="T637">
            <v>0</v>
          </cell>
          <cell r="U637">
            <v>1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0.14000000000000001</v>
          </cell>
          <cell r="AC637">
            <v>-511.82</v>
          </cell>
          <cell r="AD637">
            <v>-0.82</v>
          </cell>
          <cell r="AE637">
            <v>-0.7</v>
          </cell>
          <cell r="AF637">
            <v>0</v>
          </cell>
          <cell r="AG637">
            <v>0</v>
          </cell>
          <cell r="AH637">
            <v>-513.34</v>
          </cell>
          <cell r="AI637" t="str">
            <v>CNY</v>
          </cell>
          <cell r="AJ637" t="str">
            <v>LP</v>
          </cell>
        </row>
        <row r="638">
          <cell r="C638" t="str">
            <v>E09</v>
          </cell>
          <cell r="E638" t="str">
            <v>Wiring Assembly EDS-- Engine Control, Instrument Panel, Main Body, Battery Cables</v>
          </cell>
          <cell r="H638" t="str">
            <v>PMT5</v>
          </cell>
          <cell r="I638" t="str">
            <v>TH</v>
          </cell>
          <cell r="J638" t="str">
            <v>JD8T </v>
          </cell>
          <cell r="K638" t="str">
            <v>14014 </v>
          </cell>
          <cell r="L638" t="str">
            <v>KA </v>
          </cell>
          <cell r="M638" t="str">
            <v>JD8T -14014 -KA </v>
          </cell>
          <cell r="S638">
            <v>0</v>
          </cell>
          <cell r="T638">
            <v>0</v>
          </cell>
          <cell r="U638">
            <v>0</v>
          </cell>
          <cell r="V638">
            <v>1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0.23</v>
          </cell>
          <cell r="AC638">
            <v>-500.83</v>
          </cell>
          <cell r="AD638">
            <v>-0.82</v>
          </cell>
          <cell r="AE638">
            <v>-0.7</v>
          </cell>
          <cell r="AF638">
            <v>0</v>
          </cell>
          <cell r="AG638">
            <v>0</v>
          </cell>
          <cell r="AH638">
            <v>-502.34999999999997</v>
          </cell>
          <cell r="AI638" t="str">
            <v>CNY</v>
          </cell>
          <cell r="AJ638" t="str">
            <v>LP</v>
          </cell>
        </row>
        <row r="639">
          <cell r="C639" t="str">
            <v>E09</v>
          </cell>
          <cell r="E639" t="str">
            <v>Wiring Assembly EDS-- Engine Control, Instrument Panel, Main Body, Battery Cables</v>
          </cell>
          <cell r="H639" t="str">
            <v>PMT5</v>
          </cell>
          <cell r="I639" t="str">
            <v>TH</v>
          </cell>
          <cell r="J639" t="str">
            <v>JD8T </v>
          </cell>
          <cell r="K639" t="str">
            <v>14014 </v>
          </cell>
          <cell r="L639" t="str">
            <v>LA </v>
          </cell>
          <cell r="M639" t="str">
            <v>JD8T -14014 -LA 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0.23</v>
          </cell>
          <cell r="AC639">
            <v>-533.89</v>
          </cell>
          <cell r="AD639">
            <v>-0.82</v>
          </cell>
          <cell r="AE639">
            <v>-0.7</v>
          </cell>
          <cell r="AF639">
            <v>0</v>
          </cell>
          <cell r="AG639">
            <v>0</v>
          </cell>
          <cell r="AH639">
            <v>-535.41000000000008</v>
          </cell>
          <cell r="AI639" t="str">
            <v>CNY</v>
          </cell>
          <cell r="AJ639" t="str">
            <v>LP</v>
          </cell>
        </row>
        <row r="640">
          <cell r="C640" t="str">
            <v>E09</v>
          </cell>
          <cell r="E640" t="str">
            <v>Wiring Assembly EDS-- Engine Control, Instrument Panel, Main Body, Battery Cables</v>
          </cell>
          <cell r="H640" t="str">
            <v>PMT5</v>
          </cell>
          <cell r="I640" t="str">
            <v>TH</v>
          </cell>
          <cell r="J640" t="str">
            <v>JD8T </v>
          </cell>
          <cell r="K640" t="str">
            <v>14014 </v>
          </cell>
          <cell r="L640" t="str">
            <v>MA </v>
          </cell>
          <cell r="M640" t="str">
            <v>JD8T -14014 -MA 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1</v>
          </cell>
          <cell r="Z640">
            <v>0</v>
          </cell>
          <cell r="AA640">
            <v>0.05</v>
          </cell>
          <cell r="AC640">
            <v>-571.16999999999996</v>
          </cell>
          <cell r="AD640">
            <v>-0.82</v>
          </cell>
          <cell r="AE640">
            <v>-0.7</v>
          </cell>
          <cell r="AF640">
            <v>0</v>
          </cell>
          <cell r="AG640">
            <v>0</v>
          </cell>
          <cell r="AH640">
            <v>-572.69000000000005</v>
          </cell>
          <cell r="AI640" t="str">
            <v>CNY</v>
          </cell>
          <cell r="AJ640" t="str">
            <v>LP</v>
          </cell>
        </row>
        <row r="641">
          <cell r="C641" t="str">
            <v>E09</v>
          </cell>
          <cell r="E641" t="str">
            <v>Wiring Assembly EDS-- Engine Control, Instrument Panel, Main Body, Battery Cables</v>
          </cell>
          <cell r="H641" t="str">
            <v>PMT5</v>
          </cell>
          <cell r="I641" t="str">
            <v>TH</v>
          </cell>
          <cell r="J641" t="str">
            <v>JD8T </v>
          </cell>
          <cell r="K641" t="str">
            <v>14014 </v>
          </cell>
          <cell r="L641" t="str">
            <v>NA </v>
          </cell>
          <cell r="M641" t="str">
            <v>JD8T -14014 -NA 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1</v>
          </cell>
          <cell r="X641">
            <v>1</v>
          </cell>
          <cell r="Y641">
            <v>0</v>
          </cell>
          <cell r="Z641">
            <v>0</v>
          </cell>
          <cell r="AA641">
            <v>0.23</v>
          </cell>
          <cell r="AC641">
            <v>-551.17999999999995</v>
          </cell>
          <cell r="AD641">
            <v>-0.82</v>
          </cell>
          <cell r="AE641">
            <v>-0.7</v>
          </cell>
          <cell r="AF641">
            <v>0</v>
          </cell>
          <cell r="AG641">
            <v>0</v>
          </cell>
          <cell r="AH641">
            <v>-552.70000000000005</v>
          </cell>
          <cell r="AI641" t="str">
            <v>CNY</v>
          </cell>
          <cell r="AJ641" t="str">
            <v>LP</v>
          </cell>
        </row>
        <row r="642">
          <cell r="C642" t="str">
            <v>E09</v>
          </cell>
          <cell r="E642" t="str">
            <v>Wiring Assembly EDS-- Engine Control, Instrument Panel, Main Body, Battery Cables</v>
          </cell>
          <cell r="H642" t="str">
            <v>PMT5</v>
          </cell>
          <cell r="I642" t="str">
            <v>TH</v>
          </cell>
          <cell r="J642" t="str">
            <v>JD8T </v>
          </cell>
          <cell r="K642" t="str">
            <v>14014 </v>
          </cell>
          <cell r="L642" t="str">
            <v>RA </v>
          </cell>
          <cell r="M642" t="str">
            <v>JD8T -14014 -RA 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1</v>
          </cell>
          <cell r="Y642">
            <v>0</v>
          </cell>
          <cell r="Z642">
            <v>0</v>
          </cell>
          <cell r="AA642">
            <v>0.14000000000000001</v>
          </cell>
          <cell r="AC642">
            <v>-572.17999999999995</v>
          </cell>
          <cell r="AD642">
            <v>-0.82</v>
          </cell>
          <cell r="AE642">
            <v>-0.7</v>
          </cell>
          <cell r="AH642">
            <v>-573.70000000000005</v>
          </cell>
          <cell r="AI642" t="str">
            <v>CNY</v>
          </cell>
          <cell r="AJ642" t="str">
            <v>LP</v>
          </cell>
        </row>
        <row r="643">
          <cell r="C643" t="str">
            <v>E09</v>
          </cell>
          <cell r="E643" t="str">
            <v>Wiring Assembly EDS-- Engine Control, Instrument Panel, Main Body, Battery Cables</v>
          </cell>
          <cell r="H643" t="str">
            <v>PMT5</v>
          </cell>
          <cell r="I643" t="str">
            <v>TH</v>
          </cell>
          <cell r="J643" t="str">
            <v>JD8T </v>
          </cell>
          <cell r="K643" t="str">
            <v>14014 </v>
          </cell>
          <cell r="L643" t="str">
            <v>TA </v>
          </cell>
          <cell r="M643" t="str">
            <v>JD8T -14014 -TA 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0.05</v>
          </cell>
          <cell r="AC643">
            <v>-599.97</v>
          </cell>
          <cell r="AD643">
            <v>-0.82</v>
          </cell>
          <cell r="AE643">
            <v>-0.7</v>
          </cell>
          <cell r="AH643">
            <v>-601.49000000000012</v>
          </cell>
          <cell r="AI643" t="str">
            <v>CNY</v>
          </cell>
          <cell r="AJ643" t="str">
            <v>LP</v>
          </cell>
        </row>
        <row r="644">
          <cell r="C644" t="str">
            <v>E09</v>
          </cell>
          <cell r="E644" t="str">
            <v>Wiring Assembly EDS-- Engine Control, Instrument Panel, Main Body, Battery Cables</v>
          </cell>
          <cell r="H644" t="str">
            <v>PMT5</v>
          </cell>
          <cell r="I644" t="str">
            <v>TH</v>
          </cell>
          <cell r="J644" t="str">
            <v>JD8T </v>
          </cell>
          <cell r="K644" t="str">
            <v>14014 </v>
          </cell>
          <cell r="L644" t="str">
            <v>UA </v>
          </cell>
          <cell r="M644" t="str">
            <v>JD8T -14014 -UA 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0.30000000000000004</v>
          </cell>
          <cell r="AC644">
            <v>-447.93</v>
          </cell>
          <cell r="AD644">
            <v>-0.82</v>
          </cell>
          <cell r="AE644">
            <v>-0.7</v>
          </cell>
          <cell r="AH644">
            <v>-449.45</v>
          </cell>
          <cell r="AI644" t="str">
            <v>CNY</v>
          </cell>
          <cell r="AJ644" t="str">
            <v>LP</v>
          </cell>
        </row>
        <row r="645">
          <cell r="C645" t="str">
            <v>E09</v>
          </cell>
          <cell r="E645" t="str">
            <v>Wiring Assembly EDS-- Engine Control, Instrument Panel, Main Body, Battery Cables</v>
          </cell>
          <cell r="H645" t="str">
            <v>PMT5</v>
          </cell>
          <cell r="I645" t="str">
            <v>TH</v>
          </cell>
          <cell r="J645" t="str">
            <v>JD8T </v>
          </cell>
          <cell r="K645" t="str">
            <v>14014 </v>
          </cell>
          <cell r="L645" t="str">
            <v>VA </v>
          </cell>
          <cell r="M645" t="str">
            <v>JD8T -14014 -VA 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0.30000000000000004</v>
          </cell>
          <cell r="AC645">
            <v>-449.09</v>
          </cell>
          <cell r="AD645">
            <v>-0.82</v>
          </cell>
          <cell r="AE645">
            <v>-0.7</v>
          </cell>
          <cell r="AH645">
            <v>-450.60999999999996</v>
          </cell>
          <cell r="AI645" t="str">
            <v>CNY</v>
          </cell>
          <cell r="AJ645" t="str">
            <v>LP</v>
          </cell>
        </row>
        <row r="646">
          <cell r="C646" t="str">
            <v>E09</v>
          </cell>
          <cell r="E646" t="str">
            <v>Wiring Assembly EDS-- Engine Control, Instrument Panel, Main Body, Battery Cables</v>
          </cell>
          <cell r="H646" t="str">
            <v>PMT5</v>
          </cell>
          <cell r="I646" t="str">
            <v>TH</v>
          </cell>
          <cell r="J646" t="str">
            <v>JD8T </v>
          </cell>
          <cell r="K646" t="str">
            <v>14324 </v>
          </cell>
          <cell r="L646" t="str">
            <v>AA </v>
          </cell>
          <cell r="M646" t="str">
            <v>JD8T -14324 -AA </v>
          </cell>
          <cell r="S646">
            <v>1</v>
          </cell>
          <cell r="T646">
            <v>0</v>
          </cell>
          <cell r="U646">
            <v>1</v>
          </cell>
          <cell r="V646">
            <v>0</v>
          </cell>
          <cell r="W646">
            <v>1</v>
          </cell>
          <cell r="X646">
            <v>1</v>
          </cell>
          <cell r="Y646">
            <v>0</v>
          </cell>
          <cell r="Z646">
            <v>0</v>
          </cell>
          <cell r="AA646">
            <v>0.51</v>
          </cell>
          <cell r="AC646">
            <v>-21.71</v>
          </cell>
          <cell r="AD646">
            <v>-0.28000000000000003</v>
          </cell>
          <cell r="AE646">
            <v>-0.28999999999999998</v>
          </cell>
          <cell r="AH646">
            <v>-22.28</v>
          </cell>
          <cell r="AI646" t="str">
            <v>CNY</v>
          </cell>
          <cell r="AJ646" t="str">
            <v>LP</v>
          </cell>
        </row>
        <row r="647">
          <cell r="C647" t="str">
            <v>E09</v>
          </cell>
          <cell r="E647" t="str">
            <v>Wiring Assembly EDS-- Engine Control, Instrument Panel, Main Body, Battery Cables</v>
          </cell>
          <cell r="H647" t="str">
            <v>PMT5</v>
          </cell>
          <cell r="I647" t="str">
            <v>TH</v>
          </cell>
          <cell r="J647" t="str">
            <v>JD8T </v>
          </cell>
          <cell r="K647" t="str">
            <v>14324 </v>
          </cell>
          <cell r="L647" t="str">
            <v>BA </v>
          </cell>
          <cell r="M647" t="str">
            <v>JD8T -14324 -BA </v>
          </cell>
          <cell r="S647">
            <v>0</v>
          </cell>
          <cell r="T647">
            <v>1</v>
          </cell>
          <cell r="U647">
            <v>0</v>
          </cell>
          <cell r="V647">
            <v>1</v>
          </cell>
          <cell r="W647">
            <v>0</v>
          </cell>
          <cell r="X647">
            <v>0</v>
          </cell>
          <cell r="Y647">
            <v>1</v>
          </cell>
          <cell r="Z647">
            <v>1</v>
          </cell>
          <cell r="AA647">
            <v>0.49</v>
          </cell>
          <cell r="AC647">
            <v>-12.37</v>
          </cell>
          <cell r="AD647">
            <v>-0.28000000000000003</v>
          </cell>
          <cell r="AE647">
            <v>-0.28999999999999998</v>
          </cell>
          <cell r="AH647">
            <v>-12.939999999999998</v>
          </cell>
          <cell r="AI647" t="str">
            <v>CNY</v>
          </cell>
          <cell r="AJ647" t="str">
            <v>LP</v>
          </cell>
        </row>
        <row r="648">
          <cell r="C648" t="str">
            <v>E09</v>
          </cell>
          <cell r="E648" t="str">
            <v>Wiring Assembly EDS-- Engine Control, Instrument Panel, Main Body, Battery Cables</v>
          </cell>
          <cell r="H648" t="str">
            <v>PMT5</v>
          </cell>
          <cell r="I648" t="str">
            <v>TH</v>
          </cell>
          <cell r="J648" t="str">
            <v>JD8T </v>
          </cell>
          <cell r="K648" t="str">
            <v>14335 </v>
          </cell>
          <cell r="L648" t="str">
            <v>AB</v>
          </cell>
          <cell r="M648" t="str">
            <v>JD8T -14335 -AB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0.30000000000000004</v>
          </cell>
          <cell r="AC648">
            <v>-18.059999999999999</v>
          </cell>
          <cell r="AD648">
            <v>-0.28000000000000003</v>
          </cell>
          <cell r="AE648">
            <v>-0.14000000000000001</v>
          </cell>
          <cell r="AH648">
            <v>-18.48</v>
          </cell>
          <cell r="AI648" t="str">
            <v>CNY</v>
          </cell>
          <cell r="AJ648" t="str">
            <v>LP</v>
          </cell>
        </row>
        <row r="649">
          <cell r="C649" t="str">
            <v>E09</v>
          </cell>
          <cell r="E649" t="str">
            <v>Wiring Assembly EDS-- Engine Control, Instrument Panel, Main Body, Battery Cables</v>
          </cell>
          <cell r="H649" t="str">
            <v>PMT5</v>
          </cell>
          <cell r="I649" t="str">
            <v>TH</v>
          </cell>
          <cell r="J649" t="str">
            <v>JD8T </v>
          </cell>
          <cell r="K649" t="str">
            <v>14335 </v>
          </cell>
          <cell r="L649" t="str">
            <v>BB</v>
          </cell>
          <cell r="M649" t="str">
            <v>JD8T -14335 -BB</v>
          </cell>
          <cell r="S649">
            <v>0</v>
          </cell>
          <cell r="T649">
            <v>0</v>
          </cell>
          <cell r="U649">
            <v>1</v>
          </cell>
          <cell r="V649">
            <v>1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0.37</v>
          </cell>
          <cell r="AC649">
            <v>-26.4</v>
          </cell>
          <cell r="AD649">
            <v>-0.28000000000000003</v>
          </cell>
          <cell r="AE649">
            <v>-0.14000000000000001</v>
          </cell>
          <cell r="AH649">
            <v>-26.82</v>
          </cell>
          <cell r="AI649" t="str">
            <v>CNY</v>
          </cell>
          <cell r="AJ649" t="str">
            <v>LP</v>
          </cell>
        </row>
        <row r="650">
          <cell r="C650" t="str">
            <v>E09</v>
          </cell>
          <cell r="E650" t="str">
            <v>Wiring Assembly EDS-- Engine Control, Instrument Panel, Main Body, Battery Cables</v>
          </cell>
          <cell r="H650" t="str">
            <v>PMT5</v>
          </cell>
          <cell r="I650" t="str">
            <v>TH</v>
          </cell>
          <cell r="J650" t="str">
            <v>JD8T </v>
          </cell>
          <cell r="K650" t="str">
            <v>14335 </v>
          </cell>
          <cell r="L650" t="str">
            <v>CB</v>
          </cell>
          <cell r="M650" t="str">
            <v>JD8T -14335 -CB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1</v>
          </cell>
          <cell r="X650">
            <v>1</v>
          </cell>
          <cell r="Y650">
            <v>1</v>
          </cell>
          <cell r="Z650">
            <v>1</v>
          </cell>
          <cell r="AA650">
            <v>0.33</v>
          </cell>
          <cell r="AC650">
            <v>-28.18</v>
          </cell>
          <cell r="AD650">
            <v>-0.28000000000000003</v>
          </cell>
          <cell r="AE650">
            <v>-0.14000000000000001</v>
          </cell>
          <cell r="AH650">
            <v>-28.6</v>
          </cell>
          <cell r="AI650" t="str">
            <v>CNY</v>
          </cell>
          <cell r="AJ650" t="str">
            <v>LP</v>
          </cell>
        </row>
        <row r="651">
          <cell r="C651" t="str">
            <v>E09</v>
          </cell>
          <cell r="E651" t="str">
            <v>Wiring Assembly EDS-- Engine Control, Instrument Panel, Main Body, Battery Cables</v>
          </cell>
          <cell r="H651" t="str">
            <v>PMT5</v>
          </cell>
          <cell r="I651" t="str">
            <v>TH</v>
          </cell>
          <cell r="J651" t="str">
            <v>JD8T </v>
          </cell>
          <cell r="K651" t="str">
            <v>14335 </v>
          </cell>
          <cell r="L651" t="str">
            <v>EB </v>
          </cell>
          <cell r="M651" t="str">
            <v>JD8T -14335 -EB </v>
          </cell>
          <cell r="S651">
            <v>0</v>
          </cell>
          <cell r="T651">
            <v>0</v>
          </cell>
          <cell r="U651">
            <v>1</v>
          </cell>
          <cell r="V651">
            <v>1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0.37</v>
          </cell>
          <cell r="AC651">
            <v>-20.420000000000002</v>
          </cell>
          <cell r="AD651">
            <v>-0.28000000000000003</v>
          </cell>
          <cell r="AE651">
            <v>-0.14000000000000001</v>
          </cell>
          <cell r="AH651">
            <v>-20.840000000000003</v>
          </cell>
          <cell r="AI651" t="str">
            <v>CNY</v>
          </cell>
          <cell r="AJ651" t="str">
            <v>LP</v>
          </cell>
        </row>
        <row r="652">
          <cell r="C652" t="str">
            <v>E09</v>
          </cell>
          <cell r="E652" t="str">
            <v>Wiring Assembly EDS-- Engine Control, Instrument Panel, Main Body, Battery Cables</v>
          </cell>
          <cell r="H652" t="str">
            <v>PMT5</v>
          </cell>
          <cell r="I652" t="str">
            <v>TH</v>
          </cell>
          <cell r="J652" t="str">
            <v>JD8T </v>
          </cell>
          <cell r="K652" t="str">
            <v>14401 </v>
          </cell>
          <cell r="L652" t="str">
            <v>MA </v>
          </cell>
          <cell r="M652" t="str">
            <v>JD8T -14401 -MA 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1</v>
          </cell>
          <cell r="AA652">
            <v>0.05</v>
          </cell>
          <cell r="AC652">
            <v>-289.14999999999998</v>
          </cell>
          <cell r="AD652">
            <v>-0.82</v>
          </cell>
          <cell r="AE652">
            <v>-0.7</v>
          </cell>
          <cell r="AH652">
            <v>-290.66999999999996</v>
          </cell>
          <cell r="AI652" t="str">
            <v>CNY</v>
          </cell>
          <cell r="AJ652" t="str">
            <v>LP</v>
          </cell>
        </row>
        <row r="653">
          <cell r="C653" t="str">
            <v>E09</v>
          </cell>
          <cell r="E653" t="str">
            <v>Wiring Assembly EDS-- Engine Control, Instrument Panel, Main Body, Battery Cables</v>
          </cell>
          <cell r="H653" t="str">
            <v>PMT5</v>
          </cell>
          <cell r="I653" t="str">
            <v>TH</v>
          </cell>
          <cell r="J653" t="str">
            <v>JD8T </v>
          </cell>
          <cell r="K653" t="str">
            <v>14401 </v>
          </cell>
          <cell r="L653" t="str">
            <v>AB</v>
          </cell>
          <cell r="M653" t="str">
            <v>JD8T -14401 -AB</v>
          </cell>
          <cell r="S653">
            <v>1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0.14000000000000001</v>
          </cell>
          <cell r="AC653">
            <v>-222</v>
          </cell>
          <cell r="AD653">
            <v>-0.82</v>
          </cell>
          <cell r="AE653">
            <v>-0.7</v>
          </cell>
          <cell r="AH653">
            <v>-223.51999999999998</v>
          </cell>
          <cell r="AI653" t="str">
            <v>CNY</v>
          </cell>
          <cell r="AJ653" t="str">
            <v>LP</v>
          </cell>
        </row>
        <row r="654">
          <cell r="C654" t="str">
            <v>E09</v>
          </cell>
          <cell r="E654" t="str">
            <v>Wiring Assembly EDS-- Engine Control, Instrument Panel, Main Body, Battery Cables</v>
          </cell>
          <cell r="H654" t="str">
            <v>PMT5</v>
          </cell>
          <cell r="I654" t="str">
            <v>TH</v>
          </cell>
          <cell r="J654" t="str">
            <v>JD8T </v>
          </cell>
          <cell r="K654" t="str">
            <v>14401 </v>
          </cell>
          <cell r="L654" t="str">
            <v>BB</v>
          </cell>
          <cell r="M654" t="str">
            <v>JD8T -14401 -BB</v>
          </cell>
          <cell r="S654">
            <v>0</v>
          </cell>
          <cell r="T654">
            <v>1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0.16</v>
          </cell>
          <cell r="AC654">
            <v>-241.19</v>
          </cell>
          <cell r="AD654">
            <v>-0.82</v>
          </cell>
          <cell r="AE654">
            <v>-0.7</v>
          </cell>
          <cell r="AH654">
            <v>-242.70999999999998</v>
          </cell>
          <cell r="AI654" t="str">
            <v>CNY</v>
          </cell>
          <cell r="AJ654" t="str">
            <v>LP</v>
          </cell>
        </row>
        <row r="655">
          <cell r="C655" t="str">
            <v>E09</v>
          </cell>
          <cell r="E655" t="str">
            <v>Wiring Assembly EDS-- Engine Control, Instrument Panel, Main Body, Battery Cables</v>
          </cell>
          <cell r="H655" t="str">
            <v>PMT5</v>
          </cell>
          <cell r="I655" t="str">
            <v>TH</v>
          </cell>
          <cell r="J655" t="str">
            <v>JD8T </v>
          </cell>
          <cell r="K655" t="str">
            <v>14401 </v>
          </cell>
          <cell r="L655" t="str">
            <v>CB</v>
          </cell>
          <cell r="M655" t="str">
            <v>JD8T -14401 -CB</v>
          </cell>
          <cell r="S655">
            <v>0</v>
          </cell>
          <cell r="T655">
            <v>0</v>
          </cell>
          <cell r="U655">
            <v>1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0.14000000000000001</v>
          </cell>
          <cell r="AC655">
            <v>-234.27</v>
          </cell>
          <cell r="AD655">
            <v>-0.82</v>
          </cell>
          <cell r="AE655">
            <v>-0.7</v>
          </cell>
          <cell r="AH655">
            <v>-235.79</v>
          </cell>
          <cell r="AI655" t="str">
            <v>CNY</v>
          </cell>
          <cell r="AJ655" t="str">
            <v>LP</v>
          </cell>
        </row>
        <row r="656">
          <cell r="C656" t="str">
            <v>E09</v>
          </cell>
          <cell r="E656" t="str">
            <v>Wiring Assembly EDS-- Engine Control, Instrument Panel, Main Body, Battery Cables</v>
          </cell>
          <cell r="H656" t="str">
            <v>PMT5</v>
          </cell>
          <cell r="I656" t="str">
            <v>TH</v>
          </cell>
          <cell r="J656" t="str">
            <v>JD8T </v>
          </cell>
          <cell r="K656" t="str">
            <v>14401 </v>
          </cell>
          <cell r="L656" t="str">
            <v>DB</v>
          </cell>
          <cell r="M656" t="str">
            <v>JD8T -14401 -DB</v>
          </cell>
          <cell r="S656">
            <v>0</v>
          </cell>
          <cell r="T656">
            <v>0</v>
          </cell>
          <cell r="U656">
            <v>1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0.14000000000000001</v>
          </cell>
          <cell r="AC656">
            <v>-268.02999999999997</v>
          </cell>
          <cell r="AD656">
            <v>-0.82</v>
          </cell>
          <cell r="AE656">
            <v>-0.7</v>
          </cell>
          <cell r="AH656">
            <v>-269.54999999999995</v>
          </cell>
          <cell r="AI656" t="str">
            <v>CNY</v>
          </cell>
          <cell r="AJ656" t="str">
            <v>LP</v>
          </cell>
        </row>
        <row r="657">
          <cell r="C657" t="str">
            <v>E09</v>
          </cell>
          <cell r="E657" t="str">
            <v>Wiring Assembly EDS-- Engine Control, Instrument Panel, Main Body, Battery Cables</v>
          </cell>
          <cell r="H657" t="str">
            <v>PMT5</v>
          </cell>
          <cell r="I657" t="str">
            <v>TH</v>
          </cell>
          <cell r="J657" t="str">
            <v>JD8T </v>
          </cell>
          <cell r="K657" t="str">
            <v>14401 </v>
          </cell>
          <cell r="L657" t="str">
            <v>EB </v>
          </cell>
          <cell r="M657" t="str">
            <v>JD8T -14401 -EB </v>
          </cell>
          <cell r="S657">
            <v>0</v>
          </cell>
          <cell r="T657">
            <v>0</v>
          </cell>
          <cell r="U657">
            <v>0</v>
          </cell>
          <cell r="V657">
            <v>1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0.23</v>
          </cell>
          <cell r="AC657">
            <v>-249.51</v>
          </cell>
          <cell r="AD657">
            <v>-0.82</v>
          </cell>
          <cell r="AE657">
            <v>-0.7</v>
          </cell>
          <cell r="AH657">
            <v>-251.02999999999997</v>
          </cell>
          <cell r="AI657" t="str">
            <v>CNY</v>
          </cell>
          <cell r="AJ657" t="str">
            <v>LP</v>
          </cell>
        </row>
        <row r="658">
          <cell r="C658" t="str">
            <v>E09</v>
          </cell>
          <cell r="E658" t="str">
            <v>Wiring Assembly EDS-- Engine Control, Instrument Panel, Main Body, Battery Cables</v>
          </cell>
          <cell r="H658" t="str">
            <v>PMT5</v>
          </cell>
          <cell r="I658" t="str">
            <v>TH</v>
          </cell>
          <cell r="J658" t="str">
            <v>JD8T </v>
          </cell>
          <cell r="K658" t="str">
            <v>14401 </v>
          </cell>
          <cell r="L658" t="str">
            <v>FB</v>
          </cell>
          <cell r="M658" t="str">
            <v>JD8T -14401 -FB</v>
          </cell>
          <cell r="S658">
            <v>0</v>
          </cell>
          <cell r="T658">
            <v>0</v>
          </cell>
          <cell r="U658">
            <v>0</v>
          </cell>
          <cell r="V658">
            <v>1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0.23</v>
          </cell>
          <cell r="AC658">
            <v>-273.77</v>
          </cell>
          <cell r="AD658">
            <v>-0.41</v>
          </cell>
          <cell r="AE658">
            <v>-0.14000000000000001</v>
          </cell>
          <cell r="AH658">
            <v>-274.32</v>
          </cell>
          <cell r="AI658" t="str">
            <v>CNY</v>
          </cell>
          <cell r="AJ658" t="str">
            <v>LP</v>
          </cell>
        </row>
        <row r="659">
          <cell r="C659" t="str">
            <v>E09</v>
          </cell>
          <cell r="E659" t="str">
            <v>Wiring Assembly EDS-- Engine Control, Instrument Panel, Main Body, Battery Cables</v>
          </cell>
          <cell r="H659" t="str">
            <v>PMT5</v>
          </cell>
          <cell r="I659" t="str">
            <v>TH</v>
          </cell>
          <cell r="J659" t="str">
            <v>JD8T </v>
          </cell>
          <cell r="K659" t="str">
            <v>14401 </v>
          </cell>
          <cell r="L659" t="str">
            <v>GB</v>
          </cell>
          <cell r="M659" t="str">
            <v>JD8T -14401 -GB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1</v>
          </cell>
          <cell r="X659">
            <v>0</v>
          </cell>
          <cell r="Y659">
            <v>0</v>
          </cell>
          <cell r="Z659">
            <v>0</v>
          </cell>
          <cell r="AA659">
            <v>0.09</v>
          </cell>
          <cell r="AC659">
            <v>-259.27999999999997</v>
          </cell>
          <cell r="AD659">
            <v>-0.4</v>
          </cell>
          <cell r="AE659">
            <v>-0.14000000000000001</v>
          </cell>
          <cell r="AH659">
            <v>-259.81999999999994</v>
          </cell>
          <cell r="AI659" t="str">
            <v>CNY</v>
          </cell>
          <cell r="AJ659" t="str">
            <v>LP</v>
          </cell>
        </row>
        <row r="660">
          <cell r="C660" t="str">
            <v>E09</v>
          </cell>
          <cell r="E660" t="str">
            <v>Wiring Assembly EDS-- Engine Control, Instrument Panel, Main Body, Battery Cables</v>
          </cell>
          <cell r="H660" t="str">
            <v>PMT5</v>
          </cell>
          <cell r="I660" t="str">
            <v>TH</v>
          </cell>
          <cell r="J660" t="str">
            <v>JD8T </v>
          </cell>
          <cell r="K660" t="str">
            <v>14401 </v>
          </cell>
          <cell r="L660" t="str">
            <v>JB</v>
          </cell>
          <cell r="M660" t="str">
            <v>JD8T -14401 -JB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1</v>
          </cell>
          <cell r="Y660">
            <v>0</v>
          </cell>
          <cell r="Z660">
            <v>0</v>
          </cell>
          <cell r="AA660">
            <v>0.14000000000000001</v>
          </cell>
          <cell r="AC660">
            <v>-278.99</v>
          </cell>
          <cell r="AD660">
            <v>-0.43</v>
          </cell>
          <cell r="AE660">
            <v>-0.43</v>
          </cell>
          <cell r="AH660">
            <v>-279.85000000000002</v>
          </cell>
          <cell r="AI660" t="str">
            <v>CNY</v>
          </cell>
          <cell r="AJ660" t="str">
            <v>LP</v>
          </cell>
        </row>
        <row r="661">
          <cell r="C661" t="str">
            <v>E09</v>
          </cell>
          <cell r="E661" t="str">
            <v>Wiring Assembly EDS-- Engine Control, Instrument Panel, Main Body, Battery Cables</v>
          </cell>
          <cell r="H661" t="str">
            <v>PMT5</v>
          </cell>
          <cell r="I661" t="str">
            <v>TH</v>
          </cell>
          <cell r="J661" t="str">
            <v>JD8T </v>
          </cell>
          <cell r="K661" t="str">
            <v>14401 </v>
          </cell>
          <cell r="L661" t="str">
            <v>LB</v>
          </cell>
          <cell r="M661" t="str">
            <v>JD8T -14401 -LB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1</v>
          </cell>
          <cell r="Z661">
            <v>0</v>
          </cell>
          <cell r="AA661">
            <v>0.05</v>
          </cell>
          <cell r="AC661">
            <v>-289.14999999999998</v>
          </cell>
          <cell r="AD661">
            <v>-0.43</v>
          </cell>
          <cell r="AE661">
            <v>-0.43</v>
          </cell>
          <cell r="AH661">
            <v>-290.01</v>
          </cell>
          <cell r="AI661" t="str">
            <v>CNY</v>
          </cell>
          <cell r="AJ661" t="str">
            <v>LP</v>
          </cell>
        </row>
        <row r="662">
          <cell r="C662" t="str">
            <v>E09</v>
          </cell>
          <cell r="E662" t="str">
            <v>Wiring Assembly EDS-- Engine Control, Instrument Panel, Main Body, Battery Cables</v>
          </cell>
          <cell r="H662" t="str">
            <v>PMT5</v>
          </cell>
          <cell r="I662" t="str">
            <v>TH</v>
          </cell>
          <cell r="J662" t="str">
            <v>JD8T </v>
          </cell>
          <cell r="K662" t="str">
            <v>14401 </v>
          </cell>
          <cell r="L662" t="str">
            <v>NB</v>
          </cell>
          <cell r="M662" t="str">
            <v>JD8T -14401 -NB</v>
          </cell>
          <cell r="S662">
            <v>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0.14000000000000001</v>
          </cell>
          <cell r="AC662">
            <v>-231.22</v>
          </cell>
          <cell r="AD662">
            <v>-0.43</v>
          </cell>
          <cell r="AE662">
            <v>-0.43</v>
          </cell>
          <cell r="AH662">
            <v>-232.08</v>
          </cell>
          <cell r="AI662" t="str">
            <v>CNY</v>
          </cell>
          <cell r="AJ662" t="str">
            <v>LP</v>
          </cell>
        </row>
        <row r="663">
          <cell r="C663" t="str">
            <v>E09</v>
          </cell>
          <cell r="E663" t="str">
            <v>Wiring Assembly EDS-- Engine Control, Instrument Panel, Main Body, Battery Cables</v>
          </cell>
          <cell r="H663" t="str">
            <v>PMT5</v>
          </cell>
          <cell r="I663" t="str">
            <v>TH</v>
          </cell>
          <cell r="J663" t="str">
            <v>JD8T </v>
          </cell>
          <cell r="K663" t="str">
            <v>14401 </v>
          </cell>
          <cell r="L663" t="str">
            <v>PA </v>
          </cell>
          <cell r="M663" t="str">
            <v>JD8T -14401 -PA </v>
          </cell>
          <cell r="S663">
            <v>0</v>
          </cell>
          <cell r="T663">
            <v>1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0.16</v>
          </cell>
          <cell r="AC663">
            <v>-238.25</v>
          </cell>
          <cell r="AD663">
            <v>-0.47</v>
          </cell>
          <cell r="AE663">
            <v>-0.14000000000000001</v>
          </cell>
          <cell r="AH663">
            <v>-238.85999999999999</v>
          </cell>
          <cell r="AI663" t="str">
            <v>CNY</v>
          </cell>
          <cell r="AJ663" t="str">
            <v>LP</v>
          </cell>
        </row>
        <row r="664">
          <cell r="C664" t="str">
            <v>E09</v>
          </cell>
          <cell r="E664" t="str">
            <v>Wiring Assembly EDS-- Engine Control, Instrument Panel, Main Body, Battery Cables</v>
          </cell>
          <cell r="H664" t="str">
            <v>PMT5</v>
          </cell>
          <cell r="I664" t="str">
            <v>TH</v>
          </cell>
          <cell r="J664" t="str">
            <v>JD8T </v>
          </cell>
          <cell r="K664" t="str">
            <v>14632 </v>
          </cell>
          <cell r="L664" t="str">
            <v>AA </v>
          </cell>
          <cell r="M664" t="str">
            <v>JD8T -14632 -AA </v>
          </cell>
          <cell r="S664">
            <v>1</v>
          </cell>
          <cell r="T664">
            <v>1</v>
          </cell>
          <cell r="U664">
            <v>1</v>
          </cell>
          <cell r="V664">
            <v>1</v>
          </cell>
          <cell r="W664">
            <v>1</v>
          </cell>
          <cell r="X664">
            <v>1</v>
          </cell>
          <cell r="Y664">
            <v>1</v>
          </cell>
          <cell r="Z664">
            <v>1</v>
          </cell>
          <cell r="AA664">
            <v>1</v>
          </cell>
          <cell r="AC664">
            <v>-44.13</v>
          </cell>
          <cell r="AD664">
            <v>-0.41</v>
          </cell>
          <cell r="AE664">
            <v>-0.14000000000000001</v>
          </cell>
          <cell r="AH664">
            <v>-44.68</v>
          </cell>
          <cell r="AI664" t="str">
            <v>CNY</v>
          </cell>
          <cell r="AJ664" t="str">
            <v>LP</v>
          </cell>
        </row>
        <row r="665">
          <cell r="C665" t="str">
            <v>E09</v>
          </cell>
          <cell r="E665" t="str">
            <v>Wiring Assembly EDS-- Engine Control, Instrument Panel, Main Body, Battery Cables</v>
          </cell>
          <cell r="H665" t="str">
            <v>PMT5</v>
          </cell>
          <cell r="I665" t="str">
            <v>TH</v>
          </cell>
          <cell r="J665" t="str">
            <v>JD8T </v>
          </cell>
          <cell r="K665" t="str">
            <v>14633 </v>
          </cell>
          <cell r="L665" t="str">
            <v>AA </v>
          </cell>
          <cell r="M665" t="str">
            <v>JD8T -14633 -AA </v>
          </cell>
          <cell r="S665">
            <v>1</v>
          </cell>
          <cell r="T665">
            <v>1</v>
          </cell>
          <cell r="U665">
            <v>1</v>
          </cell>
          <cell r="V665">
            <v>1</v>
          </cell>
          <cell r="W665">
            <v>1</v>
          </cell>
          <cell r="X665">
            <v>1</v>
          </cell>
          <cell r="Y665">
            <v>1</v>
          </cell>
          <cell r="Z665">
            <v>1</v>
          </cell>
          <cell r="AA665">
            <v>1</v>
          </cell>
          <cell r="AC665">
            <v>-44.04</v>
          </cell>
          <cell r="AD665">
            <v>-0.4</v>
          </cell>
          <cell r="AE665">
            <v>-0.14000000000000001</v>
          </cell>
          <cell r="AH665">
            <v>-44.58</v>
          </cell>
          <cell r="AI665" t="str">
            <v>CNY</v>
          </cell>
          <cell r="AJ665" t="str">
            <v>LP</v>
          </cell>
        </row>
        <row r="666">
          <cell r="C666" t="str">
            <v>E09</v>
          </cell>
          <cell r="E666" t="str">
            <v>Wiring Assembly EDS-- Engine Control, Instrument Panel, Main Body, Battery Cables</v>
          </cell>
          <cell r="H666" t="str">
            <v>PMT5</v>
          </cell>
          <cell r="I666" t="str">
            <v>TH</v>
          </cell>
          <cell r="J666" t="str">
            <v>JD8T </v>
          </cell>
          <cell r="K666" t="str">
            <v>14A280 </v>
          </cell>
          <cell r="L666" t="str">
            <v>AB</v>
          </cell>
          <cell r="M666" t="str">
            <v>JD8T -14A280 -AB</v>
          </cell>
          <cell r="S666">
            <v>1</v>
          </cell>
          <cell r="T666">
            <v>0</v>
          </cell>
          <cell r="U666">
            <v>1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0.28000000000000003</v>
          </cell>
          <cell r="AC666">
            <v>-150.51</v>
          </cell>
          <cell r="AD666">
            <v>-0.43</v>
          </cell>
          <cell r="AE666">
            <v>-0.43</v>
          </cell>
          <cell r="AH666">
            <v>-151.37</v>
          </cell>
          <cell r="AI666" t="str">
            <v>CNY</v>
          </cell>
          <cell r="AJ666" t="str">
            <v>LP</v>
          </cell>
        </row>
        <row r="667">
          <cell r="C667" t="str">
            <v>E09</v>
          </cell>
          <cell r="E667" t="str">
            <v>Wiring Assembly EDS-- Engine Control, Instrument Panel, Main Body, Battery Cables</v>
          </cell>
          <cell r="H667" t="str">
            <v>PMT5</v>
          </cell>
          <cell r="I667" t="str">
            <v>TH</v>
          </cell>
          <cell r="J667" t="str">
            <v>JD8T </v>
          </cell>
          <cell r="K667" t="str">
            <v>14A280 </v>
          </cell>
          <cell r="L667" t="str">
            <v>BB</v>
          </cell>
          <cell r="M667" t="str">
            <v>JD8T -14A280 -BB</v>
          </cell>
          <cell r="S667">
            <v>0</v>
          </cell>
          <cell r="T667">
            <v>1</v>
          </cell>
          <cell r="U667">
            <v>0</v>
          </cell>
          <cell r="V667">
            <v>1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0.39</v>
          </cell>
          <cell r="AC667">
            <v>-161.47</v>
          </cell>
          <cell r="AD667">
            <v>-0.43</v>
          </cell>
          <cell r="AE667">
            <v>-0.43</v>
          </cell>
          <cell r="AH667">
            <v>-162.33000000000001</v>
          </cell>
          <cell r="AI667" t="str">
            <v>CNY</v>
          </cell>
          <cell r="AJ667" t="str">
            <v>LP</v>
          </cell>
        </row>
        <row r="668">
          <cell r="C668" t="str">
            <v>E09</v>
          </cell>
          <cell r="E668" t="str">
            <v>Wiring Assembly EDS-- Engine Control, Instrument Panel, Main Body, Battery Cables</v>
          </cell>
          <cell r="H668" t="str">
            <v>PMT5</v>
          </cell>
          <cell r="I668" t="str">
            <v>TH</v>
          </cell>
          <cell r="J668" t="str">
            <v>JD8T </v>
          </cell>
          <cell r="K668" t="str">
            <v>14A280 </v>
          </cell>
          <cell r="L668" t="str">
            <v>CB</v>
          </cell>
          <cell r="M668" t="str">
            <v>JD8T -14A280 -CB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1</v>
          </cell>
          <cell r="X668">
            <v>0</v>
          </cell>
          <cell r="Y668">
            <v>0</v>
          </cell>
          <cell r="Z668">
            <v>0</v>
          </cell>
          <cell r="AA668">
            <v>0.09</v>
          </cell>
          <cell r="AC668">
            <v>-148.92999999999998</v>
          </cell>
          <cell r="AD668">
            <v>-0.43</v>
          </cell>
          <cell r="AE668">
            <v>-0.43</v>
          </cell>
          <cell r="AH668">
            <v>-149.79</v>
          </cell>
          <cell r="AI668" t="str">
            <v>CNY</v>
          </cell>
          <cell r="AJ668" t="str">
            <v>LP</v>
          </cell>
        </row>
        <row r="669">
          <cell r="C669" t="str">
            <v>E09</v>
          </cell>
          <cell r="E669" t="str">
            <v>Wiring Assembly EDS-- Engine Control, Instrument Panel, Main Body, Battery Cables</v>
          </cell>
          <cell r="H669" t="str">
            <v>PMT5</v>
          </cell>
          <cell r="I669" t="str">
            <v>TH</v>
          </cell>
          <cell r="J669" t="str">
            <v>JD8T </v>
          </cell>
          <cell r="K669" t="str">
            <v>14A280 </v>
          </cell>
          <cell r="L669" t="str">
            <v>DB</v>
          </cell>
          <cell r="M669" t="str">
            <v>JD8T -14A280 -DB</v>
          </cell>
          <cell r="S669">
            <v>0</v>
          </cell>
          <cell r="T669">
            <v>0</v>
          </cell>
          <cell r="U669">
            <v>0</v>
          </cell>
          <cell r="V669">
            <v>1</v>
          </cell>
          <cell r="W669">
            <v>0</v>
          </cell>
          <cell r="X669">
            <v>0</v>
          </cell>
          <cell r="Y669">
            <v>0</v>
          </cell>
          <cell r="Z669">
            <v>1</v>
          </cell>
          <cell r="AA669">
            <v>0.28000000000000003</v>
          </cell>
          <cell r="AC669">
            <v>-165.04999999999998</v>
          </cell>
          <cell r="AD669">
            <v>-0.43</v>
          </cell>
          <cell r="AE669">
            <v>-0.43</v>
          </cell>
          <cell r="AH669">
            <v>-165.91</v>
          </cell>
          <cell r="AI669" t="str">
            <v>CNY</v>
          </cell>
          <cell r="AJ669" t="str">
            <v>LP</v>
          </cell>
        </row>
        <row r="670">
          <cell r="C670" t="str">
            <v>E09</v>
          </cell>
          <cell r="E670" t="str">
            <v>Wiring Assembly EDS-- Engine Control, Instrument Panel, Main Body, Battery Cables</v>
          </cell>
          <cell r="H670" t="str">
            <v>PMT5</v>
          </cell>
          <cell r="I670" t="str">
            <v>TH</v>
          </cell>
          <cell r="J670" t="str">
            <v>JD8T </v>
          </cell>
          <cell r="K670" t="str">
            <v>14A584 </v>
          </cell>
          <cell r="L670" t="str">
            <v>AB</v>
          </cell>
          <cell r="M670" t="str">
            <v>JD8T -14A584 -AB</v>
          </cell>
          <cell r="S670">
            <v>1</v>
          </cell>
          <cell r="T670">
            <v>1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0.30000000000000004</v>
          </cell>
          <cell r="AC670">
            <v>-69.569999999999993</v>
          </cell>
          <cell r="AD670">
            <v>-0.47</v>
          </cell>
          <cell r="AE670">
            <v>-0.14000000000000001</v>
          </cell>
          <cell r="AH670">
            <v>-70.179999999999993</v>
          </cell>
          <cell r="AI670" t="str">
            <v>CNY</v>
          </cell>
          <cell r="AJ670" t="str">
            <v>LP</v>
          </cell>
        </row>
        <row r="671">
          <cell r="C671" t="str">
            <v>E09</v>
          </cell>
          <cell r="E671" t="str">
            <v>Wiring Assembly EDS-- Engine Control, Instrument Panel, Main Body, Battery Cables</v>
          </cell>
          <cell r="H671" t="str">
            <v>PMT5</v>
          </cell>
          <cell r="I671" t="str">
            <v>TH</v>
          </cell>
          <cell r="J671" t="str">
            <v>JD8T </v>
          </cell>
          <cell r="K671" t="str">
            <v>14A584 </v>
          </cell>
          <cell r="L671" t="str">
            <v>BB</v>
          </cell>
          <cell r="M671" t="str">
            <v>JD8T -14A584 -BB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0</v>
          </cell>
          <cell r="Z671">
            <v>0</v>
          </cell>
          <cell r="AA671">
            <v>0.6</v>
          </cell>
          <cell r="AC671">
            <v>-69.569999999999993</v>
          </cell>
          <cell r="AD671">
            <v>-0.47</v>
          </cell>
          <cell r="AE671">
            <v>-0.14000000000000001</v>
          </cell>
          <cell r="AH671">
            <v>-70.179999999999993</v>
          </cell>
          <cell r="AI671" t="str">
            <v>CNY</v>
          </cell>
          <cell r="AJ671" t="str">
            <v>LP</v>
          </cell>
        </row>
        <row r="672">
          <cell r="C672" t="str">
            <v>E09</v>
          </cell>
          <cell r="E672" t="str">
            <v>Wiring Assembly EDS-- Engine Control, Instrument Panel, Main Body, Battery Cables</v>
          </cell>
          <cell r="H672" t="str">
            <v>PMT5</v>
          </cell>
          <cell r="I672" t="str">
            <v>TH</v>
          </cell>
          <cell r="J672" t="str">
            <v>JD8T </v>
          </cell>
          <cell r="K672" t="str">
            <v>14A584 </v>
          </cell>
          <cell r="L672" t="str">
            <v>CB</v>
          </cell>
          <cell r="M672" t="str">
            <v>JD8T -14A584 -CB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1</v>
          </cell>
          <cell r="Z672">
            <v>1</v>
          </cell>
          <cell r="AA672">
            <v>0.1</v>
          </cell>
          <cell r="AC672">
            <v>-96.44</v>
          </cell>
          <cell r="AD672">
            <v>-0.47</v>
          </cell>
          <cell r="AE672">
            <v>-0.14000000000000001</v>
          </cell>
          <cell r="AH672">
            <v>-97.05</v>
          </cell>
          <cell r="AI672" t="str">
            <v>CNY</v>
          </cell>
          <cell r="AJ672" t="str">
            <v>LP</v>
          </cell>
        </row>
        <row r="673">
          <cell r="C673" t="str">
            <v>E09</v>
          </cell>
          <cell r="E673" t="str">
            <v>Wiring Assembly EDS-- Engine Control, Instrument Panel, Main Body, Battery Cables</v>
          </cell>
          <cell r="H673" t="str">
            <v>PMT5</v>
          </cell>
          <cell r="I673" t="str">
            <v>TH</v>
          </cell>
          <cell r="J673" t="str">
            <v>JD8T </v>
          </cell>
          <cell r="K673" t="str">
            <v>14B079 </v>
          </cell>
          <cell r="L673" t="str">
            <v>AB</v>
          </cell>
          <cell r="M673" t="str">
            <v>JD8T -14B079 -AB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1</v>
          </cell>
          <cell r="Z673">
            <v>1</v>
          </cell>
          <cell r="AA673">
            <v>0.1</v>
          </cell>
          <cell r="AC673">
            <v>-22.27</v>
          </cell>
          <cell r="AD673">
            <v>-0.28000000000000003</v>
          </cell>
          <cell r="AE673">
            <v>-0.14000000000000001</v>
          </cell>
          <cell r="AH673">
            <v>-22.69</v>
          </cell>
          <cell r="AI673" t="str">
            <v>CNY</v>
          </cell>
          <cell r="AJ673" t="str">
            <v>LP</v>
          </cell>
        </row>
        <row r="674">
          <cell r="C674" t="str">
            <v>E09</v>
          </cell>
          <cell r="E674" t="str">
            <v>Wiring Assembly EDS-- Engine Control, Instrument Panel, Main Body, Battery Cables</v>
          </cell>
          <cell r="H674" t="str">
            <v>PMT5</v>
          </cell>
          <cell r="I674" t="str">
            <v>TH</v>
          </cell>
          <cell r="J674" t="str">
            <v>JD8T </v>
          </cell>
          <cell r="K674" t="str">
            <v>14B079 </v>
          </cell>
          <cell r="L674" t="str">
            <v>BB</v>
          </cell>
          <cell r="M674" t="str">
            <v>JD8T -14B079 -BB</v>
          </cell>
          <cell r="S674">
            <v>1</v>
          </cell>
          <cell r="T674">
            <v>0</v>
          </cell>
          <cell r="U674">
            <v>0</v>
          </cell>
          <cell r="V674">
            <v>0</v>
          </cell>
          <cell r="W674">
            <v>1</v>
          </cell>
          <cell r="X674">
            <v>1</v>
          </cell>
          <cell r="Y674">
            <v>0</v>
          </cell>
          <cell r="Z674">
            <v>0</v>
          </cell>
          <cell r="AA674">
            <v>0.37</v>
          </cell>
          <cell r="AC674">
            <v>-18.25</v>
          </cell>
          <cell r="AD674">
            <v>-0.28000000000000003</v>
          </cell>
          <cell r="AE674">
            <v>-0.14000000000000001</v>
          </cell>
          <cell r="AH674">
            <v>-18.670000000000002</v>
          </cell>
          <cell r="AI674" t="str">
            <v>CNY</v>
          </cell>
          <cell r="AJ674" t="str">
            <v>LP</v>
          </cell>
        </row>
        <row r="675">
          <cell r="C675" t="str">
            <v>E09</v>
          </cell>
          <cell r="E675" t="str">
            <v>Wiring Assembly EDS-- Engine Control, Instrument Panel, Main Body, Battery Cables</v>
          </cell>
          <cell r="H675" t="str">
            <v>PMT5</v>
          </cell>
          <cell r="I675" t="str">
            <v>TH</v>
          </cell>
          <cell r="J675" t="str">
            <v>JD8T </v>
          </cell>
          <cell r="K675" t="str">
            <v>14F302 </v>
          </cell>
          <cell r="L675" t="str">
            <v>AA </v>
          </cell>
          <cell r="M675" t="str">
            <v>JD8T -14F302 -AA 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1</v>
          </cell>
          <cell r="Z675">
            <v>1</v>
          </cell>
          <cell r="AA675">
            <v>0.1</v>
          </cell>
          <cell r="AC675">
            <v>-17.260000000000002</v>
          </cell>
          <cell r="AD675">
            <v>-0.28000000000000003</v>
          </cell>
          <cell r="AE675">
            <v>-0.14000000000000001</v>
          </cell>
          <cell r="AH675">
            <v>-17.680000000000003</v>
          </cell>
          <cell r="AI675" t="str">
            <v>CNY</v>
          </cell>
          <cell r="AJ675" t="str">
            <v>LP</v>
          </cell>
        </row>
        <row r="676">
          <cell r="C676" t="str">
            <v>E09</v>
          </cell>
          <cell r="E676" t="str">
            <v>Wiring Assembly EDS-- Engine Control, Instrument Panel, Main Body, Battery Cables</v>
          </cell>
          <cell r="H676" t="str">
            <v>PMT5</v>
          </cell>
          <cell r="I676" t="str">
            <v>TH</v>
          </cell>
          <cell r="J676" t="str">
            <v>JD8T </v>
          </cell>
          <cell r="K676" t="str">
            <v>14F302 </v>
          </cell>
          <cell r="L676" t="str">
            <v>BA </v>
          </cell>
          <cell r="M676" t="str">
            <v>JD8T -14F302 -BA 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1</v>
          </cell>
          <cell r="Z676">
            <v>1</v>
          </cell>
          <cell r="AA676">
            <v>0.1</v>
          </cell>
          <cell r="AC676">
            <v>-17.260000000000002</v>
          </cell>
          <cell r="AD676">
            <v>-0.28000000000000003</v>
          </cell>
          <cell r="AE676">
            <v>-0.14000000000000001</v>
          </cell>
          <cell r="AH676">
            <v>-17.680000000000003</v>
          </cell>
          <cell r="AI676" t="str">
            <v>CNY</v>
          </cell>
          <cell r="AJ676" t="str">
            <v>LP</v>
          </cell>
        </row>
        <row r="677">
          <cell r="C677" t="str">
            <v>E09</v>
          </cell>
          <cell r="E677" t="str">
            <v>Wiring Assembly EDS-- Engine Control, Instrument Panel, Main Body, Battery Cables</v>
          </cell>
          <cell r="H677" t="str">
            <v>PMT5</v>
          </cell>
          <cell r="I677" t="str">
            <v>TH</v>
          </cell>
          <cell r="J677" t="str">
            <v>JD8T </v>
          </cell>
          <cell r="K677" t="str">
            <v>14K138 </v>
          </cell>
          <cell r="L677" t="str">
            <v>AA </v>
          </cell>
          <cell r="M677" t="str">
            <v>JD8T -14K138 -AA </v>
          </cell>
          <cell r="S677">
            <v>1</v>
          </cell>
          <cell r="T677">
            <v>1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0.30000000000000004</v>
          </cell>
          <cell r="AC677">
            <v>-54.23</v>
          </cell>
          <cell r="AD677">
            <v>-0.47</v>
          </cell>
          <cell r="AE677">
            <v>-0.14000000000000001</v>
          </cell>
          <cell r="AH677">
            <v>-54.839999999999996</v>
          </cell>
          <cell r="AI677" t="str">
            <v>CNY</v>
          </cell>
          <cell r="AJ677" t="str">
            <v>LP</v>
          </cell>
        </row>
        <row r="678">
          <cell r="C678" t="str">
            <v>E09</v>
          </cell>
          <cell r="E678" t="str">
            <v>Wiring Assembly EDS-- Engine Control, Instrument Panel, Main Body, Battery Cables</v>
          </cell>
          <cell r="H678" t="str">
            <v>PMT5</v>
          </cell>
          <cell r="I678" t="str">
            <v>TH</v>
          </cell>
          <cell r="J678" t="str">
            <v>JD8T </v>
          </cell>
          <cell r="K678" t="str">
            <v>14K138 </v>
          </cell>
          <cell r="L678" t="str">
            <v>BA </v>
          </cell>
          <cell r="M678" t="str">
            <v>JD8T -14K138 -BA 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0</v>
          </cell>
          <cell r="Z678">
            <v>0</v>
          </cell>
          <cell r="AA678">
            <v>0.6</v>
          </cell>
          <cell r="AC678">
            <v>-54.76</v>
          </cell>
          <cell r="AD678">
            <v>-0.47</v>
          </cell>
          <cell r="AE678">
            <v>-0.14000000000000001</v>
          </cell>
          <cell r="AH678">
            <v>-55.37</v>
          </cell>
          <cell r="AI678" t="str">
            <v>CNY</v>
          </cell>
          <cell r="AJ678" t="str">
            <v>LP</v>
          </cell>
        </row>
        <row r="679">
          <cell r="C679" t="str">
            <v>E09</v>
          </cell>
          <cell r="E679" t="str">
            <v>Wiring Assembly EDS-- Engine Control, Instrument Panel, Main Body, Battery Cables</v>
          </cell>
          <cell r="H679" t="str">
            <v>PMT5</v>
          </cell>
          <cell r="I679" t="str">
            <v>TH</v>
          </cell>
          <cell r="J679" t="str">
            <v>JD8T </v>
          </cell>
          <cell r="K679" t="str">
            <v>14K138 </v>
          </cell>
          <cell r="L679" t="str">
            <v>CA </v>
          </cell>
          <cell r="M679" t="str">
            <v>JD8T -14K138 -CA 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1</v>
          </cell>
          <cell r="Z679">
            <v>1</v>
          </cell>
          <cell r="AA679">
            <v>0.1</v>
          </cell>
          <cell r="AC679">
            <v>-79.989999999999995</v>
          </cell>
          <cell r="AD679">
            <v>-0.47</v>
          </cell>
          <cell r="AE679">
            <v>-0.14000000000000001</v>
          </cell>
          <cell r="AH679">
            <v>-80.599999999999994</v>
          </cell>
          <cell r="AI679" t="str">
            <v>CNY</v>
          </cell>
          <cell r="AJ679" t="str">
            <v>LP</v>
          </cell>
        </row>
        <row r="680">
          <cell r="C680" t="str">
            <v>E09</v>
          </cell>
          <cell r="E680" t="str">
            <v>Wiring Assembly EDS-- Engine Control, Instrument Panel, Main Body, Battery Cables</v>
          </cell>
          <cell r="H680" t="str">
            <v>PMT5</v>
          </cell>
          <cell r="I680" t="str">
            <v>TH</v>
          </cell>
          <cell r="J680" t="str">
            <v>JD8T </v>
          </cell>
          <cell r="K680" t="str">
            <v>14K733 </v>
          </cell>
          <cell r="L680" t="str">
            <v>AA </v>
          </cell>
          <cell r="M680" t="str">
            <v>JD8T -14K733 -AA </v>
          </cell>
          <cell r="S680">
            <v>1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0.14000000000000001</v>
          </cell>
          <cell r="AC680">
            <v>-660.8</v>
          </cell>
          <cell r="AD680">
            <v>-0.82</v>
          </cell>
          <cell r="AE680">
            <v>-0.7</v>
          </cell>
          <cell r="AH680">
            <v>-662.32</v>
          </cell>
          <cell r="AI680" t="str">
            <v>CNY</v>
          </cell>
          <cell r="AJ680" t="str">
            <v>LP</v>
          </cell>
        </row>
        <row r="681">
          <cell r="C681" t="str">
            <v>E09</v>
          </cell>
          <cell r="E681" t="str">
            <v>Wiring Assembly EDS-- Engine Control, Instrument Panel, Main Body, Battery Cables</v>
          </cell>
          <cell r="H681" t="str">
            <v>PMT5</v>
          </cell>
          <cell r="I681" t="str">
            <v>TH</v>
          </cell>
          <cell r="J681" t="str">
            <v>JD8T </v>
          </cell>
          <cell r="K681" t="str">
            <v>14K733 </v>
          </cell>
          <cell r="L681" t="str">
            <v>BA </v>
          </cell>
          <cell r="M681" t="str">
            <v>JD8T -14K733 -BA </v>
          </cell>
          <cell r="S681">
            <v>0</v>
          </cell>
          <cell r="T681">
            <v>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0.16</v>
          </cell>
          <cell r="AC681">
            <v>-707.76</v>
          </cell>
          <cell r="AD681">
            <v>-0.82</v>
          </cell>
          <cell r="AE681">
            <v>-0.7</v>
          </cell>
          <cell r="AH681">
            <v>-709.28000000000009</v>
          </cell>
          <cell r="AI681" t="str">
            <v>CNY</v>
          </cell>
          <cell r="AJ681" t="str">
            <v>LP</v>
          </cell>
        </row>
        <row r="682">
          <cell r="C682" t="str">
            <v>E09</v>
          </cell>
          <cell r="E682" t="str">
            <v>Wiring Assembly EDS-- Engine Control, Instrument Panel, Main Body, Battery Cables</v>
          </cell>
          <cell r="H682" t="str">
            <v>PMT5</v>
          </cell>
          <cell r="I682" t="str">
            <v>TH</v>
          </cell>
          <cell r="J682" t="str">
            <v>JD8T </v>
          </cell>
          <cell r="K682" t="str">
            <v>14K733 </v>
          </cell>
          <cell r="L682" t="str">
            <v>CA </v>
          </cell>
          <cell r="M682" t="str">
            <v>JD8T -14K733 -CA </v>
          </cell>
          <cell r="S682">
            <v>0</v>
          </cell>
          <cell r="T682">
            <v>0</v>
          </cell>
          <cell r="U682">
            <v>1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0.14000000000000001</v>
          </cell>
          <cell r="AC682">
            <v>-705.43</v>
          </cell>
          <cell r="AD682">
            <v>-0.82</v>
          </cell>
          <cell r="AE682">
            <v>-0.7</v>
          </cell>
          <cell r="AH682">
            <v>-706.95</v>
          </cell>
          <cell r="AI682" t="str">
            <v>CNY</v>
          </cell>
          <cell r="AJ682" t="str">
            <v>LP</v>
          </cell>
        </row>
        <row r="683">
          <cell r="C683" t="str">
            <v>E09</v>
          </cell>
          <cell r="E683" t="str">
            <v>Wiring Assembly EDS-- Engine Control, Instrument Panel, Main Body, Battery Cables</v>
          </cell>
          <cell r="H683" t="str">
            <v>PMT5</v>
          </cell>
          <cell r="I683" t="str">
            <v>TH</v>
          </cell>
          <cell r="J683" t="str">
            <v>JD8T </v>
          </cell>
          <cell r="K683" t="str">
            <v>14K733 </v>
          </cell>
          <cell r="L683" t="str">
            <v>DA </v>
          </cell>
          <cell r="M683" t="str">
            <v>JD8T -14K733 -DA </v>
          </cell>
          <cell r="S683">
            <v>0</v>
          </cell>
          <cell r="T683">
            <v>0</v>
          </cell>
          <cell r="U683">
            <v>0</v>
          </cell>
          <cell r="V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0.23</v>
          </cell>
          <cell r="AC683">
            <v>-733.8</v>
          </cell>
          <cell r="AD683">
            <v>-0.82</v>
          </cell>
          <cell r="AE683">
            <v>-0.7</v>
          </cell>
          <cell r="AH683">
            <v>-735.32</v>
          </cell>
          <cell r="AI683" t="str">
            <v>CNY</v>
          </cell>
          <cell r="AJ683" t="str">
            <v>LP</v>
          </cell>
        </row>
        <row r="684">
          <cell r="C684" t="str">
            <v>E09</v>
          </cell>
          <cell r="E684" t="str">
            <v>Wiring Assembly EDS-- Engine Control, Instrument Panel, Main Body, Battery Cables</v>
          </cell>
          <cell r="H684" t="str">
            <v>PMT5</v>
          </cell>
          <cell r="I684" t="str">
            <v>TH</v>
          </cell>
          <cell r="J684" t="str">
            <v>JD8T </v>
          </cell>
          <cell r="K684" t="str">
            <v>14K733 </v>
          </cell>
          <cell r="L684" t="str">
            <v>EA </v>
          </cell>
          <cell r="M684" t="str">
            <v>JD8T -14K733 -EA 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0.09</v>
          </cell>
          <cell r="AC684">
            <v>-861.64</v>
          </cell>
          <cell r="AD684">
            <v>-0.82</v>
          </cell>
          <cell r="AE684">
            <v>-0.7</v>
          </cell>
          <cell r="AH684">
            <v>-863.16000000000008</v>
          </cell>
          <cell r="AI684" t="str">
            <v>CNY</v>
          </cell>
          <cell r="AJ684" t="str">
            <v>LP</v>
          </cell>
        </row>
        <row r="685">
          <cell r="C685" t="str">
            <v>E09</v>
          </cell>
          <cell r="E685" t="str">
            <v>Wiring Assembly EDS-- Engine Control, Instrument Panel, Main Body, Battery Cables</v>
          </cell>
          <cell r="H685" t="str">
            <v>PMT5</v>
          </cell>
          <cell r="I685" t="str">
            <v>TH</v>
          </cell>
          <cell r="J685" t="str">
            <v>JD8T </v>
          </cell>
          <cell r="K685" t="str">
            <v>14K733 </v>
          </cell>
          <cell r="L685" t="str">
            <v>FA </v>
          </cell>
          <cell r="M685" t="str">
            <v>JD8T -14K733 -FA 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1</v>
          </cell>
          <cell r="Y685">
            <v>0</v>
          </cell>
          <cell r="Z685">
            <v>0</v>
          </cell>
          <cell r="AA685">
            <v>0.14000000000000001</v>
          </cell>
          <cell r="AC685">
            <v>-856.82</v>
          </cell>
          <cell r="AD685">
            <v>-0.28000000000000003</v>
          </cell>
          <cell r="AE685">
            <v>-0.14000000000000001</v>
          </cell>
          <cell r="AH685">
            <v>-857.24</v>
          </cell>
          <cell r="AI685" t="str">
            <v>CNY</v>
          </cell>
          <cell r="AJ685" t="str">
            <v>LP</v>
          </cell>
        </row>
        <row r="686">
          <cell r="C686" t="str">
            <v>E09</v>
          </cell>
          <cell r="E686" t="str">
            <v>Wiring Assembly EDS-- Engine Control, Instrument Panel, Main Body, Battery Cables</v>
          </cell>
          <cell r="H686" t="str">
            <v>PMT5</v>
          </cell>
          <cell r="I686" t="str">
            <v>TH</v>
          </cell>
          <cell r="J686" t="str">
            <v>JD8T </v>
          </cell>
          <cell r="K686" t="str">
            <v>14K733 </v>
          </cell>
          <cell r="L686" t="str">
            <v>GA </v>
          </cell>
          <cell r="M686" t="str">
            <v>JD8T -14K733 -GA 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</v>
          </cell>
          <cell r="Z686">
            <v>0</v>
          </cell>
          <cell r="AA686">
            <v>0.05</v>
          </cell>
          <cell r="AC686">
            <v>-792.48</v>
          </cell>
          <cell r="AD686">
            <v>-0.28000000000000003</v>
          </cell>
          <cell r="AE686">
            <v>-0.28999999999999998</v>
          </cell>
          <cell r="AH686">
            <v>-793.05</v>
          </cell>
          <cell r="AI686" t="str">
            <v>CNY</v>
          </cell>
          <cell r="AJ686" t="str">
            <v>LP</v>
          </cell>
        </row>
        <row r="687">
          <cell r="C687" t="str">
            <v>E09</v>
          </cell>
          <cell r="E687" t="str">
            <v>Wiring Assembly EDS-- Engine Control, Instrument Panel, Main Body, Battery Cables</v>
          </cell>
          <cell r="H687" t="str">
            <v>PMT5</v>
          </cell>
          <cell r="I687" t="str">
            <v>TH</v>
          </cell>
          <cell r="J687" t="str">
            <v>JD8T </v>
          </cell>
          <cell r="K687" t="str">
            <v>14K733 </v>
          </cell>
          <cell r="L687" t="str">
            <v>HA </v>
          </cell>
          <cell r="M687" t="str">
            <v>JD8T -14K733 -HA 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1</v>
          </cell>
          <cell r="AA687">
            <v>0.05</v>
          </cell>
          <cell r="AC687">
            <v>-888.51</v>
          </cell>
          <cell r="AD687">
            <v>-0.28000000000000003</v>
          </cell>
          <cell r="AE687">
            <v>-0.14000000000000001</v>
          </cell>
          <cell r="AH687">
            <v>-888.93</v>
          </cell>
          <cell r="AI687" t="str">
            <v>CNY</v>
          </cell>
          <cell r="AJ687" t="str">
            <v>LP</v>
          </cell>
        </row>
        <row r="688">
          <cell r="C688" t="str">
            <v>E09</v>
          </cell>
          <cell r="E688" t="str">
            <v>Wiring Assembly EDS-- Engine Control, Instrument Panel, Main Body, Battery Cables</v>
          </cell>
          <cell r="H688" t="str">
            <v>PMT5</v>
          </cell>
          <cell r="I688" t="str">
            <v>TH</v>
          </cell>
          <cell r="J688" t="str">
            <v>JD8T </v>
          </cell>
          <cell r="K688" t="str">
            <v>14K733 </v>
          </cell>
          <cell r="L688" t="str">
            <v>JA </v>
          </cell>
          <cell r="M688" t="str">
            <v>JD8T -14K733 -JA </v>
          </cell>
          <cell r="S688">
            <v>1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0.14000000000000001</v>
          </cell>
          <cell r="AC688">
            <v>-726.48</v>
          </cell>
          <cell r="AD688">
            <v>-0.82</v>
          </cell>
          <cell r="AE688">
            <v>-0.7</v>
          </cell>
          <cell r="AH688">
            <v>-728.00000000000011</v>
          </cell>
          <cell r="AI688" t="str">
            <v>CNY</v>
          </cell>
          <cell r="AJ688" t="str">
            <v>LP</v>
          </cell>
        </row>
        <row r="689">
          <cell r="C689" t="str">
            <v>E09</v>
          </cell>
          <cell r="E689" t="str">
            <v>Wiring Assembly EDS-- Engine Control, Instrument Panel, Main Body, Battery Cables</v>
          </cell>
          <cell r="H689" t="str">
            <v>PMT5</v>
          </cell>
          <cell r="I689" t="str">
            <v>TH</v>
          </cell>
          <cell r="J689" t="str">
            <v>JD8T </v>
          </cell>
          <cell r="K689" t="str">
            <v>14K733 </v>
          </cell>
          <cell r="L689" t="str">
            <v>KA </v>
          </cell>
          <cell r="M689" t="str">
            <v>JD8T -14K733 -KA </v>
          </cell>
          <cell r="S689">
            <v>0</v>
          </cell>
          <cell r="T689">
            <v>1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0.16</v>
          </cell>
          <cell r="AC689">
            <v>-427.8</v>
          </cell>
          <cell r="AD689">
            <v>-0.82</v>
          </cell>
          <cell r="AE689">
            <v>-0.7</v>
          </cell>
          <cell r="AH689">
            <v>-429.32</v>
          </cell>
          <cell r="AI689" t="str">
            <v>CNY</v>
          </cell>
          <cell r="AJ689" t="str">
            <v>LP</v>
          </cell>
        </row>
        <row r="690">
          <cell r="C690" t="str">
            <v>E09</v>
          </cell>
          <cell r="E690" t="str">
            <v>Wiring Assembly EDS-- Engine Control, Instrument Panel, Main Body, Battery Cables</v>
          </cell>
          <cell r="H690" t="str">
            <v>PMT5</v>
          </cell>
          <cell r="I690" t="str">
            <v>TH</v>
          </cell>
          <cell r="J690" t="str">
            <v>JD8T </v>
          </cell>
          <cell r="K690" t="str">
            <v>14K733 </v>
          </cell>
          <cell r="L690" t="str">
            <v>LA </v>
          </cell>
          <cell r="M690" t="str">
            <v>JD8T -14K733 -LA </v>
          </cell>
          <cell r="S690">
            <v>0</v>
          </cell>
          <cell r="T690">
            <v>0</v>
          </cell>
          <cell r="U690">
            <v>1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0.14000000000000001</v>
          </cell>
          <cell r="AC690">
            <v>-495.7</v>
          </cell>
          <cell r="AD690">
            <v>-0.82</v>
          </cell>
          <cell r="AE690">
            <v>-0.7</v>
          </cell>
          <cell r="AH690">
            <v>-497.21999999999997</v>
          </cell>
          <cell r="AI690" t="str">
            <v>CNY</v>
          </cell>
          <cell r="AJ690" t="str">
            <v>LP</v>
          </cell>
        </row>
        <row r="691">
          <cell r="C691" t="str">
            <v>E09</v>
          </cell>
          <cell r="E691" t="str">
            <v>Wiring Assembly EDS-- Engine Control, Instrument Panel, Main Body, Battery Cables</v>
          </cell>
          <cell r="H691" t="str">
            <v>PMT5</v>
          </cell>
          <cell r="I691" t="str">
            <v>TH</v>
          </cell>
          <cell r="J691" t="str">
            <v>JD8T </v>
          </cell>
          <cell r="K691" t="str">
            <v>14K733 </v>
          </cell>
          <cell r="L691" t="str">
            <v>MA </v>
          </cell>
          <cell r="M691" t="str">
            <v>JD8T -14K733 -MA </v>
          </cell>
          <cell r="S691">
            <v>0</v>
          </cell>
          <cell r="T691">
            <v>0</v>
          </cell>
          <cell r="U691">
            <v>0</v>
          </cell>
          <cell r="V691">
            <v>1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0.23</v>
          </cell>
          <cell r="AC691">
            <v>-511.82</v>
          </cell>
          <cell r="AD691">
            <v>-0.82</v>
          </cell>
          <cell r="AE691">
            <v>-0.7</v>
          </cell>
          <cell r="AH691">
            <v>-513.34</v>
          </cell>
          <cell r="AI691" t="str">
            <v>CNY</v>
          </cell>
          <cell r="AJ691" t="str">
            <v>LP</v>
          </cell>
        </row>
        <row r="692">
          <cell r="C692" t="str">
            <v>E09</v>
          </cell>
          <cell r="E692" t="str">
            <v>Wiring Assembly EDS-- Engine Control, Instrument Panel, Main Body, Battery Cables</v>
          </cell>
          <cell r="H692" t="str">
            <v>PMT5</v>
          </cell>
          <cell r="I692" t="str">
            <v>TH</v>
          </cell>
          <cell r="J692" t="str">
            <v>JD8T </v>
          </cell>
          <cell r="K692" t="str">
            <v>14K733 </v>
          </cell>
          <cell r="L692" t="str">
            <v>NA </v>
          </cell>
          <cell r="M692" t="str">
            <v>JD8T -14K733 -NA 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1</v>
          </cell>
          <cell r="Z692">
            <v>0</v>
          </cell>
          <cell r="AA692">
            <v>0.05</v>
          </cell>
          <cell r="AC692">
            <v>-500.83</v>
          </cell>
          <cell r="AD692">
            <v>-0.82</v>
          </cell>
          <cell r="AE692">
            <v>-0.7</v>
          </cell>
          <cell r="AH692">
            <v>-502.34999999999997</v>
          </cell>
          <cell r="AI692" t="str">
            <v>CNY</v>
          </cell>
          <cell r="AJ692" t="str">
            <v>LP</v>
          </cell>
        </row>
        <row r="693">
          <cell r="C693" t="str">
            <v>E09</v>
          </cell>
          <cell r="E693" t="str">
            <v>Wiring Assembly EDS-- Engine Control, Instrument Panel, Main Body, Battery Cables</v>
          </cell>
          <cell r="H693" t="str">
            <v>PMT5</v>
          </cell>
          <cell r="I693" t="str">
            <v>TH</v>
          </cell>
          <cell r="J693" t="str">
            <v>JD8T </v>
          </cell>
          <cell r="K693" t="str">
            <v>14K733 </v>
          </cell>
          <cell r="L693" t="str">
            <v>PA </v>
          </cell>
          <cell r="M693" t="str">
            <v>JD8T -14K733 -PA </v>
          </cell>
          <cell r="S693">
            <v>0</v>
          </cell>
          <cell r="T693">
            <v>0</v>
          </cell>
          <cell r="U693">
            <v>1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0.14000000000000001</v>
          </cell>
          <cell r="AC693">
            <v>-745.31</v>
          </cell>
          <cell r="AD693">
            <v>-0.82</v>
          </cell>
          <cell r="AE693">
            <v>-0.7</v>
          </cell>
          <cell r="AH693">
            <v>-746.83</v>
          </cell>
          <cell r="AI693" t="str">
            <v>CNY</v>
          </cell>
          <cell r="AJ693" t="str">
            <v>LP</v>
          </cell>
        </row>
        <row r="694">
          <cell r="C694" t="str">
            <v>E09</v>
          </cell>
          <cell r="E694" t="str">
            <v>Wiring Assembly EDS-- Engine Control, Instrument Panel, Main Body, Battery Cables</v>
          </cell>
          <cell r="H694" t="str">
            <v>PMT5</v>
          </cell>
          <cell r="I694" t="str">
            <v>TH</v>
          </cell>
          <cell r="J694" t="str">
            <v>JD8T </v>
          </cell>
          <cell r="K694" t="str">
            <v>14K733 </v>
          </cell>
          <cell r="L694" t="str">
            <v>RA </v>
          </cell>
          <cell r="M694" t="str">
            <v>JD8T -14K733 -RA </v>
          </cell>
          <cell r="S694">
            <v>0</v>
          </cell>
          <cell r="T694">
            <v>0</v>
          </cell>
          <cell r="U694">
            <v>0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0.23</v>
          </cell>
          <cell r="AC694">
            <v>-754.2</v>
          </cell>
          <cell r="AD694">
            <v>-0.82</v>
          </cell>
          <cell r="AE694">
            <v>-0.7</v>
          </cell>
          <cell r="AH694">
            <v>-755.72000000000014</v>
          </cell>
          <cell r="AI694" t="str">
            <v>CNY</v>
          </cell>
          <cell r="AJ694" t="str">
            <v>LP</v>
          </cell>
        </row>
        <row r="695">
          <cell r="C695" t="str">
            <v>E09</v>
          </cell>
          <cell r="E695" t="str">
            <v>Wiring Assembly EDS-- Engine Control, Instrument Panel, Main Body, Battery Cables</v>
          </cell>
          <cell r="H695" t="str">
            <v>PMT5</v>
          </cell>
          <cell r="I695" t="str">
            <v>TH</v>
          </cell>
          <cell r="J695" t="str">
            <v>JD8T </v>
          </cell>
          <cell r="K695" t="str">
            <v>14K733 </v>
          </cell>
          <cell r="L695" t="str">
            <v>SA </v>
          </cell>
          <cell r="M695" t="str">
            <v>JD8T -14K733 -SA 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1</v>
          </cell>
          <cell r="X695">
            <v>0</v>
          </cell>
          <cell r="Y695">
            <v>0</v>
          </cell>
          <cell r="Z695">
            <v>0</v>
          </cell>
          <cell r="AA695">
            <v>0.09</v>
          </cell>
          <cell r="AC695">
            <v>-880.33</v>
          </cell>
          <cell r="AD695">
            <v>-0.82</v>
          </cell>
          <cell r="AE695">
            <v>-0.7</v>
          </cell>
          <cell r="AH695">
            <v>-881.85000000000014</v>
          </cell>
          <cell r="AI695" t="str">
            <v>CNY</v>
          </cell>
          <cell r="AJ695" t="str">
            <v>LP</v>
          </cell>
        </row>
        <row r="696">
          <cell r="C696" t="str">
            <v>E09</v>
          </cell>
          <cell r="E696" t="str">
            <v>Wiring Assembly EDS-- Engine Control, Instrument Panel, Main Body, Battery Cables</v>
          </cell>
          <cell r="H696" t="str">
            <v>PMT5</v>
          </cell>
          <cell r="I696" t="str">
            <v>TH</v>
          </cell>
          <cell r="J696" t="str">
            <v>JD8T </v>
          </cell>
          <cell r="K696" t="str">
            <v>14K733 </v>
          </cell>
          <cell r="L696" t="str">
            <v>TA </v>
          </cell>
          <cell r="M696" t="str">
            <v>JD8T -14K733 -TA 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</v>
          </cell>
          <cell r="Y696">
            <v>0</v>
          </cell>
          <cell r="Z696">
            <v>0</v>
          </cell>
          <cell r="AA696">
            <v>0.14000000000000001</v>
          </cell>
          <cell r="AC696">
            <v>-874.86</v>
          </cell>
          <cell r="AD696">
            <v>-0.82</v>
          </cell>
          <cell r="AE696">
            <v>-0.7</v>
          </cell>
          <cell r="AH696">
            <v>-876.38000000000011</v>
          </cell>
          <cell r="AI696" t="str">
            <v>CNY</v>
          </cell>
          <cell r="AJ696" t="str">
            <v>LP</v>
          </cell>
        </row>
        <row r="697">
          <cell r="C697" t="str">
            <v>E09</v>
          </cell>
          <cell r="E697" t="str">
            <v>Wiring Assembly EDS-- Engine Control, Instrument Panel, Main Body, Battery Cables</v>
          </cell>
          <cell r="H697" t="str">
            <v>PMT5</v>
          </cell>
          <cell r="I697" t="str">
            <v>TH</v>
          </cell>
          <cell r="J697" t="str">
            <v>JD8T </v>
          </cell>
          <cell r="K697" t="str">
            <v>14K733 </v>
          </cell>
          <cell r="L697" t="str">
            <v>UA </v>
          </cell>
          <cell r="M697" t="str">
            <v>JD8T -14K733 -UA </v>
          </cell>
          <cell r="S697">
            <v>0</v>
          </cell>
          <cell r="T697">
            <v>0</v>
          </cell>
          <cell r="U697">
            <v>1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0.14000000000000001</v>
          </cell>
          <cell r="AC697">
            <v>-777.5</v>
          </cell>
          <cell r="AD697">
            <v>-0.82</v>
          </cell>
          <cell r="AE697">
            <v>-0.7</v>
          </cell>
          <cell r="AH697">
            <v>-779.0200000000001</v>
          </cell>
          <cell r="AI697" t="str">
            <v>CNY</v>
          </cell>
          <cell r="AJ697" t="str">
            <v>LP</v>
          </cell>
        </row>
        <row r="698">
          <cell r="C698" t="str">
            <v>E09</v>
          </cell>
          <cell r="E698" t="str">
            <v>Wiring Assembly EDS-- Engine Control, Instrument Panel, Main Body, Battery Cables</v>
          </cell>
          <cell r="H698" t="str">
            <v>PMT5</v>
          </cell>
          <cell r="I698" t="str">
            <v>TH</v>
          </cell>
          <cell r="J698" t="str">
            <v>JD8T </v>
          </cell>
          <cell r="K698" t="str">
            <v>14K733 </v>
          </cell>
          <cell r="L698" t="str">
            <v>VA </v>
          </cell>
          <cell r="M698" t="str">
            <v>JD8T -14K733 -VA 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1</v>
          </cell>
          <cell r="Z698">
            <v>0</v>
          </cell>
          <cell r="AA698">
            <v>0.05</v>
          </cell>
          <cell r="AC698">
            <v>-776.65</v>
          </cell>
          <cell r="AD698">
            <v>-0.82</v>
          </cell>
          <cell r="AE698">
            <v>-0.7</v>
          </cell>
          <cell r="AH698">
            <v>-778.17000000000007</v>
          </cell>
          <cell r="AI698" t="str">
            <v>CNY</v>
          </cell>
          <cell r="AJ698" t="str">
            <v>LP</v>
          </cell>
        </row>
        <row r="699">
          <cell r="C699" t="str">
            <v>E09</v>
          </cell>
          <cell r="E699" t="str">
            <v>Wiring Assembly EDS-- Engine Control, Instrument Panel, Main Body, Battery Cables</v>
          </cell>
          <cell r="H699" t="str">
            <v>PMT5</v>
          </cell>
          <cell r="I699" t="str">
            <v>TH</v>
          </cell>
          <cell r="J699" t="str">
            <v>JD8T </v>
          </cell>
          <cell r="K699" t="str">
            <v>15K868 </v>
          </cell>
          <cell r="L699" t="str">
            <v>AA </v>
          </cell>
          <cell r="M699" t="str">
            <v>JD8T -15K868 -AA </v>
          </cell>
          <cell r="S699">
            <v>1</v>
          </cell>
          <cell r="T699">
            <v>1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1</v>
          </cell>
          <cell r="AA699">
            <v>1</v>
          </cell>
          <cell r="AC699">
            <v>-22.12</v>
          </cell>
          <cell r="AD699">
            <v>-0.28000000000000003</v>
          </cell>
          <cell r="AE699">
            <v>-0.14000000000000001</v>
          </cell>
          <cell r="AH699">
            <v>-22.540000000000003</v>
          </cell>
          <cell r="AI699" t="str">
            <v>CNY</v>
          </cell>
          <cell r="AJ699" t="str">
            <v>LP</v>
          </cell>
        </row>
        <row r="700">
          <cell r="C700" t="str">
            <v>E09</v>
          </cell>
          <cell r="E700" t="str">
            <v>Wiring Assembly EDS-- Engine Control, Instrument Panel, Main Body, Battery Cables</v>
          </cell>
          <cell r="H700" t="str">
            <v>PMT5</v>
          </cell>
          <cell r="I700" t="str">
            <v>TH</v>
          </cell>
          <cell r="J700" t="str">
            <v>JD8T </v>
          </cell>
          <cell r="K700" t="str">
            <v>17N443 </v>
          </cell>
          <cell r="L700" t="str">
            <v>AA </v>
          </cell>
          <cell r="M700" t="str">
            <v>JD8T -17N443 -AA </v>
          </cell>
          <cell r="S700">
            <v>1</v>
          </cell>
          <cell r="T700">
            <v>1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1</v>
          </cell>
          <cell r="AA700">
            <v>1</v>
          </cell>
          <cell r="AC700">
            <v>-16.87</v>
          </cell>
          <cell r="AD700">
            <v>-0.28000000000000003</v>
          </cell>
          <cell r="AE700">
            <v>-0.28999999999999998</v>
          </cell>
          <cell r="AH700">
            <v>-17.440000000000001</v>
          </cell>
          <cell r="AI700" t="str">
            <v>CNY</v>
          </cell>
          <cell r="AJ700" t="str">
            <v>LP</v>
          </cell>
        </row>
        <row r="701">
          <cell r="C701" t="str">
            <v>E09</v>
          </cell>
          <cell r="E701" t="str">
            <v>Wiring Assembly EDS-- Engine Control, Instrument Panel, Main Body, Battery Cables</v>
          </cell>
          <cell r="H701" t="str">
            <v>PMT5</v>
          </cell>
          <cell r="I701" t="str">
            <v>TH</v>
          </cell>
          <cell r="J701" t="str">
            <v>JD8T </v>
          </cell>
          <cell r="K701" t="str">
            <v>2C055 </v>
          </cell>
          <cell r="L701" t="str">
            <v>AA </v>
          </cell>
          <cell r="M701" t="str">
            <v>JD8T -2C055 -AA </v>
          </cell>
          <cell r="S701">
            <v>1</v>
          </cell>
          <cell r="T701">
            <v>1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1</v>
          </cell>
          <cell r="AA701">
            <v>1</v>
          </cell>
          <cell r="AC701">
            <v>-11.78</v>
          </cell>
          <cell r="AD701">
            <v>-0.28000000000000003</v>
          </cell>
          <cell r="AE701">
            <v>-0.14000000000000001</v>
          </cell>
          <cell r="AH701">
            <v>-12.2</v>
          </cell>
          <cell r="AI701" t="str">
            <v>CNY</v>
          </cell>
          <cell r="AJ701" t="str">
            <v>LP</v>
          </cell>
        </row>
        <row r="702">
          <cell r="C702" t="str">
            <v>E09</v>
          </cell>
          <cell r="E702" t="str">
            <v>Wiring Assembly EDS-- Engine Control, Instrument Panel, Main Body, Battery Cables</v>
          </cell>
          <cell r="H702" t="str">
            <v>PMT5</v>
          </cell>
          <cell r="I702" t="str">
            <v>TH</v>
          </cell>
          <cell r="J702" t="str">
            <v>JD8T </v>
          </cell>
          <cell r="K702" t="str">
            <v>2C055 </v>
          </cell>
          <cell r="L702" t="str">
            <v>BA </v>
          </cell>
          <cell r="M702" t="str">
            <v>JD8T -2C055 -BA </v>
          </cell>
          <cell r="S702">
            <v>1</v>
          </cell>
          <cell r="T702">
            <v>1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1</v>
          </cell>
          <cell r="AA702">
            <v>1</v>
          </cell>
          <cell r="AC702">
            <v>-11.93</v>
          </cell>
          <cell r="AD702">
            <v>-0.28000000000000003</v>
          </cell>
          <cell r="AE702">
            <v>-0.14000000000000001</v>
          </cell>
          <cell r="AH702">
            <v>-12.35</v>
          </cell>
          <cell r="AI702" t="str">
            <v>CNY</v>
          </cell>
          <cell r="AJ702" t="str">
            <v>LP</v>
          </cell>
        </row>
        <row r="703">
          <cell r="C703" t="str">
            <v>IT97</v>
          </cell>
          <cell r="E703" t="str">
            <v>sunvisor</v>
          </cell>
          <cell r="H703" t="str">
            <v>PMT2</v>
          </cell>
          <cell r="I703" t="str">
            <v>TH</v>
          </cell>
          <cell r="J703" t="str">
            <v>ED8B</v>
          </cell>
          <cell r="K703" t="str">
            <v>F04100</v>
          </cell>
          <cell r="L703" t="str">
            <v>AJW</v>
          </cell>
          <cell r="M703" t="str">
            <v>ED8B-F04100-AJW</v>
          </cell>
          <cell r="S703">
            <v>0</v>
          </cell>
          <cell r="T703">
            <v>0</v>
          </cell>
          <cell r="U703">
            <v>1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1</v>
          </cell>
          <cell r="AA703">
            <v>0.70000000000000007</v>
          </cell>
          <cell r="AC703">
            <v>-30.48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-30.48</v>
          </cell>
          <cell r="AI703" t="str">
            <v>CNY</v>
          </cell>
          <cell r="AJ703" t="str">
            <v>LP</v>
          </cell>
        </row>
        <row r="704">
          <cell r="C704" t="str">
            <v>IT97</v>
          </cell>
          <cell r="E704" t="str">
            <v>sunvisor</v>
          </cell>
          <cell r="H704" t="str">
            <v>PMT2</v>
          </cell>
          <cell r="I704" t="str">
            <v>TH</v>
          </cell>
          <cell r="J704" t="str">
            <v>ED8B</v>
          </cell>
          <cell r="K704" t="str">
            <v>F04101</v>
          </cell>
          <cell r="L704" t="str">
            <v>AJW</v>
          </cell>
          <cell r="M704" t="str">
            <v>ED8B-F04101-AJW</v>
          </cell>
          <cell r="S704">
            <v>0</v>
          </cell>
          <cell r="T704">
            <v>0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1</v>
          </cell>
          <cell r="AA704">
            <v>0.70000000000000007</v>
          </cell>
          <cell r="AC704">
            <v>-28.48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-28.48</v>
          </cell>
          <cell r="AI704" t="str">
            <v>CNY</v>
          </cell>
          <cell r="AJ704" t="str">
            <v>LP</v>
          </cell>
        </row>
        <row r="705">
          <cell r="C705" t="str">
            <v>IT97</v>
          </cell>
          <cell r="E705" t="str">
            <v>sunvisor</v>
          </cell>
          <cell r="H705" t="str">
            <v>PMT2</v>
          </cell>
          <cell r="I705" t="str">
            <v>TH</v>
          </cell>
          <cell r="J705" t="str">
            <v>ED8B</v>
          </cell>
          <cell r="K705" t="str">
            <v>F040A26</v>
          </cell>
          <cell r="L705" t="str">
            <v>BAW</v>
          </cell>
          <cell r="M705" t="str">
            <v>ED8B-F040A26-BAW</v>
          </cell>
          <cell r="S705">
            <v>1</v>
          </cell>
          <cell r="T705">
            <v>1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1</v>
          </cell>
          <cell r="AA705">
            <v>1</v>
          </cell>
          <cell r="AC705">
            <v>-0.35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-0.35</v>
          </cell>
          <cell r="AI705" t="str">
            <v>CNY</v>
          </cell>
          <cell r="AJ705" t="str">
            <v>LP</v>
          </cell>
        </row>
        <row r="706">
          <cell r="C706" t="str">
            <v>na</v>
          </cell>
          <cell r="E706" t="str">
            <v>Fastener</v>
          </cell>
          <cell r="H706" t="str">
            <v>PMT1</v>
          </cell>
          <cell r="I706" t="str">
            <v>TH</v>
          </cell>
          <cell r="K706" t="str">
            <v>W711560</v>
          </cell>
          <cell r="L706" t="str">
            <v>S307</v>
          </cell>
          <cell r="M706" t="str">
            <v>-W711560-S307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6</v>
          </cell>
          <cell r="Z706">
            <v>6</v>
          </cell>
          <cell r="AA706">
            <v>0.60000000000000009</v>
          </cell>
          <cell r="AC706">
            <v>-0.16</v>
          </cell>
          <cell r="AH706">
            <v>-0.16</v>
          </cell>
          <cell r="AI706" t="str">
            <v>CNY</v>
          </cell>
          <cell r="AJ706" t="str">
            <v>LP</v>
          </cell>
        </row>
        <row r="707">
          <cell r="C707" t="str">
            <v>ET73</v>
          </cell>
          <cell r="E707" t="str">
            <v>ET73</v>
          </cell>
          <cell r="F707" t="str">
            <v>Flexible rear speed lip</v>
          </cell>
          <cell r="H707" t="str">
            <v>PMT1</v>
          </cell>
          <cell r="I707" t="str">
            <v>TH</v>
          </cell>
          <cell r="J707" t="str">
            <v>ED8B</v>
          </cell>
          <cell r="K707" t="str">
            <v>F104C20</v>
          </cell>
          <cell r="L707" t="str">
            <v>AB</v>
          </cell>
          <cell r="M707" t="str">
            <v>ED8B-F104C20-AB</v>
          </cell>
          <cell r="S707">
            <v>1</v>
          </cell>
          <cell r="T707">
            <v>1</v>
          </cell>
          <cell r="U707">
            <v>1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1</v>
          </cell>
          <cell r="AA707">
            <v>1</v>
          </cell>
          <cell r="AC707">
            <v>-2.08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-2.08</v>
          </cell>
          <cell r="AI707" t="str">
            <v>CNY</v>
          </cell>
          <cell r="AJ707" t="str">
            <v>LP</v>
          </cell>
        </row>
        <row r="708">
          <cell r="C708" t="str">
            <v>PTO188</v>
          </cell>
          <cell r="E708" t="str">
            <v>PTO188</v>
          </cell>
          <cell r="F708" t="str">
            <v>Oil Pan Cover</v>
          </cell>
          <cell r="H708" t="str">
            <v>PMT4</v>
          </cell>
          <cell r="I708" t="str">
            <v>PF</v>
          </cell>
          <cell r="J708" t="str">
            <v>JX6G</v>
          </cell>
          <cell r="K708" t="str">
            <v>6B771</v>
          </cell>
          <cell r="L708" t="str">
            <v>AA</v>
          </cell>
          <cell r="M708" t="str">
            <v>JX6G-6B771-AA</v>
          </cell>
          <cell r="S708">
            <v>1</v>
          </cell>
          <cell r="T708">
            <v>1</v>
          </cell>
          <cell r="U708">
            <v>1</v>
          </cell>
          <cell r="V708">
            <v>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0.67</v>
          </cell>
          <cell r="AC708">
            <v>-54.33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-54.33</v>
          </cell>
          <cell r="AI708" t="str">
            <v>CNY</v>
          </cell>
          <cell r="AJ708" t="str">
            <v>LP</v>
          </cell>
        </row>
        <row r="709">
          <cell r="C709" t="str">
            <v>IT15-2</v>
          </cell>
          <cell r="E709" t="str">
            <v>IT15-2</v>
          </cell>
          <cell r="F709" t="str">
            <v>Engine Undershield</v>
          </cell>
          <cell r="H709" t="str">
            <v>PMT2</v>
          </cell>
          <cell r="I709" t="str">
            <v>PF</v>
          </cell>
          <cell r="J709" t="str">
            <v>AV61</v>
          </cell>
          <cell r="K709" t="str">
            <v>6P013</v>
          </cell>
          <cell r="L709" t="str">
            <v>CG</v>
          </cell>
          <cell r="M709" t="str">
            <v>AV61-6P013-CG</v>
          </cell>
          <cell r="S709">
            <v>1</v>
          </cell>
          <cell r="T709">
            <v>0</v>
          </cell>
          <cell r="U709">
            <v>1</v>
          </cell>
          <cell r="V709">
            <v>0</v>
          </cell>
          <cell r="W709">
            <v>1</v>
          </cell>
          <cell r="X709">
            <v>0</v>
          </cell>
          <cell r="Y709">
            <v>0</v>
          </cell>
          <cell r="Z709">
            <v>0</v>
          </cell>
          <cell r="AA709">
            <v>0.37</v>
          </cell>
          <cell r="AC709">
            <v>-46.76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-46.76</v>
          </cell>
          <cell r="AI709" t="str">
            <v>CNY</v>
          </cell>
          <cell r="AJ709" t="str">
            <v>LP</v>
          </cell>
        </row>
        <row r="710">
          <cell r="C710" t="str">
            <v>IT15-2</v>
          </cell>
          <cell r="E710" t="str">
            <v>IT15-2</v>
          </cell>
          <cell r="F710" t="str">
            <v>Engine Undershield</v>
          </cell>
          <cell r="H710" t="str">
            <v>PMT2</v>
          </cell>
          <cell r="I710" t="str">
            <v>PF</v>
          </cell>
          <cell r="J710" t="str">
            <v>F1F1</v>
          </cell>
          <cell r="K710" t="str">
            <v>6P013</v>
          </cell>
          <cell r="L710" t="str">
            <v>AA</v>
          </cell>
          <cell r="M710" t="str">
            <v>F1F1-6P013-AA</v>
          </cell>
          <cell r="S710">
            <v>0</v>
          </cell>
          <cell r="T710">
            <v>1</v>
          </cell>
          <cell r="U710">
            <v>0</v>
          </cell>
          <cell r="V710">
            <v>1</v>
          </cell>
          <cell r="W710">
            <v>0</v>
          </cell>
          <cell r="X710">
            <v>1</v>
          </cell>
          <cell r="Y710">
            <v>1</v>
          </cell>
          <cell r="Z710">
            <v>1</v>
          </cell>
          <cell r="AA710">
            <v>0.63000000000000012</v>
          </cell>
          <cell r="AC710">
            <v>-53.05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-53.05</v>
          </cell>
          <cell r="AI710" t="str">
            <v>CNY</v>
          </cell>
          <cell r="AJ710" t="str">
            <v>LP</v>
          </cell>
        </row>
        <row r="711">
          <cell r="C711" t="str">
            <v>IT90</v>
          </cell>
          <cell r="E711" t="str">
            <v>IT90</v>
          </cell>
          <cell r="F711" t="str">
            <v>PNL ASY BDY SD REINF INR</v>
          </cell>
          <cell r="H711" t="str">
            <v>PMT1</v>
          </cell>
          <cell r="I711" t="str">
            <v>TH</v>
          </cell>
          <cell r="J711" t="str">
            <v>ED8B</v>
          </cell>
          <cell r="K711" t="str">
            <v>F025K20</v>
          </cell>
          <cell r="L711" t="str">
            <v>AF</v>
          </cell>
          <cell r="M711" t="str">
            <v>ED8B-F025K20-AF</v>
          </cell>
          <cell r="S711">
            <v>1</v>
          </cell>
          <cell r="T711">
            <v>1</v>
          </cell>
          <cell r="U711">
            <v>1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1</v>
          </cell>
          <cell r="AA711">
            <v>1</v>
          </cell>
          <cell r="AC711">
            <v>-99.4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-99.4</v>
          </cell>
          <cell r="AI711" t="str">
            <v>CNY</v>
          </cell>
          <cell r="AJ711" t="str">
            <v>LP</v>
          </cell>
        </row>
        <row r="713">
          <cell r="AA713">
            <v>0</v>
          </cell>
        </row>
        <row r="714">
          <cell r="E714" t="str">
            <v>STUD.WELD.M6X20.RD.PIL.PTC.8</v>
          </cell>
          <cell r="F714" t="str">
            <v>螺栓</v>
          </cell>
          <cell r="K714" t="str">
            <v>W708839 </v>
          </cell>
          <cell r="L714" t="str">
            <v>S403 </v>
          </cell>
          <cell r="AA714">
            <v>0</v>
          </cell>
        </row>
        <row r="715">
          <cell r="E715" t="str">
            <v>Bolt M10X40 HF8</v>
          </cell>
          <cell r="H715" t="str">
            <v>PMT4</v>
          </cell>
          <cell r="K715" t="str">
            <v>W714639 </v>
          </cell>
          <cell r="L715" t="str">
            <v>S439 </v>
          </cell>
          <cell r="AA715">
            <v>0</v>
          </cell>
        </row>
        <row r="716">
          <cell r="E716" t="str">
            <v>Screw</v>
          </cell>
          <cell r="H716" t="str">
            <v>PMT1</v>
          </cell>
          <cell r="K716" t="str">
            <v>W719640 </v>
          </cell>
          <cell r="L716" t="str">
            <v>S451 </v>
          </cell>
          <cell r="AA716">
            <v>0</v>
          </cell>
        </row>
        <row r="717">
          <cell r="K717" t="str">
            <v>W505424</v>
          </cell>
          <cell r="L717" t="str">
            <v>S442 </v>
          </cell>
          <cell r="AA717">
            <v>0</v>
          </cell>
        </row>
        <row r="718">
          <cell r="E718" t="str">
            <v>HEAT SHIELD CLIP</v>
          </cell>
          <cell r="F718" t="str">
            <v>卡子</v>
          </cell>
          <cell r="H718" t="str">
            <v>PMT4</v>
          </cell>
          <cell r="J718" t="str">
            <v>JD8G </v>
          </cell>
          <cell r="K718" t="str">
            <v>9T282 </v>
          </cell>
          <cell r="L718" t="str">
            <v>AA</v>
          </cell>
          <cell r="AA718">
            <v>0</v>
          </cell>
        </row>
        <row r="719">
          <cell r="E719" t="str">
            <v>C13413512</v>
          </cell>
          <cell r="J719" t="str">
            <v>GM5T</v>
          </cell>
          <cell r="K719" t="str">
            <v>19G461 </v>
          </cell>
          <cell r="L719" t="str">
            <v>AB</v>
          </cell>
          <cell r="AA719">
            <v>0</v>
          </cell>
        </row>
        <row r="720">
          <cell r="E720" t="str">
            <v>C13410396</v>
          </cell>
          <cell r="K720" t="str">
            <v>W708140 </v>
          </cell>
          <cell r="L720" t="str">
            <v>S437</v>
          </cell>
          <cell r="AA720">
            <v>0</v>
          </cell>
        </row>
        <row r="721">
          <cell r="E721" t="str">
            <v>C13408578</v>
          </cell>
          <cell r="K721" t="str">
            <v>W500020 </v>
          </cell>
          <cell r="L721" t="str">
            <v>S442</v>
          </cell>
          <cell r="AA721">
            <v>0</v>
          </cell>
        </row>
        <row r="722">
          <cell r="E722" t="str">
            <v>C13413641</v>
          </cell>
          <cell r="H722" t="str">
            <v>PMT4</v>
          </cell>
          <cell r="J722" t="str">
            <v>KV61</v>
          </cell>
          <cell r="K722">
            <v>18481</v>
          </cell>
          <cell r="L722" t="str">
            <v>AB</v>
          </cell>
          <cell r="AA722">
            <v>0</v>
          </cell>
        </row>
        <row r="723">
          <cell r="E723" t="str">
            <v>C13426807</v>
          </cell>
          <cell r="J723" t="str">
            <v>HU5T</v>
          </cell>
          <cell r="K723" t="str">
            <v>14C708 </v>
          </cell>
          <cell r="L723" t="str">
            <v>AE</v>
          </cell>
        </row>
        <row r="724">
          <cell r="E724" t="str">
            <v>C13446386</v>
          </cell>
          <cell r="K724" t="str">
            <v>W520101 </v>
          </cell>
          <cell r="L724" t="str">
            <v>S442 </v>
          </cell>
          <cell r="AA724">
            <v>0</v>
          </cell>
        </row>
        <row r="725">
          <cell r="E725" t="str">
            <v>C13469847</v>
          </cell>
          <cell r="H725" t="str">
            <v>PMT4</v>
          </cell>
          <cell r="J725" t="str">
            <v>KV61</v>
          </cell>
          <cell r="K725">
            <v>18481</v>
          </cell>
          <cell r="L725" t="str">
            <v>AC</v>
          </cell>
        </row>
        <row r="726">
          <cell r="E726" t="str">
            <v>C13473007</v>
          </cell>
          <cell r="J726" t="str">
            <v>WSB</v>
          </cell>
          <cell r="K726" t="str">
            <v>M1C233 </v>
          </cell>
          <cell r="L726" t="str">
            <v>A</v>
          </cell>
        </row>
        <row r="727">
          <cell r="E727" t="str">
            <v>C13493032</v>
          </cell>
          <cell r="K727" t="str">
            <v>W703313 </v>
          </cell>
          <cell r="L727" t="str">
            <v>S307</v>
          </cell>
        </row>
        <row r="728">
          <cell r="E728" t="str">
            <v>C13406335</v>
          </cell>
          <cell r="K728" t="str">
            <v>W714639</v>
          </cell>
          <cell r="L728" t="str">
            <v>S439</v>
          </cell>
        </row>
        <row r="729">
          <cell r="E729" t="str">
            <v>C13510067</v>
          </cell>
          <cell r="H729" t="str">
            <v>PMT4</v>
          </cell>
          <cell r="J729" t="str">
            <v>JX61</v>
          </cell>
          <cell r="K729" t="str">
            <v>9U501 </v>
          </cell>
          <cell r="L729" t="str">
            <v>AC</v>
          </cell>
        </row>
        <row r="730">
          <cell r="E730" t="str">
            <v>C13478684</v>
          </cell>
          <cell r="J730" t="str">
            <v>JD8G </v>
          </cell>
          <cell r="K730" t="str">
            <v>9T282 </v>
          </cell>
          <cell r="L730" t="str">
            <v>AC</v>
          </cell>
        </row>
        <row r="731">
          <cell r="E731" t="str">
            <v>C13505763</v>
          </cell>
          <cell r="H731" t="str">
            <v>PMT4</v>
          </cell>
          <cell r="J731" t="str">
            <v>JD8G</v>
          </cell>
          <cell r="K731" t="str">
            <v>5H295</v>
          </cell>
          <cell r="L731" t="str">
            <v>AB </v>
          </cell>
        </row>
        <row r="732">
          <cell r="E732" t="str">
            <v>C13410393</v>
          </cell>
          <cell r="J732" t="str">
            <v>JD8G </v>
          </cell>
          <cell r="K732" t="str">
            <v>9T282</v>
          </cell>
          <cell r="L732" t="str">
            <v>AB</v>
          </cell>
        </row>
        <row r="733">
          <cell r="E733" t="str">
            <v>C1351427</v>
          </cell>
          <cell r="H733" t="str">
            <v>PMT4</v>
          </cell>
          <cell r="J733" t="str">
            <v>JX61</v>
          </cell>
          <cell r="K733" t="str">
            <v>9U501</v>
          </cell>
          <cell r="L733" t="str">
            <v>AC</v>
          </cell>
        </row>
        <row r="734">
          <cell r="E734" t="str">
            <v>C13511000</v>
          </cell>
          <cell r="H734" t="str">
            <v>PMT4</v>
          </cell>
          <cell r="J734" t="str">
            <v>9T282 </v>
          </cell>
          <cell r="K734" t="str">
            <v>9T282 </v>
          </cell>
          <cell r="L734" t="str">
            <v>AB</v>
          </cell>
          <cell r="AA734">
            <v>0</v>
          </cell>
        </row>
        <row r="735">
          <cell r="E735" t="str">
            <v>C13542600</v>
          </cell>
          <cell r="H735" t="str">
            <v>PMT4</v>
          </cell>
          <cell r="J735" t="str">
            <v>CV61 </v>
          </cell>
          <cell r="K735">
            <v>9451</v>
          </cell>
          <cell r="L735" t="str">
            <v>AB</v>
          </cell>
        </row>
        <row r="736">
          <cell r="E736" t="str">
            <v>C13550926</v>
          </cell>
          <cell r="J736" t="str">
            <v>F1ET</v>
          </cell>
          <cell r="K736" t="str">
            <v>14B709</v>
          </cell>
          <cell r="L736" t="str">
            <v>AC</v>
          </cell>
        </row>
        <row r="737">
          <cell r="E737" t="str">
            <v>C13551829</v>
          </cell>
          <cell r="K737" t="str">
            <v>W708894</v>
          </cell>
          <cell r="L737" t="str">
            <v>S300</v>
          </cell>
        </row>
        <row r="738">
          <cell r="E738" t="str">
            <v>C13551829</v>
          </cell>
          <cell r="K738" t="str">
            <v>W714776</v>
          </cell>
          <cell r="L738" t="str">
            <v>S300</v>
          </cell>
          <cell r="AA738">
            <v>0</v>
          </cell>
        </row>
        <row r="739">
          <cell r="E739" t="str">
            <v>C13535274</v>
          </cell>
          <cell r="K739" t="str">
            <v>W718040 </v>
          </cell>
          <cell r="L739" t="str">
            <v>S439 </v>
          </cell>
          <cell r="AA739">
            <v>0</v>
          </cell>
        </row>
        <row r="740">
          <cell r="E740" t="str">
            <v>C13547000</v>
          </cell>
          <cell r="J740" t="str">
            <v>JD8G </v>
          </cell>
          <cell r="K740" t="str">
            <v>12A650</v>
          </cell>
          <cell r="L740" t="str">
            <v>EB</v>
          </cell>
          <cell r="AA740">
            <v>0</v>
          </cell>
        </row>
        <row r="741">
          <cell r="E741" t="str">
            <v>C13547000</v>
          </cell>
          <cell r="J741" t="str">
            <v>JD8G </v>
          </cell>
          <cell r="K741" t="str">
            <v>14C204 </v>
          </cell>
          <cell r="L741" t="str">
            <v>EC </v>
          </cell>
          <cell r="AA741">
            <v>0</v>
          </cell>
        </row>
        <row r="742">
          <cell r="AA742">
            <v>0</v>
          </cell>
        </row>
        <row r="743">
          <cell r="AA743">
            <v>0</v>
          </cell>
        </row>
        <row r="744">
          <cell r="AA744">
            <v>0</v>
          </cell>
        </row>
        <row r="745">
          <cell r="AA745">
            <v>0</v>
          </cell>
        </row>
        <row r="746">
          <cell r="AA746">
            <v>0</v>
          </cell>
        </row>
        <row r="747">
          <cell r="AA747">
            <v>0</v>
          </cell>
        </row>
        <row r="748">
          <cell r="AA748">
            <v>0</v>
          </cell>
        </row>
        <row r="749">
          <cell r="AA749">
            <v>0</v>
          </cell>
        </row>
        <row r="750">
          <cell r="AA750">
            <v>0</v>
          </cell>
        </row>
        <row r="751">
          <cell r="AA751">
            <v>0</v>
          </cell>
        </row>
        <row r="752">
          <cell r="AA752">
            <v>0</v>
          </cell>
        </row>
        <row r="753">
          <cell r="AA753">
            <v>0</v>
          </cell>
        </row>
        <row r="754">
          <cell r="AA754">
            <v>0</v>
          </cell>
        </row>
        <row r="755">
          <cell r="AA755">
            <v>0</v>
          </cell>
        </row>
        <row r="757">
          <cell r="AA757">
            <v>0</v>
          </cell>
        </row>
        <row r="758">
          <cell r="C758" t="str">
            <v>B015</v>
          </cell>
          <cell r="E758" t="str">
            <v>In-house stamping</v>
          </cell>
          <cell r="H758" t="str">
            <v>BIW</v>
          </cell>
          <cell r="I758" t="str">
            <v>TH</v>
          </cell>
          <cell r="J758" t="str">
            <v>ED8B </v>
          </cell>
          <cell r="K758" t="str">
            <v>F50202 </v>
          </cell>
          <cell r="L758" t="str">
            <v>BE </v>
          </cell>
          <cell r="N758" t="str">
            <v>顶盖外板（天窗）</v>
          </cell>
          <cell r="P758" t="str">
            <v>NA</v>
          </cell>
          <cell r="Q758" t="str">
            <v>刘兆宇</v>
          </cell>
          <cell r="AA758">
            <v>0</v>
          </cell>
        </row>
        <row r="759">
          <cell r="C759" t="str">
            <v>B015</v>
          </cell>
          <cell r="E759" t="str">
            <v>In-house stamping</v>
          </cell>
          <cell r="H759" t="str">
            <v>BIW</v>
          </cell>
          <cell r="I759" t="str">
            <v>TH</v>
          </cell>
          <cell r="J759" t="str">
            <v>ED8B </v>
          </cell>
          <cell r="K759" t="str">
            <v>F50202 </v>
          </cell>
          <cell r="L759" t="str">
            <v>AE</v>
          </cell>
          <cell r="N759" t="str">
            <v>顶盖外板（无天窗）</v>
          </cell>
          <cell r="P759" t="str">
            <v>NA</v>
          </cell>
          <cell r="Q759" t="str">
            <v>刘兆宇</v>
          </cell>
          <cell r="AA759">
            <v>0</v>
          </cell>
        </row>
        <row r="760">
          <cell r="C760" t="str">
            <v>B015</v>
          </cell>
          <cell r="E760" t="str">
            <v>In-house stamping</v>
          </cell>
          <cell r="F760" t="str">
            <v>前盖总成</v>
          </cell>
          <cell r="H760" t="str">
            <v>BIW</v>
          </cell>
          <cell r="I760" t="str">
            <v>TH</v>
          </cell>
          <cell r="J760" t="str">
            <v>JD8B</v>
          </cell>
          <cell r="K760" t="str">
            <v>16610 </v>
          </cell>
          <cell r="L760" t="str">
            <v>AA</v>
          </cell>
          <cell r="N760" t="str">
            <v>前盖总成</v>
          </cell>
          <cell r="P760" t="str">
            <v>NA</v>
          </cell>
          <cell r="Q760" t="str">
            <v>周阳</v>
          </cell>
          <cell r="AA760">
            <v>0</v>
          </cell>
        </row>
        <row r="761">
          <cell r="C761" t="str">
            <v>B015</v>
          </cell>
          <cell r="E761" t="str">
            <v>In-house stamping</v>
          </cell>
          <cell r="F761" t="str">
            <v>前盖外板</v>
          </cell>
          <cell r="H761" t="str">
            <v>BIW</v>
          </cell>
          <cell r="I761" t="str">
            <v>TH</v>
          </cell>
          <cell r="J761" t="str">
            <v>JD8B</v>
          </cell>
          <cell r="K761" t="str">
            <v>16615 </v>
          </cell>
          <cell r="L761" t="str">
            <v>AA</v>
          </cell>
          <cell r="N761" t="str">
            <v>前盖外板</v>
          </cell>
          <cell r="P761" t="str">
            <v>NA</v>
          </cell>
          <cell r="Q761" t="str">
            <v>周阳</v>
          </cell>
          <cell r="AA761">
            <v>0</v>
          </cell>
        </row>
        <row r="762">
          <cell r="C762" t="str">
            <v>B015</v>
          </cell>
          <cell r="E762" t="str">
            <v>In-house stamping</v>
          </cell>
          <cell r="F762" t="str">
            <v>前盖内板</v>
          </cell>
          <cell r="H762" t="str">
            <v>BIW</v>
          </cell>
          <cell r="I762" t="str">
            <v>TH</v>
          </cell>
          <cell r="J762" t="str">
            <v>JD8B</v>
          </cell>
          <cell r="K762" t="str">
            <v>16854 </v>
          </cell>
          <cell r="L762" t="str">
            <v>AA</v>
          </cell>
          <cell r="N762" t="str">
            <v>前盖内板</v>
          </cell>
          <cell r="P762" t="str">
            <v>NA</v>
          </cell>
          <cell r="Q762" t="str">
            <v>周阳</v>
          </cell>
          <cell r="AA762">
            <v>0</v>
          </cell>
        </row>
        <row r="763">
          <cell r="C763" t="str">
            <v>B015</v>
          </cell>
          <cell r="E763" t="str">
            <v>In-house stamping</v>
          </cell>
          <cell r="F763" t="str">
            <v>翼子板外板</v>
          </cell>
          <cell r="H763" t="str">
            <v>BIW</v>
          </cell>
          <cell r="I763" t="str">
            <v>TH</v>
          </cell>
          <cell r="J763" t="str">
            <v>JD8B</v>
          </cell>
          <cell r="K763" t="str">
            <v>F16015 </v>
          </cell>
          <cell r="L763" t="str">
            <v>AC</v>
          </cell>
          <cell r="N763" t="str">
            <v>翼子板外板</v>
          </cell>
          <cell r="P763" t="str">
            <v>NA</v>
          </cell>
          <cell r="Q763" t="str">
            <v>薛丽华</v>
          </cell>
          <cell r="AA763">
            <v>0</v>
          </cell>
        </row>
        <row r="764">
          <cell r="C764" t="str">
            <v>B015</v>
          </cell>
          <cell r="E764" t="str">
            <v>In-house stamping</v>
          </cell>
          <cell r="F764" t="str">
            <v>翼子板外板（左）</v>
          </cell>
          <cell r="H764" t="str">
            <v>BIW</v>
          </cell>
          <cell r="I764" t="str">
            <v>TH</v>
          </cell>
          <cell r="J764" t="str">
            <v>JD8B</v>
          </cell>
          <cell r="K764" t="str">
            <v>F16016 </v>
          </cell>
          <cell r="L764" t="str">
            <v>AC</v>
          </cell>
          <cell r="N764" t="str">
            <v>翼子板外板（左）</v>
          </cell>
          <cell r="P764" t="str">
            <v>NA</v>
          </cell>
          <cell r="Q764" t="str">
            <v>薛丽华</v>
          </cell>
          <cell r="AA764">
            <v>0</v>
          </cell>
        </row>
        <row r="765">
          <cell r="C765" t="str">
            <v>B015</v>
          </cell>
          <cell r="E765" t="str">
            <v>weld joint brochure</v>
          </cell>
          <cell r="F765" t="str">
            <v>焊接数模</v>
          </cell>
          <cell r="H765" t="str">
            <v>BIW</v>
          </cell>
          <cell r="I765" t="str">
            <v>TH</v>
          </cell>
          <cell r="J765" t="str">
            <v>WDJD8B </v>
          </cell>
          <cell r="K765" t="str">
            <v>010303 </v>
          </cell>
          <cell r="L765" t="str">
            <v>A1B </v>
          </cell>
          <cell r="N765" t="str">
            <v>焊接数模</v>
          </cell>
          <cell r="P765" t="str">
            <v>NA</v>
          </cell>
          <cell r="Q765" t="str">
            <v>郑文</v>
          </cell>
          <cell r="AA765">
            <v>0</v>
          </cell>
        </row>
        <row r="766">
          <cell r="C766" t="str">
            <v>B015</v>
          </cell>
          <cell r="E766" t="str">
            <v>PAINT SHOP PVC SEALER CAD</v>
          </cell>
          <cell r="F766" t="str">
            <v>涂装PVC数据</v>
          </cell>
          <cell r="H766" t="str">
            <v>BIW</v>
          </cell>
          <cell r="I766" t="str">
            <v>TH</v>
          </cell>
          <cell r="J766" t="str">
            <v>ILJD8B </v>
          </cell>
          <cell r="K766" t="str">
            <v>010703 </v>
          </cell>
          <cell r="L766" t="str">
            <v>A7B </v>
          </cell>
          <cell r="N766" t="str">
            <v>涂装PVC数据</v>
          </cell>
          <cell r="P766" t="str">
            <v>NA</v>
          </cell>
          <cell r="Q766" t="str">
            <v>郑文</v>
          </cell>
          <cell r="AA766">
            <v>0</v>
          </cell>
        </row>
        <row r="767">
          <cell r="C767" t="str">
            <v>B015</v>
          </cell>
          <cell r="E767" t="str">
            <v>In-house stamping</v>
          </cell>
          <cell r="F767" t="str">
            <v>4门行李箱盖总成</v>
          </cell>
          <cell r="H767" t="str">
            <v>BIW</v>
          </cell>
          <cell r="I767" t="str">
            <v>TH</v>
          </cell>
          <cell r="J767" t="str">
            <v>PJD8B </v>
          </cell>
          <cell r="K767" t="str">
            <v>F40110 </v>
          </cell>
          <cell r="L767" t="str">
            <v>AB</v>
          </cell>
          <cell r="N767" t="str">
            <v>4门行李箱盖总成</v>
          </cell>
          <cell r="P767" t="str">
            <v>NA</v>
          </cell>
          <cell r="Q767" t="str">
            <v>郑文</v>
          </cell>
          <cell r="AA767">
            <v>0</v>
          </cell>
        </row>
        <row r="768">
          <cell r="C768" t="str">
            <v>B015</v>
          </cell>
          <cell r="E768" t="str">
            <v>In-house stamping</v>
          </cell>
          <cell r="F768" t="str">
            <v>行李箱盖外板 上</v>
          </cell>
          <cell r="H768" t="str">
            <v>BIW</v>
          </cell>
          <cell r="I768" t="str">
            <v>TH</v>
          </cell>
          <cell r="J768" t="str">
            <v>JD8B </v>
          </cell>
          <cell r="K768" t="str">
            <v>F40616 </v>
          </cell>
          <cell r="L768" t="str">
            <v>AB</v>
          </cell>
          <cell r="N768" t="str">
            <v>行李箱盖外板 上</v>
          </cell>
          <cell r="P768" t="str">
            <v>NA</v>
          </cell>
          <cell r="Q768" t="str">
            <v>郑文</v>
          </cell>
          <cell r="AA768">
            <v>0</v>
          </cell>
        </row>
        <row r="769">
          <cell r="C769" t="str">
            <v>B015</v>
          </cell>
          <cell r="E769" t="str">
            <v>In-house stamping</v>
          </cell>
          <cell r="F769" t="str">
            <v>行李箱盖外板 下</v>
          </cell>
          <cell r="H769" t="str">
            <v>BIW</v>
          </cell>
          <cell r="I769" t="str">
            <v>TH</v>
          </cell>
          <cell r="J769" t="str">
            <v>JD8B </v>
          </cell>
          <cell r="K769" t="str">
            <v>F40617 </v>
          </cell>
          <cell r="L769" t="str">
            <v>AB</v>
          </cell>
          <cell r="N769" t="str">
            <v>行李箱盖外板 下</v>
          </cell>
          <cell r="P769" t="str">
            <v>NA</v>
          </cell>
          <cell r="Q769" t="str">
            <v>郑文</v>
          </cell>
          <cell r="AA769">
            <v>0</v>
          </cell>
        </row>
        <row r="770">
          <cell r="C770" t="str">
            <v>B015</v>
          </cell>
          <cell r="E770" t="str">
            <v>In-house stamping</v>
          </cell>
          <cell r="F770" t="str">
            <v>行李箱盖内板</v>
          </cell>
          <cell r="H770" t="str">
            <v>BIW</v>
          </cell>
          <cell r="I770" t="str">
            <v>TH</v>
          </cell>
          <cell r="J770" t="str">
            <v>JD8B </v>
          </cell>
          <cell r="K770" t="str">
            <v>F40626 </v>
          </cell>
          <cell r="L770" t="str">
            <v>AB</v>
          </cell>
          <cell r="N770" t="str">
            <v>行李箱盖内板</v>
          </cell>
          <cell r="P770" t="str">
            <v>NA</v>
          </cell>
          <cell r="Q770" t="str">
            <v>郑文</v>
          </cell>
          <cell r="AA770">
            <v>0</v>
          </cell>
        </row>
        <row r="771">
          <cell r="C771" t="str">
            <v>B015</v>
          </cell>
          <cell r="E771" t="str">
            <v>In-house stamping</v>
          </cell>
          <cell r="H771" t="str">
            <v>BIW</v>
          </cell>
          <cell r="I771" t="str">
            <v>TH</v>
          </cell>
          <cell r="J771" t="str">
            <v>JD8B </v>
          </cell>
          <cell r="K771" t="str">
            <v>F20204 </v>
          </cell>
          <cell r="L771" t="str">
            <v>AA</v>
          </cell>
          <cell r="N771" t="str">
            <v>右前门外板</v>
          </cell>
          <cell r="P771" t="str">
            <v>NA</v>
          </cell>
          <cell r="Q771" t="str">
            <v>李世龙</v>
          </cell>
          <cell r="AA771">
            <v>0</v>
          </cell>
        </row>
        <row r="772">
          <cell r="C772" t="str">
            <v>B015</v>
          </cell>
          <cell r="E772" t="str">
            <v>In-house stamping</v>
          </cell>
          <cell r="H772" t="str">
            <v>BIW</v>
          </cell>
          <cell r="I772" t="str">
            <v>TH</v>
          </cell>
          <cell r="J772" t="str">
            <v>JD8B </v>
          </cell>
          <cell r="K772" t="str">
            <v>F20205 </v>
          </cell>
          <cell r="L772" t="str">
            <v>AA</v>
          </cell>
          <cell r="N772" t="str">
            <v>左前门外板</v>
          </cell>
          <cell r="P772" t="str">
            <v>NA</v>
          </cell>
          <cell r="Q772" t="str">
            <v>李世龙</v>
          </cell>
          <cell r="AA772">
            <v>0</v>
          </cell>
        </row>
        <row r="773">
          <cell r="C773" t="str">
            <v>B015</v>
          </cell>
          <cell r="E773" t="str">
            <v>In-house stamping</v>
          </cell>
          <cell r="H773" t="str">
            <v>BIW</v>
          </cell>
          <cell r="I773" t="str">
            <v>TH</v>
          </cell>
          <cell r="J773" t="str">
            <v>JD8B </v>
          </cell>
          <cell r="K773" t="str">
            <v>F20220 </v>
          </cell>
          <cell r="L773" t="str">
            <v>AA</v>
          </cell>
          <cell r="N773" t="str">
            <v>前门内板 右</v>
          </cell>
          <cell r="P773" t="str">
            <v>NA</v>
          </cell>
          <cell r="Q773" t="str">
            <v>李世龙</v>
          </cell>
          <cell r="AA773">
            <v>0</v>
          </cell>
        </row>
        <row r="774">
          <cell r="C774" t="str">
            <v>B015</v>
          </cell>
          <cell r="E774" t="str">
            <v>In-house stamping</v>
          </cell>
          <cell r="H774" t="str">
            <v>BIW</v>
          </cell>
          <cell r="I774" t="str">
            <v>TH</v>
          </cell>
          <cell r="J774" t="str">
            <v>JD8B </v>
          </cell>
          <cell r="K774" t="str">
            <v>F20221 </v>
          </cell>
          <cell r="L774" t="str">
            <v>AA</v>
          </cell>
          <cell r="N774" t="str">
            <v>前门内板 左</v>
          </cell>
          <cell r="P774" t="str">
            <v>NA</v>
          </cell>
          <cell r="Q774" t="str">
            <v>李世龙</v>
          </cell>
          <cell r="AA774">
            <v>0</v>
          </cell>
        </row>
        <row r="775">
          <cell r="C775" t="str">
            <v>B015</v>
          </cell>
          <cell r="E775" t="str">
            <v>In-house stamping</v>
          </cell>
          <cell r="H775" t="str">
            <v>BIW</v>
          </cell>
          <cell r="I775" t="str">
            <v>TH</v>
          </cell>
          <cell r="J775" t="str">
            <v>JD8B </v>
          </cell>
          <cell r="K775" t="str">
            <v>F24704 </v>
          </cell>
          <cell r="L775" t="str">
            <v>AA</v>
          </cell>
          <cell r="N775" t="str">
            <v>后门外板</v>
          </cell>
          <cell r="P775" t="str">
            <v>NA</v>
          </cell>
          <cell r="Q775" t="str">
            <v>李世龙</v>
          </cell>
          <cell r="AA775">
            <v>0</v>
          </cell>
        </row>
        <row r="776">
          <cell r="C776" t="str">
            <v>B015</v>
          </cell>
          <cell r="E776" t="str">
            <v>In-house stamping</v>
          </cell>
          <cell r="H776" t="str">
            <v>BIW</v>
          </cell>
          <cell r="I776" t="str">
            <v>TH</v>
          </cell>
          <cell r="J776" t="str">
            <v>JD8B </v>
          </cell>
          <cell r="K776" t="str">
            <v>F24705 </v>
          </cell>
          <cell r="L776" t="str">
            <v>AA</v>
          </cell>
          <cell r="N776" t="str">
            <v>后门外板 左</v>
          </cell>
          <cell r="P776" t="str">
            <v>NA</v>
          </cell>
          <cell r="Q776" t="str">
            <v>李世龙</v>
          </cell>
          <cell r="AA776">
            <v>0</v>
          </cell>
        </row>
        <row r="777">
          <cell r="C777" t="str">
            <v>B015</v>
          </cell>
          <cell r="E777" t="str">
            <v>In-house stamping</v>
          </cell>
          <cell r="H777" t="str">
            <v>BIW</v>
          </cell>
          <cell r="I777" t="str">
            <v>TH</v>
          </cell>
          <cell r="J777" t="str">
            <v>PJD8B </v>
          </cell>
          <cell r="K777" t="str">
            <v>A16008 </v>
          </cell>
          <cell r="L777" t="str">
            <v>AA</v>
          </cell>
          <cell r="N777" t="str">
            <v>翼子板总成 右</v>
          </cell>
          <cell r="P777" t="str">
            <v>NA</v>
          </cell>
          <cell r="Q777" t="str">
            <v>薛丽华</v>
          </cell>
          <cell r="AA777">
            <v>0</v>
          </cell>
        </row>
        <row r="778">
          <cell r="C778" t="str">
            <v>B015</v>
          </cell>
          <cell r="E778" t="str">
            <v>In-house stamping</v>
          </cell>
          <cell r="H778" t="str">
            <v>BIW</v>
          </cell>
          <cell r="I778" t="str">
            <v>TH</v>
          </cell>
          <cell r="J778" t="str">
            <v>PJD8B </v>
          </cell>
          <cell r="K778" t="str">
            <v>A16009 </v>
          </cell>
          <cell r="L778" t="str">
            <v>AA</v>
          </cell>
          <cell r="N778" t="str">
            <v>翼子板总成 左</v>
          </cell>
          <cell r="P778" t="str">
            <v>NA</v>
          </cell>
          <cell r="Q778" t="str">
            <v>薛丽华</v>
          </cell>
          <cell r="AA778">
            <v>0</v>
          </cell>
        </row>
        <row r="779">
          <cell r="C779" t="str">
            <v>B015</v>
          </cell>
          <cell r="E779" t="str">
            <v>In-house stamping</v>
          </cell>
          <cell r="H779" t="str">
            <v>BIW</v>
          </cell>
          <cell r="I779" t="str">
            <v>TH</v>
          </cell>
          <cell r="J779" t="str">
            <v>WDBV61</v>
          </cell>
          <cell r="K779" t="str">
            <v>A10463</v>
          </cell>
          <cell r="L779" t="str">
            <v>BB</v>
          </cell>
          <cell r="N779" t="str">
            <v>发动机前舱焊点</v>
          </cell>
          <cell r="P779" t="str">
            <v>NA</v>
          </cell>
          <cell r="Q779" t="str">
            <v>刘阳</v>
          </cell>
          <cell r="AA779">
            <v>0</v>
          </cell>
        </row>
        <row r="780">
          <cell r="C780" t="str">
            <v>B015</v>
          </cell>
          <cell r="E780" t="str">
            <v>In-house stamping</v>
          </cell>
          <cell r="H780" t="str">
            <v>BIW</v>
          </cell>
          <cell r="I780" t="str">
            <v>TH</v>
          </cell>
          <cell r="J780" t="str">
            <v>WDJD8B </v>
          </cell>
          <cell r="K780" t="str">
            <v>A10463</v>
          </cell>
          <cell r="L780" t="str">
            <v>BA</v>
          </cell>
          <cell r="N780" t="str">
            <v>发动机前舱焊点</v>
          </cell>
          <cell r="P780" t="str">
            <v>NA</v>
          </cell>
          <cell r="Q780" t="str">
            <v>刘阳</v>
          </cell>
          <cell r="AA780">
            <v>0</v>
          </cell>
        </row>
        <row r="781">
          <cell r="C781" t="str">
            <v>B015</v>
          </cell>
          <cell r="E781" t="str">
            <v>In-house stamping</v>
          </cell>
          <cell r="H781" t="str">
            <v>BIW</v>
          </cell>
          <cell r="I781" t="str">
            <v>TH</v>
          </cell>
          <cell r="J781" t="str">
            <v>PJD8B </v>
          </cell>
          <cell r="K781" t="str">
            <v>F40110</v>
          </cell>
          <cell r="L781" t="str">
            <v>AD</v>
          </cell>
          <cell r="N781" t="str">
            <v>4D行李箱总成</v>
          </cell>
          <cell r="P781" t="str">
            <v>NA</v>
          </cell>
          <cell r="Q781" t="str">
            <v>苑雪丽</v>
          </cell>
          <cell r="AA781">
            <v>0</v>
          </cell>
        </row>
        <row r="782">
          <cell r="C782" t="str">
            <v>B015</v>
          </cell>
          <cell r="E782" t="str">
            <v>In-house stamping</v>
          </cell>
          <cell r="H782" t="str">
            <v>BIW</v>
          </cell>
          <cell r="I782" t="str">
            <v>TH</v>
          </cell>
          <cell r="J782" t="str">
            <v>JD8B </v>
          </cell>
          <cell r="K782" t="str">
            <v>F40617 </v>
          </cell>
          <cell r="L782" t="str">
            <v>AD </v>
          </cell>
          <cell r="N782" t="str">
            <v>行李箱盖外板 下</v>
          </cell>
          <cell r="P782" t="str">
            <v>NA</v>
          </cell>
          <cell r="Q782" t="str">
            <v>苑雪丽</v>
          </cell>
          <cell r="AA782">
            <v>0</v>
          </cell>
        </row>
        <row r="783">
          <cell r="AA783">
            <v>0</v>
          </cell>
        </row>
        <row r="784">
          <cell r="AA784">
            <v>0</v>
          </cell>
        </row>
        <row r="785">
          <cell r="C785" t="str">
            <v>PTO69--1.0stage6</v>
          </cell>
          <cell r="E785" t="str">
            <v>PCV  Tube</v>
          </cell>
          <cell r="G785" t="str">
            <v>B</v>
          </cell>
          <cell r="H785" t="str">
            <v>PMT4</v>
          </cell>
          <cell r="I785" t="str">
            <v>PF</v>
          </cell>
          <cell r="J785" t="str">
            <v>H6BG</v>
          </cell>
          <cell r="K785">
            <v>6758</v>
          </cell>
          <cell r="L785" t="str">
            <v>AA</v>
          </cell>
          <cell r="M785" t="str">
            <v>H6BG-6758-AA</v>
          </cell>
          <cell r="P785" t="str">
            <v>刘旭</v>
          </cell>
          <cell r="Q785" t="str">
            <v>任宇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1</v>
          </cell>
          <cell r="X785">
            <v>1</v>
          </cell>
          <cell r="Y785">
            <v>0</v>
          </cell>
          <cell r="Z785">
            <v>1</v>
          </cell>
          <cell r="AA785">
            <v>0.28000000000000003</v>
          </cell>
          <cell r="AC785">
            <v>-32.35</v>
          </cell>
          <cell r="AD785">
            <v>-0.5</v>
          </cell>
          <cell r="AE785">
            <v>-0.4</v>
          </cell>
          <cell r="AF785">
            <v>0</v>
          </cell>
          <cell r="AG785">
            <v>0</v>
          </cell>
          <cell r="AH785">
            <v>-33.25</v>
          </cell>
          <cell r="AI785" t="str">
            <v>CNY</v>
          </cell>
          <cell r="AJ785" t="str">
            <v>LP</v>
          </cell>
          <cell r="AK785" t="str">
            <v>帕萨思汽车零部件（上海）有限公司</v>
          </cell>
          <cell r="AL785" t="str">
            <v>GNNYA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I785">
            <v>0</v>
          </cell>
          <cell r="BJ785">
            <v>0</v>
          </cell>
        </row>
        <row r="786">
          <cell r="C786" t="str">
            <v>PT03-2--1.0stage6</v>
          </cell>
          <cell r="E786" t="str">
            <v>Hot End</v>
          </cell>
          <cell r="G786" t="str">
            <v>B</v>
          </cell>
          <cell r="H786" t="str">
            <v>PMT4</v>
          </cell>
          <cell r="I786" t="str">
            <v>PF</v>
          </cell>
          <cell r="J786" t="str">
            <v>KD81</v>
          </cell>
          <cell r="K786" t="str">
            <v>5E211</v>
          </cell>
          <cell r="L786" t="str">
            <v>AC</v>
          </cell>
          <cell r="M786" t="str">
            <v>KD81-5E211-AC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1</v>
          </cell>
          <cell r="X786">
            <v>1</v>
          </cell>
          <cell r="Y786">
            <v>0</v>
          </cell>
          <cell r="Z786">
            <v>1</v>
          </cell>
          <cell r="AA786">
            <v>0.28000000000000003</v>
          </cell>
          <cell r="AC786">
            <v>-442.16</v>
          </cell>
          <cell r="AD786">
            <v>-4.97</v>
          </cell>
          <cell r="AE786">
            <v>-6.59</v>
          </cell>
          <cell r="AF786">
            <v>0</v>
          </cell>
          <cell r="AG786">
            <v>-5.31</v>
          </cell>
          <cell r="AH786">
            <v>-459.03000000000003</v>
          </cell>
          <cell r="AI786" t="str">
            <v>CNY</v>
          </cell>
          <cell r="AJ786" t="str">
            <v>LP</v>
          </cell>
          <cell r="AK786" t="str">
            <v>佛吉亚排气重庆工厂</v>
          </cell>
          <cell r="AL786" t="str">
            <v>CQSLA </v>
          </cell>
          <cell r="BB786">
            <v>-136000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I786">
            <v>0</v>
          </cell>
          <cell r="BJ786">
            <v>0</v>
          </cell>
        </row>
        <row r="787">
          <cell r="C787" t="str">
            <v>PT07-3--1.0Stage6</v>
          </cell>
          <cell r="E787" t="str">
            <v>Clean Duct</v>
          </cell>
          <cell r="G787" t="str">
            <v>B</v>
          </cell>
          <cell r="H787" t="str">
            <v>PMT4</v>
          </cell>
          <cell r="I787" t="str">
            <v>PF</v>
          </cell>
          <cell r="J787" t="str">
            <v>JX61</v>
          </cell>
          <cell r="K787" t="str">
            <v>9C623</v>
          </cell>
          <cell r="L787" t="str">
            <v>EB</v>
          </cell>
          <cell r="M787" t="str">
            <v>JX61-9C623-EB</v>
          </cell>
          <cell r="N787" t="str">
            <v>重庆曼胡默尔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1</v>
          </cell>
          <cell r="X787">
            <v>1</v>
          </cell>
          <cell r="Y787">
            <v>0</v>
          </cell>
          <cell r="Z787">
            <v>1</v>
          </cell>
          <cell r="AA787">
            <v>0.28000000000000003</v>
          </cell>
          <cell r="AC787">
            <v>-95.83</v>
          </cell>
          <cell r="AD787">
            <v>-3.13</v>
          </cell>
          <cell r="AE787">
            <v>-1.21</v>
          </cell>
          <cell r="AH787">
            <v>-100.16999999999999</v>
          </cell>
          <cell r="AI787" t="str">
            <v>CNY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</row>
        <row r="788">
          <cell r="C788" t="str">
            <v>PT24-2</v>
          </cell>
          <cell r="E788" t="str">
            <v>EGTS</v>
          </cell>
          <cell r="G788" t="str">
            <v>B</v>
          </cell>
          <cell r="H788" t="str">
            <v>PMT4</v>
          </cell>
          <cell r="I788" t="str">
            <v>TH</v>
          </cell>
          <cell r="J788" t="str">
            <v>JD8G</v>
          </cell>
          <cell r="K788" t="str">
            <v>12B591</v>
          </cell>
          <cell r="L788" t="str">
            <v>AA</v>
          </cell>
          <cell r="M788" t="str">
            <v>JD8G-12B591-AA</v>
          </cell>
          <cell r="N788" t="str">
            <v>排气温度传感器</v>
          </cell>
          <cell r="P788" t="str">
            <v>王秋夜</v>
          </cell>
          <cell r="Q788" t="str">
            <v>唐含涵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1</v>
          </cell>
          <cell r="X788">
            <v>1</v>
          </cell>
          <cell r="Y788">
            <v>0</v>
          </cell>
          <cell r="Z788">
            <v>1</v>
          </cell>
          <cell r="AA788">
            <v>0.28000000000000003</v>
          </cell>
          <cell r="AC788">
            <v>-72.959999999999994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-72.959999999999994</v>
          </cell>
          <cell r="AI788" t="str">
            <v>CNY</v>
          </cell>
          <cell r="AK788" t="str">
            <v>常熟特殊陶业有限公司</v>
          </cell>
          <cell r="AL788" t="str">
            <v>GRAJA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C789" t="str">
            <v>PT30</v>
          </cell>
          <cell r="E789" t="str">
            <v>PCM（Fox AT）</v>
          </cell>
          <cell r="G789" t="str">
            <v>B</v>
          </cell>
          <cell r="H789" t="str">
            <v>PMT4</v>
          </cell>
          <cell r="I789" t="str">
            <v>PF</v>
          </cell>
          <cell r="J789" t="str">
            <v>JD8G</v>
          </cell>
          <cell r="K789" t="str">
            <v>12A650</v>
          </cell>
          <cell r="L789" t="str">
            <v>BA</v>
          </cell>
          <cell r="M789" t="str">
            <v>JD8G-12A650-BA</v>
          </cell>
          <cell r="N789" t="str">
            <v>发动机控制器（AT）</v>
          </cell>
          <cell r="P789" t="str">
            <v>王秋夜</v>
          </cell>
          <cell r="Q789" t="str">
            <v>唐含涵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1</v>
          </cell>
          <cell r="Y789">
            <v>0</v>
          </cell>
          <cell r="Z789">
            <v>1</v>
          </cell>
          <cell r="AA789">
            <v>0.19</v>
          </cell>
          <cell r="AC789">
            <v>-656.26</v>
          </cell>
          <cell r="AD789">
            <v>-7.2</v>
          </cell>
          <cell r="AE789">
            <v>-7</v>
          </cell>
          <cell r="AH789">
            <v>-670.46</v>
          </cell>
          <cell r="AI789" t="str">
            <v>CNY</v>
          </cell>
          <cell r="AK789" t="str">
            <v>联合汽车电子有限公司</v>
          </cell>
          <cell r="AL789" t="str">
            <v>CUEQA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AA790">
            <v>0</v>
          </cell>
        </row>
        <row r="791">
          <cell r="AA791">
            <v>0</v>
          </cell>
        </row>
        <row r="792">
          <cell r="AA792">
            <v>0</v>
          </cell>
        </row>
        <row r="793">
          <cell r="AA793">
            <v>0</v>
          </cell>
        </row>
        <row r="794">
          <cell r="AA794">
            <v>0</v>
          </cell>
        </row>
        <row r="795">
          <cell r="AA795">
            <v>0</v>
          </cell>
        </row>
        <row r="796">
          <cell r="E796" t="str">
            <v>HEAT SHIELD</v>
          </cell>
          <cell r="J796" t="str">
            <v>JD8G </v>
          </cell>
          <cell r="K796" t="str">
            <v>9T282</v>
          </cell>
          <cell r="L796" t="str">
            <v>AB</v>
          </cell>
          <cell r="AA796">
            <v>0</v>
          </cell>
        </row>
        <row r="797">
          <cell r="E797" t="str">
            <v>排气压力传感器</v>
          </cell>
          <cell r="J797" t="str">
            <v>JD8G </v>
          </cell>
          <cell r="K797" t="str">
            <v>5H295 </v>
          </cell>
          <cell r="L797" t="str">
            <v>AB</v>
          </cell>
          <cell r="AA797">
            <v>0</v>
          </cell>
        </row>
        <row r="798">
          <cell r="AA798">
            <v>0</v>
          </cell>
        </row>
        <row r="799">
          <cell r="AA799">
            <v>0</v>
          </cell>
        </row>
        <row r="800">
          <cell r="AA800">
            <v>0</v>
          </cell>
        </row>
        <row r="801">
          <cell r="AA801">
            <v>0</v>
          </cell>
        </row>
        <row r="802">
          <cell r="AA802">
            <v>0</v>
          </cell>
        </row>
        <row r="803">
          <cell r="AA803">
            <v>0</v>
          </cell>
        </row>
        <row r="804">
          <cell r="AA804">
            <v>0</v>
          </cell>
        </row>
        <row r="805">
          <cell r="AA805">
            <v>0</v>
          </cell>
        </row>
        <row r="806">
          <cell r="AA806">
            <v>0</v>
          </cell>
        </row>
        <row r="807">
          <cell r="AA807">
            <v>0</v>
          </cell>
        </row>
        <row r="808">
          <cell r="AA808">
            <v>0</v>
          </cell>
        </row>
        <row r="809">
          <cell r="AA809">
            <v>0</v>
          </cell>
        </row>
        <row r="810">
          <cell r="AA810">
            <v>0</v>
          </cell>
        </row>
        <row r="811">
          <cell r="AA811">
            <v>0</v>
          </cell>
        </row>
        <row r="812">
          <cell r="AA812">
            <v>0</v>
          </cell>
        </row>
        <row r="813">
          <cell r="AA813">
            <v>0</v>
          </cell>
        </row>
        <row r="814">
          <cell r="AA814">
            <v>0</v>
          </cell>
        </row>
        <row r="815">
          <cell r="AA815">
            <v>0</v>
          </cell>
        </row>
        <row r="816">
          <cell r="AA816">
            <v>0</v>
          </cell>
        </row>
        <row r="817">
          <cell r="AA817">
            <v>0</v>
          </cell>
        </row>
        <row r="818">
          <cell r="AA818">
            <v>0</v>
          </cell>
        </row>
        <row r="819">
          <cell r="AA819">
            <v>0</v>
          </cell>
        </row>
        <row r="820">
          <cell r="AA820">
            <v>0</v>
          </cell>
        </row>
        <row r="821">
          <cell r="AA821">
            <v>0</v>
          </cell>
        </row>
        <row r="822">
          <cell r="AA822">
            <v>0</v>
          </cell>
        </row>
        <row r="823">
          <cell r="AA823">
            <v>0</v>
          </cell>
          <cell r="AG823" t="b">
            <v>1</v>
          </cell>
        </row>
        <row r="824">
          <cell r="AA824">
            <v>0</v>
          </cell>
        </row>
        <row r="825">
          <cell r="AA825">
            <v>0</v>
          </cell>
        </row>
        <row r="826">
          <cell r="AA826">
            <v>0</v>
          </cell>
        </row>
        <row r="827">
          <cell r="AA827">
            <v>0</v>
          </cell>
        </row>
        <row r="828">
          <cell r="AA828">
            <v>0</v>
          </cell>
        </row>
        <row r="829">
          <cell r="AA829">
            <v>0</v>
          </cell>
        </row>
        <row r="830">
          <cell r="AA830">
            <v>0</v>
          </cell>
        </row>
        <row r="831">
          <cell r="AA831">
            <v>0</v>
          </cell>
        </row>
        <row r="832">
          <cell r="AA832">
            <v>0</v>
          </cell>
        </row>
        <row r="833">
          <cell r="AA833">
            <v>0</v>
          </cell>
        </row>
        <row r="834">
          <cell r="AA834">
            <v>0</v>
          </cell>
        </row>
        <row r="835">
          <cell r="AA835">
            <v>0</v>
          </cell>
        </row>
        <row r="836">
          <cell r="AA836">
            <v>0</v>
          </cell>
        </row>
        <row r="837">
          <cell r="AA837">
            <v>0</v>
          </cell>
        </row>
        <row r="838">
          <cell r="AA838">
            <v>0</v>
          </cell>
        </row>
        <row r="839">
          <cell r="AA839">
            <v>0</v>
          </cell>
        </row>
        <row r="840">
          <cell r="AA840">
            <v>0</v>
          </cell>
        </row>
        <row r="841">
          <cell r="AA841">
            <v>0</v>
          </cell>
        </row>
        <row r="842">
          <cell r="AA842">
            <v>0</v>
          </cell>
        </row>
        <row r="843">
          <cell r="AA843">
            <v>0</v>
          </cell>
        </row>
        <row r="844">
          <cell r="AA844">
            <v>0</v>
          </cell>
        </row>
        <row r="845">
          <cell r="AA845">
            <v>0</v>
          </cell>
        </row>
        <row r="846">
          <cell r="AA846">
            <v>0</v>
          </cell>
        </row>
        <row r="847">
          <cell r="AA847">
            <v>0</v>
          </cell>
        </row>
        <row r="848">
          <cell r="AA848">
            <v>0</v>
          </cell>
        </row>
        <row r="849">
          <cell r="AA849">
            <v>0</v>
          </cell>
        </row>
        <row r="850">
          <cell r="AA850">
            <v>0</v>
          </cell>
        </row>
        <row r="851">
          <cell r="AA851">
            <v>0</v>
          </cell>
        </row>
        <row r="852">
          <cell r="AA852">
            <v>0</v>
          </cell>
        </row>
        <row r="853">
          <cell r="AA853">
            <v>0</v>
          </cell>
        </row>
        <row r="854">
          <cell r="AA854">
            <v>0</v>
          </cell>
        </row>
        <row r="855">
          <cell r="AA855">
            <v>0</v>
          </cell>
        </row>
        <row r="856">
          <cell r="AA856">
            <v>0</v>
          </cell>
        </row>
        <row r="857">
          <cell r="AA857">
            <v>0</v>
          </cell>
        </row>
        <row r="858">
          <cell r="AA858">
            <v>0</v>
          </cell>
        </row>
        <row r="859">
          <cell r="AA859">
            <v>0</v>
          </cell>
        </row>
        <row r="860">
          <cell r="AA860">
            <v>0</v>
          </cell>
        </row>
        <row r="861">
          <cell r="AA861">
            <v>0</v>
          </cell>
        </row>
        <row r="862">
          <cell r="AA862">
            <v>0</v>
          </cell>
        </row>
        <row r="863">
          <cell r="AA863">
            <v>0</v>
          </cell>
        </row>
        <row r="864">
          <cell r="AA864">
            <v>0</v>
          </cell>
        </row>
        <row r="865">
          <cell r="AA865">
            <v>0</v>
          </cell>
        </row>
        <row r="866">
          <cell r="AA866">
            <v>0</v>
          </cell>
        </row>
        <row r="867">
          <cell r="AA867">
            <v>0</v>
          </cell>
        </row>
        <row r="868">
          <cell r="AA868">
            <v>0</v>
          </cell>
        </row>
        <row r="869">
          <cell r="AA869">
            <v>0</v>
          </cell>
        </row>
        <row r="870">
          <cell r="AA870">
            <v>0</v>
          </cell>
        </row>
        <row r="871">
          <cell r="AA871">
            <v>0</v>
          </cell>
        </row>
        <row r="872">
          <cell r="AA872">
            <v>0</v>
          </cell>
        </row>
        <row r="873">
          <cell r="AA873">
            <v>0</v>
          </cell>
        </row>
        <row r="874">
          <cell r="AA874">
            <v>0</v>
          </cell>
        </row>
        <row r="875">
          <cell r="AA875">
            <v>0</v>
          </cell>
        </row>
        <row r="876">
          <cell r="AA876">
            <v>0</v>
          </cell>
        </row>
        <row r="877">
          <cell r="AA877">
            <v>0</v>
          </cell>
        </row>
        <row r="878">
          <cell r="AA878">
            <v>0</v>
          </cell>
        </row>
        <row r="879">
          <cell r="AA879">
            <v>0</v>
          </cell>
        </row>
        <row r="880">
          <cell r="AA880">
            <v>0</v>
          </cell>
        </row>
        <row r="881">
          <cell r="AA881">
            <v>0</v>
          </cell>
        </row>
        <row r="882">
          <cell r="AA882">
            <v>0</v>
          </cell>
        </row>
        <row r="883">
          <cell r="AA883">
            <v>0</v>
          </cell>
        </row>
        <row r="884">
          <cell r="AA884">
            <v>0</v>
          </cell>
        </row>
        <row r="885">
          <cell r="AA885">
            <v>0</v>
          </cell>
        </row>
        <row r="886">
          <cell r="AA886">
            <v>0</v>
          </cell>
        </row>
        <row r="887">
          <cell r="AA887">
            <v>0</v>
          </cell>
        </row>
        <row r="888">
          <cell r="AA888">
            <v>0</v>
          </cell>
        </row>
        <row r="889">
          <cell r="AA889">
            <v>0</v>
          </cell>
        </row>
        <row r="890">
          <cell r="AA890">
            <v>0</v>
          </cell>
        </row>
        <row r="891">
          <cell r="AA891">
            <v>0</v>
          </cell>
        </row>
        <row r="892">
          <cell r="AA892">
            <v>0</v>
          </cell>
        </row>
        <row r="893">
          <cell r="AA893">
            <v>0</v>
          </cell>
        </row>
        <row r="894">
          <cell r="AA894">
            <v>0</v>
          </cell>
        </row>
        <row r="895">
          <cell r="AA895">
            <v>0</v>
          </cell>
        </row>
        <row r="896">
          <cell r="AA896">
            <v>0</v>
          </cell>
        </row>
        <row r="897">
          <cell r="AA897">
            <v>0</v>
          </cell>
        </row>
        <row r="898">
          <cell r="AA898">
            <v>0</v>
          </cell>
        </row>
        <row r="899">
          <cell r="AA899">
            <v>0</v>
          </cell>
        </row>
        <row r="900">
          <cell r="AA900">
            <v>0</v>
          </cell>
        </row>
        <row r="901">
          <cell r="AA901">
            <v>0</v>
          </cell>
        </row>
        <row r="902">
          <cell r="AA902">
            <v>0</v>
          </cell>
        </row>
        <row r="903">
          <cell r="AA903">
            <v>0</v>
          </cell>
        </row>
        <row r="904">
          <cell r="AA904">
            <v>0</v>
          </cell>
        </row>
        <row r="905">
          <cell r="AA905">
            <v>0</v>
          </cell>
        </row>
        <row r="906">
          <cell r="AA906">
            <v>0</v>
          </cell>
        </row>
        <row r="907">
          <cell r="AA907">
            <v>0</v>
          </cell>
        </row>
        <row r="908">
          <cell r="AA908">
            <v>0</v>
          </cell>
        </row>
        <row r="909">
          <cell r="AA909">
            <v>0</v>
          </cell>
        </row>
        <row r="910">
          <cell r="AA910">
            <v>0</v>
          </cell>
        </row>
        <row r="911">
          <cell r="AA911">
            <v>0</v>
          </cell>
        </row>
        <row r="912">
          <cell r="AA912">
            <v>0</v>
          </cell>
        </row>
        <row r="913">
          <cell r="AA913">
            <v>0</v>
          </cell>
        </row>
        <row r="914">
          <cell r="AA914">
            <v>0</v>
          </cell>
        </row>
        <row r="915">
          <cell r="AA915">
            <v>0</v>
          </cell>
        </row>
        <row r="916">
          <cell r="AA916">
            <v>0</v>
          </cell>
        </row>
        <row r="917">
          <cell r="AA917">
            <v>0</v>
          </cell>
        </row>
        <row r="918">
          <cell r="AA918">
            <v>0</v>
          </cell>
        </row>
        <row r="919">
          <cell r="AA919">
            <v>0</v>
          </cell>
        </row>
        <row r="920">
          <cell r="AA920">
            <v>0</v>
          </cell>
        </row>
        <row r="921">
          <cell r="AA921">
            <v>0</v>
          </cell>
        </row>
        <row r="922">
          <cell r="AA922">
            <v>0</v>
          </cell>
        </row>
        <row r="923">
          <cell r="AA923">
            <v>0</v>
          </cell>
        </row>
        <row r="924">
          <cell r="AA924">
            <v>0</v>
          </cell>
        </row>
        <row r="925">
          <cell r="AA925">
            <v>0</v>
          </cell>
        </row>
        <row r="926">
          <cell r="AA926">
            <v>0</v>
          </cell>
        </row>
        <row r="927">
          <cell r="AA927">
            <v>0</v>
          </cell>
        </row>
        <row r="928">
          <cell r="AA928">
            <v>0</v>
          </cell>
        </row>
        <row r="929">
          <cell r="AA929">
            <v>0</v>
          </cell>
        </row>
        <row r="930">
          <cell r="AA930">
            <v>0</v>
          </cell>
        </row>
        <row r="931">
          <cell r="AA931">
            <v>0</v>
          </cell>
        </row>
        <row r="932">
          <cell r="AA932">
            <v>0</v>
          </cell>
        </row>
        <row r="933">
          <cell r="AA933">
            <v>0</v>
          </cell>
        </row>
        <row r="934">
          <cell r="AA934">
            <v>0</v>
          </cell>
        </row>
        <row r="935">
          <cell r="AA935">
            <v>0</v>
          </cell>
        </row>
        <row r="936">
          <cell r="AA936">
            <v>0</v>
          </cell>
        </row>
        <row r="937">
          <cell r="AA937">
            <v>0</v>
          </cell>
        </row>
        <row r="938">
          <cell r="AA938">
            <v>0</v>
          </cell>
        </row>
        <row r="939">
          <cell r="AA939">
            <v>0</v>
          </cell>
        </row>
        <row r="940">
          <cell r="AA940">
            <v>0</v>
          </cell>
        </row>
        <row r="941">
          <cell r="AA941">
            <v>0</v>
          </cell>
        </row>
        <row r="942">
          <cell r="AA942">
            <v>0</v>
          </cell>
        </row>
        <row r="943">
          <cell r="AA943">
            <v>0</v>
          </cell>
        </row>
        <row r="944">
          <cell r="AA944">
            <v>0</v>
          </cell>
        </row>
        <row r="945">
          <cell r="AA945">
            <v>0</v>
          </cell>
        </row>
        <row r="946">
          <cell r="AA946">
            <v>0</v>
          </cell>
        </row>
        <row r="947">
          <cell r="AA947">
            <v>0</v>
          </cell>
        </row>
        <row r="948">
          <cell r="AA948">
            <v>0</v>
          </cell>
        </row>
        <row r="949">
          <cell r="AA949">
            <v>0</v>
          </cell>
        </row>
        <row r="950">
          <cell r="AA950">
            <v>0</v>
          </cell>
        </row>
        <row r="951">
          <cell r="AA951">
            <v>0</v>
          </cell>
        </row>
        <row r="952">
          <cell r="AA952">
            <v>0</v>
          </cell>
        </row>
        <row r="953">
          <cell r="AA953">
            <v>0</v>
          </cell>
        </row>
        <row r="954">
          <cell r="AA954">
            <v>0</v>
          </cell>
        </row>
        <row r="955">
          <cell r="AA955">
            <v>0</v>
          </cell>
        </row>
        <row r="956">
          <cell r="AA956">
            <v>0</v>
          </cell>
        </row>
        <row r="957">
          <cell r="AA957">
            <v>0</v>
          </cell>
        </row>
        <row r="958">
          <cell r="AA958">
            <v>0</v>
          </cell>
        </row>
        <row r="959">
          <cell r="AA959">
            <v>0</v>
          </cell>
        </row>
        <row r="960">
          <cell r="AA960">
            <v>0</v>
          </cell>
        </row>
        <row r="961">
          <cell r="AA961">
            <v>0</v>
          </cell>
        </row>
        <row r="962">
          <cell r="AA962">
            <v>0</v>
          </cell>
        </row>
        <row r="963">
          <cell r="AA963">
            <v>0</v>
          </cell>
        </row>
        <row r="964">
          <cell r="AA964">
            <v>0</v>
          </cell>
        </row>
        <row r="965">
          <cell r="AA965">
            <v>0</v>
          </cell>
        </row>
        <row r="966">
          <cell r="AA966">
            <v>0</v>
          </cell>
        </row>
        <row r="967">
          <cell r="AA967">
            <v>0</v>
          </cell>
        </row>
        <row r="968">
          <cell r="AA968">
            <v>0</v>
          </cell>
        </row>
        <row r="969">
          <cell r="AA969">
            <v>0</v>
          </cell>
        </row>
        <row r="970">
          <cell r="AA970">
            <v>0</v>
          </cell>
        </row>
        <row r="971">
          <cell r="AA971">
            <v>0</v>
          </cell>
        </row>
        <row r="972">
          <cell r="AA972">
            <v>0</v>
          </cell>
        </row>
        <row r="973">
          <cell r="AA973">
            <v>0</v>
          </cell>
        </row>
        <row r="974">
          <cell r="AA974">
            <v>0</v>
          </cell>
        </row>
        <row r="975">
          <cell r="AA975">
            <v>0</v>
          </cell>
        </row>
        <row r="976">
          <cell r="AA976">
            <v>0</v>
          </cell>
        </row>
        <row r="977">
          <cell r="AA977">
            <v>0</v>
          </cell>
        </row>
        <row r="978">
          <cell r="AA978">
            <v>0</v>
          </cell>
        </row>
        <row r="979">
          <cell r="AA979">
            <v>0</v>
          </cell>
        </row>
        <row r="980">
          <cell r="AA980">
            <v>0</v>
          </cell>
        </row>
        <row r="981">
          <cell r="AA981">
            <v>0</v>
          </cell>
        </row>
        <row r="982">
          <cell r="AA982">
            <v>0</v>
          </cell>
        </row>
        <row r="983">
          <cell r="AA983">
            <v>0</v>
          </cell>
        </row>
        <row r="984">
          <cell r="AA984">
            <v>0</v>
          </cell>
        </row>
        <row r="985">
          <cell r="AA985">
            <v>0</v>
          </cell>
        </row>
        <row r="986">
          <cell r="AA986">
            <v>0</v>
          </cell>
        </row>
        <row r="987">
          <cell r="AA987">
            <v>0</v>
          </cell>
        </row>
        <row r="988">
          <cell r="AA988">
            <v>0</v>
          </cell>
        </row>
        <row r="989">
          <cell r="AA989">
            <v>0</v>
          </cell>
        </row>
        <row r="990">
          <cell r="AA990">
            <v>0</v>
          </cell>
        </row>
        <row r="991">
          <cell r="AA991">
            <v>0</v>
          </cell>
        </row>
        <row r="992">
          <cell r="AA992">
            <v>0</v>
          </cell>
        </row>
        <row r="993">
          <cell r="AA993">
            <v>0</v>
          </cell>
        </row>
        <row r="994">
          <cell r="AA994">
            <v>0</v>
          </cell>
        </row>
        <row r="995">
          <cell r="AA995">
            <v>0</v>
          </cell>
        </row>
        <row r="996">
          <cell r="AA996">
            <v>0</v>
          </cell>
        </row>
        <row r="997">
          <cell r="AA997">
            <v>0</v>
          </cell>
        </row>
        <row r="998">
          <cell r="AA998">
            <v>0</v>
          </cell>
        </row>
        <row r="999">
          <cell r="AA999">
            <v>0</v>
          </cell>
        </row>
        <row r="1000">
          <cell r="AA1000">
            <v>0</v>
          </cell>
        </row>
        <row r="1001">
          <cell r="AA1001">
            <v>0</v>
          </cell>
        </row>
        <row r="1002">
          <cell r="AA1002">
            <v>0</v>
          </cell>
        </row>
        <row r="1003">
          <cell r="AA1003">
            <v>0</v>
          </cell>
        </row>
        <row r="1004">
          <cell r="AA1004">
            <v>0</v>
          </cell>
        </row>
        <row r="1005">
          <cell r="AA1005">
            <v>0</v>
          </cell>
        </row>
        <row r="1006">
          <cell r="AA1006">
            <v>0</v>
          </cell>
        </row>
        <row r="1007">
          <cell r="AA1007">
            <v>0</v>
          </cell>
        </row>
        <row r="1008">
          <cell r="AA1008">
            <v>0</v>
          </cell>
        </row>
        <row r="1009">
          <cell r="AA1009">
            <v>0</v>
          </cell>
        </row>
        <row r="1010">
          <cell r="AA1010">
            <v>0</v>
          </cell>
        </row>
        <row r="1011">
          <cell r="AA1011">
            <v>0</v>
          </cell>
        </row>
        <row r="1012">
          <cell r="AA1012">
            <v>0</v>
          </cell>
        </row>
        <row r="1013">
          <cell r="AA1013">
            <v>0</v>
          </cell>
        </row>
        <row r="1014">
          <cell r="AA1014">
            <v>0</v>
          </cell>
        </row>
        <row r="1015">
          <cell r="AA1015">
            <v>0</v>
          </cell>
        </row>
        <row r="1016">
          <cell r="AA1016">
            <v>0</v>
          </cell>
        </row>
        <row r="1017">
          <cell r="AA1017">
            <v>0</v>
          </cell>
        </row>
        <row r="1018">
          <cell r="AA1018">
            <v>0</v>
          </cell>
        </row>
        <row r="1019">
          <cell r="AA1019">
            <v>0</v>
          </cell>
        </row>
        <row r="1020">
          <cell r="AA1020">
            <v>0</v>
          </cell>
        </row>
        <row r="1021">
          <cell r="AA1021">
            <v>0</v>
          </cell>
        </row>
        <row r="1022">
          <cell r="AA1022">
            <v>0</v>
          </cell>
        </row>
        <row r="1023">
          <cell r="AA1023">
            <v>0</v>
          </cell>
        </row>
        <row r="1024">
          <cell r="AA1024">
            <v>0</v>
          </cell>
        </row>
        <row r="1025">
          <cell r="AA1025">
            <v>0</v>
          </cell>
        </row>
        <row r="1026">
          <cell r="AA1026">
            <v>0</v>
          </cell>
        </row>
        <row r="1027">
          <cell r="AA1027">
            <v>0</v>
          </cell>
        </row>
        <row r="1028">
          <cell r="AA1028">
            <v>0</v>
          </cell>
        </row>
        <row r="1029">
          <cell r="AA1029">
            <v>0</v>
          </cell>
        </row>
        <row r="1030">
          <cell r="AA1030">
            <v>0</v>
          </cell>
        </row>
        <row r="1031">
          <cell r="AA1031">
            <v>0</v>
          </cell>
        </row>
        <row r="1032">
          <cell r="AA1032">
            <v>0</v>
          </cell>
        </row>
        <row r="1033">
          <cell r="AA1033">
            <v>0</v>
          </cell>
        </row>
        <row r="1034">
          <cell r="AA1034">
            <v>0</v>
          </cell>
        </row>
        <row r="1035">
          <cell r="AA1035">
            <v>0</v>
          </cell>
        </row>
        <row r="1036">
          <cell r="AA1036">
            <v>0</v>
          </cell>
        </row>
        <row r="1037">
          <cell r="AA1037">
            <v>0</v>
          </cell>
        </row>
        <row r="1038">
          <cell r="AA1038">
            <v>0</v>
          </cell>
        </row>
        <row r="1039">
          <cell r="AA1039">
            <v>0</v>
          </cell>
        </row>
        <row r="1040">
          <cell r="AA1040">
            <v>0</v>
          </cell>
        </row>
        <row r="1041">
          <cell r="AA1041">
            <v>0</v>
          </cell>
        </row>
        <row r="1042">
          <cell r="AA1042">
            <v>0</v>
          </cell>
        </row>
        <row r="1043">
          <cell r="AA1043">
            <v>0</v>
          </cell>
        </row>
        <row r="1044">
          <cell r="AA1044">
            <v>0</v>
          </cell>
        </row>
        <row r="1045">
          <cell r="AA1045">
            <v>0</v>
          </cell>
        </row>
        <row r="1046">
          <cell r="AA1046">
            <v>0</v>
          </cell>
        </row>
        <row r="1047">
          <cell r="AA1047">
            <v>0</v>
          </cell>
        </row>
        <row r="1048">
          <cell r="AA1048">
            <v>0</v>
          </cell>
        </row>
        <row r="1049">
          <cell r="AA1049">
            <v>0</v>
          </cell>
        </row>
        <row r="1050">
          <cell r="AA1050">
            <v>0</v>
          </cell>
        </row>
        <row r="1051">
          <cell r="AA1051">
            <v>0</v>
          </cell>
        </row>
        <row r="1052">
          <cell r="AA1052">
            <v>0</v>
          </cell>
        </row>
        <row r="1053">
          <cell r="AA1053">
            <v>0</v>
          </cell>
        </row>
        <row r="1054">
          <cell r="AA1054">
            <v>0</v>
          </cell>
        </row>
        <row r="1055">
          <cell r="AA1055">
            <v>0</v>
          </cell>
        </row>
        <row r="1056">
          <cell r="AA1056">
            <v>0</v>
          </cell>
        </row>
        <row r="1057">
          <cell r="AA1057">
            <v>0</v>
          </cell>
        </row>
        <row r="1058">
          <cell r="AA1058">
            <v>0</v>
          </cell>
        </row>
        <row r="1059">
          <cell r="AA1059">
            <v>0</v>
          </cell>
        </row>
        <row r="1060">
          <cell r="AA1060">
            <v>0</v>
          </cell>
        </row>
        <row r="1061">
          <cell r="AA1061">
            <v>0</v>
          </cell>
        </row>
        <row r="1062">
          <cell r="AA1062">
            <v>0</v>
          </cell>
        </row>
        <row r="1063">
          <cell r="AA1063">
            <v>0</v>
          </cell>
        </row>
        <row r="1064">
          <cell r="AA1064">
            <v>0</v>
          </cell>
        </row>
        <row r="1065">
          <cell r="AA1065">
            <v>0</v>
          </cell>
        </row>
        <row r="1066">
          <cell r="AA1066">
            <v>0</v>
          </cell>
        </row>
        <row r="1067">
          <cell r="AA1067">
            <v>0</v>
          </cell>
        </row>
        <row r="1068">
          <cell r="AA1068">
            <v>0</v>
          </cell>
        </row>
        <row r="1069">
          <cell r="AA1069">
            <v>0</v>
          </cell>
        </row>
        <row r="1070">
          <cell r="AA1070">
            <v>0</v>
          </cell>
        </row>
        <row r="1071">
          <cell r="AA1071">
            <v>0</v>
          </cell>
        </row>
        <row r="1072">
          <cell r="AA1072">
            <v>0</v>
          </cell>
        </row>
        <row r="1073">
          <cell r="AA1073">
            <v>0</v>
          </cell>
        </row>
        <row r="1074">
          <cell r="AA1074">
            <v>0</v>
          </cell>
        </row>
        <row r="1075">
          <cell r="AA1075">
            <v>0</v>
          </cell>
        </row>
        <row r="1076">
          <cell r="AA1076">
            <v>0</v>
          </cell>
        </row>
        <row r="1077">
          <cell r="AA1077">
            <v>0</v>
          </cell>
        </row>
        <row r="1078">
          <cell r="AA1078">
            <v>0</v>
          </cell>
        </row>
        <row r="1079">
          <cell r="AA1079">
            <v>0</v>
          </cell>
        </row>
        <row r="1080">
          <cell r="AA1080">
            <v>0</v>
          </cell>
        </row>
        <row r="1081">
          <cell r="AA1081">
            <v>0</v>
          </cell>
        </row>
        <row r="1082">
          <cell r="AA1082">
            <v>0</v>
          </cell>
        </row>
        <row r="1083">
          <cell r="AA1083">
            <v>0</v>
          </cell>
        </row>
        <row r="1084">
          <cell r="AA1084">
            <v>0</v>
          </cell>
        </row>
        <row r="1085">
          <cell r="AA1085">
            <v>0</v>
          </cell>
        </row>
        <row r="1086">
          <cell r="AA1086">
            <v>0</v>
          </cell>
        </row>
        <row r="1087">
          <cell r="AA1087">
            <v>0</v>
          </cell>
        </row>
        <row r="1088">
          <cell r="AA1088">
            <v>0</v>
          </cell>
        </row>
        <row r="1089">
          <cell r="AA1089">
            <v>0</v>
          </cell>
        </row>
        <row r="1090">
          <cell r="AA1090">
            <v>0</v>
          </cell>
        </row>
        <row r="1091">
          <cell r="AA1091">
            <v>0</v>
          </cell>
        </row>
        <row r="1092">
          <cell r="AA1092">
            <v>0</v>
          </cell>
        </row>
        <row r="1093">
          <cell r="AA1093">
            <v>0</v>
          </cell>
        </row>
        <row r="1094">
          <cell r="AA1094">
            <v>0</v>
          </cell>
        </row>
        <row r="1095">
          <cell r="AA1095">
            <v>0</v>
          </cell>
        </row>
        <row r="1096">
          <cell r="AA1096">
            <v>0</v>
          </cell>
        </row>
        <row r="1097">
          <cell r="AA1097">
            <v>0</v>
          </cell>
        </row>
        <row r="1098">
          <cell r="AA1098">
            <v>0</v>
          </cell>
        </row>
        <row r="1099">
          <cell r="AA1099">
            <v>0</v>
          </cell>
        </row>
        <row r="1100">
          <cell r="AA1100">
            <v>0</v>
          </cell>
        </row>
        <row r="1101">
          <cell r="AA1101">
            <v>0</v>
          </cell>
        </row>
        <row r="1102">
          <cell r="AA1102">
            <v>0</v>
          </cell>
        </row>
        <row r="1103">
          <cell r="AA1103">
            <v>0</v>
          </cell>
        </row>
        <row r="1104">
          <cell r="AA1104">
            <v>0</v>
          </cell>
        </row>
        <row r="1105">
          <cell r="AA1105">
            <v>0</v>
          </cell>
        </row>
        <row r="1106">
          <cell r="AA1106">
            <v>0</v>
          </cell>
        </row>
        <row r="1107">
          <cell r="AA1107">
            <v>0</v>
          </cell>
        </row>
        <row r="1108">
          <cell r="AA1108">
            <v>0</v>
          </cell>
        </row>
        <row r="1109">
          <cell r="AA1109">
            <v>0</v>
          </cell>
        </row>
        <row r="1110">
          <cell r="AA1110">
            <v>0</v>
          </cell>
        </row>
        <row r="1111">
          <cell r="AA1111">
            <v>0</v>
          </cell>
        </row>
        <row r="1112">
          <cell r="AA1112">
            <v>0</v>
          </cell>
        </row>
        <row r="1113">
          <cell r="AA1113">
            <v>0</v>
          </cell>
        </row>
        <row r="1114">
          <cell r="AA1114">
            <v>0</v>
          </cell>
        </row>
        <row r="1115">
          <cell r="AA1115">
            <v>0</v>
          </cell>
        </row>
        <row r="1116">
          <cell r="AA1116">
            <v>0</v>
          </cell>
        </row>
        <row r="1117">
          <cell r="AA1117">
            <v>0</v>
          </cell>
        </row>
        <row r="1118">
          <cell r="AA1118">
            <v>0</v>
          </cell>
        </row>
        <row r="1119">
          <cell r="AA1119">
            <v>0</v>
          </cell>
        </row>
        <row r="1120">
          <cell r="AA1120">
            <v>0</v>
          </cell>
        </row>
        <row r="1121">
          <cell r="AA1121">
            <v>0</v>
          </cell>
        </row>
        <row r="1122">
          <cell r="AA1122">
            <v>0</v>
          </cell>
        </row>
        <row r="1123">
          <cell r="AA1123">
            <v>0</v>
          </cell>
        </row>
        <row r="1124">
          <cell r="AA1124">
            <v>0</v>
          </cell>
        </row>
        <row r="1125">
          <cell r="AA1125">
            <v>0</v>
          </cell>
        </row>
        <row r="1126">
          <cell r="AA1126">
            <v>0</v>
          </cell>
        </row>
        <row r="1127">
          <cell r="AA1127">
            <v>0</v>
          </cell>
        </row>
        <row r="1128">
          <cell r="AA1128">
            <v>0</v>
          </cell>
        </row>
        <row r="1129">
          <cell r="AA1129">
            <v>0</v>
          </cell>
        </row>
        <row r="1130">
          <cell r="AA1130">
            <v>0</v>
          </cell>
        </row>
        <row r="1131">
          <cell r="AA1131">
            <v>0</v>
          </cell>
        </row>
        <row r="1132">
          <cell r="AA1132">
            <v>0</v>
          </cell>
        </row>
        <row r="1133">
          <cell r="AA1133">
            <v>0</v>
          </cell>
        </row>
        <row r="1134">
          <cell r="AA1134">
            <v>0</v>
          </cell>
        </row>
        <row r="1135">
          <cell r="AA1135">
            <v>0</v>
          </cell>
        </row>
        <row r="1136">
          <cell r="AA1136">
            <v>0</v>
          </cell>
        </row>
        <row r="1137">
          <cell r="AA1137">
            <v>0</v>
          </cell>
        </row>
        <row r="1138">
          <cell r="AA1138">
            <v>0</v>
          </cell>
        </row>
        <row r="1139">
          <cell r="D1139" t="str">
            <v>-</v>
          </cell>
        </row>
        <row r="1140">
          <cell r="AA1140">
            <v>0</v>
          </cell>
        </row>
        <row r="1448">
          <cell r="E1448" t="str">
            <v>PMT2</v>
          </cell>
          <cell r="F1448" t="str">
            <v>TH</v>
          </cell>
          <cell r="J1448" t="str">
            <v>ED8B</v>
          </cell>
          <cell r="K1448" t="str">
            <v>F025K20</v>
          </cell>
          <cell r="L1448" t="str">
            <v>AF</v>
          </cell>
          <cell r="O1448">
            <v>1</v>
          </cell>
          <cell r="P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Y1448">
            <v>-99.4</v>
          </cell>
        </row>
        <row r="1449">
          <cell r="E1449" t="str">
            <v>PMT2</v>
          </cell>
          <cell r="F1449" t="str">
            <v>TH</v>
          </cell>
          <cell r="J1449" t="str">
            <v>ED8B</v>
          </cell>
          <cell r="K1449" t="str">
            <v>F025K21</v>
          </cell>
          <cell r="L1449" t="str">
            <v>AF</v>
          </cell>
          <cell r="O1449">
            <v>1</v>
          </cell>
          <cell r="P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EP1470"/>
  <sheetViews>
    <sheetView tabSelected="1" zoomScale="80" zoomScaleNormal="100" zoomScaleSheetLayoutView="75" workbookViewId="0">
      <pane xSplit="12" ySplit="5" topLeftCell="AG1447" activePane="bottomRight" state="frozen"/>
      <selection pane="topRight" activeCell="M1" sqref="M1"/>
      <selection pane="bottomLeft" activeCell="A6" sqref="A6"/>
      <selection pane="bottomRight" activeCell="F1438" sqref="F1438"/>
    </sheetView>
  </sheetViews>
  <sheetFormatPr defaultColWidth="9.109375" defaultRowHeight="13.2" outlineLevelCol="1"/>
  <cols>
    <col min="1" max="1" width="1.33203125" style="2" customWidth="1"/>
    <col min="2" max="2" width="31.88671875" style="1" customWidth="1"/>
    <col min="3" max="3" width="9.6640625" style="2" customWidth="1"/>
    <col min="4" max="4" width="13.33203125" style="1" customWidth="1"/>
    <col min="5" max="5" width="6.5546875" style="2" customWidth="1"/>
    <col min="6" max="7" width="3.88671875" style="3" customWidth="1"/>
    <col min="8" max="8" width="8.33203125" style="2" hidden="1" customWidth="1"/>
    <col min="9" max="9" width="1.5546875" style="2" customWidth="1"/>
    <col min="10" max="10" width="7.6640625" style="3" customWidth="1"/>
    <col min="11" max="11" width="15.88671875" style="1" customWidth="1"/>
    <col min="12" max="12" width="8.88671875" style="3" customWidth="1"/>
    <col min="13" max="13" width="17" style="2" customWidth="1" outlineLevel="1"/>
    <col min="14" max="14" width="1.109375" style="3" customWidth="1" outlineLevel="1"/>
    <col min="15" max="15" width="12.44140625" style="55" customWidth="1"/>
    <col min="16" max="18" width="8.109375" style="55" customWidth="1"/>
    <col min="19" max="19" width="7.33203125" style="55" customWidth="1"/>
    <col min="20" max="20" width="8.33203125" style="55" customWidth="1"/>
    <col min="21" max="21" width="9.33203125" style="55" customWidth="1"/>
    <col min="22" max="22" width="8.109375" style="55" customWidth="1"/>
    <col min="23" max="23" width="6.109375" style="2" customWidth="1"/>
    <col min="24" max="24" width="3.33203125" style="2" customWidth="1" collapsed="1"/>
    <col min="25" max="25" width="10.88671875" style="2" customWidth="1"/>
    <col min="26" max="29" width="9.33203125" style="2" customWidth="1"/>
    <col min="30" max="30" width="12.33203125" style="2" customWidth="1"/>
    <col min="31" max="31" width="8.6640625" style="2" customWidth="1"/>
    <col min="32" max="32" width="1.6640625" style="2" customWidth="1"/>
    <col min="33" max="33" width="17.44140625" style="2" customWidth="1"/>
    <col min="34" max="34" width="17" style="2" customWidth="1"/>
    <col min="35" max="35" width="1.6640625" style="2" customWidth="1"/>
    <col min="36" max="36" width="22.88671875" style="2" customWidth="1"/>
    <col min="37" max="37" width="15.6640625" style="2" customWidth="1"/>
    <col min="38" max="38" width="12.44140625" style="2" customWidth="1"/>
    <col min="39" max="39" width="14.6640625" style="7" customWidth="1"/>
    <col min="40" max="40" width="1.6640625" style="2" customWidth="1"/>
    <col min="41" max="41" width="6.88671875" style="3" customWidth="1"/>
    <col min="42" max="42" width="9.33203125" style="3" customWidth="1"/>
    <col min="43" max="43" width="6.88671875" style="3" customWidth="1"/>
    <col min="44" max="44" width="15" style="2" customWidth="1"/>
    <col min="45" max="45" width="2.44140625" style="2" customWidth="1"/>
    <col min="46" max="54" width="9.109375" style="3" customWidth="1"/>
    <col min="55" max="55" width="2" style="2" customWidth="1"/>
    <col min="56" max="56" width="11.5546875" style="2" customWidth="1"/>
    <col min="57" max="57" width="9.88671875" style="2" customWidth="1"/>
    <col min="58" max="59" width="8.33203125" style="2" customWidth="1"/>
    <col min="60" max="60" width="9.44140625" style="2" customWidth="1"/>
    <col min="61" max="61" width="11" style="2" customWidth="1"/>
    <col min="62" max="62" width="8.44140625" style="2" customWidth="1"/>
    <col min="63" max="63" width="2.33203125" style="2" customWidth="1"/>
    <col min="64" max="64" width="17" style="2" customWidth="1"/>
    <col min="65" max="65" width="18.109375" style="2" customWidth="1"/>
    <col min="66" max="66" width="2.5546875" style="2" customWidth="1"/>
    <col min="67" max="67" width="17.6640625" style="2" customWidth="1"/>
    <col min="68" max="68" width="13.88671875" style="2" customWidth="1"/>
    <col min="69" max="69" width="12.33203125" style="2" customWidth="1"/>
    <col min="70" max="70" width="2.6640625" style="2" customWidth="1"/>
    <col min="71" max="72" width="10.109375" style="2" hidden="1" customWidth="1"/>
    <col min="73" max="74" width="9.5546875" style="2" hidden="1" customWidth="1"/>
    <col min="75" max="75" width="7.6640625" style="2" hidden="1" customWidth="1"/>
    <col min="76" max="77" width="11.109375" style="2" hidden="1" customWidth="1"/>
    <col min="78" max="78" width="1.6640625" style="2" hidden="1" customWidth="1"/>
    <col min="79" max="87" width="11.109375" style="2" hidden="1" customWidth="1"/>
    <col min="88" max="88" width="2.33203125" style="2" hidden="1" customWidth="1"/>
    <col min="89" max="97" width="11.109375" style="2" hidden="1" customWidth="1"/>
    <col min="98" max="98" width="16.109375" style="2" hidden="1" customWidth="1"/>
    <col min="99" max="99" width="2.88671875" style="2" hidden="1" customWidth="1" collapsed="1"/>
    <col min="100" max="100" width="13.6640625" style="2" hidden="1" customWidth="1"/>
    <col min="101" max="101" width="15.33203125" style="2" hidden="1" customWidth="1"/>
    <col min="102" max="102" width="1.5546875" style="2" hidden="1" customWidth="1"/>
    <col min="103" max="103" width="13.6640625" style="2" hidden="1" customWidth="1"/>
    <col min="104" max="104" width="11.109375" style="2" hidden="1" customWidth="1"/>
    <col min="105" max="105" width="13" style="2" hidden="1" customWidth="1"/>
    <col min="106" max="107" width="9.109375" style="2"/>
    <col min="108" max="108" width="9.109375" style="2" customWidth="1"/>
    <col min="109" max="109" width="19.88671875" style="2" customWidth="1"/>
    <col min="110" max="110" width="11" style="3" bestFit="1" customWidth="1"/>
    <col min="111" max="111" width="12.33203125" style="2" customWidth="1"/>
    <col min="112" max="112" width="3.109375" style="2" customWidth="1"/>
    <col min="113" max="113" width="25" style="2" hidden="1" customWidth="1" outlineLevel="1"/>
    <col min="114" max="114" width="12.5546875" style="2" hidden="1" customWidth="1" outlineLevel="1"/>
    <col min="115" max="123" width="9.109375" style="2" hidden="1" customWidth="1" outlineLevel="1"/>
    <col min="124" max="124" width="2.109375" style="2" hidden="1" customWidth="1" outlineLevel="1"/>
    <col min="125" max="125" width="12" style="2" hidden="1" customWidth="1" outlineLevel="1"/>
    <col min="126" max="126" width="11.109375" style="2" hidden="1" customWidth="1" outlineLevel="1"/>
    <col min="127" max="127" width="10.109375" style="2" hidden="1" customWidth="1" outlineLevel="1"/>
    <col min="128" max="128" width="10.5546875" style="2" hidden="1" customWidth="1" outlineLevel="1"/>
    <col min="129" max="129" width="11.109375" style="2" hidden="1" customWidth="1" outlineLevel="1"/>
    <col min="130" max="130" width="5.33203125" style="3" customWidth="1" collapsed="1"/>
    <col min="131" max="131" width="4.109375" style="2" customWidth="1"/>
    <col min="132" max="132" width="9.109375" style="2"/>
    <col min="133" max="133" width="19.44140625" style="2" customWidth="1"/>
    <col min="134" max="136" width="14.33203125" style="2" customWidth="1"/>
    <col min="137" max="137" width="4.33203125" style="2" customWidth="1"/>
    <col min="138" max="140" width="11.88671875" style="2" customWidth="1"/>
    <col min="141" max="16384" width="9.109375" style="2"/>
  </cols>
  <sheetData>
    <row r="1" spans="2:141">
      <c r="B1" s="1" t="s">
        <v>0</v>
      </c>
      <c r="C1" s="2" t="s">
        <v>1</v>
      </c>
      <c r="O1" s="4"/>
      <c r="P1" s="4"/>
      <c r="Q1" s="4"/>
      <c r="R1" s="4"/>
      <c r="S1" s="4"/>
      <c r="T1" s="4"/>
      <c r="U1" s="4"/>
      <c r="V1" s="4"/>
      <c r="AC1" s="5"/>
      <c r="AE1" s="6"/>
      <c r="AG1" s="6"/>
      <c r="AH1" s="6"/>
      <c r="AP1" s="3" t="s">
        <v>2</v>
      </c>
      <c r="CU1" s="8"/>
      <c r="DC1" s="2" t="s">
        <v>3</v>
      </c>
    </row>
    <row r="2" spans="2:141">
      <c r="B2" s="9" t="s">
        <v>4</v>
      </c>
      <c r="C2" s="10">
        <v>6.6470000000000002</v>
      </c>
      <c r="D2" s="9"/>
      <c r="E2" s="11"/>
      <c r="F2" s="10"/>
      <c r="G2" s="10"/>
      <c r="H2" s="11"/>
      <c r="O2" s="12"/>
      <c r="P2" s="12"/>
      <c r="Q2" s="13"/>
      <c r="R2" s="13"/>
      <c r="S2" s="13"/>
      <c r="T2" s="13"/>
      <c r="U2" s="13"/>
      <c r="V2" s="13"/>
      <c r="AG2" s="5">
        <f>-368.68-AD1146</f>
        <v>0</v>
      </c>
      <c r="AX2" s="14">
        <f>AX6/SUM($AX$6,$AY$6,$BA$6)</f>
        <v>0.3214285714285714</v>
      </c>
      <c r="AY2" s="14">
        <f>AY6/SUM($AX$6,$AY$6,$BA$6)</f>
        <v>0.5</v>
      </c>
      <c r="AZ2" s="14"/>
      <c r="BA2" s="14">
        <f>BA6/SUM($AX$6,$AY$6,$BA$6)</f>
        <v>0.17857142857142858</v>
      </c>
      <c r="DD2" s="11"/>
      <c r="DE2" s="11"/>
    </row>
    <row r="3" spans="2:141" ht="15" customHeight="1">
      <c r="C3" s="10"/>
      <c r="D3" s="10"/>
      <c r="E3" s="10"/>
      <c r="F3" s="10"/>
      <c r="G3" s="10"/>
      <c r="H3" s="11"/>
      <c r="I3" s="15" t="s">
        <v>5</v>
      </c>
      <c r="J3" s="16" t="s">
        <v>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5" t="s">
        <v>7</v>
      </c>
      <c r="AO3" s="18" t="s">
        <v>8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5" t="s">
        <v>9</v>
      </c>
      <c r="BS3" s="19" t="s">
        <v>10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D3" s="11"/>
      <c r="DE3" s="11"/>
      <c r="DH3" s="15" t="s">
        <v>11</v>
      </c>
      <c r="DI3" s="21" t="s">
        <v>12</v>
      </c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</row>
    <row r="4" spans="2:141" s="22" customFormat="1" ht="15">
      <c r="B4" s="1" t="s">
        <v>13</v>
      </c>
      <c r="D4" s="23"/>
      <c r="F4" s="24"/>
      <c r="G4" s="24"/>
      <c r="I4" s="15"/>
      <c r="J4" s="25" t="s">
        <v>14</v>
      </c>
      <c r="K4" s="26"/>
      <c r="L4" s="25"/>
      <c r="M4" s="25"/>
      <c r="N4" s="24"/>
      <c r="O4" s="27" t="s">
        <v>15</v>
      </c>
      <c r="P4" s="28"/>
      <c r="Q4" s="28"/>
      <c r="R4" s="28"/>
      <c r="S4" s="28"/>
      <c r="T4" s="28"/>
      <c r="U4" s="28"/>
      <c r="V4" s="28"/>
      <c r="W4" s="28"/>
      <c r="Y4" s="29" t="s">
        <v>16</v>
      </c>
      <c r="Z4" s="28"/>
      <c r="AA4" s="28"/>
      <c r="AB4" s="28"/>
      <c r="AC4" s="28"/>
      <c r="AD4" s="28"/>
      <c r="AE4" s="28"/>
      <c r="AG4" s="29" t="s">
        <v>17</v>
      </c>
      <c r="AH4" s="28"/>
      <c r="AJ4" s="29" t="s">
        <v>18</v>
      </c>
      <c r="AK4" s="29"/>
      <c r="AL4" s="29"/>
      <c r="AM4" s="7"/>
      <c r="AN4" s="15"/>
      <c r="AO4" s="25" t="s">
        <v>14</v>
      </c>
      <c r="AP4" s="25"/>
      <c r="AQ4" s="25"/>
      <c r="AR4" s="25"/>
      <c r="AT4" s="25" t="s">
        <v>15</v>
      </c>
      <c r="AU4" s="28"/>
      <c r="AV4" s="28"/>
      <c r="AW4" s="28"/>
      <c r="AX4" s="28"/>
      <c r="AY4" s="28"/>
      <c r="AZ4" s="28"/>
      <c r="BA4" s="28"/>
      <c r="BB4" s="28"/>
      <c r="BD4" s="29" t="s">
        <v>16</v>
      </c>
      <c r="BE4" s="28"/>
      <c r="BF4" s="28"/>
      <c r="BG4" s="28"/>
      <c r="BH4" s="28"/>
      <c r="BI4" s="28"/>
      <c r="BJ4" s="28"/>
      <c r="BL4" s="29" t="s">
        <v>17</v>
      </c>
      <c r="BM4" s="28"/>
      <c r="BO4" s="29" t="s">
        <v>18</v>
      </c>
      <c r="BP4" s="29"/>
      <c r="BQ4" s="29"/>
      <c r="BR4" s="15"/>
      <c r="BS4" s="29" t="s">
        <v>16</v>
      </c>
      <c r="BT4" s="28"/>
      <c r="BU4" s="28"/>
      <c r="BV4" s="28"/>
      <c r="BW4" s="28"/>
      <c r="BX4" s="28"/>
      <c r="BY4" s="28"/>
      <c r="CA4" s="28" t="s">
        <v>19</v>
      </c>
      <c r="CB4" s="28"/>
      <c r="CC4" s="28"/>
      <c r="CD4" s="28"/>
      <c r="CE4" s="28"/>
      <c r="CF4" s="28"/>
      <c r="CG4" s="28"/>
      <c r="CH4" s="28"/>
      <c r="CI4" s="28"/>
      <c r="CJ4" s="28"/>
      <c r="CK4" s="28" t="s">
        <v>20</v>
      </c>
      <c r="CL4" s="28"/>
      <c r="CM4" s="28"/>
      <c r="CN4" s="28"/>
      <c r="CO4" s="28"/>
      <c r="CP4" s="28"/>
      <c r="CQ4" s="28"/>
      <c r="CR4" s="28"/>
      <c r="CS4" s="28"/>
      <c r="CT4" s="28"/>
      <c r="CV4" s="28" t="s">
        <v>17</v>
      </c>
      <c r="CW4" s="28"/>
      <c r="CX4" s="28"/>
      <c r="CY4" s="28" t="s">
        <v>18</v>
      </c>
      <c r="CZ4" s="28"/>
      <c r="DA4" s="28"/>
      <c r="DF4" s="24"/>
      <c r="DH4" s="15"/>
      <c r="DI4" s="30"/>
      <c r="DJ4" s="2"/>
      <c r="DK4" s="29" t="s">
        <v>21</v>
      </c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Z4" s="24"/>
      <c r="EC4" s="22" t="s">
        <v>22</v>
      </c>
      <c r="EH4" s="22" t="s">
        <v>23</v>
      </c>
    </row>
    <row r="5" spans="2:141" s="38" customFormat="1" ht="63" customHeight="1">
      <c r="B5" s="31" t="s">
        <v>24</v>
      </c>
      <c r="C5" s="32" t="s">
        <v>25</v>
      </c>
      <c r="D5" s="31" t="s">
        <v>26</v>
      </c>
      <c r="E5" s="33" t="s">
        <v>27</v>
      </c>
      <c r="F5" s="33" t="s">
        <v>28</v>
      </c>
      <c r="G5" s="33" t="s">
        <v>29</v>
      </c>
      <c r="H5" s="32" t="s">
        <v>30</v>
      </c>
      <c r="I5" s="15"/>
      <c r="J5" s="34" t="s">
        <v>31</v>
      </c>
      <c r="K5" s="35" t="s">
        <v>32</v>
      </c>
      <c r="L5" s="34" t="s">
        <v>33</v>
      </c>
      <c r="M5" s="36" t="s">
        <v>34</v>
      </c>
      <c r="N5" s="24"/>
      <c r="O5" s="37" t="s">
        <v>35</v>
      </c>
      <c r="P5" s="37" t="s">
        <v>36</v>
      </c>
      <c r="Q5" s="37" t="s">
        <v>37</v>
      </c>
      <c r="R5" s="37" t="s">
        <v>38</v>
      </c>
      <c r="S5" s="37" t="s">
        <v>39</v>
      </c>
      <c r="T5" s="37" t="s">
        <v>40</v>
      </c>
      <c r="U5" s="37" t="s">
        <v>41</v>
      </c>
      <c r="V5" s="37" t="s">
        <v>42</v>
      </c>
      <c r="W5" s="33" t="s">
        <v>43</v>
      </c>
      <c r="Y5" s="39" t="s">
        <v>44</v>
      </c>
      <c r="Z5" s="39" t="s">
        <v>45</v>
      </c>
      <c r="AA5" s="39" t="s">
        <v>46</v>
      </c>
      <c r="AB5" s="37" t="s">
        <v>47</v>
      </c>
      <c r="AC5" s="37" t="s">
        <v>48</v>
      </c>
      <c r="AD5" s="40" t="s">
        <v>49</v>
      </c>
      <c r="AE5" s="39" t="s">
        <v>50</v>
      </c>
      <c r="AG5" s="41" t="s">
        <v>51</v>
      </c>
      <c r="AH5" s="39" t="s">
        <v>52</v>
      </c>
      <c r="AI5" s="42"/>
      <c r="AJ5" s="43" t="s">
        <v>53</v>
      </c>
      <c r="AK5" s="41" t="s">
        <v>54</v>
      </c>
      <c r="AL5" s="41" t="s">
        <v>55</v>
      </c>
      <c r="AM5" s="44" t="s">
        <v>56</v>
      </c>
      <c r="AN5" s="15"/>
      <c r="AO5" s="34" t="s">
        <v>31</v>
      </c>
      <c r="AP5" s="34" t="s">
        <v>57</v>
      </c>
      <c r="AQ5" s="35" t="s">
        <v>58</v>
      </c>
      <c r="AR5" s="34" t="s">
        <v>34</v>
      </c>
      <c r="AT5" s="37" t="s">
        <v>35</v>
      </c>
      <c r="AU5" s="37" t="s">
        <v>36</v>
      </c>
      <c r="AV5" s="37" t="s">
        <v>37</v>
      </c>
      <c r="AW5" s="37" t="s">
        <v>38</v>
      </c>
      <c r="AX5" s="37" t="s">
        <v>39</v>
      </c>
      <c r="AY5" s="37" t="s">
        <v>40</v>
      </c>
      <c r="AZ5" s="37" t="s">
        <v>41</v>
      </c>
      <c r="BA5" s="37" t="s">
        <v>42</v>
      </c>
      <c r="BB5" s="33" t="s">
        <v>43</v>
      </c>
      <c r="BD5" s="39" t="s">
        <v>44</v>
      </c>
      <c r="BE5" s="39" t="s">
        <v>45</v>
      </c>
      <c r="BF5" s="39" t="s">
        <v>46</v>
      </c>
      <c r="BG5" s="37" t="s">
        <v>47</v>
      </c>
      <c r="BH5" s="37" t="s">
        <v>48</v>
      </c>
      <c r="BI5" s="40" t="s">
        <v>49</v>
      </c>
      <c r="BJ5" s="39" t="s">
        <v>50</v>
      </c>
      <c r="BL5" s="41" t="s">
        <v>51</v>
      </c>
      <c r="BM5" s="39" t="s">
        <v>52</v>
      </c>
      <c r="BN5" s="42"/>
      <c r="BO5" s="43" t="s">
        <v>53</v>
      </c>
      <c r="BP5" s="41" t="s">
        <v>59</v>
      </c>
      <c r="BQ5" s="41" t="s">
        <v>55</v>
      </c>
      <c r="BR5" s="15"/>
      <c r="BS5" s="40" t="s">
        <v>44</v>
      </c>
      <c r="BT5" s="40" t="s">
        <v>45</v>
      </c>
      <c r="BU5" s="40" t="s">
        <v>46</v>
      </c>
      <c r="BV5" s="40" t="s">
        <v>47</v>
      </c>
      <c r="BW5" s="40" t="s">
        <v>48</v>
      </c>
      <c r="BX5" s="40" t="s">
        <v>49</v>
      </c>
      <c r="BY5" s="40" t="s">
        <v>50</v>
      </c>
      <c r="CA5" s="40" t="s">
        <v>35</v>
      </c>
      <c r="CB5" s="40" t="s">
        <v>36</v>
      </c>
      <c r="CC5" s="40" t="s">
        <v>37</v>
      </c>
      <c r="CD5" s="40" t="s">
        <v>38</v>
      </c>
      <c r="CE5" s="40" t="s">
        <v>39</v>
      </c>
      <c r="CF5" s="40" t="s">
        <v>40</v>
      </c>
      <c r="CG5" s="40" t="s">
        <v>41</v>
      </c>
      <c r="CH5" s="40" t="s">
        <v>42</v>
      </c>
      <c r="CI5" s="40" t="s">
        <v>43</v>
      </c>
      <c r="CJ5" s="40"/>
      <c r="CK5" s="40" t="s">
        <v>35</v>
      </c>
      <c r="CL5" s="40" t="s">
        <v>36</v>
      </c>
      <c r="CM5" s="40" t="s">
        <v>37</v>
      </c>
      <c r="CN5" s="40" t="s">
        <v>38</v>
      </c>
      <c r="CO5" s="40" t="s">
        <v>39</v>
      </c>
      <c r="CP5" s="40" t="s">
        <v>40</v>
      </c>
      <c r="CQ5" s="40" t="s">
        <v>41</v>
      </c>
      <c r="CR5" s="40" t="s">
        <v>42</v>
      </c>
      <c r="CS5" s="40" t="s">
        <v>43</v>
      </c>
      <c r="CT5" s="45" t="s">
        <v>60</v>
      </c>
      <c r="CU5" s="8"/>
      <c r="CV5" s="40" t="s">
        <v>51</v>
      </c>
      <c r="CW5" s="40" t="s">
        <v>52</v>
      </c>
      <c r="CX5" s="40"/>
      <c r="CY5" s="40" t="s">
        <v>53</v>
      </c>
      <c r="CZ5" s="40" t="s">
        <v>59</v>
      </c>
      <c r="DA5" s="40" t="s">
        <v>55</v>
      </c>
      <c r="DB5" s="32" t="s">
        <v>61</v>
      </c>
      <c r="DC5" s="32" t="s">
        <v>62</v>
      </c>
      <c r="DD5" s="32" t="s">
        <v>63</v>
      </c>
      <c r="DE5" s="32" t="s">
        <v>64</v>
      </c>
      <c r="DF5" s="32" t="s">
        <v>65</v>
      </c>
      <c r="DG5" s="32" t="s">
        <v>66</v>
      </c>
      <c r="DH5" s="15"/>
      <c r="DI5" s="46" t="s">
        <v>67</v>
      </c>
      <c r="DJ5" s="46" t="s">
        <v>68</v>
      </c>
      <c r="DK5" s="40" t="s">
        <v>35</v>
      </c>
      <c r="DL5" s="40" t="s">
        <v>36</v>
      </c>
      <c r="DM5" s="40" t="s">
        <v>37</v>
      </c>
      <c r="DN5" s="40" t="s">
        <v>38</v>
      </c>
      <c r="DO5" s="40" t="s">
        <v>39</v>
      </c>
      <c r="DP5" s="40" t="s">
        <v>40</v>
      </c>
      <c r="DQ5" s="40" t="s">
        <v>41</v>
      </c>
      <c r="DR5" s="40" t="s">
        <v>42</v>
      </c>
      <c r="DS5" s="33" t="s">
        <v>43</v>
      </c>
      <c r="DT5" s="33"/>
      <c r="DU5" s="47" t="s">
        <v>51</v>
      </c>
      <c r="DV5" s="48" t="s">
        <v>52</v>
      </c>
      <c r="DW5" s="49" t="s">
        <v>53</v>
      </c>
      <c r="DX5" s="47" t="s">
        <v>55</v>
      </c>
      <c r="DY5" s="46" t="s">
        <v>69</v>
      </c>
      <c r="DZ5" s="50"/>
      <c r="EC5" s="38" t="s">
        <v>70</v>
      </c>
      <c r="ED5" s="38" t="s">
        <v>71</v>
      </c>
      <c r="EE5" s="38" t="s">
        <v>72</v>
      </c>
      <c r="EF5" s="38" t="s">
        <v>73</v>
      </c>
      <c r="EH5" s="38" t="s">
        <v>71</v>
      </c>
      <c r="EI5" s="38" t="s">
        <v>72</v>
      </c>
      <c r="EJ5" s="38" t="s">
        <v>73</v>
      </c>
    </row>
    <row r="6" spans="2:141">
      <c r="M6" s="51"/>
      <c r="O6" s="12">
        <v>0.14000000000000001</v>
      </c>
      <c r="P6" s="12">
        <v>0.16</v>
      </c>
      <c r="Q6" s="12">
        <v>0.14000000000000001</v>
      </c>
      <c r="R6" s="12">
        <v>0.23</v>
      </c>
      <c r="S6" s="12">
        <v>0.09</v>
      </c>
      <c r="T6" s="12">
        <v>0.14000000000000001</v>
      </c>
      <c r="U6" s="12">
        <v>0.05</v>
      </c>
      <c r="V6" s="12">
        <v>0.05</v>
      </c>
      <c r="W6" s="52">
        <f>SUM(O6:V6)</f>
        <v>1</v>
      </c>
      <c r="Y6" s="53"/>
      <c r="Z6" s="53"/>
      <c r="AA6" s="53"/>
      <c r="AB6" s="53"/>
      <c r="AC6" s="53"/>
      <c r="AD6" s="53" t="s">
        <v>74</v>
      </c>
      <c r="AG6" s="53" t="s">
        <v>74</v>
      </c>
      <c r="AH6" s="53" t="s">
        <v>74</v>
      </c>
      <c r="AJ6" s="54" t="s">
        <v>74</v>
      </c>
      <c r="AK6" s="55"/>
      <c r="AL6" s="54" t="s">
        <v>74</v>
      </c>
      <c r="AO6" s="56"/>
      <c r="AQ6" s="1"/>
      <c r="AR6" s="51"/>
      <c r="AT6" s="12">
        <v>0.14000000000000001</v>
      </c>
      <c r="AU6" s="12">
        <v>0.16</v>
      </c>
      <c r="AV6" s="12">
        <v>0.14000000000000001</v>
      </c>
      <c r="AW6" s="12">
        <v>0.23</v>
      </c>
      <c r="AX6" s="12">
        <v>0.09</v>
      </c>
      <c r="AY6" s="12">
        <v>0.14000000000000001</v>
      </c>
      <c r="AZ6" s="12">
        <v>0.05</v>
      </c>
      <c r="BA6" s="12">
        <v>0.05</v>
      </c>
      <c r="BB6" s="57"/>
      <c r="BI6" s="53" t="s">
        <v>74</v>
      </c>
      <c r="BL6" s="53" t="s">
        <v>74</v>
      </c>
      <c r="BM6" s="53" t="s">
        <v>74</v>
      </c>
      <c r="BO6" s="54" t="s">
        <v>74</v>
      </c>
      <c r="BP6" s="55"/>
      <c r="BQ6" s="54" t="s">
        <v>74</v>
      </c>
      <c r="CA6" s="2" t="s">
        <v>75</v>
      </c>
      <c r="CB6" s="2" t="s">
        <v>75</v>
      </c>
      <c r="CC6" s="2" t="s">
        <v>75</v>
      </c>
      <c r="CD6" s="2" t="s">
        <v>75</v>
      </c>
      <c r="CE6" s="2" t="s">
        <v>75</v>
      </c>
      <c r="CF6" s="2" t="s">
        <v>75</v>
      </c>
      <c r="CG6" s="2" t="s">
        <v>75</v>
      </c>
      <c r="CH6" s="2" t="s">
        <v>75</v>
      </c>
      <c r="CI6" s="2" t="s">
        <v>75</v>
      </c>
      <c r="CK6" s="2" t="s">
        <v>75</v>
      </c>
      <c r="CL6" s="2" t="s">
        <v>75</v>
      </c>
      <c r="CM6" s="2" t="s">
        <v>75</v>
      </c>
      <c r="CN6" s="2" t="s">
        <v>75</v>
      </c>
      <c r="CO6" s="2" t="s">
        <v>75</v>
      </c>
      <c r="CP6" s="2" t="s">
        <v>75</v>
      </c>
      <c r="CQ6" s="2" t="s">
        <v>75</v>
      </c>
      <c r="CR6" s="2" t="s">
        <v>75</v>
      </c>
      <c r="CS6" s="2" t="s">
        <v>75</v>
      </c>
      <c r="CT6" s="2" t="s">
        <v>76</v>
      </c>
      <c r="CV6" s="2" t="s">
        <v>74</v>
      </c>
      <c r="CW6" s="2" t="s">
        <v>74</v>
      </c>
      <c r="CY6" s="2" t="s">
        <v>74</v>
      </c>
      <c r="DF6" s="3" t="s">
        <v>77</v>
      </c>
      <c r="DG6" s="58"/>
      <c r="DK6" s="3" t="s">
        <v>75</v>
      </c>
      <c r="DL6" s="3" t="s">
        <v>75</v>
      </c>
      <c r="DM6" s="3" t="s">
        <v>75</v>
      </c>
      <c r="DN6" s="3" t="s">
        <v>75</v>
      </c>
      <c r="DO6" s="3" t="s">
        <v>75</v>
      </c>
      <c r="DP6" s="3" t="s">
        <v>75</v>
      </c>
      <c r="DQ6" s="3" t="s">
        <v>75</v>
      </c>
      <c r="DR6" s="3" t="s">
        <v>75</v>
      </c>
      <c r="DS6" s="3" t="s">
        <v>75</v>
      </c>
      <c r="DT6" s="3"/>
      <c r="DU6" s="59" t="s">
        <v>74</v>
      </c>
      <c r="DV6" s="59" t="s">
        <v>74</v>
      </c>
      <c r="DW6" s="59" t="s">
        <v>74</v>
      </c>
      <c r="DX6" s="59" t="s">
        <v>74</v>
      </c>
      <c r="EC6" s="60"/>
      <c r="ED6" s="60"/>
      <c r="EE6" s="60"/>
      <c r="EF6" s="60"/>
    </row>
    <row r="7" spans="2:141" ht="12.75" hidden="1" customHeight="1">
      <c r="B7" s="1" t="s">
        <v>78</v>
      </c>
      <c r="C7" s="22" t="s">
        <v>79</v>
      </c>
      <c r="D7" s="22" t="s">
        <v>80</v>
      </c>
      <c r="E7" s="2" t="str">
        <f>VLOOKUP($C7,[1]Detail!$C:$AK,6,0)</f>
        <v>PMT5</v>
      </c>
      <c r="F7" s="2" t="str">
        <f>VLOOKUP($C7,[1]Detail!$C:$AK,7,0)</f>
        <v>TH</v>
      </c>
      <c r="G7" s="2" t="str">
        <f>VLOOKUP($C7,[1]Detail!$C:$AK,5,0)</f>
        <v>B</v>
      </c>
      <c r="J7" s="22" t="s">
        <v>81</v>
      </c>
      <c r="K7" s="23" t="s">
        <v>82</v>
      </c>
      <c r="L7" s="22" t="s">
        <v>83</v>
      </c>
      <c r="M7" s="51" t="str">
        <f t="shared" ref="M7:M70" si="0">TRIM(J7)&amp;"-"&amp;TRIM(K7)&amp;"-"&amp;TRIM(L7)</f>
        <v>JD8T-19G461-AAW</v>
      </c>
      <c r="O7" s="22">
        <v>1</v>
      </c>
      <c r="P7" s="22">
        <v>1</v>
      </c>
      <c r="Q7" s="22">
        <v>1</v>
      </c>
      <c r="R7" s="22">
        <v>1</v>
      </c>
      <c r="S7" s="22">
        <v>1</v>
      </c>
      <c r="T7" s="22">
        <v>1</v>
      </c>
      <c r="U7" s="22">
        <v>1</v>
      </c>
      <c r="V7" s="22">
        <v>1</v>
      </c>
      <c r="W7" s="2">
        <f t="shared" ref="W7:W42" si="1">SUMPRODUCT(O7:V7,$O$6:$V$6)</f>
        <v>1</v>
      </c>
      <c r="Y7" s="60">
        <v>-73.040000000000006</v>
      </c>
      <c r="Z7" s="60">
        <v>-0.7</v>
      </c>
      <c r="AA7" s="60">
        <v>-0.25</v>
      </c>
      <c r="AB7" s="60">
        <v>0</v>
      </c>
      <c r="AC7" s="60">
        <v>0</v>
      </c>
      <c r="AD7" s="8">
        <f t="shared" ref="AD7:AD38" si="2">SUM(Y7:AC7)</f>
        <v>-73.990000000000009</v>
      </c>
      <c r="AE7" s="2" t="s">
        <v>84</v>
      </c>
      <c r="AG7" s="61">
        <v>-768100</v>
      </c>
      <c r="AH7" s="61">
        <f>AG7</f>
        <v>-768100</v>
      </c>
      <c r="AI7" s="6"/>
      <c r="AJ7" s="61">
        <v>0</v>
      </c>
      <c r="AK7" s="61">
        <v>0</v>
      </c>
      <c r="AL7" s="61">
        <v>0</v>
      </c>
      <c r="AM7" s="22"/>
      <c r="AO7" s="22" t="s">
        <v>81</v>
      </c>
      <c r="AP7" s="23" t="s">
        <v>82</v>
      </c>
      <c r="AQ7" s="22" t="s">
        <v>83</v>
      </c>
      <c r="AR7" s="51" t="str">
        <f>TRIM(AO7)&amp;"-"&amp;TRIM(AP7)&amp;"-"&amp;TRIM(AQ7)</f>
        <v>JD8T-19G461-AAW</v>
      </c>
      <c r="AS7" s="3"/>
      <c r="AT7" s="22">
        <v>1</v>
      </c>
      <c r="AU7" s="22">
        <v>1</v>
      </c>
      <c r="AV7" s="22">
        <v>1</v>
      </c>
      <c r="AW7" s="22">
        <v>1</v>
      </c>
      <c r="AX7" s="22">
        <v>1</v>
      </c>
      <c r="AY7" s="22">
        <v>1</v>
      </c>
      <c r="AZ7" s="22">
        <v>1</v>
      </c>
      <c r="BA7" s="22">
        <v>1</v>
      </c>
      <c r="BB7" s="2">
        <f>SUMPRODUCT(AT7:BA7,$AT$6:$BA$6)</f>
        <v>1</v>
      </c>
      <c r="BD7" s="60">
        <v>-73.040000000000006</v>
      </c>
      <c r="BE7" s="60">
        <v>-0.7</v>
      </c>
      <c r="BF7" s="60">
        <v>-0.25</v>
      </c>
      <c r="BG7" s="60">
        <v>0</v>
      </c>
      <c r="BH7" s="60">
        <v>0</v>
      </c>
      <c r="BI7" s="8">
        <f>SUM(BD7:BH7)</f>
        <v>-73.990000000000009</v>
      </c>
      <c r="BJ7" s="2" t="s">
        <v>84</v>
      </c>
      <c r="BL7" s="61">
        <v>-768100</v>
      </c>
      <c r="BM7" s="61">
        <f>BL7</f>
        <v>-768100</v>
      </c>
      <c r="BO7" s="61">
        <v>0</v>
      </c>
      <c r="BP7" s="61">
        <v>0</v>
      </c>
      <c r="BQ7" s="61">
        <v>0</v>
      </c>
      <c r="BS7" s="61">
        <f t="shared" ref="BS7:BS42" si="3">SUM(Y7)-SUM(BD7)</f>
        <v>0</v>
      </c>
      <c r="BT7" s="61">
        <f t="shared" ref="BT7:BT42" si="4">SUM(Z7)-SUM(BE7)</f>
        <v>0</v>
      </c>
      <c r="BU7" s="61">
        <f t="shared" ref="BU7:BX42" si="5">SUM(AA7)-SUM(BF7)</f>
        <v>0</v>
      </c>
      <c r="BV7" s="61">
        <f t="shared" si="5"/>
        <v>0</v>
      </c>
      <c r="BW7" s="61">
        <f t="shared" si="5"/>
        <v>0</v>
      </c>
      <c r="BX7" s="61">
        <f t="shared" si="5"/>
        <v>0</v>
      </c>
      <c r="BY7" s="61" t="s">
        <v>84</v>
      </c>
      <c r="CA7" s="61">
        <f t="shared" ref="CA7:CH70" si="6">($Y7*O7-AT7*$BD7)/$C$2</f>
        <v>0</v>
      </c>
      <c r="CB7" s="61">
        <f t="shared" si="6"/>
        <v>0</v>
      </c>
      <c r="CC7" s="61">
        <f t="shared" si="6"/>
        <v>0</v>
      </c>
      <c r="CD7" s="61">
        <f t="shared" si="6"/>
        <v>0</v>
      </c>
      <c r="CE7" s="61">
        <f t="shared" si="6"/>
        <v>0</v>
      </c>
      <c r="CF7" s="61">
        <f t="shared" si="6"/>
        <v>0</v>
      </c>
      <c r="CG7" s="61">
        <f t="shared" si="6"/>
        <v>0</v>
      </c>
      <c r="CH7" s="61">
        <f t="shared" si="6"/>
        <v>0</v>
      </c>
      <c r="CI7" s="61">
        <f t="shared" ref="CI7:CI70" si="7">SUMPRODUCT(CA7:CH7,$O$6:$V$6)</f>
        <v>0</v>
      </c>
      <c r="CJ7" s="61"/>
      <c r="CK7" s="61">
        <f t="shared" ref="CK7:CR70" si="8">(O7*$AD7-AT7*$BI7)/$C$2</f>
        <v>0</v>
      </c>
      <c r="CL7" s="61">
        <f t="shared" si="8"/>
        <v>0</v>
      </c>
      <c r="CM7" s="61">
        <f t="shared" si="8"/>
        <v>0</v>
      </c>
      <c r="CN7" s="61">
        <f t="shared" si="8"/>
        <v>0</v>
      </c>
      <c r="CO7" s="61">
        <f t="shared" si="8"/>
        <v>0</v>
      </c>
      <c r="CP7" s="61">
        <f t="shared" si="8"/>
        <v>0</v>
      </c>
      <c r="CQ7" s="61">
        <f t="shared" si="8"/>
        <v>0</v>
      </c>
      <c r="CR7" s="61">
        <f t="shared" si="8"/>
        <v>0</v>
      </c>
      <c r="CS7" s="61">
        <f t="shared" ref="CS7:CS70" si="9">SUMPRODUCT(CK7:CR7,$O$6:$V$6)</f>
        <v>0</v>
      </c>
      <c r="CT7" s="61">
        <f t="shared" ref="CT7:CT70" si="10">CS7*$C$2</f>
        <v>0</v>
      </c>
      <c r="CV7" s="61">
        <f t="shared" ref="CV7:CV70" si="11">SUM(AG7)-SUM(BL7)</f>
        <v>0</v>
      </c>
      <c r="CW7" s="61">
        <f t="shared" ref="CW7:CW99" si="12">SUM(AH7)-SUM(BM7)</f>
        <v>0</v>
      </c>
      <c r="CX7" s="61"/>
      <c r="CY7" s="61">
        <f t="shared" ref="CY7:DA99" si="13">SUM(AJ7)-SUM(BO7)</f>
        <v>0</v>
      </c>
      <c r="CZ7" s="61">
        <f t="shared" si="13"/>
        <v>0</v>
      </c>
      <c r="DA7" s="61">
        <f t="shared" si="13"/>
        <v>0</v>
      </c>
      <c r="DB7" s="2" t="s">
        <v>85</v>
      </c>
      <c r="DC7" s="2" t="s">
        <v>86</v>
      </c>
      <c r="DD7" s="2" t="s">
        <v>87</v>
      </c>
      <c r="DE7" s="2" t="s">
        <v>88</v>
      </c>
      <c r="DF7" s="3" t="s">
        <v>86</v>
      </c>
      <c r="DG7" s="62">
        <v>42748</v>
      </c>
      <c r="EC7" s="60"/>
      <c r="ED7" s="60"/>
      <c r="EE7" s="60"/>
      <c r="EF7" s="60"/>
    </row>
    <row r="8" spans="2:141" ht="12.75" hidden="1" customHeight="1">
      <c r="B8" s="1" t="s">
        <v>89</v>
      </c>
      <c r="C8" s="22" t="s">
        <v>79</v>
      </c>
      <c r="D8" s="22" t="s">
        <v>80</v>
      </c>
      <c r="E8" s="2" t="str">
        <f>VLOOKUP($C8,[1]Detail!$C:$AK,6,0)</f>
        <v>PMT5</v>
      </c>
      <c r="F8" s="2" t="str">
        <f>VLOOKUP($C8,[1]Detail!$C:$AK,7,0)</f>
        <v>TH</v>
      </c>
      <c r="G8" s="2" t="str">
        <f>VLOOKUP($C8,[1]Detail!$C:$AK,5,0)</f>
        <v>B</v>
      </c>
      <c r="J8" s="22" t="s">
        <v>81</v>
      </c>
      <c r="K8" s="23" t="s">
        <v>82</v>
      </c>
      <c r="L8" s="22" t="s">
        <v>83</v>
      </c>
      <c r="M8" s="51" t="str">
        <f t="shared" si="0"/>
        <v>JD8T-19G461-AAW</v>
      </c>
      <c r="O8" s="22">
        <v>1</v>
      </c>
      <c r="P8" s="22">
        <v>1</v>
      </c>
      <c r="Q8" s="22">
        <v>1</v>
      </c>
      <c r="R8" s="22">
        <v>1</v>
      </c>
      <c r="S8" s="22">
        <v>1</v>
      </c>
      <c r="T8" s="22">
        <v>1</v>
      </c>
      <c r="U8" s="22">
        <v>1</v>
      </c>
      <c r="V8" s="22">
        <v>1</v>
      </c>
      <c r="W8" s="2">
        <f t="shared" si="1"/>
        <v>1</v>
      </c>
      <c r="Y8" s="60">
        <v>-73.040000000000006</v>
      </c>
      <c r="Z8" s="60">
        <v>-0.7</v>
      </c>
      <c r="AA8" s="60">
        <v>-0.25</v>
      </c>
      <c r="AB8" s="60">
        <v>0</v>
      </c>
      <c r="AC8" s="60">
        <v>0</v>
      </c>
      <c r="AD8" s="8">
        <f t="shared" si="2"/>
        <v>-73.990000000000009</v>
      </c>
      <c r="AE8" s="2" t="s">
        <v>84</v>
      </c>
      <c r="AG8" s="61">
        <v>-768100</v>
      </c>
      <c r="AH8" s="61">
        <f>AG8</f>
        <v>-768100</v>
      </c>
      <c r="AI8" s="6"/>
      <c r="AJ8" s="61">
        <v>0</v>
      </c>
      <c r="AK8" s="61">
        <v>0</v>
      </c>
      <c r="AL8" s="61">
        <v>0</v>
      </c>
      <c r="AM8" s="22"/>
      <c r="AO8" s="22" t="s">
        <v>81</v>
      </c>
      <c r="AP8" s="23" t="s">
        <v>82</v>
      </c>
      <c r="AQ8" s="22" t="s">
        <v>83</v>
      </c>
      <c r="AR8" s="51" t="s">
        <v>90</v>
      </c>
      <c r="AS8" s="3"/>
      <c r="AT8" s="22">
        <v>1</v>
      </c>
      <c r="AU8" s="22">
        <v>1</v>
      </c>
      <c r="AV8" s="22">
        <v>1</v>
      </c>
      <c r="AW8" s="22">
        <v>1</v>
      </c>
      <c r="AX8" s="22">
        <v>1</v>
      </c>
      <c r="AY8" s="22">
        <v>1</v>
      </c>
      <c r="AZ8" s="22">
        <v>1</v>
      </c>
      <c r="BA8" s="22">
        <v>1</v>
      </c>
      <c r="BB8" s="2">
        <v>1</v>
      </c>
      <c r="BD8" s="60">
        <v>-73.040000000000006</v>
      </c>
      <c r="BE8" s="60">
        <v>-0.7</v>
      </c>
      <c r="BF8" s="60">
        <v>-0.25</v>
      </c>
      <c r="BG8" s="60">
        <v>0</v>
      </c>
      <c r="BH8" s="60">
        <v>0</v>
      </c>
      <c r="BI8" s="8">
        <v>-73.990000000000009</v>
      </c>
      <c r="BJ8" s="2" t="s">
        <v>91</v>
      </c>
      <c r="BL8" s="61">
        <v>-768100</v>
      </c>
      <c r="BM8" s="61">
        <v>-768100</v>
      </c>
      <c r="BO8" s="61">
        <v>0</v>
      </c>
      <c r="BP8" s="61">
        <v>0</v>
      </c>
      <c r="BQ8" s="61">
        <v>0</v>
      </c>
      <c r="BS8" s="61">
        <f t="shared" si="3"/>
        <v>0</v>
      </c>
      <c r="BT8" s="61">
        <f t="shared" si="4"/>
        <v>0</v>
      </c>
      <c r="BU8" s="61">
        <f t="shared" si="5"/>
        <v>0</v>
      </c>
      <c r="BV8" s="61">
        <f t="shared" si="5"/>
        <v>0</v>
      </c>
      <c r="BW8" s="61">
        <f t="shared" si="5"/>
        <v>0</v>
      </c>
      <c r="BX8" s="61">
        <f t="shared" si="5"/>
        <v>0</v>
      </c>
      <c r="BY8" s="61" t="s">
        <v>84</v>
      </c>
      <c r="CA8" s="61">
        <f t="shared" si="6"/>
        <v>0</v>
      </c>
      <c r="CB8" s="61">
        <f t="shared" si="6"/>
        <v>0</v>
      </c>
      <c r="CC8" s="61">
        <f t="shared" si="6"/>
        <v>0</v>
      </c>
      <c r="CD8" s="61">
        <f t="shared" si="6"/>
        <v>0</v>
      </c>
      <c r="CE8" s="61">
        <f t="shared" si="6"/>
        <v>0</v>
      </c>
      <c r="CF8" s="61">
        <f t="shared" si="6"/>
        <v>0</v>
      </c>
      <c r="CG8" s="61">
        <f t="shared" si="6"/>
        <v>0</v>
      </c>
      <c r="CH8" s="61">
        <f t="shared" si="6"/>
        <v>0</v>
      </c>
      <c r="CI8" s="61">
        <f t="shared" si="7"/>
        <v>0</v>
      </c>
      <c r="CJ8" s="61"/>
      <c r="CK8" s="61">
        <f t="shared" si="8"/>
        <v>0</v>
      </c>
      <c r="CL8" s="61">
        <f t="shared" si="8"/>
        <v>0</v>
      </c>
      <c r="CM8" s="61">
        <f t="shared" si="8"/>
        <v>0</v>
      </c>
      <c r="CN8" s="61">
        <f t="shared" si="8"/>
        <v>0</v>
      </c>
      <c r="CO8" s="61">
        <f t="shared" si="8"/>
        <v>0</v>
      </c>
      <c r="CP8" s="61">
        <f t="shared" si="8"/>
        <v>0</v>
      </c>
      <c r="CQ8" s="61">
        <f t="shared" si="8"/>
        <v>0</v>
      </c>
      <c r="CR8" s="61">
        <f t="shared" si="8"/>
        <v>0</v>
      </c>
      <c r="CS8" s="61">
        <f t="shared" si="9"/>
        <v>0</v>
      </c>
      <c r="CT8" s="61">
        <f t="shared" si="10"/>
        <v>0</v>
      </c>
      <c r="CV8" s="61">
        <f t="shared" si="11"/>
        <v>0</v>
      </c>
      <c r="CW8" s="61">
        <f t="shared" si="12"/>
        <v>0</v>
      </c>
      <c r="CX8" s="61"/>
      <c r="CY8" s="61">
        <f t="shared" si="13"/>
        <v>0</v>
      </c>
      <c r="CZ8" s="61">
        <f t="shared" si="13"/>
        <v>0</v>
      </c>
      <c r="DA8" s="61">
        <f t="shared" si="13"/>
        <v>0</v>
      </c>
      <c r="DB8" s="2" t="s">
        <v>85</v>
      </c>
      <c r="DC8" s="2" t="s">
        <v>86</v>
      </c>
      <c r="DD8" s="2" t="s">
        <v>87</v>
      </c>
      <c r="DE8" s="2" t="s">
        <v>88</v>
      </c>
      <c r="DF8" s="3" t="s">
        <v>86</v>
      </c>
      <c r="DG8" s="62">
        <v>42974</v>
      </c>
      <c r="EC8" s="60"/>
      <c r="ED8" s="60"/>
      <c r="EE8" s="60"/>
      <c r="EF8" s="60"/>
    </row>
    <row r="9" spans="2:141" ht="12.75" hidden="1" customHeight="1">
      <c r="B9" s="1" t="s">
        <v>92</v>
      </c>
      <c r="C9" s="22" t="s">
        <v>79</v>
      </c>
      <c r="D9" s="22" t="s">
        <v>80</v>
      </c>
      <c r="E9" s="2" t="str">
        <f>VLOOKUP($C9,[1]Detail!$C:$AK,6,0)</f>
        <v>PMT5</v>
      </c>
      <c r="F9" s="2" t="str">
        <f>VLOOKUP($C9,[1]Detail!$C:$AK,7,0)</f>
        <v>TH</v>
      </c>
      <c r="G9" s="2" t="str">
        <f>VLOOKUP($C9,[1]Detail!$C:$AK,5,0)</f>
        <v>B</v>
      </c>
      <c r="J9" s="22" t="s">
        <v>81</v>
      </c>
      <c r="K9" s="23" t="s">
        <v>82</v>
      </c>
      <c r="L9" s="22" t="s">
        <v>93</v>
      </c>
      <c r="M9" s="51" t="str">
        <f t="shared" si="0"/>
        <v>JD8T-19G461-ABW</v>
      </c>
      <c r="O9" s="22">
        <v>1</v>
      </c>
      <c r="P9" s="22">
        <v>1</v>
      </c>
      <c r="Q9" s="22">
        <v>1</v>
      </c>
      <c r="R9" s="22">
        <v>1</v>
      </c>
      <c r="S9" s="22">
        <v>1</v>
      </c>
      <c r="T9" s="22">
        <v>1</v>
      </c>
      <c r="U9" s="22">
        <v>1</v>
      </c>
      <c r="V9" s="22">
        <v>1</v>
      </c>
      <c r="W9" s="2">
        <f t="shared" si="1"/>
        <v>1</v>
      </c>
      <c r="Y9" s="60">
        <f>-73.04-0.14</f>
        <v>-73.180000000000007</v>
      </c>
      <c r="Z9" s="60">
        <v>-0.7</v>
      </c>
      <c r="AA9" s="60">
        <v>-0.25</v>
      </c>
      <c r="AB9" s="60">
        <v>0</v>
      </c>
      <c r="AC9" s="60">
        <v>0</v>
      </c>
      <c r="AD9" s="8">
        <f t="shared" si="2"/>
        <v>-74.13000000000001</v>
      </c>
      <c r="AE9" s="2" t="s">
        <v>84</v>
      </c>
      <c r="AG9" s="61">
        <f>-768100-8000</f>
        <v>-776100</v>
      </c>
      <c r="AH9" s="61">
        <f>AG9</f>
        <v>-776100</v>
      </c>
      <c r="AI9" s="6"/>
      <c r="AJ9" s="61">
        <v>0</v>
      </c>
      <c r="AK9" s="61">
        <v>0</v>
      </c>
      <c r="AL9" s="61">
        <v>0</v>
      </c>
      <c r="AM9" s="22"/>
      <c r="AO9" s="22" t="s">
        <v>81</v>
      </c>
      <c r="AP9" s="23" t="s">
        <v>82</v>
      </c>
      <c r="AQ9" s="22" t="s">
        <v>83</v>
      </c>
      <c r="AR9" s="51" t="str">
        <f t="shared" ref="AR9:AR68" si="14">TRIM(AO9)&amp;"-"&amp;TRIM(AP9)&amp;"-"&amp;TRIM(AQ9)</f>
        <v>JD8T-19G461-AAW</v>
      </c>
      <c r="AS9" s="3"/>
      <c r="AT9" s="22">
        <v>1</v>
      </c>
      <c r="AU9" s="22">
        <v>1</v>
      </c>
      <c r="AV9" s="22">
        <v>1</v>
      </c>
      <c r="AW9" s="22">
        <v>1</v>
      </c>
      <c r="AX9" s="22">
        <v>1</v>
      </c>
      <c r="AY9" s="22">
        <v>1</v>
      </c>
      <c r="AZ9" s="22">
        <v>1</v>
      </c>
      <c r="BA9" s="22">
        <v>1</v>
      </c>
      <c r="BB9" s="2">
        <f>SUMPRODUCT(AT9:BA9,$O$6:$V$6)</f>
        <v>1</v>
      </c>
      <c r="BD9" s="60">
        <v>-73.040000000000006</v>
      </c>
      <c r="BE9" s="60">
        <v>-0.7</v>
      </c>
      <c r="BF9" s="60">
        <v>-0.25</v>
      </c>
      <c r="BG9" s="60">
        <v>0</v>
      </c>
      <c r="BH9" s="60">
        <v>0</v>
      </c>
      <c r="BI9" s="8">
        <f t="shared" ref="BI9:BI62" si="15">SUM(BD9:BH9)</f>
        <v>-73.990000000000009</v>
      </c>
      <c r="BJ9" s="2" t="s">
        <v>84</v>
      </c>
      <c r="BL9" s="61">
        <v>-768100</v>
      </c>
      <c r="BM9" s="61">
        <f>BL9</f>
        <v>-768100</v>
      </c>
      <c r="BN9" s="6"/>
      <c r="BO9" s="61">
        <v>0</v>
      </c>
      <c r="BP9" s="61">
        <v>0</v>
      </c>
      <c r="BQ9" s="61">
        <v>0</v>
      </c>
      <c r="BS9" s="61">
        <f t="shared" si="3"/>
        <v>-0.14000000000000057</v>
      </c>
      <c r="BT9" s="61">
        <f t="shared" si="4"/>
        <v>0</v>
      </c>
      <c r="BU9" s="61">
        <f t="shared" si="5"/>
        <v>0</v>
      </c>
      <c r="BV9" s="61">
        <f t="shared" si="5"/>
        <v>0</v>
      </c>
      <c r="BW9" s="61">
        <f t="shared" si="5"/>
        <v>0</v>
      </c>
      <c r="BX9" s="61">
        <f t="shared" si="5"/>
        <v>-0.14000000000000057</v>
      </c>
      <c r="BY9" s="61" t="s">
        <v>84</v>
      </c>
      <c r="CA9" s="61">
        <f t="shared" si="6"/>
        <v>-2.1062133293215071E-2</v>
      </c>
      <c r="CB9" s="61">
        <f t="shared" si="6"/>
        <v>-2.1062133293215071E-2</v>
      </c>
      <c r="CC9" s="61">
        <f t="shared" si="6"/>
        <v>-2.1062133293215071E-2</v>
      </c>
      <c r="CD9" s="61">
        <f t="shared" si="6"/>
        <v>-2.1062133293215071E-2</v>
      </c>
      <c r="CE9" s="61">
        <f t="shared" si="6"/>
        <v>-2.1062133293215071E-2</v>
      </c>
      <c r="CF9" s="61">
        <f t="shared" si="6"/>
        <v>-2.1062133293215071E-2</v>
      </c>
      <c r="CG9" s="61">
        <f t="shared" si="6"/>
        <v>-2.1062133293215071E-2</v>
      </c>
      <c r="CH9" s="61">
        <f t="shared" si="6"/>
        <v>-2.1062133293215071E-2</v>
      </c>
      <c r="CI9" s="61">
        <f t="shared" si="7"/>
        <v>-2.1062133293215074E-2</v>
      </c>
      <c r="CJ9" s="61"/>
      <c r="CK9" s="61">
        <f t="shared" si="8"/>
        <v>-2.1062133293215071E-2</v>
      </c>
      <c r="CL9" s="61">
        <f t="shared" si="8"/>
        <v>-2.1062133293215071E-2</v>
      </c>
      <c r="CM9" s="61">
        <f t="shared" si="8"/>
        <v>-2.1062133293215071E-2</v>
      </c>
      <c r="CN9" s="61">
        <f t="shared" si="8"/>
        <v>-2.1062133293215071E-2</v>
      </c>
      <c r="CO9" s="61">
        <f t="shared" si="8"/>
        <v>-2.1062133293215071E-2</v>
      </c>
      <c r="CP9" s="61">
        <f t="shared" si="8"/>
        <v>-2.1062133293215071E-2</v>
      </c>
      <c r="CQ9" s="61">
        <f t="shared" si="8"/>
        <v>-2.1062133293215071E-2</v>
      </c>
      <c r="CR9" s="61">
        <f t="shared" si="8"/>
        <v>-2.1062133293215071E-2</v>
      </c>
      <c r="CS9" s="61">
        <f t="shared" si="9"/>
        <v>-2.1062133293215074E-2</v>
      </c>
      <c r="CT9" s="63">
        <f t="shared" si="10"/>
        <v>-0.1400000000000006</v>
      </c>
      <c r="CV9" s="61">
        <f t="shared" si="11"/>
        <v>-8000</v>
      </c>
      <c r="CW9" s="61">
        <f t="shared" ref="CW9" si="16">SUM(AH9)-SUM(BM9)</f>
        <v>-8000</v>
      </c>
      <c r="CX9" s="61"/>
      <c r="CY9" s="61">
        <f t="shared" ref="CY9" si="17">SUM(AJ9)-SUM(BO9)</f>
        <v>0</v>
      </c>
      <c r="CZ9" s="61">
        <f t="shared" si="13"/>
        <v>0</v>
      </c>
      <c r="DA9" s="61">
        <f t="shared" si="13"/>
        <v>0</v>
      </c>
      <c r="DB9" s="2" t="s">
        <v>86</v>
      </c>
      <c r="DC9" s="2" t="s">
        <v>85</v>
      </c>
      <c r="DD9" s="2" t="s">
        <v>87</v>
      </c>
      <c r="DE9" s="2" t="s">
        <v>94</v>
      </c>
      <c r="DF9" s="3" t="s">
        <v>86</v>
      </c>
      <c r="DG9" s="62">
        <v>42974</v>
      </c>
      <c r="EC9" s="60" t="str">
        <f>VLOOKUP($M9,[1]Detail!$M:$BO,1,0)</f>
        <v>JD8T-19G461-ABW</v>
      </c>
      <c r="ED9" s="60">
        <f>VLOOKUP($M9,[1]Detail!$M:$BO,22,0)</f>
        <v>-74.13000000000001</v>
      </c>
      <c r="EE9" s="60">
        <f>VLOOKUP($M9,[1]Detail!$M:$BO,42,0)</f>
        <v>-776100</v>
      </c>
      <c r="EF9" s="60">
        <f>VLOOKUP($M9,[1]Detail!$M:$BO,45,0)</f>
        <v>0</v>
      </c>
      <c r="EH9" s="60">
        <f>ED9-AD9</f>
        <v>0</v>
      </c>
      <c r="EI9" s="60">
        <f>EE9-AG9</f>
        <v>0</v>
      </c>
      <c r="EJ9" s="60">
        <f>EF9-AJ9</f>
        <v>0</v>
      </c>
      <c r="EK9" s="60"/>
    </row>
    <row r="10" spans="2:141" ht="12.75" hidden="1" customHeight="1">
      <c r="B10" s="1" t="s">
        <v>95</v>
      </c>
      <c r="C10" s="22" t="s">
        <v>96</v>
      </c>
      <c r="D10" s="22" t="s">
        <v>97</v>
      </c>
      <c r="E10" s="2" t="str">
        <f>VLOOKUP($C10,[1]Detail!$C:$AK,6,0)</f>
        <v>PMT3</v>
      </c>
      <c r="F10" s="2" t="str">
        <f>VLOOKUP($C10,[1]Detail!$C:$AK,7,0)</f>
        <v>PF</v>
      </c>
      <c r="G10" s="2" t="str">
        <f>VLOOKUP($C10,[1]Detail!$C:$AK,5,0)</f>
        <v>J</v>
      </c>
      <c r="J10" s="22" t="s">
        <v>98</v>
      </c>
      <c r="K10" s="23" t="s">
        <v>99</v>
      </c>
      <c r="L10" s="22" t="s">
        <v>100</v>
      </c>
      <c r="M10" s="51" t="str">
        <f t="shared" si="0"/>
        <v>JD8C-3K155 -AA</v>
      </c>
      <c r="O10" s="22">
        <v>0</v>
      </c>
      <c r="P10" s="22">
        <v>2</v>
      </c>
      <c r="Q10" s="22">
        <v>0</v>
      </c>
      <c r="R10" s="22">
        <v>2</v>
      </c>
      <c r="S10" s="22">
        <v>0</v>
      </c>
      <c r="T10" s="22">
        <v>2</v>
      </c>
      <c r="U10" s="22">
        <v>2</v>
      </c>
      <c r="V10" s="22">
        <v>2</v>
      </c>
      <c r="W10" s="64">
        <f t="shared" si="1"/>
        <v>1.2600000000000002</v>
      </c>
      <c r="Y10" s="63">
        <v>-24.92</v>
      </c>
      <c r="Z10" s="63">
        <v>-0.35</v>
      </c>
      <c r="AA10" s="60">
        <v>0</v>
      </c>
      <c r="AB10" s="60">
        <v>0</v>
      </c>
      <c r="AC10" s="60">
        <v>0</v>
      </c>
      <c r="AD10" s="8">
        <f t="shared" si="2"/>
        <v>-25.270000000000003</v>
      </c>
      <c r="AE10" s="2" t="s">
        <v>84</v>
      </c>
      <c r="AG10" s="61">
        <v>-945000</v>
      </c>
      <c r="AH10" s="65">
        <v>-945000</v>
      </c>
      <c r="AI10" s="6"/>
      <c r="AJ10" s="61">
        <v>0</v>
      </c>
      <c r="AK10" s="61">
        <v>0</v>
      </c>
      <c r="AL10" s="61">
        <v>0</v>
      </c>
      <c r="AM10" s="22" t="s">
        <v>101</v>
      </c>
      <c r="AO10" s="22" t="s">
        <v>98</v>
      </c>
      <c r="AP10" s="23" t="s">
        <v>99</v>
      </c>
      <c r="AQ10" s="22" t="s">
        <v>100</v>
      </c>
      <c r="AR10" s="51" t="str">
        <f t="shared" si="14"/>
        <v>JD8C-3K155 -AA</v>
      </c>
      <c r="AS10" s="3"/>
      <c r="AT10" s="22">
        <v>0</v>
      </c>
      <c r="AU10" s="22">
        <v>2</v>
      </c>
      <c r="AV10" s="22">
        <v>0</v>
      </c>
      <c r="AW10" s="22">
        <v>2</v>
      </c>
      <c r="AX10" s="22">
        <v>0</v>
      </c>
      <c r="AY10" s="22">
        <v>2</v>
      </c>
      <c r="AZ10" s="22">
        <v>2</v>
      </c>
      <c r="BA10" s="22">
        <v>2</v>
      </c>
      <c r="BB10" s="2">
        <f t="shared" ref="BB10:BB15" si="18">SUMPRODUCT(AT10:BA10,$AT$6:$BA$6)</f>
        <v>1.2600000000000002</v>
      </c>
      <c r="BD10" s="63">
        <v>-24.09</v>
      </c>
      <c r="BE10" s="63">
        <v>-0.35</v>
      </c>
      <c r="BF10" s="60">
        <v>0</v>
      </c>
      <c r="BG10" s="60">
        <v>0</v>
      </c>
      <c r="BH10" s="60">
        <v>0</v>
      </c>
      <c r="BI10" s="8">
        <f t="shared" si="15"/>
        <v>-24.44</v>
      </c>
      <c r="BJ10" s="2" t="s">
        <v>84</v>
      </c>
      <c r="BL10" s="61">
        <v>0</v>
      </c>
      <c r="BM10" s="65">
        <v>0</v>
      </c>
      <c r="BO10" s="61">
        <v>0</v>
      </c>
      <c r="BP10" s="61">
        <v>0</v>
      </c>
      <c r="BQ10" s="61">
        <v>0</v>
      </c>
      <c r="BS10" s="61">
        <f t="shared" si="3"/>
        <v>-0.83000000000000185</v>
      </c>
      <c r="BT10" s="61">
        <f t="shared" si="4"/>
        <v>0</v>
      </c>
      <c r="BU10" s="61">
        <f t="shared" si="5"/>
        <v>0</v>
      </c>
      <c r="BV10" s="61">
        <f t="shared" si="5"/>
        <v>0</v>
      </c>
      <c r="BW10" s="61">
        <f t="shared" si="5"/>
        <v>0</v>
      </c>
      <c r="BX10" s="61">
        <f t="shared" si="5"/>
        <v>-0.83000000000000185</v>
      </c>
      <c r="BY10" s="61" t="s">
        <v>84</v>
      </c>
      <c r="CA10" s="61">
        <f t="shared" si="6"/>
        <v>0</v>
      </c>
      <c r="CB10" s="61">
        <f t="shared" si="6"/>
        <v>-0.24973672333383537</v>
      </c>
      <c r="CC10" s="61">
        <f t="shared" si="6"/>
        <v>0</v>
      </c>
      <c r="CD10" s="61">
        <f t="shared" si="6"/>
        <v>-0.24973672333383537</v>
      </c>
      <c r="CE10" s="61">
        <f t="shared" si="6"/>
        <v>0</v>
      </c>
      <c r="CF10" s="61">
        <f t="shared" si="6"/>
        <v>-0.24973672333383537</v>
      </c>
      <c r="CG10" s="61">
        <f t="shared" si="6"/>
        <v>-0.24973672333383537</v>
      </c>
      <c r="CH10" s="61">
        <f t="shared" si="6"/>
        <v>-0.24973672333383537</v>
      </c>
      <c r="CI10" s="61">
        <f t="shared" si="7"/>
        <v>-0.15733413570031629</v>
      </c>
      <c r="CJ10" s="61"/>
      <c r="CK10" s="61">
        <f t="shared" si="8"/>
        <v>0</v>
      </c>
      <c r="CL10" s="61">
        <f t="shared" si="8"/>
        <v>-0.24973672333383537</v>
      </c>
      <c r="CM10" s="61">
        <f t="shared" si="8"/>
        <v>0</v>
      </c>
      <c r="CN10" s="61">
        <f t="shared" si="8"/>
        <v>-0.24973672333383537</v>
      </c>
      <c r="CO10" s="61">
        <f t="shared" si="8"/>
        <v>0</v>
      </c>
      <c r="CP10" s="61">
        <f t="shared" si="8"/>
        <v>-0.24973672333383537</v>
      </c>
      <c r="CQ10" s="61">
        <f t="shared" si="8"/>
        <v>-0.24973672333383537</v>
      </c>
      <c r="CR10" s="61">
        <f t="shared" si="8"/>
        <v>-0.24973672333383537</v>
      </c>
      <c r="CS10" s="61">
        <f t="shared" si="9"/>
        <v>-0.15733413570031629</v>
      </c>
      <c r="CT10" s="61">
        <f t="shared" si="10"/>
        <v>-1.0458000000000025</v>
      </c>
      <c r="CV10" s="61">
        <f t="shared" si="11"/>
        <v>-945000</v>
      </c>
      <c r="CW10" s="61">
        <f t="shared" si="12"/>
        <v>-945000</v>
      </c>
      <c r="CX10" s="61"/>
      <c r="CY10" s="61">
        <f t="shared" si="13"/>
        <v>0</v>
      </c>
      <c r="CZ10" s="61">
        <f t="shared" si="13"/>
        <v>0</v>
      </c>
      <c r="DA10" s="61">
        <f t="shared" si="13"/>
        <v>0</v>
      </c>
      <c r="DB10" s="2" t="s">
        <v>85</v>
      </c>
      <c r="DC10" s="2" t="s">
        <v>86</v>
      </c>
      <c r="DD10" s="2" t="s">
        <v>87</v>
      </c>
      <c r="DE10" s="2" t="s">
        <v>88</v>
      </c>
      <c r="DF10" s="3" t="s">
        <v>102</v>
      </c>
      <c r="DG10" s="62">
        <v>42757</v>
      </c>
      <c r="EC10" s="60"/>
      <c r="ED10" s="60"/>
      <c r="EE10" s="60"/>
      <c r="EF10" s="60"/>
      <c r="EH10" s="60"/>
      <c r="EI10" s="60"/>
      <c r="EJ10" s="60"/>
      <c r="EK10" s="60"/>
    </row>
    <row r="11" spans="2:141" ht="12.75" hidden="1" customHeight="1">
      <c r="B11" s="23" t="s">
        <v>103</v>
      </c>
      <c r="C11" s="22" t="s">
        <v>96</v>
      </c>
      <c r="D11" s="22" t="s">
        <v>97</v>
      </c>
      <c r="E11" s="2" t="str">
        <f>VLOOKUP($C11,[1]Detail!$C:$AK,6,0)</f>
        <v>PMT3</v>
      </c>
      <c r="F11" s="2" t="str">
        <f>VLOOKUP($C11,[1]Detail!$C:$AK,7,0)</f>
        <v>PF</v>
      </c>
      <c r="G11" s="2" t="str">
        <f>VLOOKUP($C11,[1]Detail!$C:$AK,5,0)</f>
        <v>J</v>
      </c>
      <c r="J11" s="66" t="s">
        <v>104</v>
      </c>
      <c r="K11" s="23" t="s">
        <v>99</v>
      </c>
      <c r="L11" s="66" t="s">
        <v>105</v>
      </c>
      <c r="M11" s="51" t="str">
        <f t="shared" si="0"/>
        <v>CV61-3K155 -B1B</v>
      </c>
      <c r="O11" s="22">
        <v>0</v>
      </c>
      <c r="P11" s="22">
        <v>2</v>
      </c>
      <c r="Q11" s="22">
        <v>0</v>
      </c>
      <c r="R11" s="22">
        <v>2</v>
      </c>
      <c r="S11" s="22">
        <v>0</v>
      </c>
      <c r="T11" s="22">
        <v>2</v>
      </c>
      <c r="U11" s="22">
        <v>2</v>
      </c>
      <c r="V11" s="22">
        <v>2</v>
      </c>
      <c r="W11" s="64">
        <f t="shared" si="1"/>
        <v>1.2600000000000002</v>
      </c>
      <c r="Y11" s="63">
        <f>-24.92+4.11</f>
        <v>-20.810000000000002</v>
      </c>
      <c r="Z11" s="63">
        <v>-0.35</v>
      </c>
      <c r="AA11" s="60">
        <v>0</v>
      </c>
      <c r="AB11" s="60">
        <v>0</v>
      </c>
      <c r="AC11" s="60">
        <v>0</v>
      </c>
      <c r="AD11" s="8">
        <f t="shared" si="2"/>
        <v>-21.160000000000004</v>
      </c>
      <c r="AE11" s="2" t="s">
        <v>84</v>
      </c>
      <c r="AG11" s="61">
        <v>-945000</v>
      </c>
      <c r="AH11" s="65">
        <v>-945000</v>
      </c>
      <c r="AI11" s="6"/>
      <c r="AJ11" s="61">
        <v>0</v>
      </c>
      <c r="AK11" s="61">
        <v>0</v>
      </c>
      <c r="AL11" s="61">
        <v>0</v>
      </c>
      <c r="AM11" s="22"/>
      <c r="AO11" s="22" t="s">
        <v>98</v>
      </c>
      <c r="AP11" s="23" t="s">
        <v>99</v>
      </c>
      <c r="AQ11" s="22" t="s">
        <v>100</v>
      </c>
      <c r="AR11" s="51" t="str">
        <f t="shared" si="14"/>
        <v>JD8C-3K155 -AA</v>
      </c>
      <c r="AS11" s="3"/>
      <c r="AT11" s="22">
        <v>0</v>
      </c>
      <c r="AU11" s="22">
        <v>2</v>
      </c>
      <c r="AV11" s="22">
        <v>0</v>
      </c>
      <c r="AW11" s="22">
        <v>2</v>
      </c>
      <c r="AX11" s="22">
        <v>0</v>
      </c>
      <c r="AY11" s="22">
        <v>2</v>
      </c>
      <c r="AZ11" s="22">
        <v>2</v>
      </c>
      <c r="BA11" s="22">
        <v>2</v>
      </c>
      <c r="BB11" s="2">
        <f t="shared" si="18"/>
        <v>1.2600000000000002</v>
      </c>
      <c r="BD11" s="63">
        <v>-24.92</v>
      </c>
      <c r="BE11" s="63">
        <v>-0.35</v>
      </c>
      <c r="BF11" s="60">
        <v>0</v>
      </c>
      <c r="BG11" s="60">
        <v>0</v>
      </c>
      <c r="BH11" s="60">
        <v>0</v>
      </c>
      <c r="BI11" s="8">
        <f t="shared" si="15"/>
        <v>-25.270000000000003</v>
      </c>
      <c r="BJ11" s="2" t="s">
        <v>84</v>
      </c>
      <c r="BL11" s="61">
        <v>-945000</v>
      </c>
      <c r="BM11" s="65">
        <v>-945000</v>
      </c>
      <c r="BO11" s="61">
        <v>0</v>
      </c>
      <c r="BP11" s="61">
        <v>0</v>
      </c>
      <c r="BQ11" s="61">
        <v>0</v>
      </c>
      <c r="BS11" s="61">
        <f t="shared" si="3"/>
        <v>4.1099999999999994</v>
      </c>
      <c r="BT11" s="61">
        <f t="shared" si="4"/>
        <v>0</v>
      </c>
      <c r="BU11" s="61">
        <f t="shared" si="5"/>
        <v>0</v>
      </c>
      <c r="BV11" s="61">
        <f t="shared" si="5"/>
        <v>0</v>
      </c>
      <c r="BW11" s="61">
        <f t="shared" si="5"/>
        <v>0</v>
      </c>
      <c r="BX11" s="61">
        <f t="shared" si="5"/>
        <v>4.1099999999999994</v>
      </c>
      <c r="BY11" s="61" t="s">
        <v>84</v>
      </c>
      <c r="CA11" s="61">
        <f t="shared" si="6"/>
        <v>0</v>
      </c>
      <c r="CB11" s="61">
        <f t="shared" si="6"/>
        <v>1.2366481119301937</v>
      </c>
      <c r="CC11" s="61">
        <f t="shared" si="6"/>
        <v>0</v>
      </c>
      <c r="CD11" s="61">
        <f t="shared" si="6"/>
        <v>1.2366481119301937</v>
      </c>
      <c r="CE11" s="61">
        <f t="shared" si="6"/>
        <v>0</v>
      </c>
      <c r="CF11" s="61">
        <f t="shared" si="6"/>
        <v>1.2366481119301937</v>
      </c>
      <c r="CG11" s="61">
        <f t="shared" si="6"/>
        <v>1.2366481119301937</v>
      </c>
      <c r="CH11" s="61">
        <f t="shared" si="6"/>
        <v>1.2366481119301937</v>
      </c>
      <c r="CI11" s="61">
        <f t="shared" si="7"/>
        <v>0.77908831051602212</v>
      </c>
      <c r="CJ11" s="61"/>
      <c r="CK11" s="61">
        <f t="shared" si="8"/>
        <v>0</v>
      </c>
      <c r="CL11" s="61">
        <f t="shared" si="8"/>
        <v>1.2366481119301937</v>
      </c>
      <c r="CM11" s="61">
        <f t="shared" si="8"/>
        <v>0</v>
      </c>
      <c r="CN11" s="61">
        <f t="shared" si="8"/>
        <v>1.2366481119301937</v>
      </c>
      <c r="CO11" s="61">
        <f t="shared" si="8"/>
        <v>0</v>
      </c>
      <c r="CP11" s="61">
        <f t="shared" si="8"/>
        <v>1.2366481119301937</v>
      </c>
      <c r="CQ11" s="61">
        <f t="shared" si="8"/>
        <v>1.2366481119301937</v>
      </c>
      <c r="CR11" s="61">
        <f t="shared" si="8"/>
        <v>1.2366481119301937</v>
      </c>
      <c r="CS11" s="61">
        <f t="shared" si="9"/>
        <v>0.77908831051602212</v>
      </c>
      <c r="CT11" s="61">
        <f t="shared" si="10"/>
        <v>5.1785999999999994</v>
      </c>
      <c r="CV11" s="61">
        <f t="shared" si="11"/>
        <v>0</v>
      </c>
      <c r="CW11" s="61">
        <f t="shared" ref="CW11" si="19">SUM(AH11)-SUM(BM11)</f>
        <v>0</v>
      </c>
      <c r="CX11" s="61"/>
      <c r="CY11" s="61">
        <f t="shared" ref="CY11" si="20">SUM(AJ11)-SUM(BO11)</f>
        <v>0</v>
      </c>
      <c r="CZ11" s="61">
        <f t="shared" si="13"/>
        <v>0</v>
      </c>
      <c r="DA11" s="61">
        <f t="shared" si="13"/>
        <v>0</v>
      </c>
      <c r="DB11" s="2" t="s">
        <v>86</v>
      </c>
      <c r="DC11" s="2" t="s">
        <v>85</v>
      </c>
      <c r="DD11" s="2" t="s">
        <v>87</v>
      </c>
      <c r="DE11" s="2" t="s">
        <v>106</v>
      </c>
      <c r="DF11" s="3" t="s">
        <v>86</v>
      </c>
      <c r="DG11" s="62">
        <v>43172</v>
      </c>
      <c r="EC11" s="60" t="str">
        <f>VLOOKUP($M11,[1]Detail!$M:$BO,1,0)</f>
        <v>CV61-3K155 -B1B</v>
      </c>
      <c r="ED11" s="60">
        <f>VLOOKUP($M11,[1]Detail!$M:$BO,22,0)</f>
        <v>-21.160000000000004</v>
      </c>
      <c r="EE11" s="60">
        <f>VLOOKUP($M11,[1]Detail!$M:$BO,42,0)</f>
        <v>-945000</v>
      </c>
      <c r="EF11" s="60">
        <f>VLOOKUP($M11,[1]Detail!$M:$BO,45,0)</f>
        <v>0</v>
      </c>
      <c r="EH11" s="60">
        <f>ED11-AD11</f>
        <v>0</v>
      </c>
      <c r="EI11" s="60">
        <f>EE11-AG11</f>
        <v>0</v>
      </c>
      <c r="EJ11" s="60">
        <f>EF11-AJ11</f>
        <v>0</v>
      </c>
      <c r="EK11" s="60"/>
    </row>
    <row r="12" spans="2:141" ht="12.75" hidden="1" customHeight="1">
      <c r="B12" s="1" t="s">
        <v>107</v>
      </c>
      <c r="C12" s="22" t="s">
        <v>108</v>
      </c>
      <c r="D12" s="22" t="s">
        <v>109</v>
      </c>
      <c r="E12" s="2" t="str">
        <f>VLOOKUP($C12,[1]Detail!$C:$AK,6,0)</f>
        <v>PMT5</v>
      </c>
      <c r="F12" s="2" t="str">
        <f>VLOOKUP($C12,[1]Detail!$C:$AK,7,0)</f>
        <v>TH</v>
      </c>
      <c r="G12" s="2" t="str">
        <f>VLOOKUP($C12,[1]Detail!$C:$AK,5,0)</f>
        <v>B</v>
      </c>
      <c r="J12" s="22" t="s">
        <v>110</v>
      </c>
      <c r="K12" s="23">
        <v>19980</v>
      </c>
      <c r="L12" s="22" t="s">
        <v>111</v>
      </c>
      <c r="M12" s="51" t="str">
        <f t="shared" si="0"/>
        <v>JD8T-19980-BA</v>
      </c>
      <c r="O12" s="22">
        <v>1</v>
      </c>
      <c r="P12" s="22">
        <v>1</v>
      </c>
      <c r="Q12" s="22">
        <v>1</v>
      </c>
      <c r="R12" s="22">
        <v>1</v>
      </c>
      <c r="S12" s="22">
        <v>0</v>
      </c>
      <c r="T12" s="22">
        <v>0</v>
      </c>
      <c r="U12" s="22">
        <v>0</v>
      </c>
      <c r="V12" s="22">
        <v>0</v>
      </c>
      <c r="W12" s="2">
        <f t="shared" si="1"/>
        <v>0.67</v>
      </c>
      <c r="Y12" s="60">
        <v>-231.12</v>
      </c>
      <c r="Z12" s="60">
        <v>-2.8</v>
      </c>
      <c r="AA12" s="60">
        <v>-5.65</v>
      </c>
      <c r="AB12" s="60">
        <v>-5.21</v>
      </c>
      <c r="AC12" s="60">
        <f>-20.1-AB12</f>
        <v>-14.89</v>
      </c>
      <c r="AD12" s="8">
        <f t="shared" si="2"/>
        <v>-259.67</v>
      </c>
      <c r="AE12" s="2" t="s">
        <v>84</v>
      </c>
      <c r="AG12" s="61">
        <v>-2438000</v>
      </c>
      <c r="AH12" s="61">
        <v>-2438000</v>
      </c>
      <c r="AI12" s="6"/>
      <c r="AJ12" s="61">
        <v>-5735195</v>
      </c>
      <c r="AK12" s="61">
        <v>381437</v>
      </c>
      <c r="AL12" s="61"/>
      <c r="AM12" s="22"/>
      <c r="AO12" s="22" t="s">
        <v>110</v>
      </c>
      <c r="AP12" s="23">
        <v>19980</v>
      </c>
      <c r="AQ12" s="22" t="s">
        <v>111</v>
      </c>
      <c r="AR12" s="51" t="str">
        <f t="shared" si="14"/>
        <v>JD8T-19980-BA</v>
      </c>
      <c r="AS12" s="3"/>
      <c r="AT12" s="22">
        <v>1</v>
      </c>
      <c r="AU12" s="22">
        <v>1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">
        <f t="shared" si="18"/>
        <v>0.30000000000000004</v>
      </c>
      <c r="BD12" s="60">
        <v>-231.12</v>
      </c>
      <c r="BE12" s="60">
        <v>-2.8</v>
      </c>
      <c r="BF12" s="60">
        <v>-5.65</v>
      </c>
      <c r="BG12" s="60">
        <v>-5.21</v>
      </c>
      <c r="BH12" s="60">
        <f>-19.47-BG12</f>
        <v>-14.259999999999998</v>
      </c>
      <c r="BI12" s="8">
        <f t="shared" si="15"/>
        <v>-259.04000000000002</v>
      </c>
      <c r="BJ12" s="2" t="s">
        <v>84</v>
      </c>
      <c r="BL12" s="61">
        <v>-2438000</v>
      </c>
      <c r="BM12" s="61">
        <v>-2438000</v>
      </c>
      <c r="BO12" s="61">
        <v>-2788000</v>
      </c>
      <c r="BP12" s="61">
        <f>569838*BB12</f>
        <v>170951.40000000002</v>
      </c>
      <c r="BQ12" s="61"/>
      <c r="BS12" s="61">
        <f t="shared" si="3"/>
        <v>0</v>
      </c>
      <c r="BT12" s="61">
        <f t="shared" si="4"/>
        <v>0</v>
      </c>
      <c r="BU12" s="61">
        <f t="shared" si="5"/>
        <v>0</v>
      </c>
      <c r="BV12" s="61">
        <f t="shared" si="5"/>
        <v>0</v>
      </c>
      <c r="BW12" s="61">
        <f t="shared" si="5"/>
        <v>-0.63000000000000256</v>
      </c>
      <c r="BX12" s="61">
        <f t="shared" si="5"/>
        <v>-0.62999999999999545</v>
      </c>
      <c r="BY12" s="61" t="s">
        <v>84</v>
      </c>
      <c r="CA12" s="61">
        <f t="shared" si="6"/>
        <v>0</v>
      </c>
      <c r="CB12" s="61">
        <f t="shared" si="6"/>
        <v>0</v>
      </c>
      <c r="CC12" s="61">
        <f t="shared" si="6"/>
        <v>-34.77057319091319</v>
      </c>
      <c r="CD12" s="61">
        <f t="shared" si="6"/>
        <v>-34.77057319091319</v>
      </c>
      <c r="CE12" s="61">
        <f t="shared" si="6"/>
        <v>0</v>
      </c>
      <c r="CF12" s="61">
        <f t="shared" si="6"/>
        <v>0</v>
      </c>
      <c r="CG12" s="61">
        <f t="shared" si="6"/>
        <v>0</v>
      </c>
      <c r="CH12" s="61">
        <f t="shared" si="6"/>
        <v>0</v>
      </c>
      <c r="CI12" s="61">
        <f t="shared" si="7"/>
        <v>-12.865112080637882</v>
      </c>
      <c r="CJ12" s="61"/>
      <c r="CK12" s="61">
        <f t="shared" si="8"/>
        <v>-9.4779599819466737E-2</v>
      </c>
      <c r="CL12" s="61">
        <f t="shared" si="8"/>
        <v>-9.4779599819466737E-2</v>
      </c>
      <c r="CM12" s="61">
        <f t="shared" si="8"/>
        <v>-39.065743944636679</v>
      </c>
      <c r="CN12" s="61">
        <f t="shared" si="8"/>
        <v>-39.065743944636679</v>
      </c>
      <c r="CO12" s="61">
        <f t="shared" si="8"/>
        <v>0</v>
      </c>
      <c r="CP12" s="61">
        <f t="shared" si="8"/>
        <v>0</v>
      </c>
      <c r="CQ12" s="61">
        <f t="shared" si="8"/>
        <v>0</v>
      </c>
      <c r="CR12" s="61">
        <f t="shared" si="8"/>
        <v>0</v>
      </c>
      <c r="CS12" s="61">
        <f t="shared" si="9"/>
        <v>-14.482759139461413</v>
      </c>
      <c r="CT12" s="61">
        <f t="shared" si="10"/>
        <v>-96.266900000000021</v>
      </c>
      <c r="CV12" s="61">
        <f t="shared" si="11"/>
        <v>0</v>
      </c>
      <c r="CW12" s="61">
        <f t="shared" si="12"/>
        <v>0</v>
      </c>
      <c r="CX12" s="61"/>
      <c r="CY12" s="61">
        <f t="shared" si="13"/>
        <v>-2947195</v>
      </c>
      <c r="CZ12" s="61">
        <f t="shared" si="13"/>
        <v>210485.59999999998</v>
      </c>
      <c r="DA12" s="61">
        <f t="shared" si="13"/>
        <v>0</v>
      </c>
      <c r="DB12" s="2" t="s">
        <v>85</v>
      </c>
      <c r="DC12" s="2" t="s">
        <v>86</v>
      </c>
      <c r="DD12" s="2" t="s">
        <v>87</v>
      </c>
      <c r="DE12" s="2" t="s">
        <v>88</v>
      </c>
      <c r="DF12" s="3" t="s">
        <v>86</v>
      </c>
      <c r="DG12" s="62">
        <v>42752</v>
      </c>
      <c r="EC12" s="60"/>
      <c r="ED12" s="60"/>
      <c r="EE12" s="60"/>
      <c r="EF12" s="60"/>
    </row>
    <row r="13" spans="2:141" ht="12.75" hidden="1" customHeight="1">
      <c r="B13" s="1" t="s">
        <v>107</v>
      </c>
      <c r="C13" s="22" t="s">
        <v>108</v>
      </c>
      <c r="D13" s="22" t="s">
        <v>112</v>
      </c>
      <c r="E13" s="2" t="str">
        <f>VLOOKUP($C13,[1]Detail!$C:$AK,6,0)</f>
        <v>PMT5</v>
      </c>
      <c r="F13" s="2" t="str">
        <f>VLOOKUP($C13,[1]Detail!$C:$AK,7,0)</f>
        <v>TH</v>
      </c>
      <c r="G13" s="2" t="str">
        <f>VLOOKUP($C13,[1]Detail!$C:$AK,5,0)</f>
        <v>B</v>
      </c>
      <c r="J13" s="22" t="s">
        <v>110</v>
      </c>
      <c r="K13" s="23" t="s">
        <v>103</v>
      </c>
      <c r="L13" s="22" t="s">
        <v>111</v>
      </c>
      <c r="M13" s="51" t="str">
        <f t="shared" si="0"/>
        <v>JD8T-18C612-BA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1</v>
      </c>
      <c r="U13" s="22">
        <v>0</v>
      </c>
      <c r="V13" s="22">
        <v>0</v>
      </c>
      <c r="W13" s="2">
        <f t="shared" si="1"/>
        <v>0.23</v>
      </c>
      <c r="Y13" s="60">
        <v>-253.12</v>
      </c>
      <c r="Z13" s="60">
        <v>-2.8</v>
      </c>
      <c r="AA13" s="60">
        <v>-5.65</v>
      </c>
      <c r="AB13" s="60">
        <v>-9.02</v>
      </c>
      <c r="AC13" s="60">
        <f>-23.91-AB13</f>
        <v>-14.89</v>
      </c>
      <c r="AD13" s="8">
        <f t="shared" si="2"/>
        <v>-285.47999999999996</v>
      </c>
      <c r="AE13" s="2" t="s">
        <v>84</v>
      </c>
      <c r="AG13" s="61">
        <v>-562000</v>
      </c>
      <c r="AH13" s="61">
        <v>-562000</v>
      </c>
      <c r="AI13" s="6"/>
      <c r="AJ13" s="61">
        <v>-2824805</v>
      </c>
      <c r="AK13" s="61">
        <v>187871</v>
      </c>
      <c r="AL13" s="61"/>
      <c r="AM13" s="22"/>
      <c r="AO13" s="22" t="s">
        <v>110</v>
      </c>
      <c r="AP13" s="23" t="s">
        <v>103</v>
      </c>
      <c r="AQ13" s="22" t="s">
        <v>111</v>
      </c>
      <c r="AR13" s="51" t="str">
        <f t="shared" si="14"/>
        <v>JD8T-18C612-BA</v>
      </c>
      <c r="AS13" s="3"/>
      <c r="AT13" s="22">
        <v>0</v>
      </c>
      <c r="AU13" s="22">
        <v>0</v>
      </c>
      <c r="AV13" s="22">
        <v>0</v>
      </c>
      <c r="AW13" s="22">
        <v>0</v>
      </c>
      <c r="AX13" s="22">
        <v>1</v>
      </c>
      <c r="AY13" s="22">
        <v>1</v>
      </c>
      <c r="AZ13" s="22">
        <v>0</v>
      </c>
      <c r="BA13" s="22">
        <v>0</v>
      </c>
      <c r="BB13" s="2">
        <f t="shared" si="18"/>
        <v>0.23</v>
      </c>
      <c r="BD13" s="60">
        <v>-252.59</v>
      </c>
      <c r="BE13" s="60">
        <v>-2.8</v>
      </c>
      <c r="BF13" s="60">
        <v>-5.65</v>
      </c>
      <c r="BG13" s="60">
        <v>-9.02</v>
      </c>
      <c r="BH13" s="60">
        <f>-23.28-BG13</f>
        <v>-14.260000000000002</v>
      </c>
      <c r="BI13" s="8">
        <f t="shared" si="15"/>
        <v>-284.32</v>
      </c>
      <c r="BJ13" s="2" t="s">
        <v>84</v>
      </c>
      <c r="BL13" s="61">
        <v>-562000</v>
      </c>
      <c r="BM13" s="61">
        <v>-562000</v>
      </c>
      <c r="BO13" s="61">
        <v>-5412000</v>
      </c>
      <c r="BP13" s="61">
        <f>569838*SUM(BB13:BB15)</f>
        <v>398886.60000000003</v>
      </c>
      <c r="BQ13" s="61"/>
      <c r="BS13" s="61">
        <f t="shared" si="3"/>
        <v>-0.53000000000000114</v>
      </c>
      <c r="BT13" s="61">
        <f t="shared" si="4"/>
        <v>0</v>
      </c>
      <c r="BU13" s="61">
        <f t="shared" si="5"/>
        <v>0</v>
      </c>
      <c r="BV13" s="61">
        <f t="shared" si="5"/>
        <v>0</v>
      </c>
      <c r="BW13" s="61">
        <f t="shared" si="5"/>
        <v>-0.62999999999999901</v>
      </c>
      <c r="BX13" s="61">
        <f t="shared" si="5"/>
        <v>-1.1599999999999682</v>
      </c>
      <c r="BY13" s="61" t="s">
        <v>84</v>
      </c>
      <c r="CA13" s="61">
        <f t="shared" si="6"/>
        <v>0</v>
      </c>
      <c r="CB13" s="61">
        <f t="shared" si="6"/>
        <v>0</v>
      </c>
      <c r="CC13" s="61">
        <f t="shared" si="6"/>
        <v>0</v>
      </c>
      <c r="CD13" s="61">
        <f t="shared" si="6"/>
        <v>0</v>
      </c>
      <c r="CE13" s="61">
        <f t="shared" si="6"/>
        <v>-7.9735218895742602E-2</v>
      </c>
      <c r="CF13" s="61">
        <f t="shared" si="6"/>
        <v>-7.9735218895742602E-2</v>
      </c>
      <c r="CG13" s="61">
        <f t="shared" si="6"/>
        <v>0</v>
      </c>
      <c r="CH13" s="61">
        <f t="shared" si="6"/>
        <v>0</v>
      </c>
      <c r="CI13" s="61">
        <f t="shared" si="7"/>
        <v>-1.8339100346020799E-2</v>
      </c>
      <c r="CJ13" s="61"/>
      <c r="CK13" s="61">
        <f t="shared" si="8"/>
        <v>0</v>
      </c>
      <c r="CL13" s="61">
        <f t="shared" si="8"/>
        <v>0</v>
      </c>
      <c r="CM13" s="61">
        <f t="shared" si="8"/>
        <v>0</v>
      </c>
      <c r="CN13" s="61">
        <f t="shared" si="8"/>
        <v>0</v>
      </c>
      <c r="CO13" s="61">
        <f t="shared" si="8"/>
        <v>-0.17451481871520508</v>
      </c>
      <c r="CP13" s="61">
        <f t="shared" si="8"/>
        <v>-0.17451481871520508</v>
      </c>
      <c r="CQ13" s="61">
        <f t="shared" si="8"/>
        <v>0</v>
      </c>
      <c r="CR13" s="61">
        <f t="shared" si="8"/>
        <v>0</v>
      </c>
      <c r="CS13" s="61">
        <f t="shared" si="9"/>
        <v>-4.0138408304497171E-2</v>
      </c>
      <c r="CT13" s="61">
        <f t="shared" si="10"/>
        <v>-0.26679999999999271</v>
      </c>
      <c r="CV13" s="61">
        <f t="shared" si="11"/>
        <v>0</v>
      </c>
      <c r="CW13" s="61">
        <f t="shared" si="12"/>
        <v>0</v>
      </c>
      <c r="CX13" s="61"/>
      <c r="CY13" s="61">
        <f t="shared" si="13"/>
        <v>2587195</v>
      </c>
      <c r="CZ13" s="61">
        <f t="shared" si="13"/>
        <v>-211015.60000000003</v>
      </c>
      <c r="DA13" s="61">
        <f t="shared" si="13"/>
        <v>0</v>
      </c>
      <c r="DB13" s="2" t="s">
        <v>85</v>
      </c>
      <c r="DC13" s="2" t="s">
        <v>86</v>
      </c>
      <c r="DD13" s="2" t="s">
        <v>87</v>
      </c>
      <c r="DE13" s="2" t="s">
        <v>88</v>
      </c>
      <c r="DF13" s="3" t="s">
        <v>86</v>
      </c>
      <c r="DG13" s="62">
        <v>42752</v>
      </c>
      <c r="EC13" s="60"/>
      <c r="ED13" s="60"/>
      <c r="EE13" s="60"/>
      <c r="EF13" s="60"/>
    </row>
    <row r="14" spans="2:141" ht="12.75" hidden="1" customHeight="1">
      <c r="B14" s="1" t="s">
        <v>107</v>
      </c>
      <c r="C14" s="22" t="s">
        <v>108</v>
      </c>
      <c r="D14" s="22" t="s">
        <v>112</v>
      </c>
      <c r="E14" s="2" t="str">
        <f>VLOOKUP($C14,[1]Detail!$C:$AK,6,0)</f>
        <v>PMT5</v>
      </c>
      <c r="F14" s="2" t="str">
        <f>VLOOKUP($C14,[1]Detail!$C:$AK,7,0)</f>
        <v>TH</v>
      </c>
      <c r="G14" s="2" t="str">
        <f>VLOOKUP($C14,[1]Detail!$C:$AK,5,0)</f>
        <v>B</v>
      </c>
      <c r="J14" s="22" t="s">
        <v>110</v>
      </c>
      <c r="K14" s="23" t="s">
        <v>103</v>
      </c>
      <c r="L14" s="22" t="s">
        <v>113</v>
      </c>
      <c r="M14" s="51" t="str">
        <f t="shared" si="0"/>
        <v>JD8T-18C612-CA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1</v>
      </c>
      <c r="V14" s="22">
        <v>0</v>
      </c>
      <c r="W14" s="2">
        <f t="shared" si="1"/>
        <v>0.05</v>
      </c>
      <c r="Y14" s="60">
        <v>-255.7</v>
      </c>
      <c r="Z14" s="60">
        <v>-2.8</v>
      </c>
      <c r="AA14" s="60">
        <v>-5.65</v>
      </c>
      <c r="AB14" s="60">
        <v>-9.02</v>
      </c>
      <c r="AC14" s="60">
        <f>-23.91-AB14</f>
        <v>-14.89</v>
      </c>
      <c r="AD14" s="8">
        <f t="shared" si="2"/>
        <v>-288.05999999999995</v>
      </c>
      <c r="AE14" s="2" t="s">
        <v>84</v>
      </c>
      <c r="AG14" s="61">
        <v>0</v>
      </c>
      <c r="AH14" s="61">
        <v>0</v>
      </c>
      <c r="AJ14" s="61" t="s">
        <v>114</v>
      </c>
      <c r="AK14" s="61"/>
      <c r="AL14" s="61"/>
      <c r="AM14" s="22"/>
      <c r="AO14" s="22" t="s">
        <v>110</v>
      </c>
      <c r="AP14" s="23" t="s">
        <v>103</v>
      </c>
      <c r="AQ14" s="22" t="s">
        <v>100</v>
      </c>
      <c r="AR14" s="51" t="str">
        <f t="shared" si="14"/>
        <v>JD8T-18C612-AA</v>
      </c>
      <c r="AS14" s="3"/>
      <c r="AT14" s="22">
        <v>0</v>
      </c>
      <c r="AU14" s="22">
        <v>0</v>
      </c>
      <c r="AV14" s="22">
        <v>1</v>
      </c>
      <c r="AW14" s="22">
        <v>1</v>
      </c>
      <c r="AX14" s="22">
        <v>0</v>
      </c>
      <c r="AY14" s="22">
        <v>0</v>
      </c>
      <c r="AZ14" s="22">
        <v>1</v>
      </c>
      <c r="BA14" s="22">
        <v>0</v>
      </c>
      <c r="BB14" s="2">
        <f t="shared" si="18"/>
        <v>0.42</v>
      </c>
      <c r="BD14" s="60">
        <f>-251.83</f>
        <v>-251.83</v>
      </c>
      <c r="BE14" s="60">
        <v>-2.8</v>
      </c>
      <c r="BF14" s="60">
        <v>-5.65</v>
      </c>
      <c r="BG14" s="60">
        <v>-9.02</v>
      </c>
      <c r="BH14" s="60">
        <f>-23.28-BG14</f>
        <v>-14.260000000000002</v>
      </c>
      <c r="BI14" s="8">
        <f t="shared" si="15"/>
        <v>-283.56</v>
      </c>
      <c r="BJ14" s="2" t="s">
        <v>84</v>
      </c>
      <c r="BL14" s="61">
        <v>0</v>
      </c>
      <c r="BM14" s="61">
        <v>0</v>
      </c>
      <c r="BO14" s="61" t="s">
        <v>114</v>
      </c>
      <c r="BP14" s="61">
        <v>0</v>
      </c>
      <c r="BQ14" s="61"/>
      <c r="BS14" s="61">
        <f t="shared" si="3"/>
        <v>-3.8699999999999761</v>
      </c>
      <c r="BT14" s="61">
        <f t="shared" si="4"/>
        <v>0</v>
      </c>
      <c r="BU14" s="61">
        <f t="shared" si="5"/>
        <v>0</v>
      </c>
      <c r="BV14" s="61">
        <f t="shared" si="5"/>
        <v>0</v>
      </c>
      <c r="BW14" s="61">
        <f t="shared" si="5"/>
        <v>-0.62999999999999901</v>
      </c>
      <c r="BX14" s="61">
        <f t="shared" si="5"/>
        <v>-4.4999999999999432</v>
      </c>
      <c r="BY14" s="61" t="s">
        <v>84</v>
      </c>
      <c r="CA14" s="61">
        <f t="shared" si="6"/>
        <v>0</v>
      </c>
      <c r="CB14" s="61">
        <f t="shared" si="6"/>
        <v>0</v>
      </c>
      <c r="CC14" s="61">
        <f t="shared" si="6"/>
        <v>37.886264480216639</v>
      </c>
      <c r="CD14" s="61">
        <f t="shared" si="6"/>
        <v>37.886264480216639</v>
      </c>
      <c r="CE14" s="61">
        <f t="shared" si="6"/>
        <v>0</v>
      </c>
      <c r="CF14" s="61">
        <f t="shared" si="6"/>
        <v>0</v>
      </c>
      <c r="CG14" s="61">
        <f t="shared" si="6"/>
        <v>-0.58221754174815343</v>
      </c>
      <c r="CH14" s="61">
        <f t="shared" si="6"/>
        <v>0</v>
      </c>
      <c r="CI14" s="61">
        <f t="shared" si="7"/>
        <v>13.988806980592749</v>
      </c>
      <c r="CJ14" s="61"/>
      <c r="CK14" s="61">
        <f t="shared" si="8"/>
        <v>0</v>
      </c>
      <c r="CL14" s="61">
        <f t="shared" si="8"/>
        <v>0</v>
      </c>
      <c r="CM14" s="61">
        <f t="shared" si="8"/>
        <v>42.659846547314579</v>
      </c>
      <c r="CN14" s="61">
        <f t="shared" si="8"/>
        <v>42.659846547314579</v>
      </c>
      <c r="CO14" s="61">
        <f t="shared" si="8"/>
        <v>0</v>
      </c>
      <c r="CP14" s="61">
        <f t="shared" si="8"/>
        <v>0</v>
      </c>
      <c r="CQ14" s="61">
        <f t="shared" si="8"/>
        <v>-0.67699714156761592</v>
      </c>
      <c r="CR14" s="61">
        <f t="shared" si="8"/>
        <v>0</v>
      </c>
      <c r="CS14" s="61">
        <f t="shared" si="9"/>
        <v>15.750293365428012</v>
      </c>
      <c r="CT14" s="61">
        <f t="shared" si="10"/>
        <v>104.6922</v>
      </c>
      <c r="CV14" s="61">
        <f t="shared" si="11"/>
        <v>0</v>
      </c>
      <c r="CW14" s="61">
        <f t="shared" si="12"/>
        <v>0</v>
      </c>
      <c r="CX14" s="61"/>
      <c r="CY14" s="61">
        <f t="shared" si="13"/>
        <v>0</v>
      </c>
      <c r="CZ14" s="61">
        <f t="shared" si="13"/>
        <v>0</v>
      </c>
      <c r="DA14" s="61">
        <f t="shared" si="13"/>
        <v>0</v>
      </c>
      <c r="DB14" s="2" t="s">
        <v>85</v>
      </c>
      <c r="DC14" s="2" t="s">
        <v>86</v>
      </c>
      <c r="DD14" s="2" t="s">
        <v>87</v>
      </c>
      <c r="DE14" s="2" t="s">
        <v>88</v>
      </c>
      <c r="DF14" s="3" t="s">
        <v>86</v>
      </c>
      <c r="DG14" s="62">
        <v>42752</v>
      </c>
      <c r="EC14" s="60"/>
      <c r="ED14" s="60"/>
      <c r="EE14" s="60"/>
      <c r="EF14" s="60"/>
    </row>
    <row r="15" spans="2:141" ht="12.75" hidden="1" customHeight="1">
      <c r="B15" s="1" t="s">
        <v>107</v>
      </c>
      <c r="C15" s="22" t="s">
        <v>108</v>
      </c>
      <c r="D15" s="22" t="s">
        <v>112</v>
      </c>
      <c r="E15" s="2" t="str">
        <f>VLOOKUP($C15,[1]Detail!$C:$AK,6,0)</f>
        <v>PMT5</v>
      </c>
      <c r="F15" s="2" t="str">
        <f>VLOOKUP($C15,[1]Detail!$C:$AK,7,0)</f>
        <v>TH</v>
      </c>
      <c r="G15" s="2" t="str">
        <f>VLOOKUP($C15,[1]Detail!$C:$AK,5,0)</f>
        <v>B</v>
      </c>
      <c r="J15" s="22" t="s">
        <v>110</v>
      </c>
      <c r="K15" s="23" t="s">
        <v>103</v>
      </c>
      <c r="L15" s="22" t="s">
        <v>115</v>
      </c>
      <c r="M15" s="51" t="str">
        <f t="shared" si="0"/>
        <v>JD8T-18C612-DA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1</v>
      </c>
      <c r="W15" s="2">
        <f t="shared" si="1"/>
        <v>0.05</v>
      </c>
      <c r="Y15" s="60">
        <v>-256.45999999999998</v>
      </c>
      <c r="Z15" s="60">
        <v>-2.8</v>
      </c>
      <c r="AA15" s="60">
        <v>-5.65</v>
      </c>
      <c r="AB15" s="60">
        <v>-9.02</v>
      </c>
      <c r="AC15" s="60">
        <f>-23.91-AB15</f>
        <v>-14.89</v>
      </c>
      <c r="AD15" s="8">
        <f t="shared" si="2"/>
        <v>-288.81999999999994</v>
      </c>
      <c r="AE15" s="2" t="s">
        <v>84</v>
      </c>
      <c r="AG15" s="61">
        <v>0</v>
      </c>
      <c r="AH15" s="61">
        <v>0</v>
      </c>
      <c r="AJ15" s="61" t="s">
        <v>114</v>
      </c>
      <c r="AK15" s="61"/>
      <c r="AL15" s="61"/>
      <c r="AM15" s="22"/>
      <c r="AO15" s="22" t="s">
        <v>110</v>
      </c>
      <c r="AP15" s="23" t="s">
        <v>103</v>
      </c>
      <c r="AQ15" s="22" t="s">
        <v>111</v>
      </c>
      <c r="AR15" s="51" t="str">
        <f t="shared" si="14"/>
        <v>JD8T-18C612-BA</v>
      </c>
      <c r="AS15" s="3"/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1</v>
      </c>
      <c r="BB15" s="2">
        <f t="shared" si="18"/>
        <v>0.05</v>
      </c>
      <c r="BD15" s="60">
        <v>-252.59</v>
      </c>
      <c r="BE15" s="60">
        <v>-2.8</v>
      </c>
      <c r="BF15" s="60">
        <v>-5.65</v>
      </c>
      <c r="BG15" s="60">
        <v>-9.02</v>
      </c>
      <c r="BH15" s="60">
        <f>-23.28-BG15</f>
        <v>-14.260000000000002</v>
      </c>
      <c r="BI15" s="8">
        <f t="shared" si="15"/>
        <v>-284.32</v>
      </c>
      <c r="BJ15" s="2" t="s">
        <v>84</v>
      </c>
      <c r="BL15" s="61">
        <v>0</v>
      </c>
      <c r="BM15" s="61">
        <v>0</v>
      </c>
      <c r="BO15" s="61" t="s">
        <v>114</v>
      </c>
      <c r="BP15" s="61">
        <v>0</v>
      </c>
      <c r="BQ15" s="61"/>
      <c r="BS15" s="61">
        <f t="shared" si="3"/>
        <v>-3.8699999999999761</v>
      </c>
      <c r="BT15" s="61">
        <f t="shared" si="4"/>
        <v>0</v>
      </c>
      <c r="BU15" s="61">
        <f t="shared" si="5"/>
        <v>0</v>
      </c>
      <c r="BV15" s="61">
        <f t="shared" si="5"/>
        <v>0</v>
      </c>
      <c r="BW15" s="61">
        <f t="shared" si="5"/>
        <v>-0.62999999999999901</v>
      </c>
      <c r="BX15" s="61">
        <f t="shared" si="5"/>
        <v>-4.4999999999999432</v>
      </c>
      <c r="BY15" s="61" t="s">
        <v>84</v>
      </c>
      <c r="CA15" s="61">
        <f t="shared" si="6"/>
        <v>0</v>
      </c>
      <c r="CB15" s="61">
        <f t="shared" si="6"/>
        <v>0</v>
      </c>
      <c r="CC15" s="61">
        <f t="shared" si="6"/>
        <v>0</v>
      </c>
      <c r="CD15" s="61">
        <f t="shared" si="6"/>
        <v>0</v>
      </c>
      <c r="CE15" s="61">
        <f t="shared" si="6"/>
        <v>0</v>
      </c>
      <c r="CF15" s="61">
        <f t="shared" si="6"/>
        <v>0</v>
      </c>
      <c r="CG15" s="61">
        <f t="shared" si="6"/>
        <v>0</v>
      </c>
      <c r="CH15" s="61">
        <f t="shared" si="6"/>
        <v>-0.58221754174815343</v>
      </c>
      <c r="CI15" s="61">
        <f t="shared" si="7"/>
        <v>-2.9110877087407672E-2</v>
      </c>
      <c r="CJ15" s="61"/>
      <c r="CK15" s="61">
        <f t="shared" si="8"/>
        <v>0</v>
      </c>
      <c r="CL15" s="61">
        <f t="shared" si="8"/>
        <v>0</v>
      </c>
      <c r="CM15" s="61">
        <f t="shared" si="8"/>
        <v>0</v>
      </c>
      <c r="CN15" s="61">
        <f t="shared" si="8"/>
        <v>0</v>
      </c>
      <c r="CO15" s="61">
        <f t="shared" si="8"/>
        <v>0</v>
      </c>
      <c r="CP15" s="61">
        <f t="shared" si="8"/>
        <v>0</v>
      </c>
      <c r="CQ15" s="61">
        <f t="shared" si="8"/>
        <v>0</v>
      </c>
      <c r="CR15" s="61">
        <f t="shared" si="8"/>
        <v>-0.67699714156761592</v>
      </c>
      <c r="CS15" s="61">
        <f t="shared" si="9"/>
        <v>-3.3849857078380799E-2</v>
      </c>
      <c r="CT15" s="61">
        <f t="shared" si="10"/>
        <v>-0.22499999999999717</v>
      </c>
      <c r="CV15" s="61">
        <f t="shared" si="11"/>
        <v>0</v>
      </c>
      <c r="CW15" s="61">
        <f t="shared" si="12"/>
        <v>0</v>
      </c>
      <c r="CX15" s="61"/>
      <c r="CY15" s="61">
        <f t="shared" si="13"/>
        <v>0</v>
      </c>
      <c r="CZ15" s="61">
        <f t="shared" si="13"/>
        <v>0</v>
      </c>
      <c r="DA15" s="61">
        <f t="shared" si="13"/>
        <v>0</v>
      </c>
      <c r="DB15" s="2" t="s">
        <v>85</v>
      </c>
      <c r="DC15" s="2" t="s">
        <v>86</v>
      </c>
      <c r="DD15" s="2" t="s">
        <v>87</v>
      </c>
      <c r="DE15" s="2" t="s">
        <v>88</v>
      </c>
      <c r="DF15" s="3" t="s">
        <v>86</v>
      </c>
      <c r="DG15" s="62">
        <v>42752</v>
      </c>
      <c r="EC15" s="60"/>
      <c r="ED15" s="60"/>
      <c r="EE15" s="60"/>
      <c r="EF15" s="60"/>
    </row>
    <row r="16" spans="2:141" ht="12.75" hidden="1" customHeight="1">
      <c r="B16" s="1" t="s">
        <v>116</v>
      </c>
      <c r="C16" s="22" t="s">
        <v>108</v>
      </c>
      <c r="D16" s="22" t="s">
        <v>109</v>
      </c>
      <c r="E16" s="2" t="str">
        <f>VLOOKUP($C16,[1]Detail!$C:$AK,6,0)</f>
        <v>PMT5</v>
      </c>
      <c r="F16" s="2" t="str">
        <f>VLOOKUP($C16,[1]Detail!$C:$AK,7,0)</f>
        <v>TH</v>
      </c>
      <c r="G16" s="2" t="str">
        <f>VLOOKUP($C16,[1]Detail!$C:$AK,5,0)</f>
        <v>B</v>
      </c>
      <c r="J16" s="22" t="s">
        <v>110</v>
      </c>
      <c r="K16" s="23">
        <v>19980</v>
      </c>
      <c r="L16" s="22" t="s">
        <v>111</v>
      </c>
      <c r="M16" s="51" t="str">
        <f t="shared" si="0"/>
        <v>JD8T-19980-BA</v>
      </c>
      <c r="O16" s="22">
        <v>1</v>
      </c>
      <c r="P16" s="22">
        <v>1</v>
      </c>
      <c r="Q16" s="22">
        <v>1</v>
      </c>
      <c r="R16" s="22">
        <v>1</v>
      </c>
      <c r="S16" s="22">
        <v>0</v>
      </c>
      <c r="T16" s="22">
        <v>0</v>
      </c>
      <c r="U16" s="22">
        <v>0</v>
      </c>
      <c r="V16" s="22">
        <v>0</v>
      </c>
      <c r="W16" s="2">
        <f t="shared" si="1"/>
        <v>0.67</v>
      </c>
      <c r="Y16" s="60">
        <v>-231.12</v>
      </c>
      <c r="Z16" s="60">
        <v>-2.8</v>
      </c>
      <c r="AA16" s="60">
        <v>-5.65</v>
      </c>
      <c r="AB16" s="60">
        <v>-5.21</v>
      </c>
      <c r="AC16" s="60">
        <f>-22.12-AB16</f>
        <v>-16.91</v>
      </c>
      <c r="AD16" s="8">
        <f t="shared" si="2"/>
        <v>-261.69000000000005</v>
      </c>
      <c r="AE16" s="2" t="s">
        <v>84</v>
      </c>
      <c r="AG16" s="61">
        <v>-2438000</v>
      </c>
      <c r="AH16" s="61">
        <v>-2438000</v>
      </c>
      <c r="AI16" s="6"/>
      <c r="AJ16" s="61">
        <f>-5735195*0-6505696</f>
        <v>-6505696</v>
      </c>
      <c r="AK16" s="61">
        <v>381437</v>
      </c>
      <c r="AL16" s="61"/>
      <c r="AM16" s="22"/>
      <c r="AO16" s="22" t="s">
        <v>110</v>
      </c>
      <c r="AP16" s="23">
        <v>19980</v>
      </c>
      <c r="AQ16" s="22" t="s">
        <v>111</v>
      </c>
      <c r="AR16" s="51" t="str">
        <f t="shared" si="14"/>
        <v>JD8T-19980-BA</v>
      </c>
      <c r="AS16" s="3"/>
      <c r="AT16" s="22">
        <v>1</v>
      </c>
      <c r="AU16" s="22">
        <v>1</v>
      </c>
      <c r="AV16" s="22">
        <v>1</v>
      </c>
      <c r="AW16" s="22">
        <v>1</v>
      </c>
      <c r="AX16" s="22">
        <v>0</v>
      </c>
      <c r="AY16" s="22">
        <v>0</v>
      </c>
      <c r="AZ16" s="22">
        <v>0</v>
      </c>
      <c r="BA16" s="22">
        <v>0</v>
      </c>
      <c r="BB16" s="2">
        <f t="shared" ref="BB16:BB26" si="21">SUMPRODUCT(AT16:BA16,$O$6:$V$6)</f>
        <v>0.67</v>
      </c>
      <c r="BD16" s="60">
        <v>-231.12</v>
      </c>
      <c r="BE16" s="60">
        <v>-2.8</v>
      </c>
      <c r="BF16" s="60">
        <v>-5.65</v>
      </c>
      <c r="BG16" s="60">
        <v>-5.21</v>
      </c>
      <c r="BH16" s="60">
        <f>-20.1-BG16</f>
        <v>-14.89</v>
      </c>
      <c r="BI16" s="8">
        <f t="shared" si="15"/>
        <v>-259.67</v>
      </c>
      <c r="BJ16" s="2" t="s">
        <v>84</v>
      </c>
      <c r="BL16" s="61">
        <v>-2438000</v>
      </c>
      <c r="BM16" s="61">
        <v>-2438000</v>
      </c>
      <c r="BO16" s="61">
        <v>-5735195</v>
      </c>
      <c r="BP16" s="61">
        <v>381437</v>
      </c>
      <c r="BQ16" s="61"/>
      <c r="BS16" s="61">
        <f t="shared" si="3"/>
        <v>0</v>
      </c>
      <c r="BT16" s="61">
        <f t="shared" si="4"/>
        <v>0</v>
      </c>
      <c r="BU16" s="61">
        <f t="shared" si="5"/>
        <v>0</v>
      </c>
      <c r="BV16" s="61">
        <f t="shared" si="5"/>
        <v>0</v>
      </c>
      <c r="BW16" s="61">
        <f t="shared" si="5"/>
        <v>-2.0199999999999996</v>
      </c>
      <c r="BX16" s="61">
        <f t="shared" si="5"/>
        <v>-2.0200000000000387</v>
      </c>
      <c r="BY16" s="61" t="s">
        <v>84</v>
      </c>
      <c r="CA16" s="61">
        <f t="shared" si="6"/>
        <v>0</v>
      </c>
      <c r="CB16" s="61">
        <f t="shared" si="6"/>
        <v>0</v>
      </c>
      <c r="CC16" s="61">
        <f t="shared" si="6"/>
        <v>0</v>
      </c>
      <c r="CD16" s="61">
        <f t="shared" si="6"/>
        <v>0</v>
      </c>
      <c r="CE16" s="61">
        <f t="shared" si="6"/>
        <v>0</v>
      </c>
      <c r="CF16" s="61">
        <f t="shared" si="6"/>
        <v>0</v>
      </c>
      <c r="CG16" s="61">
        <f t="shared" si="6"/>
        <v>0</v>
      </c>
      <c r="CH16" s="61">
        <f t="shared" si="6"/>
        <v>0</v>
      </c>
      <c r="CI16" s="61">
        <f t="shared" si="7"/>
        <v>0</v>
      </c>
      <c r="CJ16" s="61"/>
      <c r="CK16" s="61">
        <f t="shared" si="8"/>
        <v>-0.30389649465925056</v>
      </c>
      <c r="CL16" s="61">
        <f t="shared" si="8"/>
        <v>-0.30389649465925056</v>
      </c>
      <c r="CM16" s="61">
        <f t="shared" si="8"/>
        <v>-0.30389649465925056</v>
      </c>
      <c r="CN16" s="61">
        <f t="shared" si="8"/>
        <v>-0.30389649465925056</v>
      </c>
      <c r="CO16" s="61">
        <f t="shared" si="8"/>
        <v>0</v>
      </c>
      <c r="CP16" s="61">
        <f t="shared" si="8"/>
        <v>0</v>
      </c>
      <c r="CQ16" s="61">
        <f t="shared" si="8"/>
        <v>0</v>
      </c>
      <c r="CR16" s="61">
        <f t="shared" si="8"/>
        <v>0</v>
      </c>
      <c r="CS16" s="61">
        <f t="shared" si="9"/>
        <v>-0.20361065142169787</v>
      </c>
      <c r="CT16" s="61">
        <f t="shared" si="10"/>
        <v>-1.3534000000000259</v>
      </c>
      <c r="CV16" s="61">
        <f t="shared" si="11"/>
        <v>0</v>
      </c>
      <c r="CW16" s="61">
        <f t="shared" si="12"/>
        <v>0</v>
      </c>
      <c r="CX16" s="61"/>
      <c r="CY16" s="61">
        <f t="shared" si="13"/>
        <v>-770501</v>
      </c>
      <c r="CZ16" s="61">
        <f t="shared" si="13"/>
        <v>0</v>
      </c>
      <c r="DA16" s="61">
        <f t="shared" si="13"/>
        <v>0</v>
      </c>
      <c r="DB16" s="2" t="s">
        <v>85</v>
      </c>
      <c r="DC16" s="2" t="s">
        <v>85</v>
      </c>
      <c r="DD16" s="2" t="s">
        <v>87</v>
      </c>
      <c r="DE16" s="2" t="s">
        <v>88</v>
      </c>
      <c r="DF16" s="3" t="s">
        <v>86</v>
      </c>
      <c r="DG16" s="62">
        <v>42893</v>
      </c>
      <c r="EC16" s="60"/>
      <c r="ED16" s="60"/>
      <c r="EE16" s="60"/>
      <c r="EF16" s="60"/>
    </row>
    <row r="17" spans="2:140" ht="12.75" hidden="1" customHeight="1">
      <c r="B17" s="1" t="s">
        <v>117</v>
      </c>
      <c r="C17" s="22" t="s">
        <v>108</v>
      </c>
      <c r="D17" s="22" t="s">
        <v>109</v>
      </c>
      <c r="E17" s="2" t="str">
        <f>VLOOKUP($C17,[1]Detail!$C:$AK,6,0)</f>
        <v>PMT5</v>
      </c>
      <c r="F17" s="2" t="str">
        <f>VLOOKUP($C17,[1]Detail!$C:$AK,7,0)</f>
        <v>TH</v>
      </c>
      <c r="G17" s="2" t="str">
        <f>VLOOKUP($C17,[1]Detail!$C:$AK,5,0)</f>
        <v>B</v>
      </c>
      <c r="J17" s="22" t="s">
        <v>110</v>
      </c>
      <c r="K17" s="23">
        <v>19980</v>
      </c>
      <c r="L17" s="22" t="s">
        <v>111</v>
      </c>
      <c r="M17" s="51" t="str">
        <f t="shared" si="0"/>
        <v>JD8T-19980-BA</v>
      </c>
      <c r="O17" s="22">
        <v>1</v>
      </c>
      <c r="P17" s="22">
        <v>1</v>
      </c>
      <c r="Q17" s="22">
        <v>1</v>
      </c>
      <c r="R17" s="22">
        <v>1</v>
      </c>
      <c r="S17" s="22">
        <v>0</v>
      </c>
      <c r="T17" s="22">
        <v>0</v>
      </c>
      <c r="U17" s="22">
        <v>0</v>
      </c>
      <c r="V17" s="22">
        <v>0</v>
      </c>
      <c r="W17" s="2">
        <f t="shared" si="1"/>
        <v>0.67</v>
      </c>
      <c r="Y17" s="60">
        <v>-231.12</v>
      </c>
      <c r="Z17" s="60">
        <v>-2.8</v>
      </c>
      <c r="AA17" s="60">
        <v>-5.65</v>
      </c>
      <c r="AB17" s="60">
        <v>-5.21</v>
      </c>
      <c r="AC17" s="60">
        <f>-22.12-AB17</f>
        <v>-16.91</v>
      </c>
      <c r="AD17" s="8">
        <f t="shared" si="2"/>
        <v>-261.69000000000005</v>
      </c>
      <c r="AE17" s="2" t="s">
        <v>84</v>
      </c>
      <c r="AG17" s="61">
        <v>-2438000</v>
      </c>
      <c r="AH17" s="61">
        <v>-2438000</v>
      </c>
      <c r="AI17" s="6"/>
      <c r="AJ17" s="61">
        <f>-5735195*0-6505696</f>
        <v>-6505696</v>
      </c>
      <c r="AK17" s="61">
        <v>381437</v>
      </c>
      <c r="AL17" s="61"/>
      <c r="AM17" s="22"/>
      <c r="AO17" s="22" t="s">
        <v>110</v>
      </c>
      <c r="AP17" s="23">
        <v>19980</v>
      </c>
      <c r="AQ17" s="22" t="s">
        <v>111</v>
      </c>
      <c r="AR17" s="51" t="str">
        <f t="shared" si="14"/>
        <v>JD8T-19980-BA</v>
      </c>
      <c r="AS17" s="3"/>
      <c r="AT17" s="22">
        <v>1</v>
      </c>
      <c r="AU17" s="22">
        <v>1</v>
      </c>
      <c r="AV17" s="22">
        <v>1</v>
      </c>
      <c r="AW17" s="22">
        <v>1</v>
      </c>
      <c r="AX17" s="22">
        <v>0</v>
      </c>
      <c r="AY17" s="22">
        <v>0</v>
      </c>
      <c r="AZ17" s="22">
        <v>0</v>
      </c>
      <c r="BA17" s="22">
        <v>0</v>
      </c>
      <c r="BB17" s="2">
        <f t="shared" si="21"/>
        <v>0.67</v>
      </c>
      <c r="BD17" s="60">
        <v>-231.12</v>
      </c>
      <c r="BE17" s="60">
        <v>-2.8</v>
      </c>
      <c r="BF17" s="60">
        <v>-5.65</v>
      </c>
      <c r="BG17" s="60">
        <v>-5.21</v>
      </c>
      <c r="BH17" s="60">
        <f>-22.12-BG17</f>
        <v>-16.91</v>
      </c>
      <c r="BI17" s="8">
        <f t="shared" si="15"/>
        <v>-261.69000000000005</v>
      </c>
      <c r="BJ17" s="2" t="s">
        <v>84</v>
      </c>
      <c r="BL17" s="61">
        <v>-2438000</v>
      </c>
      <c r="BM17" s="61">
        <v>-2438000</v>
      </c>
      <c r="BO17" s="61">
        <v>-5735195</v>
      </c>
      <c r="BP17" s="61">
        <v>381437</v>
      </c>
      <c r="BQ17" s="61"/>
      <c r="BS17" s="61">
        <f t="shared" si="3"/>
        <v>0</v>
      </c>
      <c r="BT17" s="61">
        <f t="shared" si="4"/>
        <v>0</v>
      </c>
      <c r="BU17" s="61">
        <f t="shared" si="5"/>
        <v>0</v>
      </c>
      <c r="BV17" s="61">
        <f t="shared" si="5"/>
        <v>0</v>
      </c>
      <c r="BW17" s="61">
        <f t="shared" si="5"/>
        <v>0</v>
      </c>
      <c r="BX17" s="61">
        <f t="shared" si="5"/>
        <v>0</v>
      </c>
      <c r="BY17" s="61" t="s">
        <v>84</v>
      </c>
      <c r="CA17" s="61">
        <f t="shared" si="6"/>
        <v>0</v>
      </c>
      <c r="CB17" s="61">
        <f t="shared" si="6"/>
        <v>0</v>
      </c>
      <c r="CC17" s="61">
        <f t="shared" si="6"/>
        <v>0</v>
      </c>
      <c r="CD17" s="61">
        <f t="shared" si="6"/>
        <v>0</v>
      </c>
      <c r="CE17" s="61">
        <f t="shared" si="6"/>
        <v>0</v>
      </c>
      <c r="CF17" s="61">
        <f t="shared" si="6"/>
        <v>0</v>
      </c>
      <c r="CG17" s="61">
        <f t="shared" si="6"/>
        <v>0</v>
      </c>
      <c r="CH17" s="61">
        <f t="shared" si="6"/>
        <v>0</v>
      </c>
      <c r="CI17" s="61">
        <f t="shared" si="7"/>
        <v>0</v>
      </c>
      <c r="CJ17" s="61"/>
      <c r="CK17" s="61">
        <f t="shared" si="8"/>
        <v>0</v>
      </c>
      <c r="CL17" s="61">
        <f t="shared" si="8"/>
        <v>0</v>
      </c>
      <c r="CM17" s="61">
        <f t="shared" si="8"/>
        <v>0</v>
      </c>
      <c r="CN17" s="61">
        <f t="shared" si="8"/>
        <v>0</v>
      </c>
      <c r="CO17" s="61">
        <f t="shared" si="8"/>
        <v>0</v>
      </c>
      <c r="CP17" s="61">
        <f t="shared" si="8"/>
        <v>0</v>
      </c>
      <c r="CQ17" s="61">
        <f t="shared" si="8"/>
        <v>0</v>
      </c>
      <c r="CR17" s="61">
        <f t="shared" si="8"/>
        <v>0</v>
      </c>
      <c r="CS17" s="61">
        <f t="shared" si="9"/>
        <v>0</v>
      </c>
      <c r="CT17" s="61">
        <f t="shared" si="10"/>
        <v>0</v>
      </c>
      <c r="CV17" s="61">
        <f t="shared" si="11"/>
        <v>0</v>
      </c>
      <c r="CW17" s="61">
        <f t="shared" ref="CW17" si="22">SUM(AH17)-SUM(BM17)</f>
        <v>0</v>
      </c>
      <c r="CX17" s="61"/>
      <c r="CY17" s="61">
        <f t="shared" ref="CY17" si="23">SUM(AJ17)-SUM(BO17)</f>
        <v>-770501</v>
      </c>
      <c r="CZ17" s="61">
        <f t="shared" si="13"/>
        <v>0</v>
      </c>
      <c r="DA17" s="61">
        <f t="shared" si="13"/>
        <v>0</v>
      </c>
      <c r="DB17" s="2" t="s">
        <v>86</v>
      </c>
      <c r="DC17" s="2" t="s">
        <v>85</v>
      </c>
      <c r="DD17" s="2" t="s">
        <v>87</v>
      </c>
      <c r="DE17" s="2" t="s">
        <v>106</v>
      </c>
      <c r="DF17" s="3" t="s">
        <v>118</v>
      </c>
      <c r="DG17" s="62">
        <v>43117</v>
      </c>
      <c r="EC17" s="60" t="str">
        <f>VLOOKUP($M17,[1]Detail!$M:$BO,1,0)</f>
        <v>JD8T-19980-BA</v>
      </c>
      <c r="ED17" s="60">
        <f>VLOOKUP($M17,[1]Detail!$M:$BO,22,0)</f>
        <v>-261.69000000000005</v>
      </c>
      <c r="EE17" s="60">
        <f>VLOOKUP($M17,[1]Detail!$M:$BO,42,0)</f>
        <v>-2438000</v>
      </c>
      <c r="EF17" s="60">
        <f>VLOOKUP($M17,[1]Detail!$M:$BO,45,0)</f>
        <v>-6505696</v>
      </c>
      <c r="EH17" s="60">
        <f>ED17-AD17</f>
        <v>0</v>
      </c>
      <c r="EI17" s="60">
        <f>EE17-AG17</f>
        <v>0</v>
      </c>
      <c r="EJ17" s="60">
        <f>EF17-AJ17</f>
        <v>0</v>
      </c>
    </row>
    <row r="18" spans="2:140" ht="12.75" hidden="1" customHeight="1">
      <c r="B18" s="1" t="s">
        <v>116</v>
      </c>
      <c r="C18" s="22" t="s">
        <v>108</v>
      </c>
      <c r="D18" s="22" t="s">
        <v>112</v>
      </c>
      <c r="E18" s="2" t="str">
        <f>VLOOKUP($C18,[1]Detail!$C:$AK,6,0)</f>
        <v>PMT5</v>
      </c>
      <c r="F18" s="2" t="str">
        <f>VLOOKUP($C18,[1]Detail!$C:$AK,7,0)</f>
        <v>TH</v>
      </c>
      <c r="G18" s="2" t="str">
        <f>VLOOKUP($C18,[1]Detail!$C:$AK,5,0)</f>
        <v>B</v>
      </c>
      <c r="J18" s="22" t="s">
        <v>110</v>
      </c>
      <c r="K18" s="23" t="s">
        <v>103</v>
      </c>
      <c r="L18" s="22" t="s">
        <v>111</v>
      </c>
      <c r="M18" s="51" t="str">
        <f t="shared" si="0"/>
        <v>JD8T-18C612-BA</v>
      </c>
      <c r="O18" s="22">
        <v>0</v>
      </c>
      <c r="P18" s="22">
        <v>0</v>
      </c>
      <c r="Q18" s="22">
        <v>0</v>
      </c>
      <c r="R18" s="22">
        <v>0</v>
      </c>
      <c r="S18" s="22">
        <v>1</v>
      </c>
      <c r="T18" s="22">
        <v>1</v>
      </c>
      <c r="U18" s="22">
        <v>0</v>
      </c>
      <c r="V18" s="22">
        <v>0</v>
      </c>
      <c r="W18" s="2">
        <f t="shared" si="1"/>
        <v>0.23</v>
      </c>
      <c r="Y18" s="60">
        <v>-253.12</v>
      </c>
      <c r="Z18" s="60">
        <v>-2.8</v>
      </c>
      <c r="AA18" s="60">
        <v>-5.65</v>
      </c>
      <c r="AB18" s="60">
        <v>-9.02</v>
      </c>
      <c r="AC18" s="60">
        <f t="shared" ref="AC18:AC25" si="24">-25.93-AB18</f>
        <v>-16.91</v>
      </c>
      <c r="AD18" s="8">
        <f t="shared" si="2"/>
        <v>-287.5</v>
      </c>
      <c r="AE18" s="2" t="s">
        <v>84</v>
      </c>
      <c r="AG18" s="61">
        <v>0</v>
      </c>
      <c r="AH18" s="61">
        <v>0</v>
      </c>
      <c r="AI18" s="61"/>
      <c r="AJ18" s="61">
        <v>0</v>
      </c>
      <c r="AK18" s="61">
        <v>0</v>
      </c>
      <c r="AL18" s="61"/>
      <c r="AM18" s="22"/>
      <c r="AO18" s="22" t="s">
        <v>110</v>
      </c>
      <c r="AP18" s="23" t="s">
        <v>103</v>
      </c>
      <c r="AQ18" s="22" t="s">
        <v>111</v>
      </c>
      <c r="AR18" s="51" t="str">
        <f t="shared" si="14"/>
        <v>JD8T-18C612-BA</v>
      </c>
      <c r="AS18" s="3"/>
      <c r="AT18" s="22">
        <v>0</v>
      </c>
      <c r="AU18" s="22">
        <v>0</v>
      </c>
      <c r="AV18" s="22">
        <v>0</v>
      </c>
      <c r="AW18" s="22">
        <v>0</v>
      </c>
      <c r="AX18" s="22">
        <v>1</v>
      </c>
      <c r="AY18" s="22">
        <v>1</v>
      </c>
      <c r="AZ18" s="22">
        <v>0</v>
      </c>
      <c r="BA18" s="22">
        <v>0</v>
      </c>
      <c r="BB18" s="2">
        <f t="shared" si="21"/>
        <v>0.23</v>
      </c>
      <c r="BD18" s="60">
        <v>-253.12</v>
      </c>
      <c r="BE18" s="60">
        <v>-2.8</v>
      </c>
      <c r="BF18" s="60">
        <v>-5.65</v>
      </c>
      <c r="BG18" s="60">
        <v>-9.02</v>
      </c>
      <c r="BH18" s="60">
        <f>-23.91-BG18</f>
        <v>-14.89</v>
      </c>
      <c r="BI18" s="8">
        <f t="shared" si="15"/>
        <v>-285.47999999999996</v>
      </c>
      <c r="BJ18" s="2" t="s">
        <v>84</v>
      </c>
      <c r="BL18" s="61">
        <v>0</v>
      </c>
      <c r="BM18" s="61">
        <v>0</v>
      </c>
      <c r="BN18" s="61">
        <v>0</v>
      </c>
      <c r="BO18" s="61">
        <v>0</v>
      </c>
      <c r="BP18" s="61">
        <v>0</v>
      </c>
      <c r="BQ18" s="61"/>
      <c r="BS18" s="61">
        <f t="shared" si="3"/>
        <v>0</v>
      </c>
      <c r="BT18" s="61">
        <f t="shared" si="4"/>
        <v>0</v>
      </c>
      <c r="BU18" s="61">
        <f t="shared" si="5"/>
        <v>0</v>
      </c>
      <c r="BV18" s="61">
        <f t="shared" si="5"/>
        <v>0</v>
      </c>
      <c r="BW18" s="61">
        <f t="shared" si="5"/>
        <v>-2.0199999999999996</v>
      </c>
      <c r="BX18" s="61">
        <f t="shared" si="5"/>
        <v>-2.0200000000000387</v>
      </c>
      <c r="BY18" s="61" t="s">
        <v>84</v>
      </c>
      <c r="CA18" s="61">
        <f t="shared" si="6"/>
        <v>0</v>
      </c>
      <c r="CB18" s="61">
        <f t="shared" si="6"/>
        <v>0</v>
      </c>
      <c r="CC18" s="61">
        <f t="shared" si="6"/>
        <v>0</v>
      </c>
      <c r="CD18" s="61">
        <f t="shared" si="6"/>
        <v>0</v>
      </c>
      <c r="CE18" s="61">
        <f t="shared" si="6"/>
        <v>0</v>
      </c>
      <c r="CF18" s="61">
        <f t="shared" si="6"/>
        <v>0</v>
      </c>
      <c r="CG18" s="61">
        <f t="shared" si="6"/>
        <v>0</v>
      </c>
      <c r="CH18" s="61">
        <f t="shared" si="6"/>
        <v>0</v>
      </c>
      <c r="CI18" s="61">
        <f t="shared" si="7"/>
        <v>0</v>
      </c>
      <c r="CJ18" s="61"/>
      <c r="CK18" s="61">
        <f t="shared" si="8"/>
        <v>0</v>
      </c>
      <c r="CL18" s="61">
        <f t="shared" si="8"/>
        <v>0</v>
      </c>
      <c r="CM18" s="61">
        <f t="shared" si="8"/>
        <v>0</v>
      </c>
      <c r="CN18" s="61">
        <f t="shared" si="8"/>
        <v>0</v>
      </c>
      <c r="CO18" s="61">
        <f t="shared" si="8"/>
        <v>-0.30389649465925056</v>
      </c>
      <c r="CP18" s="61">
        <f t="shared" si="8"/>
        <v>-0.30389649465925056</v>
      </c>
      <c r="CQ18" s="61">
        <f t="shared" si="8"/>
        <v>0</v>
      </c>
      <c r="CR18" s="61">
        <f t="shared" si="8"/>
        <v>0</v>
      </c>
      <c r="CS18" s="61">
        <f t="shared" si="9"/>
        <v>-6.9896193771627632E-2</v>
      </c>
      <c r="CT18" s="61">
        <f t="shared" si="10"/>
        <v>-0.46460000000000889</v>
      </c>
      <c r="CV18" s="61">
        <f t="shared" si="11"/>
        <v>0</v>
      </c>
      <c r="CW18" s="61">
        <f t="shared" si="12"/>
        <v>0</v>
      </c>
      <c r="CX18" s="61"/>
      <c r="CY18" s="61">
        <f t="shared" si="13"/>
        <v>0</v>
      </c>
      <c r="CZ18" s="61">
        <f t="shared" si="13"/>
        <v>0</v>
      </c>
      <c r="DA18" s="61">
        <f t="shared" si="13"/>
        <v>0</v>
      </c>
      <c r="DB18" s="2" t="s">
        <v>85</v>
      </c>
      <c r="DC18" s="2" t="s">
        <v>85</v>
      </c>
      <c r="DD18" s="2" t="s">
        <v>87</v>
      </c>
      <c r="DE18" s="2" t="s">
        <v>88</v>
      </c>
      <c r="DF18" s="3" t="s">
        <v>86</v>
      </c>
      <c r="DG18" s="62">
        <v>42893</v>
      </c>
      <c r="EC18" s="60"/>
      <c r="ED18" s="60"/>
      <c r="EE18" s="60"/>
      <c r="EF18" s="60"/>
    </row>
    <row r="19" spans="2:140" ht="12.75" hidden="1" customHeight="1">
      <c r="B19" s="1" t="s">
        <v>116</v>
      </c>
      <c r="C19" s="22" t="s">
        <v>108</v>
      </c>
      <c r="D19" s="22" t="s">
        <v>112</v>
      </c>
      <c r="E19" s="2" t="str">
        <f>VLOOKUP($C19,[1]Detail!$C:$AK,6,0)</f>
        <v>PMT5</v>
      </c>
      <c r="F19" s="2" t="str">
        <f>VLOOKUP($C19,[1]Detail!$C:$AK,7,0)</f>
        <v>TH</v>
      </c>
      <c r="G19" s="2" t="str">
        <f>VLOOKUP($C19,[1]Detail!$C:$AK,5,0)</f>
        <v>B</v>
      </c>
      <c r="J19" s="22" t="s">
        <v>110</v>
      </c>
      <c r="K19" s="23" t="s">
        <v>103</v>
      </c>
      <c r="L19" s="22" t="s">
        <v>113</v>
      </c>
      <c r="M19" s="51" t="str">
        <f t="shared" si="0"/>
        <v>JD8T-18C612-CA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1</v>
      </c>
      <c r="V19" s="22">
        <v>0</v>
      </c>
      <c r="W19" s="2">
        <f t="shared" si="1"/>
        <v>0.05</v>
      </c>
      <c r="Y19" s="60">
        <v>-255.7</v>
      </c>
      <c r="Z19" s="60">
        <v>-2.8</v>
      </c>
      <c r="AA19" s="60">
        <v>-5.65</v>
      </c>
      <c r="AB19" s="60">
        <v>-9.02</v>
      </c>
      <c r="AC19" s="60">
        <f t="shared" si="24"/>
        <v>-16.91</v>
      </c>
      <c r="AD19" s="8">
        <f t="shared" si="2"/>
        <v>-290.08</v>
      </c>
      <c r="AE19" s="2" t="s">
        <v>84</v>
      </c>
      <c r="AG19" s="61">
        <v>-562000</v>
      </c>
      <c r="AH19" s="61">
        <v>-562000</v>
      </c>
      <c r="AI19" s="6"/>
      <c r="AJ19" s="61">
        <v>-3204304</v>
      </c>
      <c r="AK19" s="61">
        <v>187871</v>
      </c>
      <c r="AL19" s="61"/>
      <c r="AM19" s="22"/>
      <c r="AO19" s="22" t="s">
        <v>110</v>
      </c>
      <c r="AP19" s="23" t="s">
        <v>103</v>
      </c>
      <c r="AQ19" s="22" t="s">
        <v>113</v>
      </c>
      <c r="AR19" s="51" t="str">
        <f t="shared" si="14"/>
        <v>JD8T-18C612-CA</v>
      </c>
      <c r="AS19" s="3"/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1</v>
      </c>
      <c r="BA19" s="22">
        <v>0</v>
      </c>
      <c r="BB19" s="2">
        <f t="shared" si="21"/>
        <v>0.05</v>
      </c>
      <c r="BD19" s="60">
        <v>-255.7</v>
      </c>
      <c r="BE19" s="60">
        <v>-2.8</v>
      </c>
      <c r="BF19" s="60">
        <v>-5.65</v>
      </c>
      <c r="BG19" s="60">
        <v>-9.02</v>
      </c>
      <c r="BH19" s="60">
        <f>-23.91-BG19</f>
        <v>-14.89</v>
      </c>
      <c r="BI19" s="8">
        <f t="shared" si="15"/>
        <v>-288.05999999999995</v>
      </c>
      <c r="BJ19" s="2" t="s">
        <v>84</v>
      </c>
      <c r="BL19" s="61">
        <v>-562000</v>
      </c>
      <c r="BM19" s="61">
        <v>-562000</v>
      </c>
      <c r="BO19" s="61">
        <v>-3204304</v>
      </c>
      <c r="BP19" s="61">
        <v>187871</v>
      </c>
      <c r="BQ19" s="61"/>
      <c r="BS19" s="61">
        <f t="shared" si="3"/>
        <v>0</v>
      </c>
      <c r="BT19" s="61">
        <f t="shared" si="4"/>
        <v>0</v>
      </c>
      <c r="BU19" s="61">
        <f t="shared" si="5"/>
        <v>0</v>
      </c>
      <c r="BV19" s="61">
        <f t="shared" si="5"/>
        <v>0</v>
      </c>
      <c r="BW19" s="61">
        <f t="shared" si="5"/>
        <v>-2.0199999999999996</v>
      </c>
      <c r="BX19" s="61">
        <f t="shared" si="5"/>
        <v>-2.0200000000000387</v>
      </c>
      <c r="BY19" s="61" t="s">
        <v>84</v>
      </c>
      <c r="CA19" s="61">
        <f t="shared" si="6"/>
        <v>0</v>
      </c>
      <c r="CB19" s="61">
        <f t="shared" si="6"/>
        <v>0</v>
      </c>
      <c r="CC19" s="61">
        <f t="shared" si="6"/>
        <v>0</v>
      </c>
      <c r="CD19" s="61">
        <f t="shared" si="6"/>
        <v>0</v>
      </c>
      <c r="CE19" s="61">
        <f t="shared" si="6"/>
        <v>0</v>
      </c>
      <c r="CF19" s="61">
        <f t="shared" si="6"/>
        <v>0</v>
      </c>
      <c r="CG19" s="61">
        <f t="shared" si="6"/>
        <v>0</v>
      </c>
      <c r="CH19" s="61">
        <f t="shared" si="6"/>
        <v>0</v>
      </c>
      <c r="CI19" s="61">
        <f t="shared" si="7"/>
        <v>0</v>
      </c>
      <c r="CJ19" s="61"/>
      <c r="CK19" s="61">
        <f t="shared" si="8"/>
        <v>0</v>
      </c>
      <c r="CL19" s="61">
        <f t="shared" si="8"/>
        <v>0</v>
      </c>
      <c r="CM19" s="61">
        <f t="shared" si="8"/>
        <v>0</v>
      </c>
      <c r="CN19" s="61">
        <f t="shared" si="8"/>
        <v>0</v>
      </c>
      <c r="CO19" s="61">
        <f t="shared" si="8"/>
        <v>0</v>
      </c>
      <c r="CP19" s="61">
        <f t="shared" si="8"/>
        <v>0</v>
      </c>
      <c r="CQ19" s="61">
        <f t="shared" si="8"/>
        <v>-0.30389649465925056</v>
      </c>
      <c r="CR19" s="61">
        <f t="shared" si="8"/>
        <v>0</v>
      </c>
      <c r="CS19" s="61">
        <f t="shared" si="9"/>
        <v>-1.5194824732962528E-2</v>
      </c>
      <c r="CT19" s="61">
        <f t="shared" si="10"/>
        <v>-0.10100000000000194</v>
      </c>
      <c r="CV19" s="61">
        <f t="shared" si="11"/>
        <v>0</v>
      </c>
      <c r="CW19" s="61">
        <f t="shared" si="12"/>
        <v>0</v>
      </c>
      <c r="CX19" s="61"/>
      <c r="CY19" s="61">
        <f t="shared" si="13"/>
        <v>0</v>
      </c>
      <c r="CZ19" s="61">
        <f t="shared" si="13"/>
        <v>0</v>
      </c>
      <c r="DA19" s="61">
        <f t="shared" si="13"/>
        <v>0</v>
      </c>
      <c r="DB19" s="2" t="s">
        <v>85</v>
      </c>
      <c r="DC19" s="2" t="s">
        <v>85</v>
      </c>
      <c r="DD19" s="2" t="s">
        <v>87</v>
      </c>
      <c r="DE19" s="2" t="s">
        <v>88</v>
      </c>
      <c r="DF19" s="3" t="s">
        <v>86</v>
      </c>
      <c r="DG19" s="62">
        <v>42893</v>
      </c>
      <c r="EC19" s="60"/>
      <c r="ED19" s="60"/>
      <c r="EE19" s="60"/>
      <c r="EF19" s="60"/>
    </row>
    <row r="20" spans="2:140" ht="12.75" hidden="1" customHeight="1">
      <c r="B20" s="1" t="s">
        <v>116</v>
      </c>
      <c r="C20" s="22" t="s">
        <v>108</v>
      </c>
      <c r="D20" s="22" t="s">
        <v>112</v>
      </c>
      <c r="E20" s="2" t="str">
        <f>VLOOKUP($C20,[1]Detail!$C:$AK,6,0)</f>
        <v>PMT5</v>
      </c>
      <c r="F20" s="2" t="str">
        <f>VLOOKUP($C20,[1]Detail!$C:$AK,7,0)</f>
        <v>TH</v>
      </c>
      <c r="G20" s="2" t="str">
        <f>VLOOKUP($C20,[1]Detail!$C:$AK,5,0)</f>
        <v>B</v>
      </c>
      <c r="J20" s="22" t="s">
        <v>110</v>
      </c>
      <c r="K20" s="23" t="s">
        <v>103</v>
      </c>
      <c r="L20" s="22" t="s">
        <v>115</v>
      </c>
      <c r="M20" s="51" t="str">
        <f t="shared" si="0"/>
        <v>JD8T-18C612-DA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1</v>
      </c>
      <c r="W20" s="2">
        <f t="shared" si="1"/>
        <v>0.05</v>
      </c>
      <c r="Y20" s="60">
        <v>-256.45999999999998</v>
      </c>
      <c r="Z20" s="60">
        <v>-2.8</v>
      </c>
      <c r="AA20" s="60">
        <v>-5.65</v>
      </c>
      <c r="AB20" s="60">
        <v>-9.02</v>
      </c>
      <c r="AC20" s="60">
        <f t="shared" si="24"/>
        <v>-16.91</v>
      </c>
      <c r="AD20" s="8">
        <f t="shared" si="2"/>
        <v>-290.83999999999997</v>
      </c>
      <c r="AE20" s="2" t="s">
        <v>84</v>
      </c>
      <c r="AG20" s="61">
        <v>0</v>
      </c>
      <c r="AH20" s="61">
        <v>0</v>
      </c>
      <c r="AJ20" s="61" t="s">
        <v>114</v>
      </c>
      <c r="AK20" s="61"/>
      <c r="AL20" s="61"/>
      <c r="AM20" s="22"/>
      <c r="AO20" s="22" t="s">
        <v>110</v>
      </c>
      <c r="AP20" s="23" t="s">
        <v>103</v>
      </c>
      <c r="AQ20" s="22" t="s">
        <v>115</v>
      </c>
      <c r="AR20" s="51" t="str">
        <f t="shared" si="14"/>
        <v>JD8T-18C612-DA</v>
      </c>
      <c r="AS20" s="3"/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1</v>
      </c>
      <c r="BB20" s="2">
        <f t="shared" si="21"/>
        <v>0.05</v>
      </c>
      <c r="BD20" s="60">
        <v>-256.45999999999998</v>
      </c>
      <c r="BE20" s="60">
        <v>-2.8</v>
      </c>
      <c r="BF20" s="60">
        <v>-5.65</v>
      </c>
      <c r="BG20" s="60">
        <v>-9.02</v>
      </c>
      <c r="BH20" s="60">
        <f>-23.91-BG20</f>
        <v>-14.89</v>
      </c>
      <c r="BI20" s="8">
        <f t="shared" si="15"/>
        <v>-288.81999999999994</v>
      </c>
      <c r="BJ20" s="2" t="s">
        <v>84</v>
      </c>
      <c r="BL20" s="61">
        <v>0</v>
      </c>
      <c r="BM20" s="61">
        <v>0</v>
      </c>
      <c r="BO20" s="61" t="s">
        <v>114</v>
      </c>
      <c r="BP20" s="61"/>
      <c r="BQ20" s="61"/>
      <c r="BS20" s="61">
        <f t="shared" si="3"/>
        <v>0</v>
      </c>
      <c r="BT20" s="61">
        <f t="shared" si="4"/>
        <v>0</v>
      </c>
      <c r="BU20" s="61">
        <f t="shared" si="5"/>
        <v>0</v>
      </c>
      <c r="BV20" s="61">
        <f t="shared" si="5"/>
        <v>0</v>
      </c>
      <c r="BW20" s="61">
        <f t="shared" si="5"/>
        <v>-2.0199999999999996</v>
      </c>
      <c r="BX20" s="61">
        <f t="shared" si="5"/>
        <v>-2.0200000000000387</v>
      </c>
      <c r="BY20" s="61" t="s">
        <v>84</v>
      </c>
      <c r="CA20" s="61">
        <f t="shared" si="6"/>
        <v>0</v>
      </c>
      <c r="CB20" s="61">
        <f t="shared" si="6"/>
        <v>0</v>
      </c>
      <c r="CC20" s="61">
        <f t="shared" si="6"/>
        <v>0</v>
      </c>
      <c r="CD20" s="61">
        <f t="shared" si="6"/>
        <v>0</v>
      </c>
      <c r="CE20" s="61">
        <f t="shared" si="6"/>
        <v>0</v>
      </c>
      <c r="CF20" s="61">
        <f t="shared" si="6"/>
        <v>0</v>
      </c>
      <c r="CG20" s="61">
        <f t="shared" si="6"/>
        <v>0</v>
      </c>
      <c r="CH20" s="61">
        <f t="shared" si="6"/>
        <v>0</v>
      </c>
      <c r="CI20" s="61">
        <f t="shared" si="7"/>
        <v>0</v>
      </c>
      <c r="CJ20" s="61"/>
      <c r="CK20" s="61">
        <f t="shared" si="8"/>
        <v>0</v>
      </c>
      <c r="CL20" s="61">
        <f t="shared" si="8"/>
        <v>0</v>
      </c>
      <c r="CM20" s="61">
        <f t="shared" si="8"/>
        <v>0</v>
      </c>
      <c r="CN20" s="61">
        <f t="shared" si="8"/>
        <v>0</v>
      </c>
      <c r="CO20" s="61">
        <f t="shared" si="8"/>
        <v>0</v>
      </c>
      <c r="CP20" s="61">
        <f t="shared" si="8"/>
        <v>0</v>
      </c>
      <c r="CQ20" s="61">
        <f t="shared" si="8"/>
        <v>0</v>
      </c>
      <c r="CR20" s="61">
        <f t="shared" si="8"/>
        <v>-0.30389649465925056</v>
      </c>
      <c r="CS20" s="61">
        <f t="shared" si="9"/>
        <v>-1.5194824732962528E-2</v>
      </c>
      <c r="CT20" s="61">
        <f t="shared" si="10"/>
        <v>-0.10100000000000194</v>
      </c>
      <c r="CV20" s="61">
        <f t="shared" si="11"/>
        <v>0</v>
      </c>
      <c r="CW20" s="61">
        <f t="shared" si="12"/>
        <v>0</v>
      </c>
      <c r="CX20" s="61"/>
      <c r="CY20" s="61">
        <f t="shared" si="13"/>
        <v>0</v>
      </c>
      <c r="CZ20" s="61">
        <f t="shared" si="13"/>
        <v>0</v>
      </c>
      <c r="DA20" s="61">
        <f t="shared" si="13"/>
        <v>0</v>
      </c>
      <c r="DB20" s="2" t="s">
        <v>86</v>
      </c>
      <c r="DC20" s="2" t="s">
        <v>85</v>
      </c>
      <c r="DD20" s="2" t="s">
        <v>87</v>
      </c>
      <c r="DE20" s="2" t="s">
        <v>88</v>
      </c>
      <c r="DF20" s="3" t="s">
        <v>86</v>
      </c>
      <c r="DG20" s="62">
        <v>42893</v>
      </c>
      <c r="EC20" s="60" t="str">
        <f>VLOOKUP($M20,[1]Detail!$M:$BO,1,0)</f>
        <v>JD8T-18C612-DA</v>
      </c>
      <c r="ED20" s="60">
        <f>VLOOKUP($M20,[1]Detail!$M:$BO,22,0)</f>
        <v>-290.83999999999997</v>
      </c>
      <c r="EE20" s="60">
        <f>VLOOKUP($M20,[1]Detail!$M:$BO,42,0)</f>
        <v>0</v>
      </c>
      <c r="EF20" s="60">
        <f>VLOOKUP($M20,[1]Detail!$M:$BO,45,0)</f>
        <v>0</v>
      </c>
      <c r="EH20" s="60">
        <f>ED20-AD20</f>
        <v>0</v>
      </c>
      <c r="EI20" s="60">
        <f>EE20-AG20</f>
        <v>0</v>
      </c>
      <c r="EJ20" s="60">
        <f>SUM(EF20)-SUM(AJ20)</f>
        <v>0</v>
      </c>
    </row>
    <row r="21" spans="2:140" ht="12.75" hidden="1" customHeight="1">
      <c r="B21" s="1" t="s">
        <v>119</v>
      </c>
      <c r="C21" s="22" t="s">
        <v>108</v>
      </c>
      <c r="D21" s="22" t="s">
        <v>112</v>
      </c>
      <c r="E21" s="2" t="str">
        <f>VLOOKUP($C21,[1]Detail!$C:$AK,6,0)</f>
        <v>PMT5</v>
      </c>
      <c r="F21" s="2" t="str">
        <f>VLOOKUP($C21,[1]Detail!$C:$AK,7,0)</f>
        <v>TH</v>
      </c>
      <c r="G21" s="2" t="str">
        <f>VLOOKUP($C21,[1]Detail!$C:$AK,5,0)</f>
        <v>B</v>
      </c>
      <c r="J21" s="22" t="s">
        <v>110</v>
      </c>
      <c r="K21" s="23" t="s">
        <v>103</v>
      </c>
      <c r="L21" s="22" t="s">
        <v>111</v>
      </c>
      <c r="M21" s="51" t="str">
        <f t="shared" si="0"/>
        <v>JD8T-18C612-BA</v>
      </c>
      <c r="O21" s="22">
        <v>0</v>
      </c>
      <c r="P21" s="22">
        <v>0</v>
      </c>
      <c r="Q21" s="22">
        <v>0</v>
      </c>
      <c r="R21" s="22">
        <v>0</v>
      </c>
      <c r="S21" s="22">
        <v>1</v>
      </c>
      <c r="T21" s="22">
        <v>1</v>
      </c>
      <c r="U21" s="22">
        <v>0</v>
      </c>
      <c r="V21" s="22">
        <v>0</v>
      </c>
      <c r="W21" s="2">
        <f t="shared" si="1"/>
        <v>0.23</v>
      </c>
      <c r="Y21" s="60">
        <f>-253.12*0-252.42</f>
        <v>-252.42</v>
      </c>
      <c r="Z21" s="60">
        <v>-2.8</v>
      </c>
      <c r="AA21" s="60">
        <v>-5.65</v>
      </c>
      <c r="AB21" s="60">
        <v>-9.02</v>
      </c>
      <c r="AC21" s="60">
        <f t="shared" si="24"/>
        <v>-16.91</v>
      </c>
      <c r="AD21" s="8">
        <f t="shared" si="2"/>
        <v>-286.8</v>
      </c>
      <c r="AE21" s="2" t="s">
        <v>84</v>
      </c>
      <c r="AG21" s="61">
        <v>0</v>
      </c>
      <c r="AH21" s="61">
        <v>0</v>
      </c>
      <c r="AI21" s="61"/>
      <c r="AJ21" s="61">
        <v>0</v>
      </c>
      <c r="AK21" s="61">
        <v>0</v>
      </c>
      <c r="AL21" s="61"/>
      <c r="AM21" s="22"/>
      <c r="AO21" s="22" t="s">
        <v>110</v>
      </c>
      <c r="AP21" s="23" t="s">
        <v>103</v>
      </c>
      <c r="AQ21" s="22" t="s">
        <v>111</v>
      </c>
      <c r="AR21" s="51" t="str">
        <f t="shared" si="14"/>
        <v>JD8T-18C612-BA</v>
      </c>
      <c r="AS21" s="3"/>
      <c r="AT21" s="22">
        <v>0</v>
      </c>
      <c r="AU21" s="22">
        <v>0</v>
      </c>
      <c r="AV21" s="22">
        <v>0</v>
      </c>
      <c r="AW21" s="22">
        <v>0</v>
      </c>
      <c r="AX21" s="22">
        <v>1</v>
      </c>
      <c r="AY21" s="22">
        <v>1</v>
      </c>
      <c r="AZ21" s="22">
        <v>0</v>
      </c>
      <c r="BA21" s="22">
        <v>0</v>
      </c>
      <c r="BB21" s="2">
        <f t="shared" si="21"/>
        <v>0.23</v>
      </c>
      <c r="BD21" s="60">
        <v>-253.12</v>
      </c>
      <c r="BE21" s="60">
        <v>-2.8</v>
      </c>
      <c r="BF21" s="60">
        <v>-5.65</v>
      </c>
      <c r="BG21" s="60">
        <v>-9.02</v>
      </c>
      <c r="BH21" s="60">
        <f>-25.93-BG21</f>
        <v>-16.91</v>
      </c>
      <c r="BI21" s="8">
        <f t="shared" si="15"/>
        <v>-287.5</v>
      </c>
      <c r="BJ21" s="2" t="s">
        <v>84</v>
      </c>
      <c r="BL21" s="61">
        <v>0</v>
      </c>
      <c r="BM21" s="61">
        <v>0</v>
      </c>
      <c r="BN21" s="61">
        <v>0</v>
      </c>
      <c r="BO21" s="61">
        <v>0</v>
      </c>
      <c r="BP21" s="61">
        <v>0</v>
      </c>
      <c r="BQ21" s="61"/>
      <c r="BS21" s="61">
        <f t="shared" si="3"/>
        <v>0.70000000000001705</v>
      </c>
      <c r="BT21" s="61">
        <f t="shared" si="4"/>
        <v>0</v>
      </c>
      <c r="BU21" s="61">
        <f t="shared" si="5"/>
        <v>0</v>
      </c>
      <c r="BV21" s="61">
        <f t="shared" si="5"/>
        <v>0</v>
      </c>
      <c r="BW21" s="61">
        <f t="shared" si="5"/>
        <v>0</v>
      </c>
      <c r="BX21" s="61">
        <f t="shared" si="5"/>
        <v>0.69999999999998863</v>
      </c>
      <c r="BY21" s="61" t="s">
        <v>84</v>
      </c>
      <c r="CA21" s="61">
        <f t="shared" si="6"/>
        <v>0</v>
      </c>
      <c r="CB21" s="61">
        <f t="shared" si="6"/>
        <v>0</v>
      </c>
      <c r="CC21" s="61">
        <f t="shared" si="6"/>
        <v>0</v>
      </c>
      <c r="CD21" s="61">
        <f t="shared" si="6"/>
        <v>0</v>
      </c>
      <c r="CE21" s="61">
        <f t="shared" si="6"/>
        <v>0.10531066646607748</v>
      </c>
      <c r="CF21" s="61">
        <f t="shared" si="6"/>
        <v>0.10531066646607748</v>
      </c>
      <c r="CG21" s="61">
        <f t="shared" si="6"/>
        <v>0</v>
      </c>
      <c r="CH21" s="61">
        <f t="shared" si="6"/>
        <v>0</v>
      </c>
      <c r="CI21" s="61">
        <f t="shared" si="7"/>
        <v>2.4221453287197822E-2</v>
      </c>
      <c r="CJ21" s="61"/>
      <c r="CK21" s="61">
        <f t="shared" si="8"/>
        <v>0</v>
      </c>
      <c r="CL21" s="61">
        <f t="shared" si="8"/>
        <v>0</v>
      </c>
      <c r="CM21" s="61">
        <f t="shared" si="8"/>
        <v>0</v>
      </c>
      <c r="CN21" s="61">
        <f t="shared" si="8"/>
        <v>0</v>
      </c>
      <c r="CO21" s="61">
        <f t="shared" si="8"/>
        <v>0.10531066646607321</v>
      </c>
      <c r="CP21" s="61">
        <f t="shared" si="8"/>
        <v>0.10531066646607321</v>
      </c>
      <c r="CQ21" s="61">
        <f t="shared" si="8"/>
        <v>0</v>
      </c>
      <c r="CR21" s="61">
        <f t="shared" si="8"/>
        <v>0</v>
      </c>
      <c r="CS21" s="61">
        <f t="shared" si="9"/>
        <v>2.422145328719684E-2</v>
      </c>
      <c r="CT21" s="61">
        <f t="shared" si="10"/>
        <v>0.1609999999999974</v>
      </c>
      <c r="CV21" s="61">
        <f t="shared" si="11"/>
        <v>0</v>
      </c>
      <c r="CW21" s="61">
        <f t="shared" si="12"/>
        <v>0</v>
      </c>
      <c r="CX21" s="61"/>
      <c r="CY21" s="61">
        <f t="shared" si="13"/>
        <v>0</v>
      </c>
      <c r="CZ21" s="61">
        <f t="shared" si="13"/>
        <v>0</v>
      </c>
      <c r="DA21" s="61">
        <f t="shared" si="13"/>
        <v>0</v>
      </c>
      <c r="DB21" s="2" t="s">
        <v>85</v>
      </c>
      <c r="DC21" s="2" t="s">
        <v>85</v>
      </c>
      <c r="DD21" s="2" t="s">
        <v>87</v>
      </c>
      <c r="DE21" s="2" t="s">
        <v>88</v>
      </c>
      <c r="DF21" s="3" t="s">
        <v>86</v>
      </c>
      <c r="DG21" s="62">
        <v>42893</v>
      </c>
      <c r="EC21" s="60"/>
      <c r="ED21" s="60"/>
      <c r="EE21" s="60"/>
      <c r="EF21" s="60"/>
    </row>
    <row r="22" spans="2:140" ht="12.75" hidden="1" customHeight="1">
      <c r="B22" s="1" t="s">
        <v>117</v>
      </c>
      <c r="C22" s="22" t="s">
        <v>108</v>
      </c>
      <c r="D22" s="22" t="s">
        <v>112</v>
      </c>
      <c r="E22" s="2" t="str">
        <f>VLOOKUP($C22,[1]Detail!$C:$AK,6,0)</f>
        <v>PMT5</v>
      </c>
      <c r="F22" s="2" t="str">
        <f>VLOOKUP($C22,[1]Detail!$C:$AK,7,0)</f>
        <v>TH</v>
      </c>
      <c r="G22" s="2" t="str">
        <f>VLOOKUP($C22,[1]Detail!$C:$AK,5,0)</f>
        <v>B</v>
      </c>
      <c r="J22" s="22" t="s">
        <v>110</v>
      </c>
      <c r="K22" s="23" t="s">
        <v>103</v>
      </c>
      <c r="L22" s="22" t="s">
        <v>120</v>
      </c>
      <c r="M22" s="51" t="str">
        <f t="shared" si="0"/>
        <v>JD8T-18C612-BB</v>
      </c>
      <c r="O22" s="22">
        <v>0</v>
      </c>
      <c r="P22" s="22">
        <v>0</v>
      </c>
      <c r="Q22" s="22">
        <v>0</v>
      </c>
      <c r="R22" s="22">
        <v>0</v>
      </c>
      <c r="S22" s="22">
        <v>1</v>
      </c>
      <c r="T22" s="22">
        <v>1</v>
      </c>
      <c r="U22" s="22">
        <v>0</v>
      </c>
      <c r="V22" s="22">
        <v>0</v>
      </c>
      <c r="W22" s="2">
        <f t="shared" si="1"/>
        <v>0.23</v>
      </c>
      <c r="Y22" s="60">
        <f>-253.12*0-252.42</f>
        <v>-252.42</v>
      </c>
      <c r="Z22" s="60">
        <v>-2.8</v>
      </c>
      <c r="AA22" s="60">
        <v>-5.65</v>
      </c>
      <c r="AB22" s="60">
        <v>-9.02</v>
      </c>
      <c r="AC22" s="60">
        <f t="shared" si="24"/>
        <v>-16.91</v>
      </c>
      <c r="AD22" s="8">
        <f t="shared" si="2"/>
        <v>-286.8</v>
      </c>
      <c r="AE22" s="2" t="s">
        <v>84</v>
      </c>
      <c r="AG22" s="61">
        <v>0</v>
      </c>
      <c r="AH22" s="61">
        <v>0</v>
      </c>
      <c r="AI22" s="61"/>
      <c r="AJ22" s="61">
        <v>0</v>
      </c>
      <c r="AK22" s="61">
        <v>0</v>
      </c>
      <c r="AL22" s="61"/>
      <c r="AM22" s="22"/>
      <c r="AO22" s="22" t="s">
        <v>110</v>
      </c>
      <c r="AP22" s="23" t="s">
        <v>103</v>
      </c>
      <c r="AQ22" s="22" t="s">
        <v>111</v>
      </c>
      <c r="AR22" s="51" t="str">
        <f t="shared" si="14"/>
        <v>JD8T-18C612-BA</v>
      </c>
      <c r="AS22" s="3"/>
      <c r="AT22" s="22">
        <v>0</v>
      </c>
      <c r="AU22" s="22">
        <v>0</v>
      </c>
      <c r="AV22" s="22">
        <v>0</v>
      </c>
      <c r="AW22" s="22">
        <v>0</v>
      </c>
      <c r="AX22" s="22">
        <v>1</v>
      </c>
      <c r="AY22" s="22">
        <v>1</v>
      </c>
      <c r="AZ22" s="22">
        <v>0</v>
      </c>
      <c r="BA22" s="22">
        <v>0</v>
      </c>
      <c r="BB22" s="2">
        <f t="shared" si="21"/>
        <v>0.23</v>
      </c>
      <c r="BD22" s="60">
        <f>-253.12*0-252.42</f>
        <v>-252.42</v>
      </c>
      <c r="BE22" s="60">
        <v>-2.8</v>
      </c>
      <c r="BF22" s="60">
        <v>-5.65</v>
      </c>
      <c r="BG22" s="60">
        <v>-9.02</v>
      </c>
      <c r="BH22" s="60">
        <f t="shared" ref="BH22" si="25">-25.93-BG22</f>
        <v>-16.91</v>
      </c>
      <c r="BI22" s="8">
        <f t="shared" si="15"/>
        <v>-286.8</v>
      </c>
      <c r="BJ22" s="2" t="s">
        <v>84</v>
      </c>
      <c r="BL22" s="61">
        <v>0</v>
      </c>
      <c r="BM22" s="61">
        <v>0</v>
      </c>
      <c r="BN22" s="61">
        <v>0</v>
      </c>
      <c r="BO22" s="61">
        <v>0</v>
      </c>
      <c r="BP22" s="61">
        <v>0</v>
      </c>
      <c r="BQ22" s="61"/>
      <c r="BS22" s="61">
        <f t="shared" si="3"/>
        <v>0</v>
      </c>
      <c r="BT22" s="61">
        <f t="shared" si="4"/>
        <v>0</v>
      </c>
      <c r="BU22" s="61">
        <f t="shared" si="5"/>
        <v>0</v>
      </c>
      <c r="BV22" s="61">
        <f t="shared" si="5"/>
        <v>0</v>
      </c>
      <c r="BW22" s="61">
        <f t="shared" si="5"/>
        <v>0</v>
      </c>
      <c r="BX22" s="61">
        <f t="shared" si="5"/>
        <v>0</v>
      </c>
      <c r="BY22" s="61" t="s">
        <v>84</v>
      </c>
      <c r="CA22" s="61">
        <f t="shared" si="6"/>
        <v>0</v>
      </c>
      <c r="CB22" s="61">
        <f t="shared" si="6"/>
        <v>0</v>
      </c>
      <c r="CC22" s="61">
        <f t="shared" si="6"/>
        <v>0</v>
      </c>
      <c r="CD22" s="61">
        <f t="shared" si="6"/>
        <v>0</v>
      </c>
      <c r="CE22" s="61">
        <f t="shared" si="6"/>
        <v>0</v>
      </c>
      <c r="CF22" s="61">
        <f t="shared" si="6"/>
        <v>0</v>
      </c>
      <c r="CG22" s="61">
        <f t="shared" si="6"/>
        <v>0</v>
      </c>
      <c r="CH22" s="61">
        <f t="shared" si="6"/>
        <v>0</v>
      </c>
      <c r="CI22" s="61">
        <f t="shared" si="7"/>
        <v>0</v>
      </c>
      <c r="CJ22" s="61"/>
      <c r="CK22" s="61">
        <f t="shared" si="8"/>
        <v>0</v>
      </c>
      <c r="CL22" s="61">
        <f t="shared" si="8"/>
        <v>0</v>
      </c>
      <c r="CM22" s="61">
        <f t="shared" si="8"/>
        <v>0</v>
      </c>
      <c r="CN22" s="61">
        <f t="shared" si="8"/>
        <v>0</v>
      </c>
      <c r="CO22" s="61">
        <f t="shared" si="8"/>
        <v>0</v>
      </c>
      <c r="CP22" s="61">
        <f t="shared" si="8"/>
        <v>0</v>
      </c>
      <c r="CQ22" s="61">
        <f t="shared" si="8"/>
        <v>0</v>
      </c>
      <c r="CR22" s="61">
        <f t="shared" si="8"/>
        <v>0</v>
      </c>
      <c r="CS22" s="61">
        <f t="shared" si="9"/>
        <v>0</v>
      </c>
      <c r="CT22" s="61">
        <f t="shared" si="10"/>
        <v>0</v>
      </c>
      <c r="CV22" s="61">
        <f t="shared" si="11"/>
        <v>0</v>
      </c>
      <c r="CW22" s="61">
        <f t="shared" ref="CW22" si="26">SUM(AH22)-SUM(BM22)</f>
        <v>0</v>
      </c>
      <c r="CX22" s="61"/>
      <c r="CY22" s="61">
        <f t="shared" ref="CY22" si="27">SUM(AJ22)-SUM(BO22)</f>
        <v>0</v>
      </c>
      <c r="CZ22" s="61">
        <f t="shared" si="13"/>
        <v>0</v>
      </c>
      <c r="DA22" s="61">
        <f t="shared" si="13"/>
        <v>0</v>
      </c>
      <c r="DB22" s="2" t="s">
        <v>86</v>
      </c>
      <c r="DC22" s="2" t="s">
        <v>85</v>
      </c>
      <c r="DD22" s="2" t="s">
        <v>87</v>
      </c>
      <c r="DE22" s="2" t="s">
        <v>106</v>
      </c>
      <c r="DF22" s="3" t="s">
        <v>118</v>
      </c>
      <c r="DG22" s="62">
        <v>43117</v>
      </c>
      <c r="EC22" s="60" t="str">
        <f>VLOOKUP($M22,[1]Detail!$M:$BO,1,0)</f>
        <v>JD8T-18C612-BB</v>
      </c>
      <c r="ED22" s="60">
        <f>VLOOKUP($M22,[1]Detail!$M:$BO,22,0)</f>
        <v>-286.8</v>
      </c>
      <c r="EE22" s="60">
        <f>VLOOKUP($M22,[1]Detail!$M:$BO,42,0)</f>
        <v>-562000</v>
      </c>
      <c r="EF22" s="60" t="str">
        <f>VLOOKUP($M22,[1]Detail!$M:$BO,45,0)</f>
        <v>Incl.below</v>
      </c>
      <c r="EH22" s="60">
        <f>ED22-AD22</f>
        <v>0</v>
      </c>
      <c r="EI22" s="60">
        <f>EE22-AG22</f>
        <v>-562000</v>
      </c>
      <c r="EJ22" s="60" t="e">
        <f>EF22-AJ22</f>
        <v>#VALUE!</v>
      </c>
    </row>
    <row r="23" spans="2:140" ht="13.5" hidden="1" customHeight="1">
      <c r="B23" s="1" t="s">
        <v>119</v>
      </c>
      <c r="C23" s="22" t="s">
        <v>108</v>
      </c>
      <c r="D23" s="22" t="s">
        <v>112</v>
      </c>
      <c r="E23" s="2" t="str">
        <f>VLOOKUP($C23,[1]Detail!$C:$AK,6,0)</f>
        <v>PMT5</v>
      </c>
      <c r="F23" s="2" t="str">
        <f>VLOOKUP($C23,[1]Detail!$C:$AK,7,0)</f>
        <v>TH</v>
      </c>
      <c r="G23" s="2" t="str">
        <f>VLOOKUP($C23,[1]Detail!$C:$AK,5,0)</f>
        <v>B</v>
      </c>
      <c r="J23" s="22" t="s">
        <v>110</v>
      </c>
      <c r="K23" s="23" t="s">
        <v>103</v>
      </c>
      <c r="L23" s="22" t="s">
        <v>113</v>
      </c>
      <c r="M23" s="51" t="str">
        <f t="shared" si="0"/>
        <v>JD8T-18C612-CA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</v>
      </c>
      <c r="V23" s="22">
        <v>1</v>
      </c>
      <c r="W23" s="2">
        <f t="shared" si="1"/>
        <v>0.1</v>
      </c>
      <c r="Y23" s="60">
        <v>-255.7</v>
      </c>
      <c r="Z23" s="60">
        <v>-2.8</v>
      </c>
      <c r="AA23" s="60">
        <v>-5.65</v>
      </c>
      <c r="AB23" s="60">
        <v>-9.02</v>
      </c>
      <c r="AC23" s="60">
        <f t="shared" si="24"/>
        <v>-16.91</v>
      </c>
      <c r="AD23" s="8">
        <f t="shared" si="2"/>
        <v>-290.08</v>
      </c>
      <c r="AE23" s="2" t="s">
        <v>84</v>
      </c>
      <c r="AG23" s="61">
        <v>-562000</v>
      </c>
      <c r="AH23" s="61">
        <v>-562000</v>
      </c>
      <c r="AI23" s="6"/>
      <c r="AJ23" s="61">
        <v>-3204304</v>
      </c>
      <c r="AK23" s="61">
        <v>187871</v>
      </c>
      <c r="AL23" s="61"/>
      <c r="AM23" s="22"/>
      <c r="AO23" s="22" t="s">
        <v>110</v>
      </c>
      <c r="AP23" s="23" t="s">
        <v>103</v>
      </c>
      <c r="AQ23" s="22" t="s">
        <v>113</v>
      </c>
      <c r="AR23" s="51" t="str">
        <f t="shared" si="14"/>
        <v>JD8T-18C612-CA</v>
      </c>
      <c r="AS23" s="3"/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1</v>
      </c>
      <c r="BA23" s="22">
        <v>0</v>
      </c>
      <c r="BB23" s="2">
        <f t="shared" si="21"/>
        <v>0.05</v>
      </c>
      <c r="BD23" s="60">
        <v>-255.7</v>
      </c>
      <c r="BE23" s="60">
        <v>-2.8</v>
      </c>
      <c r="BF23" s="60">
        <v>-5.65</v>
      </c>
      <c r="BG23" s="60">
        <v>-9.02</v>
      </c>
      <c r="BH23" s="60">
        <f>-25.93-BG23</f>
        <v>-16.91</v>
      </c>
      <c r="BI23" s="8">
        <f t="shared" si="15"/>
        <v>-290.08</v>
      </c>
      <c r="BJ23" s="2" t="s">
        <v>84</v>
      </c>
      <c r="BL23" s="61">
        <v>-562000</v>
      </c>
      <c r="BM23" s="61">
        <v>-562000</v>
      </c>
      <c r="BO23" s="61">
        <v>-3204304</v>
      </c>
      <c r="BP23" s="61">
        <v>187871</v>
      </c>
      <c r="BQ23" s="61"/>
      <c r="BS23" s="61">
        <f t="shared" si="3"/>
        <v>0</v>
      </c>
      <c r="BT23" s="61">
        <f t="shared" si="4"/>
        <v>0</v>
      </c>
      <c r="BU23" s="61">
        <f t="shared" si="5"/>
        <v>0</v>
      </c>
      <c r="BV23" s="61">
        <f t="shared" si="5"/>
        <v>0</v>
      </c>
      <c r="BW23" s="61">
        <f t="shared" si="5"/>
        <v>0</v>
      </c>
      <c r="BX23" s="61">
        <f t="shared" si="5"/>
        <v>0</v>
      </c>
      <c r="BY23" s="61" t="s">
        <v>84</v>
      </c>
      <c r="CA23" s="61">
        <f t="shared" si="6"/>
        <v>0</v>
      </c>
      <c r="CB23" s="61">
        <f t="shared" si="6"/>
        <v>0</v>
      </c>
      <c r="CC23" s="61">
        <f t="shared" si="6"/>
        <v>0</v>
      </c>
      <c r="CD23" s="61">
        <f t="shared" si="6"/>
        <v>0</v>
      </c>
      <c r="CE23" s="61">
        <f t="shared" si="6"/>
        <v>0</v>
      </c>
      <c r="CF23" s="61">
        <f t="shared" si="6"/>
        <v>0</v>
      </c>
      <c r="CG23" s="61">
        <f t="shared" si="6"/>
        <v>0</v>
      </c>
      <c r="CH23" s="61">
        <f t="shared" si="6"/>
        <v>-38.468482021964796</v>
      </c>
      <c r="CI23" s="61">
        <f t="shared" si="7"/>
        <v>-1.9234241010982398</v>
      </c>
      <c r="CJ23" s="61"/>
      <c r="CK23" s="61">
        <f t="shared" si="8"/>
        <v>0</v>
      </c>
      <c r="CL23" s="61">
        <f t="shared" si="8"/>
        <v>0</v>
      </c>
      <c r="CM23" s="61">
        <f t="shared" si="8"/>
        <v>0</v>
      </c>
      <c r="CN23" s="61">
        <f t="shared" si="8"/>
        <v>0</v>
      </c>
      <c r="CO23" s="61">
        <f t="shared" si="8"/>
        <v>0</v>
      </c>
      <c r="CP23" s="61">
        <f t="shared" si="8"/>
        <v>0</v>
      </c>
      <c r="CQ23" s="61">
        <f t="shared" si="8"/>
        <v>0</v>
      </c>
      <c r="CR23" s="61">
        <f t="shared" si="8"/>
        <v>-43.640740183541446</v>
      </c>
      <c r="CS23" s="61">
        <f t="shared" si="9"/>
        <v>-2.1820370091770722</v>
      </c>
      <c r="CT23" s="61">
        <f t="shared" si="10"/>
        <v>-14.504</v>
      </c>
      <c r="CV23" s="61">
        <f t="shared" si="11"/>
        <v>0</v>
      </c>
      <c r="CW23" s="61">
        <f t="shared" si="12"/>
        <v>0</v>
      </c>
      <c r="CX23" s="61"/>
      <c r="CY23" s="61">
        <f t="shared" si="13"/>
        <v>0</v>
      </c>
      <c r="CZ23" s="61">
        <f t="shared" si="13"/>
        <v>0</v>
      </c>
      <c r="DA23" s="61">
        <f t="shared" si="13"/>
        <v>0</v>
      </c>
      <c r="DB23" s="2" t="s">
        <v>85</v>
      </c>
      <c r="DC23" s="2" t="s">
        <v>85</v>
      </c>
      <c r="DD23" s="2" t="s">
        <v>87</v>
      </c>
      <c r="DE23" s="2" t="s">
        <v>88</v>
      </c>
      <c r="DF23" s="3" t="s">
        <v>86</v>
      </c>
      <c r="DG23" s="62">
        <v>42893</v>
      </c>
      <c r="EC23" s="60"/>
      <c r="ED23" s="60"/>
      <c r="EE23" s="60"/>
      <c r="EF23" s="60"/>
    </row>
    <row r="24" spans="2:140" ht="12.75" hidden="1" customHeight="1">
      <c r="B24" s="1" t="s">
        <v>121</v>
      </c>
      <c r="C24" s="22" t="s">
        <v>108</v>
      </c>
      <c r="D24" s="22" t="s">
        <v>112</v>
      </c>
      <c r="E24" s="2" t="str">
        <f>VLOOKUP($C24,[1]Detail!$C:$AK,6,0)</f>
        <v>PMT5</v>
      </c>
      <c r="F24" s="2" t="str">
        <f>VLOOKUP($C24,[1]Detail!$C:$AK,7,0)</f>
        <v>TH</v>
      </c>
      <c r="G24" s="2" t="str">
        <f>VLOOKUP($C24,[1]Detail!$C:$AK,5,0)</f>
        <v>B</v>
      </c>
      <c r="J24" s="22" t="s">
        <v>110</v>
      </c>
      <c r="K24" s="23" t="s">
        <v>103</v>
      </c>
      <c r="L24" s="22" t="s">
        <v>122</v>
      </c>
      <c r="M24" s="51" t="str">
        <f t="shared" si="0"/>
        <v>JD8T-18C612-CB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1</v>
      </c>
      <c r="W24" s="2">
        <f t="shared" si="1"/>
        <v>0.1</v>
      </c>
      <c r="Y24" s="60">
        <f>-255.7-2.62</f>
        <v>-258.32</v>
      </c>
      <c r="Z24" s="60">
        <v>-2.8</v>
      </c>
      <c r="AA24" s="60">
        <v>-5.65</v>
      </c>
      <c r="AB24" s="60">
        <v>-9.02</v>
      </c>
      <c r="AC24" s="60">
        <f t="shared" si="24"/>
        <v>-16.91</v>
      </c>
      <c r="AD24" s="8">
        <f t="shared" si="2"/>
        <v>-292.7</v>
      </c>
      <c r="AE24" s="2" t="s">
        <v>84</v>
      </c>
      <c r="AG24" s="61">
        <v>-562000</v>
      </c>
      <c r="AH24" s="61">
        <v>-562000</v>
      </c>
      <c r="AI24" s="6"/>
      <c r="AJ24" s="61">
        <v>-3204304</v>
      </c>
      <c r="AK24" s="61">
        <v>187871</v>
      </c>
      <c r="AL24" s="61"/>
      <c r="AM24" s="22"/>
      <c r="AO24" s="22" t="s">
        <v>110</v>
      </c>
      <c r="AP24" s="23" t="s">
        <v>103</v>
      </c>
      <c r="AQ24" s="22" t="s">
        <v>113</v>
      </c>
      <c r="AR24" s="51" t="str">
        <f t="shared" si="14"/>
        <v>JD8T-18C612-CA</v>
      </c>
      <c r="AS24" s="3"/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1</v>
      </c>
      <c r="BA24" s="22">
        <v>1</v>
      </c>
      <c r="BB24" s="2">
        <f t="shared" si="21"/>
        <v>0.1</v>
      </c>
      <c r="BD24" s="60">
        <v>-255.7</v>
      </c>
      <c r="BE24" s="60">
        <v>-2.8</v>
      </c>
      <c r="BF24" s="60">
        <v>-5.65</v>
      </c>
      <c r="BG24" s="60">
        <v>-9.02</v>
      </c>
      <c r="BH24" s="60">
        <f>-25.93-BG24</f>
        <v>-16.91</v>
      </c>
      <c r="BI24" s="8">
        <f t="shared" si="15"/>
        <v>-290.08</v>
      </c>
      <c r="BJ24" s="2" t="s">
        <v>84</v>
      </c>
      <c r="BL24" s="61">
        <v>-562000</v>
      </c>
      <c r="BM24" s="61">
        <v>-562000</v>
      </c>
      <c r="BO24" s="61">
        <v>-3204304</v>
      </c>
      <c r="BP24" s="61">
        <v>187871</v>
      </c>
      <c r="BQ24" s="61"/>
      <c r="BS24" s="61">
        <f t="shared" si="3"/>
        <v>-2.6200000000000045</v>
      </c>
      <c r="BT24" s="61">
        <f t="shared" si="4"/>
        <v>0</v>
      </c>
      <c r="BU24" s="61">
        <f t="shared" si="5"/>
        <v>0</v>
      </c>
      <c r="BV24" s="61">
        <f t="shared" si="5"/>
        <v>0</v>
      </c>
      <c r="BW24" s="61">
        <f t="shared" si="5"/>
        <v>0</v>
      </c>
      <c r="BX24" s="61">
        <f t="shared" si="5"/>
        <v>-2.6200000000000045</v>
      </c>
      <c r="BY24" s="61" t="s">
        <v>84</v>
      </c>
      <c r="CA24" s="61">
        <f t="shared" si="6"/>
        <v>0</v>
      </c>
      <c r="CB24" s="61">
        <f t="shared" si="6"/>
        <v>0</v>
      </c>
      <c r="CC24" s="61">
        <f t="shared" si="6"/>
        <v>0</v>
      </c>
      <c r="CD24" s="61">
        <f t="shared" si="6"/>
        <v>0</v>
      </c>
      <c r="CE24" s="61">
        <f t="shared" si="6"/>
        <v>0</v>
      </c>
      <c r="CF24" s="61">
        <f t="shared" si="6"/>
        <v>0</v>
      </c>
      <c r="CG24" s="61">
        <f t="shared" si="6"/>
        <v>-0.3941627802015954</v>
      </c>
      <c r="CH24" s="61">
        <f t="shared" si="6"/>
        <v>-0.3941627802015954</v>
      </c>
      <c r="CI24" s="61">
        <f t="shared" si="7"/>
        <v>-3.941627802015954E-2</v>
      </c>
      <c r="CJ24" s="61"/>
      <c r="CK24" s="61">
        <f t="shared" si="8"/>
        <v>0</v>
      </c>
      <c r="CL24" s="61">
        <f t="shared" si="8"/>
        <v>0</v>
      </c>
      <c r="CM24" s="61">
        <f t="shared" si="8"/>
        <v>0</v>
      </c>
      <c r="CN24" s="61">
        <f t="shared" si="8"/>
        <v>0</v>
      </c>
      <c r="CO24" s="61">
        <f t="shared" si="8"/>
        <v>0</v>
      </c>
      <c r="CP24" s="61">
        <f t="shared" si="8"/>
        <v>0</v>
      </c>
      <c r="CQ24" s="61">
        <f t="shared" si="8"/>
        <v>-0.3941627802015954</v>
      </c>
      <c r="CR24" s="61">
        <f t="shared" si="8"/>
        <v>-0.3941627802015954</v>
      </c>
      <c r="CS24" s="61">
        <f t="shared" si="9"/>
        <v>-3.941627802015954E-2</v>
      </c>
      <c r="CT24" s="61">
        <f t="shared" si="10"/>
        <v>-0.26200000000000045</v>
      </c>
      <c r="CV24" s="61">
        <f t="shared" si="11"/>
        <v>0</v>
      </c>
      <c r="CW24" s="61">
        <f t="shared" si="12"/>
        <v>0</v>
      </c>
      <c r="CX24" s="61"/>
      <c r="CY24" s="61">
        <f t="shared" si="13"/>
        <v>0</v>
      </c>
      <c r="CZ24" s="61">
        <f t="shared" si="13"/>
        <v>0</v>
      </c>
      <c r="DA24" s="61">
        <f t="shared" si="13"/>
        <v>0</v>
      </c>
      <c r="DB24" s="2" t="s">
        <v>85</v>
      </c>
      <c r="DC24" s="2" t="s">
        <v>85</v>
      </c>
      <c r="DD24" s="2" t="s">
        <v>87</v>
      </c>
      <c r="DE24" s="2" t="s">
        <v>94</v>
      </c>
      <c r="DF24" s="3" t="s">
        <v>86</v>
      </c>
      <c r="DG24" s="62">
        <v>42921</v>
      </c>
      <c r="EC24" s="60"/>
      <c r="ED24" s="60"/>
      <c r="EE24" s="60"/>
      <c r="EF24" s="60"/>
    </row>
    <row r="25" spans="2:140" ht="12.75" hidden="1" customHeight="1">
      <c r="B25" s="1" t="s">
        <v>117</v>
      </c>
      <c r="C25" s="22" t="s">
        <v>108</v>
      </c>
      <c r="D25" s="22" t="s">
        <v>112</v>
      </c>
      <c r="E25" s="2" t="str">
        <f>VLOOKUP($C25,[1]Detail!$C:$AK,6,0)</f>
        <v>PMT5</v>
      </c>
      <c r="F25" s="2" t="str">
        <f>VLOOKUP($C25,[1]Detail!$C:$AK,7,0)</f>
        <v>TH</v>
      </c>
      <c r="G25" s="2" t="str">
        <f>VLOOKUP($C25,[1]Detail!$C:$AK,5,0)</f>
        <v>B</v>
      </c>
      <c r="J25" s="22" t="s">
        <v>110</v>
      </c>
      <c r="K25" s="23" t="s">
        <v>103</v>
      </c>
      <c r="L25" s="22" t="s">
        <v>122</v>
      </c>
      <c r="M25" s="51" t="str">
        <f t="shared" si="0"/>
        <v>JD8T-18C612-CB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1</v>
      </c>
      <c r="V25" s="22">
        <v>1</v>
      </c>
      <c r="W25" s="2">
        <f t="shared" si="1"/>
        <v>0.1</v>
      </c>
      <c r="Y25" s="60">
        <f>-255.7-2.62</f>
        <v>-258.32</v>
      </c>
      <c r="Z25" s="60">
        <v>-2.8</v>
      </c>
      <c r="AA25" s="60">
        <v>-5.65</v>
      </c>
      <c r="AB25" s="60">
        <v>-9.02</v>
      </c>
      <c r="AC25" s="60">
        <f t="shared" si="24"/>
        <v>-16.91</v>
      </c>
      <c r="AD25" s="8">
        <f t="shared" si="2"/>
        <v>-292.7</v>
      </c>
      <c r="AE25" s="2" t="s">
        <v>84</v>
      </c>
      <c r="AG25" s="61">
        <v>-562000</v>
      </c>
      <c r="AH25" s="61">
        <v>-562000</v>
      </c>
      <c r="AI25" s="6"/>
      <c r="AJ25" s="61">
        <v>-3204304</v>
      </c>
      <c r="AK25" s="61">
        <v>187871</v>
      </c>
      <c r="AL25" s="61"/>
      <c r="AM25" s="22"/>
      <c r="AO25" s="22" t="s">
        <v>110</v>
      </c>
      <c r="AP25" s="23" t="s">
        <v>103</v>
      </c>
      <c r="AQ25" s="22" t="s">
        <v>122</v>
      </c>
      <c r="AR25" s="51" t="str">
        <f t="shared" si="14"/>
        <v>JD8T-18C612-CB</v>
      </c>
      <c r="AS25" s="3"/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1</v>
      </c>
      <c r="BA25" s="22">
        <v>1</v>
      </c>
      <c r="BB25" s="2">
        <f t="shared" si="21"/>
        <v>0.1</v>
      </c>
      <c r="BD25" s="60">
        <f>-255.7-2.62</f>
        <v>-258.32</v>
      </c>
      <c r="BE25" s="60">
        <v>-2.8</v>
      </c>
      <c r="BF25" s="60">
        <v>-5.65</v>
      </c>
      <c r="BG25" s="60">
        <v>-9.02</v>
      </c>
      <c r="BH25" s="60">
        <f t="shared" ref="BH25" si="28">-25.93-BG25</f>
        <v>-16.91</v>
      </c>
      <c r="BI25" s="8">
        <f t="shared" si="15"/>
        <v>-292.7</v>
      </c>
      <c r="BJ25" s="2" t="s">
        <v>84</v>
      </c>
      <c r="BL25" s="61">
        <v>-562000</v>
      </c>
      <c r="BM25" s="61">
        <v>-562000</v>
      </c>
      <c r="BN25" s="6"/>
      <c r="BO25" s="61">
        <v>-3204304</v>
      </c>
      <c r="BP25" s="61">
        <v>187871</v>
      </c>
      <c r="BQ25" s="61"/>
      <c r="BS25" s="61">
        <f t="shared" si="3"/>
        <v>0</v>
      </c>
      <c r="BT25" s="61">
        <f t="shared" si="4"/>
        <v>0</v>
      </c>
      <c r="BU25" s="61">
        <f t="shared" si="5"/>
        <v>0</v>
      </c>
      <c r="BV25" s="61">
        <f t="shared" si="5"/>
        <v>0</v>
      </c>
      <c r="BW25" s="61">
        <f t="shared" si="5"/>
        <v>0</v>
      </c>
      <c r="BX25" s="61">
        <f t="shared" si="5"/>
        <v>0</v>
      </c>
      <c r="BY25" s="61" t="s">
        <v>84</v>
      </c>
      <c r="CA25" s="61">
        <f t="shared" si="6"/>
        <v>0</v>
      </c>
      <c r="CB25" s="61">
        <f t="shared" si="6"/>
        <v>0</v>
      </c>
      <c r="CC25" s="61">
        <f t="shared" si="6"/>
        <v>0</v>
      </c>
      <c r="CD25" s="61">
        <f t="shared" si="6"/>
        <v>0</v>
      </c>
      <c r="CE25" s="61">
        <f t="shared" si="6"/>
        <v>0</v>
      </c>
      <c r="CF25" s="61">
        <f t="shared" si="6"/>
        <v>0</v>
      </c>
      <c r="CG25" s="61">
        <f t="shared" si="6"/>
        <v>0</v>
      </c>
      <c r="CH25" s="61">
        <f t="shared" si="6"/>
        <v>0</v>
      </c>
      <c r="CI25" s="61">
        <f t="shared" si="7"/>
        <v>0</v>
      </c>
      <c r="CJ25" s="61"/>
      <c r="CK25" s="61">
        <f t="shared" si="8"/>
        <v>0</v>
      </c>
      <c r="CL25" s="61">
        <f t="shared" si="8"/>
        <v>0</v>
      </c>
      <c r="CM25" s="61">
        <f t="shared" si="8"/>
        <v>0</v>
      </c>
      <c r="CN25" s="61">
        <f t="shared" si="8"/>
        <v>0</v>
      </c>
      <c r="CO25" s="61">
        <f t="shared" si="8"/>
        <v>0</v>
      </c>
      <c r="CP25" s="61">
        <f t="shared" si="8"/>
        <v>0</v>
      </c>
      <c r="CQ25" s="61">
        <f t="shared" si="8"/>
        <v>0</v>
      </c>
      <c r="CR25" s="61">
        <f t="shared" si="8"/>
        <v>0</v>
      </c>
      <c r="CS25" s="61">
        <f t="shared" si="9"/>
        <v>0</v>
      </c>
      <c r="CT25" s="61">
        <f t="shared" si="10"/>
        <v>0</v>
      </c>
      <c r="CV25" s="61">
        <f t="shared" si="11"/>
        <v>0</v>
      </c>
      <c r="CW25" s="61">
        <f t="shared" ref="CW25" si="29">SUM(AH25)-SUM(BM25)</f>
        <v>0</v>
      </c>
      <c r="CX25" s="61"/>
      <c r="CY25" s="61">
        <f t="shared" ref="CY25" si="30">SUM(AJ25)-SUM(BO25)</f>
        <v>0</v>
      </c>
      <c r="CZ25" s="61">
        <f t="shared" si="13"/>
        <v>0</v>
      </c>
      <c r="DA25" s="61">
        <f t="shared" si="13"/>
        <v>0</v>
      </c>
      <c r="DB25" s="2" t="s">
        <v>86</v>
      </c>
      <c r="DC25" s="2" t="s">
        <v>85</v>
      </c>
      <c r="DD25" s="2" t="s">
        <v>87</v>
      </c>
      <c r="DE25" s="2" t="s">
        <v>106</v>
      </c>
      <c r="DF25" s="3" t="s">
        <v>118</v>
      </c>
      <c r="DG25" s="62">
        <v>43117</v>
      </c>
      <c r="EC25" s="60" t="str">
        <f>VLOOKUP($M25,[1]Detail!$M:$BO,1,0)</f>
        <v>JD8T-18C612-CB</v>
      </c>
      <c r="ED25" s="60">
        <f>VLOOKUP($M25,[1]Detail!$M:$BO,22,0)</f>
        <v>-292.7</v>
      </c>
      <c r="EE25" s="60">
        <f>VLOOKUP($M25,[1]Detail!$M:$BO,42,0)</f>
        <v>0</v>
      </c>
      <c r="EF25" s="60">
        <f>VLOOKUP($M25,[1]Detail!$M:$BO,45,0)</f>
        <v>-3204304</v>
      </c>
      <c r="EH25" s="60">
        <f>ED25-AD25</f>
        <v>0</v>
      </c>
      <c r="EI25" s="60">
        <f>EE25-AG25</f>
        <v>562000</v>
      </c>
      <c r="EJ25" s="60">
        <f t="shared" ref="EJ25:EJ27" si="31">EF25-AJ25</f>
        <v>0</v>
      </c>
    </row>
    <row r="26" spans="2:140" ht="12.75" hidden="1" customHeight="1">
      <c r="B26" s="1" t="s">
        <v>119</v>
      </c>
      <c r="C26" s="22" t="s">
        <v>108</v>
      </c>
      <c r="D26" s="22" t="s">
        <v>112</v>
      </c>
      <c r="E26" s="2" t="str">
        <f>VLOOKUP($C26,[1]Detail!$C:$AK,6,0)</f>
        <v>PMT5</v>
      </c>
      <c r="F26" s="2" t="str">
        <f>VLOOKUP($C26,[1]Detail!$C:$AK,7,0)</f>
        <v>TH</v>
      </c>
      <c r="G26" s="2" t="str">
        <f>VLOOKUP($C26,[1]Detail!$C:$AK,5,0)</f>
        <v>B</v>
      </c>
      <c r="J26" s="22" t="s">
        <v>110</v>
      </c>
      <c r="K26" s="23" t="s">
        <v>103</v>
      </c>
      <c r="L26" s="22" t="s">
        <v>115</v>
      </c>
      <c r="M26" s="51" t="str">
        <f t="shared" si="0"/>
        <v>JD8T-18C612-DA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">
        <f t="shared" si="1"/>
        <v>0</v>
      </c>
      <c r="Y26" s="60">
        <f>-256.46*0</f>
        <v>0</v>
      </c>
      <c r="Z26" s="60">
        <f>-2.8*0</f>
        <v>0</v>
      </c>
      <c r="AA26" s="60">
        <f>-5.65*0</f>
        <v>0</v>
      </c>
      <c r="AB26" s="60">
        <f>-9.02*0</f>
        <v>0</v>
      </c>
      <c r="AC26" s="60">
        <f>(-25.93-AB26)*0</f>
        <v>0</v>
      </c>
      <c r="AD26" s="8">
        <f t="shared" si="2"/>
        <v>0</v>
      </c>
      <c r="AE26" s="2" t="s">
        <v>84</v>
      </c>
      <c r="AG26" s="61">
        <v>0</v>
      </c>
      <c r="AH26" s="61">
        <v>0</v>
      </c>
      <c r="AJ26" s="61" t="s">
        <v>114</v>
      </c>
      <c r="AK26" s="61"/>
      <c r="AL26" s="61"/>
      <c r="AM26" s="22"/>
      <c r="AO26" s="22" t="s">
        <v>110</v>
      </c>
      <c r="AP26" s="23" t="s">
        <v>103</v>
      </c>
      <c r="AQ26" s="22" t="s">
        <v>115</v>
      </c>
      <c r="AR26" s="51" t="str">
        <f t="shared" si="14"/>
        <v>JD8T-18C612-DA</v>
      </c>
      <c r="AS26" s="3"/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1</v>
      </c>
      <c r="BB26" s="2">
        <f t="shared" si="21"/>
        <v>0.05</v>
      </c>
      <c r="BD26" s="60">
        <v>-256.45999999999998</v>
      </c>
      <c r="BE26" s="60">
        <v>-2.8</v>
      </c>
      <c r="BF26" s="60">
        <v>-5.65</v>
      </c>
      <c r="BG26" s="60">
        <v>-9.02</v>
      </c>
      <c r="BH26" s="60">
        <f>-25.93-BG26</f>
        <v>-16.91</v>
      </c>
      <c r="BI26" s="8">
        <f t="shared" si="15"/>
        <v>-290.83999999999997</v>
      </c>
      <c r="BJ26" s="2" t="s">
        <v>84</v>
      </c>
      <c r="BL26" s="61">
        <v>0</v>
      </c>
      <c r="BM26" s="61">
        <v>0</v>
      </c>
      <c r="BO26" s="61" t="s">
        <v>114</v>
      </c>
      <c r="BP26" s="61"/>
      <c r="BQ26" s="61"/>
      <c r="BS26" s="61">
        <f t="shared" si="3"/>
        <v>256.45999999999998</v>
      </c>
      <c r="BT26" s="61">
        <f t="shared" si="4"/>
        <v>2.8</v>
      </c>
      <c r="BU26" s="61">
        <f t="shared" si="5"/>
        <v>5.65</v>
      </c>
      <c r="BV26" s="61">
        <f t="shared" si="5"/>
        <v>9.02</v>
      </c>
      <c r="BW26" s="61">
        <f t="shared" si="5"/>
        <v>16.91</v>
      </c>
      <c r="BX26" s="61">
        <f t="shared" si="5"/>
        <v>290.83999999999997</v>
      </c>
      <c r="BY26" s="61" t="s">
        <v>84</v>
      </c>
      <c r="CA26" s="61">
        <f t="shared" si="6"/>
        <v>0</v>
      </c>
      <c r="CB26" s="61">
        <f t="shared" si="6"/>
        <v>0</v>
      </c>
      <c r="CC26" s="61">
        <f t="shared" si="6"/>
        <v>0</v>
      </c>
      <c r="CD26" s="61">
        <f t="shared" si="6"/>
        <v>0</v>
      </c>
      <c r="CE26" s="61">
        <f t="shared" si="6"/>
        <v>0</v>
      </c>
      <c r="CF26" s="61">
        <f t="shared" si="6"/>
        <v>0</v>
      </c>
      <c r="CG26" s="61">
        <f t="shared" si="6"/>
        <v>0</v>
      </c>
      <c r="CH26" s="61">
        <f t="shared" si="6"/>
        <v>38.582819316985102</v>
      </c>
      <c r="CI26" s="61">
        <f t="shared" si="7"/>
        <v>1.9291409658492551</v>
      </c>
      <c r="CJ26" s="61"/>
      <c r="CK26" s="61">
        <f t="shared" si="8"/>
        <v>0</v>
      </c>
      <c r="CL26" s="61">
        <f t="shared" si="8"/>
        <v>0</v>
      </c>
      <c r="CM26" s="61">
        <f t="shared" si="8"/>
        <v>0</v>
      </c>
      <c r="CN26" s="61">
        <f t="shared" si="8"/>
        <v>0</v>
      </c>
      <c r="CO26" s="61">
        <f t="shared" si="8"/>
        <v>0</v>
      </c>
      <c r="CP26" s="61">
        <f t="shared" si="8"/>
        <v>0</v>
      </c>
      <c r="CQ26" s="61">
        <f t="shared" si="8"/>
        <v>0</v>
      </c>
      <c r="CR26" s="61">
        <f t="shared" si="8"/>
        <v>43.755077478561752</v>
      </c>
      <c r="CS26" s="61">
        <f t="shared" si="9"/>
        <v>2.1877538739280875</v>
      </c>
      <c r="CT26" s="61">
        <f t="shared" si="10"/>
        <v>14.541999999999998</v>
      </c>
      <c r="CV26" s="61">
        <f t="shared" si="11"/>
        <v>0</v>
      </c>
      <c r="CW26" s="61">
        <f t="shared" si="12"/>
        <v>0</v>
      </c>
      <c r="CX26" s="61"/>
      <c r="CY26" s="61">
        <f t="shared" si="13"/>
        <v>0</v>
      </c>
      <c r="CZ26" s="61">
        <f t="shared" si="13"/>
        <v>0</v>
      </c>
      <c r="DA26" s="61">
        <f t="shared" si="13"/>
        <v>0</v>
      </c>
      <c r="DB26" s="2" t="s">
        <v>86</v>
      </c>
      <c r="DC26" s="2" t="s">
        <v>85</v>
      </c>
      <c r="DD26" s="2" t="s">
        <v>87</v>
      </c>
      <c r="DE26" s="2" t="s">
        <v>88</v>
      </c>
      <c r="DF26" s="3" t="s">
        <v>86</v>
      </c>
      <c r="DG26" s="62">
        <v>42893</v>
      </c>
      <c r="EC26" s="60" t="str">
        <f>VLOOKUP($M26,[1]Detail!$M:$BO,1,0)</f>
        <v>JD8T-18C612-DA</v>
      </c>
      <c r="ED26" s="60">
        <f>VLOOKUP($M26,[1]Detail!$M:$BO,22,0)</f>
        <v>-290.83999999999997</v>
      </c>
      <c r="EE26" s="60">
        <f>VLOOKUP($M26,[1]Detail!$M:$BO,42,0)</f>
        <v>0</v>
      </c>
      <c r="EF26" s="60">
        <f>VLOOKUP($M26,[1]Detail!$M:$BO,45,0)</f>
        <v>0</v>
      </c>
      <c r="EH26" s="60">
        <f>ED26-AD26</f>
        <v>-290.83999999999997</v>
      </c>
      <c r="EI26" s="60">
        <f>EE26-AG26</f>
        <v>0</v>
      </c>
      <c r="EJ26" s="60" t="e">
        <f t="shared" si="31"/>
        <v>#VALUE!</v>
      </c>
    </row>
    <row r="27" spans="2:140" ht="12.75" hidden="1" customHeight="1">
      <c r="B27" s="1" t="s">
        <v>123</v>
      </c>
      <c r="C27" s="22" t="s">
        <v>124</v>
      </c>
      <c r="D27" s="22" t="s">
        <v>125</v>
      </c>
      <c r="E27" s="2" t="str">
        <f>VLOOKUP($C27,[1]Detail!$C:$AK,6,0)</f>
        <v>PMT2</v>
      </c>
      <c r="F27" s="2" t="str">
        <f>VLOOKUP($C27,[1]Detail!$C:$AK,7,0)</f>
        <v>TH</v>
      </c>
      <c r="G27" s="2" t="str">
        <f>VLOOKUP($C27,[1]Detail!$C:$AK,5,0)</f>
        <v>B</v>
      </c>
      <c r="J27" s="22" t="s">
        <v>126</v>
      </c>
      <c r="K27" s="23" t="s">
        <v>127</v>
      </c>
      <c r="L27" s="22" t="s">
        <v>100</v>
      </c>
      <c r="M27" s="51" t="str">
        <f t="shared" si="0"/>
        <v>JD8B-F01688 -AA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">
        <f t="shared" si="1"/>
        <v>1</v>
      </c>
      <c r="Y27" s="60">
        <v>-100.92</v>
      </c>
      <c r="Z27" s="60">
        <v>-0.83</v>
      </c>
      <c r="AA27" s="60">
        <v>-1.46</v>
      </c>
      <c r="AB27" s="60">
        <v>0</v>
      </c>
      <c r="AC27" s="60">
        <v>0</v>
      </c>
      <c r="AD27" s="8">
        <f t="shared" si="2"/>
        <v>-103.21</v>
      </c>
      <c r="AE27" s="2" t="s">
        <v>84</v>
      </c>
      <c r="AG27" s="61">
        <v>-32000</v>
      </c>
      <c r="AH27" s="61">
        <v>-32000</v>
      </c>
      <c r="AI27" s="6"/>
      <c r="AJ27" s="61">
        <v>0</v>
      </c>
      <c r="AK27" s="61">
        <v>0</v>
      </c>
      <c r="AL27" s="61">
        <v>0</v>
      </c>
      <c r="AM27" s="22"/>
      <c r="AO27" s="22" t="s">
        <v>128</v>
      </c>
      <c r="AP27" s="23" t="s">
        <v>127</v>
      </c>
      <c r="AQ27" s="22" t="s">
        <v>129</v>
      </c>
      <c r="AR27" s="51" t="str">
        <f t="shared" si="14"/>
        <v>ED8B-F01688 -AE</v>
      </c>
      <c r="AS27" s="3"/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">
        <f>SUMPRODUCT(AT27:BA27,$AT$6:$BA$6)</f>
        <v>1</v>
      </c>
      <c r="BD27" s="60">
        <v>-100.92</v>
      </c>
      <c r="BE27" s="60">
        <v>-0.83</v>
      </c>
      <c r="BF27" s="60">
        <v>-1.46</v>
      </c>
      <c r="BG27" s="60">
        <v>0</v>
      </c>
      <c r="BH27" s="60">
        <v>0</v>
      </c>
      <c r="BI27" s="8">
        <f t="shared" si="15"/>
        <v>-103.21</v>
      </c>
      <c r="BJ27" s="2" t="s">
        <v>84</v>
      </c>
      <c r="BL27" s="61">
        <v>0</v>
      </c>
      <c r="BM27" s="61">
        <v>0</v>
      </c>
      <c r="BO27" s="61">
        <v>0</v>
      </c>
      <c r="BP27" s="61">
        <v>0</v>
      </c>
      <c r="BQ27" s="61">
        <v>0</v>
      </c>
      <c r="BS27" s="61">
        <f t="shared" si="3"/>
        <v>0</v>
      </c>
      <c r="BT27" s="61">
        <f t="shared" si="4"/>
        <v>0</v>
      </c>
      <c r="BU27" s="61">
        <f t="shared" si="5"/>
        <v>0</v>
      </c>
      <c r="BV27" s="61">
        <f t="shared" si="5"/>
        <v>0</v>
      </c>
      <c r="BW27" s="61">
        <f t="shared" si="5"/>
        <v>0</v>
      </c>
      <c r="BX27" s="61">
        <f t="shared" si="5"/>
        <v>0</v>
      </c>
      <c r="BY27" s="61" t="s">
        <v>84</v>
      </c>
      <c r="CA27" s="61">
        <f t="shared" si="6"/>
        <v>0</v>
      </c>
      <c r="CB27" s="61">
        <f t="shared" si="6"/>
        <v>0</v>
      </c>
      <c r="CC27" s="61">
        <f t="shared" si="6"/>
        <v>0</v>
      </c>
      <c r="CD27" s="61">
        <f t="shared" si="6"/>
        <v>0</v>
      </c>
      <c r="CE27" s="61">
        <f t="shared" si="6"/>
        <v>0</v>
      </c>
      <c r="CF27" s="61">
        <f t="shared" si="6"/>
        <v>0</v>
      </c>
      <c r="CG27" s="61">
        <f t="shared" si="6"/>
        <v>0</v>
      </c>
      <c r="CH27" s="61">
        <f t="shared" si="6"/>
        <v>0</v>
      </c>
      <c r="CI27" s="61">
        <f t="shared" si="7"/>
        <v>0</v>
      </c>
      <c r="CJ27" s="61"/>
      <c r="CK27" s="61">
        <f t="shared" si="8"/>
        <v>0</v>
      </c>
      <c r="CL27" s="61">
        <f t="shared" si="8"/>
        <v>0</v>
      </c>
      <c r="CM27" s="61">
        <f t="shared" si="8"/>
        <v>0</v>
      </c>
      <c r="CN27" s="61">
        <f t="shared" si="8"/>
        <v>0</v>
      </c>
      <c r="CO27" s="61">
        <f t="shared" si="8"/>
        <v>0</v>
      </c>
      <c r="CP27" s="61">
        <f t="shared" si="8"/>
        <v>0</v>
      </c>
      <c r="CQ27" s="61">
        <f t="shared" si="8"/>
        <v>0</v>
      </c>
      <c r="CR27" s="61">
        <f t="shared" si="8"/>
        <v>0</v>
      </c>
      <c r="CS27" s="61">
        <f t="shared" si="9"/>
        <v>0</v>
      </c>
      <c r="CT27" s="61">
        <f t="shared" si="10"/>
        <v>0</v>
      </c>
      <c r="CV27" s="61">
        <f t="shared" si="11"/>
        <v>-32000</v>
      </c>
      <c r="CW27" s="61">
        <f t="shared" si="12"/>
        <v>-32000</v>
      </c>
      <c r="CX27" s="61"/>
      <c r="CY27" s="61">
        <f t="shared" si="13"/>
        <v>0</v>
      </c>
      <c r="CZ27" s="61">
        <f t="shared" si="13"/>
        <v>0</v>
      </c>
      <c r="DA27" s="61">
        <f t="shared" si="13"/>
        <v>0</v>
      </c>
      <c r="DB27" s="2" t="s">
        <v>86</v>
      </c>
      <c r="DC27" s="2" t="s">
        <v>86</v>
      </c>
      <c r="DD27" s="2" t="s">
        <v>87</v>
      </c>
      <c r="DE27" s="2" t="s">
        <v>88</v>
      </c>
      <c r="DF27" s="3" t="s">
        <v>86</v>
      </c>
      <c r="DG27" s="62">
        <v>42748</v>
      </c>
      <c r="EC27" s="60" t="str">
        <f>VLOOKUP($M27,[1]Detail!$M:$BO,1,0)</f>
        <v>JD8B-F01688 -AA</v>
      </c>
      <c r="ED27" s="60">
        <f>VLOOKUP($M27,[1]Detail!$M:$BO,22,0)</f>
        <v>-103.21</v>
      </c>
      <c r="EE27" s="60">
        <f>VLOOKUP($M27,[1]Detail!$M:$BO,42,0)</f>
        <v>-32000</v>
      </c>
      <c r="EF27" s="60">
        <f>VLOOKUP($M27,[1]Detail!$M:$BO,45,0)</f>
        <v>0</v>
      </c>
      <c r="EH27" s="60">
        <f>ED27-AD27</f>
        <v>0</v>
      </c>
      <c r="EI27" s="60">
        <f>EE27-AG27</f>
        <v>0</v>
      </c>
      <c r="EJ27" s="60">
        <f t="shared" si="31"/>
        <v>0</v>
      </c>
    </row>
    <row r="28" spans="2:140" ht="12.75" hidden="1" customHeight="1">
      <c r="B28" s="1" t="s">
        <v>130</v>
      </c>
      <c r="C28" s="22" t="s">
        <v>124</v>
      </c>
      <c r="D28" s="22" t="s">
        <v>125</v>
      </c>
      <c r="E28" s="2" t="str">
        <f>VLOOKUP($C28,[1]Detail!$C:$AK,6,0)</f>
        <v>PMT2</v>
      </c>
      <c r="F28" s="2" t="str">
        <f>VLOOKUP($C28,[1]Detail!$C:$AK,7,0)</f>
        <v>TH</v>
      </c>
      <c r="G28" s="2" t="str">
        <f>VLOOKUP($C28,[1]Detail!$C:$AK,5,0)</f>
        <v>B</v>
      </c>
      <c r="J28" s="22" t="s">
        <v>126</v>
      </c>
      <c r="K28" s="23" t="s">
        <v>131</v>
      </c>
      <c r="L28" s="22" t="s">
        <v>100</v>
      </c>
      <c r="M28" s="51" t="str">
        <f t="shared" si="0"/>
        <v>JD8B-F16746 -AA</v>
      </c>
      <c r="O28" s="22">
        <v>1</v>
      </c>
      <c r="P28" s="22">
        <v>1</v>
      </c>
      <c r="Q28" s="22">
        <v>1</v>
      </c>
      <c r="R28" s="22">
        <v>1</v>
      </c>
      <c r="S28" s="22">
        <v>1</v>
      </c>
      <c r="T28" s="22">
        <v>1</v>
      </c>
      <c r="U28" s="22">
        <v>1</v>
      </c>
      <c r="V28" s="22">
        <v>1</v>
      </c>
      <c r="W28" s="2">
        <f t="shared" si="1"/>
        <v>1</v>
      </c>
      <c r="Y28" s="60">
        <v>-31.38</v>
      </c>
      <c r="Z28" s="60">
        <v>-0.41</v>
      </c>
      <c r="AA28" s="60">
        <v>-0.88</v>
      </c>
      <c r="AB28" s="60">
        <v>0</v>
      </c>
      <c r="AC28" s="60">
        <v>0</v>
      </c>
      <c r="AD28" s="8">
        <f t="shared" si="2"/>
        <v>-32.67</v>
      </c>
      <c r="AE28" s="2" t="s">
        <v>84</v>
      </c>
      <c r="AG28" s="61">
        <v>-243000</v>
      </c>
      <c r="AH28" s="61">
        <v>-243000</v>
      </c>
      <c r="AI28" s="6"/>
      <c r="AJ28" s="61">
        <v>0</v>
      </c>
      <c r="AK28" s="61">
        <v>0</v>
      </c>
      <c r="AL28" s="61">
        <v>0</v>
      </c>
      <c r="AM28" s="22"/>
      <c r="AO28" s="22" t="s">
        <v>128</v>
      </c>
      <c r="AP28" s="23" t="s">
        <v>131</v>
      </c>
      <c r="AQ28" s="22" t="s">
        <v>132</v>
      </c>
      <c r="AR28" s="51" t="str">
        <f t="shared" si="14"/>
        <v>ED8B-F16746 -AB</v>
      </c>
      <c r="AS28" s="3"/>
      <c r="AT28" s="22">
        <v>1</v>
      </c>
      <c r="AU28" s="22">
        <v>1</v>
      </c>
      <c r="AV28" s="22">
        <v>1</v>
      </c>
      <c r="AW28" s="22">
        <v>1</v>
      </c>
      <c r="AX28" s="22">
        <v>1</v>
      </c>
      <c r="AY28" s="22">
        <v>1</v>
      </c>
      <c r="AZ28" s="22">
        <v>1</v>
      </c>
      <c r="BA28" s="22">
        <v>1</v>
      </c>
      <c r="BB28" s="2">
        <f>SUMPRODUCT(AT28:BA28,$AT$6:$BA$6)</f>
        <v>1</v>
      </c>
      <c r="BD28" s="60">
        <v>-31.38</v>
      </c>
      <c r="BE28" s="60">
        <v>-0.41</v>
      </c>
      <c r="BF28" s="60">
        <v>-0.88</v>
      </c>
      <c r="BG28" s="60">
        <v>0</v>
      </c>
      <c r="BH28" s="60">
        <v>0</v>
      </c>
      <c r="BI28" s="8">
        <f t="shared" si="15"/>
        <v>-32.67</v>
      </c>
      <c r="BJ28" s="2" t="s">
        <v>84</v>
      </c>
      <c r="BL28" s="61">
        <v>0</v>
      </c>
      <c r="BM28" s="61">
        <v>0</v>
      </c>
      <c r="BO28" s="61">
        <v>0</v>
      </c>
      <c r="BP28" s="61">
        <v>0</v>
      </c>
      <c r="BQ28" s="61">
        <v>0</v>
      </c>
      <c r="BS28" s="61">
        <f t="shared" si="3"/>
        <v>0</v>
      </c>
      <c r="BT28" s="61">
        <f t="shared" si="4"/>
        <v>0</v>
      </c>
      <c r="BU28" s="61">
        <f t="shared" si="5"/>
        <v>0</v>
      </c>
      <c r="BV28" s="61">
        <f t="shared" si="5"/>
        <v>0</v>
      </c>
      <c r="BW28" s="61">
        <f t="shared" si="5"/>
        <v>0</v>
      </c>
      <c r="BX28" s="61">
        <f t="shared" si="5"/>
        <v>0</v>
      </c>
      <c r="BY28" s="61" t="s">
        <v>84</v>
      </c>
      <c r="CA28" s="61">
        <f t="shared" si="6"/>
        <v>0</v>
      </c>
      <c r="CB28" s="61">
        <f t="shared" si="6"/>
        <v>0</v>
      </c>
      <c r="CC28" s="61">
        <f t="shared" si="6"/>
        <v>0</v>
      </c>
      <c r="CD28" s="61">
        <f t="shared" si="6"/>
        <v>0</v>
      </c>
      <c r="CE28" s="61">
        <f t="shared" si="6"/>
        <v>0</v>
      </c>
      <c r="CF28" s="61">
        <f t="shared" si="6"/>
        <v>0</v>
      </c>
      <c r="CG28" s="61">
        <f t="shared" si="6"/>
        <v>0</v>
      </c>
      <c r="CH28" s="61">
        <f t="shared" si="6"/>
        <v>0</v>
      </c>
      <c r="CI28" s="61">
        <f t="shared" si="7"/>
        <v>0</v>
      </c>
      <c r="CJ28" s="61"/>
      <c r="CK28" s="61">
        <f t="shared" si="8"/>
        <v>0</v>
      </c>
      <c r="CL28" s="61">
        <f t="shared" si="8"/>
        <v>0</v>
      </c>
      <c r="CM28" s="61">
        <f t="shared" si="8"/>
        <v>0</v>
      </c>
      <c r="CN28" s="61">
        <f t="shared" si="8"/>
        <v>0</v>
      </c>
      <c r="CO28" s="61">
        <f t="shared" si="8"/>
        <v>0</v>
      </c>
      <c r="CP28" s="61">
        <f t="shared" si="8"/>
        <v>0</v>
      </c>
      <c r="CQ28" s="61">
        <f t="shared" si="8"/>
        <v>0</v>
      </c>
      <c r="CR28" s="61">
        <f t="shared" si="8"/>
        <v>0</v>
      </c>
      <c r="CS28" s="61">
        <f t="shared" si="9"/>
        <v>0</v>
      </c>
      <c r="CT28" s="61">
        <f t="shared" si="10"/>
        <v>0</v>
      </c>
      <c r="CV28" s="61">
        <f t="shared" si="11"/>
        <v>-243000</v>
      </c>
      <c r="CW28" s="61">
        <f t="shared" si="12"/>
        <v>-243000</v>
      </c>
      <c r="CX28" s="61"/>
      <c r="CY28" s="61">
        <f t="shared" si="13"/>
        <v>0</v>
      </c>
      <c r="CZ28" s="61">
        <f t="shared" si="13"/>
        <v>0</v>
      </c>
      <c r="DA28" s="61">
        <f t="shared" si="13"/>
        <v>0</v>
      </c>
      <c r="DB28" s="2" t="s">
        <v>85</v>
      </c>
      <c r="DC28" s="2" t="s">
        <v>86</v>
      </c>
      <c r="DD28" s="2" t="s">
        <v>87</v>
      </c>
      <c r="DE28" s="2" t="s">
        <v>88</v>
      </c>
      <c r="DF28" s="3" t="s">
        <v>86</v>
      </c>
      <c r="DG28" s="62">
        <v>42748</v>
      </c>
      <c r="EC28" s="60"/>
      <c r="ED28" s="60"/>
      <c r="EE28" s="60"/>
      <c r="EF28" s="60"/>
    </row>
    <row r="29" spans="2:140" ht="12.75" hidden="1" customHeight="1">
      <c r="B29" s="1" t="s">
        <v>133</v>
      </c>
      <c r="C29" s="22" t="s">
        <v>124</v>
      </c>
      <c r="D29" s="22" t="s">
        <v>125</v>
      </c>
      <c r="E29" s="2" t="str">
        <f>VLOOKUP($C29,[1]Detail!$C:$AK,6,0)</f>
        <v>PMT2</v>
      </c>
      <c r="F29" s="2" t="str">
        <f>VLOOKUP($C29,[1]Detail!$C:$AK,7,0)</f>
        <v>TH</v>
      </c>
      <c r="G29" s="2" t="str">
        <f>VLOOKUP($C29,[1]Detail!$C:$AK,5,0)</f>
        <v>B</v>
      </c>
      <c r="J29" s="22" t="s">
        <v>126</v>
      </c>
      <c r="K29" s="23" t="s">
        <v>131</v>
      </c>
      <c r="L29" s="22" t="s">
        <v>132</v>
      </c>
      <c r="M29" s="51" t="str">
        <f t="shared" si="0"/>
        <v>JD8B-F16746 -AB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64">
        <f t="shared" si="1"/>
        <v>1</v>
      </c>
      <c r="Y29" s="60">
        <v>-31.38</v>
      </c>
      <c r="Z29" s="60">
        <v>-0.41</v>
      </c>
      <c r="AA29" s="60">
        <v>-0.88</v>
      </c>
      <c r="AB29" s="60">
        <v>0</v>
      </c>
      <c r="AC29" s="60">
        <v>0</v>
      </c>
      <c r="AD29" s="8">
        <f t="shared" si="2"/>
        <v>-32.67</v>
      </c>
      <c r="AE29" s="2" t="s">
        <v>84</v>
      </c>
      <c r="AG29" s="61">
        <v>-243000</v>
      </c>
      <c r="AH29" s="61">
        <v>-243000</v>
      </c>
      <c r="AI29" s="6"/>
      <c r="AJ29" s="61">
        <v>0</v>
      </c>
      <c r="AK29" s="61">
        <v>0</v>
      </c>
      <c r="AL29" s="61">
        <v>0</v>
      </c>
      <c r="AM29" s="22"/>
      <c r="AO29" s="22" t="s">
        <v>126</v>
      </c>
      <c r="AP29" s="23" t="s">
        <v>131</v>
      </c>
      <c r="AQ29" s="22" t="s">
        <v>100</v>
      </c>
      <c r="AR29" s="51" t="str">
        <f t="shared" si="14"/>
        <v>JD8B-F16746 -AA</v>
      </c>
      <c r="AS29" s="3"/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">
        <f>SUMPRODUCT(AT29:BA29,$O$6:$V$6)</f>
        <v>1</v>
      </c>
      <c r="BD29" s="60">
        <v>-31.38</v>
      </c>
      <c r="BE29" s="60">
        <v>-0.41</v>
      </c>
      <c r="BF29" s="60">
        <v>-0.88</v>
      </c>
      <c r="BG29" s="60">
        <v>0</v>
      </c>
      <c r="BH29" s="60">
        <v>0</v>
      </c>
      <c r="BI29" s="8">
        <f t="shared" si="15"/>
        <v>-32.67</v>
      </c>
      <c r="BJ29" s="2" t="s">
        <v>84</v>
      </c>
      <c r="BL29" s="61">
        <v>-243000</v>
      </c>
      <c r="BM29" s="61">
        <v>-243000</v>
      </c>
      <c r="BO29" s="61">
        <v>0</v>
      </c>
      <c r="BP29" s="61">
        <v>0</v>
      </c>
      <c r="BQ29" s="61">
        <v>0</v>
      </c>
      <c r="BS29" s="61">
        <f t="shared" si="3"/>
        <v>0</v>
      </c>
      <c r="BT29" s="61">
        <f t="shared" si="4"/>
        <v>0</v>
      </c>
      <c r="BU29" s="61">
        <f t="shared" si="5"/>
        <v>0</v>
      </c>
      <c r="BV29" s="61">
        <f t="shared" si="5"/>
        <v>0</v>
      </c>
      <c r="BW29" s="61">
        <f t="shared" si="5"/>
        <v>0</v>
      </c>
      <c r="BX29" s="61">
        <f t="shared" si="5"/>
        <v>0</v>
      </c>
      <c r="BY29" s="61" t="s">
        <v>84</v>
      </c>
      <c r="CA29" s="61">
        <f t="shared" si="6"/>
        <v>0</v>
      </c>
      <c r="CB29" s="61">
        <f t="shared" si="6"/>
        <v>0</v>
      </c>
      <c r="CC29" s="61">
        <f t="shared" si="6"/>
        <v>0</v>
      </c>
      <c r="CD29" s="61">
        <f t="shared" si="6"/>
        <v>0</v>
      </c>
      <c r="CE29" s="61">
        <f t="shared" si="6"/>
        <v>0</v>
      </c>
      <c r="CF29" s="61">
        <f t="shared" si="6"/>
        <v>0</v>
      </c>
      <c r="CG29" s="61">
        <f t="shared" si="6"/>
        <v>0</v>
      </c>
      <c r="CH29" s="61">
        <f t="shared" si="6"/>
        <v>0</v>
      </c>
      <c r="CI29" s="61">
        <f t="shared" si="7"/>
        <v>0</v>
      </c>
      <c r="CJ29" s="61"/>
      <c r="CK29" s="61">
        <f t="shared" si="8"/>
        <v>0</v>
      </c>
      <c r="CL29" s="61">
        <f t="shared" si="8"/>
        <v>0</v>
      </c>
      <c r="CM29" s="61">
        <f t="shared" si="8"/>
        <v>0</v>
      </c>
      <c r="CN29" s="61">
        <f t="shared" si="8"/>
        <v>0</v>
      </c>
      <c r="CO29" s="61">
        <f t="shared" si="8"/>
        <v>0</v>
      </c>
      <c r="CP29" s="61">
        <f t="shared" si="8"/>
        <v>0</v>
      </c>
      <c r="CQ29" s="61">
        <f t="shared" si="8"/>
        <v>0</v>
      </c>
      <c r="CR29" s="61">
        <f t="shared" si="8"/>
        <v>0</v>
      </c>
      <c r="CS29" s="61">
        <f t="shared" si="9"/>
        <v>0</v>
      </c>
      <c r="CT29" s="61">
        <f t="shared" si="10"/>
        <v>0</v>
      </c>
      <c r="CV29" s="61">
        <f t="shared" si="11"/>
        <v>0</v>
      </c>
      <c r="CW29" s="61">
        <f t="shared" si="12"/>
        <v>0</v>
      </c>
      <c r="CX29" s="61"/>
      <c r="CY29" s="61">
        <f t="shared" si="13"/>
        <v>0</v>
      </c>
      <c r="CZ29" s="61">
        <f t="shared" si="13"/>
        <v>0</v>
      </c>
      <c r="DA29" s="61">
        <f t="shared" si="13"/>
        <v>0</v>
      </c>
      <c r="DB29" s="2" t="s">
        <v>134</v>
      </c>
      <c r="DC29" s="2" t="s">
        <v>85</v>
      </c>
      <c r="DD29" s="2" t="s">
        <v>87</v>
      </c>
      <c r="DE29" s="2" t="s">
        <v>88</v>
      </c>
      <c r="DF29" s="3" t="s">
        <v>86</v>
      </c>
      <c r="DG29" s="62">
        <v>42821</v>
      </c>
      <c r="EC29" s="60"/>
      <c r="ED29" s="60"/>
      <c r="EE29" s="60"/>
      <c r="EF29" s="60"/>
    </row>
    <row r="30" spans="2:140" ht="12.75" hidden="1" customHeight="1">
      <c r="B30" s="1" t="s">
        <v>135</v>
      </c>
      <c r="C30" s="22" t="s">
        <v>136</v>
      </c>
      <c r="D30" s="22" t="s">
        <v>137</v>
      </c>
      <c r="E30" s="2" t="str">
        <f>VLOOKUP($C30,[1]Detail!$C:$AK,6,0)</f>
        <v>PMT2</v>
      </c>
      <c r="F30" s="2" t="str">
        <f>VLOOKUP($C30,[1]Detail!$C:$AK,7,0)</f>
        <v>TH</v>
      </c>
      <c r="G30" s="2" t="str">
        <f>VLOOKUP($C30,[1]Detail!$C:$AK,5,0)</f>
        <v>B</v>
      </c>
      <c r="J30" s="22" t="s">
        <v>138</v>
      </c>
      <c r="K30" s="23" t="s">
        <v>139</v>
      </c>
      <c r="L30" s="22" t="s">
        <v>140</v>
      </c>
      <c r="M30" s="51" t="str">
        <f t="shared" si="0"/>
        <v>JD8B-F16746 -AC</v>
      </c>
      <c r="O30" s="22">
        <v>1</v>
      </c>
      <c r="P30" s="22">
        <v>1</v>
      </c>
      <c r="Q30" s="22">
        <v>1</v>
      </c>
      <c r="R30" s="22">
        <v>1</v>
      </c>
      <c r="S30" s="22">
        <v>1</v>
      </c>
      <c r="T30" s="22">
        <v>1</v>
      </c>
      <c r="U30" s="22">
        <v>1</v>
      </c>
      <c r="V30" s="22">
        <v>1</v>
      </c>
      <c r="W30" s="64">
        <f t="shared" si="1"/>
        <v>1</v>
      </c>
      <c r="Y30" s="60">
        <f>-2.99-31.38</f>
        <v>-34.369999999999997</v>
      </c>
      <c r="Z30" s="60">
        <v>-0.41</v>
      </c>
      <c r="AA30" s="60">
        <v>-0.88</v>
      </c>
      <c r="AB30" s="60">
        <v>0</v>
      </c>
      <c r="AC30" s="60">
        <v>0</v>
      </c>
      <c r="AD30" s="8">
        <f t="shared" si="2"/>
        <v>-35.659999999999997</v>
      </c>
      <c r="AE30" s="2" t="s">
        <v>91</v>
      </c>
      <c r="AG30" s="61">
        <f>-209000-243000</f>
        <v>-452000</v>
      </c>
      <c r="AH30" s="61">
        <f>-209000-243000</f>
        <v>-452000</v>
      </c>
      <c r="AI30" s="6"/>
      <c r="AJ30" s="61">
        <v>0</v>
      </c>
      <c r="AK30" s="61">
        <v>0</v>
      </c>
      <c r="AL30" s="61">
        <v>0</v>
      </c>
      <c r="AM30" s="22"/>
      <c r="AO30" s="22" t="s">
        <v>138</v>
      </c>
      <c r="AP30" s="23" t="s">
        <v>139</v>
      </c>
      <c r="AQ30" s="22" t="s">
        <v>141</v>
      </c>
      <c r="AR30" s="51" t="str">
        <f>TRIM(AO30)&amp;"-"&amp;TRIM(AP30)&amp;"-"&amp;TRIM(AQ30)</f>
        <v>JD8B-F16746 -AB</v>
      </c>
      <c r="AS30" s="3"/>
      <c r="AT30" s="22">
        <v>1</v>
      </c>
      <c r="AU30" s="22">
        <v>1</v>
      </c>
      <c r="AV30" s="22">
        <v>1</v>
      </c>
      <c r="AW30" s="22">
        <v>1</v>
      </c>
      <c r="AX30" s="22">
        <v>1</v>
      </c>
      <c r="AY30" s="22">
        <v>1</v>
      </c>
      <c r="AZ30" s="22">
        <v>1</v>
      </c>
      <c r="BA30" s="22">
        <v>1</v>
      </c>
      <c r="BB30" s="64">
        <f>SUMPRODUCT(AT30:BA30,$O$6:$V$6)</f>
        <v>1</v>
      </c>
      <c r="BD30" s="60">
        <v>-31.38</v>
      </c>
      <c r="BE30" s="60">
        <v>-0.41</v>
      </c>
      <c r="BF30" s="60">
        <v>-0.88</v>
      </c>
      <c r="BG30" s="60">
        <v>0</v>
      </c>
      <c r="BH30" s="60">
        <v>0</v>
      </c>
      <c r="BI30" s="8">
        <f>SUM(BD30:BH30)</f>
        <v>-32.67</v>
      </c>
      <c r="BJ30" s="2" t="s">
        <v>91</v>
      </c>
      <c r="BL30" s="61">
        <v>-243000</v>
      </c>
      <c r="BM30" s="61">
        <v>-243000</v>
      </c>
      <c r="BO30" s="61">
        <v>0</v>
      </c>
      <c r="BP30" s="61">
        <v>0</v>
      </c>
      <c r="BQ30" s="61">
        <v>0</v>
      </c>
      <c r="BS30" s="61">
        <f t="shared" si="3"/>
        <v>-2.9899999999999984</v>
      </c>
      <c r="BT30" s="61">
        <f t="shared" si="4"/>
        <v>0</v>
      </c>
      <c r="BU30" s="61">
        <f t="shared" si="5"/>
        <v>0</v>
      </c>
      <c r="BV30" s="61">
        <f t="shared" si="5"/>
        <v>0</v>
      </c>
      <c r="BW30" s="61">
        <f t="shared" si="5"/>
        <v>0</v>
      </c>
      <c r="BX30" s="61">
        <f t="shared" si="5"/>
        <v>-2.9899999999999949</v>
      </c>
      <c r="BY30" s="61" t="s">
        <v>91</v>
      </c>
      <c r="CA30" s="61">
        <f t="shared" si="6"/>
        <v>-0.44982698961937689</v>
      </c>
      <c r="CB30" s="61">
        <f t="shared" si="6"/>
        <v>-0.44982698961937689</v>
      </c>
      <c r="CC30" s="61">
        <f t="shared" si="6"/>
        <v>-0.44982698961937689</v>
      </c>
      <c r="CD30" s="61">
        <f t="shared" si="6"/>
        <v>-0.44982698961937689</v>
      </c>
      <c r="CE30" s="61">
        <f t="shared" si="6"/>
        <v>-0.44982698961937689</v>
      </c>
      <c r="CF30" s="61">
        <f t="shared" si="6"/>
        <v>-0.44982698961937689</v>
      </c>
      <c r="CG30" s="61">
        <f t="shared" si="6"/>
        <v>-0.44982698961937689</v>
      </c>
      <c r="CH30" s="61">
        <f t="shared" si="6"/>
        <v>-0.44982698961937689</v>
      </c>
      <c r="CI30" s="61">
        <f t="shared" si="7"/>
        <v>-0.44982698961937695</v>
      </c>
      <c r="CJ30" s="61"/>
      <c r="CK30" s="61">
        <f t="shared" si="8"/>
        <v>-0.44982698961937639</v>
      </c>
      <c r="CL30" s="61">
        <f t="shared" si="8"/>
        <v>-0.44982698961937639</v>
      </c>
      <c r="CM30" s="61">
        <f t="shared" si="8"/>
        <v>-0.44982698961937639</v>
      </c>
      <c r="CN30" s="61">
        <f t="shared" si="8"/>
        <v>-0.44982698961937639</v>
      </c>
      <c r="CO30" s="61">
        <f t="shared" si="8"/>
        <v>-0.44982698961937639</v>
      </c>
      <c r="CP30" s="61">
        <f t="shared" si="8"/>
        <v>-0.44982698961937639</v>
      </c>
      <c r="CQ30" s="61">
        <f t="shared" si="8"/>
        <v>-0.44982698961937639</v>
      </c>
      <c r="CR30" s="61">
        <f t="shared" si="8"/>
        <v>-0.44982698961937639</v>
      </c>
      <c r="CS30" s="61">
        <f t="shared" si="9"/>
        <v>-0.44982698961937645</v>
      </c>
      <c r="CT30" s="67">
        <f t="shared" si="10"/>
        <v>-2.9899999999999953</v>
      </c>
      <c r="CV30" s="61">
        <f t="shared" si="11"/>
        <v>-209000</v>
      </c>
      <c r="CW30" s="61">
        <f>SUM(AH30)-SUM(BM30)</f>
        <v>-209000</v>
      </c>
      <c r="CX30" s="61"/>
      <c r="CY30" s="61">
        <f>SUM(AJ30)-SUM(BO30)</f>
        <v>0</v>
      </c>
      <c r="CZ30" s="61">
        <f>SUM(AK30)-SUM(BP30)</f>
        <v>0</v>
      </c>
      <c r="DA30" s="61">
        <f>SUM(AL30)-SUM(BQ30)</f>
        <v>0</v>
      </c>
      <c r="DB30" s="2" t="s">
        <v>102</v>
      </c>
      <c r="DC30" s="2" t="s">
        <v>134</v>
      </c>
      <c r="DD30" s="2" t="s">
        <v>142</v>
      </c>
      <c r="DE30" s="2" t="s">
        <v>143</v>
      </c>
      <c r="DF30" s="3" t="s">
        <v>102</v>
      </c>
      <c r="DG30" s="62">
        <v>43089</v>
      </c>
      <c r="EC30" s="60" t="str">
        <f>VLOOKUP($M30,[1]Detail!$M:$BO,1,0)</f>
        <v>JD8B-F16746 -AC</v>
      </c>
      <c r="ED30" s="60">
        <f>VLOOKUP($M30,[1]Detail!$M:$BO,22,0)</f>
        <v>-35.659999999999997</v>
      </c>
      <c r="EE30" s="60">
        <f>VLOOKUP($M30,[1]Detail!$M:$BO,42,0)</f>
        <v>-452000</v>
      </c>
      <c r="EF30" s="60">
        <f>VLOOKUP($M30,[1]Detail!$M:$BO,45,0)</f>
        <v>0</v>
      </c>
      <c r="EH30" s="60">
        <f t="shared" ref="EH30:EH35" si="32">ED30-AD30</f>
        <v>0</v>
      </c>
      <c r="EI30" s="60">
        <f t="shared" ref="EI30:EI35" si="33">EE30-AG30</f>
        <v>0</v>
      </c>
      <c r="EJ30" s="60">
        <f t="shared" ref="EJ30:EJ35" si="34">EF30-AJ30</f>
        <v>0</v>
      </c>
    </row>
    <row r="31" spans="2:140" ht="13.5" hidden="1" customHeight="1">
      <c r="B31" s="1" t="s">
        <v>144</v>
      </c>
      <c r="C31" s="22" t="s">
        <v>145</v>
      </c>
      <c r="D31" s="22" t="s">
        <v>146</v>
      </c>
      <c r="E31" s="2" t="str">
        <f>VLOOKUP($C31,[1]Detail!$C:$AK,6,0)</f>
        <v>BIW</v>
      </c>
      <c r="F31" s="2" t="str">
        <f>VLOOKUP($C31,[1]Detail!$C:$AK,7,0)</f>
        <v>TH</v>
      </c>
      <c r="G31" s="2" t="str">
        <f>VLOOKUP($C31,[1]Detail!$C:$AK,5,0)</f>
        <v>D</v>
      </c>
      <c r="J31" s="22" t="s">
        <v>126</v>
      </c>
      <c r="K31" s="23" t="s">
        <v>147</v>
      </c>
      <c r="L31" s="22" t="s">
        <v>100</v>
      </c>
      <c r="M31" s="51" t="str">
        <f t="shared" si="0"/>
        <v>JD8B-F46644-AA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64">
        <f t="shared" si="1"/>
        <v>1</v>
      </c>
      <c r="Y31" s="60">
        <v>-24.67</v>
      </c>
      <c r="Z31" s="60">
        <v>-1.43</v>
      </c>
      <c r="AA31" s="60">
        <v>-1.43</v>
      </c>
      <c r="AB31" s="60">
        <v>0</v>
      </c>
      <c r="AC31" s="60">
        <v>0</v>
      </c>
      <c r="AD31" s="8">
        <f t="shared" si="2"/>
        <v>-27.53</v>
      </c>
      <c r="AE31" s="2" t="s">
        <v>84</v>
      </c>
      <c r="AG31" s="61">
        <v>-163196</v>
      </c>
      <c r="AH31" s="61">
        <v>-163196</v>
      </c>
      <c r="AI31" s="6"/>
      <c r="AJ31" s="61">
        <v>0</v>
      </c>
      <c r="AK31" s="61">
        <v>0</v>
      </c>
      <c r="AL31" s="61">
        <v>0</v>
      </c>
      <c r="AM31" s="22"/>
      <c r="AO31" s="22" t="s">
        <v>128</v>
      </c>
      <c r="AP31" s="23" t="s">
        <v>147</v>
      </c>
      <c r="AQ31" s="22" t="s">
        <v>132</v>
      </c>
      <c r="AR31" s="51" t="str">
        <f t="shared" si="14"/>
        <v>ED8B-F46644-AB</v>
      </c>
      <c r="AS31" s="3"/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">
        <f t="shared" ref="BB31:BB42" si="35">SUMPRODUCT(AT31:BA31,$AT$6:$BA$6)</f>
        <v>1</v>
      </c>
      <c r="BD31" s="60">
        <v>-24.67</v>
      </c>
      <c r="BE31" s="60">
        <v>-1.43</v>
      </c>
      <c r="BF31" s="60">
        <v>-1.43</v>
      </c>
      <c r="BG31" s="60">
        <v>0</v>
      </c>
      <c r="BH31" s="60">
        <v>0</v>
      </c>
      <c r="BI31" s="8">
        <f t="shared" si="15"/>
        <v>-27.53</v>
      </c>
      <c r="BJ31" s="2" t="s">
        <v>84</v>
      </c>
      <c r="BL31" s="61">
        <v>0</v>
      </c>
      <c r="BM31" s="61">
        <v>0</v>
      </c>
      <c r="BO31" s="61">
        <v>0</v>
      </c>
      <c r="BP31" s="61">
        <v>0</v>
      </c>
      <c r="BQ31" s="61">
        <v>0</v>
      </c>
      <c r="BS31" s="61">
        <f t="shared" si="3"/>
        <v>0</v>
      </c>
      <c r="BT31" s="61">
        <f t="shared" si="4"/>
        <v>0</v>
      </c>
      <c r="BU31" s="61">
        <f t="shared" si="5"/>
        <v>0</v>
      </c>
      <c r="BV31" s="61">
        <f t="shared" si="5"/>
        <v>0</v>
      </c>
      <c r="BW31" s="61">
        <f t="shared" si="5"/>
        <v>0</v>
      </c>
      <c r="BX31" s="61">
        <f t="shared" si="5"/>
        <v>0</v>
      </c>
      <c r="BY31" s="61" t="s">
        <v>84</v>
      </c>
      <c r="CA31" s="61">
        <f t="shared" si="6"/>
        <v>0</v>
      </c>
      <c r="CB31" s="61">
        <f t="shared" si="6"/>
        <v>0</v>
      </c>
      <c r="CC31" s="61">
        <f t="shared" si="6"/>
        <v>0</v>
      </c>
      <c r="CD31" s="61">
        <f t="shared" si="6"/>
        <v>0</v>
      </c>
      <c r="CE31" s="61">
        <f t="shared" si="6"/>
        <v>0</v>
      </c>
      <c r="CF31" s="61">
        <f t="shared" si="6"/>
        <v>0</v>
      </c>
      <c r="CG31" s="61">
        <f t="shared" si="6"/>
        <v>0</v>
      </c>
      <c r="CH31" s="61">
        <f t="shared" si="6"/>
        <v>0</v>
      </c>
      <c r="CI31" s="61">
        <f t="shared" si="7"/>
        <v>0</v>
      </c>
      <c r="CJ31" s="61"/>
      <c r="CK31" s="61">
        <f t="shared" si="8"/>
        <v>0</v>
      </c>
      <c r="CL31" s="61">
        <f t="shared" si="8"/>
        <v>0</v>
      </c>
      <c r="CM31" s="61">
        <f t="shared" si="8"/>
        <v>0</v>
      </c>
      <c r="CN31" s="61">
        <f t="shared" si="8"/>
        <v>0</v>
      </c>
      <c r="CO31" s="61">
        <f t="shared" si="8"/>
        <v>0</v>
      </c>
      <c r="CP31" s="61">
        <f t="shared" si="8"/>
        <v>0</v>
      </c>
      <c r="CQ31" s="61">
        <f t="shared" si="8"/>
        <v>0</v>
      </c>
      <c r="CR31" s="61">
        <f t="shared" si="8"/>
        <v>0</v>
      </c>
      <c r="CS31" s="61">
        <f t="shared" si="9"/>
        <v>0</v>
      </c>
      <c r="CT31" s="61">
        <f t="shared" si="10"/>
        <v>0</v>
      </c>
      <c r="CV31" s="61">
        <f t="shared" si="11"/>
        <v>-163196</v>
      </c>
      <c r="CW31" s="61">
        <f t="shared" si="12"/>
        <v>-163196</v>
      </c>
      <c r="CX31" s="61"/>
      <c r="CY31" s="61">
        <f t="shared" si="13"/>
        <v>0</v>
      </c>
      <c r="CZ31" s="61">
        <f t="shared" si="13"/>
        <v>0</v>
      </c>
      <c r="DA31" s="61">
        <f t="shared" si="13"/>
        <v>0</v>
      </c>
      <c r="DB31" s="2" t="s">
        <v>86</v>
      </c>
      <c r="DC31" s="2" t="s">
        <v>86</v>
      </c>
      <c r="DD31" s="2" t="s">
        <v>87</v>
      </c>
      <c r="DE31" s="2" t="s">
        <v>88</v>
      </c>
      <c r="DF31" s="3" t="s">
        <v>86</v>
      </c>
      <c r="DG31" s="62">
        <v>42757</v>
      </c>
      <c r="EC31" s="60" t="str">
        <f>VLOOKUP($M31,[1]Detail!$M:$BO,1,0)</f>
        <v>JD8B-F46644-AA</v>
      </c>
      <c r="ED31" s="60">
        <f>VLOOKUP($M31,[1]Detail!$M:$BO,22,0)</f>
        <v>-27.53</v>
      </c>
      <c r="EE31" s="60">
        <f>VLOOKUP($M31,[1]Detail!$M:$BO,42,0)</f>
        <v>-163196</v>
      </c>
      <c r="EF31" s="60">
        <f>VLOOKUP($M31,[1]Detail!$M:$BO,45,0)</f>
        <v>0</v>
      </c>
      <c r="EH31" s="60">
        <f t="shared" si="32"/>
        <v>0</v>
      </c>
      <c r="EI31" s="60">
        <f t="shared" si="33"/>
        <v>0</v>
      </c>
      <c r="EJ31" s="60">
        <f t="shared" si="34"/>
        <v>0</v>
      </c>
    </row>
    <row r="32" spans="2:140" ht="12.75" hidden="1" customHeight="1">
      <c r="B32" s="1" t="s">
        <v>144</v>
      </c>
      <c r="C32" s="22" t="s">
        <v>145</v>
      </c>
      <c r="D32" s="22" t="s">
        <v>146</v>
      </c>
      <c r="E32" s="2" t="str">
        <f>VLOOKUP($C32,[1]Detail!$C:$AK,6,0)</f>
        <v>BIW</v>
      </c>
      <c r="F32" s="2" t="str">
        <f>VLOOKUP($C32,[1]Detail!$C:$AK,7,0)</f>
        <v>TH</v>
      </c>
      <c r="G32" s="2" t="str">
        <f>VLOOKUP($C32,[1]Detail!$C:$AK,5,0)</f>
        <v>D</v>
      </c>
      <c r="J32" s="22" t="s">
        <v>126</v>
      </c>
      <c r="K32" s="23" t="s">
        <v>148</v>
      </c>
      <c r="L32" s="22" t="s">
        <v>100</v>
      </c>
      <c r="M32" s="51" t="str">
        <f t="shared" si="0"/>
        <v>JD8B-F46645-AA</v>
      </c>
      <c r="O32" s="22">
        <v>1</v>
      </c>
      <c r="P32" s="22">
        <v>1</v>
      </c>
      <c r="Q32" s="22">
        <v>1</v>
      </c>
      <c r="R32" s="22">
        <v>1</v>
      </c>
      <c r="S32" s="22">
        <v>1</v>
      </c>
      <c r="T32" s="22">
        <v>1</v>
      </c>
      <c r="U32" s="22">
        <v>1</v>
      </c>
      <c r="V32" s="22">
        <v>1</v>
      </c>
      <c r="W32" s="64">
        <f t="shared" si="1"/>
        <v>1</v>
      </c>
      <c r="Y32" s="60">
        <v>-24.67</v>
      </c>
      <c r="Z32" s="60">
        <v>-1.43</v>
      </c>
      <c r="AA32" s="60">
        <v>-1.43</v>
      </c>
      <c r="AB32" s="60">
        <v>0</v>
      </c>
      <c r="AC32" s="60">
        <v>0</v>
      </c>
      <c r="AD32" s="8">
        <f t="shared" si="2"/>
        <v>-27.53</v>
      </c>
      <c r="AE32" s="2" t="s">
        <v>84</v>
      </c>
      <c r="AG32" s="61">
        <v>-163196</v>
      </c>
      <c r="AH32" s="61">
        <v>-163196</v>
      </c>
      <c r="AI32" s="6"/>
      <c r="AJ32" s="61">
        <v>0</v>
      </c>
      <c r="AK32" s="61">
        <v>0</v>
      </c>
      <c r="AL32" s="61">
        <v>0</v>
      </c>
      <c r="AM32" s="22"/>
      <c r="AO32" s="22" t="s">
        <v>128</v>
      </c>
      <c r="AP32" s="23" t="s">
        <v>148</v>
      </c>
      <c r="AQ32" s="22" t="s">
        <v>132</v>
      </c>
      <c r="AR32" s="51" t="str">
        <f t="shared" si="14"/>
        <v>ED8B-F46645-AB</v>
      </c>
      <c r="AS32" s="3"/>
      <c r="AT32" s="22">
        <v>1</v>
      </c>
      <c r="AU32" s="22">
        <v>1</v>
      </c>
      <c r="AV32" s="22">
        <v>1</v>
      </c>
      <c r="AW32" s="22">
        <v>1</v>
      </c>
      <c r="AX32" s="22">
        <v>1</v>
      </c>
      <c r="AY32" s="22">
        <v>1</v>
      </c>
      <c r="AZ32" s="22">
        <v>1</v>
      </c>
      <c r="BA32" s="22">
        <v>1</v>
      </c>
      <c r="BB32" s="2">
        <f t="shared" si="35"/>
        <v>1</v>
      </c>
      <c r="BD32" s="60">
        <v>-24.67</v>
      </c>
      <c r="BE32" s="60">
        <v>-1.43</v>
      </c>
      <c r="BF32" s="60">
        <v>-1.43</v>
      </c>
      <c r="BG32" s="60">
        <v>0</v>
      </c>
      <c r="BH32" s="60">
        <v>0</v>
      </c>
      <c r="BI32" s="8">
        <f t="shared" si="15"/>
        <v>-27.53</v>
      </c>
      <c r="BJ32" s="2" t="s">
        <v>84</v>
      </c>
      <c r="BL32" s="61">
        <v>0</v>
      </c>
      <c r="BM32" s="61">
        <v>0</v>
      </c>
      <c r="BO32" s="61">
        <v>0</v>
      </c>
      <c r="BP32" s="61">
        <v>0</v>
      </c>
      <c r="BQ32" s="61">
        <v>0</v>
      </c>
      <c r="BS32" s="61">
        <f t="shared" si="3"/>
        <v>0</v>
      </c>
      <c r="BT32" s="61">
        <f t="shared" si="4"/>
        <v>0</v>
      </c>
      <c r="BU32" s="61">
        <f t="shared" si="5"/>
        <v>0</v>
      </c>
      <c r="BV32" s="61">
        <f t="shared" si="5"/>
        <v>0</v>
      </c>
      <c r="BW32" s="61">
        <f t="shared" si="5"/>
        <v>0</v>
      </c>
      <c r="BX32" s="61">
        <f t="shared" si="5"/>
        <v>0</v>
      </c>
      <c r="BY32" s="61" t="s">
        <v>84</v>
      </c>
      <c r="CA32" s="61">
        <f t="shared" si="6"/>
        <v>0</v>
      </c>
      <c r="CB32" s="61">
        <f t="shared" si="6"/>
        <v>0</v>
      </c>
      <c r="CC32" s="61">
        <f t="shared" si="6"/>
        <v>0</v>
      </c>
      <c r="CD32" s="61">
        <f t="shared" si="6"/>
        <v>0</v>
      </c>
      <c r="CE32" s="61">
        <f t="shared" si="6"/>
        <v>0</v>
      </c>
      <c r="CF32" s="61">
        <f t="shared" si="6"/>
        <v>0</v>
      </c>
      <c r="CG32" s="61">
        <f t="shared" si="6"/>
        <v>0</v>
      </c>
      <c r="CH32" s="61">
        <f t="shared" si="6"/>
        <v>0</v>
      </c>
      <c r="CI32" s="61">
        <f t="shared" si="7"/>
        <v>0</v>
      </c>
      <c r="CJ32" s="61"/>
      <c r="CK32" s="61">
        <f t="shared" si="8"/>
        <v>0</v>
      </c>
      <c r="CL32" s="61">
        <f t="shared" si="8"/>
        <v>0</v>
      </c>
      <c r="CM32" s="61">
        <f t="shared" si="8"/>
        <v>0</v>
      </c>
      <c r="CN32" s="61">
        <f t="shared" si="8"/>
        <v>0</v>
      </c>
      <c r="CO32" s="61">
        <f t="shared" si="8"/>
        <v>0</v>
      </c>
      <c r="CP32" s="61">
        <f t="shared" si="8"/>
        <v>0</v>
      </c>
      <c r="CQ32" s="61">
        <f t="shared" si="8"/>
        <v>0</v>
      </c>
      <c r="CR32" s="61">
        <f t="shared" si="8"/>
        <v>0</v>
      </c>
      <c r="CS32" s="61">
        <f t="shared" si="9"/>
        <v>0</v>
      </c>
      <c r="CT32" s="61">
        <f t="shared" si="10"/>
        <v>0</v>
      </c>
      <c r="CV32" s="61">
        <f t="shared" si="11"/>
        <v>-163196</v>
      </c>
      <c r="CW32" s="61">
        <f t="shared" si="12"/>
        <v>-163196</v>
      </c>
      <c r="CX32" s="61"/>
      <c r="CY32" s="61">
        <f t="shared" si="13"/>
        <v>0</v>
      </c>
      <c r="CZ32" s="61">
        <f t="shared" si="13"/>
        <v>0</v>
      </c>
      <c r="DA32" s="61">
        <f t="shared" si="13"/>
        <v>0</v>
      </c>
      <c r="DB32" s="2" t="s">
        <v>86</v>
      </c>
      <c r="DC32" s="2" t="s">
        <v>86</v>
      </c>
      <c r="DD32" s="2" t="s">
        <v>87</v>
      </c>
      <c r="DE32" s="2" t="s">
        <v>88</v>
      </c>
      <c r="DF32" s="3" t="s">
        <v>86</v>
      </c>
      <c r="DG32" s="62">
        <v>42757</v>
      </c>
      <c r="EC32" s="60" t="str">
        <f>VLOOKUP($M32,[1]Detail!$M:$BO,1,0)</f>
        <v>JD8B-F46645-AA</v>
      </c>
      <c r="ED32" s="60">
        <f>VLOOKUP($M32,[1]Detail!$M:$BO,22,0)</f>
        <v>-27.53</v>
      </c>
      <c r="EE32" s="60">
        <f>VLOOKUP($M32,[1]Detail!$M:$BO,42,0)</f>
        <v>-163196</v>
      </c>
      <c r="EF32" s="60">
        <f>VLOOKUP($M32,[1]Detail!$M:$BO,45,0)</f>
        <v>0</v>
      </c>
      <c r="EH32" s="60">
        <f t="shared" si="32"/>
        <v>0</v>
      </c>
      <c r="EI32" s="60">
        <f t="shared" si="33"/>
        <v>0</v>
      </c>
      <c r="EJ32" s="60">
        <f t="shared" si="34"/>
        <v>0</v>
      </c>
    </row>
    <row r="33" spans="2:140" ht="12.75" hidden="1" customHeight="1">
      <c r="B33" s="1" t="s">
        <v>149</v>
      </c>
      <c r="C33" s="22" t="s">
        <v>145</v>
      </c>
      <c r="D33" s="22" t="s">
        <v>146</v>
      </c>
      <c r="E33" s="2" t="str">
        <f>VLOOKUP($C33,[1]Detail!$C:$AK,6,0)</f>
        <v>BIW</v>
      </c>
      <c r="F33" s="2" t="str">
        <f>VLOOKUP($C33,[1]Detail!$C:$AK,7,0)</f>
        <v>TH</v>
      </c>
      <c r="G33" s="2" t="str">
        <f>VLOOKUP($C33,[1]Detail!$C:$AK,5,0)</f>
        <v>D</v>
      </c>
      <c r="J33" s="22" t="s">
        <v>126</v>
      </c>
      <c r="K33" s="23" t="s">
        <v>150</v>
      </c>
      <c r="L33" s="22" t="s">
        <v>100</v>
      </c>
      <c r="M33" s="51" t="str">
        <f t="shared" si="0"/>
        <v>JD8B-F46506-AA</v>
      </c>
      <c r="O33" s="22">
        <v>1</v>
      </c>
      <c r="P33" s="22">
        <v>1</v>
      </c>
      <c r="Q33" s="22">
        <v>1</v>
      </c>
      <c r="R33" s="22">
        <v>1</v>
      </c>
      <c r="S33" s="22">
        <v>1</v>
      </c>
      <c r="T33" s="22">
        <v>1</v>
      </c>
      <c r="U33" s="22">
        <v>1</v>
      </c>
      <c r="V33" s="22">
        <v>1</v>
      </c>
      <c r="W33" s="64">
        <f t="shared" si="1"/>
        <v>1</v>
      </c>
      <c r="Y33" s="60">
        <v>-64.86</v>
      </c>
      <c r="Z33" s="60">
        <v>-2.79</v>
      </c>
      <c r="AA33" s="60">
        <v>-2.79</v>
      </c>
      <c r="AB33" s="60">
        <v>0</v>
      </c>
      <c r="AC33" s="60">
        <v>0</v>
      </c>
      <c r="AD33" s="8">
        <f t="shared" si="2"/>
        <v>-70.440000000000012</v>
      </c>
      <c r="AE33" s="2" t="s">
        <v>84</v>
      </c>
      <c r="AG33" s="61">
        <v>-774466</v>
      </c>
      <c r="AH33" s="61">
        <v>-774466</v>
      </c>
      <c r="AI33" s="6"/>
      <c r="AJ33" s="61">
        <v>0</v>
      </c>
      <c r="AK33" s="61">
        <v>0</v>
      </c>
      <c r="AL33" s="61">
        <v>0</v>
      </c>
      <c r="AM33" s="22"/>
      <c r="AO33" s="22" t="s">
        <v>128</v>
      </c>
      <c r="AP33" s="23" t="s">
        <v>150</v>
      </c>
      <c r="AQ33" s="22" t="s">
        <v>151</v>
      </c>
      <c r="AR33" s="51" t="str">
        <f t="shared" si="14"/>
        <v>ED8B-F46506-AG</v>
      </c>
      <c r="AS33" s="3"/>
      <c r="AT33" s="22">
        <v>1</v>
      </c>
      <c r="AU33" s="22">
        <v>1</v>
      </c>
      <c r="AV33" s="22">
        <v>1</v>
      </c>
      <c r="AW33" s="22">
        <v>1</v>
      </c>
      <c r="AX33" s="22">
        <v>1</v>
      </c>
      <c r="AY33" s="22">
        <v>1</v>
      </c>
      <c r="AZ33" s="22">
        <v>1</v>
      </c>
      <c r="BA33" s="22">
        <v>1</v>
      </c>
      <c r="BB33" s="2">
        <f t="shared" si="35"/>
        <v>1</v>
      </c>
      <c r="BD33" s="60">
        <v>-64.86</v>
      </c>
      <c r="BE33" s="60">
        <v>-2.79</v>
      </c>
      <c r="BF33" s="60">
        <v>-2.79</v>
      </c>
      <c r="BG33" s="60">
        <v>0</v>
      </c>
      <c r="BH33" s="60">
        <v>0</v>
      </c>
      <c r="BI33" s="8">
        <f t="shared" si="15"/>
        <v>-70.440000000000012</v>
      </c>
      <c r="BJ33" s="2" t="s">
        <v>84</v>
      </c>
      <c r="BL33" s="61">
        <v>0</v>
      </c>
      <c r="BM33" s="61">
        <v>0</v>
      </c>
      <c r="BO33" s="61">
        <v>0</v>
      </c>
      <c r="BP33" s="61">
        <v>0</v>
      </c>
      <c r="BQ33" s="61">
        <v>0</v>
      </c>
      <c r="BS33" s="61">
        <f t="shared" si="3"/>
        <v>0</v>
      </c>
      <c r="BT33" s="61">
        <f t="shared" si="4"/>
        <v>0</v>
      </c>
      <c r="BU33" s="61">
        <f t="shared" si="5"/>
        <v>0</v>
      </c>
      <c r="BV33" s="61">
        <f t="shared" si="5"/>
        <v>0</v>
      </c>
      <c r="BW33" s="61">
        <f t="shared" si="5"/>
        <v>0</v>
      </c>
      <c r="BX33" s="61">
        <f t="shared" si="5"/>
        <v>0</v>
      </c>
      <c r="BY33" s="61" t="s">
        <v>84</v>
      </c>
      <c r="CA33" s="61">
        <f t="shared" si="6"/>
        <v>0</v>
      </c>
      <c r="CB33" s="61">
        <f t="shared" si="6"/>
        <v>0</v>
      </c>
      <c r="CC33" s="61">
        <f t="shared" si="6"/>
        <v>0</v>
      </c>
      <c r="CD33" s="61">
        <f t="shared" si="6"/>
        <v>0</v>
      </c>
      <c r="CE33" s="61">
        <f t="shared" si="6"/>
        <v>0</v>
      </c>
      <c r="CF33" s="61">
        <f t="shared" si="6"/>
        <v>0</v>
      </c>
      <c r="CG33" s="61">
        <f t="shared" si="6"/>
        <v>0</v>
      </c>
      <c r="CH33" s="61">
        <f t="shared" si="6"/>
        <v>0</v>
      </c>
      <c r="CI33" s="61">
        <f t="shared" si="7"/>
        <v>0</v>
      </c>
      <c r="CJ33" s="61"/>
      <c r="CK33" s="61">
        <f t="shared" si="8"/>
        <v>0</v>
      </c>
      <c r="CL33" s="61">
        <f t="shared" si="8"/>
        <v>0</v>
      </c>
      <c r="CM33" s="61">
        <f t="shared" si="8"/>
        <v>0</v>
      </c>
      <c r="CN33" s="61">
        <f t="shared" si="8"/>
        <v>0</v>
      </c>
      <c r="CO33" s="61">
        <f t="shared" si="8"/>
        <v>0</v>
      </c>
      <c r="CP33" s="61">
        <f t="shared" si="8"/>
        <v>0</v>
      </c>
      <c r="CQ33" s="61">
        <f t="shared" si="8"/>
        <v>0</v>
      </c>
      <c r="CR33" s="61">
        <f t="shared" si="8"/>
        <v>0</v>
      </c>
      <c r="CS33" s="61">
        <f t="shared" si="9"/>
        <v>0</v>
      </c>
      <c r="CT33" s="61">
        <f t="shared" si="10"/>
        <v>0</v>
      </c>
      <c r="CV33" s="61">
        <f t="shared" si="11"/>
        <v>-774466</v>
      </c>
      <c r="CW33" s="61">
        <f t="shared" si="12"/>
        <v>-774466</v>
      </c>
      <c r="CX33" s="61"/>
      <c r="CY33" s="61">
        <f t="shared" si="13"/>
        <v>0</v>
      </c>
      <c r="CZ33" s="61">
        <f t="shared" si="13"/>
        <v>0</v>
      </c>
      <c r="DA33" s="61">
        <f t="shared" si="13"/>
        <v>0</v>
      </c>
      <c r="DB33" s="2" t="s">
        <v>86</v>
      </c>
      <c r="DC33" s="2" t="s">
        <v>86</v>
      </c>
      <c r="DD33" s="2" t="s">
        <v>87</v>
      </c>
      <c r="DE33" s="2" t="s">
        <v>88</v>
      </c>
      <c r="DF33" s="3" t="s">
        <v>86</v>
      </c>
      <c r="DG33" s="62">
        <v>42789</v>
      </c>
      <c r="EC33" s="60" t="str">
        <f>VLOOKUP($M33,[1]Detail!$M:$BO,1,0)</f>
        <v>JD8B-F46506-AA</v>
      </c>
      <c r="ED33" s="60">
        <f>VLOOKUP($M33,[1]Detail!$M:$BO,22,0)</f>
        <v>-70.440000000000012</v>
      </c>
      <c r="EE33" s="60">
        <f>VLOOKUP($M33,[1]Detail!$M:$BO,42,0)</f>
        <v>-774466</v>
      </c>
      <c r="EF33" s="60">
        <f>VLOOKUP($M33,[1]Detail!$M:$BO,45,0)</f>
        <v>0</v>
      </c>
      <c r="EH33" s="60">
        <f t="shared" si="32"/>
        <v>0</v>
      </c>
      <c r="EI33" s="60">
        <f t="shared" si="33"/>
        <v>0</v>
      </c>
      <c r="EJ33" s="60">
        <f t="shared" si="34"/>
        <v>0</v>
      </c>
    </row>
    <row r="34" spans="2:140" ht="12.75" hidden="1" customHeight="1">
      <c r="B34" s="1" t="s">
        <v>152</v>
      </c>
      <c r="C34" s="22" t="s">
        <v>153</v>
      </c>
      <c r="D34" s="22" t="s">
        <v>154</v>
      </c>
      <c r="E34" s="2" t="str">
        <f>VLOOKUP($C34,[1]Detail!$C:$AK,6,0)</f>
        <v>PMT5</v>
      </c>
      <c r="F34" s="2" t="str">
        <f>VLOOKUP($C34,[1]Detail!$C:$AK,7,0)</f>
        <v>TH</v>
      </c>
      <c r="G34" s="2" t="str">
        <f>VLOOKUP($C34,[1]Detail!$C:$AK,5,0)</f>
        <v>B</v>
      </c>
      <c r="J34" s="22" t="s">
        <v>155</v>
      </c>
      <c r="K34" s="23" t="s">
        <v>156</v>
      </c>
      <c r="L34" s="22" t="s">
        <v>100</v>
      </c>
      <c r="M34" s="51" t="str">
        <f t="shared" si="0"/>
        <v>JD8T -13N064 -AA</v>
      </c>
      <c r="O34" s="22">
        <v>0</v>
      </c>
      <c r="P34" s="22">
        <v>0</v>
      </c>
      <c r="Q34" s="22">
        <v>0</v>
      </c>
      <c r="R34" s="22">
        <v>0</v>
      </c>
      <c r="S34" s="22">
        <v>1</v>
      </c>
      <c r="T34" s="22">
        <v>1</v>
      </c>
      <c r="U34" s="22">
        <v>1</v>
      </c>
      <c r="V34" s="22">
        <v>1</v>
      </c>
      <c r="W34" s="64">
        <f t="shared" si="1"/>
        <v>0.33</v>
      </c>
      <c r="Y34" s="60">
        <v>-126.13</v>
      </c>
      <c r="Z34" s="60">
        <v>-0.8</v>
      </c>
      <c r="AA34" s="60">
        <v>0</v>
      </c>
      <c r="AB34" s="60">
        <v>-0.7</v>
      </c>
      <c r="AC34" s="60">
        <v>0</v>
      </c>
      <c r="AD34" s="8">
        <f t="shared" si="2"/>
        <v>-127.63</v>
      </c>
      <c r="AE34" s="2" t="s">
        <v>84</v>
      </c>
      <c r="AG34" s="61">
        <v>-10905</v>
      </c>
      <c r="AH34" s="61">
        <v>-10905</v>
      </c>
      <c r="AI34" s="6"/>
      <c r="AJ34" s="61">
        <v>0</v>
      </c>
      <c r="AK34" s="61">
        <v>0</v>
      </c>
      <c r="AL34" s="61">
        <v>0</v>
      </c>
      <c r="AM34" s="22"/>
      <c r="AO34" s="22" t="s">
        <v>157</v>
      </c>
      <c r="AP34" s="23" t="s">
        <v>156</v>
      </c>
      <c r="AQ34" s="22" t="s">
        <v>100</v>
      </c>
      <c r="AR34" s="51" t="str">
        <f t="shared" si="14"/>
        <v>ED8T-13N064 -AA</v>
      </c>
      <c r="AS34" s="3"/>
      <c r="AT34" s="22">
        <v>0</v>
      </c>
      <c r="AU34" s="22">
        <v>0</v>
      </c>
      <c r="AV34" s="22">
        <v>0</v>
      </c>
      <c r="AW34" s="22">
        <v>0</v>
      </c>
      <c r="AX34" s="22">
        <v>1</v>
      </c>
      <c r="AY34" s="22">
        <v>1</v>
      </c>
      <c r="AZ34" s="22">
        <v>1</v>
      </c>
      <c r="BA34" s="22">
        <v>1</v>
      </c>
      <c r="BB34" s="2">
        <f t="shared" si="35"/>
        <v>0.33</v>
      </c>
      <c r="BD34" s="60">
        <v>-126.13</v>
      </c>
      <c r="BE34" s="60">
        <v>-0.8</v>
      </c>
      <c r="BF34" s="60">
        <v>0</v>
      </c>
      <c r="BG34" s="60">
        <v>-0.7</v>
      </c>
      <c r="BH34" s="60">
        <v>0</v>
      </c>
      <c r="BI34" s="8">
        <f t="shared" si="15"/>
        <v>-127.63</v>
      </c>
      <c r="BJ34" s="2" t="s">
        <v>84</v>
      </c>
      <c r="BL34" s="61">
        <v>0</v>
      </c>
      <c r="BM34" s="61">
        <v>0</v>
      </c>
      <c r="BO34" s="61">
        <v>0</v>
      </c>
      <c r="BP34" s="61">
        <v>0</v>
      </c>
      <c r="BQ34" s="61">
        <v>0</v>
      </c>
      <c r="BS34" s="61">
        <f t="shared" si="3"/>
        <v>0</v>
      </c>
      <c r="BT34" s="61">
        <f t="shared" si="4"/>
        <v>0</v>
      </c>
      <c r="BU34" s="61">
        <f t="shared" si="5"/>
        <v>0</v>
      </c>
      <c r="BV34" s="61">
        <f t="shared" si="5"/>
        <v>0</v>
      </c>
      <c r="BW34" s="61">
        <f t="shared" si="5"/>
        <v>0</v>
      </c>
      <c r="BX34" s="61">
        <f t="shared" si="5"/>
        <v>0</v>
      </c>
      <c r="BY34" s="61" t="s">
        <v>84</v>
      </c>
      <c r="CA34" s="61">
        <f t="shared" si="6"/>
        <v>0</v>
      </c>
      <c r="CB34" s="61">
        <f t="shared" si="6"/>
        <v>0</v>
      </c>
      <c r="CC34" s="61">
        <f t="shared" si="6"/>
        <v>0</v>
      </c>
      <c r="CD34" s="61">
        <f t="shared" si="6"/>
        <v>0</v>
      </c>
      <c r="CE34" s="61">
        <f t="shared" si="6"/>
        <v>0</v>
      </c>
      <c r="CF34" s="61">
        <f t="shared" si="6"/>
        <v>0</v>
      </c>
      <c r="CG34" s="61">
        <f t="shared" si="6"/>
        <v>0</v>
      </c>
      <c r="CH34" s="61">
        <f t="shared" si="6"/>
        <v>0</v>
      </c>
      <c r="CI34" s="61">
        <f t="shared" si="7"/>
        <v>0</v>
      </c>
      <c r="CJ34" s="61"/>
      <c r="CK34" s="61">
        <f t="shared" si="8"/>
        <v>0</v>
      </c>
      <c r="CL34" s="61">
        <f t="shared" si="8"/>
        <v>0</v>
      </c>
      <c r="CM34" s="61">
        <f t="shared" si="8"/>
        <v>0</v>
      </c>
      <c r="CN34" s="61">
        <f t="shared" si="8"/>
        <v>0</v>
      </c>
      <c r="CO34" s="61">
        <f t="shared" si="8"/>
        <v>0</v>
      </c>
      <c r="CP34" s="61">
        <f t="shared" si="8"/>
        <v>0</v>
      </c>
      <c r="CQ34" s="61">
        <f t="shared" si="8"/>
        <v>0</v>
      </c>
      <c r="CR34" s="61">
        <f t="shared" si="8"/>
        <v>0</v>
      </c>
      <c r="CS34" s="61">
        <f t="shared" si="9"/>
        <v>0</v>
      </c>
      <c r="CT34" s="61">
        <f t="shared" si="10"/>
        <v>0</v>
      </c>
      <c r="CV34" s="61">
        <f t="shared" si="11"/>
        <v>-10905</v>
      </c>
      <c r="CW34" s="61">
        <f t="shared" si="12"/>
        <v>-10905</v>
      </c>
      <c r="CX34" s="61"/>
      <c r="CY34" s="61">
        <f t="shared" si="13"/>
        <v>0</v>
      </c>
      <c r="CZ34" s="61">
        <f t="shared" si="13"/>
        <v>0</v>
      </c>
      <c r="DA34" s="61">
        <f t="shared" si="13"/>
        <v>0</v>
      </c>
      <c r="DB34" s="2" t="s">
        <v>86</v>
      </c>
      <c r="DC34" s="2" t="s">
        <v>86</v>
      </c>
      <c r="DD34" s="2" t="s">
        <v>87</v>
      </c>
      <c r="DE34" s="2" t="s">
        <v>88</v>
      </c>
      <c r="DF34" s="3" t="s">
        <v>86</v>
      </c>
      <c r="DG34" s="62">
        <v>42754</v>
      </c>
      <c r="EC34" s="60" t="str">
        <f>VLOOKUP($M34,[1]Detail!$M:$BO,1,0)</f>
        <v>JD8T -13N064 -AA</v>
      </c>
      <c r="ED34" s="60">
        <f>VLOOKUP($M34,[1]Detail!$M:$BO,22,0)</f>
        <v>-127.63</v>
      </c>
      <c r="EE34" s="60">
        <f>VLOOKUP($M34,[1]Detail!$M:$BO,42,0)</f>
        <v>-10905</v>
      </c>
      <c r="EF34" s="60">
        <f>VLOOKUP($M34,[1]Detail!$M:$BO,45,0)</f>
        <v>0</v>
      </c>
      <c r="EH34" s="60">
        <f t="shared" si="32"/>
        <v>0</v>
      </c>
      <c r="EI34" s="60">
        <f t="shared" si="33"/>
        <v>0</v>
      </c>
      <c r="EJ34" s="60">
        <f t="shared" si="34"/>
        <v>0</v>
      </c>
    </row>
    <row r="35" spans="2:140" ht="12.75" hidden="1" customHeight="1">
      <c r="B35" s="1" t="s">
        <v>152</v>
      </c>
      <c r="C35" s="22" t="s">
        <v>153</v>
      </c>
      <c r="D35" s="22" t="s">
        <v>154</v>
      </c>
      <c r="E35" s="2" t="str">
        <f>VLOOKUP($C35,[1]Detail!$C:$AK,6,0)</f>
        <v>PMT5</v>
      </c>
      <c r="F35" s="2" t="str">
        <f>VLOOKUP($C35,[1]Detail!$C:$AK,7,0)</f>
        <v>TH</v>
      </c>
      <c r="G35" s="2" t="str">
        <f>VLOOKUP($C35,[1]Detail!$C:$AK,5,0)</f>
        <v>B</v>
      </c>
      <c r="J35" s="22" t="s">
        <v>155</v>
      </c>
      <c r="K35" s="23" t="s">
        <v>156</v>
      </c>
      <c r="L35" s="22" t="s">
        <v>111</v>
      </c>
      <c r="M35" s="51" t="str">
        <f t="shared" si="0"/>
        <v>JD8T -13N064 -BA</v>
      </c>
      <c r="O35" s="22">
        <v>1</v>
      </c>
      <c r="P35" s="22">
        <v>1</v>
      </c>
      <c r="Q35" s="22">
        <v>1</v>
      </c>
      <c r="R35" s="22">
        <v>1</v>
      </c>
      <c r="S35" s="22">
        <v>0</v>
      </c>
      <c r="T35" s="22">
        <v>0</v>
      </c>
      <c r="U35" s="22">
        <v>0</v>
      </c>
      <c r="V35" s="22">
        <v>0</v>
      </c>
      <c r="W35" s="64">
        <f t="shared" si="1"/>
        <v>0.67</v>
      </c>
      <c r="Y35" s="60">
        <v>-126.13</v>
      </c>
      <c r="Z35" s="60">
        <v>-0.8</v>
      </c>
      <c r="AA35" s="60">
        <v>0</v>
      </c>
      <c r="AB35" s="60">
        <v>-0.7</v>
      </c>
      <c r="AC35" s="60">
        <v>0</v>
      </c>
      <c r="AD35" s="8">
        <f t="shared" si="2"/>
        <v>-127.63</v>
      </c>
      <c r="AE35" s="2" t="s">
        <v>84</v>
      </c>
      <c r="AG35" s="61">
        <v>0</v>
      </c>
      <c r="AH35" s="61">
        <v>0</v>
      </c>
      <c r="AJ35" s="61">
        <v>0</v>
      </c>
      <c r="AK35" s="61">
        <v>0</v>
      </c>
      <c r="AL35" s="61">
        <v>0</v>
      </c>
      <c r="AM35" s="22"/>
      <c r="AO35" s="22" t="s">
        <v>157</v>
      </c>
      <c r="AP35" s="23" t="s">
        <v>156</v>
      </c>
      <c r="AQ35" s="22" t="s">
        <v>100</v>
      </c>
      <c r="AR35" s="51" t="str">
        <f t="shared" si="14"/>
        <v>ED8T-13N064 -AA</v>
      </c>
      <c r="AS35" s="3"/>
      <c r="AT35" s="22">
        <v>1</v>
      </c>
      <c r="AU35" s="22">
        <v>1</v>
      </c>
      <c r="AV35" s="22">
        <v>1</v>
      </c>
      <c r="AW35" s="22">
        <v>1</v>
      </c>
      <c r="AX35" s="22">
        <v>0</v>
      </c>
      <c r="AY35" s="22">
        <v>0</v>
      </c>
      <c r="AZ35" s="22">
        <v>0</v>
      </c>
      <c r="BA35" s="22">
        <v>0</v>
      </c>
      <c r="BB35" s="2">
        <f t="shared" si="35"/>
        <v>0.67</v>
      </c>
      <c r="BD35" s="60">
        <v>-126.13</v>
      </c>
      <c r="BE35" s="60">
        <v>-0.8</v>
      </c>
      <c r="BF35" s="60">
        <v>0</v>
      </c>
      <c r="BG35" s="60">
        <v>-0.7</v>
      </c>
      <c r="BH35" s="60">
        <v>0</v>
      </c>
      <c r="BI35" s="8">
        <f t="shared" si="15"/>
        <v>-127.63</v>
      </c>
      <c r="BJ35" s="2" t="s">
        <v>84</v>
      </c>
      <c r="BL35" s="61">
        <v>0</v>
      </c>
      <c r="BM35" s="61">
        <v>0</v>
      </c>
      <c r="BO35" s="61">
        <v>0</v>
      </c>
      <c r="BP35" s="61">
        <v>0</v>
      </c>
      <c r="BQ35" s="61">
        <v>0</v>
      </c>
      <c r="BS35" s="61">
        <f t="shared" si="3"/>
        <v>0</v>
      </c>
      <c r="BT35" s="61">
        <f t="shared" si="4"/>
        <v>0</v>
      </c>
      <c r="BU35" s="61">
        <f t="shared" si="5"/>
        <v>0</v>
      </c>
      <c r="BV35" s="61">
        <f t="shared" si="5"/>
        <v>0</v>
      </c>
      <c r="BW35" s="61">
        <f t="shared" si="5"/>
        <v>0</v>
      </c>
      <c r="BX35" s="61">
        <f t="shared" si="5"/>
        <v>0</v>
      </c>
      <c r="BY35" s="61" t="s">
        <v>84</v>
      </c>
      <c r="CA35" s="61">
        <f t="shared" si="6"/>
        <v>0</v>
      </c>
      <c r="CB35" s="61">
        <f t="shared" si="6"/>
        <v>0</v>
      </c>
      <c r="CC35" s="61">
        <f t="shared" si="6"/>
        <v>0</v>
      </c>
      <c r="CD35" s="61">
        <f t="shared" si="6"/>
        <v>0</v>
      </c>
      <c r="CE35" s="61">
        <f t="shared" si="6"/>
        <v>0</v>
      </c>
      <c r="CF35" s="61">
        <f t="shared" si="6"/>
        <v>0</v>
      </c>
      <c r="CG35" s="61">
        <f t="shared" si="6"/>
        <v>0</v>
      </c>
      <c r="CH35" s="61">
        <f t="shared" si="6"/>
        <v>0</v>
      </c>
      <c r="CI35" s="61">
        <f t="shared" si="7"/>
        <v>0</v>
      </c>
      <c r="CJ35" s="61"/>
      <c r="CK35" s="61">
        <f t="shared" si="8"/>
        <v>0</v>
      </c>
      <c r="CL35" s="61">
        <f t="shared" si="8"/>
        <v>0</v>
      </c>
      <c r="CM35" s="61">
        <f t="shared" si="8"/>
        <v>0</v>
      </c>
      <c r="CN35" s="61">
        <f t="shared" si="8"/>
        <v>0</v>
      </c>
      <c r="CO35" s="61">
        <f t="shared" si="8"/>
        <v>0</v>
      </c>
      <c r="CP35" s="61">
        <f t="shared" si="8"/>
        <v>0</v>
      </c>
      <c r="CQ35" s="61">
        <f t="shared" si="8"/>
        <v>0</v>
      </c>
      <c r="CR35" s="61">
        <f t="shared" si="8"/>
        <v>0</v>
      </c>
      <c r="CS35" s="61">
        <f t="shared" si="9"/>
        <v>0</v>
      </c>
      <c r="CT35" s="61">
        <f t="shared" si="10"/>
        <v>0</v>
      </c>
      <c r="CV35" s="61">
        <f t="shared" si="11"/>
        <v>0</v>
      </c>
      <c r="CW35" s="61">
        <f t="shared" si="12"/>
        <v>0</v>
      </c>
      <c r="CX35" s="61"/>
      <c r="CY35" s="61">
        <f t="shared" si="13"/>
        <v>0</v>
      </c>
      <c r="CZ35" s="61">
        <f t="shared" si="13"/>
        <v>0</v>
      </c>
      <c r="DA35" s="61">
        <f t="shared" si="13"/>
        <v>0</v>
      </c>
      <c r="DB35" s="2" t="s">
        <v>86</v>
      </c>
      <c r="DC35" s="2" t="s">
        <v>86</v>
      </c>
      <c r="DD35" s="2" t="s">
        <v>87</v>
      </c>
      <c r="DE35" s="2" t="s">
        <v>88</v>
      </c>
      <c r="DF35" s="3" t="s">
        <v>86</v>
      </c>
      <c r="DG35" s="62">
        <v>42754</v>
      </c>
      <c r="EC35" s="60" t="str">
        <f>VLOOKUP($M35,[1]Detail!$M:$BO,1,0)</f>
        <v>JD8T -13N064 -BA</v>
      </c>
      <c r="ED35" s="60">
        <f>VLOOKUP($M35,[1]Detail!$M:$BO,22,0)</f>
        <v>-127.63</v>
      </c>
      <c r="EE35" s="60">
        <f>VLOOKUP($M35,[1]Detail!$M:$BO,42,0)</f>
        <v>0</v>
      </c>
      <c r="EF35" s="60">
        <f>VLOOKUP($M35,[1]Detail!$M:$BO,45,0)</f>
        <v>0</v>
      </c>
      <c r="EH35" s="60">
        <f t="shared" si="32"/>
        <v>0</v>
      </c>
      <c r="EI35" s="60">
        <f t="shared" si="33"/>
        <v>0</v>
      </c>
      <c r="EJ35" s="60">
        <f t="shared" si="34"/>
        <v>0</v>
      </c>
    </row>
    <row r="36" spans="2:140" ht="12.75" hidden="1" customHeight="1">
      <c r="B36" s="1" t="s">
        <v>158</v>
      </c>
      <c r="C36" s="22" t="s">
        <v>159</v>
      </c>
      <c r="D36" s="22" t="s">
        <v>160</v>
      </c>
      <c r="E36" s="2" t="str">
        <f>VLOOKUP($C36,[1]Detail!$C:$AK,6,0)</f>
        <v>PMT5</v>
      </c>
      <c r="F36" s="2" t="str">
        <f>VLOOKUP($C36,[1]Detail!$C:$AK,7,0)</f>
        <v>TH</v>
      </c>
      <c r="G36" s="2" t="str">
        <f>VLOOKUP($C36,[1]Detail!$C:$AK,5,0)</f>
        <v>B</v>
      </c>
      <c r="J36" s="22" t="s">
        <v>110</v>
      </c>
      <c r="K36" s="23" t="s">
        <v>161</v>
      </c>
      <c r="L36" s="22" t="s">
        <v>100</v>
      </c>
      <c r="M36" s="51" t="str">
        <f t="shared" si="0"/>
        <v>JD8T-13A024 -AA</v>
      </c>
      <c r="O36" s="22">
        <v>0</v>
      </c>
      <c r="P36" s="22">
        <v>0</v>
      </c>
      <c r="Q36" s="22">
        <v>1</v>
      </c>
      <c r="R36" s="22">
        <v>1</v>
      </c>
      <c r="S36" s="22">
        <v>0</v>
      </c>
      <c r="T36" s="22">
        <v>0</v>
      </c>
      <c r="U36" s="22">
        <v>0</v>
      </c>
      <c r="V36" s="22">
        <v>0</v>
      </c>
      <c r="W36" s="64">
        <f t="shared" si="1"/>
        <v>0.37</v>
      </c>
      <c r="Y36" s="60">
        <v>-43.04</v>
      </c>
      <c r="Z36" s="60">
        <v>-0.3</v>
      </c>
      <c r="AA36" s="60">
        <v>0</v>
      </c>
      <c r="AB36" s="60">
        <v>-0.44</v>
      </c>
      <c r="AC36" s="60">
        <v>0</v>
      </c>
      <c r="AD36" s="8">
        <f t="shared" si="2"/>
        <v>-43.779999999999994</v>
      </c>
      <c r="AE36" s="2" t="s">
        <v>84</v>
      </c>
      <c r="AG36" s="61">
        <v>0</v>
      </c>
      <c r="AH36" s="61">
        <v>0</v>
      </c>
      <c r="AJ36" s="61">
        <v>0</v>
      </c>
      <c r="AK36" s="61">
        <v>0</v>
      </c>
      <c r="AL36" s="61">
        <v>0</v>
      </c>
      <c r="AM36" s="22"/>
      <c r="AO36" s="22" t="s">
        <v>157</v>
      </c>
      <c r="AP36" s="23" t="s">
        <v>161</v>
      </c>
      <c r="AQ36" s="22" t="s">
        <v>162</v>
      </c>
      <c r="AR36" s="51" t="str">
        <f t="shared" si="14"/>
        <v>ED8T-13A024 -AD</v>
      </c>
      <c r="AS36" s="3"/>
      <c r="AT36" s="22">
        <v>0</v>
      </c>
      <c r="AU36" s="22">
        <v>0</v>
      </c>
      <c r="AV36" s="22">
        <v>1</v>
      </c>
      <c r="AW36" s="22">
        <v>1</v>
      </c>
      <c r="AX36" s="22">
        <v>0</v>
      </c>
      <c r="AY36" s="22">
        <v>0</v>
      </c>
      <c r="AZ36" s="22">
        <v>0</v>
      </c>
      <c r="BA36" s="22">
        <v>0</v>
      </c>
      <c r="BB36" s="2">
        <f t="shared" si="35"/>
        <v>0.37</v>
      </c>
      <c r="BD36" s="60">
        <v>-41.99</v>
      </c>
      <c r="BE36" s="60">
        <v>-0.3</v>
      </c>
      <c r="BF36" s="60">
        <v>0</v>
      </c>
      <c r="BG36" s="60">
        <v>-0.44</v>
      </c>
      <c r="BH36" s="60">
        <v>0</v>
      </c>
      <c r="BI36" s="8">
        <f t="shared" si="15"/>
        <v>-42.73</v>
      </c>
      <c r="BJ36" s="2" t="s">
        <v>84</v>
      </c>
      <c r="BL36" s="61">
        <v>0</v>
      </c>
      <c r="BM36" s="61">
        <v>0</v>
      </c>
      <c r="BO36" s="61">
        <v>0</v>
      </c>
      <c r="BP36" s="61">
        <v>0</v>
      </c>
      <c r="BQ36" s="61">
        <v>0</v>
      </c>
      <c r="BS36" s="61">
        <f t="shared" si="3"/>
        <v>-1.0499999999999972</v>
      </c>
      <c r="BT36" s="61">
        <f t="shared" si="4"/>
        <v>0</v>
      </c>
      <c r="BU36" s="61">
        <f t="shared" si="5"/>
        <v>0</v>
      </c>
      <c r="BV36" s="61">
        <f t="shared" si="5"/>
        <v>0</v>
      </c>
      <c r="BW36" s="61">
        <f t="shared" si="5"/>
        <v>0</v>
      </c>
      <c r="BX36" s="61">
        <f t="shared" si="5"/>
        <v>-1.0499999999999972</v>
      </c>
      <c r="BY36" s="61" t="s">
        <v>84</v>
      </c>
      <c r="CA36" s="61">
        <f t="shared" si="6"/>
        <v>0</v>
      </c>
      <c r="CB36" s="61">
        <f t="shared" si="6"/>
        <v>0</v>
      </c>
      <c r="CC36" s="61">
        <f t="shared" si="6"/>
        <v>-0.15796599969911196</v>
      </c>
      <c r="CD36" s="61">
        <f t="shared" si="6"/>
        <v>-0.15796599969911196</v>
      </c>
      <c r="CE36" s="61">
        <f t="shared" si="6"/>
        <v>0</v>
      </c>
      <c r="CF36" s="61">
        <f t="shared" si="6"/>
        <v>0</v>
      </c>
      <c r="CG36" s="61">
        <f t="shared" si="6"/>
        <v>0</v>
      </c>
      <c r="CH36" s="61">
        <f t="shared" si="6"/>
        <v>0</v>
      </c>
      <c r="CI36" s="61">
        <f t="shared" si="7"/>
        <v>-5.8447419888671429E-2</v>
      </c>
      <c r="CJ36" s="61"/>
      <c r="CK36" s="61">
        <f t="shared" si="8"/>
        <v>0</v>
      </c>
      <c r="CL36" s="61">
        <f t="shared" si="8"/>
        <v>0</v>
      </c>
      <c r="CM36" s="61">
        <f t="shared" si="8"/>
        <v>-0.15796599969911196</v>
      </c>
      <c r="CN36" s="61">
        <f t="shared" si="8"/>
        <v>-0.15796599969911196</v>
      </c>
      <c r="CO36" s="61">
        <f t="shared" si="8"/>
        <v>0</v>
      </c>
      <c r="CP36" s="61">
        <f t="shared" si="8"/>
        <v>0</v>
      </c>
      <c r="CQ36" s="61">
        <f t="shared" si="8"/>
        <v>0</v>
      </c>
      <c r="CR36" s="61">
        <f t="shared" si="8"/>
        <v>0</v>
      </c>
      <c r="CS36" s="61">
        <f t="shared" si="9"/>
        <v>-5.8447419888671429E-2</v>
      </c>
      <c r="CT36" s="61">
        <f t="shared" si="10"/>
        <v>-0.38849999999999901</v>
      </c>
      <c r="CV36" s="61">
        <f t="shared" si="11"/>
        <v>0</v>
      </c>
      <c r="CW36" s="61">
        <f t="shared" si="12"/>
        <v>0</v>
      </c>
      <c r="CX36" s="61"/>
      <c r="CY36" s="61">
        <f t="shared" si="13"/>
        <v>0</v>
      </c>
      <c r="CZ36" s="61">
        <f t="shared" si="13"/>
        <v>0</v>
      </c>
      <c r="DA36" s="61">
        <f t="shared" si="13"/>
        <v>0</v>
      </c>
      <c r="DB36" s="2" t="s">
        <v>85</v>
      </c>
      <c r="DC36" s="2" t="s">
        <v>86</v>
      </c>
      <c r="DD36" s="2" t="s">
        <v>87</v>
      </c>
      <c r="DE36" s="2" t="s">
        <v>88</v>
      </c>
      <c r="DF36" s="3" t="s">
        <v>86</v>
      </c>
      <c r="DG36" s="62">
        <v>42783</v>
      </c>
      <c r="EC36" s="60"/>
      <c r="ED36" s="60"/>
      <c r="EE36" s="60"/>
      <c r="EF36" s="60"/>
    </row>
    <row r="37" spans="2:140" ht="12.75" hidden="1" customHeight="1">
      <c r="B37" s="1" t="s">
        <v>158</v>
      </c>
      <c r="C37" s="22" t="s">
        <v>159</v>
      </c>
      <c r="D37" s="22" t="s">
        <v>160</v>
      </c>
      <c r="E37" s="2" t="str">
        <f>VLOOKUP($C37,[1]Detail!$C:$AK,6,0)</f>
        <v>PMT5</v>
      </c>
      <c r="F37" s="2" t="str">
        <f>VLOOKUP($C37,[1]Detail!$C:$AK,7,0)</f>
        <v>TH</v>
      </c>
      <c r="G37" s="2" t="str">
        <f>VLOOKUP($C37,[1]Detail!$C:$AK,5,0)</f>
        <v>B</v>
      </c>
      <c r="J37" s="22" t="s">
        <v>110</v>
      </c>
      <c r="K37" s="23" t="s">
        <v>161</v>
      </c>
      <c r="L37" s="22" t="s">
        <v>111</v>
      </c>
      <c r="M37" s="51" t="str">
        <f t="shared" si="0"/>
        <v>JD8T-13A024 -BA</v>
      </c>
      <c r="O37" s="22">
        <v>0</v>
      </c>
      <c r="P37" s="22">
        <v>0</v>
      </c>
      <c r="Q37" s="22">
        <v>0</v>
      </c>
      <c r="R37" s="22">
        <v>0</v>
      </c>
      <c r="S37" s="22">
        <v>1</v>
      </c>
      <c r="T37" s="22">
        <v>1</v>
      </c>
      <c r="U37" s="22">
        <v>1</v>
      </c>
      <c r="V37" s="22">
        <v>1</v>
      </c>
      <c r="W37" s="64">
        <f t="shared" si="1"/>
        <v>0.33</v>
      </c>
      <c r="Y37" s="60">
        <v>-43.04</v>
      </c>
      <c r="Z37" s="60">
        <v>-0.3</v>
      </c>
      <c r="AA37" s="60">
        <v>0</v>
      </c>
      <c r="AB37" s="60">
        <v>-0.44</v>
      </c>
      <c r="AC37" s="60">
        <v>0</v>
      </c>
      <c r="AD37" s="8">
        <f t="shared" si="2"/>
        <v>-43.779999999999994</v>
      </c>
      <c r="AE37" s="2" t="s">
        <v>84</v>
      </c>
      <c r="AG37" s="61">
        <v>0</v>
      </c>
      <c r="AH37" s="61">
        <v>0</v>
      </c>
      <c r="AJ37" s="61">
        <v>0</v>
      </c>
      <c r="AK37" s="61">
        <v>0</v>
      </c>
      <c r="AL37" s="61">
        <v>0</v>
      </c>
      <c r="AM37" s="22"/>
      <c r="AO37" s="22" t="s">
        <v>157</v>
      </c>
      <c r="AP37" s="23" t="s">
        <v>161</v>
      </c>
      <c r="AQ37" s="22" t="s">
        <v>162</v>
      </c>
      <c r="AR37" s="51" t="str">
        <f t="shared" si="14"/>
        <v>ED8T-13A024 -AD</v>
      </c>
      <c r="AS37" s="3"/>
      <c r="AT37" s="22">
        <v>0</v>
      </c>
      <c r="AU37" s="22">
        <v>0</v>
      </c>
      <c r="AV37" s="22">
        <v>0</v>
      </c>
      <c r="AW37" s="22">
        <v>0</v>
      </c>
      <c r="AX37" s="22">
        <v>1</v>
      </c>
      <c r="AY37" s="22">
        <v>1</v>
      </c>
      <c r="AZ37" s="22">
        <v>1</v>
      </c>
      <c r="BA37" s="22">
        <v>1</v>
      </c>
      <c r="BB37" s="2">
        <f t="shared" si="35"/>
        <v>0.33</v>
      </c>
      <c r="BD37" s="60">
        <v>-41.99</v>
      </c>
      <c r="BE37" s="60">
        <v>-0.3</v>
      </c>
      <c r="BF37" s="60">
        <v>0</v>
      </c>
      <c r="BG37" s="60">
        <v>-0.44</v>
      </c>
      <c r="BH37" s="60">
        <v>0</v>
      </c>
      <c r="BI37" s="8">
        <f t="shared" si="15"/>
        <v>-42.73</v>
      </c>
      <c r="BJ37" s="2" t="s">
        <v>84</v>
      </c>
      <c r="BL37" s="61">
        <v>0</v>
      </c>
      <c r="BM37" s="61">
        <v>0</v>
      </c>
      <c r="BO37" s="61">
        <v>0</v>
      </c>
      <c r="BP37" s="61">
        <v>0</v>
      </c>
      <c r="BQ37" s="61">
        <v>0</v>
      </c>
      <c r="BS37" s="61">
        <f t="shared" si="3"/>
        <v>-1.0499999999999972</v>
      </c>
      <c r="BT37" s="61">
        <f t="shared" si="4"/>
        <v>0</v>
      </c>
      <c r="BU37" s="61">
        <f t="shared" si="5"/>
        <v>0</v>
      </c>
      <c r="BV37" s="61">
        <f t="shared" si="5"/>
        <v>0</v>
      </c>
      <c r="BW37" s="61">
        <f t="shared" si="5"/>
        <v>0</v>
      </c>
      <c r="BX37" s="61">
        <f t="shared" si="5"/>
        <v>-1.0499999999999972</v>
      </c>
      <c r="BY37" s="61" t="s">
        <v>84</v>
      </c>
      <c r="CA37" s="61">
        <f t="shared" si="6"/>
        <v>0</v>
      </c>
      <c r="CB37" s="61">
        <f t="shared" si="6"/>
        <v>0</v>
      </c>
      <c r="CC37" s="61">
        <f t="shared" si="6"/>
        <v>0</v>
      </c>
      <c r="CD37" s="61">
        <f t="shared" si="6"/>
        <v>0</v>
      </c>
      <c r="CE37" s="61">
        <f t="shared" si="6"/>
        <v>-0.15796599969911196</v>
      </c>
      <c r="CF37" s="61">
        <f t="shared" si="6"/>
        <v>-0.15796599969911196</v>
      </c>
      <c r="CG37" s="61">
        <f t="shared" si="6"/>
        <v>-0.15796599969911196</v>
      </c>
      <c r="CH37" s="61">
        <f t="shared" si="6"/>
        <v>-0.15796599969911196</v>
      </c>
      <c r="CI37" s="61">
        <f t="shared" si="7"/>
        <v>-5.2128779900706954E-2</v>
      </c>
      <c r="CJ37" s="61"/>
      <c r="CK37" s="61">
        <f t="shared" si="8"/>
        <v>0</v>
      </c>
      <c r="CL37" s="61">
        <f t="shared" si="8"/>
        <v>0</v>
      </c>
      <c r="CM37" s="61">
        <f t="shared" si="8"/>
        <v>0</v>
      </c>
      <c r="CN37" s="61">
        <f t="shared" si="8"/>
        <v>0</v>
      </c>
      <c r="CO37" s="61">
        <f t="shared" si="8"/>
        <v>-0.15796599969911196</v>
      </c>
      <c r="CP37" s="61">
        <f t="shared" si="8"/>
        <v>-0.15796599969911196</v>
      </c>
      <c r="CQ37" s="61">
        <f t="shared" si="8"/>
        <v>-0.15796599969911196</v>
      </c>
      <c r="CR37" s="61">
        <f t="shared" si="8"/>
        <v>-0.15796599969911196</v>
      </c>
      <c r="CS37" s="61">
        <f t="shared" si="9"/>
        <v>-5.2128779900706954E-2</v>
      </c>
      <c r="CT37" s="61">
        <f t="shared" si="10"/>
        <v>-0.34649999999999914</v>
      </c>
      <c r="CV37" s="61">
        <f t="shared" si="11"/>
        <v>0</v>
      </c>
      <c r="CW37" s="61">
        <f t="shared" si="12"/>
        <v>0</v>
      </c>
      <c r="CX37" s="61"/>
      <c r="CY37" s="61">
        <f t="shared" si="13"/>
        <v>0</v>
      </c>
      <c r="CZ37" s="61">
        <f t="shared" si="13"/>
        <v>0</v>
      </c>
      <c r="DA37" s="61">
        <f t="shared" si="13"/>
        <v>0</v>
      </c>
      <c r="DB37" s="2" t="s">
        <v>85</v>
      </c>
      <c r="DC37" s="2" t="s">
        <v>86</v>
      </c>
      <c r="DD37" s="2" t="s">
        <v>87</v>
      </c>
      <c r="DE37" s="2" t="s">
        <v>88</v>
      </c>
      <c r="DF37" s="3" t="s">
        <v>86</v>
      </c>
      <c r="DG37" s="62">
        <v>42783</v>
      </c>
      <c r="EC37" s="60"/>
      <c r="ED37" s="60"/>
      <c r="EE37" s="60"/>
      <c r="EF37" s="60"/>
    </row>
    <row r="38" spans="2:140" ht="12.75" hidden="1" customHeight="1">
      <c r="B38" s="1" t="s">
        <v>158</v>
      </c>
      <c r="C38" s="22" t="s">
        <v>159</v>
      </c>
      <c r="D38" s="22" t="s">
        <v>160</v>
      </c>
      <c r="E38" s="2" t="str">
        <f>VLOOKUP($C38,[1]Detail!$C:$AK,6,0)</f>
        <v>PMT5</v>
      </c>
      <c r="F38" s="2" t="str">
        <f>VLOOKUP($C38,[1]Detail!$C:$AK,7,0)</f>
        <v>TH</v>
      </c>
      <c r="G38" s="2" t="str">
        <f>VLOOKUP($C38,[1]Detail!$C:$AK,5,0)</f>
        <v>B</v>
      </c>
      <c r="J38" s="22" t="s">
        <v>110</v>
      </c>
      <c r="K38" s="23" t="s">
        <v>161</v>
      </c>
      <c r="L38" s="22" t="s">
        <v>113</v>
      </c>
      <c r="M38" s="51" t="str">
        <f t="shared" si="0"/>
        <v>JD8T-13A024 -CA</v>
      </c>
      <c r="O38" s="22">
        <v>1</v>
      </c>
      <c r="P38" s="22">
        <v>1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64">
        <f t="shared" si="1"/>
        <v>0.30000000000000004</v>
      </c>
      <c r="Y38" s="60">
        <v>-41.99</v>
      </c>
      <c r="Z38" s="60">
        <v>-0.3</v>
      </c>
      <c r="AA38" s="60">
        <v>0</v>
      </c>
      <c r="AB38" s="60">
        <v>-0.44</v>
      </c>
      <c r="AC38" s="60">
        <v>0</v>
      </c>
      <c r="AD38" s="8">
        <f t="shared" si="2"/>
        <v>-42.73</v>
      </c>
      <c r="AE38" s="2" t="s">
        <v>84</v>
      </c>
      <c r="AG38" s="61">
        <v>0</v>
      </c>
      <c r="AH38" s="61">
        <v>0</v>
      </c>
      <c r="AJ38" s="61">
        <v>0</v>
      </c>
      <c r="AK38" s="61">
        <v>0</v>
      </c>
      <c r="AL38" s="61">
        <v>0</v>
      </c>
      <c r="AM38" s="22"/>
      <c r="AO38" s="22" t="s">
        <v>157</v>
      </c>
      <c r="AP38" s="23" t="s">
        <v>161</v>
      </c>
      <c r="AQ38" s="22" t="s">
        <v>162</v>
      </c>
      <c r="AR38" s="51" t="str">
        <f t="shared" si="14"/>
        <v>ED8T-13A024 -AD</v>
      </c>
      <c r="AS38" s="3"/>
      <c r="AT38" s="22">
        <v>1</v>
      </c>
      <c r="AU38" s="22">
        <v>1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">
        <f t="shared" si="35"/>
        <v>0.30000000000000004</v>
      </c>
      <c r="BD38" s="60">
        <v>-41.99</v>
      </c>
      <c r="BE38" s="60">
        <v>-0.3</v>
      </c>
      <c r="BF38" s="60">
        <v>0</v>
      </c>
      <c r="BG38" s="60">
        <v>-0.44</v>
      </c>
      <c r="BH38" s="60">
        <v>0</v>
      </c>
      <c r="BI38" s="8">
        <f t="shared" si="15"/>
        <v>-42.73</v>
      </c>
      <c r="BJ38" s="2" t="s">
        <v>84</v>
      </c>
      <c r="BL38" s="61">
        <v>0</v>
      </c>
      <c r="BM38" s="61">
        <v>0</v>
      </c>
      <c r="BO38" s="61">
        <v>0</v>
      </c>
      <c r="BP38" s="61">
        <v>0</v>
      </c>
      <c r="BQ38" s="61">
        <v>0</v>
      </c>
      <c r="BS38" s="61">
        <f t="shared" si="3"/>
        <v>0</v>
      </c>
      <c r="BT38" s="61">
        <f t="shared" si="4"/>
        <v>0</v>
      </c>
      <c r="BU38" s="61">
        <f t="shared" si="5"/>
        <v>0</v>
      </c>
      <c r="BV38" s="61">
        <f t="shared" si="5"/>
        <v>0</v>
      </c>
      <c r="BW38" s="61">
        <f t="shared" si="5"/>
        <v>0</v>
      </c>
      <c r="BX38" s="61">
        <f t="shared" si="5"/>
        <v>0</v>
      </c>
      <c r="BY38" s="61" t="s">
        <v>84</v>
      </c>
      <c r="CA38" s="61">
        <f t="shared" si="6"/>
        <v>0</v>
      </c>
      <c r="CB38" s="61">
        <f t="shared" si="6"/>
        <v>0</v>
      </c>
      <c r="CC38" s="61">
        <f t="shared" si="6"/>
        <v>0</v>
      </c>
      <c r="CD38" s="61">
        <f t="shared" si="6"/>
        <v>0</v>
      </c>
      <c r="CE38" s="61">
        <f t="shared" si="6"/>
        <v>0</v>
      </c>
      <c r="CF38" s="61">
        <f t="shared" si="6"/>
        <v>0</v>
      </c>
      <c r="CG38" s="61">
        <f t="shared" si="6"/>
        <v>0</v>
      </c>
      <c r="CH38" s="61">
        <f t="shared" ref="CH38:CH101" si="36">($Y38*V38-BA38*$BD38)/$C$2</f>
        <v>0</v>
      </c>
      <c r="CI38" s="61">
        <f t="shared" si="7"/>
        <v>0</v>
      </c>
      <c r="CJ38" s="61"/>
      <c r="CK38" s="61">
        <f t="shared" si="8"/>
        <v>0</v>
      </c>
      <c r="CL38" s="61">
        <f t="shared" si="8"/>
        <v>0</v>
      </c>
      <c r="CM38" s="61">
        <f t="shared" si="8"/>
        <v>0</v>
      </c>
      <c r="CN38" s="61">
        <f t="shared" si="8"/>
        <v>0</v>
      </c>
      <c r="CO38" s="61">
        <f t="shared" si="8"/>
        <v>0</v>
      </c>
      <c r="CP38" s="61">
        <f t="shared" si="8"/>
        <v>0</v>
      </c>
      <c r="CQ38" s="61">
        <f t="shared" si="8"/>
        <v>0</v>
      </c>
      <c r="CR38" s="61">
        <f t="shared" ref="CR38:CR101" si="37">(V38*$AD38-BA38*$BI38)/$C$2</f>
        <v>0</v>
      </c>
      <c r="CS38" s="61">
        <f t="shared" si="9"/>
        <v>0</v>
      </c>
      <c r="CT38" s="61">
        <f t="shared" si="10"/>
        <v>0</v>
      </c>
      <c r="CV38" s="61">
        <f t="shared" si="11"/>
        <v>0</v>
      </c>
      <c r="CW38" s="61">
        <f t="shared" si="12"/>
        <v>0</v>
      </c>
      <c r="CX38" s="61"/>
      <c r="CY38" s="61">
        <f t="shared" si="13"/>
        <v>0</v>
      </c>
      <c r="CZ38" s="61">
        <f t="shared" si="13"/>
        <v>0</v>
      </c>
      <c r="DA38" s="61">
        <f t="shared" si="13"/>
        <v>0</v>
      </c>
      <c r="DB38" s="2" t="s">
        <v>85</v>
      </c>
      <c r="DC38" s="2" t="s">
        <v>86</v>
      </c>
      <c r="DD38" s="2" t="s">
        <v>87</v>
      </c>
      <c r="DE38" s="2" t="s">
        <v>88</v>
      </c>
      <c r="DF38" s="3" t="s">
        <v>86</v>
      </c>
      <c r="DG38" s="62">
        <v>42783</v>
      </c>
      <c r="EC38" s="60"/>
      <c r="ED38" s="60"/>
      <c r="EE38" s="60"/>
      <c r="EF38" s="60"/>
    </row>
    <row r="39" spans="2:140" ht="12.75" hidden="1" customHeight="1">
      <c r="B39" s="1" t="s">
        <v>163</v>
      </c>
      <c r="C39" s="22" t="s">
        <v>159</v>
      </c>
      <c r="D39" s="22" t="s">
        <v>160</v>
      </c>
      <c r="E39" s="2" t="str">
        <f>VLOOKUP($C39,[1]Detail!$C:$AK,6,0)</f>
        <v>PMT5</v>
      </c>
      <c r="F39" s="2" t="str">
        <f>VLOOKUP($C39,[1]Detail!$C:$AK,7,0)</f>
        <v>TH</v>
      </c>
      <c r="G39" s="2" t="str">
        <f>VLOOKUP($C39,[1]Detail!$C:$AK,5,0)</f>
        <v>B</v>
      </c>
      <c r="J39" s="22" t="s">
        <v>110</v>
      </c>
      <c r="K39" s="23" t="s">
        <v>161</v>
      </c>
      <c r="L39" s="22" t="s">
        <v>132</v>
      </c>
      <c r="M39" s="51" t="str">
        <f t="shared" si="0"/>
        <v>JD8T-13A024 -AB</v>
      </c>
      <c r="O39" s="22">
        <v>0</v>
      </c>
      <c r="P39" s="22">
        <v>0</v>
      </c>
      <c r="Q39" s="22">
        <v>1</v>
      </c>
      <c r="R39" s="22">
        <v>1</v>
      </c>
      <c r="S39" s="22">
        <v>0</v>
      </c>
      <c r="T39" s="22">
        <v>0</v>
      </c>
      <c r="U39" s="22">
        <v>0</v>
      </c>
      <c r="V39" s="22">
        <v>0</v>
      </c>
      <c r="W39" s="64">
        <f t="shared" si="1"/>
        <v>0.37</v>
      </c>
      <c r="Y39" s="60">
        <f>-43.04+1.44</f>
        <v>-41.6</v>
      </c>
      <c r="Z39" s="60">
        <v>-0.3</v>
      </c>
      <c r="AA39" s="60">
        <v>0</v>
      </c>
      <c r="AB39" s="60">
        <v>-0.44</v>
      </c>
      <c r="AC39" s="60">
        <v>0</v>
      </c>
      <c r="AD39" s="8">
        <f t="shared" ref="AD39:AD70" si="38">SUM(Y39:AC39)</f>
        <v>-42.339999999999996</v>
      </c>
      <c r="AE39" s="2" t="s">
        <v>84</v>
      </c>
      <c r="AG39" s="61">
        <v>0</v>
      </c>
      <c r="AH39" s="61">
        <v>0</v>
      </c>
      <c r="AJ39" s="61">
        <v>0</v>
      </c>
      <c r="AK39" s="61">
        <v>0</v>
      </c>
      <c r="AL39" s="61">
        <v>0</v>
      </c>
      <c r="AM39" s="22"/>
      <c r="AO39" s="22" t="s">
        <v>110</v>
      </c>
      <c r="AP39" s="23" t="s">
        <v>161</v>
      </c>
      <c r="AQ39" s="22" t="s">
        <v>100</v>
      </c>
      <c r="AR39" s="51" t="str">
        <f t="shared" si="14"/>
        <v>JD8T-13A024 -AA</v>
      </c>
      <c r="AS39" s="3"/>
      <c r="AT39" s="22">
        <v>0</v>
      </c>
      <c r="AU39" s="22">
        <v>0</v>
      </c>
      <c r="AV39" s="22">
        <v>1</v>
      </c>
      <c r="AW39" s="22">
        <v>1</v>
      </c>
      <c r="AX39" s="22">
        <v>0</v>
      </c>
      <c r="AY39" s="22">
        <v>0</v>
      </c>
      <c r="AZ39" s="22">
        <v>0</v>
      </c>
      <c r="BA39" s="22">
        <v>0</v>
      </c>
      <c r="BB39" s="64">
        <f>SUMPRODUCT(AT39:BA39,$O$6:$V$6)</f>
        <v>0.37</v>
      </c>
      <c r="BD39" s="60">
        <v>-43.04</v>
      </c>
      <c r="BE39" s="60">
        <v>-0.3</v>
      </c>
      <c r="BF39" s="60">
        <v>0</v>
      </c>
      <c r="BG39" s="60">
        <v>-0.44</v>
      </c>
      <c r="BH39" s="60">
        <v>0</v>
      </c>
      <c r="BI39" s="8">
        <f t="shared" si="15"/>
        <v>-43.779999999999994</v>
      </c>
      <c r="BJ39" s="2" t="s">
        <v>84</v>
      </c>
      <c r="BL39" s="61">
        <v>0</v>
      </c>
      <c r="BM39" s="61">
        <v>0</v>
      </c>
      <c r="BO39" s="61">
        <v>0</v>
      </c>
      <c r="BP39" s="61">
        <v>0</v>
      </c>
      <c r="BQ39" s="61">
        <v>0</v>
      </c>
      <c r="BS39" s="61">
        <f t="shared" si="3"/>
        <v>1.4399999999999977</v>
      </c>
      <c r="BT39" s="61">
        <f t="shared" si="4"/>
        <v>0</v>
      </c>
      <c r="BU39" s="61">
        <f t="shared" si="5"/>
        <v>0</v>
      </c>
      <c r="BV39" s="61">
        <f t="shared" si="5"/>
        <v>0</v>
      </c>
      <c r="BW39" s="61">
        <f t="shared" si="5"/>
        <v>0</v>
      </c>
      <c r="BX39" s="61">
        <f t="shared" si="5"/>
        <v>1.4399999999999977</v>
      </c>
      <c r="BY39" s="61" t="s">
        <v>84</v>
      </c>
      <c r="CA39" s="61">
        <f t="shared" ref="CA39:CG102" si="39">($Y39*O39-AT39*$BD39)/$C$2</f>
        <v>0</v>
      </c>
      <c r="CB39" s="61">
        <f t="shared" si="39"/>
        <v>0</v>
      </c>
      <c r="CC39" s="61">
        <f t="shared" si="39"/>
        <v>0.2166390853016395</v>
      </c>
      <c r="CD39" s="61">
        <f t="shared" si="39"/>
        <v>0.2166390853016395</v>
      </c>
      <c r="CE39" s="61">
        <f t="shared" si="39"/>
        <v>0</v>
      </c>
      <c r="CF39" s="61">
        <f t="shared" si="39"/>
        <v>0</v>
      </c>
      <c r="CG39" s="61">
        <f t="shared" si="39"/>
        <v>0</v>
      </c>
      <c r="CH39" s="61">
        <f t="shared" si="36"/>
        <v>0</v>
      </c>
      <c r="CI39" s="61">
        <f t="shared" si="7"/>
        <v>8.0156461561606621E-2</v>
      </c>
      <c r="CJ39" s="61"/>
      <c r="CK39" s="61">
        <f t="shared" ref="CK39:CQ102" si="40">(O39*$AD39-AT39*$BI39)/$C$2</f>
        <v>0</v>
      </c>
      <c r="CL39" s="61">
        <f t="shared" si="40"/>
        <v>0</v>
      </c>
      <c r="CM39" s="61">
        <f t="shared" si="40"/>
        <v>0.2166390853016395</v>
      </c>
      <c r="CN39" s="61">
        <f t="shared" si="40"/>
        <v>0.2166390853016395</v>
      </c>
      <c r="CO39" s="61">
        <f t="shared" si="40"/>
        <v>0</v>
      </c>
      <c r="CP39" s="61">
        <f t="shared" si="40"/>
        <v>0</v>
      </c>
      <c r="CQ39" s="61">
        <f t="shared" si="40"/>
        <v>0</v>
      </c>
      <c r="CR39" s="61">
        <f t="shared" si="37"/>
        <v>0</v>
      </c>
      <c r="CS39" s="61">
        <f t="shared" si="9"/>
        <v>8.0156461561606621E-2</v>
      </c>
      <c r="CT39" s="61">
        <f t="shared" si="10"/>
        <v>0.53279999999999927</v>
      </c>
      <c r="CV39" s="61">
        <f t="shared" si="11"/>
        <v>0</v>
      </c>
      <c r="CW39" s="61">
        <f t="shared" ref="CW39:CW41" si="41">SUM(AH39)-SUM(BM39)</f>
        <v>0</v>
      </c>
      <c r="CX39" s="61"/>
      <c r="CY39" s="61">
        <f t="shared" ref="CY39:CY41" si="42">SUM(AJ39)-SUM(BO39)</f>
        <v>0</v>
      </c>
      <c r="CZ39" s="61">
        <f t="shared" si="13"/>
        <v>0</v>
      </c>
      <c r="DA39" s="61">
        <f t="shared" si="13"/>
        <v>0</v>
      </c>
      <c r="DB39" s="2" t="s">
        <v>86</v>
      </c>
      <c r="DC39" s="2" t="s">
        <v>85</v>
      </c>
      <c r="DD39" s="2" t="s">
        <v>87</v>
      </c>
      <c r="DE39" s="2" t="s">
        <v>106</v>
      </c>
      <c r="DF39" s="3" t="s">
        <v>118</v>
      </c>
      <c r="DG39" s="62">
        <v>43111</v>
      </c>
      <c r="EC39" s="60" t="str">
        <f>VLOOKUP($M39,[1]Detail!$M:$BO,1,0)</f>
        <v>JD8T-13A024 -AB</v>
      </c>
      <c r="ED39" s="60">
        <f>VLOOKUP($M39,[1]Detail!$M:$BO,22,0)</f>
        <v>-42.339999999999996</v>
      </c>
      <c r="EE39" s="60">
        <f>VLOOKUP($M39,[1]Detail!$M:$BO,42,0)</f>
        <v>0</v>
      </c>
      <c r="EF39" s="60">
        <f>VLOOKUP($M39,[1]Detail!$M:$BO,45,0)</f>
        <v>0</v>
      </c>
      <c r="EH39" s="60">
        <f>ED39-AD39</f>
        <v>0</v>
      </c>
      <c r="EI39" s="60">
        <f>EE39-AG39</f>
        <v>0</v>
      </c>
      <c r="EJ39" s="60">
        <f t="shared" ref="EJ39:EJ41" si="43">EF39-AJ39</f>
        <v>0</v>
      </c>
    </row>
    <row r="40" spans="2:140" ht="12.75" hidden="1" customHeight="1">
      <c r="B40" s="1" t="s">
        <v>163</v>
      </c>
      <c r="C40" s="22" t="s">
        <v>159</v>
      </c>
      <c r="D40" s="22" t="s">
        <v>160</v>
      </c>
      <c r="E40" s="2" t="str">
        <f>VLOOKUP($C40,[1]Detail!$C:$AK,6,0)</f>
        <v>PMT5</v>
      </c>
      <c r="F40" s="2" t="str">
        <f>VLOOKUP($C40,[1]Detail!$C:$AK,7,0)</f>
        <v>TH</v>
      </c>
      <c r="G40" s="2" t="str">
        <f>VLOOKUP($C40,[1]Detail!$C:$AK,5,0)</f>
        <v>B</v>
      </c>
      <c r="J40" s="22" t="s">
        <v>110</v>
      </c>
      <c r="K40" s="23" t="s">
        <v>161</v>
      </c>
      <c r="L40" s="22" t="s">
        <v>120</v>
      </c>
      <c r="M40" s="51" t="str">
        <f t="shared" si="0"/>
        <v>JD8T-13A024 -BB</v>
      </c>
      <c r="O40" s="22">
        <v>0</v>
      </c>
      <c r="P40" s="22">
        <v>0</v>
      </c>
      <c r="Q40" s="22">
        <v>0</v>
      </c>
      <c r="R40" s="22">
        <v>0</v>
      </c>
      <c r="S40" s="22">
        <v>1</v>
      </c>
      <c r="T40" s="22">
        <v>1</v>
      </c>
      <c r="U40" s="22">
        <v>1</v>
      </c>
      <c r="V40" s="22">
        <v>1</v>
      </c>
      <c r="W40" s="64">
        <f t="shared" si="1"/>
        <v>0.33</v>
      </c>
      <c r="Y40" s="60">
        <f>-43.04+1.44</f>
        <v>-41.6</v>
      </c>
      <c r="Z40" s="60">
        <v>-0.3</v>
      </c>
      <c r="AA40" s="60">
        <v>0</v>
      </c>
      <c r="AB40" s="60">
        <v>-0.44</v>
      </c>
      <c r="AC40" s="60">
        <v>0</v>
      </c>
      <c r="AD40" s="8">
        <f t="shared" si="38"/>
        <v>-42.339999999999996</v>
      </c>
      <c r="AE40" s="2" t="s">
        <v>84</v>
      </c>
      <c r="AG40" s="61">
        <v>0</v>
      </c>
      <c r="AH40" s="61">
        <v>0</v>
      </c>
      <c r="AJ40" s="61">
        <v>0</v>
      </c>
      <c r="AK40" s="61">
        <v>0</v>
      </c>
      <c r="AL40" s="61">
        <v>0</v>
      </c>
      <c r="AM40" s="22"/>
      <c r="AO40" s="22" t="s">
        <v>110</v>
      </c>
      <c r="AP40" s="23" t="s">
        <v>161</v>
      </c>
      <c r="AQ40" s="22" t="s">
        <v>111</v>
      </c>
      <c r="AR40" s="51" t="str">
        <f t="shared" si="14"/>
        <v>JD8T-13A024 -BA</v>
      </c>
      <c r="AS40" s="3"/>
      <c r="AT40" s="22">
        <v>0</v>
      </c>
      <c r="AU40" s="22">
        <v>0</v>
      </c>
      <c r="AV40" s="22">
        <v>0</v>
      </c>
      <c r="AW40" s="22">
        <v>0</v>
      </c>
      <c r="AX40" s="22">
        <v>1</v>
      </c>
      <c r="AY40" s="22">
        <v>1</v>
      </c>
      <c r="AZ40" s="22">
        <v>1</v>
      </c>
      <c r="BA40" s="22">
        <v>1</v>
      </c>
      <c r="BB40" s="64">
        <f>SUMPRODUCT(AT40:BA40,$O$6:$V$6)</f>
        <v>0.33</v>
      </c>
      <c r="BD40" s="60">
        <v>-43.04</v>
      </c>
      <c r="BE40" s="60">
        <v>-0.3</v>
      </c>
      <c r="BF40" s="60">
        <v>0</v>
      </c>
      <c r="BG40" s="60">
        <v>-0.44</v>
      </c>
      <c r="BH40" s="60">
        <v>0</v>
      </c>
      <c r="BI40" s="8">
        <f t="shared" si="15"/>
        <v>-43.779999999999994</v>
      </c>
      <c r="BJ40" s="2" t="s">
        <v>84</v>
      </c>
      <c r="BL40" s="61">
        <v>0</v>
      </c>
      <c r="BM40" s="61">
        <v>0</v>
      </c>
      <c r="BO40" s="61">
        <v>0</v>
      </c>
      <c r="BP40" s="61">
        <v>0</v>
      </c>
      <c r="BQ40" s="61">
        <v>0</v>
      </c>
      <c r="BS40" s="61">
        <f t="shared" si="3"/>
        <v>1.4399999999999977</v>
      </c>
      <c r="BT40" s="61">
        <f t="shared" si="4"/>
        <v>0</v>
      </c>
      <c r="BU40" s="61">
        <f t="shared" si="5"/>
        <v>0</v>
      </c>
      <c r="BV40" s="61">
        <f t="shared" si="5"/>
        <v>0</v>
      </c>
      <c r="BW40" s="61">
        <f t="shared" si="5"/>
        <v>0</v>
      </c>
      <c r="BX40" s="61">
        <f t="shared" si="5"/>
        <v>1.4399999999999977</v>
      </c>
      <c r="BY40" s="61" t="s">
        <v>84</v>
      </c>
      <c r="CA40" s="61">
        <f t="shared" si="39"/>
        <v>0</v>
      </c>
      <c r="CB40" s="61">
        <f t="shared" si="39"/>
        <v>0</v>
      </c>
      <c r="CC40" s="61">
        <f t="shared" si="39"/>
        <v>0</v>
      </c>
      <c r="CD40" s="61">
        <f t="shared" si="39"/>
        <v>0</v>
      </c>
      <c r="CE40" s="61">
        <f t="shared" si="39"/>
        <v>0.2166390853016395</v>
      </c>
      <c r="CF40" s="61">
        <f t="shared" si="39"/>
        <v>0.2166390853016395</v>
      </c>
      <c r="CG40" s="61">
        <f t="shared" si="39"/>
        <v>0.2166390853016395</v>
      </c>
      <c r="CH40" s="61">
        <f t="shared" si="36"/>
        <v>0.2166390853016395</v>
      </c>
      <c r="CI40" s="61">
        <f t="shared" si="7"/>
        <v>7.1490898149541043E-2</v>
      </c>
      <c r="CJ40" s="61"/>
      <c r="CK40" s="61">
        <f t="shared" si="40"/>
        <v>0</v>
      </c>
      <c r="CL40" s="61">
        <f t="shared" si="40"/>
        <v>0</v>
      </c>
      <c r="CM40" s="61">
        <f t="shared" si="40"/>
        <v>0</v>
      </c>
      <c r="CN40" s="61">
        <f t="shared" si="40"/>
        <v>0</v>
      </c>
      <c r="CO40" s="61">
        <f t="shared" si="40"/>
        <v>0.2166390853016395</v>
      </c>
      <c r="CP40" s="61">
        <f t="shared" si="40"/>
        <v>0.2166390853016395</v>
      </c>
      <c r="CQ40" s="61">
        <f t="shared" si="40"/>
        <v>0.2166390853016395</v>
      </c>
      <c r="CR40" s="61">
        <f t="shared" si="37"/>
        <v>0.2166390853016395</v>
      </c>
      <c r="CS40" s="61">
        <f t="shared" si="9"/>
        <v>7.1490898149541043E-2</v>
      </c>
      <c r="CT40" s="61">
        <f t="shared" si="10"/>
        <v>0.47519999999999935</v>
      </c>
      <c r="CV40" s="61">
        <f t="shared" si="11"/>
        <v>0</v>
      </c>
      <c r="CW40" s="61">
        <f t="shared" si="41"/>
        <v>0</v>
      </c>
      <c r="CX40" s="61"/>
      <c r="CY40" s="61">
        <f t="shared" si="42"/>
        <v>0</v>
      </c>
      <c r="CZ40" s="61">
        <f t="shared" si="13"/>
        <v>0</v>
      </c>
      <c r="DA40" s="61">
        <f t="shared" si="13"/>
        <v>0</v>
      </c>
      <c r="DB40" s="2" t="s">
        <v>86</v>
      </c>
      <c r="DC40" s="2" t="s">
        <v>85</v>
      </c>
      <c r="DD40" s="2" t="s">
        <v>87</v>
      </c>
      <c r="DE40" s="2" t="s">
        <v>106</v>
      </c>
      <c r="DF40" s="3" t="s">
        <v>118</v>
      </c>
      <c r="DG40" s="62">
        <v>43111</v>
      </c>
      <c r="EC40" s="60" t="str">
        <f>VLOOKUP($M40,[1]Detail!$M:$BO,1,0)</f>
        <v>JD8T-13A024 -BB</v>
      </c>
      <c r="ED40" s="60">
        <f>VLOOKUP($M40,[1]Detail!$M:$BO,22,0)</f>
        <v>-42.339999999999996</v>
      </c>
      <c r="EE40" s="60">
        <f>VLOOKUP($M40,[1]Detail!$M:$BO,42,0)</f>
        <v>0</v>
      </c>
      <c r="EF40" s="60">
        <f>VLOOKUP($M40,[1]Detail!$M:$BO,45,0)</f>
        <v>0</v>
      </c>
      <c r="EH40" s="60">
        <f>ED40-AD40</f>
        <v>0</v>
      </c>
      <c r="EI40" s="60">
        <f>EE40-AG40</f>
        <v>0</v>
      </c>
      <c r="EJ40" s="60">
        <f t="shared" si="43"/>
        <v>0</v>
      </c>
    </row>
    <row r="41" spans="2:140" ht="12.75" hidden="1" customHeight="1">
      <c r="B41" s="1" t="s">
        <v>163</v>
      </c>
      <c r="C41" s="22" t="s">
        <v>159</v>
      </c>
      <c r="D41" s="22" t="s">
        <v>160</v>
      </c>
      <c r="E41" s="2" t="str">
        <f>VLOOKUP($C41,[1]Detail!$C:$AK,6,0)</f>
        <v>PMT5</v>
      </c>
      <c r="F41" s="2" t="str">
        <f>VLOOKUP($C41,[1]Detail!$C:$AK,7,0)</f>
        <v>TH</v>
      </c>
      <c r="G41" s="2" t="str">
        <f>VLOOKUP($C41,[1]Detail!$C:$AK,5,0)</f>
        <v>B</v>
      </c>
      <c r="J41" s="22" t="s">
        <v>110</v>
      </c>
      <c r="K41" s="23" t="s">
        <v>161</v>
      </c>
      <c r="L41" s="22" t="s">
        <v>122</v>
      </c>
      <c r="M41" s="51" t="str">
        <f t="shared" si="0"/>
        <v>JD8T-13A024 -CB</v>
      </c>
      <c r="O41" s="22">
        <v>1</v>
      </c>
      <c r="P41" s="22">
        <v>1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64">
        <f t="shared" si="1"/>
        <v>0.30000000000000004</v>
      </c>
      <c r="Y41" s="60">
        <f>-41.99+1.44</f>
        <v>-40.550000000000004</v>
      </c>
      <c r="Z41" s="60">
        <v>-0.3</v>
      </c>
      <c r="AA41" s="60">
        <v>0</v>
      </c>
      <c r="AB41" s="60">
        <v>-0.44</v>
      </c>
      <c r="AC41" s="60">
        <v>0</v>
      </c>
      <c r="AD41" s="8">
        <f t="shared" si="38"/>
        <v>-41.29</v>
      </c>
      <c r="AE41" s="2" t="s">
        <v>84</v>
      </c>
      <c r="AG41" s="61">
        <v>0</v>
      </c>
      <c r="AH41" s="61">
        <v>0</v>
      </c>
      <c r="AJ41" s="61">
        <v>0</v>
      </c>
      <c r="AK41" s="61">
        <v>0</v>
      </c>
      <c r="AL41" s="61">
        <v>0</v>
      </c>
      <c r="AM41" s="22"/>
      <c r="AO41" s="22" t="s">
        <v>110</v>
      </c>
      <c r="AP41" s="23" t="s">
        <v>161</v>
      </c>
      <c r="AQ41" s="22" t="s">
        <v>113</v>
      </c>
      <c r="AR41" s="51" t="str">
        <f t="shared" si="14"/>
        <v>JD8T-13A024 -CA</v>
      </c>
      <c r="AS41" s="3"/>
      <c r="AT41" s="22">
        <v>1</v>
      </c>
      <c r="AU41" s="22">
        <v>1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64">
        <f>SUMPRODUCT(AT41:BA41,$O$6:$V$6)</f>
        <v>0.30000000000000004</v>
      </c>
      <c r="BD41" s="60">
        <v>-41.99</v>
      </c>
      <c r="BE41" s="60">
        <v>-0.3</v>
      </c>
      <c r="BF41" s="60">
        <v>0</v>
      </c>
      <c r="BG41" s="60">
        <v>-0.44</v>
      </c>
      <c r="BH41" s="60">
        <v>0</v>
      </c>
      <c r="BI41" s="8">
        <f t="shared" si="15"/>
        <v>-42.73</v>
      </c>
      <c r="BJ41" s="2" t="s">
        <v>84</v>
      </c>
      <c r="BL41" s="61">
        <v>0</v>
      </c>
      <c r="BM41" s="61">
        <v>0</v>
      </c>
      <c r="BO41" s="61">
        <v>0</v>
      </c>
      <c r="BP41" s="61">
        <v>0</v>
      </c>
      <c r="BQ41" s="61">
        <v>0</v>
      </c>
      <c r="BS41" s="61">
        <f t="shared" si="3"/>
        <v>1.4399999999999977</v>
      </c>
      <c r="BT41" s="61">
        <f t="shared" si="4"/>
        <v>0</v>
      </c>
      <c r="BU41" s="61">
        <f t="shared" si="5"/>
        <v>0</v>
      </c>
      <c r="BV41" s="61">
        <f t="shared" si="5"/>
        <v>0</v>
      </c>
      <c r="BW41" s="61">
        <f t="shared" si="5"/>
        <v>0</v>
      </c>
      <c r="BX41" s="61">
        <f t="shared" si="5"/>
        <v>1.4399999999999977</v>
      </c>
      <c r="BY41" s="61" t="s">
        <v>84</v>
      </c>
      <c r="CA41" s="61">
        <f t="shared" si="39"/>
        <v>0.2166390853016395</v>
      </c>
      <c r="CB41" s="61">
        <f t="shared" si="39"/>
        <v>0.2166390853016395</v>
      </c>
      <c r="CC41" s="61">
        <f t="shared" si="39"/>
        <v>0</v>
      </c>
      <c r="CD41" s="61">
        <f t="shared" si="39"/>
        <v>0</v>
      </c>
      <c r="CE41" s="61">
        <f t="shared" si="39"/>
        <v>0</v>
      </c>
      <c r="CF41" s="61">
        <f t="shared" si="39"/>
        <v>0</v>
      </c>
      <c r="CG41" s="61">
        <f t="shared" si="39"/>
        <v>0</v>
      </c>
      <c r="CH41" s="61">
        <f t="shared" si="36"/>
        <v>0</v>
      </c>
      <c r="CI41" s="61">
        <f t="shared" si="7"/>
        <v>6.499172559049185E-2</v>
      </c>
      <c r="CJ41" s="61"/>
      <c r="CK41" s="61">
        <f t="shared" si="40"/>
        <v>0.2166390853016395</v>
      </c>
      <c r="CL41" s="61">
        <f t="shared" si="40"/>
        <v>0.2166390853016395</v>
      </c>
      <c r="CM41" s="61">
        <f t="shared" si="40"/>
        <v>0</v>
      </c>
      <c r="CN41" s="61">
        <f t="shared" si="40"/>
        <v>0</v>
      </c>
      <c r="CO41" s="61">
        <f t="shared" si="40"/>
        <v>0</v>
      </c>
      <c r="CP41" s="61">
        <f t="shared" si="40"/>
        <v>0</v>
      </c>
      <c r="CQ41" s="61">
        <f t="shared" si="40"/>
        <v>0</v>
      </c>
      <c r="CR41" s="61">
        <f t="shared" si="37"/>
        <v>0</v>
      </c>
      <c r="CS41" s="61">
        <f t="shared" si="9"/>
        <v>6.499172559049185E-2</v>
      </c>
      <c r="CT41" s="61">
        <f t="shared" si="10"/>
        <v>0.43199999999999933</v>
      </c>
      <c r="CV41" s="61">
        <f t="shared" si="11"/>
        <v>0</v>
      </c>
      <c r="CW41" s="61">
        <f t="shared" si="41"/>
        <v>0</v>
      </c>
      <c r="CX41" s="61"/>
      <c r="CY41" s="61">
        <f t="shared" si="42"/>
        <v>0</v>
      </c>
      <c r="CZ41" s="61">
        <f t="shared" si="13"/>
        <v>0</v>
      </c>
      <c r="DA41" s="61">
        <f t="shared" si="13"/>
        <v>0</v>
      </c>
      <c r="DB41" s="2" t="s">
        <v>86</v>
      </c>
      <c r="DC41" s="2" t="s">
        <v>85</v>
      </c>
      <c r="DD41" s="2" t="s">
        <v>87</v>
      </c>
      <c r="DE41" s="2" t="s">
        <v>106</v>
      </c>
      <c r="DF41" s="3" t="s">
        <v>118</v>
      </c>
      <c r="DG41" s="62">
        <v>43111</v>
      </c>
      <c r="EC41" s="60" t="str">
        <f>VLOOKUP($M41,[1]Detail!$M:$BO,1,0)</f>
        <v>JD8T-13A024 -CB</v>
      </c>
      <c r="ED41" s="60">
        <f>VLOOKUP($M41,[1]Detail!$M:$BO,22,0)</f>
        <v>-41.29</v>
      </c>
      <c r="EE41" s="60">
        <f>VLOOKUP($M41,[1]Detail!$M:$BO,42,0)</f>
        <v>0</v>
      </c>
      <c r="EF41" s="60">
        <f>VLOOKUP($M41,[1]Detail!$M:$BO,45,0)</f>
        <v>0</v>
      </c>
      <c r="EH41" s="60">
        <f>ED41-AD41</f>
        <v>0</v>
      </c>
      <c r="EI41" s="60">
        <f>EE41-AG41</f>
        <v>0</v>
      </c>
      <c r="EJ41" s="60">
        <f t="shared" si="43"/>
        <v>0</v>
      </c>
    </row>
    <row r="42" spans="2:140" ht="12.75" hidden="1" customHeight="1">
      <c r="B42" s="1" t="s">
        <v>164</v>
      </c>
      <c r="C42" s="22" t="s">
        <v>165</v>
      </c>
      <c r="D42" s="22" t="s">
        <v>166</v>
      </c>
      <c r="E42" s="2" t="str">
        <f>VLOOKUP($C42,[1]Detail!$C:$AK,6,0)</f>
        <v>PMT5</v>
      </c>
      <c r="F42" s="2" t="str">
        <f>VLOOKUP($C42,[1]Detail!$C:$AK,7,0)</f>
        <v>TH</v>
      </c>
      <c r="G42" s="2" t="str">
        <f>VLOOKUP($C42,[1]Detail!$C:$AK,5,0)</f>
        <v>B</v>
      </c>
      <c r="J42" s="22" t="s">
        <v>110</v>
      </c>
      <c r="K42" s="23" t="s">
        <v>167</v>
      </c>
      <c r="L42" s="22" t="s">
        <v>100</v>
      </c>
      <c r="M42" s="51" t="str">
        <f t="shared" si="0"/>
        <v>JD8T-9E740-AA</v>
      </c>
      <c r="O42" s="22">
        <v>0</v>
      </c>
      <c r="P42" s="22">
        <v>0</v>
      </c>
      <c r="Q42" s="22">
        <v>0</v>
      </c>
      <c r="R42" s="22">
        <v>0</v>
      </c>
      <c r="S42" s="22">
        <v>1</v>
      </c>
      <c r="T42" s="22">
        <v>1</v>
      </c>
      <c r="U42" s="22">
        <v>1</v>
      </c>
      <c r="V42" s="22">
        <v>1</v>
      </c>
      <c r="W42" s="64">
        <f t="shared" si="1"/>
        <v>0.33</v>
      </c>
      <c r="Y42" s="60">
        <v>-46.83</v>
      </c>
      <c r="Z42" s="60">
        <v>-0.85</v>
      </c>
      <c r="AA42" s="60">
        <v>0</v>
      </c>
      <c r="AB42" s="60">
        <v>0</v>
      </c>
      <c r="AC42" s="60">
        <v>-2.7015356232979002</v>
      </c>
      <c r="AD42" s="8">
        <f t="shared" si="38"/>
        <v>-50.3815356232979</v>
      </c>
      <c r="AE42" s="2" t="s">
        <v>84</v>
      </c>
      <c r="AG42" s="61">
        <v>-2700726</v>
      </c>
      <c r="AH42" s="61">
        <v>-2700726</v>
      </c>
      <c r="AI42" s="6"/>
      <c r="AJ42" s="61">
        <v>-1537579</v>
      </c>
      <c r="AK42" s="61">
        <v>569150</v>
      </c>
      <c r="AL42" s="61">
        <v>0</v>
      </c>
      <c r="AM42" s="22"/>
      <c r="AO42" s="22" t="s">
        <v>110</v>
      </c>
      <c r="AP42" s="23" t="s">
        <v>167</v>
      </c>
      <c r="AQ42" s="22" t="s">
        <v>100</v>
      </c>
      <c r="AR42" s="51" t="str">
        <f t="shared" si="14"/>
        <v>JD8T-9E740-AA</v>
      </c>
      <c r="AS42" s="3"/>
      <c r="AT42" s="22">
        <v>0</v>
      </c>
      <c r="AU42" s="22">
        <v>0</v>
      </c>
      <c r="AV42" s="22">
        <v>0</v>
      </c>
      <c r="AW42" s="22">
        <v>0</v>
      </c>
      <c r="AX42" s="22">
        <v>1</v>
      </c>
      <c r="AY42" s="22">
        <v>1</v>
      </c>
      <c r="AZ42" s="22">
        <v>1</v>
      </c>
      <c r="BA42" s="22">
        <v>1</v>
      </c>
      <c r="BB42" s="2">
        <f t="shared" si="35"/>
        <v>0.33</v>
      </c>
      <c r="BD42" s="60">
        <v>-46.83</v>
      </c>
      <c r="BE42" s="60">
        <v>-0.85</v>
      </c>
      <c r="BF42" s="60">
        <v>0</v>
      </c>
      <c r="BG42" s="60">
        <v>0</v>
      </c>
      <c r="BH42" s="60">
        <v>-2.7015356232979002</v>
      </c>
      <c r="BI42" s="8">
        <f t="shared" si="15"/>
        <v>-50.3815356232979</v>
      </c>
      <c r="BJ42" s="2" t="s">
        <v>84</v>
      </c>
      <c r="BL42" s="61">
        <v>-2700726</v>
      </c>
      <c r="BM42" s="61">
        <v>-2700726</v>
      </c>
      <c r="BO42" s="61">
        <v>-1537579</v>
      </c>
      <c r="BP42" s="61">
        <v>569150</v>
      </c>
      <c r="BQ42" s="61">
        <v>0</v>
      </c>
      <c r="BS42" s="61">
        <f t="shared" si="3"/>
        <v>0</v>
      </c>
      <c r="BT42" s="61">
        <f t="shared" si="4"/>
        <v>0</v>
      </c>
      <c r="BU42" s="61">
        <f t="shared" si="5"/>
        <v>0</v>
      </c>
      <c r="BV42" s="61">
        <f t="shared" si="5"/>
        <v>0</v>
      </c>
      <c r="BW42" s="61">
        <f t="shared" si="5"/>
        <v>0</v>
      </c>
      <c r="BX42" s="61">
        <f t="shared" si="5"/>
        <v>0</v>
      </c>
      <c r="BY42" s="61" t="s">
        <v>84</v>
      </c>
      <c r="CA42" s="61">
        <f t="shared" si="39"/>
        <v>0</v>
      </c>
      <c r="CB42" s="61">
        <f t="shared" si="39"/>
        <v>0</v>
      </c>
      <c r="CC42" s="61">
        <f t="shared" si="39"/>
        <v>0</v>
      </c>
      <c r="CD42" s="61">
        <f t="shared" si="39"/>
        <v>0</v>
      </c>
      <c r="CE42" s="61">
        <f t="shared" si="39"/>
        <v>0</v>
      </c>
      <c r="CF42" s="61">
        <f t="shared" si="39"/>
        <v>0</v>
      </c>
      <c r="CG42" s="61">
        <f t="shared" si="39"/>
        <v>0</v>
      </c>
      <c r="CH42" s="61">
        <f t="shared" si="36"/>
        <v>0</v>
      </c>
      <c r="CI42" s="61">
        <f t="shared" si="7"/>
        <v>0</v>
      </c>
      <c r="CJ42" s="61"/>
      <c r="CK42" s="61">
        <f t="shared" si="40"/>
        <v>0</v>
      </c>
      <c r="CL42" s="61">
        <f t="shared" si="40"/>
        <v>0</v>
      </c>
      <c r="CM42" s="61">
        <f t="shared" si="40"/>
        <v>0</v>
      </c>
      <c r="CN42" s="61">
        <f t="shared" si="40"/>
        <v>0</v>
      </c>
      <c r="CO42" s="61">
        <f t="shared" si="40"/>
        <v>0</v>
      </c>
      <c r="CP42" s="61">
        <f t="shared" si="40"/>
        <v>0</v>
      </c>
      <c r="CQ42" s="61">
        <f t="shared" si="40"/>
        <v>0</v>
      </c>
      <c r="CR42" s="61">
        <f t="shared" si="37"/>
        <v>0</v>
      </c>
      <c r="CS42" s="61">
        <f t="shared" si="9"/>
        <v>0</v>
      </c>
      <c r="CT42" s="61">
        <f t="shared" si="10"/>
        <v>0</v>
      </c>
      <c r="CV42" s="61">
        <f t="shared" si="11"/>
        <v>0</v>
      </c>
      <c r="CW42" s="61">
        <f t="shared" si="12"/>
        <v>0</v>
      </c>
      <c r="CX42" s="61"/>
      <c r="CY42" s="61">
        <f t="shared" si="13"/>
        <v>0</v>
      </c>
      <c r="CZ42" s="61">
        <f t="shared" si="13"/>
        <v>0</v>
      </c>
      <c r="DA42" s="61">
        <f t="shared" si="13"/>
        <v>0</v>
      </c>
      <c r="DB42" s="2" t="s">
        <v>85</v>
      </c>
      <c r="DC42" s="2" t="s">
        <v>86</v>
      </c>
      <c r="DD42" s="2" t="s">
        <v>87</v>
      </c>
      <c r="DE42" s="2" t="s">
        <v>88</v>
      </c>
      <c r="DF42" s="3" t="s">
        <v>86</v>
      </c>
      <c r="DG42" s="62">
        <v>42783</v>
      </c>
      <c r="EC42" s="60"/>
      <c r="ED42" s="60"/>
      <c r="EE42" s="60"/>
      <c r="EF42" s="60"/>
    </row>
    <row r="43" spans="2:140" ht="12.75" hidden="1" customHeight="1">
      <c r="B43" s="1" t="s">
        <v>168</v>
      </c>
      <c r="C43" s="22" t="s">
        <v>165</v>
      </c>
      <c r="D43" s="22" t="s">
        <v>166</v>
      </c>
      <c r="E43" s="2" t="str">
        <f>VLOOKUP($C43,[1]Detail!$C:$AK,6,0)</f>
        <v>PMT5</v>
      </c>
      <c r="F43" s="2" t="str">
        <f>VLOOKUP($C43,[1]Detail!$C:$AK,7,0)</f>
        <v>TH</v>
      </c>
      <c r="G43" s="2" t="str">
        <f>VLOOKUP($C43,[1]Detail!$C:$AK,5,0)</f>
        <v>B</v>
      </c>
      <c r="J43" s="22" t="s">
        <v>110</v>
      </c>
      <c r="K43" s="23" t="s">
        <v>167</v>
      </c>
      <c r="L43" s="22" t="s">
        <v>132</v>
      </c>
      <c r="M43" s="51" t="str">
        <f t="shared" si="0"/>
        <v>JD8T-9E740-AB</v>
      </c>
      <c r="O43" s="22">
        <v>0</v>
      </c>
      <c r="P43" s="22">
        <v>0</v>
      </c>
      <c r="Q43" s="22">
        <v>0</v>
      </c>
      <c r="R43" s="22">
        <v>0</v>
      </c>
      <c r="S43" s="22">
        <v>1</v>
      </c>
      <c r="T43" s="22">
        <v>1</v>
      </c>
      <c r="U43" s="22">
        <v>1</v>
      </c>
      <c r="V43" s="22">
        <v>1</v>
      </c>
      <c r="W43" s="64"/>
      <c r="Y43" s="60">
        <v>-46.83</v>
      </c>
      <c r="Z43" s="60">
        <v>-0.85</v>
      </c>
      <c r="AA43" s="60">
        <v>0</v>
      </c>
      <c r="AB43" s="60">
        <v>0</v>
      </c>
      <c r="AC43" s="60">
        <v>-2.7015356232979002</v>
      </c>
      <c r="AD43" s="8">
        <f t="shared" si="38"/>
        <v>-50.3815356232979</v>
      </c>
      <c r="AE43" s="2" t="s">
        <v>84</v>
      </c>
      <c r="AG43" s="61">
        <v>-2700726</v>
      </c>
      <c r="AH43" s="61">
        <v>-2700726</v>
      </c>
      <c r="AI43" s="6"/>
      <c r="AJ43" s="61">
        <v>-1537579</v>
      </c>
      <c r="AK43" s="61">
        <v>569150</v>
      </c>
      <c r="AL43" s="61"/>
      <c r="AM43" s="22"/>
      <c r="AO43" s="22" t="s">
        <v>110</v>
      </c>
      <c r="AP43" s="23" t="s">
        <v>167</v>
      </c>
      <c r="AQ43" s="22" t="s">
        <v>100</v>
      </c>
      <c r="AR43" s="51" t="str">
        <f t="shared" si="14"/>
        <v>JD8T-9E740-AA</v>
      </c>
      <c r="AS43" s="3"/>
      <c r="AT43" s="22">
        <v>0</v>
      </c>
      <c r="AU43" s="22">
        <v>0</v>
      </c>
      <c r="AV43" s="22">
        <v>0</v>
      </c>
      <c r="AW43" s="22">
        <v>0</v>
      </c>
      <c r="AX43" s="22">
        <v>1</v>
      </c>
      <c r="AY43" s="22">
        <v>1</v>
      </c>
      <c r="AZ43" s="22">
        <v>1</v>
      </c>
      <c r="BA43" s="22">
        <v>1</v>
      </c>
      <c r="BB43" s="2">
        <f>SUMPRODUCT(AT43:BA43,$O$6:$V$6)</f>
        <v>0.33</v>
      </c>
      <c r="BD43" s="60">
        <v>-46.83</v>
      </c>
      <c r="BE43" s="60">
        <v>-0.85</v>
      </c>
      <c r="BF43" s="60">
        <v>0</v>
      </c>
      <c r="BG43" s="60">
        <v>0</v>
      </c>
      <c r="BH43" s="60">
        <v>-2.7015356232979002</v>
      </c>
      <c r="BI43" s="8">
        <f t="shared" si="15"/>
        <v>-50.3815356232979</v>
      </c>
      <c r="BJ43" s="2" t="s">
        <v>84</v>
      </c>
      <c r="BL43" s="61">
        <v>-2700726</v>
      </c>
      <c r="BM43" s="61">
        <v>-2700726</v>
      </c>
      <c r="BO43" s="61">
        <v>-1537579</v>
      </c>
      <c r="BP43" s="61">
        <v>569150</v>
      </c>
      <c r="BQ43" s="61">
        <v>0</v>
      </c>
      <c r="BS43" s="61"/>
      <c r="BT43" s="61"/>
      <c r="BU43" s="61"/>
      <c r="BV43" s="61"/>
      <c r="BW43" s="61"/>
      <c r="BX43" s="61"/>
      <c r="BY43" s="61"/>
      <c r="CA43" s="61">
        <f t="shared" si="39"/>
        <v>0</v>
      </c>
      <c r="CB43" s="61">
        <f t="shared" si="39"/>
        <v>0</v>
      </c>
      <c r="CC43" s="61">
        <f t="shared" si="39"/>
        <v>0</v>
      </c>
      <c r="CD43" s="61">
        <f t="shared" si="39"/>
        <v>0</v>
      </c>
      <c r="CE43" s="61">
        <f t="shared" si="39"/>
        <v>0</v>
      </c>
      <c r="CF43" s="61">
        <f t="shared" si="39"/>
        <v>0</v>
      </c>
      <c r="CG43" s="61">
        <f t="shared" si="39"/>
        <v>0</v>
      </c>
      <c r="CH43" s="61">
        <f t="shared" si="36"/>
        <v>0</v>
      </c>
      <c r="CI43" s="61">
        <f t="shared" si="7"/>
        <v>0</v>
      </c>
      <c r="CJ43" s="61"/>
      <c r="CK43" s="61">
        <f t="shared" si="40"/>
        <v>0</v>
      </c>
      <c r="CL43" s="61">
        <f t="shared" si="40"/>
        <v>0</v>
      </c>
      <c r="CM43" s="61">
        <f t="shared" si="40"/>
        <v>0</v>
      </c>
      <c r="CN43" s="61">
        <f t="shared" si="40"/>
        <v>0</v>
      </c>
      <c r="CO43" s="61">
        <f t="shared" si="40"/>
        <v>0</v>
      </c>
      <c r="CP43" s="61">
        <f t="shared" si="40"/>
        <v>0</v>
      </c>
      <c r="CQ43" s="61">
        <f t="shared" si="40"/>
        <v>0</v>
      </c>
      <c r="CR43" s="61">
        <f t="shared" si="37"/>
        <v>0</v>
      </c>
      <c r="CS43" s="61">
        <f t="shared" si="9"/>
        <v>0</v>
      </c>
      <c r="CT43" s="61">
        <f t="shared" si="10"/>
        <v>0</v>
      </c>
      <c r="CV43" s="61">
        <f t="shared" si="11"/>
        <v>0</v>
      </c>
      <c r="CW43" s="61">
        <f t="shared" si="12"/>
        <v>0</v>
      </c>
      <c r="CX43" s="61"/>
      <c r="CY43" s="61">
        <f t="shared" si="13"/>
        <v>0</v>
      </c>
      <c r="CZ43" s="61">
        <f t="shared" si="13"/>
        <v>0</v>
      </c>
      <c r="DA43" s="61">
        <f t="shared" si="13"/>
        <v>0</v>
      </c>
      <c r="DB43" s="2" t="s">
        <v>86</v>
      </c>
      <c r="DC43" s="2" t="s">
        <v>85</v>
      </c>
      <c r="DD43" s="2" t="s">
        <v>87</v>
      </c>
      <c r="DE43" s="2" t="s">
        <v>169</v>
      </c>
      <c r="DF43" s="3" t="s">
        <v>86</v>
      </c>
      <c r="DG43" s="62">
        <v>42921</v>
      </c>
      <c r="EC43" s="60" t="str">
        <f>VLOOKUP($M43,[1]Detail!$M:$BO,1,0)</f>
        <v>JD8T-9E740-AB</v>
      </c>
      <c r="ED43" s="60">
        <f>VLOOKUP($M43,[1]Detail!$M:$BO,22,0)</f>
        <v>-50.3815356232979</v>
      </c>
      <c r="EE43" s="60">
        <f>VLOOKUP($M43,[1]Detail!$M:$BO,42,0)</f>
        <v>-2700726</v>
      </c>
      <c r="EF43" s="60">
        <f>VLOOKUP($M43,[1]Detail!$M:$BO,45,0)</f>
        <v>-1537579</v>
      </c>
      <c r="EH43" s="60">
        <f>ED43-AD43</f>
        <v>0</v>
      </c>
      <c r="EI43" s="60">
        <f>EE43-AG43</f>
        <v>0</v>
      </c>
      <c r="EJ43" s="60">
        <f>EF43-AJ43</f>
        <v>0</v>
      </c>
    </row>
    <row r="44" spans="2:140" ht="12.75" hidden="1" customHeight="1">
      <c r="B44" s="1" t="s">
        <v>170</v>
      </c>
      <c r="C44" s="22" t="s">
        <v>171</v>
      </c>
      <c r="D44" s="22" t="s">
        <v>172</v>
      </c>
      <c r="E44" s="2" t="str">
        <f>VLOOKUP($C44,[1]Detail!$C:$AK,6,0)</f>
        <v>PMT5</v>
      </c>
      <c r="F44" s="2" t="str">
        <f>VLOOKUP($C44,[1]Detail!$C:$AK,7,0)</f>
        <v>TH</v>
      </c>
      <c r="G44" s="2" t="str">
        <f>VLOOKUP($C44,[1]Detail!$C:$AK,5,0)</f>
        <v>B</v>
      </c>
      <c r="J44" s="22" t="s">
        <v>110</v>
      </c>
      <c r="K44" s="23" t="s">
        <v>173</v>
      </c>
      <c r="L44" s="22" t="s">
        <v>100</v>
      </c>
      <c r="M44" s="51" t="str">
        <f t="shared" si="0"/>
        <v>JD8T-14K147-AA</v>
      </c>
      <c r="O44" s="22">
        <v>0</v>
      </c>
      <c r="P44" s="22">
        <v>0</v>
      </c>
      <c r="Q44" s="22">
        <v>0</v>
      </c>
      <c r="R44" s="22">
        <v>0</v>
      </c>
      <c r="S44" s="22">
        <v>1</v>
      </c>
      <c r="T44" s="22">
        <v>1</v>
      </c>
      <c r="U44" s="22">
        <v>1</v>
      </c>
      <c r="V44" s="22">
        <v>1</v>
      </c>
      <c r="W44" s="64">
        <f>SUMPRODUCT(O44:V44,$O$6:$V$6)</f>
        <v>0.33</v>
      </c>
      <c r="Y44" s="60">
        <v>-46.83</v>
      </c>
      <c r="Z44" s="60">
        <v>-0.85</v>
      </c>
      <c r="AA44" s="60">
        <v>0</v>
      </c>
      <c r="AB44" s="60">
        <v>0</v>
      </c>
      <c r="AC44" s="60">
        <v>-2.7015356232979002</v>
      </c>
      <c r="AD44" s="8">
        <f t="shared" si="38"/>
        <v>-50.3815356232979</v>
      </c>
      <c r="AE44" s="2" t="s">
        <v>84</v>
      </c>
      <c r="AG44" s="61">
        <v>0</v>
      </c>
      <c r="AH44" s="61">
        <v>0</v>
      </c>
      <c r="AJ44" s="68" t="s">
        <v>174</v>
      </c>
      <c r="AK44" s="61">
        <v>0</v>
      </c>
      <c r="AL44" s="61">
        <v>0</v>
      </c>
      <c r="AM44" s="22"/>
      <c r="AO44" s="22" t="s">
        <v>110</v>
      </c>
      <c r="AP44" s="23" t="s">
        <v>173</v>
      </c>
      <c r="AQ44" s="22" t="s">
        <v>100</v>
      </c>
      <c r="AR44" s="51" t="str">
        <f t="shared" si="14"/>
        <v>JD8T-14K147-AA</v>
      </c>
      <c r="AS44" s="3"/>
      <c r="AT44" s="22">
        <v>0</v>
      </c>
      <c r="AU44" s="22">
        <v>0</v>
      </c>
      <c r="AV44" s="22">
        <v>0</v>
      </c>
      <c r="AW44" s="22">
        <v>0</v>
      </c>
      <c r="AX44" s="22">
        <v>1</v>
      </c>
      <c r="AY44" s="22">
        <v>1</v>
      </c>
      <c r="AZ44" s="22">
        <v>1</v>
      </c>
      <c r="BA44" s="22">
        <v>1</v>
      </c>
      <c r="BB44" s="2">
        <f>SUMPRODUCT(AT44:BA44,$AT$6:$BA$6)</f>
        <v>0.33</v>
      </c>
      <c r="BD44" s="60">
        <v>-46.83</v>
      </c>
      <c r="BE44" s="60">
        <v>-0.85</v>
      </c>
      <c r="BF44" s="60">
        <v>0</v>
      </c>
      <c r="BG44" s="60">
        <v>0</v>
      </c>
      <c r="BH44" s="60">
        <v>-2.7015356232979002</v>
      </c>
      <c r="BI44" s="8">
        <f t="shared" si="15"/>
        <v>-50.3815356232979</v>
      </c>
      <c r="BJ44" s="2" t="s">
        <v>84</v>
      </c>
      <c r="BL44" s="61">
        <v>0</v>
      </c>
      <c r="BM44" s="61">
        <v>0</v>
      </c>
      <c r="BO44" s="61" t="s">
        <v>174</v>
      </c>
      <c r="BP44" s="61">
        <v>0</v>
      </c>
      <c r="BQ44" s="61">
        <v>0</v>
      </c>
      <c r="BS44" s="61">
        <f t="shared" ref="BS44:BS75" si="44">SUM(Y44)-SUM(BD44)</f>
        <v>0</v>
      </c>
      <c r="BT44" s="61">
        <f t="shared" ref="BT44:BT75" si="45">SUM(Z44)-SUM(BE44)</f>
        <v>0</v>
      </c>
      <c r="BU44" s="61">
        <f t="shared" ref="BU44:BX75" si="46">SUM(AA44)-SUM(BF44)</f>
        <v>0</v>
      </c>
      <c r="BV44" s="61">
        <f t="shared" si="46"/>
        <v>0</v>
      </c>
      <c r="BW44" s="61">
        <f t="shared" si="46"/>
        <v>0</v>
      </c>
      <c r="BX44" s="61">
        <f t="shared" si="46"/>
        <v>0</v>
      </c>
      <c r="BY44" s="61" t="s">
        <v>84</v>
      </c>
      <c r="CA44" s="61">
        <f t="shared" si="39"/>
        <v>0</v>
      </c>
      <c r="CB44" s="61">
        <f t="shared" si="39"/>
        <v>0</v>
      </c>
      <c r="CC44" s="61">
        <f t="shared" si="39"/>
        <v>0</v>
      </c>
      <c r="CD44" s="61">
        <f t="shared" si="39"/>
        <v>0</v>
      </c>
      <c r="CE44" s="61">
        <f t="shared" si="39"/>
        <v>0</v>
      </c>
      <c r="CF44" s="61">
        <f t="shared" si="39"/>
        <v>0</v>
      </c>
      <c r="CG44" s="61">
        <f t="shared" si="39"/>
        <v>0</v>
      </c>
      <c r="CH44" s="61">
        <f t="shared" si="36"/>
        <v>0</v>
      </c>
      <c r="CI44" s="61">
        <f t="shared" si="7"/>
        <v>0</v>
      </c>
      <c r="CJ44" s="61"/>
      <c r="CK44" s="61">
        <f t="shared" si="40"/>
        <v>0</v>
      </c>
      <c r="CL44" s="61">
        <f t="shared" si="40"/>
        <v>0</v>
      </c>
      <c r="CM44" s="61">
        <f t="shared" si="40"/>
        <v>0</v>
      </c>
      <c r="CN44" s="61">
        <f t="shared" si="40"/>
        <v>0</v>
      </c>
      <c r="CO44" s="61">
        <f t="shared" si="40"/>
        <v>0</v>
      </c>
      <c r="CP44" s="61">
        <f t="shared" si="40"/>
        <v>0</v>
      </c>
      <c r="CQ44" s="61">
        <f t="shared" si="40"/>
        <v>0</v>
      </c>
      <c r="CR44" s="61">
        <f t="shared" si="37"/>
        <v>0</v>
      </c>
      <c r="CS44" s="61">
        <f t="shared" si="9"/>
        <v>0</v>
      </c>
      <c r="CT44" s="61">
        <f t="shared" si="10"/>
        <v>0</v>
      </c>
      <c r="CV44" s="61">
        <f t="shared" si="11"/>
        <v>0</v>
      </c>
      <c r="CW44" s="61">
        <f t="shared" si="12"/>
        <v>0</v>
      </c>
      <c r="CX44" s="61"/>
      <c r="CY44" s="61">
        <f t="shared" si="13"/>
        <v>0</v>
      </c>
      <c r="CZ44" s="61">
        <f t="shared" si="13"/>
        <v>0</v>
      </c>
      <c r="DA44" s="61">
        <f t="shared" si="13"/>
        <v>0</v>
      </c>
      <c r="DB44" s="2" t="s">
        <v>85</v>
      </c>
      <c r="DC44" s="2" t="s">
        <v>86</v>
      </c>
      <c r="DD44" s="2" t="s">
        <v>87</v>
      </c>
      <c r="DE44" s="2" t="s">
        <v>88</v>
      </c>
      <c r="DF44" s="3" t="s">
        <v>86</v>
      </c>
      <c r="DG44" s="62">
        <v>42783</v>
      </c>
      <c r="EC44" s="60"/>
      <c r="ED44" s="60"/>
      <c r="EE44" s="60"/>
      <c r="EF44" s="60"/>
    </row>
    <row r="45" spans="2:140" ht="12.75" hidden="1" customHeight="1">
      <c r="B45" s="69" t="s">
        <v>170</v>
      </c>
      <c r="C45" s="22" t="s">
        <v>171</v>
      </c>
      <c r="D45" s="22" t="s">
        <v>172</v>
      </c>
      <c r="E45" s="2" t="str">
        <f>VLOOKUP($C45,[1]Detail!$C:$AK,6,0)</f>
        <v>PMT5</v>
      </c>
      <c r="F45" s="2" t="str">
        <f>VLOOKUP($C45,[1]Detail!$C:$AK,7,0)</f>
        <v>TH</v>
      </c>
      <c r="G45" s="2" t="str">
        <f>VLOOKUP($C45,[1]Detail!$C:$AK,5,0)</f>
        <v>B</v>
      </c>
      <c r="J45" s="22" t="s">
        <v>110</v>
      </c>
      <c r="K45" s="23" t="s">
        <v>175</v>
      </c>
      <c r="L45" s="22" t="s">
        <v>111</v>
      </c>
      <c r="M45" s="51" t="str">
        <f t="shared" si="0"/>
        <v>JD8T-14K147-BA</v>
      </c>
      <c r="O45" s="22">
        <v>0</v>
      </c>
      <c r="P45" s="22">
        <v>0</v>
      </c>
      <c r="Q45" s="22">
        <v>1</v>
      </c>
      <c r="R45" s="22">
        <v>1</v>
      </c>
      <c r="S45" s="22">
        <v>0</v>
      </c>
      <c r="T45" s="22">
        <v>0</v>
      </c>
      <c r="U45" s="22">
        <v>0</v>
      </c>
      <c r="V45" s="22">
        <v>0</v>
      </c>
      <c r="W45" s="64">
        <f>SUMPRODUCT(O45:V45,$O$6:$V$6)</f>
        <v>0.37</v>
      </c>
      <c r="Y45" s="60">
        <v>-43.7</v>
      </c>
      <c r="Z45" s="60">
        <v>-0.85</v>
      </c>
      <c r="AA45" s="60">
        <v>0</v>
      </c>
      <c r="AB45" s="60">
        <v>0</v>
      </c>
      <c r="AC45" s="60">
        <v>-2.7015356232979002</v>
      </c>
      <c r="AD45" s="8">
        <f t="shared" si="38"/>
        <v>-47.251535623297904</v>
      </c>
      <c r="AE45" s="2" t="s">
        <v>84</v>
      </c>
      <c r="AG45" s="70">
        <v>-235615</v>
      </c>
      <c r="AH45" s="70">
        <v>-235615</v>
      </c>
      <c r="AJ45" s="70" t="s">
        <v>174</v>
      </c>
      <c r="AK45" s="70">
        <v>0</v>
      </c>
      <c r="AL45" s="61">
        <v>0</v>
      </c>
      <c r="AM45" s="22"/>
      <c r="AO45" s="22" t="s">
        <v>110</v>
      </c>
      <c r="AP45" s="23" t="s">
        <v>175</v>
      </c>
      <c r="AQ45" s="22" t="s">
        <v>100</v>
      </c>
      <c r="AR45" s="51" t="str">
        <f t="shared" si="14"/>
        <v>JD8T-14K147-AA</v>
      </c>
      <c r="AS45" s="3"/>
      <c r="AT45" s="22">
        <v>0</v>
      </c>
      <c r="AU45" s="22">
        <v>0</v>
      </c>
      <c r="AV45" s="22">
        <v>1</v>
      </c>
      <c r="AW45" s="22">
        <v>1</v>
      </c>
      <c r="AX45" s="22">
        <v>0</v>
      </c>
      <c r="AY45" s="22">
        <v>0</v>
      </c>
      <c r="AZ45" s="22">
        <v>0</v>
      </c>
      <c r="BA45" s="22">
        <v>0</v>
      </c>
      <c r="BB45" s="2">
        <f>SUMPRODUCT(AT45:BA45,$AT$6:$BA$6)</f>
        <v>0.37</v>
      </c>
      <c r="BD45" s="60">
        <v>-46.83</v>
      </c>
      <c r="BE45" s="60">
        <v>-0.85</v>
      </c>
      <c r="BF45" s="60">
        <v>0</v>
      </c>
      <c r="BG45" s="60">
        <v>0</v>
      </c>
      <c r="BH45" s="60">
        <v>-2.7015356232979002</v>
      </c>
      <c r="BI45" s="8">
        <f t="shared" si="15"/>
        <v>-50.3815356232979</v>
      </c>
      <c r="BJ45" s="2" t="s">
        <v>84</v>
      </c>
      <c r="BL45" s="70">
        <v>0</v>
      </c>
      <c r="BM45" s="70">
        <v>0</v>
      </c>
      <c r="BO45" s="70" t="s">
        <v>174</v>
      </c>
      <c r="BP45" s="70">
        <v>0</v>
      </c>
      <c r="BQ45" s="61">
        <v>0</v>
      </c>
      <c r="BS45" s="61">
        <f t="shared" si="44"/>
        <v>3.1299999999999955</v>
      </c>
      <c r="BT45" s="61">
        <f t="shared" si="45"/>
        <v>0</v>
      </c>
      <c r="BU45" s="61">
        <f t="shared" si="46"/>
        <v>0</v>
      </c>
      <c r="BV45" s="61">
        <f t="shared" si="46"/>
        <v>0</v>
      </c>
      <c r="BW45" s="61">
        <f t="shared" si="46"/>
        <v>0</v>
      </c>
      <c r="BX45" s="61">
        <f t="shared" si="46"/>
        <v>3.1299999999999955</v>
      </c>
      <c r="BY45" s="61" t="s">
        <v>84</v>
      </c>
      <c r="CA45" s="61">
        <f t="shared" si="39"/>
        <v>0</v>
      </c>
      <c r="CB45" s="61">
        <f t="shared" si="39"/>
        <v>0</v>
      </c>
      <c r="CC45" s="61">
        <f t="shared" si="39"/>
        <v>0.47088912291259144</v>
      </c>
      <c r="CD45" s="61">
        <f t="shared" si="39"/>
        <v>0.47088912291259144</v>
      </c>
      <c r="CE45" s="61">
        <f t="shared" si="39"/>
        <v>0</v>
      </c>
      <c r="CF45" s="61">
        <f t="shared" si="39"/>
        <v>0</v>
      </c>
      <c r="CG45" s="61">
        <f t="shared" si="39"/>
        <v>0</v>
      </c>
      <c r="CH45" s="61">
        <f t="shared" si="36"/>
        <v>0</v>
      </c>
      <c r="CI45" s="61">
        <f t="shared" si="7"/>
        <v>0.17422897547765884</v>
      </c>
      <c r="CJ45" s="61"/>
      <c r="CK45" s="61">
        <f t="shared" si="40"/>
        <v>0</v>
      </c>
      <c r="CL45" s="61">
        <f t="shared" si="40"/>
        <v>0</v>
      </c>
      <c r="CM45" s="61">
        <f t="shared" si="40"/>
        <v>0.47088912291259144</v>
      </c>
      <c r="CN45" s="61">
        <f t="shared" si="40"/>
        <v>0.47088912291259144</v>
      </c>
      <c r="CO45" s="61">
        <f t="shared" si="40"/>
        <v>0</v>
      </c>
      <c r="CP45" s="61">
        <f t="shared" si="40"/>
        <v>0</v>
      </c>
      <c r="CQ45" s="61">
        <f t="shared" si="40"/>
        <v>0</v>
      </c>
      <c r="CR45" s="61">
        <f t="shared" si="37"/>
        <v>0</v>
      </c>
      <c r="CS45" s="61">
        <f t="shared" si="9"/>
        <v>0.17422897547765884</v>
      </c>
      <c r="CT45" s="61">
        <f t="shared" si="10"/>
        <v>1.1580999999999984</v>
      </c>
      <c r="CV45" s="61">
        <f t="shared" si="11"/>
        <v>-235615</v>
      </c>
      <c r="CW45" s="61">
        <f t="shared" si="12"/>
        <v>-235615</v>
      </c>
      <c r="CX45" s="61"/>
      <c r="CY45" s="61">
        <f t="shared" si="13"/>
        <v>0</v>
      </c>
      <c r="CZ45" s="61">
        <f t="shared" si="13"/>
        <v>0</v>
      </c>
      <c r="DA45" s="61">
        <f t="shared" si="13"/>
        <v>0</v>
      </c>
      <c r="DB45" s="2" t="s">
        <v>85</v>
      </c>
      <c r="DC45" s="2" t="s">
        <v>86</v>
      </c>
      <c r="DD45" s="2" t="s">
        <v>87</v>
      </c>
      <c r="DE45" s="2" t="s">
        <v>88</v>
      </c>
      <c r="DF45" s="3" t="s">
        <v>86</v>
      </c>
      <c r="DG45" s="62">
        <v>42783</v>
      </c>
      <c r="EC45" s="60"/>
      <c r="ED45" s="60"/>
      <c r="EE45" s="60"/>
      <c r="EF45" s="60"/>
    </row>
    <row r="46" spans="2:140" ht="12.75" hidden="1" customHeight="1">
      <c r="B46" s="1" t="s">
        <v>168</v>
      </c>
      <c r="C46" s="22" t="s">
        <v>171</v>
      </c>
      <c r="D46" s="22" t="s">
        <v>172</v>
      </c>
      <c r="E46" s="2" t="str">
        <f>VLOOKUP($C46,[1]Detail!$C:$AK,6,0)</f>
        <v>PMT5</v>
      </c>
      <c r="F46" s="2" t="str">
        <f>VLOOKUP($C46,[1]Detail!$C:$AK,7,0)</f>
        <v>TH</v>
      </c>
      <c r="G46" s="2" t="str">
        <f>VLOOKUP($C46,[1]Detail!$C:$AK,5,0)</f>
        <v>B</v>
      </c>
      <c r="J46" s="22" t="s">
        <v>110</v>
      </c>
      <c r="K46" s="23" t="s">
        <v>173</v>
      </c>
      <c r="L46" s="22" t="s">
        <v>132</v>
      </c>
      <c r="M46" s="51" t="str">
        <f t="shared" si="0"/>
        <v>JD8T-14K147-AB</v>
      </c>
      <c r="O46" s="22">
        <v>0</v>
      </c>
      <c r="P46" s="22">
        <v>0</v>
      </c>
      <c r="Q46" s="22">
        <v>1</v>
      </c>
      <c r="R46" s="22">
        <v>1</v>
      </c>
      <c r="S46" s="22">
        <v>0</v>
      </c>
      <c r="T46" s="22">
        <v>0</v>
      </c>
      <c r="U46" s="22">
        <v>0</v>
      </c>
      <c r="V46" s="22">
        <v>0</v>
      </c>
      <c r="W46" s="64"/>
      <c r="Y46" s="60">
        <v>-46.83</v>
      </c>
      <c r="Z46" s="60">
        <v>-0.85</v>
      </c>
      <c r="AA46" s="60">
        <v>0</v>
      </c>
      <c r="AB46" s="60">
        <v>0</v>
      </c>
      <c r="AC46" s="60">
        <v>-2.7015356232979002</v>
      </c>
      <c r="AD46" s="8">
        <f t="shared" si="38"/>
        <v>-50.3815356232979</v>
      </c>
      <c r="AE46" s="2" t="s">
        <v>84</v>
      </c>
      <c r="AG46" s="61">
        <v>0</v>
      </c>
      <c r="AH46" s="61">
        <v>0</v>
      </c>
      <c r="AI46" s="6"/>
      <c r="AJ46" s="71" t="s">
        <v>174</v>
      </c>
      <c r="AK46" s="61">
        <v>0</v>
      </c>
      <c r="AL46" s="61">
        <v>0</v>
      </c>
      <c r="AM46" s="22"/>
      <c r="AN46" s="2" t="s">
        <v>174</v>
      </c>
      <c r="AO46" s="22" t="s">
        <v>110</v>
      </c>
      <c r="AP46" s="23" t="s">
        <v>173</v>
      </c>
      <c r="AQ46" s="22" t="s">
        <v>100</v>
      </c>
      <c r="AR46" s="51" t="str">
        <f t="shared" si="14"/>
        <v>JD8T-14K147-AA</v>
      </c>
      <c r="AS46" s="3"/>
      <c r="AT46" s="22">
        <v>0</v>
      </c>
      <c r="AU46" s="22">
        <v>0</v>
      </c>
      <c r="AV46" s="22">
        <v>0</v>
      </c>
      <c r="AW46" s="22">
        <v>0</v>
      </c>
      <c r="AX46" s="22">
        <v>1</v>
      </c>
      <c r="AY46" s="22">
        <v>1</v>
      </c>
      <c r="AZ46" s="22">
        <v>1</v>
      </c>
      <c r="BA46" s="22">
        <v>1</v>
      </c>
      <c r="BB46" s="2">
        <f>SUMPRODUCT(AT46:BA46,$O$6:$V$6)</f>
        <v>0.33</v>
      </c>
      <c r="BD46" s="60">
        <v>-46.83</v>
      </c>
      <c r="BE46" s="60">
        <v>-0.85</v>
      </c>
      <c r="BF46" s="60">
        <v>0</v>
      </c>
      <c r="BG46" s="60">
        <v>0</v>
      </c>
      <c r="BH46" s="60">
        <v>-2.7015356232979002</v>
      </c>
      <c r="BI46" s="8">
        <f t="shared" si="15"/>
        <v>-50.3815356232979</v>
      </c>
      <c r="BJ46" s="2" t="s">
        <v>84</v>
      </c>
      <c r="BL46" s="61">
        <v>0</v>
      </c>
      <c r="BM46" s="61">
        <v>0</v>
      </c>
      <c r="BO46" s="61" t="s">
        <v>174</v>
      </c>
      <c r="BP46" s="61">
        <v>0</v>
      </c>
      <c r="BQ46" s="61">
        <v>0</v>
      </c>
      <c r="BS46" s="61">
        <f t="shared" si="44"/>
        <v>0</v>
      </c>
      <c r="BT46" s="61">
        <f t="shared" si="45"/>
        <v>0</v>
      </c>
      <c r="BU46" s="61">
        <f t="shared" si="46"/>
        <v>0</v>
      </c>
      <c r="BV46" s="61">
        <f t="shared" si="46"/>
        <v>0</v>
      </c>
      <c r="BW46" s="61">
        <f t="shared" si="46"/>
        <v>0</v>
      </c>
      <c r="BX46" s="61">
        <f t="shared" si="46"/>
        <v>0</v>
      </c>
      <c r="BY46" s="61" t="s">
        <v>84</v>
      </c>
      <c r="CA46" s="61">
        <f t="shared" si="39"/>
        <v>0</v>
      </c>
      <c r="CB46" s="61">
        <f t="shared" si="39"/>
        <v>0</v>
      </c>
      <c r="CC46" s="61">
        <f t="shared" si="39"/>
        <v>-7.0452835865804113</v>
      </c>
      <c r="CD46" s="61">
        <f t="shared" si="39"/>
        <v>-7.0452835865804113</v>
      </c>
      <c r="CE46" s="61">
        <f t="shared" si="39"/>
        <v>7.0452835865804113</v>
      </c>
      <c r="CF46" s="61">
        <f t="shared" si="39"/>
        <v>7.0452835865804113</v>
      </c>
      <c r="CG46" s="61">
        <f t="shared" si="39"/>
        <v>7.0452835865804113</v>
      </c>
      <c r="CH46" s="61">
        <f t="shared" si="36"/>
        <v>7.0452835865804113</v>
      </c>
      <c r="CI46" s="61">
        <f t="shared" si="7"/>
        <v>-0.28181134346321662</v>
      </c>
      <c r="CJ46" s="61"/>
      <c r="CK46" s="61">
        <f t="shared" si="40"/>
        <v>0</v>
      </c>
      <c r="CL46" s="61">
        <f t="shared" si="40"/>
        <v>0</v>
      </c>
      <c r="CM46" s="61">
        <f t="shared" si="40"/>
        <v>-7.5795901343911387</v>
      </c>
      <c r="CN46" s="61">
        <f t="shared" si="40"/>
        <v>-7.5795901343911387</v>
      </c>
      <c r="CO46" s="61">
        <f t="shared" si="40"/>
        <v>7.5795901343911387</v>
      </c>
      <c r="CP46" s="61">
        <f t="shared" si="40"/>
        <v>7.5795901343911387</v>
      </c>
      <c r="CQ46" s="61">
        <f t="shared" si="40"/>
        <v>7.5795901343911387</v>
      </c>
      <c r="CR46" s="61">
        <f t="shared" si="37"/>
        <v>7.5795901343911387</v>
      </c>
      <c r="CS46" s="61">
        <f t="shared" si="9"/>
        <v>-0.30318360537564559</v>
      </c>
      <c r="CT46" s="61">
        <f t="shared" si="10"/>
        <v>-2.0152614249319165</v>
      </c>
      <c r="CV46" s="61">
        <f t="shared" si="11"/>
        <v>0</v>
      </c>
      <c r="CW46" s="61">
        <f t="shared" si="12"/>
        <v>0</v>
      </c>
      <c r="CX46" s="61"/>
      <c r="CY46" s="61">
        <f t="shared" si="13"/>
        <v>0</v>
      </c>
      <c r="CZ46" s="61">
        <f t="shared" si="13"/>
        <v>0</v>
      </c>
      <c r="DA46" s="61">
        <f t="shared" si="13"/>
        <v>0</v>
      </c>
      <c r="DB46" s="2" t="s">
        <v>86</v>
      </c>
      <c r="DC46" s="2" t="s">
        <v>85</v>
      </c>
      <c r="DD46" s="2" t="s">
        <v>87</v>
      </c>
      <c r="DE46" s="2" t="s">
        <v>169</v>
      </c>
      <c r="DF46" s="3" t="s">
        <v>86</v>
      </c>
      <c r="DG46" s="62">
        <v>42921</v>
      </c>
      <c r="EC46" s="60" t="str">
        <f>VLOOKUP($M46,[1]Detail!$M:$BO,1,0)</f>
        <v>JD8T-14K147-AB</v>
      </c>
      <c r="ED46" s="60">
        <f>VLOOKUP($M46,[1]Detail!$M:$BO,22,0)</f>
        <v>-50.3815356232979</v>
      </c>
      <c r="EE46" s="60">
        <f>VLOOKUP($M46,[1]Detail!$M:$BO,42,0)</f>
        <v>0</v>
      </c>
      <c r="EF46" s="60" t="str">
        <f>VLOOKUP($M46,[1]Detail!$M:$BO,45,0)</f>
        <v>Include with Cruise</v>
      </c>
      <c r="EH46" s="60">
        <f>ED46-AD46</f>
        <v>0</v>
      </c>
      <c r="EI46" s="60">
        <f>EE46-AG46</f>
        <v>0</v>
      </c>
      <c r="EJ46" s="60" t="e">
        <f>EF46-AJ46</f>
        <v>#VALUE!</v>
      </c>
    </row>
    <row r="47" spans="2:140" ht="12.75" hidden="1" customHeight="1">
      <c r="B47" s="1" t="s">
        <v>176</v>
      </c>
      <c r="C47" s="22" t="s">
        <v>177</v>
      </c>
      <c r="D47" s="22" t="s">
        <v>178</v>
      </c>
      <c r="E47" s="2" t="str">
        <f>VLOOKUP($C47,[1]Detail!$C:$AK,6,0)</f>
        <v>PMT2</v>
      </c>
      <c r="F47" s="2" t="str">
        <f>VLOOKUP($C47,[1]Detail!$C:$AK,7,0)</f>
        <v>PF</v>
      </c>
      <c r="G47" s="2" t="str">
        <f>VLOOKUP($C47,[1]Detail!$C:$AK,5,0)</f>
        <v>B</v>
      </c>
      <c r="J47" s="22" t="s">
        <v>138</v>
      </c>
      <c r="K47" s="23" t="s">
        <v>179</v>
      </c>
      <c r="L47" s="22" t="s">
        <v>180</v>
      </c>
      <c r="M47" s="51" t="str">
        <f t="shared" si="0"/>
        <v>JD8B-19D629-AA</v>
      </c>
      <c r="O47" s="22">
        <v>1</v>
      </c>
      <c r="P47" s="22">
        <v>1</v>
      </c>
      <c r="Q47" s="22">
        <v>1</v>
      </c>
      <c r="R47" s="22">
        <v>1</v>
      </c>
      <c r="S47" s="22">
        <v>0</v>
      </c>
      <c r="T47" s="22">
        <v>0</v>
      </c>
      <c r="U47" s="22">
        <v>1</v>
      </c>
      <c r="V47" s="22">
        <v>0</v>
      </c>
      <c r="W47" s="64">
        <f t="shared" ref="W47:W83" si="47">SUMPRODUCT(O47:V47,$O$6:$V$6)</f>
        <v>0.72000000000000008</v>
      </c>
      <c r="Y47" s="60">
        <v>-604.69000000000005</v>
      </c>
      <c r="Z47" s="60">
        <v>-6.48</v>
      </c>
      <c r="AA47" s="60">
        <v>0</v>
      </c>
      <c r="AB47" s="60">
        <v>-7.21</v>
      </c>
      <c r="AC47" s="60">
        <f>-11.75-AB47</f>
        <v>-4.54</v>
      </c>
      <c r="AD47" s="8">
        <f t="shared" si="38"/>
        <v>-622.92000000000007</v>
      </c>
      <c r="AE47" s="2" t="s">
        <v>91</v>
      </c>
      <c r="AG47" s="71">
        <v>-1674400</v>
      </c>
      <c r="AH47" s="71">
        <v>-1674400</v>
      </c>
      <c r="AI47" s="6"/>
      <c r="AJ47" s="71">
        <v>-1748703</v>
      </c>
      <c r="AK47" s="71">
        <v>574899</v>
      </c>
      <c r="AL47" s="61">
        <v>0</v>
      </c>
      <c r="AM47" s="22"/>
      <c r="AO47" s="22" t="s">
        <v>138</v>
      </c>
      <c r="AP47" s="23" t="s">
        <v>179</v>
      </c>
      <c r="AQ47" s="22" t="s">
        <v>180</v>
      </c>
      <c r="AR47" s="51" t="str">
        <f t="shared" si="14"/>
        <v>JD8B-19D629-AA</v>
      </c>
      <c r="AS47" s="3"/>
      <c r="AT47" s="22">
        <v>1</v>
      </c>
      <c r="AU47" s="22">
        <v>1</v>
      </c>
      <c r="AV47" s="22">
        <v>1</v>
      </c>
      <c r="AW47" s="22">
        <v>1</v>
      </c>
      <c r="AX47" s="22">
        <v>0</v>
      </c>
      <c r="AY47" s="22">
        <v>0</v>
      </c>
      <c r="AZ47" s="22">
        <v>1</v>
      </c>
      <c r="BA47" s="22">
        <v>0</v>
      </c>
      <c r="BB47" s="2">
        <f t="shared" ref="BB47:BB68" si="48">SUMPRODUCT(AT47:BA47,$AT$6:$BA$6)</f>
        <v>0.72000000000000008</v>
      </c>
      <c r="BD47" s="60">
        <v>-604.69000000000005</v>
      </c>
      <c r="BE47" s="60">
        <v>-6.48</v>
      </c>
      <c r="BF47" s="60">
        <v>0</v>
      </c>
      <c r="BG47" s="60">
        <v>-7.21</v>
      </c>
      <c r="BH47" s="60">
        <f>-11.75-BG47</f>
        <v>-4.54</v>
      </c>
      <c r="BI47" s="8">
        <f t="shared" si="15"/>
        <v>-622.92000000000007</v>
      </c>
      <c r="BJ47" s="2" t="s">
        <v>91</v>
      </c>
      <c r="BL47" s="71">
        <v>-1674400</v>
      </c>
      <c r="BM47" s="71">
        <v>-1674400</v>
      </c>
      <c r="BO47" s="71">
        <v>-1748703</v>
      </c>
      <c r="BP47" s="71">
        <v>574899</v>
      </c>
      <c r="BQ47" s="61">
        <v>0</v>
      </c>
      <c r="BS47" s="61">
        <f t="shared" si="44"/>
        <v>0</v>
      </c>
      <c r="BT47" s="61">
        <f t="shared" si="45"/>
        <v>0</v>
      </c>
      <c r="BU47" s="61">
        <f t="shared" si="46"/>
        <v>0</v>
      </c>
      <c r="BV47" s="61">
        <f t="shared" si="46"/>
        <v>0</v>
      </c>
      <c r="BW47" s="61">
        <f t="shared" si="46"/>
        <v>0</v>
      </c>
      <c r="BX47" s="61">
        <f t="shared" si="46"/>
        <v>0</v>
      </c>
      <c r="BY47" s="61" t="s">
        <v>91</v>
      </c>
      <c r="CA47" s="61">
        <f t="shared" si="39"/>
        <v>0</v>
      </c>
      <c r="CB47" s="61">
        <f t="shared" si="39"/>
        <v>0</v>
      </c>
      <c r="CC47" s="61">
        <f t="shared" si="39"/>
        <v>0</v>
      </c>
      <c r="CD47" s="61">
        <f t="shared" si="39"/>
        <v>0</v>
      </c>
      <c r="CE47" s="61">
        <f t="shared" si="39"/>
        <v>0</v>
      </c>
      <c r="CF47" s="61">
        <f t="shared" si="39"/>
        <v>0</v>
      </c>
      <c r="CG47" s="61">
        <f t="shared" si="39"/>
        <v>0</v>
      </c>
      <c r="CH47" s="61">
        <f t="shared" si="36"/>
        <v>0</v>
      </c>
      <c r="CI47" s="61">
        <f t="shared" si="7"/>
        <v>0</v>
      </c>
      <c r="CJ47" s="61"/>
      <c r="CK47" s="61">
        <f t="shared" si="40"/>
        <v>0</v>
      </c>
      <c r="CL47" s="61">
        <f t="shared" si="40"/>
        <v>0</v>
      </c>
      <c r="CM47" s="61">
        <f t="shared" si="40"/>
        <v>0</v>
      </c>
      <c r="CN47" s="61">
        <f t="shared" si="40"/>
        <v>0</v>
      </c>
      <c r="CO47" s="61">
        <f t="shared" si="40"/>
        <v>0</v>
      </c>
      <c r="CP47" s="61">
        <f t="shared" si="40"/>
        <v>0</v>
      </c>
      <c r="CQ47" s="61">
        <f t="shared" si="40"/>
        <v>0</v>
      </c>
      <c r="CR47" s="61">
        <f t="shared" si="37"/>
        <v>0</v>
      </c>
      <c r="CS47" s="61">
        <f t="shared" si="9"/>
        <v>0</v>
      </c>
      <c r="CT47" s="61">
        <f t="shared" si="10"/>
        <v>0</v>
      </c>
      <c r="CV47" s="61">
        <f t="shared" si="11"/>
        <v>0</v>
      </c>
      <c r="CW47" s="61">
        <f t="shared" si="12"/>
        <v>0</v>
      </c>
      <c r="CX47" s="61"/>
      <c r="CY47" s="61">
        <f t="shared" si="13"/>
        <v>0</v>
      </c>
      <c r="CZ47" s="61">
        <f t="shared" si="13"/>
        <v>0</v>
      </c>
      <c r="DA47" s="61">
        <f t="shared" si="13"/>
        <v>0</v>
      </c>
      <c r="DB47" s="2" t="s">
        <v>85</v>
      </c>
      <c r="DC47" s="2" t="s">
        <v>102</v>
      </c>
      <c r="DD47" s="2" t="s">
        <v>142</v>
      </c>
      <c r="DE47" s="2" t="s">
        <v>181</v>
      </c>
      <c r="DF47" s="3" t="s">
        <v>86</v>
      </c>
      <c r="DG47" s="62">
        <v>42800</v>
      </c>
      <c r="EC47" s="60"/>
      <c r="ED47" s="60"/>
      <c r="EE47" s="60"/>
      <c r="EF47" s="60"/>
    </row>
    <row r="48" spans="2:140" ht="12.75" hidden="1" customHeight="1">
      <c r="B48" s="1" t="s">
        <v>176</v>
      </c>
      <c r="C48" s="22" t="s">
        <v>177</v>
      </c>
      <c r="D48" s="22" t="s">
        <v>178</v>
      </c>
      <c r="E48" s="2" t="str">
        <f>VLOOKUP($C48,[1]Detail!$C:$AK,6,0)</f>
        <v>PMT2</v>
      </c>
      <c r="F48" s="2" t="str">
        <f>VLOOKUP($C48,[1]Detail!$C:$AK,7,0)</f>
        <v>PF</v>
      </c>
      <c r="G48" s="2" t="str">
        <f>VLOOKUP($C48,[1]Detail!$C:$AK,5,0)</f>
        <v>B</v>
      </c>
      <c r="J48" s="22" t="s">
        <v>138</v>
      </c>
      <c r="K48" s="23" t="s">
        <v>179</v>
      </c>
      <c r="L48" s="22" t="s">
        <v>182</v>
      </c>
      <c r="M48" s="51" t="str">
        <f t="shared" si="0"/>
        <v>JD8B-19D629-BA</v>
      </c>
      <c r="O48" s="22">
        <v>0</v>
      </c>
      <c r="P48" s="22">
        <v>0</v>
      </c>
      <c r="Q48" s="22">
        <v>0</v>
      </c>
      <c r="R48" s="22">
        <v>0</v>
      </c>
      <c r="S48" s="22">
        <v>1</v>
      </c>
      <c r="T48" s="22">
        <v>1</v>
      </c>
      <c r="U48" s="22">
        <v>0</v>
      </c>
      <c r="V48" s="22">
        <v>1</v>
      </c>
      <c r="W48" s="64">
        <f t="shared" si="47"/>
        <v>0.28000000000000003</v>
      </c>
      <c r="Y48" s="60">
        <v>-604.69000000000005</v>
      </c>
      <c r="Z48" s="60">
        <v>-6.48</v>
      </c>
      <c r="AA48" s="60">
        <v>0</v>
      </c>
      <c r="AB48" s="60">
        <v>-7.21</v>
      </c>
      <c r="AC48" s="60">
        <f>-11.75-AB48</f>
        <v>-4.54</v>
      </c>
      <c r="AD48" s="8">
        <f t="shared" si="38"/>
        <v>-622.92000000000007</v>
      </c>
      <c r="AE48" s="2" t="s">
        <v>91</v>
      </c>
      <c r="AG48" s="71">
        <v>-1674400</v>
      </c>
      <c r="AH48" s="71">
        <v>-1674400</v>
      </c>
      <c r="AI48" s="6"/>
      <c r="AJ48" s="71">
        <v>-861302</v>
      </c>
      <c r="AK48" s="71" t="s">
        <v>183</v>
      </c>
      <c r="AL48" s="61">
        <v>0</v>
      </c>
      <c r="AM48" s="22"/>
      <c r="AO48" s="22" t="s">
        <v>138</v>
      </c>
      <c r="AP48" s="23" t="s">
        <v>179</v>
      </c>
      <c r="AQ48" s="22" t="s">
        <v>182</v>
      </c>
      <c r="AR48" s="51" t="str">
        <f t="shared" si="14"/>
        <v>JD8B-19D629-BA</v>
      </c>
      <c r="AS48" s="3"/>
      <c r="AT48" s="22">
        <v>0</v>
      </c>
      <c r="AU48" s="22">
        <v>0</v>
      </c>
      <c r="AV48" s="22">
        <v>0</v>
      </c>
      <c r="AW48" s="22">
        <v>0</v>
      </c>
      <c r="AX48" s="22">
        <v>1</v>
      </c>
      <c r="AY48" s="22">
        <v>1</v>
      </c>
      <c r="AZ48" s="22">
        <v>0</v>
      </c>
      <c r="BA48" s="22">
        <v>1</v>
      </c>
      <c r="BB48" s="2">
        <f t="shared" si="48"/>
        <v>0.28000000000000003</v>
      </c>
      <c r="BD48" s="60">
        <v>-604.69000000000005</v>
      </c>
      <c r="BE48" s="60">
        <v>-6.48</v>
      </c>
      <c r="BF48" s="60">
        <v>0</v>
      </c>
      <c r="BG48" s="60">
        <v>-7.21</v>
      </c>
      <c r="BH48" s="60">
        <f>-11.75-BG48</f>
        <v>-4.54</v>
      </c>
      <c r="BI48" s="8">
        <f t="shared" si="15"/>
        <v>-622.92000000000007</v>
      </c>
      <c r="BJ48" s="2" t="s">
        <v>91</v>
      </c>
      <c r="BL48" s="71">
        <v>-1674400</v>
      </c>
      <c r="BM48" s="71">
        <v>-1674400</v>
      </c>
      <c r="BO48" s="71">
        <v>-861302</v>
      </c>
      <c r="BP48" s="71" t="s">
        <v>183</v>
      </c>
      <c r="BQ48" s="61">
        <v>0</v>
      </c>
      <c r="BS48" s="61">
        <f t="shared" si="44"/>
        <v>0</v>
      </c>
      <c r="BT48" s="61">
        <f t="shared" si="45"/>
        <v>0</v>
      </c>
      <c r="BU48" s="61">
        <f t="shared" si="46"/>
        <v>0</v>
      </c>
      <c r="BV48" s="61">
        <f t="shared" si="46"/>
        <v>0</v>
      </c>
      <c r="BW48" s="61">
        <f t="shared" si="46"/>
        <v>0</v>
      </c>
      <c r="BX48" s="61">
        <f t="shared" si="46"/>
        <v>0</v>
      </c>
      <c r="BY48" s="61" t="s">
        <v>91</v>
      </c>
      <c r="CA48" s="61">
        <f t="shared" si="39"/>
        <v>0</v>
      </c>
      <c r="CB48" s="61">
        <f t="shared" si="39"/>
        <v>0</v>
      </c>
      <c r="CC48" s="61">
        <f t="shared" si="39"/>
        <v>0</v>
      </c>
      <c r="CD48" s="61">
        <f t="shared" si="39"/>
        <v>0</v>
      </c>
      <c r="CE48" s="61">
        <f t="shared" si="39"/>
        <v>0</v>
      </c>
      <c r="CF48" s="61">
        <f t="shared" si="39"/>
        <v>0</v>
      </c>
      <c r="CG48" s="61">
        <f t="shared" si="39"/>
        <v>0</v>
      </c>
      <c r="CH48" s="61">
        <f t="shared" si="36"/>
        <v>0</v>
      </c>
      <c r="CI48" s="61">
        <f t="shared" si="7"/>
        <v>0</v>
      </c>
      <c r="CJ48" s="61"/>
      <c r="CK48" s="61">
        <f t="shared" si="40"/>
        <v>0</v>
      </c>
      <c r="CL48" s="61">
        <f t="shared" si="40"/>
        <v>0</v>
      </c>
      <c r="CM48" s="61">
        <f t="shared" si="40"/>
        <v>0</v>
      </c>
      <c r="CN48" s="61">
        <f t="shared" si="40"/>
        <v>0</v>
      </c>
      <c r="CO48" s="61">
        <f t="shared" si="40"/>
        <v>0</v>
      </c>
      <c r="CP48" s="61">
        <f t="shared" si="40"/>
        <v>0</v>
      </c>
      <c r="CQ48" s="61">
        <f t="shared" si="40"/>
        <v>0</v>
      </c>
      <c r="CR48" s="61">
        <f t="shared" si="37"/>
        <v>0</v>
      </c>
      <c r="CS48" s="61">
        <f t="shared" si="9"/>
        <v>0</v>
      </c>
      <c r="CT48" s="61">
        <f t="shared" si="10"/>
        <v>0</v>
      </c>
      <c r="CV48" s="61">
        <f t="shared" si="11"/>
        <v>0</v>
      </c>
      <c r="CW48" s="61">
        <f t="shared" si="12"/>
        <v>0</v>
      </c>
      <c r="CX48" s="61"/>
      <c r="CY48" s="61">
        <f t="shared" si="13"/>
        <v>0</v>
      </c>
      <c r="CZ48" s="61">
        <f t="shared" si="13"/>
        <v>0</v>
      </c>
      <c r="DA48" s="61">
        <f t="shared" si="13"/>
        <v>0</v>
      </c>
      <c r="DB48" s="2" t="s">
        <v>85</v>
      </c>
      <c r="DC48" s="2" t="s">
        <v>102</v>
      </c>
      <c r="DD48" s="2" t="s">
        <v>142</v>
      </c>
      <c r="DE48" s="2" t="s">
        <v>181</v>
      </c>
      <c r="DF48" s="3" t="s">
        <v>86</v>
      </c>
      <c r="DG48" s="62">
        <v>42800</v>
      </c>
      <c r="EC48" s="60"/>
      <c r="ED48" s="60"/>
      <c r="EE48" s="60"/>
      <c r="EF48" s="60"/>
    </row>
    <row r="49" spans="2:140" ht="12.75" hidden="1" customHeight="1">
      <c r="B49" s="1" t="s">
        <v>184</v>
      </c>
      <c r="C49" s="22" t="s">
        <v>177</v>
      </c>
      <c r="D49" s="22" t="s">
        <v>178</v>
      </c>
      <c r="E49" s="2" t="str">
        <f>VLOOKUP($C49,[1]Detail!$C:$AK,6,0)</f>
        <v>PMT2</v>
      </c>
      <c r="F49" s="2" t="str">
        <f>VLOOKUP($C49,[1]Detail!$C:$AK,7,0)</f>
        <v>PF</v>
      </c>
      <c r="G49" s="2" t="str">
        <f>VLOOKUP($C49,[1]Detail!$C:$AK,5,0)</f>
        <v>B</v>
      </c>
      <c r="J49" s="22" t="s">
        <v>138</v>
      </c>
      <c r="K49" s="23" t="s">
        <v>179</v>
      </c>
      <c r="L49" s="22" t="s">
        <v>132</v>
      </c>
      <c r="M49" s="51" t="str">
        <f t="shared" si="0"/>
        <v>JD8B-19D629-AB</v>
      </c>
      <c r="O49" s="22">
        <v>1</v>
      </c>
      <c r="P49" s="22">
        <v>1</v>
      </c>
      <c r="Q49" s="22">
        <v>1</v>
      </c>
      <c r="R49" s="22">
        <v>1</v>
      </c>
      <c r="S49" s="22">
        <v>0</v>
      </c>
      <c r="T49" s="22">
        <v>0</v>
      </c>
      <c r="U49" s="22">
        <v>1</v>
      </c>
      <c r="V49" s="22">
        <v>0</v>
      </c>
      <c r="W49" s="64">
        <f t="shared" si="47"/>
        <v>0.72000000000000008</v>
      </c>
      <c r="Y49" s="60">
        <f>1.53-604.69</f>
        <v>-603.16000000000008</v>
      </c>
      <c r="Z49" s="60">
        <v>-6.48</v>
      </c>
      <c r="AA49" s="60">
        <v>0</v>
      </c>
      <c r="AB49" s="60">
        <v>-7.21</v>
      </c>
      <c r="AC49" s="60">
        <f>-11.75-AB49</f>
        <v>-4.54</v>
      </c>
      <c r="AD49" s="8">
        <f t="shared" si="38"/>
        <v>-621.3900000000001</v>
      </c>
      <c r="AE49" s="2" t="s">
        <v>91</v>
      </c>
      <c r="AG49" s="71">
        <v>-1674400</v>
      </c>
      <c r="AH49" s="71">
        <v>-1674400</v>
      </c>
      <c r="AI49" s="6"/>
      <c r="AJ49" s="71">
        <v>-1748703</v>
      </c>
      <c r="AK49" s="71">
        <v>574899</v>
      </c>
      <c r="AL49" s="61">
        <v>0</v>
      </c>
      <c r="AM49" s="22"/>
      <c r="AO49" s="22" t="s">
        <v>138</v>
      </c>
      <c r="AP49" s="23" t="s">
        <v>179</v>
      </c>
      <c r="AQ49" s="22" t="s">
        <v>180</v>
      </c>
      <c r="AR49" s="51" t="str">
        <f t="shared" si="14"/>
        <v>JD8B-19D629-AA</v>
      </c>
      <c r="AS49" s="3"/>
      <c r="AT49" s="22">
        <v>1</v>
      </c>
      <c r="AU49" s="22">
        <v>1</v>
      </c>
      <c r="AV49" s="22">
        <v>1</v>
      </c>
      <c r="AW49" s="22">
        <v>1</v>
      </c>
      <c r="AX49" s="22">
        <v>0</v>
      </c>
      <c r="AY49" s="22">
        <v>0</v>
      </c>
      <c r="AZ49" s="22">
        <v>1</v>
      </c>
      <c r="BA49" s="22">
        <v>0</v>
      </c>
      <c r="BB49" s="64">
        <f>SUMPRODUCT(AT49:BA49,$O$6:$V$6)</f>
        <v>0.72000000000000008</v>
      </c>
      <c r="BD49" s="60">
        <v>-604.69000000000005</v>
      </c>
      <c r="BE49" s="60">
        <v>-6.48</v>
      </c>
      <c r="BF49" s="60">
        <v>0</v>
      </c>
      <c r="BG49" s="60">
        <v>-7.21</v>
      </c>
      <c r="BH49" s="60">
        <f>-11.75-BG49</f>
        <v>-4.54</v>
      </c>
      <c r="BI49" s="8">
        <f t="shared" si="15"/>
        <v>-622.92000000000007</v>
      </c>
      <c r="BJ49" s="2" t="s">
        <v>91</v>
      </c>
      <c r="BL49" s="71">
        <v>-1674400</v>
      </c>
      <c r="BM49" s="71">
        <v>-1674400</v>
      </c>
      <c r="BN49" s="6"/>
      <c r="BO49" s="71">
        <v>-1748703</v>
      </c>
      <c r="BP49" s="71">
        <v>574899</v>
      </c>
      <c r="BQ49" s="61">
        <v>0</v>
      </c>
      <c r="BS49" s="61">
        <f t="shared" si="44"/>
        <v>1.5299999999999727</v>
      </c>
      <c r="BT49" s="61">
        <f t="shared" si="45"/>
        <v>0</v>
      </c>
      <c r="BU49" s="61">
        <f t="shared" si="46"/>
        <v>0</v>
      </c>
      <c r="BV49" s="61">
        <f t="shared" si="46"/>
        <v>0</v>
      </c>
      <c r="BW49" s="61">
        <f t="shared" si="46"/>
        <v>0</v>
      </c>
      <c r="BX49" s="61">
        <f t="shared" si="46"/>
        <v>1.5299999999999727</v>
      </c>
      <c r="BY49" s="61" t="s">
        <v>91</v>
      </c>
      <c r="CA49" s="61">
        <f t="shared" si="39"/>
        <v>0.23017902813298821</v>
      </c>
      <c r="CB49" s="61">
        <f t="shared" si="39"/>
        <v>0.23017902813298821</v>
      </c>
      <c r="CC49" s="61">
        <f t="shared" si="39"/>
        <v>0.23017902813298821</v>
      </c>
      <c r="CD49" s="61">
        <f t="shared" si="39"/>
        <v>0.23017902813298821</v>
      </c>
      <c r="CE49" s="61">
        <f t="shared" si="39"/>
        <v>0</v>
      </c>
      <c r="CF49" s="61">
        <f t="shared" si="39"/>
        <v>0</v>
      </c>
      <c r="CG49" s="61">
        <f t="shared" si="39"/>
        <v>0.23017902813298821</v>
      </c>
      <c r="CH49" s="61">
        <f t="shared" si="36"/>
        <v>0</v>
      </c>
      <c r="CI49" s="61">
        <f t="shared" si="7"/>
        <v>0.16572890025575154</v>
      </c>
      <c r="CJ49" s="61"/>
      <c r="CK49" s="61">
        <f t="shared" si="40"/>
        <v>0.23017902813298821</v>
      </c>
      <c r="CL49" s="61">
        <f t="shared" si="40"/>
        <v>0.23017902813298821</v>
      </c>
      <c r="CM49" s="61">
        <f t="shared" si="40"/>
        <v>0.23017902813298821</v>
      </c>
      <c r="CN49" s="61">
        <f t="shared" si="40"/>
        <v>0.23017902813298821</v>
      </c>
      <c r="CO49" s="61">
        <f t="shared" si="40"/>
        <v>0</v>
      </c>
      <c r="CP49" s="61">
        <f t="shared" si="40"/>
        <v>0</v>
      </c>
      <c r="CQ49" s="61">
        <f t="shared" si="40"/>
        <v>0.23017902813298821</v>
      </c>
      <c r="CR49" s="61">
        <f t="shared" si="37"/>
        <v>0</v>
      </c>
      <c r="CS49" s="63">
        <f t="shared" si="9"/>
        <v>0.16572890025575154</v>
      </c>
      <c r="CT49" s="61">
        <f t="shared" si="10"/>
        <v>1.1015999999999806</v>
      </c>
      <c r="CV49" s="61">
        <f t="shared" si="11"/>
        <v>0</v>
      </c>
      <c r="CW49" s="61">
        <f t="shared" ref="CW49:CW50" si="49">SUM(AH49)-SUM(BM49)</f>
        <v>0</v>
      </c>
      <c r="CX49" s="61"/>
      <c r="CY49" s="61">
        <f t="shared" ref="CY49:CY50" si="50">SUM(AJ49)-SUM(BO49)</f>
        <v>0</v>
      </c>
      <c r="CZ49" s="61">
        <f t="shared" si="13"/>
        <v>0</v>
      </c>
      <c r="DA49" s="61">
        <f t="shared" si="13"/>
        <v>0</v>
      </c>
      <c r="DB49" s="2" t="s">
        <v>86</v>
      </c>
      <c r="DC49" s="2" t="s">
        <v>85</v>
      </c>
      <c r="DD49" s="2" t="s">
        <v>142</v>
      </c>
      <c r="DE49" s="2" t="s">
        <v>106</v>
      </c>
      <c r="DF49" s="3" t="s">
        <v>118</v>
      </c>
      <c r="DG49" s="62">
        <v>43103</v>
      </c>
      <c r="EC49" s="60" t="str">
        <f>VLOOKUP($M49,[1]Detail!$M:$BO,1,0)</f>
        <v>JD8B-19D629-AB</v>
      </c>
      <c r="ED49" s="60">
        <f>VLOOKUP($M49,[1]Detail!$M:$BO,22,0)</f>
        <v>-621.3900000000001</v>
      </c>
      <c r="EE49" s="60">
        <f>VLOOKUP($M49,[1]Detail!$M:$BO,42,0)</f>
        <v>-1674400</v>
      </c>
      <c r="EF49" s="60">
        <f>VLOOKUP($M49,[1]Detail!$M:$BO,45,0)</f>
        <v>-1748703</v>
      </c>
      <c r="EH49" s="60">
        <f>ED49-AD49</f>
        <v>0</v>
      </c>
      <c r="EI49" s="60">
        <f>EE49-AG49</f>
        <v>0</v>
      </c>
      <c r="EJ49" s="60">
        <f t="shared" ref="EJ49:EJ50" si="51">EF49-AJ49</f>
        <v>0</v>
      </c>
    </row>
    <row r="50" spans="2:140" ht="14.25" hidden="1" customHeight="1">
      <c r="B50" s="1" t="s">
        <v>184</v>
      </c>
      <c r="C50" s="22" t="s">
        <v>177</v>
      </c>
      <c r="D50" s="22" t="s">
        <v>178</v>
      </c>
      <c r="E50" s="2" t="str">
        <f>VLOOKUP($C50,[1]Detail!$C:$AK,6,0)</f>
        <v>PMT2</v>
      </c>
      <c r="F50" s="2" t="str">
        <f>VLOOKUP($C50,[1]Detail!$C:$AK,7,0)</f>
        <v>PF</v>
      </c>
      <c r="G50" s="2" t="str">
        <f>VLOOKUP($C50,[1]Detail!$C:$AK,5,0)</f>
        <v>B</v>
      </c>
      <c r="J50" s="22" t="s">
        <v>138</v>
      </c>
      <c r="K50" s="23" t="s">
        <v>179</v>
      </c>
      <c r="L50" s="22" t="s">
        <v>120</v>
      </c>
      <c r="M50" s="51" t="str">
        <f t="shared" si="0"/>
        <v>JD8B-19D629-BB</v>
      </c>
      <c r="O50" s="22">
        <v>0</v>
      </c>
      <c r="P50" s="22">
        <v>0</v>
      </c>
      <c r="Q50" s="22">
        <v>0</v>
      </c>
      <c r="R50" s="22">
        <v>0</v>
      </c>
      <c r="S50" s="22">
        <v>1</v>
      </c>
      <c r="T50" s="22">
        <v>1</v>
      </c>
      <c r="U50" s="22">
        <v>0</v>
      </c>
      <c r="V50" s="22">
        <v>1</v>
      </c>
      <c r="W50" s="64">
        <f t="shared" si="47"/>
        <v>0.28000000000000003</v>
      </c>
      <c r="Y50" s="60">
        <f>1.53-604.69</f>
        <v>-603.16000000000008</v>
      </c>
      <c r="Z50" s="60">
        <v>-6.48</v>
      </c>
      <c r="AA50" s="60">
        <v>0</v>
      </c>
      <c r="AB50" s="60">
        <v>-7.21</v>
      </c>
      <c r="AC50" s="60">
        <f>-11.75-AB50</f>
        <v>-4.54</v>
      </c>
      <c r="AD50" s="8">
        <f t="shared" si="38"/>
        <v>-621.3900000000001</v>
      </c>
      <c r="AE50" s="2" t="s">
        <v>91</v>
      </c>
      <c r="AG50" s="71">
        <v>-1674400</v>
      </c>
      <c r="AH50" s="71">
        <v>-1674400</v>
      </c>
      <c r="AI50" s="6"/>
      <c r="AJ50" s="71">
        <v>-861302</v>
      </c>
      <c r="AK50" s="71" t="s">
        <v>183</v>
      </c>
      <c r="AL50" s="61">
        <v>0</v>
      </c>
      <c r="AM50" s="22"/>
      <c r="AO50" s="22" t="s">
        <v>138</v>
      </c>
      <c r="AP50" s="23" t="s">
        <v>179</v>
      </c>
      <c r="AQ50" s="22" t="s">
        <v>182</v>
      </c>
      <c r="AR50" s="51" t="str">
        <f t="shared" si="14"/>
        <v>JD8B-19D629-BA</v>
      </c>
      <c r="AS50" s="3"/>
      <c r="AT50" s="22">
        <v>0</v>
      </c>
      <c r="AU50" s="22">
        <v>0</v>
      </c>
      <c r="AV50" s="22">
        <v>0</v>
      </c>
      <c r="AW50" s="22">
        <v>0</v>
      </c>
      <c r="AX50" s="22">
        <v>1</v>
      </c>
      <c r="AY50" s="22">
        <v>1</v>
      </c>
      <c r="AZ50" s="22">
        <v>0</v>
      </c>
      <c r="BA50" s="22">
        <v>1</v>
      </c>
      <c r="BB50" s="64">
        <f>SUMPRODUCT(AT50:BA50,$O$6:$V$6)</f>
        <v>0.28000000000000003</v>
      </c>
      <c r="BD50" s="60">
        <v>-604.69000000000005</v>
      </c>
      <c r="BE50" s="60">
        <v>-6.48</v>
      </c>
      <c r="BF50" s="60">
        <v>0</v>
      </c>
      <c r="BG50" s="60">
        <v>-7.21</v>
      </c>
      <c r="BH50" s="60">
        <f>-11.75-BG50</f>
        <v>-4.54</v>
      </c>
      <c r="BI50" s="8">
        <f t="shared" si="15"/>
        <v>-622.92000000000007</v>
      </c>
      <c r="BJ50" s="2" t="s">
        <v>91</v>
      </c>
      <c r="BL50" s="71">
        <v>-1674400</v>
      </c>
      <c r="BM50" s="71">
        <v>-1674400</v>
      </c>
      <c r="BN50" s="6"/>
      <c r="BO50" s="71">
        <v>-861302</v>
      </c>
      <c r="BP50" s="71" t="s">
        <v>183</v>
      </c>
      <c r="BQ50" s="61">
        <v>0</v>
      </c>
      <c r="BS50" s="61">
        <f t="shared" si="44"/>
        <v>1.5299999999999727</v>
      </c>
      <c r="BT50" s="61">
        <f t="shared" si="45"/>
        <v>0</v>
      </c>
      <c r="BU50" s="61">
        <f t="shared" si="46"/>
        <v>0</v>
      </c>
      <c r="BV50" s="61">
        <f t="shared" si="46"/>
        <v>0</v>
      </c>
      <c r="BW50" s="61">
        <f t="shared" si="46"/>
        <v>0</v>
      </c>
      <c r="BX50" s="61">
        <f t="shared" si="46"/>
        <v>1.5299999999999727</v>
      </c>
      <c r="BY50" s="61" t="s">
        <v>91</v>
      </c>
      <c r="CA50" s="61">
        <f t="shared" si="39"/>
        <v>0</v>
      </c>
      <c r="CB50" s="61">
        <f t="shared" si="39"/>
        <v>0</v>
      </c>
      <c r="CC50" s="61">
        <f t="shared" si="39"/>
        <v>0</v>
      </c>
      <c r="CD50" s="61">
        <f t="shared" si="39"/>
        <v>0</v>
      </c>
      <c r="CE50" s="61">
        <f t="shared" si="39"/>
        <v>0.23017902813298821</v>
      </c>
      <c r="CF50" s="61">
        <f t="shared" si="39"/>
        <v>0.23017902813298821</v>
      </c>
      <c r="CG50" s="61">
        <f t="shared" si="39"/>
        <v>0</v>
      </c>
      <c r="CH50" s="61">
        <f t="shared" si="36"/>
        <v>0.23017902813298821</v>
      </c>
      <c r="CI50" s="61">
        <f t="shared" si="7"/>
        <v>6.445012787723671E-2</v>
      </c>
      <c r="CJ50" s="61"/>
      <c r="CK50" s="61">
        <f t="shared" si="40"/>
        <v>0</v>
      </c>
      <c r="CL50" s="61">
        <f t="shared" si="40"/>
        <v>0</v>
      </c>
      <c r="CM50" s="61">
        <f t="shared" si="40"/>
        <v>0</v>
      </c>
      <c r="CN50" s="61">
        <f t="shared" si="40"/>
        <v>0</v>
      </c>
      <c r="CO50" s="61">
        <f t="shared" si="40"/>
        <v>0.23017902813298821</v>
      </c>
      <c r="CP50" s="61">
        <f t="shared" si="40"/>
        <v>0.23017902813298821</v>
      </c>
      <c r="CQ50" s="61">
        <f t="shared" si="40"/>
        <v>0</v>
      </c>
      <c r="CR50" s="61">
        <f t="shared" si="37"/>
        <v>0.23017902813298821</v>
      </c>
      <c r="CS50" s="63">
        <f t="shared" si="9"/>
        <v>6.445012787723671E-2</v>
      </c>
      <c r="CT50" s="61">
        <f t="shared" si="10"/>
        <v>0.4283999999999924</v>
      </c>
      <c r="CV50" s="61">
        <f t="shared" si="11"/>
        <v>0</v>
      </c>
      <c r="CW50" s="61">
        <f t="shared" si="49"/>
        <v>0</v>
      </c>
      <c r="CX50" s="61"/>
      <c r="CY50" s="61">
        <f t="shared" si="50"/>
        <v>0</v>
      </c>
      <c r="CZ50" s="61">
        <f t="shared" si="13"/>
        <v>0</v>
      </c>
      <c r="DA50" s="61">
        <f t="shared" si="13"/>
        <v>0</v>
      </c>
      <c r="DB50" s="2" t="s">
        <v>86</v>
      </c>
      <c r="DC50" s="2" t="s">
        <v>85</v>
      </c>
      <c r="DD50" s="2" t="s">
        <v>142</v>
      </c>
      <c r="DE50" s="2" t="s">
        <v>106</v>
      </c>
      <c r="DF50" s="3" t="s">
        <v>118</v>
      </c>
      <c r="DG50" s="62">
        <v>43103</v>
      </c>
      <c r="EC50" s="60" t="str">
        <f>VLOOKUP($M50,[1]Detail!$M:$BO,1,0)</f>
        <v>JD8B-19D629-BB</v>
      </c>
      <c r="ED50" s="60">
        <f>VLOOKUP($M50,[1]Detail!$M:$BO,22,0)</f>
        <v>-621.3900000000001</v>
      </c>
      <c r="EE50" s="60">
        <f>VLOOKUP($M50,[1]Detail!$M:$BO,42,0)</f>
        <v>-1674400</v>
      </c>
      <c r="EF50" s="60">
        <f>VLOOKUP($M50,[1]Detail!$M:$BO,45,0)</f>
        <v>-861302</v>
      </c>
      <c r="EH50" s="60">
        <f>ED50-AD50</f>
        <v>0</v>
      </c>
      <c r="EI50" s="60">
        <f>EE50-AG50</f>
        <v>0</v>
      </c>
      <c r="EJ50" s="60">
        <f t="shared" si="51"/>
        <v>0</v>
      </c>
    </row>
    <row r="51" spans="2:140" ht="12.75" hidden="1" customHeight="1">
      <c r="B51" s="1" t="s">
        <v>185</v>
      </c>
      <c r="C51" s="22" t="s">
        <v>186</v>
      </c>
      <c r="D51" s="22" t="s">
        <v>187</v>
      </c>
      <c r="E51" s="2" t="str">
        <f>VLOOKUP($C51,[1]Detail!$C:$AK,6,0)</f>
        <v>PMT1</v>
      </c>
      <c r="F51" s="2" t="str">
        <f>VLOOKUP($C51,[1]Detail!$C:$AK,7,0)</f>
        <v>TH</v>
      </c>
      <c r="G51" s="2" t="str">
        <f>VLOOKUP($C51,[1]Detail!$C:$AK,5,0)</f>
        <v>D</v>
      </c>
      <c r="J51" s="22" t="s">
        <v>126</v>
      </c>
      <c r="K51" s="23" t="s">
        <v>188</v>
      </c>
      <c r="L51" s="22" t="s">
        <v>100</v>
      </c>
      <c r="M51" s="51" t="str">
        <f t="shared" si="0"/>
        <v>JD8B-F278B50-AA</v>
      </c>
      <c r="O51" s="22">
        <v>1</v>
      </c>
      <c r="P51" s="22">
        <v>1</v>
      </c>
      <c r="Q51" s="22">
        <v>1</v>
      </c>
      <c r="R51" s="22">
        <v>1</v>
      </c>
      <c r="S51" s="22">
        <v>1</v>
      </c>
      <c r="T51" s="22">
        <v>1</v>
      </c>
      <c r="U51" s="22">
        <v>1</v>
      </c>
      <c r="V51" s="22">
        <v>1</v>
      </c>
      <c r="W51" s="64">
        <f t="shared" si="47"/>
        <v>1</v>
      </c>
      <c r="Y51" s="60">
        <v>-29.65</v>
      </c>
      <c r="Z51" s="60">
        <v>-0.8</v>
      </c>
      <c r="AA51" s="60">
        <v>-1.33</v>
      </c>
      <c r="AB51" s="60">
        <v>0</v>
      </c>
      <c r="AC51" s="60">
        <v>0</v>
      </c>
      <c r="AD51" s="8">
        <f t="shared" si="38"/>
        <v>-31.78</v>
      </c>
      <c r="AE51" s="2" t="s">
        <v>84</v>
      </c>
      <c r="AG51" s="61">
        <v>-375000</v>
      </c>
      <c r="AH51" s="61">
        <v>-375000</v>
      </c>
      <c r="AI51" s="6"/>
      <c r="AJ51" s="61">
        <v>0</v>
      </c>
      <c r="AK51" s="61">
        <v>0</v>
      </c>
      <c r="AL51" s="61">
        <v>0</v>
      </c>
      <c r="AM51" s="22" t="s">
        <v>189</v>
      </c>
      <c r="AO51" s="22" t="s">
        <v>128</v>
      </c>
      <c r="AP51" s="23" t="s">
        <v>188</v>
      </c>
      <c r="AQ51" s="22" t="s">
        <v>100</v>
      </c>
      <c r="AR51" s="51" t="str">
        <f t="shared" si="14"/>
        <v>ED8B-F278B50-AA</v>
      </c>
      <c r="AS51" s="3"/>
      <c r="AT51" s="22">
        <v>1</v>
      </c>
      <c r="AU51" s="22">
        <v>1</v>
      </c>
      <c r="AV51" s="22">
        <v>1</v>
      </c>
      <c r="AW51" s="22">
        <v>1</v>
      </c>
      <c r="AX51" s="22">
        <v>1</v>
      </c>
      <c r="AY51" s="22">
        <v>1</v>
      </c>
      <c r="AZ51" s="22">
        <v>1</v>
      </c>
      <c r="BA51" s="22">
        <v>1</v>
      </c>
      <c r="BB51" s="2">
        <f t="shared" si="48"/>
        <v>1</v>
      </c>
      <c r="BD51" s="60">
        <v>-30.890000000000004</v>
      </c>
      <c r="BE51" s="60">
        <v>-0.8</v>
      </c>
      <c r="BF51" s="60">
        <v>-1.33</v>
      </c>
      <c r="BG51" s="60">
        <v>0</v>
      </c>
      <c r="BH51" s="60">
        <v>0</v>
      </c>
      <c r="BI51" s="8">
        <f t="shared" si="15"/>
        <v>-33.020000000000003</v>
      </c>
      <c r="BJ51" s="2" t="s">
        <v>84</v>
      </c>
      <c r="BL51" s="61">
        <v>0</v>
      </c>
      <c r="BM51" s="61">
        <v>0</v>
      </c>
      <c r="BO51" s="61">
        <v>0</v>
      </c>
      <c r="BP51" s="61">
        <v>0</v>
      </c>
      <c r="BQ51" s="61">
        <v>0</v>
      </c>
      <c r="BS51" s="61">
        <f t="shared" si="44"/>
        <v>1.2400000000000055</v>
      </c>
      <c r="BT51" s="61">
        <f t="shared" si="45"/>
        <v>0</v>
      </c>
      <c r="BU51" s="61">
        <f t="shared" si="46"/>
        <v>0</v>
      </c>
      <c r="BV51" s="61">
        <f t="shared" si="46"/>
        <v>0</v>
      </c>
      <c r="BW51" s="61">
        <f t="shared" si="46"/>
        <v>0</v>
      </c>
      <c r="BX51" s="61">
        <f t="shared" si="46"/>
        <v>1.240000000000002</v>
      </c>
      <c r="BY51" s="61" t="s">
        <v>84</v>
      </c>
      <c r="CA51" s="61">
        <f t="shared" si="39"/>
        <v>0.18655032345419068</v>
      </c>
      <c r="CB51" s="61">
        <f t="shared" si="39"/>
        <v>0.18655032345419068</v>
      </c>
      <c r="CC51" s="61">
        <f t="shared" si="39"/>
        <v>0.18655032345419068</v>
      </c>
      <c r="CD51" s="61">
        <f t="shared" si="39"/>
        <v>0.18655032345419068</v>
      </c>
      <c r="CE51" s="61">
        <f t="shared" si="39"/>
        <v>0.18655032345419068</v>
      </c>
      <c r="CF51" s="61">
        <f t="shared" si="39"/>
        <v>0.18655032345419068</v>
      </c>
      <c r="CG51" s="61">
        <f t="shared" si="39"/>
        <v>0.18655032345419068</v>
      </c>
      <c r="CH51" s="61">
        <f t="shared" si="36"/>
        <v>0.18655032345419068</v>
      </c>
      <c r="CI51" s="61">
        <f t="shared" si="7"/>
        <v>0.18655032345419068</v>
      </c>
      <c r="CJ51" s="61"/>
      <c r="CK51" s="61">
        <f t="shared" si="40"/>
        <v>0.18655032345419015</v>
      </c>
      <c r="CL51" s="61">
        <f t="shared" si="40"/>
        <v>0.18655032345419015</v>
      </c>
      <c r="CM51" s="61">
        <f t="shared" si="40"/>
        <v>0.18655032345419015</v>
      </c>
      <c r="CN51" s="61">
        <f t="shared" si="40"/>
        <v>0.18655032345419015</v>
      </c>
      <c r="CO51" s="61">
        <f t="shared" si="40"/>
        <v>0.18655032345419015</v>
      </c>
      <c r="CP51" s="61">
        <f t="shared" si="40"/>
        <v>0.18655032345419015</v>
      </c>
      <c r="CQ51" s="61">
        <f t="shared" si="40"/>
        <v>0.18655032345419015</v>
      </c>
      <c r="CR51" s="61">
        <f t="shared" si="37"/>
        <v>0.18655032345419015</v>
      </c>
      <c r="CS51" s="61">
        <f t="shared" si="9"/>
        <v>0.18655032345419015</v>
      </c>
      <c r="CT51" s="61">
        <f t="shared" si="10"/>
        <v>1.240000000000002</v>
      </c>
      <c r="CV51" s="61">
        <f t="shared" si="11"/>
        <v>-375000</v>
      </c>
      <c r="CW51" s="61">
        <f t="shared" si="12"/>
        <v>-375000</v>
      </c>
      <c r="CX51" s="61"/>
      <c r="CY51" s="61">
        <f t="shared" si="13"/>
        <v>0</v>
      </c>
      <c r="CZ51" s="61">
        <f t="shared" si="13"/>
        <v>0</v>
      </c>
      <c r="DA51" s="61">
        <f t="shared" si="13"/>
        <v>0</v>
      </c>
      <c r="DB51" s="2" t="s">
        <v>85</v>
      </c>
      <c r="DC51" s="2" t="s">
        <v>86</v>
      </c>
      <c r="DD51" s="2" t="s">
        <v>87</v>
      </c>
      <c r="DE51" s="2" t="s">
        <v>88</v>
      </c>
      <c r="DF51" s="3" t="s">
        <v>86</v>
      </c>
      <c r="DG51" s="62">
        <v>42789</v>
      </c>
      <c r="EC51" s="60"/>
      <c r="ED51" s="60"/>
      <c r="EE51" s="60"/>
      <c r="EF51" s="60"/>
    </row>
    <row r="52" spans="2:140" ht="12.75" hidden="1" customHeight="1">
      <c r="B52" s="1" t="s">
        <v>185</v>
      </c>
      <c r="C52" s="22" t="s">
        <v>186</v>
      </c>
      <c r="D52" s="22" t="s">
        <v>187</v>
      </c>
      <c r="E52" s="2" t="str">
        <f>VLOOKUP($C52,[1]Detail!$C:$AK,6,0)</f>
        <v>PMT1</v>
      </c>
      <c r="F52" s="2" t="str">
        <f>VLOOKUP($C52,[1]Detail!$C:$AK,7,0)</f>
        <v>TH</v>
      </c>
      <c r="G52" s="2" t="str">
        <f>VLOOKUP($C52,[1]Detail!$C:$AK,5,0)</f>
        <v>D</v>
      </c>
      <c r="J52" s="22" t="s">
        <v>126</v>
      </c>
      <c r="K52" s="23" t="s">
        <v>190</v>
      </c>
      <c r="L52" s="22" t="s">
        <v>100</v>
      </c>
      <c r="M52" s="51" t="str">
        <f t="shared" si="0"/>
        <v>JD8B-F278B51-AA</v>
      </c>
      <c r="O52" s="22">
        <v>1</v>
      </c>
      <c r="P52" s="22">
        <v>1</v>
      </c>
      <c r="Q52" s="22">
        <v>1</v>
      </c>
      <c r="R52" s="22">
        <v>1</v>
      </c>
      <c r="S52" s="22">
        <v>1</v>
      </c>
      <c r="T52" s="22">
        <v>1</v>
      </c>
      <c r="U52" s="22">
        <v>1</v>
      </c>
      <c r="V52" s="22">
        <v>1</v>
      </c>
      <c r="W52" s="64">
        <f t="shared" si="47"/>
        <v>1</v>
      </c>
      <c r="Y52" s="60">
        <v>-34.130000000000003</v>
      </c>
      <c r="Z52" s="60">
        <v>-0.8</v>
      </c>
      <c r="AA52" s="60">
        <v>-1.33</v>
      </c>
      <c r="AB52" s="60">
        <v>0</v>
      </c>
      <c r="AC52" s="60">
        <v>0</v>
      </c>
      <c r="AD52" s="8">
        <f t="shared" si="38"/>
        <v>-36.26</v>
      </c>
      <c r="AE52" s="2" t="s">
        <v>84</v>
      </c>
      <c r="AG52" s="61">
        <v>-375000</v>
      </c>
      <c r="AH52" s="61">
        <v>-375000</v>
      </c>
      <c r="AI52" s="6"/>
      <c r="AJ52" s="61">
        <v>0</v>
      </c>
      <c r="AK52" s="61">
        <v>0</v>
      </c>
      <c r="AL52" s="61">
        <v>0</v>
      </c>
      <c r="AM52" s="22"/>
      <c r="AO52" s="22" t="s">
        <v>128</v>
      </c>
      <c r="AP52" s="23" t="s">
        <v>190</v>
      </c>
      <c r="AQ52" s="22" t="s">
        <v>100</v>
      </c>
      <c r="AR52" s="51" t="str">
        <f t="shared" si="14"/>
        <v>ED8B-F278B51-AA</v>
      </c>
      <c r="AS52" s="3"/>
      <c r="AT52" s="22">
        <v>1</v>
      </c>
      <c r="AU52" s="22">
        <v>1</v>
      </c>
      <c r="AV52" s="22">
        <v>1</v>
      </c>
      <c r="AW52" s="22">
        <v>1</v>
      </c>
      <c r="AX52" s="22">
        <v>1</v>
      </c>
      <c r="AY52" s="22">
        <v>1</v>
      </c>
      <c r="AZ52" s="22">
        <v>1</v>
      </c>
      <c r="BA52" s="22">
        <v>1</v>
      </c>
      <c r="BB52" s="2">
        <f t="shared" si="48"/>
        <v>1</v>
      </c>
      <c r="BD52" s="60">
        <v>-35.71</v>
      </c>
      <c r="BE52" s="60">
        <v>-0.8</v>
      </c>
      <c r="BF52" s="60">
        <v>-1.33</v>
      </c>
      <c r="BG52" s="60">
        <v>0</v>
      </c>
      <c r="BH52" s="60">
        <v>0</v>
      </c>
      <c r="BI52" s="8">
        <f t="shared" si="15"/>
        <v>-37.839999999999996</v>
      </c>
      <c r="BJ52" s="2" t="s">
        <v>84</v>
      </c>
      <c r="BL52" s="61">
        <v>0</v>
      </c>
      <c r="BM52" s="61">
        <v>0</v>
      </c>
      <c r="BO52" s="61">
        <v>0</v>
      </c>
      <c r="BP52" s="61">
        <v>0</v>
      </c>
      <c r="BQ52" s="61">
        <v>0</v>
      </c>
      <c r="BS52" s="61">
        <f t="shared" si="44"/>
        <v>1.5799999999999983</v>
      </c>
      <c r="BT52" s="61">
        <f t="shared" si="45"/>
        <v>0</v>
      </c>
      <c r="BU52" s="61">
        <f t="shared" si="46"/>
        <v>0</v>
      </c>
      <c r="BV52" s="61">
        <f t="shared" si="46"/>
        <v>0</v>
      </c>
      <c r="BW52" s="61">
        <f t="shared" si="46"/>
        <v>0</v>
      </c>
      <c r="BX52" s="61">
        <f t="shared" si="46"/>
        <v>1.5799999999999983</v>
      </c>
      <c r="BY52" s="61" t="s">
        <v>84</v>
      </c>
      <c r="CA52" s="61">
        <f t="shared" si="39"/>
        <v>0.23770121859485455</v>
      </c>
      <c r="CB52" s="61">
        <f t="shared" si="39"/>
        <v>0.23770121859485455</v>
      </c>
      <c r="CC52" s="61">
        <f t="shared" si="39"/>
        <v>0.23770121859485455</v>
      </c>
      <c r="CD52" s="61">
        <f t="shared" si="39"/>
        <v>0.23770121859485455</v>
      </c>
      <c r="CE52" s="61">
        <f t="shared" si="39"/>
        <v>0.23770121859485455</v>
      </c>
      <c r="CF52" s="61">
        <f t="shared" si="39"/>
        <v>0.23770121859485455</v>
      </c>
      <c r="CG52" s="61">
        <f t="shared" si="39"/>
        <v>0.23770121859485455</v>
      </c>
      <c r="CH52" s="61">
        <f t="shared" si="36"/>
        <v>0.23770121859485455</v>
      </c>
      <c r="CI52" s="61">
        <f t="shared" si="7"/>
        <v>0.23770121859485457</v>
      </c>
      <c r="CJ52" s="61"/>
      <c r="CK52" s="61">
        <f t="shared" si="40"/>
        <v>0.23770121859485455</v>
      </c>
      <c r="CL52" s="61">
        <f t="shared" si="40"/>
        <v>0.23770121859485455</v>
      </c>
      <c r="CM52" s="61">
        <f t="shared" si="40"/>
        <v>0.23770121859485455</v>
      </c>
      <c r="CN52" s="61">
        <f t="shared" si="40"/>
        <v>0.23770121859485455</v>
      </c>
      <c r="CO52" s="61">
        <f t="shared" si="40"/>
        <v>0.23770121859485455</v>
      </c>
      <c r="CP52" s="61">
        <f t="shared" si="40"/>
        <v>0.23770121859485455</v>
      </c>
      <c r="CQ52" s="61">
        <f t="shared" si="40"/>
        <v>0.23770121859485455</v>
      </c>
      <c r="CR52" s="61">
        <f t="shared" si="37"/>
        <v>0.23770121859485455</v>
      </c>
      <c r="CS52" s="61">
        <f t="shared" si="9"/>
        <v>0.23770121859485457</v>
      </c>
      <c r="CT52" s="61">
        <f t="shared" si="10"/>
        <v>1.5799999999999985</v>
      </c>
      <c r="CV52" s="61">
        <f t="shared" si="11"/>
        <v>-375000</v>
      </c>
      <c r="CW52" s="61">
        <f t="shared" si="12"/>
        <v>-375000</v>
      </c>
      <c r="CX52" s="61"/>
      <c r="CY52" s="61">
        <f t="shared" si="13"/>
        <v>0</v>
      </c>
      <c r="CZ52" s="61">
        <f t="shared" si="13"/>
        <v>0</v>
      </c>
      <c r="DA52" s="61">
        <f t="shared" si="13"/>
        <v>0</v>
      </c>
      <c r="DB52" s="2" t="s">
        <v>85</v>
      </c>
      <c r="DC52" s="2" t="s">
        <v>86</v>
      </c>
      <c r="DD52" s="2" t="s">
        <v>87</v>
      </c>
      <c r="DE52" s="2" t="s">
        <v>88</v>
      </c>
      <c r="DF52" s="3" t="s">
        <v>86</v>
      </c>
      <c r="DG52" s="62">
        <v>42789</v>
      </c>
      <c r="EC52" s="60"/>
      <c r="ED52" s="60"/>
      <c r="EE52" s="60"/>
      <c r="EF52" s="60"/>
    </row>
    <row r="53" spans="2:140" ht="12.75" hidden="1" customHeight="1">
      <c r="B53" s="1" t="s">
        <v>191</v>
      </c>
      <c r="C53" s="22" t="s">
        <v>186</v>
      </c>
      <c r="D53" s="22" t="s">
        <v>187</v>
      </c>
      <c r="E53" s="2" t="str">
        <f>VLOOKUP($C53,[1]Detail!$C:$AK,6,0)</f>
        <v>PMT1</v>
      </c>
      <c r="F53" s="2" t="str">
        <f>VLOOKUP($C53,[1]Detail!$C:$AK,7,0)</f>
        <v>TH</v>
      </c>
      <c r="G53" s="2" t="str">
        <f>VLOOKUP($C53,[1]Detail!$C:$AK,5,0)</f>
        <v>D</v>
      </c>
      <c r="J53" s="22" t="s">
        <v>126</v>
      </c>
      <c r="K53" s="23" t="s">
        <v>188</v>
      </c>
      <c r="L53" s="22" t="s">
        <v>132</v>
      </c>
      <c r="M53" s="51" t="str">
        <f t="shared" si="0"/>
        <v>JD8B-F278B50-AB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64">
        <f t="shared" si="47"/>
        <v>1</v>
      </c>
      <c r="Y53" s="60">
        <f>-29.65-0.5</f>
        <v>-30.15</v>
      </c>
      <c r="Z53" s="60">
        <v>-0.8</v>
      </c>
      <c r="AA53" s="60">
        <v>-1.33</v>
      </c>
      <c r="AB53" s="60">
        <v>0</v>
      </c>
      <c r="AC53" s="60">
        <v>0</v>
      </c>
      <c r="AD53" s="8">
        <f t="shared" si="38"/>
        <v>-32.28</v>
      </c>
      <c r="AE53" s="2" t="s">
        <v>84</v>
      </c>
      <c r="AG53" s="61">
        <f>-375000-315000</f>
        <v>-690000</v>
      </c>
      <c r="AH53" s="61">
        <f>-375000-315000</f>
        <v>-690000</v>
      </c>
      <c r="AI53" s="6"/>
      <c r="AJ53" s="61">
        <v>0</v>
      </c>
      <c r="AK53" s="61">
        <v>0</v>
      </c>
      <c r="AL53" s="61">
        <v>0</v>
      </c>
      <c r="AM53" s="22" t="s">
        <v>189</v>
      </c>
      <c r="AO53" s="22" t="s">
        <v>126</v>
      </c>
      <c r="AP53" s="23" t="s">
        <v>188</v>
      </c>
      <c r="AQ53" s="22" t="s">
        <v>100</v>
      </c>
      <c r="AR53" s="51" t="str">
        <f t="shared" si="14"/>
        <v>JD8B-F278B50-AA</v>
      </c>
      <c r="AS53" s="3"/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64">
        <f>SUMPRODUCT(AT53:BA53,$O$6:$V$6)</f>
        <v>1</v>
      </c>
      <c r="BD53" s="60">
        <v>-29.65</v>
      </c>
      <c r="BE53" s="60">
        <v>-0.8</v>
      </c>
      <c r="BF53" s="60">
        <v>-1.33</v>
      </c>
      <c r="BG53" s="60">
        <v>0</v>
      </c>
      <c r="BH53" s="60">
        <v>0</v>
      </c>
      <c r="BI53" s="8">
        <f t="shared" si="15"/>
        <v>-31.78</v>
      </c>
      <c r="BJ53" s="2" t="s">
        <v>84</v>
      </c>
      <c r="BL53" s="61">
        <v>-375000</v>
      </c>
      <c r="BM53" s="61">
        <v>-375000</v>
      </c>
      <c r="BO53" s="61">
        <v>0</v>
      </c>
      <c r="BP53" s="61">
        <v>0</v>
      </c>
      <c r="BQ53" s="61">
        <v>0</v>
      </c>
      <c r="BS53" s="61">
        <f t="shared" si="44"/>
        <v>-0.5</v>
      </c>
      <c r="BT53" s="61">
        <f t="shared" si="45"/>
        <v>0</v>
      </c>
      <c r="BU53" s="61">
        <f t="shared" si="46"/>
        <v>0</v>
      </c>
      <c r="BV53" s="61">
        <f t="shared" si="46"/>
        <v>0</v>
      </c>
      <c r="BW53" s="61">
        <f t="shared" si="46"/>
        <v>0</v>
      </c>
      <c r="BX53" s="61">
        <f t="shared" si="46"/>
        <v>-0.5</v>
      </c>
      <c r="BY53" s="61" t="s">
        <v>84</v>
      </c>
      <c r="CA53" s="61">
        <f t="shared" si="39"/>
        <v>-7.5221904618624935E-2</v>
      </c>
      <c r="CB53" s="61">
        <f t="shared" si="39"/>
        <v>-7.5221904618624935E-2</v>
      </c>
      <c r="CC53" s="61">
        <f t="shared" si="39"/>
        <v>-7.5221904618624935E-2</v>
      </c>
      <c r="CD53" s="61">
        <f t="shared" si="39"/>
        <v>-7.5221904618624935E-2</v>
      </c>
      <c r="CE53" s="61">
        <f t="shared" si="39"/>
        <v>-7.5221904618624935E-2</v>
      </c>
      <c r="CF53" s="61">
        <f t="shared" si="39"/>
        <v>-7.5221904618624935E-2</v>
      </c>
      <c r="CG53" s="61">
        <f t="shared" si="39"/>
        <v>-7.5221904618624935E-2</v>
      </c>
      <c r="CH53" s="61">
        <f t="shared" si="36"/>
        <v>-7.5221904618624935E-2</v>
      </c>
      <c r="CI53" s="61">
        <f t="shared" si="7"/>
        <v>-7.5221904618624949E-2</v>
      </c>
      <c r="CJ53" s="61"/>
      <c r="CK53" s="61">
        <f t="shared" si="40"/>
        <v>-7.5221904618624935E-2</v>
      </c>
      <c r="CL53" s="61">
        <f t="shared" si="40"/>
        <v>-7.5221904618624935E-2</v>
      </c>
      <c r="CM53" s="61">
        <f t="shared" si="40"/>
        <v>-7.5221904618624935E-2</v>
      </c>
      <c r="CN53" s="61">
        <f t="shared" si="40"/>
        <v>-7.5221904618624935E-2</v>
      </c>
      <c r="CO53" s="61">
        <f t="shared" si="40"/>
        <v>-7.5221904618624935E-2</v>
      </c>
      <c r="CP53" s="61">
        <f t="shared" si="40"/>
        <v>-7.5221904618624935E-2</v>
      </c>
      <c r="CQ53" s="61">
        <f t="shared" si="40"/>
        <v>-7.5221904618624935E-2</v>
      </c>
      <c r="CR53" s="61">
        <f t="shared" si="37"/>
        <v>-7.5221904618624935E-2</v>
      </c>
      <c r="CS53" s="61">
        <f t="shared" si="9"/>
        <v>-7.5221904618624949E-2</v>
      </c>
      <c r="CT53" s="63">
        <f t="shared" si="10"/>
        <v>-0.5</v>
      </c>
      <c r="CV53" s="61">
        <f t="shared" si="11"/>
        <v>-315000</v>
      </c>
      <c r="CW53" s="61">
        <f t="shared" ref="CW53:CW54" si="52">SUM(AH53)-SUM(BM53)</f>
        <v>-315000</v>
      </c>
      <c r="CX53" s="61"/>
      <c r="CY53" s="61">
        <f t="shared" ref="CY53:CY54" si="53">SUM(AJ53)-SUM(BO53)</f>
        <v>0</v>
      </c>
      <c r="CZ53" s="61">
        <f t="shared" si="13"/>
        <v>0</v>
      </c>
      <c r="DA53" s="61">
        <f t="shared" si="13"/>
        <v>0</v>
      </c>
      <c r="DB53" s="2" t="s">
        <v>86</v>
      </c>
      <c r="DC53" s="2" t="s">
        <v>85</v>
      </c>
      <c r="DD53" s="2" t="s">
        <v>87</v>
      </c>
      <c r="DE53" s="2" t="s">
        <v>106</v>
      </c>
      <c r="DF53" s="3" t="s">
        <v>86</v>
      </c>
      <c r="DG53" s="62">
        <v>43158</v>
      </c>
      <c r="EC53" s="60" t="str">
        <f>VLOOKUP($M53,[1]Detail!$M:$BO,1,0)</f>
        <v>JD8B-F278B50-AB</v>
      </c>
      <c r="ED53" s="60">
        <f>VLOOKUP($M53,[1]Detail!$M:$BO,22,0)</f>
        <v>-32.28</v>
      </c>
      <c r="EE53" s="60">
        <f>VLOOKUP($M53,[1]Detail!$M:$BO,42,0)</f>
        <v>-690000</v>
      </c>
      <c r="EF53" s="60">
        <f>VLOOKUP($M53,[1]Detail!$M:$BO,45,0)</f>
        <v>0</v>
      </c>
      <c r="EH53" s="60">
        <f>ED53-AD53</f>
        <v>0</v>
      </c>
      <c r="EI53" s="60">
        <f>EE53-AG53</f>
        <v>0</v>
      </c>
      <c r="EJ53" s="60">
        <f t="shared" ref="EJ53:EJ54" si="54">EF53-AJ53</f>
        <v>0</v>
      </c>
    </row>
    <row r="54" spans="2:140" ht="12.75" hidden="1" customHeight="1">
      <c r="B54" s="1" t="s">
        <v>191</v>
      </c>
      <c r="C54" s="22" t="s">
        <v>186</v>
      </c>
      <c r="D54" s="22" t="s">
        <v>187</v>
      </c>
      <c r="E54" s="2" t="str">
        <f>VLOOKUP($C54,[1]Detail!$C:$AK,6,0)</f>
        <v>PMT1</v>
      </c>
      <c r="F54" s="2" t="str">
        <f>VLOOKUP($C54,[1]Detail!$C:$AK,7,0)</f>
        <v>TH</v>
      </c>
      <c r="G54" s="2" t="str">
        <f>VLOOKUP($C54,[1]Detail!$C:$AK,5,0)</f>
        <v>D</v>
      </c>
      <c r="J54" s="22" t="s">
        <v>126</v>
      </c>
      <c r="K54" s="23" t="s">
        <v>190</v>
      </c>
      <c r="L54" s="22" t="s">
        <v>132</v>
      </c>
      <c r="M54" s="51" t="str">
        <f t="shared" si="0"/>
        <v>JD8B-F278B51-AB</v>
      </c>
      <c r="O54" s="22">
        <v>1</v>
      </c>
      <c r="P54" s="22">
        <v>1</v>
      </c>
      <c r="Q54" s="22">
        <v>1</v>
      </c>
      <c r="R54" s="22">
        <v>1</v>
      </c>
      <c r="S54" s="22">
        <v>1</v>
      </c>
      <c r="T54" s="22">
        <v>1</v>
      </c>
      <c r="U54" s="22">
        <v>1</v>
      </c>
      <c r="V54" s="22">
        <v>1</v>
      </c>
      <c r="W54" s="64">
        <f t="shared" si="47"/>
        <v>1</v>
      </c>
      <c r="Y54" s="60">
        <f>-34.13-0.5</f>
        <v>-34.630000000000003</v>
      </c>
      <c r="Z54" s="60">
        <v>-0.8</v>
      </c>
      <c r="AA54" s="60">
        <v>-1.33</v>
      </c>
      <c r="AB54" s="60">
        <v>0</v>
      </c>
      <c r="AC54" s="60">
        <v>0</v>
      </c>
      <c r="AD54" s="8">
        <f t="shared" si="38"/>
        <v>-36.76</v>
      </c>
      <c r="AE54" s="2" t="s">
        <v>84</v>
      </c>
      <c r="AG54" s="61">
        <f>-375000-315000</f>
        <v>-690000</v>
      </c>
      <c r="AH54" s="61">
        <f>-375000-315000</f>
        <v>-690000</v>
      </c>
      <c r="AI54" s="6"/>
      <c r="AJ54" s="61">
        <v>0</v>
      </c>
      <c r="AK54" s="61">
        <v>0</v>
      </c>
      <c r="AL54" s="61">
        <v>0</v>
      </c>
      <c r="AM54" s="22"/>
      <c r="AO54" s="22" t="s">
        <v>126</v>
      </c>
      <c r="AP54" s="23" t="s">
        <v>190</v>
      </c>
      <c r="AQ54" s="22" t="s">
        <v>100</v>
      </c>
      <c r="AR54" s="51" t="str">
        <f t="shared" si="14"/>
        <v>JD8B-F278B51-AA</v>
      </c>
      <c r="AS54" s="3"/>
      <c r="AT54" s="22">
        <v>1</v>
      </c>
      <c r="AU54" s="22">
        <v>1</v>
      </c>
      <c r="AV54" s="22">
        <v>1</v>
      </c>
      <c r="AW54" s="22">
        <v>1</v>
      </c>
      <c r="AX54" s="22">
        <v>1</v>
      </c>
      <c r="AY54" s="22">
        <v>1</v>
      </c>
      <c r="AZ54" s="22">
        <v>1</v>
      </c>
      <c r="BA54" s="22">
        <v>1</v>
      </c>
      <c r="BB54" s="64">
        <f>SUMPRODUCT(AT54:BA54,$O$6:$V$6)</f>
        <v>1</v>
      </c>
      <c r="BD54" s="60">
        <v>-34.130000000000003</v>
      </c>
      <c r="BE54" s="60">
        <v>-0.8</v>
      </c>
      <c r="BF54" s="60">
        <v>-1.33</v>
      </c>
      <c r="BG54" s="60">
        <v>0</v>
      </c>
      <c r="BH54" s="60">
        <v>0</v>
      </c>
      <c r="BI54" s="8">
        <f t="shared" si="15"/>
        <v>-36.26</v>
      </c>
      <c r="BJ54" s="2" t="s">
        <v>84</v>
      </c>
      <c r="BL54" s="61">
        <v>-375000</v>
      </c>
      <c r="BM54" s="61">
        <v>-375000</v>
      </c>
      <c r="BO54" s="61">
        <v>0</v>
      </c>
      <c r="BP54" s="61">
        <v>0</v>
      </c>
      <c r="BQ54" s="61">
        <v>0</v>
      </c>
      <c r="BS54" s="61">
        <f t="shared" si="44"/>
        <v>-0.5</v>
      </c>
      <c r="BT54" s="61">
        <f t="shared" si="45"/>
        <v>0</v>
      </c>
      <c r="BU54" s="61">
        <f t="shared" si="46"/>
        <v>0</v>
      </c>
      <c r="BV54" s="61">
        <f t="shared" si="46"/>
        <v>0</v>
      </c>
      <c r="BW54" s="61">
        <f t="shared" si="46"/>
        <v>0</v>
      </c>
      <c r="BX54" s="61">
        <f t="shared" si="46"/>
        <v>-0.5</v>
      </c>
      <c r="BY54" s="61" t="s">
        <v>84</v>
      </c>
      <c r="CA54" s="61">
        <f t="shared" si="39"/>
        <v>-7.5221904618624935E-2</v>
      </c>
      <c r="CB54" s="61">
        <f t="shared" si="39"/>
        <v>-7.5221904618624935E-2</v>
      </c>
      <c r="CC54" s="61">
        <f t="shared" si="39"/>
        <v>-7.5221904618624935E-2</v>
      </c>
      <c r="CD54" s="61">
        <f t="shared" si="39"/>
        <v>-7.5221904618624935E-2</v>
      </c>
      <c r="CE54" s="61">
        <f t="shared" si="39"/>
        <v>-7.5221904618624935E-2</v>
      </c>
      <c r="CF54" s="61">
        <f t="shared" si="39"/>
        <v>-7.5221904618624935E-2</v>
      </c>
      <c r="CG54" s="61">
        <f t="shared" si="39"/>
        <v>-7.5221904618624935E-2</v>
      </c>
      <c r="CH54" s="61">
        <f t="shared" si="36"/>
        <v>-7.5221904618624935E-2</v>
      </c>
      <c r="CI54" s="61">
        <f t="shared" si="7"/>
        <v>-7.5221904618624949E-2</v>
      </c>
      <c r="CJ54" s="61"/>
      <c r="CK54" s="61">
        <f t="shared" si="40"/>
        <v>-7.5221904618624935E-2</v>
      </c>
      <c r="CL54" s="61">
        <f t="shared" si="40"/>
        <v>-7.5221904618624935E-2</v>
      </c>
      <c r="CM54" s="61">
        <f t="shared" si="40"/>
        <v>-7.5221904618624935E-2</v>
      </c>
      <c r="CN54" s="61">
        <f t="shared" si="40"/>
        <v>-7.5221904618624935E-2</v>
      </c>
      <c r="CO54" s="61">
        <f t="shared" si="40"/>
        <v>-7.5221904618624935E-2</v>
      </c>
      <c r="CP54" s="61">
        <f t="shared" si="40"/>
        <v>-7.5221904618624935E-2</v>
      </c>
      <c r="CQ54" s="61">
        <f t="shared" si="40"/>
        <v>-7.5221904618624935E-2</v>
      </c>
      <c r="CR54" s="61">
        <f t="shared" si="37"/>
        <v>-7.5221904618624935E-2</v>
      </c>
      <c r="CS54" s="61">
        <f t="shared" si="9"/>
        <v>-7.5221904618624949E-2</v>
      </c>
      <c r="CT54" s="63">
        <f t="shared" si="10"/>
        <v>-0.5</v>
      </c>
      <c r="CV54" s="61">
        <f t="shared" si="11"/>
        <v>-315000</v>
      </c>
      <c r="CW54" s="61">
        <f t="shared" si="52"/>
        <v>-315000</v>
      </c>
      <c r="CX54" s="61"/>
      <c r="CY54" s="61">
        <f t="shared" si="53"/>
        <v>0</v>
      </c>
      <c r="CZ54" s="61">
        <f t="shared" si="13"/>
        <v>0</v>
      </c>
      <c r="DA54" s="61">
        <f t="shared" si="13"/>
        <v>0</v>
      </c>
      <c r="DB54" s="2" t="s">
        <v>86</v>
      </c>
      <c r="DC54" s="2" t="s">
        <v>85</v>
      </c>
      <c r="DD54" s="2" t="s">
        <v>87</v>
      </c>
      <c r="DE54" s="2" t="s">
        <v>106</v>
      </c>
      <c r="DF54" s="3" t="s">
        <v>86</v>
      </c>
      <c r="DG54" s="62">
        <v>43158</v>
      </c>
      <c r="EC54" s="60" t="str">
        <f>VLOOKUP($M54,[1]Detail!$M:$BO,1,0)</f>
        <v>JD8B-F278B51-AB</v>
      </c>
      <c r="ED54" s="60">
        <f>VLOOKUP($M54,[1]Detail!$M:$BO,22,0)</f>
        <v>-36.76</v>
      </c>
      <c r="EE54" s="60">
        <f>VLOOKUP($M54,[1]Detail!$M:$BO,42,0)</f>
        <v>-690000</v>
      </c>
      <c r="EF54" s="60">
        <f>VLOOKUP($M54,[1]Detail!$M:$BO,45,0)</f>
        <v>0</v>
      </c>
      <c r="EH54" s="60">
        <f>ED54-AD54</f>
        <v>0</v>
      </c>
      <c r="EI54" s="60">
        <f>EE54-AG54</f>
        <v>0</v>
      </c>
      <c r="EJ54" s="60">
        <f t="shared" si="54"/>
        <v>0</v>
      </c>
    </row>
    <row r="55" spans="2:140" ht="12.75" hidden="1" customHeight="1">
      <c r="B55" s="1" t="s">
        <v>192</v>
      </c>
      <c r="C55" s="22" t="s">
        <v>193</v>
      </c>
      <c r="D55" s="22" t="s">
        <v>194</v>
      </c>
      <c r="E55" s="2" t="str">
        <f>VLOOKUP($C55,[1]Detail!$C:$AK,6,0)</f>
        <v>PMT2</v>
      </c>
      <c r="F55" s="2" t="str">
        <f>VLOOKUP($C55,[1]Detail!$C:$AK,7,0)</f>
        <v>TH</v>
      </c>
      <c r="G55" s="2" t="str">
        <f>VLOOKUP($C55,[1]Detail!$C:$AK,5,0)</f>
        <v>D</v>
      </c>
      <c r="J55" s="22" t="s">
        <v>126</v>
      </c>
      <c r="K55" s="23" t="s">
        <v>195</v>
      </c>
      <c r="L55" s="22" t="s">
        <v>196</v>
      </c>
      <c r="M55" s="51" t="str">
        <f t="shared" si="0"/>
        <v>JD8B-F51918-AAW</v>
      </c>
      <c r="O55" s="22">
        <v>1</v>
      </c>
      <c r="P55" s="22">
        <v>1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64">
        <f t="shared" si="47"/>
        <v>0.30000000000000004</v>
      </c>
      <c r="Y55" s="60">
        <v>-250.01</v>
      </c>
      <c r="Z55" s="60">
        <v>-3</v>
      </c>
      <c r="AA55" s="60">
        <v>-4</v>
      </c>
      <c r="AB55" s="60">
        <v>-0.08</v>
      </c>
      <c r="AC55" s="60">
        <v>0</v>
      </c>
      <c r="AD55" s="8">
        <f t="shared" si="38"/>
        <v>-257.08999999999997</v>
      </c>
      <c r="AE55" s="2" t="s">
        <v>84</v>
      </c>
      <c r="AG55" s="61">
        <v>-120000</v>
      </c>
      <c r="AH55" s="61">
        <v>-120000</v>
      </c>
      <c r="AI55" s="6"/>
      <c r="AJ55" s="61">
        <v>0</v>
      </c>
      <c r="AK55" s="61">
        <v>0</v>
      </c>
      <c r="AL55" s="61">
        <v>0</v>
      </c>
      <c r="AM55" s="22"/>
      <c r="AO55" s="22" t="s">
        <v>128</v>
      </c>
      <c r="AP55" s="23" t="s">
        <v>195</v>
      </c>
      <c r="AQ55" s="22" t="s">
        <v>197</v>
      </c>
      <c r="AR55" s="51" t="str">
        <f t="shared" si="14"/>
        <v>ED8B-F51918-AJW</v>
      </c>
      <c r="AS55" s="3"/>
      <c r="AT55" s="22">
        <v>1</v>
      </c>
      <c r="AU55" s="22">
        <v>1</v>
      </c>
      <c r="AV55" s="22">
        <v>0</v>
      </c>
      <c r="AW55" s="22">
        <v>0</v>
      </c>
      <c r="AX55" s="22">
        <v>0</v>
      </c>
      <c r="AY55" s="22">
        <v>0</v>
      </c>
      <c r="AZ55" s="22">
        <v>0</v>
      </c>
      <c r="BA55" s="22">
        <v>0</v>
      </c>
      <c r="BB55" s="2">
        <f t="shared" si="48"/>
        <v>0.30000000000000004</v>
      </c>
      <c r="BD55" s="60">
        <v>-246.10999999999999</v>
      </c>
      <c r="BE55" s="60">
        <v>-3</v>
      </c>
      <c r="BF55" s="60">
        <v>-4</v>
      </c>
      <c r="BG55" s="60">
        <v>-0.08</v>
      </c>
      <c r="BH55" s="60">
        <v>0</v>
      </c>
      <c r="BI55" s="8">
        <f t="shared" si="15"/>
        <v>-253.19</v>
      </c>
      <c r="BJ55" s="2" t="s">
        <v>84</v>
      </c>
      <c r="BL55" s="61">
        <v>0</v>
      </c>
      <c r="BM55" s="61">
        <v>0</v>
      </c>
      <c r="BO55" s="61">
        <v>0</v>
      </c>
      <c r="BP55" s="61">
        <v>0</v>
      </c>
      <c r="BQ55" s="61">
        <v>0</v>
      </c>
      <c r="BS55" s="61">
        <f t="shared" si="44"/>
        <v>-3.9000000000000057</v>
      </c>
      <c r="BT55" s="61">
        <f t="shared" si="45"/>
        <v>0</v>
      </c>
      <c r="BU55" s="61">
        <f t="shared" si="46"/>
        <v>0</v>
      </c>
      <c r="BV55" s="61">
        <f t="shared" si="46"/>
        <v>0</v>
      </c>
      <c r="BW55" s="61">
        <f t="shared" si="46"/>
        <v>0</v>
      </c>
      <c r="BX55" s="61">
        <f t="shared" si="46"/>
        <v>-3.8999999999999773</v>
      </c>
      <c r="BY55" s="61" t="s">
        <v>84</v>
      </c>
      <c r="CA55" s="61">
        <f t="shared" si="39"/>
        <v>-0.58673085602527542</v>
      </c>
      <c r="CB55" s="61">
        <f t="shared" si="39"/>
        <v>-0.58673085602527542</v>
      </c>
      <c r="CC55" s="61">
        <f t="shared" si="39"/>
        <v>0</v>
      </c>
      <c r="CD55" s="61">
        <f t="shared" si="39"/>
        <v>0</v>
      </c>
      <c r="CE55" s="61">
        <f t="shared" si="39"/>
        <v>0</v>
      </c>
      <c r="CF55" s="61">
        <f t="shared" si="39"/>
        <v>0</v>
      </c>
      <c r="CG55" s="61">
        <f t="shared" si="39"/>
        <v>0</v>
      </c>
      <c r="CH55" s="61">
        <f t="shared" si="36"/>
        <v>0</v>
      </c>
      <c r="CI55" s="61">
        <f t="shared" si="7"/>
        <v>-0.17601925680758262</v>
      </c>
      <c r="CJ55" s="61"/>
      <c r="CK55" s="61">
        <f t="shared" si="40"/>
        <v>-0.58673085602527109</v>
      </c>
      <c r="CL55" s="61">
        <f t="shared" si="40"/>
        <v>-0.58673085602527109</v>
      </c>
      <c r="CM55" s="61">
        <f t="shared" si="40"/>
        <v>0</v>
      </c>
      <c r="CN55" s="61">
        <f t="shared" si="40"/>
        <v>0</v>
      </c>
      <c r="CO55" s="61">
        <f t="shared" si="40"/>
        <v>0</v>
      </c>
      <c r="CP55" s="61">
        <f t="shared" si="40"/>
        <v>0</v>
      </c>
      <c r="CQ55" s="61">
        <f t="shared" si="40"/>
        <v>0</v>
      </c>
      <c r="CR55" s="61">
        <f t="shared" si="37"/>
        <v>0</v>
      </c>
      <c r="CS55" s="61">
        <f t="shared" si="9"/>
        <v>-0.17601925680758135</v>
      </c>
      <c r="CT55" s="61">
        <f t="shared" si="10"/>
        <v>-1.1699999999999933</v>
      </c>
      <c r="CV55" s="61">
        <f t="shared" si="11"/>
        <v>-120000</v>
      </c>
      <c r="CW55" s="61">
        <f t="shared" si="12"/>
        <v>-120000</v>
      </c>
      <c r="CX55" s="61"/>
      <c r="CY55" s="61">
        <f t="shared" si="13"/>
        <v>0</v>
      </c>
      <c r="CZ55" s="61">
        <f t="shared" si="13"/>
        <v>0</v>
      </c>
      <c r="DA55" s="61">
        <f t="shared" si="13"/>
        <v>0</v>
      </c>
      <c r="DB55" s="2" t="s">
        <v>85</v>
      </c>
      <c r="DC55" s="2" t="s">
        <v>86</v>
      </c>
      <c r="DD55" s="2" t="s">
        <v>87</v>
      </c>
      <c r="DE55" s="2" t="s">
        <v>88</v>
      </c>
      <c r="DF55" s="3" t="s">
        <v>86</v>
      </c>
      <c r="DG55" s="62">
        <v>42789</v>
      </c>
      <c r="EC55" s="60"/>
      <c r="ED55" s="60"/>
      <c r="EE55" s="60"/>
      <c r="EF55" s="60"/>
    </row>
    <row r="56" spans="2:140" ht="12.75" hidden="1" customHeight="1">
      <c r="B56" s="1" t="s">
        <v>192</v>
      </c>
      <c r="C56" s="22" t="s">
        <v>193</v>
      </c>
      <c r="D56" s="22" t="s">
        <v>194</v>
      </c>
      <c r="E56" s="2" t="str">
        <f>VLOOKUP($C56,[1]Detail!$C:$AK,6,0)</f>
        <v>PMT2</v>
      </c>
      <c r="F56" s="2" t="str">
        <f>VLOOKUP($C56,[1]Detail!$C:$AK,7,0)</f>
        <v>TH</v>
      </c>
      <c r="G56" s="2" t="str">
        <f>VLOOKUP($C56,[1]Detail!$C:$AK,5,0)</f>
        <v>D</v>
      </c>
      <c r="J56" s="22" t="s">
        <v>126</v>
      </c>
      <c r="K56" s="23" t="s">
        <v>195</v>
      </c>
      <c r="L56" s="22" t="s">
        <v>198</v>
      </c>
      <c r="M56" s="51" t="str">
        <f t="shared" si="0"/>
        <v>JD8B-F51918-BAW</v>
      </c>
      <c r="O56" s="22">
        <v>0</v>
      </c>
      <c r="P56" s="22">
        <v>0</v>
      </c>
      <c r="Q56" s="22">
        <v>1</v>
      </c>
      <c r="R56" s="22">
        <v>1</v>
      </c>
      <c r="S56" s="22">
        <v>0</v>
      </c>
      <c r="T56" s="22">
        <v>0</v>
      </c>
      <c r="U56" s="22">
        <v>0</v>
      </c>
      <c r="V56" s="22">
        <v>0</v>
      </c>
      <c r="W56" s="64">
        <f t="shared" si="47"/>
        <v>0.37</v>
      </c>
      <c r="Y56" s="60">
        <v>-324.06</v>
      </c>
      <c r="Z56" s="60">
        <v>-3</v>
      </c>
      <c r="AA56" s="60">
        <v>-4</v>
      </c>
      <c r="AB56" s="60">
        <v>-0.08</v>
      </c>
      <c r="AC56" s="60">
        <v>0</v>
      </c>
      <c r="AD56" s="8">
        <f t="shared" si="38"/>
        <v>-331.14</v>
      </c>
      <c r="AE56" s="2" t="s">
        <v>84</v>
      </c>
      <c r="AG56" s="61" t="s">
        <v>183</v>
      </c>
      <c r="AH56" s="61" t="s">
        <v>183</v>
      </c>
      <c r="AI56" s="6"/>
      <c r="AJ56" s="61">
        <v>0</v>
      </c>
      <c r="AK56" s="61">
        <v>0</v>
      </c>
      <c r="AL56" s="61">
        <v>0</v>
      </c>
      <c r="AM56" s="22"/>
      <c r="AO56" s="22" t="s">
        <v>128</v>
      </c>
      <c r="AP56" s="23" t="s">
        <v>195</v>
      </c>
      <c r="AQ56" s="22" t="s">
        <v>199</v>
      </c>
      <c r="AR56" s="51" t="str">
        <f t="shared" si="14"/>
        <v>ED8B-F51918-BNW</v>
      </c>
      <c r="AS56" s="3"/>
      <c r="AT56" s="22">
        <v>0</v>
      </c>
      <c r="AU56" s="22">
        <v>0</v>
      </c>
      <c r="AV56" s="22">
        <v>1</v>
      </c>
      <c r="AW56" s="22">
        <v>1</v>
      </c>
      <c r="AX56" s="22">
        <v>0</v>
      </c>
      <c r="AY56" s="22">
        <v>0</v>
      </c>
      <c r="AZ56" s="22">
        <v>0</v>
      </c>
      <c r="BA56" s="22">
        <v>0</v>
      </c>
      <c r="BB56" s="2">
        <f t="shared" si="48"/>
        <v>0.37</v>
      </c>
      <c r="BD56" s="60">
        <v>-326.66000000000003</v>
      </c>
      <c r="BE56" s="60">
        <v>-3</v>
      </c>
      <c r="BF56" s="60">
        <v>-4</v>
      </c>
      <c r="BG56" s="60">
        <v>-0.08</v>
      </c>
      <c r="BH56" s="60">
        <v>0</v>
      </c>
      <c r="BI56" s="8">
        <f t="shared" si="15"/>
        <v>-333.74</v>
      </c>
      <c r="BJ56" s="2" t="s">
        <v>84</v>
      </c>
      <c r="BL56" s="61">
        <v>0</v>
      </c>
      <c r="BM56" s="61">
        <v>0</v>
      </c>
      <c r="BO56" s="61">
        <v>0</v>
      </c>
      <c r="BP56" s="61">
        <v>0</v>
      </c>
      <c r="BQ56" s="61">
        <v>0</v>
      </c>
      <c r="BS56" s="61">
        <f t="shared" si="44"/>
        <v>2.6000000000000227</v>
      </c>
      <c r="BT56" s="61">
        <f t="shared" si="45"/>
        <v>0</v>
      </c>
      <c r="BU56" s="61">
        <f t="shared" si="46"/>
        <v>0</v>
      </c>
      <c r="BV56" s="61">
        <f t="shared" si="46"/>
        <v>0</v>
      </c>
      <c r="BW56" s="61">
        <f t="shared" si="46"/>
        <v>0</v>
      </c>
      <c r="BX56" s="61">
        <f t="shared" si="46"/>
        <v>2.6000000000000227</v>
      </c>
      <c r="BY56" s="61" t="s">
        <v>84</v>
      </c>
      <c r="CA56" s="61">
        <f t="shared" si="39"/>
        <v>0</v>
      </c>
      <c r="CB56" s="61">
        <f t="shared" si="39"/>
        <v>0</v>
      </c>
      <c r="CC56" s="61">
        <f t="shared" si="39"/>
        <v>0.39115390401685313</v>
      </c>
      <c r="CD56" s="61">
        <f t="shared" si="39"/>
        <v>0.39115390401685313</v>
      </c>
      <c r="CE56" s="61">
        <f t="shared" si="39"/>
        <v>0</v>
      </c>
      <c r="CF56" s="61">
        <f t="shared" si="39"/>
        <v>0</v>
      </c>
      <c r="CG56" s="61">
        <f t="shared" si="39"/>
        <v>0</v>
      </c>
      <c r="CH56" s="61">
        <f t="shared" si="36"/>
        <v>0</v>
      </c>
      <c r="CI56" s="61">
        <f t="shared" si="7"/>
        <v>0.14472694448623569</v>
      </c>
      <c r="CJ56" s="61"/>
      <c r="CK56" s="61">
        <f t="shared" si="40"/>
        <v>0</v>
      </c>
      <c r="CL56" s="61">
        <f t="shared" si="40"/>
        <v>0</v>
      </c>
      <c r="CM56" s="61">
        <f t="shared" si="40"/>
        <v>0.39115390401685313</v>
      </c>
      <c r="CN56" s="61">
        <f t="shared" si="40"/>
        <v>0.39115390401685313</v>
      </c>
      <c r="CO56" s="61">
        <f t="shared" si="40"/>
        <v>0</v>
      </c>
      <c r="CP56" s="61">
        <f t="shared" si="40"/>
        <v>0</v>
      </c>
      <c r="CQ56" s="61">
        <f t="shared" si="40"/>
        <v>0</v>
      </c>
      <c r="CR56" s="61">
        <f t="shared" si="37"/>
        <v>0</v>
      </c>
      <c r="CS56" s="61">
        <f t="shared" si="9"/>
        <v>0.14472694448623569</v>
      </c>
      <c r="CT56" s="61">
        <f t="shared" si="10"/>
        <v>0.96200000000000863</v>
      </c>
      <c r="CV56" s="61">
        <f t="shared" si="11"/>
        <v>0</v>
      </c>
      <c r="CW56" s="61">
        <f t="shared" si="12"/>
        <v>0</v>
      </c>
      <c r="CX56" s="61"/>
      <c r="CY56" s="61">
        <f t="shared" si="13"/>
        <v>0</v>
      </c>
      <c r="CZ56" s="61">
        <f t="shared" si="13"/>
        <v>0</v>
      </c>
      <c r="DA56" s="61">
        <f t="shared" si="13"/>
        <v>0</v>
      </c>
      <c r="DB56" s="2" t="s">
        <v>85</v>
      </c>
      <c r="DC56" s="2" t="s">
        <v>86</v>
      </c>
      <c r="DD56" s="2" t="s">
        <v>87</v>
      </c>
      <c r="DE56" s="2" t="s">
        <v>88</v>
      </c>
      <c r="DF56" s="3" t="s">
        <v>86</v>
      </c>
      <c r="DG56" s="62">
        <v>42789</v>
      </c>
      <c r="EC56" s="60"/>
      <c r="ED56" s="60"/>
      <c r="EE56" s="60"/>
      <c r="EF56" s="60"/>
    </row>
    <row r="57" spans="2:140" ht="12.75" hidden="1" customHeight="1">
      <c r="B57" s="23" t="s">
        <v>192</v>
      </c>
      <c r="C57" s="22" t="s">
        <v>200</v>
      </c>
      <c r="D57" s="22" t="s">
        <v>201</v>
      </c>
      <c r="E57" s="2" t="str">
        <f>VLOOKUP($C57,[1]Detail!$C:$AK,6,0)</f>
        <v>PMT2</v>
      </c>
      <c r="F57" s="2" t="str">
        <f>VLOOKUP($C57,[1]Detail!$C:$AK,7,0)</f>
        <v>TH</v>
      </c>
      <c r="G57" s="2" t="str">
        <f>VLOOKUP($C57,[1]Detail!$C:$AK,5,0)</f>
        <v>D</v>
      </c>
      <c r="J57" s="22" t="s">
        <v>138</v>
      </c>
      <c r="K57" s="23" t="s">
        <v>202</v>
      </c>
      <c r="L57" s="22" t="s">
        <v>203</v>
      </c>
      <c r="M57" s="51" t="str">
        <f t="shared" si="0"/>
        <v>JD8B-F51918-CAW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64">
        <f t="shared" si="47"/>
        <v>0</v>
      </c>
      <c r="Y57" s="60">
        <v>-321.01</v>
      </c>
      <c r="Z57" s="60">
        <v>-3</v>
      </c>
      <c r="AA57" s="60">
        <v>-4</v>
      </c>
      <c r="AB57" s="60">
        <v>-0.08</v>
      </c>
      <c r="AC57" s="60">
        <v>0</v>
      </c>
      <c r="AD57" s="8">
        <f t="shared" si="38"/>
        <v>-328.09</v>
      </c>
      <c r="AE57" s="2" t="s">
        <v>91</v>
      </c>
      <c r="AG57" s="71" t="s">
        <v>183</v>
      </c>
      <c r="AH57" s="71" t="s">
        <v>183</v>
      </c>
      <c r="AJ57" s="71">
        <v>0</v>
      </c>
      <c r="AK57" s="71">
        <v>0</v>
      </c>
      <c r="AL57" s="72">
        <v>0</v>
      </c>
      <c r="AM57" s="22"/>
      <c r="AO57" s="22" t="s">
        <v>204</v>
      </c>
      <c r="AP57" s="23" t="s">
        <v>202</v>
      </c>
      <c r="AQ57" s="22" t="s">
        <v>205</v>
      </c>
      <c r="AR57" s="51" t="str">
        <f t="shared" si="14"/>
        <v>ED8B-F51918-CNW</v>
      </c>
      <c r="AS57" s="3"/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">
        <f t="shared" si="48"/>
        <v>0</v>
      </c>
      <c r="BD57" s="60">
        <v>-321.01</v>
      </c>
      <c r="BE57" s="60">
        <v>-3</v>
      </c>
      <c r="BF57" s="60">
        <v>-4</v>
      </c>
      <c r="BG57" s="60">
        <v>-0.08</v>
      </c>
      <c r="BH57" s="60">
        <v>0</v>
      </c>
      <c r="BI57" s="8">
        <f t="shared" si="15"/>
        <v>-328.09</v>
      </c>
      <c r="BJ57" s="2" t="s">
        <v>91</v>
      </c>
      <c r="BL57" s="71">
        <v>0</v>
      </c>
      <c r="BM57" s="71">
        <v>0</v>
      </c>
      <c r="BO57" s="71">
        <v>0</v>
      </c>
      <c r="BP57" s="71">
        <v>0</v>
      </c>
      <c r="BQ57" s="72">
        <v>0</v>
      </c>
      <c r="BS57" s="61">
        <f t="shared" si="44"/>
        <v>0</v>
      </c>
      <c r="BT57" s="61">
        <f t="shared" si="45"/>
        <v>0</v>
      </c>
      <c r="BU57" s="61">
        <f t="shared" si="46"/>
        <v>0</v>
      </c>
      <c r="BV57" s="61">
        <f t="shared" si="46"/>
        <v>0</v>
      </c>
      <c r="BW57" s="61">
        <f t="shared" si="46"/>
        <v>0</v>
      </c>
      <c r="BX57" s="61">
        <f t="shared" si="46"/>
        <v>0</v>
      </c>
      <c r="BY57" s="61" t="s">
        <v>91</v>
      </c>
      <c r="CA57" s="61">
        <f t="shared" si="39"/>
        <v>0</v>
      </c>
      <c r="CB57" s="61">
        <f t="shared" si="39"/>
        <v>0</v>
      </c>
      <c r="CC57" s="61">
        <f t="shared" si="39"/>
        <v>0</v>
      </c>
      <c r="CD57" s="61">
        <f t="shared" si="39"/>
        <v>0</v>
      </c>
      <c r="CE57" s="61">
        <f t="shared" si="39"/>
        <v>0</v>
      </c>
      <c r="CF57" s="61">
        <f t="shared" si="39"/>
        <v>0</v>
      </c>
      <c r="CG57" s="61">
        <f t="shared" si="39"/>
        <v>0</v>
      </c>
      <c r="CH57" s="61">
        <f t="shared" si="36"/>
        <v>0</v>
      </c>
      <c r="CI57" s="61">
        <f t="shared" si="7"/>
        <v>0</v>
      </c>
      <c r="CJ57" s="61"/>
      <c r="CK57" s="61">
        <f t="shared" si="40"/>
        <v>0</v>
      </c>
      <c r="CL57" s="61">
        <f t="shared" si="40"/>
        <v>0</v>
      </c>
      <c r="CM57" s="61">
        <f t="shared" si="40"/>
        <v>0</v>
      </c>
      <c r="CN57" s="61">
        <f t="shared" si="40"/>
        <v>0</v>
      </c>
      <c r="CO57" s="61">
        <f t="shared" si="40"/>
        <v>0</v>
      </c>
      <c r="CP57" s="61">
        <f t="shared" si="40"/>
        <v>0</v>
      </c>
      <c r="CQ57" s="61">
        <f t="shared" si="40"/>
        <v>0</v>
      </c>
      <c r="CR57" s="61">
        <f t="shared" si="37"/>
        <v>0</v>
      </c>
      <c r="CS57" s="61">
        <f t="shared" si="9"/>
        <v>0</v>
      </c>
      <c r="CT57" s="61">
        <f t="shared" si="10"/>
        <v>0</v>
      </c>
      <c r="CV57" s="61">
        <f t="shared" si="11"/>
        <v>0</v>
      </c>
      <c r="CW57" s="61">
        <f t="shared" si="12"/>
        <v>0</v>
      </c>
      <c r="CX57" s="61"/>
      <c r="CY57" s="61">
        <f t="shared" si="13"/>
        <v>0</v>
      </c>
      <c r="CZ57" s="61">
        <f t="shared" si="13"/>
        <v>0</v>
      </c>
      <c r="DA57" s="61">
        <f t="shared" si="13"/>
        <v>0</v>
      </c>
      <c r="DB57" s="2" t="s">
        <v>85</v>
      </c>
      <c r="DC57" s="2" t="s">
        <v>102</v>
      </c>
      <c r="DD57" s="2" t="s">
        <v>142</v>
      </c>
      <c r="DE57" s="2" t="s">
        <v>181</v>
      </c>
      <c r="DF57" s="3" t="s">
        <v>118</v>
      </c>
      <c r="DG57" s="62">
        <v>42789</v>
      </c>
      <c r="EC57" s="60"/>
      <c r="ED57" s="60"/>
      <c r="EE57" s="60"/>
      <c r="EF57" s="60"/>
    </row>
    <row r="58" spans="2:140" ht="12.75" hidden="1" customHeight="1">
      <c r="B58" s="23" t="s">
        <v>192</v>
      </c>
      <c r="C58" s="22" t="s">
        <v>200</v>
      </c>
      <c r="D58" s="22" t="s">
        <v>201</v>
      </c>
      <c r="E58" s="2" t="str">
        <f>VLOOKUP($C58,[1]Detail!$C:$AK,6,0)</f>
        <v>PMT2</v>
      </c>
      <c r="F58" s="2" t="str">
        <f>VLOOKUP($C58,[1]Detail!$C:$AK,7,0)</f>
        <v>TH</v>
      </c>
      <c r="G58" s="2" t="str">
        <f>VLOOKUP($C58,[1]Detail!$C:$AK,5,0)</f>
        <v>D</v>
      </c>
      <c r="J58" s="22" t="s">
        <v>138</v>
      </c>
      <c r="K58" s="23" t="s">
        <v>202</v>
      </c>
      <c r="L58" s="22" t="s">
        <v>206</v>
      </c>
      <c r="M58" s="51" t="str">
        <f t="shared" si="0"/>
        <v>JD8B-F51918-DAW</v>
      </c>
      <c r="O58" s="22">
        <v>0</v>
      </c>
      <c r="P58" s="22">
        <v>0</v>
      </c>
      <c r="Q58" s="22">
        <v>0</v>
      </c>
      <c r="R58" s="22">
        <v>0</v>
      </c>
      <c r="S58" s="22">
        <v>1</v>
      </c>
      <c r="T58" s="22">
        <v>1</v>
      </c>
      <c r="U58" s="22">
        <v>1</v>
      </c>
      <c r="V58" s="22">
        <v>1</v>
      </c>
      <c r="W58" s="64">
        <f t="shared" si="47"/>
        <v>0.33</v>
      </c>
      <c r="Y58" s="60">
        <v>-321.01</v>
      </c>
      <c r="Z58" s="60">
        <v>-3</v>
      </c>
      <c r="AA58" s="60">
        <v>-4</v>
      </c>
      <c r="AB58" s="60">
        <v>-0.08</v>
      </c>
      <c r="AC58" s="60">
        <v>0</v>
      </c>
      <c r="AD58" s="8">
        <f t="shared" si="38"/>
        <v>-328.09</v>
      </c>
      <c r="AE58" s="2" t="s">
        <v>91</v>
      </c>
      <c r="AG58" s="71" t="s">
        <v>183</v>
      </c>
      <c r="AH58" s="71" t="s">
        <v>183</v>
      </c>
      <c r="AJ58" s="71">
        <v>0</v>
      </c>
      <c r="AK58" s="71">
        <v>0</v>
      </c>
      <c r="AL58" s="72">
        <v>0</v>
      </c>
      <c r="AM58" s="22"/>
      <c r="AO58" s="22" t="s">
        <v>204</v>
      </c>
      <c r="AP58" s="23" t="s">
        <v>202</v>
      </c>
      <c r="AQ58" s="22" t="s">
        <v>205</v>
      </c>
      <c r="AR58" s="51" t="str">
        <f t="shared" si="14"/>
        <v>ED8B-F51918-CNW</v>
      </c>
      <c r="AS58" s="3"/>
      <c r="AT58" s="22">
        <v>0</v>
      </c>
      <c r="AU58" s="22">
        <v>0</v>
      </c>
      <c r="AV58" s="22">
        <v>0</v>
      </c>
      <c r="AW58" s="22">
        <v>0</v>
      </c>
      <c r="AX58" s="22">
        <v>1</v>
      </c>
      <c r="AY58" s="22">
        <v>1</v>
      </c>
      <c r="AZ58" s="22">
        <v>1</v>
      </c>
      <c r="BA58" s="22">
        <v>1</v>
      </c>
      <c r="BB58" s="2">
        <f t="shared" si="48"/>
        <v>0.33</v>
      </c>
      <c r="BD58" s="60">
        <v>-321.01</v>
      </c>
      <c r="BE58" s="60">
        <v>-3</v>
      </c>
      <c r="BF58" s="60">
        <v>-4</v>
      </c>
      <c r="BG58" s="60">
        <v>-0.08</v>
      </c>
      <c r="BH58" s="60">
        <v>0</v>
      </c>
      <c r="BI58" s="8">
        <f t="shared" si="15"/>
        <v>-328.09</v>
      </c>
      <c r="BJ58" s="2" t="s">
        <v>91</v>
      </c>
      <c r="BL58" s="71">
        <v>0</v>
      </c>
      <c r="BM58" s="71">
        <v>0</v>
      </c>
      <c r="BO58" s="71">
        <v>0</v>
      </c>
      <c r="BP58" s="71">
        <v>0</v>
      </c>
      <c r="BQ58" s="72">
        <v>0</v>
      </c>
      <c r="BS58" s="61">
        <f t="shared" si="44"/>
        <v>0</v>
      </c>
      <c r="BT58" s="61">
        <f t="shared" si="45"/>
        <v>0</v>
      </c>
      <c r="BU58" s="61">
        <f t="shared" si="46"/>
        <v>0</v>
      </c>
      <c r="BV58" s="61">
        <f t="shared" si="46"/>
        <v>0</v>
      </c>
      <c r="BW58" s="61">
        <f t="shared" si="46"/>
        <v>0</v>
      </c>
      <c r="BX58" s="61">
        <f t="shared" si="46"/>
        <v>0</v>
      </c>
      <c r="BY58" s="61" t="s">
        <v>91</v>
      </c>
      <c r="CA58" s="61">
        <f t="shared" si="39"/>
        <v>0</v>
      </c>
      <c r="CB58" s="61">
        <f t="shared" si="39"/>
        <v>0</v>
      </c>
      <c r="CC58" s="61">
        <f t="shared" si="39"/>
        <v>0</v>
      </c>
      <c r="CD58" s="61">
        <f t="shared" si="39"/>
        <v>0</v>
      </c>
      <c r="CE58" s="61">
        <f t="shared" si="39"/>
        <v>0</v>
      </c>
      <c r="CF58" s="61">
        <f t="shared" si="39"/>
        <v>0</v>
      </c>
      <c r="CG58" s="61">
        <f t="shared" si="39"/>
        <v>0</v>
      </c>
      <c r="CH58" s="61">
        <f t="shared" si="36"/>
        <v>0</v>
      </c>
      <c r="CI58" s="61">
        <f t="shared" si="7"/>
        <v>0</v>
      </c>
      <c r="CJ58" s="61"/>
      <c r="CK58" s="61">
        <f t="shared" si="40"/>
        <v>0</v>
      </c>
      <c r="CL58" s="61">
        <f t="shared" si="40"/>
        <v>0</v>
      </c>
      <c r="CM58" s="61">
        <f t="shared" si="40"/>
        <v>0</v>
      </c>
      <c r="CN58" s="61">
        <f t="shared" si="40"/>
        <v>0</v>
      </c>
      <c r="CO58" s="61">
        <f t="shared" si="40"/>
        <v>0</v>
      </c>
      <c r="CP58" s="61">
        <f t="shared" si="40"/>
        <v>0</v>
      </c>
      <c r="CQ58" s="61">
        <f t="shared" si="40"/>
        <v>0</v>
      </c>
      <c r="CR58" s="61">
        <f t="shared" si="37"/>
        <v>0</v>
      </c>
      <c r="CS58" s="61">
        <f t="shared" si="9"/>
        <v>0</v>
      </c>
      <c r="CT58" s="61">
        <f t="shared" si="10"/>
        <v>0</v>
      </c>
      <c r="CV58" s="61">
        <f t="shared" si="11"/>
        <v>0</v>
      </c>
      <c r="CW58" s="61">
        <f>SUM(AH58)-SUM(BM58)</f>
        <v>0</v>
      </c>
      <c r="CX58" s="61"/>
      <c r="CY58" s="61">
        <f t="shared" si="13"/>
        <v>0</v>
      </c>
      <c r="CZ58" s="61">
        <f t="shared" si="13"/>
        <v>0</v>
      </c>
      <c r="DA58" s="61">
        <f t="shared" si="13"/>
        <v>0</v>
      </c>
      <c r="DB58" s="2" t="s">
        <v>85</v>
      </c>
      <c r="DC58" s="2" t="s">
        <v>102</v>
      </c>
      <c r="DD58" s="2" t="s">
        <v>142</v>
      </c>
      <c r="DE58" s="2" t="s">
        <v>181</v>
      </c>
      <c r="DF58" s="3" t="s">
        <v>118</v>
      </c>
      <c r="DG58" s="62">
        <v>42789</v>
      </c>
      <c r="EC58" s="60"/>
      <c r="ED58" s="60"/>
      <c r="EE58" s="60"/>
      <c r="EF58" s="60"/>
    </row>
    <row r="59" spans="2:140" ht="12.75" hidden="1" customHeight="1">
      <c r="B59" s="23" t="s">
        <v>207</v>
      </c>
      <c r="C59" s="22" t="s">
        <v>200</v>
      </c>
      <c r="D59" s="22" t="s">
        <v>194</v>
      </c>
      <c r="E59" s="2" t="str">
        <f>VLOOKUP($C59,[1]Detail!$C:$AK,6,0)</f>
        <v>PMT2</v>
      </c>
      <c r="F59" s="2" t="str">
        <f>VLOOKUP($C59,[1]Detail!$C:$AK,7,0)</f>
        <v>TH</v>
      </c>
      <c r="G59" s="2" t="str">
        <f>VLOOKUP($C59,[1]Detail!$C:$AK,5,0)</f>
        <v>D</v>
      </c>
      <c r="J59" s="22" t="s">
        <v>138</v>
      </c>
      <c r="K59" s="23" t="s">
        <v>202</v>
      </c>
      <c r="L59" s="22" t="s">
        <v>83</v>
      </c>
      <c r="M59" s="51" t="str">
        <f t="shared" si="0"/>
        <v>JD8B-F51918-AAW</v>
      </c>
      <c r="O59" s="22">
        <v>1</v>
      </c>
      <c r="P59" s="22">
        <v>1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64">
        <f t="shared" si="47"/>
        <v>0.30000000000000004</v>
      </c>
      <c r="Y59" s="60">
        <f>-250.01+4.92</f>
        <v>-245.09</v>
      </c>
      <c r="Z59" s="60">
        <v>-3</v>
      </c>
      <c r="AA59" s="60">
        <v>-4</v>
      </c>
      <c r="AB59" s="60">
        <v>-0.08</v>
      </c>
      <c r="AC59" s="60">
        <v>0</v>
      </c>
      <c r="AD59" s="8">
        <f t="shared" si="38"/>
        <v>-252.17000000000002</v>
      </c>
      <c r="AE59" s="2" t="s">
        <v>91</v>
      </c>
      <c r="AG59" s="70">
        <v>-120000</v>
      </c>
      <c r="AH59" s="70">
        <v>-120000</v>
      </c>
      <c r="AI59" s="6"/>
      <c r="AJ59" s="71">
        <v>0</v>
      </c>
      <c r="AK59" s="71">
        <v>0</v>
      </c>
      <c r="AL59" s="72">
        <v>0</v>
      </c>
      <c r="AM59" s="22"/>
      <c r="AO59" s="22" t="s">
        <v>138</v>
      </c>
      <c r="AP59" s="23" t="s">
        <v>202</v>
      </c>
      <c r="AQ59" s="22" t="s">
        <v>83</v>
      </c>
      <c r="AR59" s="51" t="str">
        <f t="shared" si="14"/>
        <v>JD8B-F51918-AAW</v>
      </c>
      <c r="AS59" s="3"/>
      <c r="AT59" s="22">
        <v>1</v>
      </c>
      <c r="AU59" s="22">
        <v>1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">
        <f t="shared" si="48"/>
        <v>0.30000000000000004</v>
      </c>
      <c r="BD59" s="60">
        <v>-250.01</v>
      </c>
      <c r="BE59" s="60">
        <v>-3</v>
      </c>
      <c r="BF59" s="60">
        <v>-4</v>
      </c>
      <c r="BG59" s="60">
        <v>-0.08</v>
      </c>
      <c r="BH59" s="60">
        <v>0</v>
      </c>
      <c r="BI59" s="8">
        <f t="shared" si="15"/>
        <v>-257.08999999999997</v>
      </c>
      <c r="BJ59" s="2" t="s">
        <v>91</v>
      </c>
      <c r="BL59" s="70">
        <v>-120000</v>
      </c>
      <c r="BM59" s="70">
        <v>-120000</v>
      </c>
      <c r="BO59" s="71">
        <v>0</v>
      </c>
      <c r="BP59" s="71">
        <v>0</v>
      </c>
      <c r="BQ59" s="72">
        <v>0</v>
      </c>
      <c r="BS59" s="61">
        <f t="shared" si="44"/>
        <v>4.9199999999999875</v>
      </c>
      <c r="BT59" s="61">
        <f t="shared" si="45"/>
        <v>0</v>
      </c>
      <c r="BU59" s="61">
        <f t="shared" si="46"/>
        <v>0</v>
      </c>
      <c r="BV59" s="61">
        <f t="shared" si="46"/>
        <v>0</v>
      </c>
      <c r="BW59" s="61">
        <f t="shared" si="46"/>
        <v>0</v>
      </c>
      <c r="BX59" s="61">
        <f t="shared" si="46"/>
        <v>4.9199999999999591</v>
      </c>
      <c r="BY59" s="61" t="s">
        <v>91</v>
      </c>
      <c r="CA59" s="61">
        <f t="shared" si="39"/>
        <v>0.7401835414472675</v>
      </c>
      <c r="CB59" s="61">
        <f t="shared" si="39"/>
        <v>0.7401835414472675</v>
      </c>
      <c r="CC59" s="61">
        <f t="shared" si="39"/>
        <v>0</v>
      </c>
      <c r="CD59" s="61">
        <f t="shared" si="39"/>
        <v>0</v>
      </c>
      <c r="CE59" s="61">
        <f t="shared" si="39"/>
        <v>0</v>
      </c>
      <c r="CF59" s="61">
        <f t="shared" si="39"/>
        <v>0</v>
      </c>
      <c r="CG59" s="61">
        <f t="shared" si="39"/>
        <v>0</v>
      </c>
      <c r="CH59" s="61">
        <f t="shared" si="36"/>
        <v>0</v>
      </c>
      <c r="CI59" s="61">
        <f t="shared" si="7"/>
        <v>0.22205506243418027</v>
      </c>
      <c r="CJ59" s="61"/>
      <c r="CK59" s="61">
        <f t="shared" si="40"/>
        <v>0.74018354144726328</v>
      </c>
      <c r="CL59" s="61">
        <f t="shared" si="40"/>
        <v>0.74018354144726328</v>
      </c>
      <c r="CM59" s="61">
        <f t="shared" si="40"/>
        <v>0</v>
      </c>
      <c r="CN59" s="61">
        <f t="shared" si="40"/>
        <v>0</v>
      </c>
      <c r="CO59" s="61">
        <f t="shared" si="40"/>
        <v>0</v>
      </c>
      <c r="CP59" s="61">
        <f t="shared" si="40"/>
        <v>0</v>
      </c>
      <c r="CQ59" s="61">
        <f t="shared" si="40"/>
        <v>0</v>
      </c>
      <c r="CR59" s="61">
        <f t="shared" si="37"/>
        <v>0</v>
      </c>
      <c r="CS59" s="61">
        <f t="shared" si="9"/>
        <v>0.222055062434179</v>
      </c>
      <c r="CT59" s="61">
        <f t="shared" si="10"/>
        <v>1.4759999999999878</v>
      </c>
      <c r="CV59" s="61">
        <f t="shared" si="11"/>
        <v>0</v>
      </c>
      <c r="CW59" s="61">
        <f t="shared" ref="CW59:CW65" si="55">SUM(AH59)-SUM(BM59)</f>
        <v>0</v>
      </c>
      <c r="CX59" s="61"/>
      <c r="CY59" s="61">
        <f t="shared" ref="CY59:CY65" si="56">SUM(AJ59)-SUM(BO59)</f>
        <v>0</v>
      </c>
      <c r="CZ59" s="61">
        <f t="shared" si="13"/>
        <v>0</v>
      </c>
      <c r="DA59" s="61">
        <f t="shared" si="13"/>
        <v>0</v>
      </c>
      <c r="DB59" s="2" t="s">
        <v>85</v>
      </c>
      <c r="DC59" s="2" t="s">
        <v>85</v>
      </c>
      <c r="DD59" s="2" t="s">
        <v>142</v>
      </c>
      <c r="DE59" s="2" t="s">
        <v>106</v>
      </c>
      <c r="DG59" s="62"/>
      <c r="DZ59" s="3" t="e">
        <v>#N/A</v>
      </c>
      <c r="EC59" s="60"/>
      <c r="ED59" s="60"/>
      <c r="EE59" s="60"/>
      <c r="EF59" s="60"/>
    </row>
    <row r="60" spans="2:140" ht="12.75" hidden="1" customHeight="1">
      <c r="B60" s="23" t="s">
        <v>207</v>
      </c>
      <c r="C60" s="22" t="s">
        <v>200</v>
      </c>
      <c r="D60" s="22" t="s">
        <v>201</v>
      </c>
      <c r="E60" s="2" t="str">
        <f>VLOOKUP($C60,[1]Detail!$C:$AK,6,0)</f>
        <v>PMT2</v>
      </c>
      <c r="F60" s="2" t="str">
        <f>VLOOKUP($C60,[1]Detail!$C:$AK,7,0)</f>
        <v>TH</v>
      </c>
      <c r="G60" s="2" t="str">
        <f>VLOOKUP($C60,[1]Detail!$C:$AK,5,0)</f>
        <v>D</v>
      </c>
      <c r="J60" s="22" t="s">
        <v>138</v>
      </c>
      <c r="K60" s="23" t="s">
        <v>202</v>
      </c>
      <c r="L60" s="22" t="s">
        <v>208</v>
      </c>
      <c r="M60" s="51" t="str">
        <f t="shared" si="0"/>
        <v>JD8B-F51918-BAW</v>
      </c>
      <c r="O60" s="22">
        <v>0</v>
      </c>
      <c r="P60" s="22">
        <v>0</v>
      </c>
      <c r="Q60" s="22">
        <v>1</v>
      </c>
      <c r="R60" s="22">
        <v>1</v>
      </c>
      <c r="S60" s="22">
        <v>0</v>
      </c>
      <c r="T60" s="22">
        <v>0</v>
      </c>
      <c r="U60" s="22">
        <v>0</v>
      </c>
      <c r="V60" s="22">
        <v>0</v>
      </c>
      <c r="W60" s="64">
        <f t="shared" si="47"/>
        <v>0.37</v>
      </c>
      <c r="Y60" s="60">
        <f>-324.06+6.53</f>
        <v>-317.53000000000003</v>
      </c>
      <c r="Z60" s="60">
        <v>-3</v>
      </c>
      <c r="AA60" s="60">
        <v>-4</v>
      </c>
      <c r="AB60" s="60">
        <v>-0.08</v>
      </c>
      <c r="AC60" s="60">
        <v>0</v>
      </c>
      <c r="AD60" s="8">
        <f t="shared" si="38"/>
        <v>-324.61</v>
      </c>
      <c r="AE60" s="2" t="s">
        <v>91</v>
      </c>
      <c r="AG60" s="71" t="s">
        <v>183</v>
      </c>
      <c r="AH60" s="71" t="s">
        <v>183</v>
      </c>
      <c r="AJ60" s="71">
        <v>0</v>
      </c>
      <c r="AK60" s="71">
        <v>0</v>
      </c>
      <c r="AL60" s="72">
        <v>0</v>
      </c>
      <c r="AM60" s="22"/>
      <c r="AO60" s="22" t="s">
        <v>138</v>
      </c>
      <c r="AP60" s="23" t="s">
        <v>202</v>
      </c>
      <c r="AQ60" s="22" t="s">
        <v>208</v>
      </c>
      <c r="AR60" s="51" t="str">
        <f t="shared" si="14"/>
        <v>JD8B-F51918-BAW</v>
      </c>
      <c r="AS60" s="3"/>
      <c r="AT60" s="22">
        <v>0</v>
      </c>
      <c r="AU60" s="22">
        <v>0</v>
      </c>
      <c r="AV60" s="22">
        <v>1</v>
      </c>
      <c r="AW60" s="22">
        <v>1</v>
      </c>
      <c r="AX60" s="22">
        <v>0</v>
      </c>
      <c r="AY60" s="22">
        <v>0</v>
      </c>
      <c r="AZ60" s="22">
        <v>0</v>
      </c>
      <c r="BA60" s="22">
        <v>0</v>
      </c>
      <c r="BB60" s="2">
        <f t="shared" si="48"/>
        <v>0.37</v>
      </c>
      <c r="BD60" s="60">
        <v>-324.06</v>
      </c>
      <c r="BE60" s="60">
        <v>-3</v>
      </c>
      <c r="BF60" s="60">
        <v>-4</v>
      </c>
      <c r="BG60" s="60">
        <v>-0.08</v>
      </c>
      <c r="BH60" s="60">
        <v>0</v>
      </c>
      <c r="BI60" s="8">
        <f t="shared" si="15"/>
        <v>-331.14</v>
      </c>
      <c r="BJ60" s="2" t="s">
        <v>91</v>
      </c>
      <c r="BL60" s="71" t="s">
        <v>183</v>
      </c>
      <c r="BM60" s="71" t="s">
        <v>183</v>
      </c>
      <c r="BO60" s="71">
        <v>0</v>
      </c>
      <c r="BP60" s="71">
        <v>0</v>
      </c>
      <c r="BQ60" s="72">
        <v>0</v>
      </c>
      <c r="BS60" s="61">
        <f t="shared" si="44"/>
        <v>6.5299999999999727</v>
      </c>
      <c r="BT60" s="61">
        <f t="shared" si="45"/>
        <v>0</v>
      </c>
      <c r="BU60" s="61">
        <f t="shared" si="46"/>
        <v>0</v>
      </c>
      <c r="BV60" s="61">
        <f t="shared" si="46"/>
        <v>0</v>
      </c>
      <c r="BW60" s="61">
        <f t="shared" si="46"/>
        <v>0</v>
      </c>
      <c r="BX60" s="61">
        <f t="shared" si="46"/>
        <v>6.5299999999999727</v>
      </c>
      <c r="BY60" s="61" t="s">
        <v>91</v>
      </c>
      <c r="CA60" s="61">
        <f t="shared" si="39"/>
        <v>0</v>
      </c>
      <c r="CB60" s="61">
        <f t="shared" si="39"/>
        <v>0</v>
      </c>
      <c r="CC60" s="61">
        <f t="shared" si="39"/>
        <v>0.98239807431923765</v>
      </c>
      <c r="CD60" s="61">
        <f t="shared" si="39"/>
        <v>0.98239807431923765</v>
      </c>
      <c r="CE60" s="61">
        <f t="shared" si="39"/>
        <v>0</v>
      </c>
      <c r="CF60" s="61">
        <f t="shared" si="39"/>
        <v>0</v>
      </c>
      <c r="CG60" s="61">
        <f t="shared" si="39"/>
        <v>0</v>
      </c>
      <c r="CH60" s="61">
        <f t="shared" si="36"/>
        <v>0</v>
      </c>
      <c r="CI60" s="61">
        <f t="shared" si="7"/>
        <v>0.36348728749811798</v>
      </c>
      <c r="CJ60" s="61"/>
      <c r="CK60" s="61">
        <f t="shared" si="40"/>
        <v>0</v>
      </c>
      <c r="CL60" s="61">
        <f t="shared" si="40"/>
        <v>0</v>
      </c>
      <c r="CM60" s="61">
        <f t="shared" si="40"/>
        <v>0.98239807431923765</v>
      </c>
      <c r="CN60" s="61">
        <f t="shared" si="40"/>
        <v>0.98239807431923765</v>
      </c>
      <c r="CO60" s="61">
        <f t="shared" si="40"/>
        <v>0</v>
      </c>
      <c r="CP60" s="61">
        <f t="shared" si="40"/>
        <v>0</v>
      </c>
      <c r="CQ60" s="61">
        <f t="shared" si="40"/>
        <v>0</v>
      </c>
      <c r="CR60" s="61">
        <f t="shared" si="37"/>
        <v>0</v>
      </c>
      <c r="CS60" s="61">
        <f t="shared" si="9"/>
        <v>0.36348728749811798</v>
      </c>
      <c r="CT60" s="61">
        <f t="shared" si="10"/>
        <v>2.4160999999999904</v>
      </c>
      <c r="CV60" s="61">
        <f t="shared" si="11"/>
        <v>0</v>
      </c>
      <c r="CW60" s="61">
        <f t="shared" si="55"/>
        <v>0</v>
      </c>
      <c r="CX60" s="61"/>
      <c r="CY60" s="61">
        <f t="shared" si="56"/>
        <v>0</v>
      </c>
      <c r="CZ60" s="61">
        <f t="shared" si="13"/>
        <v>0</v>
      </c>
      <c r="DA60" s="61">
        <f t="shared" si="13"/>
        <v>0</v>
      </c>
      <c r="DB60" s="2" t="s">
        <v>85</v>
      </c>
      <c r="DC60" s="2" t="s">
        <v>85</v>
      </c>
      <c r="DD60" s="2" t="s">
        <v>142</v>
      </c>
      <c r="DE60" s="2" t="s">
        <v>106</v>
      </c>
      <c r="DG60" s="62"/>
      <c r="DZ60" s="3" t="e">
        <v>#N/A</v>
      </c>
      <c r="EC60" s="60"/>
      <c r="ED60" s="60"/>
      <c r="EE60" s="60"/>
      <c r="EF60" s="60"/>
    </row>
    <row r="61" spans="2:140" ht="12.75" hidden="1" customHeight="1">
      <c r="B61" s="23" t="s">
        <v>207</v>
      </c>
      <c r="C61" s="22" t="s">
        <v>200</v>
      </c>
      <c r="D61" s="22" t="s">
        <v>201</v>
      </c>
      <c r="E61" s="2" t="str">
        <f>VLOOKUP($C61,[1]Detail!$C:$AK,6,0)</f>
        <v>PMT2</v>
      </c>
      <c r="F61" s="2" t="str">
        <f>VLOOKUP($C61,[1]Detail!$C:$AK,7,0)</f>
        <v>TH</v>
      </c>
      <c r="G61" s="2" t="str">
        <f>VLOOKUP($C61,[1]Detail!$C:$AK,5,0)</f>
        <v>D</v>
      </c>
      <c r="J61" s="22" t="s">
        <v>138</v>
      </c>
      <c r="K61" s="23" t="s">
        <v>202</v>
      </c>
      <c r="L61" s="22" t="s">
        <v>203</v>
      </c>
      <c r="M61" s="51" t="str">
        <f t="shared" si="0"/>
        <v>JD8B-F51918-CAW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64">
        <f t="shared" si="47"/>
        <v>0</v>
      </c>
      <c r="Y61" s="60">
        <f>-321.01+6.42</f>
        <v>-314.58999999999997</v>
      </c>
      <c r="Z61" s="60">
        <v>-3</v>
      </c>
      <c r="AA61" s="60">
        <v>-4</v>
      </c>
      <c r="AB61" s="60">
        <v>-0.08</v>
      </c>
      <c r="AC61" s="60">
        <v>0</v>
      </c>
      <c r="AD61" s="8">
        <f t="shared" si="38"/>
        <v>-321.66999999999996</v>
      </c>
      <c r="AE61" s="2" t="s">
        <v>91</v>
      </c>
      <c r="AG61" s="71" t="s">
        <v>183</v>
      </c>
      <c r="AH61" s="71" t="s">
        <v>183</v>
      </c>
      <c r="AJ61" s="71">
        <v>0</v>
      </c>
      <c r="AK61" s="71">
        <v>0</v>
      </c>
      <c r="AL61" s="72">
        <v>0</v>
      </c>
      <c r="AM61" s="22"/>
      <c r="AO61" s="22" t="s">
        <v>138</v>
      </c>
      <c r="AP61" s="23" t="s">
        <v>202</v>
      </c>
      <c r="AQ61" s="22" t="s">
        <v>203</v>
      </c>
      <c r="AR61" s="51" t="str">
        <f t="shared" si="14"/>
        <v>JD8B-F51918-CAW</v>
      </c>
      <c r="AS61" s="3"/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0</v>
      </c>
      <c r="AZ61" s="22">
        <v>0</v>
      </c>
      <c r="BA61" s="22">
        <v>0</v>
      </c>
      <c r="BB61" s="2">
        <f t="shared" si="48"/>
        <v>0</v>
      </c>
      <c r="BD61" s="60">
        <v>-321.01</v>
      </c>
      <c r="BE61" s="60">
        <v>-3</v>
      </c>
      <c r="BF61" s="60">
        <v>-4</v>
      </c>
      <c r="BG61" s="60">
        <v>-0.08</v>
      </c>
      <c r="BH61" s="60">
        <v>0</v>
      </c>
      <c r="BI61" s="8">
        <f t="shared" si="15"/>
        <v>-328.09</v>
      </c>
      <c r="BJ61" s="2" t="s">
        <v>91</v>
      </c>
      <c r="BL61" s="71" t="s">
        <v>183</v>
      </c>
      <c r="BM61" s="71" t="s">
        <v>183</v>
      </c>
      <c r="BO61" s="71">
        <v>0</v>
      </c>
      <c r="BP61" s="71">
        <v>0</v>
      </c>
      <c r="BQ61" s="72">
        <v>0</v>
      </c>
      <c r="BS61" s="61">
        <f t="shared" si="44"/>
        <v>6.4200000000000159</v>
      </c>
      <c r="BT61" s="61">
        <f t="shared" si="45"/>
        <v>0</v>
      </c>
      <c r="BU61" s="61">
        <f t="shared" si="46"/>
        <v>0</v>
      </c>
      <c r="BV61" s="61">
        <f t="shared" si="46"/>
        <v>0</v>
      </c>
      <c r="BW61" s="61">
        <f t="shared" si="46"/>
        <v>0</v>
      </c>
      <c r="BX61" s="61">
        <f t="shared" si="46"/>
        <v>6.4200000000000159</v>
      </c>
      <c r="BY61" s="61" t="s">
        <v>91</v>
      </c>
      <c r="CA61" s="61">
        <f t="shared" si="39"/>
        <v>0</v>
      </c>
      <c r="CB61" s="61">
        <f t="shared" si="39"/>
        <v>0</v>
      </c>
      <c r="CC61" s="61">
        <f t="shared" si="39"/>
        <v>0</v>
      </c>
      <c r="CD61" s="61">
        <f t="shared" si="39"/>
        <v>0</v>
      </c>
      <c r="CE61" s="61">
        <f t="shared" si="39"/>
        <v>0</v>
      </c>
      <c r="CF61" s="61">
        <f t="shared" si="39"/>
        <v>0</v>
      </c>
      <c r="CG61" s="61">
        <f t="shared" si="39"/>
        <v>0</v>
      </c>
      <c r="CH61" s="61">
        <f t="shared" si="36"/>
        <v>0</v>
      </c>
      <c r="CI61" s="61">
        <f t="shared" si="7"/>
        <v>0</v>
      </c>
      <c r="CJ61" s="61"/>
      <c r="CK61" s="61">
        <f t="shared" si="40"/>
        <v>0</v>
      </c>
      <c r="CL61" s="61">
        <f t="shared" si="40"/>
        <v>0</v>
      </c>
      <c r="CM61" s="61">
        <f t="shared" si="40"/>
        <v>0</v>
      </c>
      <c r="CN61" s="61">
        <f t="shared" si="40"/>
        <v>0</v>
      </c>
      <c r="CO61" s="61">
        <f t="shared" si="40"/>
        <v>0</v>
      </c>
      <c r="CP61" s="61">
        <f t="shared" si="40"/>
        <v>0</v>
      </c>
      <c r="CQ61" s="61">
        <f t="shared" si="40"/>
        <v>0</v>
      </c>
      <c r="CR61" s="61">
        <f t="shared" si="37"/>
        <v>0</v>
      </c>
      <c r="CS61" s="61">
        <f t="shared" si="9"/>
        <v>0</v>
      </c>
      <c r="CT61" s="61">
        <f t="shared" si="10"/>
        <v>0</v>
      </c>
      <c r="CV61" s="61">
        <f t="shared" si="11"/>
        <v>0</v>
      </c>
      <c r="CW61" s="61">
        <f t="shared" si="55"/>
        <v>0</v>
      </c>
      <c r="CX61" s="61"/>
      <c r="CY61" s="61">
        <f t="shared" si="56"/>
        <v>0</v>
      </c>
      <c r="CZ61" s="61">
        <f t="shared" si="13"/>
        <v>0</v>
      </c>
      <c r="DA61" s="61">
        <f t="shared" si="13"/>
        <v>0</v>
      </c>
      <c r="DB61" s="2" t="s">
        <v>85</v>
      </c>
      <c r="DC61" s="2" t="s">
        <v>85</v>
      </c>
      <c r="DD61" s="2" t="s">
        <v>142</v>
      </c>
      <c r="DE61" s="2" t="s">
        <v>106</v>
      </c>
      <c r="DG61" s="62"/>
      <c r="DZ61" s="3" t="e">
        <v>#N/A</v>
      </c>
      <c r="EC61" s="60"/>
      <c r="ED61" s="60"/>
      <c r="EE61" s="60"/>
      <c r="EF61" s="60"/>
    </row>
    <row r="62" spans="2:140" ht="12.75" hidden="1" customHeight="1">
      <c r="B62" s="23" t="s">
        <v>207</v>
      </c>
      <c r="C62" s="22" t="s">
        <v>200</v>
      </c>
      <c r="D62" s="22" t="s">
        <v>201</v>
      </c>
      <c r="E62" s="2" t="str">
        <f>VLOOKUP($C62,[1]Detail!$C:$AK,6,0)</f>
        <v>PMT2</v>
      </c>
      <c r="F62" s="2" t="str">
        <f>VLOOKUP($C62,[1]Detail!$C:$AK,7,0)</f>
        <v>TH</v>
      </c>
      <c r="G62" s="2" t="str">
        <f>VLOOKUP($C62,[1]Detail!$C:$AK,5,0)</f>
        <v>D</v>
      </c>
      <c r="J62" s="22" t="s">
        <v>138</v>
      </c>
      <c r="K62" s="23" t="s">
        <v>202</v>
      </c>
      <c r="L62" s="22" t="s">
        <v>206</v>
      </c>
      <c r="M62" s="51" t="str">
        <f t="shared" si="0"/>
        <v>JD8B-F51918-DAW</v>
      </c>
      <c r="O62" s="22">
        <v>0</v>
      </c>
      <c r="P62" s="22">
        <v>0</v>
      </c>
      <c r="Q62" s="22">
        <v>0</v>
      </c>
      <c r="R62" s="22">
        <v>0</v>
      </c>
      <c r="S62" s="22">
        <v>1</v>
      </c>
      <c r="T62" s="22">
        <v>1</v>
      </c>
      <c r="U62" s="22">
        <v>1</v>
      </c>
      <c r="V62" s="22">
        <v>1</v>
      </c>
      <c r="W62" s="64">
        <f t="shared" si="47"/>
        <v>0.33</v>
      </c>
      <c r="Y62" s="60">
        <f>-321.01+6.42</f>
        <v>-314.58999999999997</v>
      </c>
      <c r="Z62" s="60">
        <v>-3</v>
      </c>
      <c r="AA62" s="60">
        <v>-4</v>
      </c>
      <c r="AB62" s="60">
        <v>-0.08</v>
      </c>
      <c r="AC62" s="60">
        <v>0</v>
      </c>
      <c r="AD62" s="8">
        <f t="shared" si="38"/>
        <v>-321.66999999999996</v>
      </c>
      <c r="AE62" s="2" t="s">
        <v>91</v>
      </c>
      <c r="AG62" s="71" t="s">
        <v>183</v>
      </c>
      <c r="AH62" s="71" t="s">
        <v>183</v>
      </c>
      <c r="AJ62" s="71">
        <v>0</v>
      </c>
      <c r="AK62" s="71">
        <v>0</v>
      </c>
      <c r="AL62" s="72">
        <v>0</v>
      </c>
      <c r="AM62" s="22"/>
      <c r="AO62" s="22" t="s">
        <v>138</v>
      </c>
      <c r="AP62" s="23" t="s">
        <v>202</v>
      </c>
      <c r="AQ62" s="22" t="s">
        <v>206</v>
      </c>
      <c r="AR62" s="51" t="str">
        <f t="shared" si="14"/>
        <v>JD8B-F51918-DAW</v>
      </c>
      <c r="AS62" s="3"/>
      <c r="AT62" s="22">
        <v>0</v>
      </c>
      <c r="AU62" s="22">
        <v>0</v>
      </c>
      <c r="AV62" s="22">
        <v>0</v>
      </c>
      <c r="AW62" s="22">
        <v>0</v>
      </c>
      <c r="AX62" s="22">
        <v>1</v>
      </c>
      <c r="AY62" s="22">
        <v>1</v>
      </c>
      <c r="AZ62" s="22">
        <v>1</v>
      </c>
      <c r="BA62" s="22">
        <v>1</v>
      </c>
      <c r="BB62" s="2">
        <f t="shared" si="48"/>
        <v>0.33</v>
      </c>
      <c r="BD62" s="60">
        <v>-321.01</v>
      </c>
      <c r="BE62" s="60">
        <v>-3</v>
      </c>
      <c r="BF62" s="60">
        <v>-4</v>
      </c>
      <c r="BG62" s="60">
        <v>-0.08</v>
      </c>
      <c r="BH62" s="60">
        <v>0</v>
      </c>
      <c r="BI62" s="8">
        <f t="shared" si="15"/>
        <v>-328.09</v>
      </c>
      <c r="BJ62" s="2" t="s">
        <v>91</v>
      </c>
      <c r="BL62" s="71" t="s">
        <v>183</v>
      </c>
      <c r="BM62" s="71" t="s">
        <v>183</v>
      </c>
      <c r="BO62" s="71">
        <v>0</v>
      </c>
      <c r="BP62" s="71">
        <v>0</v>
      </c>
      <c r="BQ62" s="72">
        <v>0</v>
      </c>
      <c r="BS62" s="61">
        <f t="shared" si="44"/>
        <v>6.4200000000000159</v>
      </c>
      <c r="BT62" s="61">
        <f t="shared" si="45"/>
        <v>0</v>
      </c>
      <c r="BU62" s="61">
        <f t="shared" si="46"/>
        <v>0</v>
      </c>
      <c r="BV62" s="61">
        <f t="shared" si="46"/>
        <v>0</v>
      </c>
      <c r="BW62" s="61">
        <f t="shared" si="46"/>
        <v>0</v>
      </c>
      <c r="BX62" s="61">
        <f t="shared" si="46"/>
        <v>6.4200000000000159</v>
      </c>
      <c r="BY62" s="61" t="s">
        <v>91</v>
      </c>
      <c r="CA62" s="61">
        <f t="shared" si="39"/>
        <v>0</v>
      </c>
      <c r="CB62" s="61">
        <f t="shared" si="39"/>
        <v>0</v>
      </c>
      <c r="CC62" s="61">
        <f t="shared" si="39"/>
        <v>0</v>
      </c>
      <c r="CD62" s="61">
        <f t="shared" si="39"/>
        <v>0</v>
      </c>
      <c r="CE62" s="61">
        <f t="shared" si="39"/>
        <v>0.96584925530314658</v>
      </c>
      <c r="CF62" s="61">
        <f t="shared" si="39"/>
        <v>0.96584925530314658</v>
      </c>
      <c r="CG62" s="61">
        <f t="shared" si="39"/>
        <v>0.96584925530314658</v>
      </c>
      <c r="CH62" s="61">
        <f t="shared" si="36"/>
        <v>0.96584925530314658</v>
      </c>
      <c r="CI62" s="61">
        <f t="shared" si="7"/>
        <v>0.31873025425003831</v>
      </c>
      <c r="CJ62" s="61"/>
      <c r="CK62" s="61">
        <f t="shared" si="40"/>
        <v>0</v>
      </c>
      <c r="CL62" s="61">
        <f t="shared" si="40"/>
        <v>0</v>
      </c>
      <c r="CM62" s="61">
        <f t="shared" si="40"/>
        <v>0</v>
      </c>
      <c r="CN62" s="61">
        <f t="shared" si="40"/>
        <v>0</v>
      </c>
      <c r="CO62" s="61">
        <f t="shared" si="40"/>
        <v>0.96584925530314658</v>
      </c>
      <c r="CP62" s="61">
        <f t="shared" si="40"/>
        <v>0.96584925530314658</v>
      </c>
      <c r="CQ62" s="61">
        <f t="shared" si="40"/>
        <v>0.96584925530314658</v>
      </c>
      <c r="CR62" s="61">
        <f t="shared" si="37"/>
        <v>0.96584925530314658</v>
      </c>
      <c r="CS62" s="61">
        <f t="shared" si="9"/>
        <v>0.31873025425003831</v>
      </c>
      <c r="CT62" s="63">
        <f t="shared" si="10"/>
        <v>2.1186000000000047</v>
      </c>
      <c r="CV62" s="61">
        <f t="shared" si="11"/>
        <v>0</v>
      </c>
      <c r="CW62" s="61">
        <f t="shared" si="55"/>
        <v>0</v>
      </c>
      <c r="CX62" s="61"/>
      <c r="CY62" s="61">
        <f t="shared" si="56"/>
        <v>0</v>
      </c>
      <c r="CZ62" s="61">
        <f t="shared" si="13"/>
        <v>0</v>
      </c>
      <c r="DA62" s="61">
        <f t="shared" si="13"/>
        <v>0</v>
      </c>
      <c r="DB62" s="2" t="s">
        <v>85</v>
      </c>
      <c r="DC62" s="2" t="s">
        <v>85</v>
      </c>
      <c r="DD62" s="2" t="s">
        <v>142</v>
      </c>
      <c r="DE62" s="2" t="s">
        <v>106</v>
      </c>
      <c r="DG62" s="62"/>
      <c r="DZ62" s="3" t="e">
        <v>#N/A</v>
      </c>
      <c r="EC62" s="60"/>
      <c r="ED62" s="60"/>
      <c r="EE62" s="60"/>
      <c r="EF62" s="60"/>
    </row>
    <row r="63" spans="2:140" ht="12.75" hidden="1" customHeight="1">
      <c r="B63" s="23" t="s">
        <v>209</v>
      </c>
      <c r="C63" s="22" t="s">
        <v>200</v>
      </c>
      <c r="D63" s="22" t="s">
        <v>201</v>
      </c>
      <c r="E63" s="2" t="str">
        <f>VLOOKUP($C63,[1]Detail!$C:$AK,6,0)</f>
        <v>PMT2</v>
      </c>
      <c r="F63" s="2" t="str">
        <f>VLOOKUP($C63,[1]Detail!$C:$AK,7,0)</f>
        <v>TH</v>
      </c>
      <c r="G63" s="2" t="str">
        <f>VLOOKUP($C63,[1]Detail!$C:$AK,5,0)</f>
        <v>D</v>
      </c>
      <c r="J63" s="22" t="s">
        <v>138</v>
      </c>
      <c r="K63" s="23" t="s">
        <v>202</v>
      </c>
      <c r="L63" s="22" t="s">
        <v>210</v>
      </c>
      <c r="M63" s="51" t="str">
        <f t="shared" si="0"/>
        <v>JD8B-F51918-BBW</v>
      </c>
      <c r="O63" s="22">
        <v>0</v>
      </c>
      <c r="P63" s="22">
        <v>0</v>
      </c>
      <c r="Q63" s="22">
        <v>1</v>
      </c>
      <c r="R63" s="22">
        <v>1</v>
      </c>
      <c r="S63" s="22">
        <v>0</v>
      </c>
      <c r="T63" s="22">
        <v>0</v>
      </c>
      <c r="U63" s="22">
        <v>0</v>
      </c>
      <c r="V63" s="22">
        <v>0</v>
      </c>
      <c r="W63" s="64">
        <f t="shared" si="47"/>
        <v>0.37</v>
      </c>
      <c r="Y63" s="60">
        <f>-324.06+6.53</f>
        <v>-317.53000000000003</v>
      </c>
      <c r="Z63" s="60">
        <v>-3</v>
      </c>
      <c r="AA63" s="60">
        <v>-4</v>
      </c>
      <c r="AB63" s="60">
        <v>-0.08</v>
      </c>
      <c r="AC63" s="60">
        <v>0</v>
      </c>
      <c r="AD63" s="8">
        <f t="shared" si="38"/>
        <v>-324.61</v>
      </c>
      <c r="AE63" s="2" t="s">
        <v>91</v>
      </c>
      <c r="AG63" s="71" t="s">
        <v>183</v>
      </c>
      <c r="AH63" s="71" t="s">
        <v>183</v>
      </c>
      <c r="AJ63" s="71">
        <v>0</v>
      </c>
      <c r="AK63" s="71">
        <v>0</v>
      </c>
      <c r="AL63" s="72">
        <v>0</v>
      </c>
      <c r="AM63" s="22"/>
      <c r="AO63" s="22" t="s">
        <v>138</v>
      </c>
      <c r="AP63" s="23" t="s">
        <v>202</v>
      </c>
      <c r="AQ63" s="22" t="s">
        <v>208</v>
      </c>
      <c r="AR63" s="51" t="str">
        <f t="shared" si="14"/>
        <v>JD8B-F51918-BAW</v>
      </c>
      <c r="AS63" s="3"/>
      <c r="AT63" s="22">
        <v>0</v>
      </c>
      <c r="AU63" s="22">
        <v>0</v>
      </c>
      <c r="AV63" s="22">
        <v>1</v>
      </c>
      <c r="AW63" s="22">
        <v>1</v>
      </c>
      <c r="AX63" s="22">
        <v>0</v>
      </c>
      <c r="AY63" s="22">
        <v>0</v>
      </c>
      <c r="AZ63" s="22">
        <v>0</v>
      </c>
      <c r="BA63" s="22">
        <v>0</v>
      </c>
      <c r="BB63" s="2">
        <f t="shared" si="48"/>
        <v>0.37</v>
      </c>
      <c r="BD63" s="60">
        <f>-324.06+6.53</f>
        <v>-317.53000000000003</v>
      </c>
      <c r="BE63" s="60">
        <v>-3</v>
      </c>
      <c r="BF63" s="60">
        <v>-4</v>
      </c>
      <c r="BG63" s="60">
        <v>-0.08</v>
      </c>
      <c r="BH63" s="60">
        <v>0</v>
      </c>
      <c r="BI63" s="8">
        <f t="shared" ref="BI63:BI68" si="57">SUM(BD63:BH63)</f>
        <v>-324.61</v>
      </c>
      <c r="BJ63" s="2" t="s">
        <v>91</v>
      </c>
      <c r="BL63" s="71">
        <v>0</v>
      </c>
      <c r="BM63" s="71">
        <v>0</v>
      </c>
      <c r="BO63" s="71">
        <v>0</v>
      </c>
      <c r="BP63" s="71">
        <v>0</v>
      </c>
      <c r="BQ63" s="72">
        <v>0</v>
      </c>
      <c r="BS63" s="61">
        <f t="shared" si="44"/>
        <v>0</v>
      </c>
      <c r="BT63" s="61">
        <f t="shared" si="45"/>
        <v>0</v>
      </c>
      <c r="BU63" s="61">
        <f t="shared" si="46"/>
        <v>0</v>
      </c>
      <c r="BV63" s="61">
        <f t="shared" si="46"/>
        <v>0</v>
      </c>
      <c r="BW63" s="61">
        <f t="shared" si="46"/>
        <v>0</v>
      </c>
      <c r="BX63" s="61">
        <f t="shared" si="46"/>
        <v>0</v>
      </c>
      <c r="BY63" s="61" t="s">
        <v>91</v>
      </c>
      <c r="CA63" s="61">
        <f t="shared" si="39"/>
        <v>0</v>
      </c>
      <c r="CB63" s="61">
        <f t="shared" si="39"/>
        <v>0</v>
      </c>
      <c r="CC63" s="61">
        <f t="shared" si="39"/>
        <v>0</v>
      </c>
      <c r="CD63" s="61">
        <f t="shared" si="39"/>
        <v>0</v>
      </c>
      <c r="CE63" s="61">
        <f t="shared" si="39"/>
        <v>0</v>
      </c>
      <c r="CF63" s="61">
        <f t="shared" si="39"/>
        <v>0</v>
      </c>
      <c r="CG63" s="61">
        <f t="shared" si="39"/>
        <v>0</v>
      </c>
      <c r="CH63" s="61">
        <f t="shared" si="36"/>
        <v>0</v>
      </c>
      <c r="CI63" s="61">
        <f t="shared" si="7"/>
        <v>0</v>
      </c>
      <c r="CJ63" s="61"/>
      <c r="CK63" s="61">
        <f t="shared" si="40"/>
        <v>0</v>
      </c>
      <c r="CL63" s="61">
        <f t="shared" si="40"/>
        <v>0</v>
      </c>
      <c r="CM63" s="61">
        <f t="shared" si="40"/>
        <v>0</v>
      </c>
      <c r="CN63" s="61">
        <f t="shared" si="40"/>
        <v>0</v>
      </c>
      <c r="CO63" s="61">
        <f t="shared" si="40"/>
        <v>0</v>
      </c>
      <c r="CP63" s="61">
        <f t="shared" si="40"/>
        <v>0</v>
      </c>
      <c r="CQ63" s="61">
        <f t="shared" si="40"/>
        <v>0</v>
      </c>
      <c r="CR63" s="61">
        <f t="shared" si="37"/>
        <v>0</v>
      </c>
      <c r="CS63" s="61">
        <f t="shared" si="9"/>
        <v>0</v>
      </c>
      <c r="CT63" s="61">
        <f t="shared" si="10"/>
        <v>0</v>
      </c>
      <c r="CV63" s="61">
        <f t="shared" si="11"/>
        <v>0</v>
      </c>
      <c r="CW63" s="61">
        <f t="shared" si="55"/>
        <v>0</v>
      </c>
      <c r="CX63" s="61"/>
      <c r="CY63" s="61">
        <f t="shared" si="56"/>
        <v>0</v>
      </c>
      <c r="CZ63" s="61">
        <f t="shared" si="13"/>
        <v>0</v>
      </c>
      <c r="DA63" s="61">
        <f t="shared" si="13"/>
        <v>0</v>
      </c>
      <c r="DB63" s="2" t="s">
        <v>85</v>
      </c>
      <c r="DC63" s="2" t="s">
        <v>85</v>
      </c>
      <c r="DD63" s="2" t="s">
        <v>142</v>
      </c>
      <c r="DE63" s="2" t="s">
        <v>106</v>
      </c>
      <c r="DG63" s="62"/>
      <c r="DZ63" s="3" t="e">
        <v>#N/A</v>
      </c>
      <c r="EC63" s="60"/>
      <c r="ED63" s="60"/>
      <c r="EE63" s="60"/>
      <c r="EF63" s="60"/>
    </row>
    <row r="64" spans="2:140" ht="12.75" hidden="1" customHeight="1">
      <c r="B64" s="23" t="s">
        <v>209</v>
      </c>
      <c r="C64" s="22" t="s">
        <v>200</v>
      </c>
      <c r="D64" s="22" t="s">
        <v>201</v>
      </c>
      <c r="E64" s="2" t="str">
        <f>VLOOKUP($C64,[1]Detail!$C:$AK,6,0)</f>
        <v>PMT2</v>
      </c>
      <c r="F64" s="2" t="str">
        <f>VLOOKUP($C64,[1]Detail!$C:$AK,7,0)</f>
        <v>TH</v>
      </c>
      <c r="G64" s="2" t="str">
        <f>VLOOKUP($C64,[1]Detail!$C:$AK,5,0)</f>
        <v>D</v>
      </c>
      <c r="J64" s="22" t="s">
        <v>138</v>
      </c>
      <c r="K64" s="23" t="s">
        <v>202</v>
      </c>
      <c r="L64" s="22" t="s">
        <v>211</v>
      </c>
      <c r="M64" s="51" t="str">
        <f t="shared" si="0"/>
        <v>JD8B-F51918-CBW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64">
        <f t="shared" si="47"/>
        <v>0</v>
      </c>
      <c r="Y64" s="60">
        <f>-321.01+6.42</f>
        <v>-314.58999999999997</v>
      </c>
      <c r="Z64" s="60">
        <v>-3</v>
      </c>
      <c r="AA64" s="60">
        <v>-4</v>
      </c>
      <c r="AB64" s="60">
        <v>-0.08</v>
      </c>
      <c r="AC64" s="60">
        <v>0</v>
      </c>
      <c r="AD64" s="8">
        <f t="shared" si="38"/>
        <v>-321.66999999999996</v>
      </c>
      <c r="AE64" s="2" t="s">
        <v>91</v>
      </c>
      <c r="AG64" s="71" t="s">
        <v>183</v>
      </c>
      <c r="AH64" s="71" t="s">
        <v>183</v>
      </c>
      <c r="AJ64" s="71">
        <v>0</v>
      </c>
      <c r="AK64" s="71">
        <v>0</v>
      </c>
      <c r="AL64" s="72">
        <v>0</v>
      </c>
      <c r="AM64" s="22"/>
      <c r="AO64" s="22" t="s">
        <v>138</v>
      </c>
      <c r="AP64" s="23" t="s">
        <v>202</v>
      </c>
      <c r="AQ64" s="22" t="s">
        <v>203</v>
      </c>
      <c r="AR64" s="51" t="str">
        <f t="shared" si="14"/>
        <v>JD8B-F51918-CAW</v>
      </c>
      <c r="AS64" s="3"/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2">
        <f t="shared" si="48"/>
        <v>0</v>
      </c>
      <c r="BD64" s="60">
        <f>-321.01+6.42</f>
        <v>-314.58999999999997</v>
      </c>
      <c r="BE64" s="60">
        <v>-3</v>
      </c>
      <c r="BF64" s="60">
        <v>-4</v>
      </c>
      <c r="BG64" s="60">
        <v>-0.08</v>
      </c>
      <c r="BH64" s="60">
        <v>0</v>
      </c>
      <c r="BI64" s="8">
        <f t="shared" si="57"/>
        <v>-321.66999999999996</v>
      </c>
      <c r="BJ64" s="2" t="s">
        <v>91</v>
      </c>
      <c r="BL64" s="71">
        <v>0</v>
      </c>
      <c r="BM64" s="71">
        <v>0</v>
      </c>
      <c r="BO64" s="71">
        <v>0</v>
      </c>
      <c r="BP64" s="71">
        <v>0</v>
      </c>
      <c r="BQ64" s="72">
        <v>0</v>
      </c>
      <c r="BS64" s="61">
        <f t="shared" si="44"/>
        <v>0</v>
      </c>
      <c r="BT64" s="61">
        <f t="shared" si="45"/>
        <v>0</v>
      </c>
      <c r="BU64" s="61">
        <f t="shared" si="46"/>
        <v>0</v>
      </c>
      <c r="BV64" s="61">
        <f t="shared" si="46"/>
        <v>0</v>
      </c>
      <c r="BW64" s="61">
        <f t="shared" si="46"/>
        <v>0</v>
      </c>
      <c r="BX64" s="61">
        <f t="shared" si="46"/>
        <v>0</v>
      </c>
      <c r="BY64" s="61" t="s">
        <v>91</v>
      </c>
      <c r="CA64" s="61">
        <f t="shared" si="39"/>
        <v>0</v>
      </c>
      <c r="CB64" s="61">
        <f t="shared" si="39"/>
        <v>0</v>
      </c>
      <c r="CC64" s="61">
        <f t="shared" si="39"/>
        <v>0</v>
      </c>
      <c r="CD64" s="61">
        <f t="shared" si="39"/>
        <v>0</v>
      </c>
      <c r="CE64" s="61">
        <f t="shared" si="39"/>
        <v>0</v>
      </c>
      <c r="CF64" s="61">
        <f t="shared" si="39"/>
        <v>0</v>
      </c>
      <c r="CG64" s="61">
        <f t="shared" si="39"/>
        <v>0</v>
      </c>
      <c r="CH64" s="61">
        <f t="shared" si="36"/>
        <v>0</v>
      </c>
      <c r="CI64" s="61">
        <f t="shared" si="7"/>
        <v>0</v>
      </c>
      <c r="CJ64" s="61"/>
      <c r="CK64" s="61">
        <f t="shared" si="40"/>
        <v>0</v>
      </c>
      <c r="CL64" s="61">
        <f t="shared" si="40"/>
        <v>0</v>
      </c>
      <c r="CM64" s="61">
        <f t="shared" si="40"/>
        <v>0</v>
      </c>
      <c r="CN64" s="61">
        <f t="shared" si="40"/>
        <v>0</v>
      </c>
      <c r="CO64" s="61">
        <f t="shared" si="40"/>
        <v>0</v>
      </c>
      <c r="CP64" s="61">
        <f t="shared" si="40"/>
        <v>0</v>
      </c>
      <c r="CQ64" s="61">
        <f t="shared" si="40"/>
        <v>0</v>
      </c>
      <c r="CR64" s="61">
        <f t="shared" si="37"/>
        <v>0</v>
      </c>
      <c r="CS64" s="61">
        <f t="shared" si="9"/>
        <v>0</v>
      </c>
      <c r="CT64" s="61">
        <f t="shared" si="10"/>
        <v>0</v>
      </c>
      <c r="CV64" s="61">
        <f t="shared" si="11"/>
        <v>0</v>
      </c>
      <c r="CW64" s="61">
        <f t="shared" si="55"/>
        <v>0</v>
      </c>
      <c r="CX64" s="61"/>
      <c r="CY64" s="61">
        <f t="shared" si="56"/>
        <v>0</v>
      </c>
      <c r="CZ64" s="61">
        <f t="shared" si="13"/>
        <v>0</v>
      </c>
      <c r="DA64" s="61">
        <f t="shared" si="13"/>
        <v>0</v>
      </c>
      <c r="DB64" s="2" t="s">
        <v>85</v>
      </c>
      <c r="DC64" s="2" t="s">
        <v>85</v>
      </c>
      <c r="DD64" s="2" t="s">
        <v>142</v>
      </c>
      <c r="DE64" s="2" t="s">
        <v>106</v>
      </c>
      <c r="DG64" s="62"/>
      <c r="DZ64" s="3" t="e">
        <v>#N/A</v>
      </c>
      <c r="EC64" s="60"/>
      <c r="ED64" s="60"/>
      <c r="EE64" s="60"/>
      <c r="EF64" s="60"/>
    </row>
    <row r="65" spans="2:140" ht="12.75" hidden="1" customHeight="1">
      <c r="B65" s="23" t="s">
        <v>209</v>
      </c>
      <c r="C65" s="22" t="s">
        <v>200</v>
      </c>
      <c r="D65" s="22" t="s">
        <v>201</v>
      </c>
      <c r="E65" s="2" t="str">
        <f>VLOOKUP($C65,[1]Detail!$C:$AK,6,0)</f>
        <v>PMT2</v>
      </c>
      <c r="F65" s="2" t="str">
        <f>VLOOKUP($C65,[1]Detail!$C:$AK,7,0)</f>
        <v>TH</v>
      </c>
      <c r="G65" s="2" t="str">
        <f>VLOOKUP($C65,[1]Detail!$C:$AK,5,0)</f>
        <v>D</v>
      </c>
      <c r="J65" s="22" t="s">
        <v>138</v>
      </c>
      <c r="K65" s="23" t="s">
        <v>202</v>
      </c>
      <c r="L65" s="22" t="s">
        <v>212</v>
      </c>
      <c r="M65" s="51" t="str">
        <f t="shared" si="0"/>
        <v>JD8B-F51918-DBW</v>
      </c>
      <c r="O65" s="22">
        <v>0</v>
      </c>
      <c r="P65" s="22">
        <v>0</v>
      </c>
      <c r="Q65" s="22">
        <v>0</v>
      </c>
      <c r="R65" s="22">
        <v>0</v>
      </c>
      <c r="S65" s="22">
        <v>1</v>
      </c>
      <c r="T65" s="22">
        <v>1</v>
      </c>
      <c r="U65" s="22">
        <v>1</v>
      </c>
      <c r="V65" s="22">
        <v>1</v>
      </c>
      <c r="W65" s="64">
        <f t="shared" si="47"/>
        <v>0.33</v>
      </c>
      <c r="Y65" s="60">
        <f>-321.01+6.42</f>
        <v>-314.58999999999997</v>
      </c>
      <c r="Z65" s="60">
        <v>-3</v>
      </c>
      <c r="AA65" s="60">
        <v>-4</v>
      </c>
      <c r="AB65" s="60">
        <v>-0.08</v>
      </c>
      <c r="AC65" s="60">
        <v>0</v>
      </c>
      <c r="AD65" s="8">
        <f t="shared" si="38"/>
        <v>-321.66999999999996</v>
      </c>
      <c r="AE65" s="2" t="s">
        <v>91</v>
      </c>
      <c r="AG65" s="71" t="s">
        <v>183</v>
      </c>
      <c r="AH65" s="71" t="s">
        <v>183</v>
      </c>
      <c r="AJ65" s="71">
        <v>0</v>
      </c>
      <c r="AK65" s="71">
        <v>0</v>
      </c>
      <c r="AL65" s="72">
        <v>0</v>
      </c>
      <c r="AM65" s="22"/>
      <c r="AO65" s="22" t="s">
        <v>138</v>
      </c>
      <c r="AP65" s="23" t="s">
        <v>202</v>
      </c>
      <c r="AQ65" s="22" t="s">
        <v>206</v>
      </c>
      <c r="AR65" s="51" t="str">
        <f t="shared" si="14"/>
        <v>JD8B-F51918-DAW</v>
      </c>
      <c r="AS65" s="3"/>
      <c r="AT65" s="22">
        <v>0</v>
      </c>
      <c r="AU65" s="22">
        <v>0</v>
      </c>
      <c r="AV65" s="22">
        <v>0</v>
      </c>
      <c r="AW65" s="22">
        <v>0</v>
      </c>
      <c r="AX65" s="22">
        <v>1</v>
      </c>
      <c r="AY65" s="22">
        <v>1</v>
      </c>
      <c r="AZ65" s="22">
        <v>1</v>
      </c>
      <c r="BA65" s="22">
        <v>1</v>
      </c>
      <c r="BB65" s="2">
        <f t="shared" si="48"/>
        <v>0.33</v>
      </c>
      <c r="BD65" s="60">
        <f>-321.01+6.42</f>
        <v>-314.58999999999997</v>
      </c>
      <c r="BE65" s="60">
        <v>-3</v>
      </c>
      <c r="BF65" s="60">
        <v>-4</v>
      </c>
      <c r="BG65" s="60">
        <v>-0.08</v>
      </c>
      <c r="BH65" s="60">
        <v>0</v>
      </c>
      <c r="BI65" s="8">
        <f t="shared" si="57"/>
        <v>-321.66999999999996</v>
      </c>
      <c r="BJ65" s="2" t="s">
        <v>91</v>
      </c>
      <c r="BL65" s="71">
        <v>0</v>
      </c>
      <c r="BM65" s="71">
        <v>0</v>
      </c>
      <c r="BO65" s="71">
        <v>0</v>
      </c>
      <c r="BP65" s="71">
        <v>0</v>
      </c>
      <c r="BQ65" s="72">
        <v>0</v>
      </c>
      <c r="BS65" s="61">
        <f t="shared" si="44"/>
        <v>0</v>
      </c>
      <c r="BT65" s="61">
        <f t="shared" si="45"/>
        <v>0</v>
      </c>
      <c r="BU65" s="61">
        <f t="shared" si="46"/>
        <v>0</v>
      </c>
      <c r="BV65" s="61">
        <f t="shared" si="46"/>
        <v>0</v>
      </c>
      <c r="BW65" s="61">
        <f t="shared" si="46"/>
        <v>0</v>
      </c>
      <c r="BX65" s="61">
        <f t="shared" si="46"/>
        <v>0</v>
      </c>
      <c r="BY65" s="61" t="s">
        <v>91</v>
      </c>
      <c r="CA65" s="61">
        <f t="shared" si="39"/>
        <v>0</v>
      </c>
      <c r="CB65" s="61">
        <f t="shared" si="39"/>
        <v>0</v>
      </c>
      <c r="CC65" s="61">
        <f t="shared" si="39"/>
        <v>0</v>
      </c>
      <c r="CD65" s="61">
        <f t="shared" si="39"/>
        <v>0</v>
      </c>
      <c r="CE65" s="61">
        <f t="shared" si="39"/>
        <v>0</v>
      </c>
      <c r="CF65" s="61">
        <f t="shared" si="39"/>
        <v>0</v>
      </c>
      <c r="CG65" s="61">
        <f t="shared" si="39"/>
        <v>0</v>
      </c>
      <c r="CH65" s="61">
        <f t="shared" si="36"/>
        <v>0</v>
      </c>
      <c r="CI65" s="61">
        <f t="shared" si="7"/>
        <v>0</v>
      </c>
      <c r="CJ65" s="61"/>
      <c r="CK65" s="61">
        <f t="shared" si="40"/>
        <v>0</v>
      </c>
      <c r="CL65" s="61">
        <f t="shared" si="40"/>
        <v>0</v>
      </c>
      <c r="CM65" s="61">
        <f t="shared" si="40"/>
        <v>0</v>
      </c>
      <c r="CN65" s="61">
        <f t="shared" si="40"/>
        <v>0</v>
      </c>
      <c r="CO65" s="61">
        <f t="shared" si="40"/>
        <v>0</v>
      </c>
      <c r="CP65" s="61">
        <f t="shared" si="40"/>
        <v>0</v>
      </c>
      <c r="CQ65" s="61">
        <f t="shared" si="40"/>
        <v>0</v>
      </c>
      <c r="CR65" s="61">
        <f t="shared" si="37"/>
        <v>0</v>
      </c>
      <c r="CS65" s="61">
        <f t="shared" si="9"/>
        <v>0</v>
      </c>
      <c r="CT65" s="61">
        <f t="shared" si="10"/>
        <v>0</v>
      </c>
      <c r="CV65" s="61">
        <f t="shared" si="11"/>
        <v>0</v>
      </c>
      <c r="CW65" s="61">
        <f t="shared" si="55"/>
        <v>0</v>
      </c>
      <c r="CX65" s="61"/>
      <c r="CY65" s="61">
        <f t="shared" si="56"/>
        <v>0</v>
      </c>
      <c r="CZ65" s="61">
        <f t="shared" si="13"/>
        <v>0</v>
      </c>
      <c r="DA65" s="61">
        <f t="shared" si="13"/>
        <v>0</v>
      </c>
      <c r="DB65" s="2" t="s">
        <v>85</v>
      </c>
      <c r="DC65" s="2" t="s">
        <v>85</v>
      </c>
      <c r="DD65" s="2" t="s">
        <v>142</v>
      </c>
      <c r="DE65" s="2" t="s">
        <v>106</v>
      </c>
      <c r="DG65" s="62"/>
      <c r="DZ65" s="3" t="e">
        <v>#N/A</v>
      </c>
      <c r="EC65" s="60"/>
      <c r="ED65" s="60"/>
      <c r="EE65" s="60"/>
      <c r="EF65" s="60"/>
    </row>
    <row r="66" spans="2:140" ht="12.75" hidden="1" customHeight="1">
      <c r="B66" s="23" t="s">
        <v>213</v>
      </c>
      <c r="C66" s="22" t="s">
        <v>200</v>
      </c>
      <c r="D66" s="22" t="s">
        <v>201</v>
      </c>
      <c r="E66" s="2" t="str">
        <f>VLOOKUP($C66,[1]Detail!$C:$AK,6,0)</f>
        <v>PMT2</v>
      </c>
      <c r="F66" s="2" t="str">
        <f>VLOOKUP($C66,[1]Detail!$C:$AK,7,0)</f>
        <v>TH</v>
      </c>
      <c r="G66" s="2" t="str">
        <f>VLOOKUP($C66,[1]Detail!$C:$AK,5,0)</f>
        <v>D</v>
      </c>
      <c r="J66" s="22" t="s">
        <v>138</v>
      </c>
      <c r="K66" s="23" t="s">
        <v>202</v>
      </c>
      <c r="L66" s="22" t="s">
        <v>210</v>
      </c>
      <c r="M66" s="51" t="str">
        <f t="shared" si="0"/>
        <v>JD8B-F51918-BBW</v>
      </c>
      <c r="O66" s="22">
        <v>0</v>
      </c>
      <c r="P66" s="22">
        <v>0</v>
      </c>
      <c r="Q66" s="22">
        <v>1</v>
      </c>
      <c r="R66" s="22">
        <v>1</v>
      </c>
      <c r="S66" s="22">
        <v>0</v>
      </c>
      <c r="T66" s="22">
        <v>0</v>
      </c>
      <c r="U66" s="22">
        <v>0</v>
      </c>
      <c r="V66" s="22">
        <v>0</v>
      </c>
      <c r="W66" s="64">
        <f t="shared" si="47"/>
        <v>0.37</v>
      </c>
      <c r="Y66" s="60">
        <f>-324.06+6.53</f>
        <v>-317.53000000000003</v>
      </c>
      <c r="Z66" s="60">
        <v>-3</v>
      </c>
      <c r="AA66" s="60">
        <v>-4</v>
      </c>
      <c r="AB66" s="60">
        <v>-0.08</v>
      </c>
      <c r="AC66" s="60">
        <v>0</v>
      </c>
      <c r="AD66" s="8">
        <f t="shared" si="38"/>
        <v>-324.61</v>
      </c>
      <c r="AE66" s="2" t="s">
        <v>91</v>
      </c>
      <c r="AG66" s="71" t="s">
        <v>183</v>
      </c>
      <c r="AH66" s="71" t="s">
        <v>183</v>
      </c>
      <c r="AJ66" s="71">
        <v>0</v>
      </c>
      <c r="AK66" s="71">
        <v>0</v>
      </c>
      <c r="AL66" s="72">
        <v>0</v>
      </c>
      <c r="AM66" s="22"/>
      <c r="AO66" s="22" t="s">
        <v>138</v>
      </c>
      <c r="AP66" s="23" t="s">
        <v>202</v>
      </c>
      <c r="AQ66" s="22" t="s">
        <v>210</v>
      </c>
      <c r="AR66" s="51" t="str">
        <f t="shared" si="14"/>
        <v>JD8B-F51918-BBW</v>
      </c>
      <c r="AS66" s="3"/>
      <c r="AT66" s="22">
        <v>0</v>
      </c>
      <c r="AU66" s="22">
        <v>0</v>
      </c>
      <c r="AV66" s="22">
        <v>1</v>
      </c>
      <c r="AW66" s="22">
        <v>1</v>
      </c>
      <c r="AX66" s="22">
        <v>0</v>
      </c>
      <c r="AY66" s="22">
        <v>0</v>
      </c>
      <c r="AZ66" s="22">
        <v>0</v>
      </c>
      <c r="BA66" s="22">
        <v>0</v>
      </c>
      <c r="BB66" s="2">
        <f t="shared" si="48"/>
        <v>0.37</v>
      </c>
      <c r="BD66" s="60">
        <f>-324.06+6.53</f>
        <v>-317.53000000000003</v>
      </c>
      <c r="BE66" s="60">
        <v>-3</v>
      </c>
      <c r="BF66" s="60">
        <v>-4</v>
      </c>
      <c r="BG66" s="60">
        <v>-0.08</v>
      </c>
      <c r="BH66" s="60">
        <v>0</v>
      </c>
      <c r="BI66" s="8">
        <f t="shared" si="57"/>
        <v>-324.61</v>
      </c>
      <c r="BJ66" s="2" t="s">
        <v>91</v>
      </c>
      <c r="BL66" s="71">
        <v>0</v>
      </c>
      <c r="BM66" s="71">
        <v>0</v>
      </c>
      <c r="BO66" s="71">
        <v>0</v>
      </c>
      <c r="BP66" s="71">
        <v>0</v>
      </c>
      <c r="BQ66" s="72">
        <v>0</v>
      </c>
      <c r="BS66" s="61">
        <f t="shared" si="44"/>
        <v>0</v>
      </c>
      <c r="BT66" s="61">
        <f t="shared" si="45"/>
        <v>0</v>
      </c>
      <c r="BU66" s="61">
        <f t="shared" si="46"/>
        <v>0</v>
      </c>
      <c r="BV66" s="61">
        <f t="shared" si="46"/>
        <v>0</v>
      </c>
      <c r="BW66" s="61">
        <f t="shared" si="46"/>
        <v>0</v>
      </c>
      <c r="BX66" s="61">
        <f t="shared" si="46"/>
        <v>0</v>
      </c>
      <c r="BY66" s="61" t="s">
        <v>91</v>
      </c>
      <c r="CA66" s="61">
        <f t="shared" si="39"/>
        <v>0</v>
      </c>
      <c r="CB66" s="61">
        <f t="shared" si="39"/>
        <v>0</v>
      </c>
      <c r="CC66" s="61">
        <f t="shared" si="39"/>
        <v>0</v>
      </c>
      <c r="CD66" s="61">
        <f t="shared" si="39"/>
        <v>0</v>
      </c>
      <c r="CE66" s="61">
        <f t="shared" si="39"/>
        <v>0</v>
      </c>
      <c r="CF66" s="61">
        <f t="shared" si="39"/>
        <v>0</v>
      </c>
      <c r="CG66" s="61">
        <f t="shared" si="39"/>
        <v>0</v>
      </c>
      <c r="CH66" s="61">
        <f t="shared" si="36"/>
        <v>0</v>
      </c>
      <c r="CI66" s="61">
        <f t="shared" si="7"/>
        <v>0</v>
      </c>
      <c r="CJ66" s="61"/>
      <c r="CK66" s="61">
        <f t="shared" si="40"/>
        <v>0</v>
      </c>
      <c r="CL66" s="61">
        <f t="shared" si="40"/>
        <v>0</v>
      </c>
      <c r="CM66" s="61">
        <f t="shared" si="40"/>
        <v>0</v>
      </c>
      <c r="CN66" s="61">
        <f t="shared" si="40"/>
        <v>0</v>
      </c>
      <c r="CO66" s="61">
        <f t="shared" si="40"/>
        <v>0</v>
      </c>
      <c r="CP66" s="61">
        <f t="shared" si="40"/>
        <v>0</v>
      </c>
      <c r="CQ66" s="61">
        <f t="shared" si="40"/>
        <v>0</v>
      </c>
      <c r="CR66" s="61">
        <f t="shared" si="37"/>
        <v>0</v>
      </c>
      <c r="CS66" s="61">
        <f t="shared" si="9"/>
        <v>0</v>
      </c>
      <c r="CT66" s="61">
        <f t="shared" si="10"/>
        <v>0</v>
      </c>
      <c r="CV66" s="61">
        <f t="shared" si="11"/>
        <v>0</v>
      </c>
      <c r="CW66" s="61">
        <f t="shared" ref="CW66:CW68" si="58">SUM(AH66)-SUM(BM66)</f>
        <v>0</v>
      </c>
      <c r="CX66" s="61"/>
      <c r="CY66" s="61">
        <f t="shared" ref="CY66:CY68" si="59">SUM(AJ66)-SUM(BO66)</f>
        <v>0</v>
      </c>
      <c r="CZ66" s="61">
        <f t="shared" si="13"/>
        <v>0</v>
      </c>
      <c r="DA66" s="61">
        <f t="shared" si="13"/>
        <v>0</v>
      </c>
      <c r="DB66" s="2" t="s">
        <v>85</v>
      </c>
      <c r="DC66" s="2" t="s">
        <v>85</v>
      </c>
      <c r="DD66" s="2" t="s">
        <v>142</v>
      </c>
      <c r="DE66" s="2" t="s">
        <v>106</v>
      </c>
      <c r="DG66" s="62"/>
      <c r="DZ66" s="3" t="e">
        <v>#N/A</v>
      </c>
      <c r="EC66" s="60"/>
      <c r="ED66" s="60"/>
      <c r="EE66" s="60"/>
      <c r="EF66" s="60"/>
    </row>
    <row r="67" spans="2:140" ht="12.75" hidden="1" customHeight="1">
      <c r="B67" s="23" t="s">
        <v>213</v>
      </c>
      <c r="C67" s="22" t="s">
        <v>200</v>
      </c>
      <c r="D67" s="22" t="s">
        <v>201</v>
      </c>
      <c r="E67" s="2" t="str">
        <f>VLOOKUP($C67,[1]Detail!$C:$AK,6,0)</f>
        <v>PMT2</v>
      </c>
      <c r="F67" s="2" t="str">
        <f>VLOOKUP($C67,[1]Detail!$C:$AK,7,0)</f>
        <v>TH</v>
      </c>
      <c r="G67" s="2" t="str">
        <f>VLOOKUP($C67,[1]Detail!$C:$AK,5,0)</f>
        <v>D</v>
      </c>
      <c r="J67" s="22" t="s">
        <v>138</v>
      </c>
      <c r="K67" s="23" t="s">
        <v>202</v>
      </c>
      <c r="L67" s="22" t="s">
        <v>211</v>
      </c>
      <c r="M67" s="51" t="str">
        <f t="shared" si="0"/>
        <v>JD8B-F51918-CBW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64">
        <f t="shared" si="47"/>
        <v>0</v>
      </c>
      <c r="Y67" s="60">
        <f>-321.01+6.42</f>
        <v>-314.58999999999997</v>
      </c>
      <c r="Z67" s="60">
        <v>-3</v>
      </c>
      <c r="AA67" s="60">
        <v>-4</v>
      </c>
      <c r="AB67" s="60">
        <v>-0.08</v>
      </c>
      <c r="AC67" s="60">
        <v>0</v>
      </c>
      <c r="AD67" s="8">
        <f t="shared" si="38"/>
        <v>-321.66999999999996</v>
      </c>
      <c r="AE67" s="2" t="s">
        <v>91</v>
      </c>
      <c r="AG67" s="71" t="s">
        <v>183</v>
      </c>
      <c r="AH67" s="71" t="s">
        <v>183</v>
      </c>
      <c r="AJ67" s="71">
        <v>0</v>
      </c>
      <c r="AK67" s="71">
        <v>0</v>
      </c>
      <c r="AL67" s="72">
        <v>0</v>
      </c>
      <c r="AM67" s="22"/>
      <c r="AO67" s="22" t="s">
        <v>138</v>
      </c>
      <c r="AP67" s="23" t="s">
        <v>202</v>
      </c>
      <c r="AQ67" s="22" t="s">
        <v>211</v>
      </c>
      <c r="AR67" s="51" t="str">
        <f t="shared" si="14"/>
        <v>JD8B-F51918-CBW</v>
      </c>
      <c r="AS67" s="3"/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">
        <f t="shared" si="48"/>
        <v>0</v>
      </c>
      <c r="BD67" s="60">
        <f>-321.01+6.42</f>
        <v>-314.58999999999997</v>
      </c>
      <c r="BE67" s="60">
        <v>-3</v>
      </c>
      <c r="BF67" s="60">
        <v>-4</v>
      </c>
      <c r="BG67" s="60">
        <v>-0.08</v>
      </c>
      <c r="BH67" s="60">
        <v>0</v>
      </c>
      <c r="BI67" s="8">
        <f t="shared" si="57"/>
        <v>-321.66999999999996</v>
      </c>
      <c r="BJ67" s="2" t="s">
        <v>91</v>
      </c>
      <c r="BL67" s="71">
        <v>0</v>
      </c>
      <c r="BM67" s="71">
        <v>0</v>
      </c>
      <c r="BO67" s="71">
        <v>0</v>
      </c>
      <c r="BP67" s="71">
        <v>0</v>
      </c>
      <c r="BQ67" s="72">
        <v>0</v>
      </c>
      <c r="BS67" s="61">
        <f t="shared" si="44"/>
        <v>0</v>
      </c>
      <c r="BT67" s="61">
        <f t="shared" si="45"/>
        <v>0</v>
      </c>
      <c r="BU67" s="61">
        <f t="shared" si="46"/>
        <v>0</v>
      </c>
      <c r="BV67" s="61">
        <f t="shared" si="46"/>
        <v>0</v>
      </c>
      <c r="BW67" s="61">
        <f t="shared" si="46"/>
        <v>0</v>
      </c>
      <c r="BX67" s="61">
        <f t="shared" si="46"/>
        <v>0</v>
      </c>
      <c r="BY67" s="61" t="s">
        <v>91</v>
      </c>
      <c r="CA67" s="61">
        <f t="shared" si="39"/>
        <v>0</v>
      </c>
      <c r="CB67" s="61">
        <f t="shared" si="39"/>
        <v>0</v>
      </c>
      <c r="CC67" s="61">
        <f t="shared" si="39"/>
        <v>0</v>
      </c>
      <c r="CD67" s="61">
        <f t="shared" si="39"/>
        <v>0</v>
      </c>
      <c r="CE67" s="61">
        <f t="shared" si="39"/>
        <v>0</v>
      </c>
      <c r="CF67" s="61">
        <f t="shared" si="39"/>
        <v>0</v>
      </c>
      <c r="CG67" s="61">
        <f t="shared" si="39"/>
        <v>0</v>
      </c>
      <c r="CH67" s="61">
        <f t="shared" si="36"/>
        <v>0</v>
      </c>
      <c r="CI67" s="61">
        <f t="shared" si="7"/>
        <v>0</v>
      </c>
      <c r="CJ67" s="61"/>
      <c r="CK67" s="61">
        <f t="shared" si="40"/>
        <v>0</v>
      </c>
      <c r="CL67" s="61">
        <f t="shared" si="40"/>
        <v>0</v>
      </c>
      <c r="CM67" s="61">
        <f t="shared" si="40"/>
        <v>0</v>
      </c>
      <c r="CN67" s="61">
        <f t="shared" si="40"/>
        <v>0</v>
      </c>
      <c r="CO67" s="61">
        <f t="shared" si="40"/>
        <v>0</v>
      </c>
      <c r="CP67" s="61">
        <f t="shared" si="40"/>
        <v>0</v>
      </c>
      <c r="CQ67" s="61">
        <f t="shared" si="40"/>
        <v>0</v>
      </c>
      <c r="CR67" s="61">
        <f t="shared" si="37"/>
        <v>0</v>
      </c>
      <c r="CS67" s="61">
        <f t="shared" si="9"/>
        <v>0</v>
      </c>
      <c r="CT67" s="61">
        <f t="shared" si="10"/>
        <v>0</v>
      </c>
      <c r="CV67" s="61">
        <f t="shared" si="11"/>
        <v>0</v>
      </c>
      <c r="CW67" s="61">
        <f t="shared" si="58"/>
        <v>0</v>
      </c>
      <c r="CX67" s="61"/>
      <c r="CY67" s="61">
        <f t="shared" si="59"/>
        <v>0</v>
      </c>
      <c r="CZ67" s="61">
        <f t="shared" si="13"/>
        <v>0</v>
      </c>
      <c r="DA67" s="61">
        <f t="shared" si="13"/>
        <v>0</v>
      </c>
      <c r="DB67" s="2" t="s">
        <v>85</v>
      </c>
      <c r="DC67" s="2" t="s">
        <v>85</v>
      </c>
      <c r="DD67" s="2" t="s">
        <v>142</v>
      </c>
      <c r="DE67" s="2" t="s">
        <v>106</v>
      </c>
      <c r="DG67" s="62"/>
      <c r="DZ67" s="3" t="e">
        <v>#N/A</v>
      </c>
      <c r="EC67" s="60"/>
      <c r="ED67" s="60"/>
      <c r="EE67" s="60"/>
      <c r="EF67" s="60"/>
    </row>
    <row r="68" spans="2:140" ht="12.75" hidden="1" customHeight="1">
      <c r="B68" s="23" t="s">
        <v>213</v>
      </c>
      <c r="C68" s="22" t="s">
        <v>200</v>
      </c>
      <c r="D68" s="22" t="s">
        <v>201</v>
      </c>
      <c r="E68" s="2" t="str">
        <f>VLOOKUP($C68,[1]Detail!$C:$AK,6,0)</f>
        <v>PMT2</v>
      </c>
      <c r="F68" s="2" t="str">
        <f>VLOOKUP($C68,[1]Detail!$C:$AK,7,0)</f>
        <v>TH</v>
      </c>
      <c r="G68" s="2" t="str">
        <f>VLOOKUP($C68,[1]Detail!$C:$AK,5,0)</f>
        <v>D</v>
      </c>
      <c r="J68" s="22" t="s">
        <v>138</v>
      </c>
      <c r="K68" s="23" t="s">
        <v>202</v>
      </c>
      <c r="L68" s="22" t="s">
        <v>212</v>
      </c>
      <c r="M68" s="51" t="str">
        <f t="shared" si="0"/>
        <v>JD8B-F51918-DBW</v>
      </c>
      <c r="O68" s="22">
        <v>0</v>
      </c>
      <c r="P68" s="22">
        <v>0</v>
      </c>
      <c r="Q68" s="22">
        <v>0</v>
      </c>
      <c r="R68" s="22">
        <v>0</v>
      </c>
      <c r="S68" s="22">
        <v>1</v>
      </c>
      <c r="T68" s="22">
        <v>1</v>
      </c>
      <c r="U68" s="22">
        <v>1</v>
      </c>
      <c r="V68" s="22">
        <v>1</v>
      </c>
      <c r="W68" s="64">
        <f t="shared" si="47"/>
        <v>0.33</v>
      </c>
      <c r="Y68" s="60">
        <f>-321.01+6.42</f>
        <v>-314.58999999999997</v>
      </c>
      <c r="Z68" s="60">
        <v>-3</v>
      </c>
      <c r="AA68" s="60">
        <v>-4</v>
      </c>
      <c r="AB68" s="60">
        <v>-0.08</v>
      </c>
      <c r="AC68" s="60">
        <v>0</v>
      </c>
      <c r="AD68" s="8">
        <f t="shared" si="38"/>
        <v>-321.66999999999996</v>
      </c>
      <c r="AE68" s="2" t="s">
        <v>91</v>
      </c>
      <c r="AG68" s="71" t="s">
        <v>183</v>
      </c>
      <c r="AH68" s="71" t="s">
        <v>183</v>
      </c>
      <c r="AJ68" s="71">
        <v>0</v>
      </c>
      <c r="AK68" s="71">
        <v>0</v>
      </c>
      <c r="AL68" s="72">
        <v>0</v>
      </c>
      <c r="AM68" s="22"/>
      <c r="AO68" s="22" t="s">
        <v>138</v>
      </c>
      <c r="AP68" s="23" t="s">
        <v>202</v>
      </c>
      <c r="AQ68" s="22" t="s">
        <v>212</v>
      </c>
      <c r="AR68" s="51" t="str">
        <f t="shared" si="14"/>
        <v>JD8B-F51918-DBW</v>
      </c>
      <c r="AS68" s="3"/>
      <c r="AT68" s="22">
        <v>0</v>
      </c>
      <c r="AU68" s="22">
        <v>0</v>
      </c>
      <c r="AV68" s="22">
        <v>0</v>
      </c>
      <c r="AW68" s="22">
        <v>0</v>
      </c>
      <c r="AX68" s="22">
        <v>1</v>
      </c>
      <c r="AY68" s="22">
        <v>1</v>
      </c>
      <c r="AZ68" s="22">
        <v>1</v>
      </c>
      <c r="BA68" s="22">
        <v>1</v>
      </c>
      <c r="BB68" s="2">
        <f t="shared" si="48"/>
        <v>0.33</v>
      </c>
      <c r="BD68" s="60">
        <f>-321.01+6.42</f>
        <v>-314.58999999999997</v>
      </c>
      <c r="BE68" s="60">
        <v>-3</v>
      </c>
      <c r="BF68" s="60">
        <v>-4</v>
      </c>
      <c r="BG68" s="60">
        <v>-0.08</v>
      </c>
      <c r="BH68" s="60">
        <v>0</v>
      </c>
      <c r="BI68" s="8">
        <f t="shared" si="57"/>
        <v>-321.66999999999996</v>
      </c>
      <c r="BJ68" s="2" t="s">
        <v>91</v>
      </c>
      <c r="BL68" s="71">
        <v>0</v>
      </c>
      <c r="BM68" s="71">
        <v>0</v>
      </c>
      <c r="BO68" s="71">
        <v>0</v>
      </c>
      <c r="BP68" s="71">
        <v>0</v>
      </c>
      <c r="BQ68" s="72">
        <v>0</v>
      </c>
      <c r="BS68" s="61">
        <f t="shared" si="44"/>
        <v>0</v>
      </c>
      <c r="BT68" s="61">
        <f t="shared" si="45"/>
        <v>0</v>
      </c>
      <c r="BU68" s="61">
        <f t="shared" si="46"/>
        <v>0</v>
      </c>
      <c r="BV68" s="61">
        <f t="shared" si="46"/>
        <v>0</v>
      </c>
      <c r="BW68" s="61">
        <f t="shared" si="46"/>
        <v>0</v>
      </c>
      <c r="BX68" s="61">
        <f t="shared" si="46"/>
        <v>0</v>
      </c>
      <c r="BY68" s="61" t="s">
        <v>91</v>
      </c>
      <c r="CA68" s="61">
        <f t="shared" si="39"/>
        <v>0</v>
      </c>
      <c r="CB68" s="61">
        <f t="shared" si="39"/>
        <v>0</v>
      </c>
      <c r="CC68" s="61">
        <f t="shared" si="39"/>
        <v>0</v>
      </c>
      <c r="CD68" s="61">
        <f t="shared" si="39"/>
        <v>0</v>
      </c>
      <c r="CE68" s="61">
        <f t="shared" si="39"/>
        <v>0</v>
      </c>
      <c r="CF68" s="61">
        <f t="shared" si="39"/>
        <v>0</v>
      </c>
      <c r="CG68" s="61">
        <f t="shared" si="39"/>
        <v>0</v>
      </c>
      <c r="CH68" s="61">
        <f t="shared" si="36"/>
        <v>0</v>
      </c>
      <c r="CI68" s="61">
        <f t="shared" si="7"/>
        <v>0</v>
      </c>
      <c r="CJ68" s="61"/>
      <c r="CK68" s="61">
        <f t="shared" si="40"/>
        <v>0</v>
      </c>
      <c r="CL68" s="61">
        <f t="shared" si="40"/>
        <v>0</v>
      </c>
      <c r="CM68" s="61">
        <f t="shared" si="40"/>
        <v>0</v>
      </c>
      <c r="CN68" s="61">
        <f t="shared" si="40"/>
        <v>0</v>
      </c>
      <c r="CO68" s="61">
        <f t="shared" si="40"/>
        <v>0</v>
      </c>
      <c r="CP68" s="61">
        <f t="shared" si="40"/>
        <v>0</v>
      </c>
      <c r="CQ68" s="61">
        <f t="shared" si="40"/>
        <v>0</v>
      </c>
      <c r="CR68" s="61">
        <f t="shared" si="37"/>
        <v>0</v>
      </c>
      <c r="CS68" s="61">
        <f t="shared" si="9"/>
        <v>0</v>
      </c>
      <c r="CT68" s="61">
        <f t="shared" si="10"/>
        <v>0</v>
      </c>
      <c r="CV68" s="61">
        <f t="shared" si="11"/>
        <v>0</v>
      </c>
      <c r="CW68" s="61">
        <f t="shared" si="58"/>
        <v>0</v>
      </c>
      <c r="CX68" s="61"/>
      <c r="CY68" s="61">
        <f t="shared" si="59"/>
        <v>0</v>
      </c>
      <c r="CZ68" s="61">
        <f t="shared" si="13"/>
        <v>0</v>
      </c>
      <c r="DA68" s="61">
        <f t="shared" si="13"/>
        <v>0</v>
      </c>
      <c r="DB68" s="2" t="s">
        <v>85</v>
      </c>
      <c r="DC68" s="2" t="s">
        <v>85</v>
      </c>
      <c r="DD68" s="2" t="s">
        <v>142</v>
      </c>
      <c r="DE68" s="2" t="s">
        <v>106</v>
      </c>
      <c r="DG68" s="62"/>
      <c r="DZ68" s="3" t="e">
        <v>#N/A</v>
      </c>
      <c r="EC68" s="60"/>
      <c r="ED68" s="60"/>
      <c r="EE68" s="60"/>
      <c r="EF68" s="60"/>
    </row>
    <row r="69" spans="2:140" ht="12.75" hidden="1" customHeight="1">
      <c r="B69" s="23" t="s">
        <v>209</v>
      </c>
      <c r="C69" s="22" t="s">
        <v>200</v>
      </c>
      <c r="D69" s="22" t="s">
        <v>194</v>
      </c>
      <c r="E69" s="2" t="str">
        <f>VLOOKUP($C69,[1]Detail!$C:$AK,6,0)</f>
        <v>PMT2</v>
      </c>
      <c r="F69" s="2" t="str">
        <f>VLOOKUP($C69,[1]Detail!$C:$AK,7,0)</f>
        <v>TH</v>
      </c>
      <c r="G69" s="2" t="str">
        <f>VLOOKUP($C69,[1]Detail!$C:$AK,5,0)</f>
        <v>D</v>
      </c>
      <c r="J69" s="22" t="s">
        <v>138</v>
      </c>
      <c r="K69" s="23" t="s">
        <v>202</v>
      </c>
      <c r="L69" s="22" t="s">
        <v>93</v>
      </c>
      <c r="M69" s="51" t="str">
        <f t="shared" si="0"/>
        <v>JD8B-F51918-ABW</v>
      </c>
      <c r="O69" s="22">
        <v>1</v>
      </c>
      <c r="P69" s="22">
        <v>1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64">
        <f t="shared" si="47"/>
        <v>0.30000000000000004</v>
      </c>
      <c r="Y69" s="60">
        <f>-250.01+4.92</f>
        <v>-245.09</v>
      </c>
      <c r="Z69" s="60">
        <v>-3</v>
      </c>
      <c r="AA69" s="60">
        <v>-4</v>
      </c>
      <c r="AB69" s="60">
        <v>-0.08</v>
      </c>
      <c r="AC69" s="60">
        <v>0</v>
      </c>
      <c r="AD69" s="8">
        <f t="shared" si="38"/>
        <v>-252.17000000000002</v>
      </c>
      <c r="AE69" s="2" t="s">
        <v>91</v>
      </c>
      <c r="AG69" s="70">
        <f>-120000</f>
        <v>-120000</v>
      </c>
      <c r="AH69" s="70">
        <f>-120000</f>
        <v>-120000</v>
      </c>
      <c r="AI69" s="6"/>
      <c r="AJ69" s="71">
        <v>0</v>
      </c>
      <c r="AK69" s="71">
        <v>0</v>
      </c>
      <c r="AL69" s="72">
        <v>0</v>
      </c>
      <c r="AM69" s="22"/>
      <c r="AO69" s="22" t="s">
        <v>138</v>
      </c>
      <c r="AP69" s="23" t="s">
        <v>202</v>
      </c>
      <c r="AQ69" s="22" t="s">
        <v>83</v>
      </c>
      <c r="AR69" s="51" t="str">
        <f>TRIM(AO69)&amp;"-"&amp;TRIM(AP69)&amp;"-"&amp;TRIM(AQ69)</f>
        <v>JD8B-F51918-AAW</v>
      </c>
      <c r="AS69" s="3"/>
      <c r="AT69" s="22">
        <v>1</v>
      </c>
      <c r="AU69" s="22">
        <v>1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">
        <f>SUMPRODUCT(AT69:BA69,$AT$6:$BA$6)</f>
        <v>0.30000000000000004</v>
      </c>
      <c r="BD69" s="60">
        <f>-250.01+4.92</f>
        <v>-245.09</v>
      </c>
      <c r="BE69" s="60">
        <v>-3</v>
      </c>
      <c r="BF69" s="60">
        <v>-4</v>
      </c>
      <c r="BG69" s="60">
        <v>-0.08</v>
      </c>
      <c r="BH69" s="60">
        <v>0</v>
      </c>
      <c r="BI69" s="8">
        <f>SUM(BD69:BH69)</f>
        <v>-252.17000000000002</v>
      </c>
      <c r="BJ69" s="2" t="s">
        <v>91</v>
      </c>
      <c r="BL69" s="70">
        <v>-120000</v>
      </c>
      <c r="BM69" s="70">
        <v>-120000</v>
      </c>
      <c r="BO69" s="71">
        <v>0</v>
      </c>
      <c r="BP69" s="71">
        <v>0</v>
      </c>
      <c r="BQ69" s="72">
        <v>0</v>
      </c>
      <c r="BS69" s="61">
        <f t="shared" si="44"/>
        <v>0</v>
      </c>
      <c r="BT69" s="61">
        <f t="shared" si="45"/>
        <v>0</v>
      </c>
      <c r="BU69" s="61">
        <f t="shared" si="46"/>
        <v>0</v>
      </c>
      <c r="BV69" s="61">
        <f t="shared" si="46"/>
        <v>0</v>
      </c>
      <c r="BW69" s="61">
        <f t="shared" si="46"/>
        <v>0</v>
      </c>
      <c r="BX69" s="61">
        <f t="shared" si="46"/>
        <v>0</v>
      </c>
      <c r="BY69" s="61" t="s">
        <v>91</v>
      </c>
      <c r="CA69" s="61">
        <f t="shared" si="39"/>
        <v>0</v>
      </c>
      <c r="CB69" s="61">
        <f t="shared" si="39"/>
        <v>0</v>
      </c>
      <c r="CC69" s="61">
        <f t="shared" si="39"/>
        <v>0</v>
      </c>
      <c r="CD69" s="61">
        <f t="shared" si="39"/>
        <v>0</v>
      </c>
      <c r="CE69" s="61">
        <f t="shared" si="39"/>
        <v>0</v>
      </c>
      <c r="CF69" s="61">
        <f t="shared" si="39"/>
        <v>0</v>
      </c>
      <c r="CG69" s="61">
        <f t="shared" si="39"/>
        <v>0</v>
      </c>
      <c r="CH69" s="61">
        <f t="shared" si="36"/>
        <v>0</v>
      </c>
      <c r="CI69" s="61">
        <f t="shared" si="7"/>
        <v>0</v>
      </c>
      <c r="CJ69" s="61"/>
      <c r="CK69" s="61">
        <f t="shared" si="40"/>
        <v>0</v>
      </c>
      <c r="CL69" s="61">
        <f t="shared" si="40"/>
        <v>0</v>
      </c>
      <c r="CM69" s="61">
        <f t="shared" si="40"/>
        <v>0</v>
      </c>
      <c r="CN69" s="61">
        <f t="shared" si="40"/>
        <v>0</v>
      </c>
      <c r="CO69" s="61">
        <f t="shared" si="40"/>
        <v>0</v>
      </c>
      <c r="CP69" s="61">
        <f t="shared" si="40"/>
        <v>0</v>
      </c>
      <c r="CQ69" s="61">
        <f t="shared" si="40"/>
        <v>0</v>
      </c>
      <c r="CR69" s="61">
        <f t="shared" si="37"/>
        <v>0</v>
      </c>
      <c r="CS69" s="61">
        <f t="shared" si="9"/>
        <v>0</v>
      </c>
      <c r="CT69" s="61">
        <f t="shared" si="10"/>
        <v>0</v>
      </c>
      <c r="CV69" s="61">
        <f t="shared" si="11"/>
        <v>0</v>
      </c>
      <c r="CW69" s="61">
        <f>SUM(AH69)-SUM(BM69)</f>
        <v>0</v>
      </c>
      <c r="CX69" s="61"/>
      <c r="CY69" s="61">
        <f>SUM(AJ69)-SUM(BO69)</f>
        <v>0</v>
      </c>
      <c r="CZ69" s="61">
        <f>SUM(AK69)-SUM(BP69)</f>
        <v>0</v>
      </c>
      <c r="DA69" s="61">
        <f>SUM(AL69)-SUM(BQ69)</f>
        <v>0</v>
      </c>
      <c r="DB69" s="2" t="s">
        <v>134</v>
      </c>
      <c r="DC69" s="2" t="s">
        <v>85</v>
      </c>
      <c r="DD69" s="2" t="s">
        <v>142</v>
      </c>
      <c r="DE69" s="2" t="s">
        <v>106</v>
      </c>
      <c r="DG69" s="62"/>
      <c r="DZ69" s="3" t="e">
        <v>#N/A</v>
      </c>
      <c r="EC69" s="60"/>
      <c r="ED69" s="60"/>
      <c r="EE69" s="60"/>
      <c r="EF69" s="60"/>
    </row>
    <row r="70" spans="2:140" ht="12.75" hidden="1" customHeight="1">
      <c r="B70" s="23" t="s">
        <v>214</v>
      </c>
      <c r="C70" s="22" t="s">
        <v>200</v>
      </c>
      <c r="D70" s="22" t="s">
        <v>201</v>
      </c>
      <c r="E70" s="2" t="str">
        <f>VLOOKUP($C70,[1]Detail!$C:$AK,6,0)</f>
        <v>PMT2</v>
      </c>
      <c r="F70" s="2" t="str">
        <f>VLOOKUP($C70,[1]Detail!$C:$AK,7,0)</f>
        <v>TH</v>
      </c>
      <c r="G70" s="2" t="str">
        <f>VLOOKUP($C70,[1]Detail!$C:$AK,5,0)</f>
        <v>D</v>
      </c>
      <c r="J70" s="22" t="s">
        <v>138</v>
      </c>
      <c r="K70" s="23" t="s">
        <v>202</v>
      </c>
      <c r="L70" s="22" t="s">
        <v>215</v>
      </c>
      <c r="M70" s="51" t="str">
        <f t="shared" si="0"/>
        <v>JD8B-F51918-BCW</v>
      </c>
      <c r="O70" s="22">
        <v>0</v>
      </c>
      <c r="P70" s="22">
        <v>0</v>
      </c>
      <c r="Q70" s="22">
        <v>1</v>
      </c>
      <c r="R70" s="22">
        <v>1</v>
      </c>
      <c r="S70" s="22">
        <v>0</v>
      </c>
      <c r="T70" s="22">
        <v>0</v>
      </c>
      <c r="U70" s="22">
        <v>0</v>
      </c>
      <c r="V70" s="22">
        <v>0</v>
      </c>
      <c r="W70" s="64">
        <f t="shared" si="47"/>
        <v>0.37</v>
      </c>
      <c r="Y70" s="60">
        <f>-324.06+6.53</f>
        <v>-317.53000000000003</v>
      </c>
      <c r="Z70" s="60">
        <v>-3</v>
      </c>
      <c r="AA70" s="60">
        <v>-4</v>
      </c>
      <c r="AB70" s="60">
        <v>-0.08</v>
      </c>
      <c r="AC70" s="60">
        <v>0</v>
      </c>
      <c r="AD70" s="8">
        <f t="shared" si="38"/>
        <v>-324.61</v>
      </c>
      <c r="AE70" s="2" t="s">
        <v>91</v>
      </c>
      <c r="AG70" s="71" t="s">
        <v>183</v>
      </c>
      <c r="AH70" s="71" t="s">
        <v>183</v>
      </c>
      <c r="AJ70" s="71">
        <v>0</v>
      </c>
      <c r="AK70" s="71">
        <v>0</v>
      </c>
      <c r="AL70" s="72">
        <v>0</v>
      </c>
      <c r="AM70" s="22"/>
      <c r="AO70" s="22" t="s">
        <v>138</v>
      </c>
      <c r="AP70" s="23" t="s">
        <v>202</v>
      </c>
      <c r="AQ70" s="22" t="s">
        <v>210</v>
      </c>
      <c r="AR70" s="51" t="str">
        <f t="shared" ref="AR70:AR72" si="60">TRIM(AO70)&amp;"-"&amp;TRIM(AP70)&amp;"-"&amp;TRIM(AQ70)</f>
        <v>JD8B-F51918-BBW</v>
      </c>
      <c r="AS70" s="3"/>
      <c r="AT70" s="22">
        <v>0</v>
      </c>
      <c r="AU70" s="22">
        <v>0</v>
      </c>
      <c r="AV70" s="22">
        <v>1</v>
      </c>
      <c r="AW70" s="22">
        <v>1</v>
      </c>
      <c r="AX70" s="22">
        <v>0</v>
      </c>
      <c r="AY70" s="22">
        <v>0</v>
      </c>
      <c r="AZ70" s="22">
        <v>0</v>
      </c>
      <c r="BA70" s="22">
        <v>0</v>
      </c>
      <c r="BB70" s="2">
        <f t="shared" ref="BB70:BB72" si="61">SUMPRODUCT(AT70:BA70,$AT$6:$BA$6)</f>
        <v>0.37</v>
      </c>
      <c r="BD70" s="60">
        <f>-324.06+6.53</f>
        <v>-317.53000000000003</v>
      </c>
      <c r="BE70" s="60">
        <v>-3</v>
      </c>
      <c r="BF70" s="60">
        <v>-4</v>
      </c>
      <c r="BG70" s="60">
        <v>-0.08</v>
      </c>
      <c r="BH70" s="60">
        <v>0</v>
      </c>
      <c r="BI70" s="8">
        <f t="shared" ref="BI70:BI72" si="62">SUM(BD70:BH70)</f>
        <v>-324.61</v>
      </c>
      <c r="BJ70" s="2" t="s">
        <v>91</v>
      </c>
      <c r="BL70" s="71">
        <v>0</v>
      </c>
      <c r="BM70" s="71">
        <v>0</v>
      </c>
      <c r="BO70" s="71">
        <v>0</v>
      </c>
      <c r="BP70" s="71">
        <v>0</v>
      </c>
      <c r="BQ70" s="72">
        <v>0</v>
      </c>
      <c r="BS70" s="61">
        <f t="shared" si="44"/>
        <v>0</v>
      </c>
      <c r="BT70" s="61">
        <f t="shared" si="45"/>
        <v>0</v>
      </c>
      <c r="BU70" s="61">
        <f t="shared" si="46"/>
        <v>0</v>
      </c>
      <c r="BV70" s="61">
        <f t="shared" si="46"/>
        <v>0</v>
      </c>
      <c r="BW70" s="61">
        <f t="shared" si="46"/>
        <v>0</v>
      </c>
      <c r="BX70" s="61">
        <f t="shared" si="46"/>
        <v>0</v>
      </c>
      <c r="BY70" s="61" t="s">
        <v>91</v>
      </c>
      <c r="CA70" s="61">
        <f t="shared" si="39"/>
        <v>0</v>
      </c>
      <c r="CB70" s="61">
        <f t="shared" si="39"/>
        <v>0</v>
      </c>
      <c r="CC70" s="61">
        <f t="shared" si="39"/>
        <v>0</v>
      </c>
      <c r="CD70" s="61">
        <f t="shared" si="39"/>
        <v>0</v>
      </c>
      <c r="CE70" s="61">
        <f t="shared" si="39"/>
        <v>0</v>
      </c>
      <c r="CF70" s="61">
        <f t="shared" si="39"/>
        <v>0</v>
      </c>
      <c r="CG70" s="61">
        <f t="shared" si="39"/>
        <v>0</v>
      </c>
      <c r="CH70" s="61">
        <f t="shared" si="36"/>
        <v>0</v>
      </c>
      <c r="CI70" s="61">
        <f t="shared" si="7"/>
        <v>0</v>
      </c>
      <c r="CJ70" s="61"/>
      <c r="CK70" s="61">
        <f t="shared" si="40"/>
        <v>0</v>
      </c>
      <c r="CL70" s="61">
        <f t="shared" si="40"/>
        <v>0</v>
      </c>
      <c r="CM70" s="61">
        <f t="shared" si="40"/>
        <v>0</v>
      </c>
      <c r="CN70" s="61">
        <f t="shared" si="40"/>
        <v>0</v>
      </c>
      <c r="CO70" s="61">
        <f t="shared" si="40"/>
        <v>0</v>
      </c>
      <c r="CP70" s="61">
        <f t="shared" si="40"/>
        <v>0</v>
      </c>
      <c r="CQ70" s="61">
        <f t="shared" si="40"/>
        <v>0</v>
      </c>
      <c r="CR70" s="61">
        <f t="shared" si="37"/>
        <v>0</v>
      </c>
      <c r="CS70" s="61">
        <f t="shared" si="9"/>
        <v>0</v>
      </c>
      <c r="CT70" s="61">
        <f t="shared" si="10"/>
        <v>0</v>
      </c>
      <c r="CV70" s="61">
        <f t="shared" si="11"/>
        <v>0</v>
      </c>
      <c r="CW70" s="61">
        <f t="shared" ref="CW70:CW72" si="63">SUM(AH70)-SUM(BM70)</f>
        <v>0</v>
      </c>
      <c r="CX70" s="61"/>
      <c r="CY70" s="61">
        <f t="shared" ref="CY70:CY72" si="64">SUM(AJ70)-SUM(BO70)</f>
        <v>0</v>
      </c>
      <c r="CZ70" s="61">
        <f t="shared" ref="CZ70:DA72" si="65">SUM(AK70)-SUM(BP70)</f>
        <v>0</v>
      </c>
      <c r="DA70" s="61">
        <f t="shared" si="65"/>
        <v>0</v>
      </c>
      <c r="DB70" s="2" t="s">
        <v>134</v>
      </c>
      <c r="DC70" s="2" t="s">
        <v>85</v>
      </c>
      <c r="DD70" s="2" t="s">
        <v>142</v>
      </c>
      <c r="DE70" s="2" t="s">
        <v>106</v>
      </c>
      <c r="DF70" s="3" t="s">
        <v>86</v>
      </c>
      <c r="DG70" s="62">
        <v>43074</v>
      </c>
      <c r="EC70" s="60"/>
      <c r="ED70" s="60"/>
      <c r="EE70" s="60"/>
      <c r="EF70" s="60"/>
    </row>
    <row r="71" spans="2:140" ht="12.75" hidden="1" customHeight="1">
      <c r="B71" s="23" t="s">
        <v>214</v>
      </c>
      <c r="C71" s="22" t="s">
        <v>200</v>
      </c>
      <c r="D71" s="22" t="s">
        <v>201</v>
      </c>
      <c r="E71" s="2" t="str">
        <f>VLOOKUP($C71,[1]Detail!$C:$AK,6,0)</f>
        <v>PMT2</v>
      </c>
      <c r="F71" s="2" t="str">
        <f>VLOOKUP($C71,[1]Detail!$C:$AK,7,0)</f>
        <v>TH</v>
      </c>
      <c r="G71" s="2" t="str">
        <f>VLOOKUP($C71,[1]Detail!$C:$AK,5,0)</f>
        <v>D</v>
      </c>
      <c r="J71" s="22" t="s">
        <v>138</v>
      </c>
      <c r="K71" s="23" t="s">
        <v>202</v>
      </c>
      <c r="L71" s="22" t="s">
        <v>216</v>
      </c>
      <c r="M71" s="51" t="str">
        <f t="shared" ref="M71:M83" si="66">TRIM(J71)&amp;"-"&amp;TRIM(K71)&amp;"-"&amp;TRIM(L71)</f>
        <v>JD8B-F51918-CCW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64">
        <f t="shared" si="47"/>
        <v>0</v>
      </c>
      <c r="Y71" s="60">
        <f>-321.01+6.42</f>
        <v>-314.58999999999997</v>
      </c>
      <c r="Z71" s="60">
        <v>-3</v>
      </c>
      <c r="AA71" s="60">
        <v>-4</v>
      </c>
      <c r="AB71" s="60">
        <v>-0.08</v>
      </c>
      <c r="AC71" s="60">
        <v>0</v>
      </c>
      <c r="AD71" s="8">
        <f t="shared" ref="AD71:AD83" si="67">SUM(Y71:AC71)</f>
        <v>-321.66999999999996</v>
      </c>
      <c r="AE71" s="2" t="s">
        <v>91</v>
      </c>
      <c r="AG71" s="71" t="s">
        <v>183</v>
      </c>
      <c r="AH71" s="71" t="s">
        <v>183</v>
      </c>
      <c r="AJ71" s="71">
        <v>0</v>
      </c>
      <c r="AK71" s="71">
        <v>0</v>
      </c>
      <c r="AL71" s="72">
        <v>0</v>
      </c>
      <c r="AM71" s="22"/>
      <c r="AO71" s="22" t="s">
        <v>138</v>
      </c>
      <c r="AP71" s="23" t="s">
        <v>202</v>
      </c>
      <c r="AQ71" s="22" t="s">
        <v>211</v>
      </c>
      <c r="AR71" s="51" t="str">
        <f t="shared" si="60"/>
        <v>JD8B-F51918-CBW</v>
      </c>
      <c r="AS71" s="3"/>
      <c r="AT71" s="22">
        <v>0</v>
      </c>
      <c r="AU71" s="22">
        <v>0</v>
      </c>
      <c r="AV71" s="22">
        <v>0</v>
      </c>
      <c r="AW71" s="22">
        <v>0</v>
      </c>
      <c r="AX71" s="22">
        <v>0</v>
      </c>
      <c r="AY71" s="22">
        <v>0</v>
      </c>
      <c r="AZ71" s="22">
        <v>0</v>
      </c>
      <c r="BA71" s="22">
        <v>0</v>
      </c>
      <c r="BB71" s="2">
        <f t="shared" si="61"/>
        <v>0</v>
      </c>
      <c r="BD71" s="60">
        <f>-321.01+6.42</f>
        <v>-314.58999999999997</v>
      </c>
      <c r="BE71" s="60">
        <v>-3</v>
      </c>
      <c r="BF71" s="60">
        <v>-4</v>
      </c>
      <c r="BG71" s="60">
        <v>-0.08</v>
      </c>
      <c r="BH71" s="60">
        <v>0</v>
      </c>
      <c r="BI71" s="8">
        <f t="shared" si="62"/>
        <v>-321.66999999999996</v>
      </c>
      <c r="BJ71" s="2" t="s">
        <v>91</v>
      </c>
      <c r="BL71" s="71">
        <v>0</v>
      </c>
      <c r="BM71" s="71">
        <v>0</v>
      </c>
      <c r="BO71" s="71">
        <v>0</v>
      </c>
      <c r="BP71" s="71">
        <v>0</v>
      </c>
      <c r="BQ71" s="72">
        <v>0</v>
      </c>
      <c r="BS71" s="61">
        <f t="shared" si="44"/>
        <v>0</v>
      </c>
      <c r="BT71" s="61">
        <f t="shared" si="45"/>
        <v>0</v>
      </c>
      <c r="BU71" s="61">
        <f t="shared" si="46"/>
        <v>0</v>
      </c>
      <c r="BV71" s="61">
        <f t="shared" si="46"/>
        <v>0</v>
      </c>
      <c r="BW71" s="61">
        <f t="shared" si="46"/>
        <v>0</v>
      </c>
      <c r="BX71" s="61">
        <f t="shared" si="46"/>
        <v>0</v>
      </c>
      <c r="BY71" s="61" t="s">
        <v>91</v>
      </c>
      <c r="CA71" s="61">
        <f t="shared" si="39"/>
        <v>0</v>
      </c>
      <c r="CB71" s="61">
        <f t="shared" si="39"/>
        <v>0</v>
      </c>
      <c r="CC71" s="61">
        <f t="shared" si="39"/>
        <v>0</v>
      </c>
      <c r="CD71" s="61">
        <f t="shared" si="39"/>
        <v>0</v>
      </c>
      <c r="CE71" s="61">
        <f t="shared" si="39"/>
        <v>0</v>
      </c>
      <c r="CF71" s="61">
        <f t="shared" si="39"/>
        <v>0</v>
      </c>
      <c r="CG71" s="61">
        <f t="shared" si="39"/>
        <v>0</v>
      </c>
      <c r="CH71" s="61">
        <f t="shared" si="36"/>
        <v>0</v>
      </c>
      <c r="CI71" s="61">
        <f t="shared" ref="CI71:CI134" si="68">SUMPRODUCT(CA71:CH71,$O$6:$V$6)</f>
        <v>0</v>
      </c>
      <c r="CJ71" s="61"/>
      <c r="CK71" s="61">
        <f t="shared" si="40"/>
        <v>0</v>
      </c>
      <c r="CL71" s="61">
        <f t="shared" si="40"/>
        <v>0</v>
      </c>
      <c r="CM71" s="61">
        <f t="shared" si="40"/>
        <v>0</v>
      </c>
      <c r="CN71" s="61">
        <f t="shared" si="40"/>
        <v>0</v>
      </c>
      <c r="CO71" s="61">
        <f t="shared" si="40"/>
        <v>0</v>
      </c>
      <c r="CP71" s="61">
        <f t="shared" si="40"/>
        <v>0</v>
      </c>
      <c r="CQ71" s="61">
        <f t="shared" si="40"/>
        <v>0</v>
      </c>
      <c r="CR71" s="61">
        <f t="shared" si="37"/>
        <v>0</v>
      </c>
      <c r="CS71" s="61">
        <f t="shared" ref="CS71:CS134" si="69">SUMPRODUCT(CK71:CR71,$O$6:$V$6)</f>
        <v>0</v>
      </c>
      <c r="CT71" s="61">
        <f t="shared" ref="CT71:CT134" si="70">CS71*$C$2</f>
        <v>0</v>
      </c>
      <c r="CV71" s="61">
        <f t="shared" ref="CV71:CV134" si="71">SUM(AG71)-SUM(BL71)</f>
        <v>0</v>
      </c>
      <c r="CW71" s="61">
        <f t="shared" si="63"/>
        <v>0</v>
      </c>
      <c r="CX71" s="61"/>
      <c r="CY71" s="61">
        <f t="shared" si="64"/>
        <v>0</v>
      </c>
      <c r="CZ71" s="61">
        <f t="shared" si="65"/>
        <v>0</v>
      </c>
      <c r="DA71" s="61">
        <f t="shared" si="65"/>
        <v>0</v>
      </c>
      <c r="DB71" s="2" t="s">
        <v>134</v>
      </c>
      <c r="DC71" s="2" t="s">
        <v>85</v>
      </c>
      <c r="DD71" s="2" t="s">
        <v>142</v>
      </c>
      <c r="DE71" s="2" t="s">
        <v>106</v>
      </c>
      <c r="DF71" s="3" t="s">
        <v>86</v>
      </c>
      <c r="DG71" s="62">
        <v>43074</v>
      </c>
      <c r="EC71" s="60"/>
      <c r="ED71" s="60"/>
      <c r="EE71" s="60"/>
      <c r="EF71" s="60"/>
    </row>
    <row r="72" spans="2:140" ht="12.75" hidden="1" customHeight="1">
      <c r="B72" s="23" t="s">
        <v>214</v>
      </c>
      <c r="C72" s="22" t="s">
        <v>200</v>
      </c>
      <c r="D72" s="22" t="s">
        <v>201</v>
      </c>
      <c r="E72" s="2" t="str">
        <f>VLOOKUP($C72,[1]Detail!$C:$AK,6,0)</f>
        <v>PMT2</v>
      </c>
      <c r="F72" s="2" t="str">
        <f>VLOOKUP($C72,[1]Detail!$C:$AK,7,0)</f>
        <v>TH</v>
      </c>
      <c r="G72" s="2" t="str">
        <f>VLOOKUP($C72,[1]Detail!$C:$AK,5,0)</f>
        <v>D</v>
      </c>
      <c r="J72" s="22" t="s">
        <v>138</v>
      </c>
      <c r="K72" s="23" t="s">
        <v>202</v>
      </c>
      <c r="L72" s="22" t="s">
        <v>217</v>
      </c>
      <c r="M72" s="51" t="str">
        <f t="shared" si="66"/>
        <v>JD8B-F51918-DCW</v>
      </c>
      <c r="O72" s="22">
        <v>0</v>
      </c>
      <c r="P72" s="22">
        <v>0</v>
      </c>
      <c r="Q72" s="22">
        <v>0</v>
      </c>
      <c r="R72" s="22">
        <v>0</v>
      </c>
      <c r="S72" s="22">
        <v>1</v>
      </c>
      <c r="T72" s="22">
        <v>1</v>
      </c>
      <c r="U72" s="22">
        <v>1</v>
      </c>
      <c r="V72" s="22">
        <v>1</v>
      </c>
      <c r="W72" s="64">
        <f t="shared" si="47"/>
        <v>0.33</v>
      </c>
      <c r="Y72" s="60">
        <f>-321.01+6.42</f>
        <v>-314.58999999999997</v>
      </c>
      <c r="Z72" s="60">
        <v>-3</v>
      </c>
      <c r="AA72" s="60">
        <v>-4</v>
      </c>
      <c r="AB72" s="60">
        <v>-0.08</v>
      </c>
      <c r="AC72" s="60">
        <v>0</v>
      </c>
      <c r="AD72" s="8">
        <f t="shared" si="67"/>
        <v>-321.66999999999996</v>
      </c>
      <c r="AE72" s="2" t="s">
        <v>91</v>
      </c>
      <c r="AG72" s="71" t="s">
        <v>183</v>
      </c>
      <c r="AH72" s="71" t="s">
        <v>183</v>
      </c>
      <c r="AJ72" s="71">
        <v>0</v>
      </c>
      <c r="AK72" s="71">
        <v>0</v>
      </c>
      <c r="AL72" s="72">
        <v>0</v>
      </c>
      <c r="AM72" s="22"/>
      <c r="AO72" s="22" t="s">
        <v>138</v>
      </c>
      <c r="AP72" s="23" t="s">
        <v>202</v>
      </c>
      <c r="AQ72" s="22" t="s">
        <v>212</v>
      </c>
      <c r="AR72" s="51" t="str">
        <f t="shared" si="60"/>
        <v>JD8B-F51918-DBW</v>
      </c>
      <c r="AS72" s="3"/>
      <c r="AT72" s="22">
        <v>0</v>
      </c>
      <c r="AU72" s="22">
        <v>0</v>
      </c>
      <c r="AV72" s="22">
        <v>0</v>
      </c>
      <c r="AW72" s="22">
        <v>0</v>
      </c>
      <c r="AX72" s="22">
        <v>1</v>
      </c>
      <c r="AY72" s="22">
        <v>1</v>
      </c>
      <c r="AZ72" s="22">
        <v>1</v>
      </c>
      <c r="BA72" s="22">
        <v>1</v>
      </c>
      <c r="BB72" s="2">
        <f t="shared" si="61"/>
        <v>0.33</v>
      </c>
      <c r="BD72" s="60">
        <f>-321.01+6.42</f>
        <v>-314.58999999999997</v>
      </c>
      <c r="BE72" s="60">
        <v>-3</v>
      </c>
      <c r="BF72" s="60">
        <v>-4</v>
      </c>
      <c r="BG72" s="60">
        <v>-0.08</v>
      </c>
      <c r="BH72" s="60">
        <v>0</v>
      </c>
      <c r="BI72" s="8">
        <f t="shared" si="62"/>
        <v>-321.66999999999996</v>
      </c>
      <c r="BJ72" s="2" t="s">
        <v>91</v>
      </c>
      <c r="BL72" s="71">
        <v>0</v>
      </c>
      <c r="BM72" s="71">
        <v>0</v>
      </c>
      <c r="BO72" s="71">
        <v>0</v>
      </c>
      <c r="BP72" s="71">
        <v>0</v>
      </c>
      <c r="BQ72" s="72">
        <v>0</v>
      </c>
      <c r="BS72" s="61">
        <f t="shared" si="44"/>
        <v>0</v>
      </c>
      <c r="BT72" s="61">
        <f t="shared" si="45"/>
        <v>0</v>
      </c>
      <c r="BU72" s="61">
        <f t="shared" si="46"/>
        <v>0</v>
      </c>
      <c r="BV72" s="61">
        <f t="shared" si="46"/>
        <v>0</v>
      </c>
      <c r="BW72" s="61">
        <f t="shared" si="46"/>
        <v>0</v>
      </c>
      <c r="BX72" s="61">
        <f t="shared" si="46"/>
        <v>0</v>
      </c>
      <c r="BY72" s="61" t="s">
        <v>91</v>
      </c>
      <c r="CA72" s="61">
        <f t="shared" si="39"/>
        <v>0</v>
      </c>
      <c r="CB72" s="61">
        <f t="shared" si="39"/>
        <v>0</v>
      </c>
      <c r="CC72" s="61">
        <f t="shared" si="39"/>
        <v>0</v>
      </c>
      <c r="CD72" s="61">
        <f t="shared" si="39"/>
        <v>0</v>
      </c>
      <c r="CE72" s="61">
        <f t="shared" si="39"/>
        <v>0</v>
      </c>
      <c r="CF72" s="61">
        <f t="shared" si="39"/>
        <v>0</v>
      </c>
      <c r="CG72" s="61">
        <f t="shared" si="39"/>
        <v>0</v>
      </c>
      <c r="CH72" s="61">
        <f t="shared" si="36"/>
        <v>0</v>
      </c>
      <c r="CI72" s="61">
        <f t="shared" si="68"/>
        <v>0</v>
      </c>
      <c r="CJ72" s="61"/>
      <c r="CK72" s="61">
        <f t="shared" si="40"/>
        <v>0</v>
      </c>
      <c r="CL72" s="61">
        <f t="shared" si="40"/>
        <v>0</v>
      </c>
      <c r="CM72" s="61">
        <f t="shared" si="40"/>
        <v>0</v>
      </c>
      <c r="CN72" s="61">
        <f t="shared" si="40"/>
        <v>0</v>
      </c>
      <c r="CO72" s="61">
        <f t="shared" si="40"/>
        <v>0</v>
      </c>
      <c r="CP72" s="61">
        <f t="shared" si="40"/>
        <v>0</v>
      </c>
      <c r="CQ72" s="61">
        <f t="shared" si="40"/>
        <v>0</v>
      </c>
      <c r="CR72" s="61">
        <f t="shared" si="37"/>
        <v>0</v>
      </c>
      <c r="CS72" s="61">
        <f t="shared" si="69"/>
        <v>0</v>
      </c>
      <c r="CT72" s="61">
        <f t="shared" si="70"/>
        <v>0</v>
      </c>
      <c r="CV72" s="61">
        <f t="shared" si="71"/>
        <v>0</v>
      </c>
      <c r="CW72" s="61">
        <f t="shared" si="63"/>
        <v>0</v>
      </c>
      <c r="CX72" s="61"/>
      <c r="CY72" s="61">
        <f t="shared" si="64"/>
        <v>0</v>
      </c>
      <c r="CZ72" s="61">
        <f t="shared" si="65"/>
        <v>0</v>
      </c>
      <c r="DA72" s="61">
        <f t="shared" si="65"/>
        <v>0</v>
      </c>
      <c r="DB72" s="2" t="s">
        <v>134</v>
      </c>
      <c r="DC72" s="2" t="s">
        <v>85</v>
      </c>
      <c r="DD72" s="2" t="s">
        <v>142</v>
      </c>
      <c r="DE72" s="2" t="s">
        <v>106</v>
      </c>
      <c r="DF72" s="3" t="s">
        <v>86</v>
      </c>
      <c r="DG72" s="62">
        <v>43074</v>
      </c>
      <c r="EC72" s="60"/>
      <c r="ED72" s="60"/>
      <c r="EE72" s="60"/>
      <c r="EF72" s="60"/>
    </row>
    <row r="73" spans="2:140" ht="12.75" hidden="1" customHeight="1">
      <c r="B73" s="1" t="s">
        <v>218</v>
      </c>
      <c r="C73" s="22" t="s">
        <v>200</v>
      </c>
      <c r="D73" s="22" t="s">
        <v>201</v>
      </c>
      <c r="E73" s="2" t="str">
        <f>VLOOKUP($C73,[1]Detail!$C:$AK,6,0)</f>
        <v>PMT2</v>
      </c>
      <c r="F73" s="2" t="str">
        <f>VLOOKUP($C73,[1]Detail!$C:$AK,7,0)</f>
        <v>TH</v>
      </c>
      <c r="G73" s="2" t="str">
        <f>VLOOKUP($C73,[1]Detail!$C:$AK,5,0)</f>
        <v>D</v>
      </c>
      <c r="J73" s="22" t="s">
        <v>138</v>
      </c>
      <c r="K73" s="23" t="s">
        <v>202</v>
      </c>
      <c r="L73" s="22" t="s">
        <v>219</v>
      </c>
      <c r="M73" s="51" t="str">
        <f t="shared" si="66"/>
        <v>JD8B-F51918-ACW</v>
      </c>
      <c r="O73" s="22">
        <v>1</v>
      </c>
      <c r="P73" s="22">
        <v>1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64">
        <f t="shared" si="47"/>
        <v>0.30000000000000004</v>
      </c>
      <c r="Y73" s="60">
        <f>-250.01+4.92-3.4</f>
        <v>-248.49</v>
      </c>
      <c r="Z73" s="60">
        <v>-3</v>
      </c>
      <c r="AA73" s="60">
        <v>-4</v>
      </c>
      <c r="AB73" s="60">
        <v>-0.08</v>
      </c>
      <c r="AC73" s="60">
        <v>0</v>
      </c>
      <c r="AD73" s="8">
        <f t="shared" si="67"/>
        <v>-255.57000000000002</v>
      </c>
      <c r="AE73" s="2" t="s">
        <v>91</v>
      </c>
      <c r="AG73" s="71">
        <f>-120000-10000</f>
        <v>-130000</v>
      </c>
      <c r="AH73" s="71">
        <f>-120000-10000</f>
        <v>-130000</v>
      </c>
      <c r="AI73" s="73"/>
      <c r="AJ73" s="71">
        <v>0</v>
      </c>
      <c r="AK73" s="71">
        <v>0</v>
      </c>
      <c r="AL73" s="72">
        <v>0</v>
      </c>
      <c r="AM73" s="22"/>
      <c r="AO73" s="22" t="s">
        <v>138</v>
      </c>
      <c r="AP73" s="23" t="s">
        <v>202</v>
      </c>
      <c r="AQ73" s="22" t="s">
        <v>220</v>
      </c>
      <c r="AR73" s="51" t="str">
        <f>TRIM(AO73)&amp;"-"&amp;TRIM(AP73)&amp;"-"&amp;TRIM(AQ73)</f>
        <v>JD8B-F51918-ABW</v>
      </c>
      <c r="AS73" s="3"/>
      <c r="AT73" s="22">
        <v>1</v>
      </c>
      <c r="AU73" s="22">
        <v>1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64">
        <f>SUMPRODUCT(AT73:BA73,$O$6:$V$6)</f>
        <v>0.30000000000000004</v>
      </c>
      <c r="BD73" s="60">
        <f>-250.01+4.92</f>
        <v>-245.09</v>
      </c>
      <c r="BE73" s="60">
        <v>-3</v>
      </c>
      <c r="BF73" s="60">
        <v>-4</v>
      </c>
      <c r="BG73" s="60">
        <v>-0.08</v>
      </c>
      <c r="BH73" s="60">
        <v>0</v>
      </c>
      <c r="BI73" s="8">
        <f>SUM(BD73:BH73)</f>
        <v>-252.17000000000002</v>
      </c>
      <c r="BJ73" s="2" t="s">
        <v>91</v>
      </c>
      <c r="BL73" s="71">
        <f>-120000</f>
        <v>-120000</v>
      </c>
      <c r="BM73" s="71">
        <f>-120000</f>
        <v>-120000</v>
      </c>
      <c r="BO73" s="71">
        <v>0</v>
      </c>
      <c r="BP73" s="71">
        <v>0</v>
      </c>
      <c r="BQ73" s="72">
        <v>0</v>
      </c>
      <c r="BS73" s="61">
        <f t="shared" si="44"/>
        <v>-3.4000000000000057</v>
      </c>
      <c r="BT73" s="61">
        <f t="shared" si="45"/>
        <v>0</v>
      </c>
      <c r="BU73" s="61">
        <f t="shared" si="46"/>
        <v>0</v>
      </c>
      <c r="BV73" s="61">
        <f t="shared" si="46"/>
        <v>0</v>
      </c>
      <c r="BW73" s="61">
        <f t="shared" si="46"/>
        <v>0</v>
      </c>
      <c r="BX73" s="61">
        <f t="shared" si="46"/>
        <v>-3.4000000000000057</v>
      </c>
      <c r="BY73" s="61" t="s">
        <v>91</v>
      </c>
      <c r="CA73" s="61">
        <f t="shared" si="39"/>
        <v>-0.51150895140665043</v>
      </c>
      <c r="CB73" s="61">
        <f t="shared" si="39"/>
        <v>-0.51150895140665043</v>
      </c>
      <c r="CC73" s="61">
        <f t="shared" si="39"/>
        <v>0</v>
      </c>
      <c r="CD73" s="61">
        <f t="shared" si="39"/>
        <v>0</v>
      </c>
      <c r="CE73" s="61">
        <f t="shared" si="39"/>
        <v>0</v>
      </c>
      <c r="CF73" s="61">
        <f t="shared" si="39"/>
        <v>0</v>
      </c>
      <c r="CG73" s="61">
        <f t="shared" si="39"/>
        <v>0</v>
      </c>
      <c r="CH73" s="61">
        <f t="shared" si="36"/>
        <v>0</v>
      </c>
      <c r="CI73" s="61">
        <f t="shared" si="68"/>
        <v>-0.15345268542199514</v>
      </c>
      <c r="CJ73" s="61"/>
      <c r="CK73" s="61">
        <f t="shared" si="40"/>
        <v>-0.51150895140665043</v>
      </c>
      <c r="CL73" s="61">
        <f t="shared" si="40"/>
        <v>-0.51150895140665043</v>
      </c>
      <c r="CM73" s="61">
        <f t="shared" si="40"/>
        <v>0</v>
      </c>
      <c r="CN73" s="61">
        <f t="shared" si="40"/>
        <v>0</v>
      </c>
      <c r="CO73" s="61">
        <f t="shared" si="40"/>
        <v>0</v>
      </c>
      <c r="CP73" s="61">
        <f t="shared" si="40"/>
        <v>0</v>
      </c>
      <c r="CQ73" s="61">
        <f t="shared" si="40"/>
        <v>0</v>
      </c>
      <c r="CR73" s="61">
        <f t="shared" si="37"/>
        <v>0</v>
      </c>
      <c r="CS73" s="61">
        <f t="shared" si="69"/>
        <v>-0.15345268542199514</v>
      </c>
      <c r="CT73" s="61">
        <f t="shared" si="70"/>
        <v>-1.0200000000000018</v>
      </c>
      <c r="CV73" s="61">
        <f t="shared" si="71"/>
        <v>-10000</v>
      </c>
      <c r="CW73" s="61">
        <f>SUM(AH73)-SUM(BM73)</f>
        <v>-10000</v>
      </c>
      <c r="CX73" s="61"/>
      <c r="CY73" s="61">
        <f t="shared" ref="CY73:DA76" si="72">SUM(AJ73)-SUM(BO73)</f>
        <v>0</v>
      </c>
      <c r="CZ73" s="61">
        <f t="shared" si="72"/>
        <v>0</v>
      </c>
      <c r="DA73" s="61">
        <f t="shared" si="72"/>
        <v>0</v>
      </c>
      <c r="DB73" s="2" t="s">
        <v>102</v>
      </c>
      <c r="DC73" s="2" t="s">
        <v>134</v>
      </c>
      <c r="DD73" s="2" t="s">
        <v>142</v>
      </c>
      <c r="DE73" s="2" t="s">
        <v>143</v>
      </c>
      <c r="DF73" s="3" t="s">
        <v>86</v>
      </c>
      <c r="DG73" s="62">
        <v>43103</v>
      </c>
      <c r="EC73" s="60" t="str">
        <f>VLOOKUP($M73,[1]Detail!$M:$BO,1,0)</f>
        <v>JD8B-F51918-ACW</v>
      </c>
      <c r="ED73" s="60">
        <f>VLOOKUP($M73,[1]Detail!$M:$BO,22,0)</f>
        <v>-255.57000000000002</v>
      </c>
      <c r="EE73" s="60">
        <f>VLOOKUP($M73,[1]Detail!$M:$BO,42,0)</f>
        <v>-130000</v>
      </c>
      <c r="EF73" s="60">
        <f>VLOOKUP($M73,[1]Detail!$M:$BO,45,0)</f>
        <v>0</v>
      </c>
      <c r="EH73" s="60">
        <f>ED73-AD73</f>
        <v>0</v>
      </c>
      <c r="EI73" s="60">
        <f>EE73-AG73</f>
        <v>0</v>
      </c>
      <c r="EJ73" s="60">
        <f t="shared" ref="EJ73:EJ76" si="73">EF73-AJ73</f>
        <v>0</v>
      </c>
    </row>
    <row r="74" spans="2:140" ht="12.75" hidden="1" customHeight="1">
      <c r="B74" s="1" t="s">
        <v>218</v>
      </c>
      <c r="C74" s="22" t="s">
        <v>200</v>
      </c>
      <c r="D74" s="22" t="s">
        <v>201</v>
      </c>
      <c r="E74" s="2" t="str">
        <f>VLOOKUP($C74,[1]Detail!$C:$AK,6,0)</f>
        <v>PMT2</v>
      </c>
      <c r="F74" s="2" t="str">
        <f>VLOOKUP($C74,[1]Detail!$C:$AK,7,0)</f>
        <v>TH</v>
      </c>
      <c r="G74" s="2" t="str">
        <f>VLOOKUP($C74,[1]Detail!$C:$AK,5,0)</f>
        <v>D</v>
      </c>
      <c r="J74" s="22" t="s">
        <v>138</v>
      </c>
      <c r="K74" s="23" t="s">
        <v>202</v>
      </c>
      <c r="L74" s="22" t="s">
        <v>221</v>
      </c>
      <c r="M74" s="51" t="str">
        <f t="shared" si="66"/>
        <v>JD8B-F51918-BDW</v>
      </c>
      <c r="O74" s="22">
        <v>0</v>
      </c>
      <c r="P74" s="22">
        <v>0</v>
      </c>
      <c r="Q74" s="22">
        <v>1</v>
      </c>
      <c r="R74" s="22">
        <v>1</v>
      </c>
      <c r="S74" s="22">
        <v>0</v>
      </c>
      <c r="T74" s="22">
        <v>0</v>
      </c>
      <c r="U74" s="22">
        <v>0</v>
      </c>
      <c r="V74" s="22">
        <v>0</v>
      </c>
      <c r="W74" s="64">
        <f t="shared" si="47"/>
        <v>0.37</v>
      </c>
      <c r="Y74" s="60">
        <f>-324.06+6.53-3.4</f>
        <v>-320.93</v>
      </c>
      <c r="Z74" s="60">
        <v>-3</v>
      </c>
      <c r="AA74" s="60">
        <v>-4</v>
      </c>
      <c r="AB74" s="60">
        <v>-0.08</v>
      </c>
      <c r="AC74" s="60">
        <v>0</v>
      </c>
      <c r="AD74" s="8">
        <f t="shared" si="67"/>
        <v>-328.01</v>
      </c>
      <c r="AE74" s="2" t="s">
        <v>91</v>
      </c>
      <c r="AG74" s="71" t="s">
        <v>183</v>
      </c>
      <c r="AH74" s="71" t="s">
        <v>183</v>
      </c>
      <c r="AJ74" s="71">
        <v>0</v>
      </c>
      <c r="AK74" s="71">
        <v>0</v>
      </c>
      <c r="AL74" s="72">
        <v>0</v>
      </c>
      <c r="AM74" s="22"/>
      <c r="AO74" s="22" t="s">
        <v>138</v>
      </c>
      <c r="AP74" s="23" t="s">
        <v>202</v>
      </c>
      <c r="AQ74" s="22" t="s">
        <v>222</v>
      </c>
      <c r="AR74" s="51" t="str">
        <f>TRIM(AO74)&amp;"-"&amp;TRIM(AP74)&amp;"-"&amp;TRIM(AQ74)</f>
        <v>JD8B-F51918-BCW</v>
      </c>
      <c r="AS74" s="3"/>
      <c r="AT74" s="22">
        <v>0</v>
      </c>
      <c r="AU74" s="22">
        <v>0</v>
      </c>
      <c r="AV74" s="22">
        <v>1</v>
      </c>
      <c r="AW74" s="22">
        <v>1</v>
      </c>
      <c r="AX74" s="22">
        <v>0</v>
      </c>
      <c r="AY74" s="22">
        <v>0</v>
      </c>
      <c r="AZ74" s="22">
        <v>0</v>
      </c>
      <c r="BA74" s="22">
        <v>0</v>
      </c>
      <c r="BB74" s="64">
        <f>SUMPRODUCT(AT74:BA74,$O$6:$V$6)</f>
        <v>0.37</v>
      </c>
      <c r="BD74" s="60">
        <f>-324.06+6.53</f>
        <v>-317.53000000000003</v>
      </c>
      <c r="BE74" s="60">
        <v>-3</v>
      </c>
      <c r="BF74" s="60">
        <v>-4</v>
      </c>
      <c r="BG74" s="60">
        <v>-0.08</v>
      </c>
      <c r="BH74" s="60">
        <v>0</v>
      </c>
      <c r="BI74" s="8">
        <f>SUM(BD74:BH74)</f>
        <v>-324.61</v>
      </c>
      <c r="BJ74" s="2" t="s">
        <v>91</v>
      </c>
      <c r="BL74" s="71" t="s">
        <v>183</v>
      </c>
      <c r="BM74" s="71" t="s">
        <v>183</v>
      </c>
      <c r="BO74" s="71">
        <v>0</v>
      </c>
      <c r="BP74" s="71">
        <v>0</v>
      </c>
      <c r="BQ74" s="72">
        <v>0</v>
      </c>
      <c r="BS74" s="61">
        <f t="shared" si="44"/>
        <v>-3.3999999999999773</v>
      </c>
      <c r="BT74" s="61">
        <f t="shared" si="45"/>
        <v>0</v>
      </c>
      <c r="BU74" s="61">
        <f t="shared" si="46"/>
        <v>0</v>
      </c>
      <c r="BV74" s="61">
        <f t="shared" si="46"/>
        <v>0</v>
      </c>
      <c r="BW74" s="61">
        <f t="shared" si="46"/>
        <v>0</v>
      </c>
      <c r="BX74" s="61">
        <f t="shared" si="46"/>
        <v>-3.3999999999999773</v>
      </c>
      <c r="BY74" s="61" t="s">
        <v>91</v>
      </c>
      <c r="CA74" s="61">
        <f t="shared" si="39"/>
        <v>0</v>
      </c>
      <c r="CB74" s="61">
        <f t="shared" si="39"/>
        <v>0</v>
      </c>
      <c r="CC74" s="61">
        <f t="shared" si="39"/>
        <v>-0.51150895140664621</v>
      </c>
      <c r="CD74" s="61">
        <f t="shared" si="39"/>
        <v>-0.51150895140664621</v>
      </c>
      <c r="CE74" s="61">
        <f t="shared" si="39"/>
        <v>0</v>
      </c>
      <c r="CF74" s="61">
        <f t="shared" si="39"/>
        <v>0</v>
      </c>
      <c r="CG74" s="61">
        <f t="shared" si="39"/>
        <v>0</v>
      </c>
      <c r="CH74" s="61">
        <f t="shared" si="36"/>
        <v>0</v>
      </c>
      <c r="CI74" s="61">
        <f t="shared" si="68"/>
        <v>-0.18925831202045912</v>
      </c>
      <c r="CJ74" s="61"/>
      <c r="CK74" s="61">
        <f t="shared" si="40"/>
        <v>0</v>
      </c>
      <c r="CL74" s="61">
        <f t="shared" si="40"/>
        <v>0</v>
      </c>
      <c r="CM74" s="61">
        <f t="shared" si="40"/>
        <v>-0.51150895140664621</v>
      </c>
      <c r="CN74" s="61">
        <f t="shared" si="40"/>
        <v>-0.51150895140664621</v>
      </c>
      <c r="CO74" s="61">
        <f t="shared" si="40"/>
        <v>0</v>
      </c>
      <c r="CP74" s="61">
        <f t="shared" si="40"/>
        <v>0</v>
      </c>
      <c r="CQ74" s="61">
        <f t="shared" si="40"/>
        <v>0</v>
      </c>
      <c r="CR74" s="61">
        <f t="shared" si="37"/>
        <v>0</v>
      </c>
      <c r="CS74" s="61">
        <f t="shared" si="69"/>
        <v>-0.18925831202045912</v>
      </c>
      <c r="CT74" s="61">
        <f t="shared" si="70"/>
        <v>-1.2579999999999918</v>
      </c>
      <c r="CV74" s="61">
        <f t="shared" si="71"/>
        <v>0</v>
      </c>
      <c r="CW74" s="61">
        <f>SUM(AH74)-SUM(BM74)</f>
        <v>0</v>
      </c>
      <c r="CX74" s="61"/>
      <c r="CY74" s="61">
        <f t="shared" si="72"/>
        <v>0</v>
      </c>
      <c r="CZ74" s="61">
        <f t="shared" si="72"/>
        <v>0</v>
      </c>
      <c r="DA74" s="61">
        <f t="shared" si="72"/>
        <v>0</v>
      </c>
      <c r="DB74" s="2" t="s">
        <v>102</v>
      </c>
      <c r="DC74" s="2" t="s">
        <v>134</v>
      </c>
      <c r="DD74" s="2" t="s">
        <v>142</v>
      </c>
      <c r="DE74" s="2" t="s">
        <v>143</v>
      </c>
      <c r="DF74" s="3" t="s">
        <v>86</v>
      </c>
      <c r="DG74" s="62">
        <v>43103</v>
      </c>
      <c r="EC74" s="60" t="str">
        <f>VLOOKUP($M74,[1]Detail!$M:$BO,1,0)</f>
        <v>JD8B-F51918-BDW</v>
      </c>
      <c r="ED74" s="60">
        <f>VLOOKUP($M74,[1]Detail!$M:$BO,22,0)</f>
        <v>-328.01</v>
      </c>
      <c r="EE74" s="60" t="str">
        <f>VLOOKUP($M74,[1]Detail!$M:$BO,42,0)</f>
        <v>incl. in above</v>
      </c>
      <c r="EF74" s="60">
        <f>VLOOKUP($M74,[1]Detail!$M:$BO,45,0)</f>
        <v>0</v>
      </c>
      <c r="EH74" s="60">
        <f>ED74-AD74</f>
        <v>0</v>
      </c>
      <c r="EI74" s="60" t="e">
        <f>EE74-AG74</f>
        <v>#VALUE!</v>
      </c>
      <c r="EJ74" s="60">
        <f t="shared" si="73"/>
        <v>0</v>
      </c>
    </row>
    <row r="75" spans="2:140" ht="12.75" hidden="1" customHeight="1">
      <c r="B75" s="1" t="s">
        <v>218</v>
      </c>
      <c r="C75" s="22" t="s">
        <v>200</v>
      </c>
      <c r="D75" s="22" t="s">
        <v>201</v>
      </c>
      <c r="E75" s="2" t="str">
        <f>VLOOKUP($C75,[1]Detail!$C:$AK,6,0)</f>
        <v>PMT2</v>
      </c>
      <c r="F75" s="2" t="str">
        <f>VLOOKUP($C75,[1]Detail!$C:$AK,7,0)</f>
        <v>TH</v>
      </c>
      <c r="G75" s="2" t="str">
        <f>VLOOKUP($C75,[1]Detail!$C:$AK,5,0)</f>
        <v>D</v>
      </c>
      <c r="J75" s="22" t="s">
        <v>138</v>
      </c>
      <c r="K75" s="23" t="s">
        <v>202</v>
      </c>
      <c r="L75" s="22" t="s">
        <v>223</v>
      </c>
      <c r="M75" s="51" t="str">
        <f t="shared" si="66"/>
        <v>JD8B-F51918-CDW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64">
        <f t="shared" si="47"/>
        <v>0</v>
      </c>
      <c r="Y75" s="60">
        <f>-321.01+6.42-3.4</f>
        <v>-317.98999999999995</v>
      </c>
      <c r="Z75" s="60">
        <v>-3</v>
      </c>
      <c r="AA75" s="60">
        <v>-4</v>
      </c>
      <c r="AB75" s="60">
        <v>-0.08</v>
      </c>
      <c r="AC75" s="60">
        <v>0</v>
      </c>
      <c r="AD75" s="8">
        <f t="shared" si="67"/>
        <v>-325.06999999999994</v>
      </c>
      <c r="AE75" s="2" t="s">
        <v>91</v>
      </c>
      <c r="AG75" s="71" t="s">
        <v>183</v>
      </c>
      <c r="AH75" s="71" t="s">
        <v>183</v>
      </c>
      <c r="AJ75" s="71">
        <v>0</v>
      </c>
      <c r="AK75" s="71">
        <v>0</v>
      </c>
      <c r="AL75" s="72">
        <v>0</v>
      </c>
      <c r="AM75" s="22"/>
      <c r="AO75" s="22" t="s">
        <v>138</v>
      </c>
      <c r="AP75" s="23" t="s">
        <v>202</v>
      </c>
      <c r="AQ75" s="22" t="s">
        <v>224</v>
      </c>
      <c r="AR75" s="51" t="str">
        <f>TRIM(AO75)&amp;"-"&amp;TRIM(AP75)&amp;"-"&amp;TRIM(AQ75)</f>
        <v>JD8B-F51918-CCW</v>
      </c>
      <c r="AS75" s="3"/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64">
        <f>SUMPRODUCT(AT75:BA75,$O$6:$V$6)</f>
        <v>0</v>
      </c>
      <c r="BD75" s="60">
        <f>-321.01+6.42</f>
        <v>-314.58999999999997</v>
      </c>
      <c r="BE75" s="60">
        <v>-3</v>
      </c>
      <c r="BF75" s="60">
        <v>-4</v>
      </c>
      <c r="BG75" s="60">
        <v>-0.08</v>
      </c>
      <c r="BH75" s="60">
        <v>0</v>
      </c>
      <c r="BI75" s="8">
        <f>SUM(BD75:BH75)</f>
        <v>-321.66999999999996</v>
      </c>
      <c r="BJ75" s="2" t="s">
        <v>91</v>
      </c>
      <c r="BL75" s="71" t="s">
        <v>183</v>
      </c>
      <c r="BM75" s="71" t="s">
        <v>183</v>
      </c>
      <c r="BO75" s="71">
        <v>0</v>
      </c>
      <c r="BP75" s="71">
        <v>0</v>
      </c>
      <c r="BQ75" s="72">
        <v>0</v>
      </c>
      <c r="BS75" s="61">
        <f t="shared" si="44"/>
        <v>-3.3999999999999773</v>
      </c>
      <c r="BT75" s="61">
        <f t="shared" si="45"/>
        <v>0</v>
      </c>
      <c r="BU75" s="61">
        <f t="shared" si="46"/>
        <v>0</v>
      </c>
      <c r="BV75" s="61">
        <f t="shared" si="46"/>
        <v>0</v>
      </c>
      <c r="BW75" s="61">
        <f t="shared" si="46"/>
        <v>0</v>
      </c>
      <c r="BX75" s="61">
        <f t="shared" si="46"/>
        <v>-3.3999999999999773</v>
      </c>
      <c r="BY75" s="61" t="s">
        <v>91</v>
      </c>
      <c r="CA75" s="61">
        <f t="shared" si="39"/>
        <v>0</v>
      </c>
      <c r="CB75" s="61">
        <f t="shared" si="39"/>
        <v>0</v>
      </c>
      <c r="CC75" s="61">
        <f t="shared" si="39"/>
        <v>0</v>
      </c>
      <c r="CD75" s="61">
        <f t="shared" ref="CD75:CH138" si="74">($Y75*R75-AW75*$BD75)/$C$2</f>
        <v>0</v>
      </c>
      <c r="CE75" s="61">
        <f t="shared" si="74"/>
        <v>0</v>
      </c>
      <c r="CF75" s="61">
        <f t="shared" si="74"/>
        <v>0</v>
      </c>
      <c r="CG75" s="61">
        <f t="shared" si="74"/>
        <v>0</v>
      </c>
      <c r="CH75" s="61">
        <f t="shared" si="36"/>
        <v>0</v>
      </c>
      <c r="CI75" s="61">
        <f t="shared" si="68"/>
        <v>0</v>
      </c>
      <c r="CJ75" s="61"/>
      <c r="CK75" s="61">
        <f t="shared" si="40"/>
        <v>0</v>
      </c>
      <c r="CL75" s="61">
        <f t="shared" si="40"/>
        <v>0</v>
      </c>
      <c r="CM75" s="61">
        <f t="shared" si="40"/>
        <v>0</v>
      </c>
      <c r="CN75" s="61">
        <f t="shared" ref="CN75:CR138" si="75">(R75*$AD75-AW75*$BI75)/$C$2</f>
        <v>0</v>
      </c>
      <c r="CO75" s="61">
        <f t="shared" si="75"/>
        <v>0</v>
      </c>
      <c r="CP75" s="61">
        <f t="shared" si="75"/>
        <v>0</v>
      </c>
      <c r="CQ75" s="61">
        <f t="shared" si="75"/>
        <v>0</v>
      </c>
      <c r="CR75" s="61">
        <f t="shared" si="37"/>
        <v>0</v>
      </c>
      <c r="CS75" s="61">
        <f t="shared" si="69"/>
        <v>0</v>
      </c>
      <c r="CT75" s="61">
        <f t="shared" si="70"/>
        <v>0</v>
      </c>
      <c r="CV75" s="61">
        <f t="shared" si="71"/>
        <v>0</v>
      </c>
      <c r="CW75" s="61">
        <f>SUM(AH75)-SUM(BM75)</f>
        <v>0</v>
      </c>
      <c r="CX75" s="61"/>
      <c r="CY75" s="61">
        <f t="shared" si="72"/>
        <v>0</v>
      </c>
      <c r="CZ75" s="61">
        <f t="shared" si="72"/>
        <v>0</v>
      </c>
      <c r="DA75" s="61">
        <f t="shared" si="72"/>
        <v>0</v>
      </c>
      <c r="DB75" s="2" t="s">
        <v>102</v>
      </c>
      <c r="DC75" s="2" t="s">
        <v>134</v>
      </c>
      <c r="DD75" s="2" t="s">
        <v>142</v>
      </c>
      <c r="DE75" s="2" t="s">
        <v>143</v>
      </c>
      <c r="DF75" s="3" t="s">
        <v>86</v>
      </c>
      <c r="DG75" s="62">
        <v>43103</v>
      </c>
      <c r="EC75" s="60" t="str">
        <f>VLOOKUP($M75,[1]Detail!$M:$BO,1,0)</f>
        <v>JD8B-F51918-CDW</v>
      </c>
      <c r="ED75" s="60">
        <f>VLOOKUP($M75,[1]Detail!$M:$BO,22,0)</f>
        <v>-325.06999999999994</v>
      </c>
      <c r="EE75" s="60" t="str">
        <f>VLOOKUP($M75,[1]Detail!$M:$BO,42,0)</f>
        <v>incl. in above</v>
      </c>
      <c r="EF75" s="60">
        <f>VLOOKUP($M75,[1]Detail!$M:$BO,45,0)</f>
        <v>0</v>
      </c>
      <c r="EH75" s="60">
        <f>ED75-AD75</f>
        <v>0</v>
      </c>
      <c r="EI75" s="60" t="e">
        <f>EE75-AG75</f>
        <v>#VALUE!</v>
      </c>
      <c r="EJ75" s="60">
        <f t="shared" si="73"/>
        <v>0</v>
      </c>
    </row>
    <row r="76" spans="2:140" ht="12.75" hidden="1" customHeight="1">
      <c r="B76" s="1" t="s">
        <v>218</v>
      </c>
      <c r="C76" s="22" t="s">
        <v>200</v>
      </c>
      <c r="D76" s="22" t="s">
        <v>201</v>
      </c>
      <c r="E76" s="2" t="str">
        <f>VLOOKUP($C76,[1]Detail!$C:$AK,6,0)</f>
        <v>PMT2</v>
      </c>
      <c r="F76" s="2" t="str">
        <f>VLOOKUP($C76,[1]Detail!$C:$AK,7,0)</f>
        <v>TH</v>
      </c>
      <c r="G76" s="2" t="str">
        <f>VLOOKUP($C76,[1]Detail!$C:$AK,5,0)</f>
        <v>D</v>
      </c>
      <c r="J76" s="22" t="s">
        <v>138</v>
      </c>
      <c r="K76" s="23" t="s">
        <v>202</v>
      </c>
      <c r="L76" s="22" t="s">
        <v>225</v>
      </c>
      <c r="M76" s="51" t="str">
        <f t="shared" si="66"/>
        <v>JD8B-F51918-DDW</v>
      </c>
      <c r="O76" s="22">
        <v>0</v>
      </c>
      <c r="P76" s="22">
        <v>0</v>
      </c>
      <c r="Q76" s="22">
        <v>0</v>
      </c>
      <c r="R76" s="22">
        <v>0</v>
      </c>
      <c r="S76" s="22">
        <v>1</v>
      </c>
      <c r="T76" s="22">
        <v>1</v>
      </c>
      <c r="U76" s="22">
        <v>1</v>
      </c>
      <c r="V76" s="22">
        <v>1</v>
      </c>
      <c r="W76" s="64">
        <f t="shared" si="47"/>
        <v>0.33</v>
      </c>
      <c r="Y76" s="60">
        <f>-321.01+6.42-3.4</f>
        <v>-317.98999999999995</v>
      </c>
      <c r="Z76" s="60">
        <v>-3</v>
      </c>
      <c r="AA76" s="60">
        <v>-4</v>
      </c>
      <c r="AB76" s="60">
        <v>-0.08</v>
      </c>
      <c r="AC76" s="60">
        <v>0</v>
      </c>
      <c r="AD76" s="8">
        <f t="shared" si="67"/>
        <v>-325.06999999999994</v>
      </c>
      <c r="AE76" s="2" t="s">
        <v>91</v>
      </c>
      <c r="AG76" s="71" t="s">
        <v>183</v>
      </c>
      <c r="AH76" s="71" t="s">
        <v>183</v>
      </c>
      <c r="AJ76" s="71">
        <v>0</v>
      </c>
      <c r="AK76" s="71">
        <v>0</v>
      </c>
      <c r="AL76" s="72">
        <v>0</v>
      </c>
      <c r="AM76" s="22"/>
      <c r="AO76" s="22" t="s">
        <v>138</v>
      </c>
      <c r="AP76" s="23" t="s">
        <v>202</v>
      </c>
      <c r="AQ76" s="22" t="s">
        <v>226</v>
      </c>
      <c r="AR76" s="51" t="str">
        <f>TRIM(AO76)&amp;"-"&amp;TRIM(AP76)&amp;"-"&amp;TRIM(AQ76)</f>
        <v>JD8B-F51918-DCW</v>
      </c>
      <c r="AS76" s="3"/>
      <c r="AT76" s="22">
        <v>0</v>
      </c>
      <c r="AU76" s="22">
        <v>0</v>
      </c>
      <c r="AV76" s="22">
        <v>0</v>
      </c>
      <c r="AW76" s="22">
        <v>0</v>
      </c>
      <c r="AX76" s="22">
        <v>1</v>
      </c>
      <c r="AY76" s="22">
        <v>1</v>
      </c>
      <c r="AZ76" s="22">
        <v>1</v>
      </c>
      <c r="BA76" s="22">
        <v>1</v>
      </c>
      <c r="BB76" s="64">
        <f>SUMPRODUCT(AT76:BA76,$O$6:$V$6)</f>
        <v>0.33</v>
      </c>
      <c r="BD76" s="60">
        <f>-321.01+6.42</f>
        <v>-314.58999999999997</v>
      </c>
      <c r="BE76" s="60">
        <v>-3</v>
      </c>
      <c r="BF76" s="60">
        <v>-4</v>
      </c>
      <c r="BG76" s="60">
        <v>-0.08</v>
      </c>
      <c r="BH76" s="60">
        <v>0</v>
      </c>
      <c r="BI76" s="8">
        <f>SUM(BD76:BH76)</f>
        <v>-321.66999999999996</v>
      </c>
      <c r="BJ76" s="2" t="s">
        <v>91</v>
      </c>
      <c r="BL76" s="71" t="s">
        <v>183</v>
      </c>
      <c r="BM76" s="71" t="s">
        <v>183</v>
      </c>
      <c r="BO76" s="71">
        <v>0</v>
      </c>
      <c r="BP76" s="71">
        <v>0</v>
      </c>
      <c r="BQ76" s="72">
        <v>0</v>
      </c>
      <c r="BS76" s="61">
        <f t="shared" ref="BS76:BS107" si="76">SUM(Y76)-SUM(BD76)</f>
        <v>-3.3999999999999773</v>
      </c>
      <c r="BT76" s="61">
        <f t="shared" ref="BT76:BT107" si="77">SUM(Z76)-SUM(BE76)</f>
        <v>0</v>
      </c>
      <c r="BU76" s="61">
        <f t="shared" ref="BU76:BX107" si="78">SUM(AA76)-SUM(BF76)</f>
        <v>0</v>
      </c>
      <c r="BV76" s="61">
        <f t="shared" si="78"/>
        <v>0</v>
      </c>
      <c r="BW76" s="61">
        <f t="shared" si="78"/>
        <v>0</v>
      </c>
      <c r="BX76" s="61">
        <f t="shared" si="78"/>
        <v>-3.3999999999999773</v>
      </c>
      <c r="BY76" s="61" t="s">
        <v>91</v>
      </c>
      <c r="CA76" s="61">
        <f t="shared" ref="CA76:CE139" si="79">($Y76*O76-AT76*$BD76)/$C$2</f>
        <v>0</v>
      </c>
      <c r="CB76" s="61">
        <f t="shared" si="79"/>
        <v>0</v>
      </c>
      <c r="CC76" s="61">
        <f t="shared" si="79"/>
        <v>0</v>
      </c>
      <c r="CD76" s="61">
        <f t="shared" si="74"/>
        <v>0</v>
      </c>
      <c r="CE76" s="61">
        <f t="shared" si="74"/>
        <v>-0.51150895140664621</v>
      </c>
      <c r="CF76" s="61">
        <f t="shared" si="74"/>
        <v>-0.51150895140664621</v>
      </c>
      <c r="CG76" s="61">
        <f t="shared" si="74"/>
        <v>-0.51150895140664621</v>
      </c>
      <c r="CH76" s="61">
        <f t="shared" si="36"/>
        <v>-0.51150895140664621</v>
      </c>
      <c r="CI76" s="61">
        <f t="shared" si="68"/>
        <v>-0.16879795396419325</v>
      </c>
      <c r="CJ76" s="61"/>
      <c r="CK76" s="61">
        <f t="shared" ref="CK76:CO139" si="80">(O76*$AD76-AT76*$BI76)/$C$2</f>
        <v>0</v>
      </c>
      <c r="CL76" s="61">
        <f t="shared" si="80"/>
        <v>0</v>
      </c>
      <c r="CM76" s="61">
        <f t="shared" si="80"/>
        <v>0</v>
      </c>
      <c r="CN76" s="61">
        <f t="shared" si="75"/>
        <v>0</v>
      </c>
      <c r="CO76" s="61">
        <f t="shared" si="75"/>
        <v>-0.51150895140664621</v>
      </c>
      <c r="CP76" s="61">
        <f t="shared" si="75"/>
        <v>-0.51150895140664621</v>
      </c>
      <c r="CQ76" s="61">
        <f t="shared" si="75"/>
        <v>-0.51150895140664621</v>
      </c>
      <c r="CR76" s="61">
        <f t="shared" si="37"/>
        <v>-0.51150895140664621</v>
      </c>
      <c r="CS76" s="61">
        <f t="shared" si="69"/>
        <v>-0.16879795396419325</v>
      </c>
      <c r="CT76" s="61">
        <f t="shared" si="70"/>
        <v>-1.1219999999999926</v>
      </c>
      <c r="CV76" s="61">
        <f t="shared" si="71"/>
        <v>0</v>
      </c>
      <c r="CW76" s="61">
        <f>SUM(AH76)-SUM(BM76)</f>
        <v>0</v>
      </c>
      <c r="CX76" s="61"/>
      <c r="CY76" s="61">
        <f t="shared" si="72"/>
        <v>0</v>
      </c>
      <c r="CZ76" s="61">
        <f t="shared" si="72"/>
        <v>0</v>
      </c>
      <c r="DA76" s="61">
        <f t="shared" si="72"/>
        <v>0</v>
      </c>
      <c r="DB76" s="2" t="s">
        <v>102</v>
      </c>
      <c r="DC76" s="2" t="s">
        <v>134</v>
      </c>
      <c r="DD76" s="2" t="s">
        <v>142</v>
      </c>
      <c r="DE76" s="2" t="s">
        <v>143</v>
      </c>
      <c r="DF76" s="3" t="s">
        <v>86</v>
      </c>
      <c r="DG76" s="62">
        <v>43103</v>
      </c>
      <c r="EC76" s="60" t="str">
        <f>VLOOKUP($M76,[1]Detail!$M:$BO,1,0)</f>
        <v>JD8B-F51918-DDW</v>
      </c>
      <c r="ED76" s="60">
        <f>VLOOKUP($M76,[1]Detail!$M:$BO,22,0)</f>
        <v>-325.06999999999994</v>
      </c>
      <c r="EE76" s="60" t="str">
        <f>VLOOKUP($M76,[1]Detail!$M:$BO,42,0)</f>
        <v>incl. in above</v>
      </c>
      <c r="EF76" s="60">
        <f>VLOOKUP($M76,[1]Detail!$M:$BO,45,0)</f>
        <v>0</v>
      </c>
      <c r="EH76" s="60">
        <f>ED76-AD76</f>
        <v>0</v>
      </c>
      <c r="EI76" s="60" t="e">
        <f>EE76-AG76</f>
        <v>#VALUE!</v>
      </c>
      <c r="EJ76" s="60">
        <f t="shared" si="73"/>
        <v>0</v>
      </c>
    </row>
    <row r="77" spans="2:140" ht="12.75" hidden="1" customHeight="1">
      <c r="B77" s="23" t="s">
        <v>227</v>
      </c>
      <c r="C77" s="22" t="s">
        <v>228</v>
      </c>
      <c r="D77" s="22" t="s">
        <v>229</v>
      </c>
      <c r="E77" s="2" t="str">
        <f>VLOOKUP($C77,[1]Detail!$C:$AK,6,0)</f>
        <v>PMT5</v>
      </c>
      <c r="F77" s="2" t="str">
        <f>VLOOKUP($C77,[1]Detail!$C:$AK,7,0)</f>
        <v>TH</v>
      </c>
      <c r="G77" s="2" t="str">
        <f>VLOOKUP($C77,[1]Detail!$C:$AK,5,0)</f>
        <v>B</v>
      </c>
      <c r="J77" s="22" t="s">
        <v>110</v>
      </c>
      <c r="K77" s="23" t="s">
        <v>230</v>
      </c>
      <c r="L77" s="22" t="s">
        <v>132</v>
      </c>
      <c r="M77" s="51" t="str">
        <f t="shared" si="66"/>
        <v>JD8T-10C679-AB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64">
        <f t="shared" si="47"/>
        <v>1</v>
      </c>
      <c r="Y77" s="60">
        <v>-76.540000000000006</v>
      </c>
      <c r="Z77" s="60">
        <v>-0.73</v>
      </c>
      <c r="AA77" s="60">
        <v>-1.33</v>
      </c>
      <c r="AB77" s="60"/>
      <c r="AC77" s="60">
        <v>-0.72</v>
      </c>
      <c r="AD77" s="8">
        <f t="shared" si="67"/>
        <v>-79.320000000000007</v>
      </c>
      <c r="AE77" s="2" t="s">
        <v>91</v>
      </c>
      <c r="AG77" s="71">
        <v>-91500</v>
      </c>
      <c r="AH77" s="71">
        <f t="shared" ref="AH77:AH82" si="81">AG77</f>
        <v>-91500</v>
      </c>
      <c r="AI77" s="6"/>
      <c r="AJ77" s="71">
        <v>-413701</v>
      </c>
      <c r="AK77" s="71">
        <v>574899</v>
      </c>
      <c r="AL77" s="72"/>
      <c r="AM77" s="22"/>
      <c r="AO77" s="22" t="s">
        <v>81</v>
      </c>
      <c r="AP77" s="23" t="s">
        <v>231</v>
      </c>
      <c r="AQ77" s="22" t="s">
        <v>180</v>
      </c>
      <c r="AR77" s="51" t="s">
        <v>232</v>
      </c>
      <c r="AS77" s="3"/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">
        <v>1</v>
      </c>
      <c r="BD77" s="60">
        <v>-76.540000000000006</v>
      </c>
      <c r="BE77" s="60">
        <v>-0.73</v>
      </c>
      <c r="BF77" s="60">
        <v>-1.33</v>
      </c>
      <c r="BG77" s="60"/>
      <c r="BH77" s="60">
        <v>-0.72</v>
      </c>
      <c r="BI77" s="8">
        <v>-79.320000000000007</v>
      </c>
      <c r="BJ77" s="2" t="s">
        <v>91</v>
      </c>
      <c r="BL77" s="71">
        <v>-91500</v>
      </c>
      <c r="BM77" s="71">
        <v>-91500</v>
      </c>
      <c r="BO77" s="71">
        <v>-413701</v>
      </c>
      <c r="BP77" s="71">
        <v>574899</v>
      </c>
      <c r="BQ77" s="72">
        <v>0</v>
      </c>
      <c r="BS77" s="61">
        <f t="shared" si="76"/>
        <v>0</v>
      </c>
      <c r="BT77" s="61">
        <f t="shared" si="77"/>
        <v>0</v>
      </c>
      <c r="BU77" s="61">
        <f t="shared" si="78"/>
        <v>0</v>
      </c>
      <c r="BV77" s="61">
        <f t="shared" si="78"/>
        <v>0</v>
      </c>
      <c r="BW77" s="61">
        <f t="shared" si="78"/>
        <v>0</v>
      </c>
      <c r="BX77" s="61">
        <f t="shared" si="78"/>
        <v>0</v>
      </c>
      <c r="BY77" s="61" t="s">
        <v>91</v>
      </c>
      <c r="CA77" s="61">
        <f t="shared" si="79"/>
        <v>0</v>
      </c>
      <c r="CB77" s="61">
        <f t="shared" si="79"/>
        <v>0</v>
      </c>
      <c r="CC77" s="61">
        <f t="shared" si="79"/>
        <v>0</v>
      </c>
      <c r="CD77" s="61">
        <f t="shared" si="74"/>
        <v>0</v>
      </c>
      <c r="CE77" s="61">
        <f t="shared" si="74"/>
        <v>0</v>
      </c>
      <c r="CF77" s="61">
        <f t="shared" si="74"/>
        <v>0</v>
      </c>
      <c r="CG77" s="61">
        <f t="shared" si="74"/>
        <v>0</v>
      </c>
      <c r="CH77" s="61">
        <f t="shared" si="36"/>
        <v>0</v>
      </c>
      <c r="CI77" s="61">
        <f t="shared" si="68"/>
        <v>0</v>
      </c>
      <c r="CJ77" s="61"/>
      <c r="CK77" s="61">
        <f t="shared" si="80"/>
        <v>0</v>
      </c>
      <c r="CL77" s="61">
        <f t="shared" si="80"/>
        <v>0</v>
      </c>
      <c r="CM77" s="61">
        <f t="shared" si="80"/>
        <v>0</v>
      </c>
      <c r="CN77" s="61">
        <f t="shared" si="75"/>
        <v>0</v>
      </c>
      <c r="CO77" s="61">
        <f t="shared" si="75"/>
        <v>0</v>
      </c>
      <c r="CP77" s="61">
        <f t="shared" si="75"/>
        <v>0</v>
      </c>
      <c r="CQ77" s="61">
        <f t="shared" si="75"/>
        <v>0</v>
      </c>
      <c r="CR77" s="61">
        <f t="shared" si="37"/>
        <v>0</v>
      </c>
      <c r="CS77" s="61">
        <f t="shared" si="69"/>
        <v>0</v>
      </c>
      <c r="CT77" s="61">
        <f t="shared" si="70"/>
        <v>0</v>
      </c>
      <c r="CV77" s="61">
        <f t="shared" si="71"/>
        <v>0</v>
      </c>
      <c r="CW77" s="61">
        <f t="shared" si="12"/>
        <v>0</v>
      </c>
      <c r="CX77" s="61"/>
      <c r="CY77" s="61">
        <f t="shared" si="13"/>
        <v>0</v>
      </c>
      <c r="CZ77" s="61">
        <f t="shared" si="13"/>
        <v>0</v>
      </c>
      <c r="DA77" s="61">
        <f t="shared" si="13"/>
        <v>0</v>
      </c>
      <c r="DB77" s="2" t="s">
        <v>85</v>
      </c>
      <c r="DC77" s="2" t="s">
        <v>85</v>
      </c>
      <c r="DD77" s="2" t="s">
        <v>142</v>
      </c>
      <c r="DE77" s="2" t="s">
        <v>94</v>
      </c>
      <c r="DF77" s="3" t="s">
        <v>86</v>
      </c>
      <c r="DG77" s="62">
        <v>42961</v>
      </c>
      <c r="EC77" s="60"/>
      <c r="ED77" s="60"/>
      <c r="EE77" s="60"/>
      <c r="EF77" s="60"/>
    </row>
    <row r="78" spans="2:140" ht="12.75" hidden="1" customHeight="1">
      <c r="B78" s="23" t="s">
        <v>233</v>
      </c>
      <c r="C78" s="22" t="s">
        <v>228</v>
      </c>
      <c r="D78" s="22" t="s">
        <v>229</v>
      </c>
      <c r="E78" s="2" t="str">
        <f>VLOOKUP($C78,[1]Detail!$C:$AK,6,0)</f>
        <v>PMT5</v>
      </c>
      <c r="F78" s="2" t="str">
        <f>VLOOKUP($C78,[1]Detail!$C:$AK,7,0)</f>
        <v>TH</v>
      </c>
      <c r="G78" s="2" t="str">
        <f>VLOOKUP($C78,[1]Detail!$C:$AK,5,0)</f>
        <v>B</v>
      </c>
      <c r="J78" s="22" t="s">
        <v>110</v>
      </c>
      <c r="K78" s="23" t="s">
        <v>230</v>
      </c>
      <c r="L78" s="22" t="s">
        <v>234</v>
      </c>
      <c r="M78" s="51" t="str">
        <f t="shared" si="66"/>
        <v>JD8T-10C679-AC</v>
      </c>
      <c r="O78" s="22">
        <v>1</v>
      </c>
      <c r="P78" s="22">
        <v>1</v>
      </c>
      <c r="Q78" s="22">
        <v>1</v>
      </c>
      <c r="R78" s="22">
        <v>1</v>
      </c>
      <c r="S78" s="22">
        <v>1</v>
      </c>
      <c r="T78" s="22">
        <v>1</v>
      </c>
      <c r="U78" s="22">
        <v>1</v>
      </c>
      <c r="V78" s="22">
        <v>1</v>
      </c>
      <c r="W78" s="64">
        <f t="shared" si="47"/>
        <v>1</v>
      </c>
      <c r="Y78" s="60">
        <v>-76.540000000000006</v>
      </c>
      <c r="Z78" s="60">
        <v>-0.73</v>
      </c>
      <c r="AA78" s="60">
        <v>-1.33</v>
      </c>
      <c r="AB78" s="60"/>
      <c r="AC78" s="60">
        <v>-0.72</v>
      </c>
      <c r="AD78" s="8">
        <f t="shared" si="67"/>
        <v>-79.320000000000007</v>
      </c>
      <c r="AE78" s="2" t="s">
        <v>91</v>
      </c>
      <c r="AG78" s="71">
        <v>-91500</v>
      </c>
      <c r="AH78" s="71">
        <f t="shared" si="81"/>
        <v>-91500</v>
      </c>
      <c r="AI78" s="6"/>
      <c r="AJ78" s="71">
        <v>-413701</v>
      </c>
      <c r="AK78" s="71">
        <v>574899</v>
      </c>
      <c r="AL78" s="72"/>
      <c r="AM78" s="22"/>
      <c r="AO78" s="22" t="s">
        <v>110</v>
      </c>
      <c r="AP78" s="23" t="s">
        <v>230</v>
      </c>
      <c r="AQ78" s="22" t="s">
        <v>132</v>
      </c>
      <c r="AR78" s="51" t="str">
        <f t="shared" ref="AR78" si="82">TRIM(AO78)&amp;"-"&amp;TRIM(AP78)&amp;"-"&amp;TRIM(AQ78)</f>
        <v>JD8T-10C679-AB</v>
      </c>
      <c r="AS78" s="3"/>
      <c r="AT78" s="22">
        <v>1</v>
      </c>
      <c r="AU78" s="22">
        <v>1</v>
      </c>
      <c r="AV78" s="22">
        <v>1</v>
      </c>
      <c r="AW78" s="22">
        <v>1</v>
      </c>
      <c r="AX78" s="22">
        <v>1</v>
      </c>
      <c r="AY78" s="22">
        <v>1</v>
      </c>
      <c r="AZ78" s="22">
        <v>1</v>
      </c>
      <c r="BA78" s="22">
        <v>1</v>
      </c>
      <c r="BB78" s="64">
        <f>SUMPRODUCT(AT78:BA78,$O$6:$V$6)</f>
        <v>1</v>
      </c>
      <c r="BD78" s="60">
        <v>-76.540000000000006</v>
      </c>
      <c r="BE78" s="60">
        <v>-0.73</v>
      </c>
      <c r="BF78" s="60">
        <v>-1.33</v>
      </c>
      <c r="BG78" s="60"/>
      <c r="BH78" s="60">
        <v>-0.72</v>
      </c>
      <c r="BI78" s="8">
        <f t="shared" ref="BI78:BI85" si="83">SUM(BD78:BH78)</f>
        <v>-79.320000000000007</v>
      </c>
      <c r="BJ78" s="2" t="s">
        <v>91</v>
      </c>
      <c r="BL78" s="71">
        <v>-91500</v>
      </c>
      <c r="BM78" s="71">
        <v>-91500</v>
      </c>
      <c r="BO78" s="71">
        <v>-413701</v>
      </c>
      <c r="BP78" s="71">
        <v>574899</v>
      </c>
      <c r="BQ78" s="72">
        <v>0</v>
      </c>
      <c r="BS78" s="61">
        <f t="shared" si="76"/>
        <v>0</v>
      </c>
      <c r="BT78" s="61">
        <f t="shared" si="77"/>
        <v>0</v>
      </c>
      <c r="BU78" s="61">
        <f t="shared" si="78"/>
        <v>0</v>
      </c>
      <c r="BV78" s="61">
        <f t="shared" si="78"/>
        <v>0</v>
      </c>
      <c r="BW78" s="61">
        <f t="shared" si="78"/>
        <v>0</v>
      </c>
      <c r="BX78" s="61">
        <f t="shared" si="78"/>
        <v>0</v>
      </c>
      <c r="BY78" s="61" t="s">
        <v>91</v>
      </c>
      <c r="CA78" s="61">
        <f t="shared" si="79"/>
        <v>0</v>
      </c>
      <c r="CB78" s="61">
        <f t="shared" si="79"/>
        <v>0</v>
      </c>
      <c r="CC78" s="61">
        <f t="shared" si="79"/>
        <v>0</v>
      </c>
      <c r="CD78" s="61">
        <f t="shared" si="74"/>
        <v>0</v>
      </c>
      <c r="CE78" s="61">
        <f t="shared" si="74"/>
        <v>0</v>
      </c>
      <c r="CF78" s="61">
        <f t="shared" si="74"/>
        <v>0</v>
      </c>
      <c r="CG78" s="61">
        <f t="shared" si="74"/>
        <v>0</v>
      </c>
      <c r="CH78" s="61">
        <f t="shared" si="36"/>
        <v>0</v>
      </c>
      <c r="CI78" s="61">
        <f t="shared" si="68"/>
        <v>0</v>
      </c>
      <c r="CJ78" s="61"/>
      <c r="CK78" s="61">
        <f t="shared" si="80"/>
        <v>0</v>
      </c>
      <c r="CL78" s="61">
        <f t="shared" si="80"/>
        <v>0</v>
      </c>
      <c r="CM78" s="61">
        <f t="shared" si="80"/>
        <v>0</v>
      </c>
      <c r="CN78" s="61">
        <f t="shared" si="75"/>
        <v>0</v>
      </c>
      <c r="CO78" s="61">
        <f t="shared" si="75"/>
        <v>0</v>
      </c>
      <c r="CP78" s="61">
        <f t="shared" si="75"/>
        <v>0</v>
      </c>
      <c r="CQ78" s="61">
        <f t="shared" si="75"/>
        <v>0</v>
      </c>
      <c r="CR78" s="61">
        <f t="shared" si="37"/>
        <v>0</v>
      </c>
      <c r="CS78" s="61">
        <f t="shared" si="69"/>
        <v>0</v>
      </c>
      <c r="CT78" s="61">
        <f t="shared" si="70"/>
        <v>0</v>
      </c>
      <c r="CV78" s="61">
        <f t="shared" si="71"/>
        <v>0</v>
      </c>
      <c r="CW78" s="61">
        <f t="shared" ref="CW78" si="84">SUM(AH78)-SUM(BM78)</f>
        <v>0</v>
      </c>
      <c r="CX78" s="61"/>
      <c r="CY78" s="61">
        <f t="shared" ref="CY78" si="85">SUM(AJ78)-SUM(BO78)</f>
        <v>0</v>
      </c>
      <c r="CZ78" s="61">
        <f t="shared" si="13"/>
        <v>0</v>
      </c>
      <c r="DA78" s="61">
        <f t="shared" si="13"/>
        <v>0</v>
      </c>
      <c r="DB78" s="2" t="s">
        <v>102</v>
      </c>
      <c r="DC78" s="2" t="s">
        <v>85</v>
      </c>
      <c r="DD78" s="2" t="s">
        <v>142</v>
      </c>
      <c r="DE78" s="2" t="s">
        <v>235</v>
      </c>
      <c r="DF78" s="3" t="s">
        <v>86</v>
      </c>
      <c r="DG78" s="62">
        <v>43124</v>
      </c>
      <c r="EC78" s="60" t="str">
        <f>VLOOKUP($M78,[1]Detail!$M:$BO,1,0)</f>
        <v>JD8T-10C679-AC</v>
      </c>
      <c r="ED78" s="60">
        <f>VLOOKUP($M78,[1]Detail!$M:$BO,22,0)</f>
        <v>-79.320000000000007</v>
      </c>
      <c r="EE78" s="60">
        <f>VLOOKUP($M78,[1]Detail!$M:$BO,42,0)</f>
        <v>-91500</v>
      </c>
      <c r="EF78" s="60">
        <f>VLOOKUP($M78,[1]Detail!$M:$BO,45,0)</f>
        <v>-413701</v>
      </c>
      <c r="EH78" s="60">
        <f>ED78-AD78</f>
        <v>0</v>
      </c>
      <c r="EI78" s="60">
        <f>EE78-AG78</f>
        <v>0</v>
      </c>
      <c r="EJ78" s="60">
        <f>EF78-AJ78</f>
        <v>0</v>
      </c>
    </row>
    <row r="79" spans="2:140" ht="12.75" hidden="1" customHeight="1">
      <c r="B79" s="23" t="s">
        <v>236</v>
      </c>
      <c r="C79" s="22" t="s">
        <v>237</v>
      </c>
      <c r="D79" s="22" t="s">
        <v>238</v>
      </c>
      <c r="E79" s="2" t="str">
        <f>VLOOKUP($C79,[1]Detail!$C:$AK,6,0)</f>
        <v>PMT1</v>
      </c>
      <c r="F79" s="2" t="str">
        <f>VLOOKUP($C79,[1]Detail!$C:$AK,7,0)</f>
        <v>TH</v>
      </c>
      <c r="G79" s="2" t="str">
        <f>VLOOKUP($C79,[1]Detail!$C:$AK,5,0)</f>
        <v>B</v>
      </c>
      <c r="J79" s="22" t="s">
        <v>126</v>
      </c>
      <c r="K79" s="23" t="s">
        <v>239</v>
      </c>
      <c r="L79" s="22" t="s">
        <v>100</v>
      </c>
      <c r="M79" s="51" t="str">
        <f t="shared" si="66"/>
        <v>JD8B-A27206-AA</v>
      </c>
      <c r="O79" s="22">
        <v>1</v>
      </c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22">
        <v>1</v>
      </c>
      <c r="V79" s="22">
        <v>1</v>
      </c>
      <c r="W79" s="64">
        <f t="shared" si="47"/>
        <v>1</v>
      </c>
      <c r="Y79" s="60">
        <v>-2.4</v>
      </c>
      <c r="Z79" s="60">
        <v>-0.08</v>
      </c>
      <c r="AA79" s="60">
        <v>-0.03</v>
      </c>
      <c r="AB79" s="60">
        <v>0</v>
      </c>
      <c r="AC79" s="60">
        <v>0</v>
      </c>
      <c r="AD79" s="8">
        <f t="shared" si="67"/>
        <v>-2.5099999999999998</v>
      </c>
      <c r="AE79" s="2" t="s">
        <v>91</v>
      </c>
      <c r="AG79" s="71">
        <f>-410000/2</f>
        <v>-205000</v>
      </c>
      <c r="AH79" s="71">
        <f t="shared" si="81"/>
        <v>-205000</v>
      </c>
      <c r="AI79" s="6"/>
      <c r="AJ79" s="71">
        <v>0</v>
      </c>
      <c r="AK79" s="71">
        <v>0</v>
      </c>
      <c r="AL79" s="72">
        <v>0</v>
      </c>
      <c r="AM79" s="22"/>
      <c r="AO79" s="22" t="s">
        <v>126</v>
      </c>
      <c r="AP79" s="23" t="s">
        <v>239</v>
      </c>
      <c r="AQ79" s="22" t="s">
        <v>100</v>
      </c>
      <c r="AR79" s="51" t="str">
        <f>TRIM(AO79)&amp;"-"&amp;TRIM(AP79)&amp;"-"&amp;TRIM(AQ79)</f>
        <v>JD8B-A27206-AA</v>
      </c>
      <c r="AS79" s="3"/>
      <c r="AT79" s="22">
        <v>1</v>
      </c>
      <c r="AU79" s="22">
        <v>1</v>
      </c>
      <c r="AV79" s="22">
        <v>1</v>
      </c>
      <c r="AW79" s="22">
        <v>1</v>
      </c>
      <c r="AX79" s="22">
        <v>1</v>
      </c>
      <c r="AY79" s="22">
        <v>1</v>
      </c>
      <c r="AZ79" s="22">
        <v>1</v>
      </c>
      <c r="BA79" s="22">
        <v>1</v>
      </c>
      <c r="BB79" s="2">
        <f>SUMPRODUCT(AT79:BA79,$AT$6:$BA$6)</f>
        <v>1</v>
      </c>
      <c r="BD79" s="60">
        <v>-2.4</v>
      </c>
      <c r="BE79" s="60">
        <v>-0.08</v>
      </c>
      <c r="BF79" s="60">
        <v>-0.03</v>
      </c>
      <c r="BG79" s="60">
        <v>0</v>
      </c>
      <c r="BH79" s="60">
        <v>0</v>
      </c>
      <c r="BI79" s="8">
        <f t="shared" si="83"/>
        <v>-2.5099999999999998</v>
      </c>
      <c r="BJ79" s="2" t="s">
        <v>91</v>
      </c>
      <c r="BL79" s="71">
        <f>-410000/2</f>
        <v>-205000</v>
      </c>
      <c r="BM79" s="71">
        <f>BL79</f>
        <v>-205000</v>
      </c>
      <c r="BO79" s="71">
        <v>0</v>
      </c>
      <c r="BP79" s="71">
        <v>0</v>
      </c>
      <c r="BQ79" s="72">
        <v>0</v>
      </c>
      <c r="BS79" s="61">
        <f t="shared" si="76"/>
        <v>0</v>
      </c>
      <c r="BT79" s="61">
        <f t="shared" si="77"/>
        <v>0</v>
      </c>
      <c r="BU79" s="61">
        <f t="shared" si="78"/>
        <v>0</v>
      </c>
      <c r="BV79" s="61">
        <f t="shared" si="78"/>
        <v>0</v>
      </c>
      <c r="BW79" s="61">
        <f t="shared" si="78"/>
        <v>0</v>
      </c>
      <c r="BX79" s="61">
        <f t="shared" si="78"/>
        <v>0</v>
      </c>
      <c r="BY79" s="61" t="s">
        <v>91</v>
      </c>
      <c r="CA79" s="61">
        <f t="shared" si="79"/>
        <v>0</v>
      </c>
      <c r="CB79" s="61">
        <f t="shared" si="79"/>
        <v>0</v>
      </c>
      <c r="CC79" s="61">
        <f t="shared" si="79"/>
        <v>0</v>
      </c>
      <c r="CD79" s="61">
        <f t="shared" si="74"/>
        <v>0</v>
      </c>
      <c r="CE79" s="61">
        <f t="shared" si="74"/>
        <v>0</v>
      </c>
      <c r="CF79" s="61">
        <f t="shared" si="74"/>
        <v>0</v>
      </c>
      <c r="CG79" s="61">
        <f t="shared" si="74"/>
        <v>0</v>
      </c>
      <c r="CH79" s="61">
        <f t="shared" si="36"/>
        <v>0</v>
      </c>
      <c r="CI79" s="61">
        <f t="shared" si="68"/>
        <v>0</v>
      </c>
      <c r="CJ79" s="61"/>
      <c r="CK79" s="61">
        <f t="shared" si="80"/>
        <v>0</v>
      </c>
      <c r="CL79" s="61">
        <f t="shared" si="80"/>
        <v>0</v>
      </c>
      <c r="CM79" s="61">
        <f t="shared" si="80"/>
        <v>0</v>
      </c>
      <c r="CN79" s="61">
        <f t="shared" si="75"/>
        <v>0</v>
      </c>
      <c r="CO79" s="61">
        <f t="shared" si="75"/>
        <v>0</v>
      </c>
      <c r="CP79" s="61">
        <f t="shared" si="75"/>
        <v>0</v>
      </c>
      <c r="CQ79" s="61">
        <f t="shared" si="75"/>
        <v>0</v>
      </c>
      <c r="CR79" s="61">
        <f t="shared" si="37"/>
        <v>0</v>
      </c>
      <c r="CS79" s="61">
        <f t="shared" si="69"/>
        <v>0</v>
      </c>
      <c r="CT79" s="61">
        <f t="shared" si="70"/>
        <v>0</v>
      </c>
      <c r="CV79" s="61">
        <f t="shared" si="71"/>
        <v>0</v>
      </c>
      <c r="CW79" s="61">
        <f t="shared" si="12"/>
        <v>0</v>
      </c>
      <c r="CX79" s="61"/>
      <c r="CY79" s="61">
        <f t="shared" si="13"/>
        <v>0</v>
      </c>
      <c r="CZ79" s="61">
        <f t="shared" si="13"/>
        <v>0</v>
      </c>
      <c r="DA79" s="61">
        <f t="shared" si="13"/>
        <v>0</v>
      </c>
      <c r="DB79" s="2" t="s">
        <v>85</v>
      </c>
      <c r="DC79" s="2" t="s">
        <v>102</v>
      </c>
      <c r="DD79" s="2" t="s">
        <v>142</v>
      </c>
      <c r="DE79" s="2" t="s">
        <v>181</v>
      </c>
      <c r="DF79" s="3" t="s">
        <v>118</v>
      </c>
      <c r="DG79" s="62">
        <v>42789</v>
      </c>
      <c r="EC79" s="60"/>
      <c r="ED79" s="60"/>
      <c r="EE79" s="60"/>
      <c r="EF79" s="60"/>
    </row>
    <row r="80" spans="2:140" ht="12.75" hidden="1" customHeight="1">
      <c r="B80" s="23" t="s">
        <v>240</v>
      </c>
      <c r="C80" s="22" t="s">
        <v>237</v>
      </c>
      <c r="D80" s="22" t="s">
        <v>238</v>
      </c>
      <c r="E80" s="2" t="str">
        <f>VLOOKUP($C80,[1]Detail!$C:$AK,6,0)</f>
        <v>PMT1</v>
      </c>
      <c r="F80" s="2" t="str">
        <f>VLOOKUP($C80,[1]Detail!$C:$AK,7,0)</f>
        <v>TH</v>
      </c>
      <c r="G80" s="2" t="str">
        <f>VLOOKUP($C80,[1]Detail!$C:$AK,5,0)</f>
        <v>B</v>
      </c>
      <c r="J80" s="22" t="s">
        <v>126</v>
      </c>
      <c r="K80" s="23" t="s">
        <v>241</v>
      </c>
      <c r="L80" s="22" t="s">
        <v>100</v>
      </c>
      <c r="M80" s="51" t="str">
        <f t="shared" si="66"/>
        <v>JD8B-A27207-AA</v>
      </c>
      <c r="O80" s="22">
        <v>1</v>
      </c>
      <c r="P80" s="22">
        <v>1</v>
      </c>
      <c r="Q80" s="22">
        <v>1</v>
      </c>
      <c r="R80" s="22">
        <v>1</v>
      </c>
      <c r="S80" s="22">
        <v>1</v>
      </c>
      <c r="T80" s="22">
        <v>1</v>
      </c>
      <c r="U80" s="22">
        <v>1</v>
      </c>
      <c r="V80" s="22">
        <v>1</v>
      </c>
      <c r="W80" s="64">
        <f t="shared" si="47"/>
        <v>1</v>
      </c>
      <c r="Y80" s="60">
        <v>-2.4</v>
      </c>
      <c r="Z80" s="60">
        <v>-0.08</v>
      </c>
      <c r="AA80" s="60">
        <v>-0.03</v>
      </c>
      <c r="AB80" s="60">
        <v>0</v>
      </c>
      <c r="AC80" s="60">
        <v>0</v>
      </c>
      <c r="AD80" s="8">
        <f t="shared" si="67"/>
        <v>-2.5099999999999998</v>
      </c>
      <c r="AE80" s="2" t="s">
        <v>91</v>
      </c>
      <c r="AG80" s="71">
        <f>-410000/2</f>
        <v>-205000</v>
      </c>
      <c r="AH80" s="71">
        <f t="shared" si="81"/>
        <v>-205000</v>
      </c>
      <c r="AI80" s="6"/>
      <c r="AJ80" s="71">
        <v>0</v>
      </c>
      <c r="AK80" s="71">
        <v>0</v>
      </c>
      <c r="AL80" s="72">
        <v>0</v>
      </c>
      <c r="AM80" s="22"/>
      <c r="AO80" s="22" t="s">
        <v>126</v>
      </c>
      <c r="AP80" s="23" t="s">
        <v>241</v>
      </c>
      <c r="AQ80" s="22" t="s">
        <v>100</v>
      </c>
      <c r="AR80" s="51" t="str">
        <f>TRIM(AO80)&amp;"-"&amp;TRIM(AP80)&amp;"-"&amp;TRIM(AQ80)</f>
        <v>JD8B-A27207-AA</v>
      </c>
      <c r="AS80" s="3"/>
      <c r="AT80" s="22">
        <v>1</v>
      </c>
      <c r="AU80" s="22">
        <v>1</v>
      </c>
      <c r="AV80" s="22">
        <v>1</v>
      </c>
      <c r="AW80" s="22">
        <v>1</v>
      </c>
      <c r="AX80" s="22">
        <v>1</v>
      </c>
      <c r="AY80" s="22">
        <v>1</v>
      </c>
      <c r="AZ80" s="22">
        <v>1</v>
      </c>
      <c r="BA80" s="22">
        <v>1</v>
      </c>
      <c r="BB80" s="2">
        <f>SUMPRODUCT(AT80:BA80,$AT$6:$BA$6)</f>
        <v>1</v>
      </c>
      <c r="BD80" s="60">
        <v>-2.4</v>
      </c>
      <c r="BE80" s="60">
        <v>-0.08</v>
      </c>
      <c r="BF80" s="60">
        <v>-0.03</v>
      </c>
      <c r="BG80" s="60">
        <v>0</v>
      </c>
      <c r="BH80" s="60">
        <v>0</v>
      </c>
      <c r="BI80" s="8">
        <f t="shared" si="83"/>
        <v>-2.5099999999999998</v>
      </c>
      <c r="BJ80" s="2" t="s">
        <v>91</v>
      </c>
      <c r="BL80" s="71">
        <f>-410000/2</f>
        <v>-205000</v>
      </c>
      <c r="BM80" s="71">
        <f>BL80</f>
        <v>-205000</v>
      </c>
      <c r="BO80" s="71">
        <v>0</v>
      </c>
      <c r="BP80" s="71">
        <v>0</v>
      </c>
      <c r="BQ80" s="72">
        <v>0</v>
      </c>
      <c r="BS80" s="61">
        <f t="shared" si="76"/>
        <v>0</v>
      </c>
      <c r="BT80" s="61">
        <f t="shared" si="77"/>
        <v>0</v>
      </c>
      <c r="BU80" s="61">
        <f t="shared" si="78"/>
        <v>0</v>
      </c>
      <c r="BV80" s="61">
        <f t="shared" si="78"/>
        <v>0</v>
      </c>
      <c r="BW80" s="61">
        <f t="shared" si="78"/>
        <v>0</v>
      </c>
      <c r="BX80" s="61">
        <f t="shared" si="78"/>
        <v>0</v>
      </c>
      <c r="BY80" s="61" t="s">
        <v>91</v>
      </c>
      <c r="CA80" s="61">
        <f t="shared" si="79"/>
        <v>0</v>
      </c>
      <c r="CB80" s="61">
        <f t="shared" si="79"/>
        <v>0</v>
      </c>
      <c r="CC80" s="61">
        <f t="shared" si="79"/>
        <v>0</v>
      </c>
      <c r="CD80" s="61">
        <f t="shared" si="74"/>
        <v>0</v>
      </c>
      <c r="CE80" s="61">
        <f t="shared" si="74"/>
        <v>0</v>
      </c>
      <c r="CF80" s="61">
        <f t="shared" si="74"/>
        <v>0</v>
      </c>
      <c r="CG80" s="61">
        <f t="shared" si="74"/>
        <v>0</v>
      </c>
      <c r="CH80" s="61">
        <f t="shared" si="36"/>
        <v>0</v>
      </c>
      <c r="CI80" s="61">
        <f t="shared" si="68"/>
        <v>0</v>
      </c>
      <c r="CJ80" s="61"/>
      <c r="CK80" s="61">
        <f t="shared" si="80"/>
        <v>0</v>
      </c>
      <c r="CL80" s="61">
        <f t="shared" si="80"/>
        <v>0</v>
      </c>
      <c r="CM80" s="61">
        <f t="shared" si="80"/>
        <v>0</v>
      </c>
      <c r="CN80" s="61">
        <f t="shared" si="75"/>
        <v>0</v>
      </c>
      <c r="CO80" s="61">
        <f t="shared" si="75"/>
        <v>0</v>
      </c>
      <c r="CP80" s="61">
        <f t="shared" si="75"/>
        <v>0</v>
      </c>
      <c r="CQ80" s="61">
        <f t="shared" si="75"/>
        <v>0</v>
      </c>
      <c r="CR80" s="61">
        <f t="shared" si="37"/>
        <v>0</v>
      </c>
      <c r="CS80" s="61">
        <f t="shared" si="69"/>
        <v>0</v>
      </c>
      <c r="CT80" s="61">
        <f t="shared" si="70"/>
        <v>0</v>
      </c>
      <c r="CV80" s="61">
        <f t="shared" si="71"/>
        <v>0</v>
      </c>
      <c r="CW80" s="61">
        <f t="shared" si="12"/>
        <v>0</v>
      </c>
      <c r="CX80" s="61"/>
      <c r="CY80" s="61">
        <f t="shared" si="13"/>
        <v>0</v>
      </c>
      <c r="CZ80" s="61">
        <f t="shared" si="13"/>
        <v>0</v>
      </c>
      <c r="DA80" s="61">
        <f t="shared" si="13"/>
        <v>0</v>
      </c>
      <c r="DB80" s="2" t="s">
        <v>85</v>
      </c>
      <c r="DC80" s="2" t="s">
        <v>102</v>
      </c>
      <c r="DD80" s="2" t="s">
        <v>142</v>
      </c>
      <c r="DE80" s="2" t="s">
        <v>181</v>
      </c>
      <c r="DF80" s="3" t="s">
        <v>118</v>
      </c>
      <c r="DG80" s="62">
        <v>42789</v>
      </c>
      <c r="EC80" s="60"/>
      <c r="ED80" s="60"/>
      <c r="EE80" s="60"/>
      <c r="EF80" s="60"/>
    </row>
    <row r="81" spans="2:140" ht="12.75" hidden="1" customHeight="1">
      <c r="B81" s="23" t="s">
        <v>242</v>
      </c>
      <c r="C81" s="22" t="s">
        <v>237</v>
      </c>
      <c r="D81" s="22" t="s">
        <v>238</v>
      </c>
      <c r="E81" s="2" t="str">
        <f>VLOOKUP($C81,[1]Detail!$C:$AK,6,0)</f>
        <v>PMT1</v>
      </c>
      <c r="F81" s="2" t="str">
        <f>VLOOKUP($C81,[1]Detail!$C:$AK,7,0)</f>
        <v>TH</v>
      </c>
      <c r="G81" s="2" t="str">
        <f>VLOOKUP($C81,[1]Detail!$C:$AK,5,0)</f>
        <v>B</v>
      </c>
      <c r="J81" s="22" t="s">
        <v>126</v>
      </c>
      <c r="K81" s="23" t="s">
        <v>239</v>
      </c>
      <c r="L81" s="22" t="s">
        <v>100</v>
      </c>
      <c r="M81" s="51" t="str">
        <f t="shared" si="66"/>
        <v>JD8B-A27206-AA</v>
      </c>
      <c r="O81" s="22">
        <v>1</v>
      </c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22">
        <v>1</v>
      </c>
      <c r="V81" s="22">
        <v>1</v>
      </c>
      <c r="W81" s="64">
        <f t="shared" si="47"/>
        <v>1</v>
      </c>
      <c r="Y81" s="60">
        <v>-2.4</v>
      </c>
      <c r="Z81" s="60">
        <v>-0.08</v>
      </c>
      <c r="AA81" s="60">
        <v>-0.03</v>
      </c>
      <c r="AB81" s="60">
        <v>0</v>
      </c>
      <c r="AC81" s="60">
        <v>0</v>
      </c>
      <c r="AD81" s="8">
        <f t="shared" si="67"/>
        <v>-2.5099999999999998</v>
      </c>
      <c r="AE81" s="2" t="s">
        <v>91</v>
      </c>
      <c r="AG81" s="71">
        <f>-410000/2</f>
        <v>-205000</v>
      </c>
      <c r="AH81" s="71">
        <f t="shared" si="81"/>
        <v>-205000</v>
      </c>
      <c r="AI81" s="6"/>
      <c r="AJ81" s="71">
        <v>0</v>
      </c>
      <c r="AK81" s="71">
        <v>0</v>
      </c>
      <c r="AL81" s="72">
        <v>0</v>
      </c>
      <c r="AM81" s="22"/>
      <c r="AO81" s="22" t="s">
        <v>126</v>
      </c>
      <c r="AP81" s="23" t="s">
        <v>239</v>
      </c>
      <c r="AQ81" s="22" t="s">
        <v>100</v>
      </c>
      <c r="AR81" s="51" t="str">
        <f>TRIM(AO81)&amp;"-"&amp;TRIM(AP81)&amp;"-"&amp;TRIM(AQ81)</f>
        <v>JD8B-A27206-AA</v>
      </c>
      <c r="AS81" s="3"/>
      <c r="AT81" s="22">
        <v>1</v>
      </c>
      <c r="AU81" s="22">
        <v>1</v>
      </c>
      <c r="AV81" s="22">
        <v>1</v>
      </c>
      <c r="AW81" s="22">
        <v>1</v>
      </c>
      <c r="AX81" s="22">
        <v>1</v>
      </c>
      <c r="AY81" s="22">
        <v>1</v>
      </c>
      <c r="AZ81" s="22">
        <v>1</v>
      </c>
      <c r="BA81" s="22">
        <v>1</v>
      </c>
      <c r="BB81" s="64">
        <f>SUMPRODUCT(AT81:BA81,$O$6:$V$6)</f>
        <v>1</v>
      </c>
      <c r="BD81" s="60">
        <v>-2.4</v>
      </c>
      <c r="BE81" s="60">
        <v>-0.08</v>
      </c>
      <c r="BF81" s="60">
        <v>-0.03</v>
      </c>
      <c r="BG81" s="60">
        <v>0</v>
      </c>
      <c r="BH81" s="60">
        <v>0</v>
      </c>
      <c r="BI81" s="8">
        <f t="shared" si="83"/>
        <v>-2.5099999999999998</v>
      </c>
      <c r="BJ81" s="2" t="s">
        <v>91</v>
      </c>
      <c r="BL81" s="71">
        <f>-410000/2</f>
        <v>-205000</v>
      </c>
      <c r="BM81" s="71">
        <f>BL81</f>
        <v>-205000</v>
      </c>
      <c r="BO81" s="71">
        <v>0</v>
      </c>
      <c r="BP81" s="71">
        <v>0</v>
      </c>
      <c r="BQ81" s="72">
        <v>0</v>
      </c>
      <c r="BS81" s="61">
        <f t="shared" si="76"/>
        <v>0</v>
      </c>
      <c r="BT81" s="61">
        <f t="shared" si="77"/>
        <v>0</v>
      </c>
      <c r="BU81" s="61">
        <f t="shared" si="78"/>
        <v>0</v>
      </c>
      <c r="BV81" s="61">
        <f t="shared" si="78"/>
        <v>0</v>
      </c>
      <c r="BW81" s="61">
        <f t="shared" si="78"/>
        <v>0</v>
      </c>
      <c r="BX81" s="61">
        <f t="shared" si="78"/>
        <v>0</v>
      </c>
      <c r="BY81" s="61" t="s">
        <v>91</v>
      </c>
      <c r="CA81" s="61">
        <f t="shared" si="79"/>
        <v>0</v>
      </c>
      <c r="CB81" s="61">
        <f t="shared" si="79"/>
        <v>0</v>
      </c>
      <c r="CC81" s="61">
        <f t="shared" si="79"/>
        <v>0</v>
      </c>
      <c r="CD81" s="61">
        <f t="shared" si="74"/>
        <v>0</v>
      </c>
      <c r="CE81" s="61">
        <f t="shared" si="74"/>
        <v>0</v>
      </c>
      <c r="CF81" s="61">
        <f t="shared" si="74"/>
        <v>0</v>
      </c>
      <c r="CG81" s="61">
        <f t="shared" si="74"/>
        <v>0</v>
      </c>
      <c r="CH81" s="61">
        <f t="shared" si="36"/>
        <v>0</v>
      </c>
      <c r="CI81" s="61">
        <f t="shared" si="68"/>
        <v>0</v>
      </c>
      <c r="CJ81" s="61"/>
      <c r="CK81" s="61">
        <f t="shared" si="80"/>
        <v>0</v>
      </c>
      <c r="CL81" s="61">
        <f t="shared" si="80"/>
        <v>0</v>
      </c>
      <c r="CM81" s="61">
        <f t="shared" si="80"/>
        <v>0</v>
      </c>
      <c r="CN81" s="61">
        <f t="shared" si="75"/>
        <v>0</v>
      </c>
      <c r="CO81" s="61">
        <f t="shared" si="75"/>
        <v>0</v>
      </c>
      <c r="CP81" s="61">
        <f t="shared" si="75"/>
        <v>0</v>
      </c>
      <c r="CQ81" s="61">
        <f t="shared" si="75"/>
        <v>0</v>
      </c>
      <c r="CR81" s="61">
        <f t="shared" si="37"/>
        <v>0</v>
      </c>
      <c r="CS81" s="61">
        <f t="shared" si="69"/>
        <v>0</v>
      </c>
      <c r="CT81" s="61">
        <f t="shared" si="70"/>
        <v>0</v>
      </c>
      <c r="CV81" s="61">
        <f t="shared" si="71"/>
        <v>0</v>
      </c>
      <c r="CW81" s="61">
        <f t="shared" si="12"/>
        <v>0</v>
      </c>
      <c r="CX81" s="61"/>
      <c r="CY81" s="61">
        <f t="shared" si="13"/>
        <v>0</v>
      </c>
      <c r="CZ81" s="61">
        <f t="shared" si="13"/>
        <v>0</v>
      </c>
      <c r="DA81" s="61">
        <f t="shared" si="13"/>
        <v>0</v>
      </c>
      <c r="DB81" s="2" t="s">
        <v>85</v>
      </c>
      <c r="DC81" s="2" t="s">
        <v>85</v>
      </c>
      <c r="DD81" s="2" t="s">
        <v>142</v>
      </c>
      <c r="DE81" s="2" t="s">
        <v>181</v>
      </c>
      <c r="DF81" s="3" t="s">
        <v>86</v>
      </c>
      <c r="DG81" s="62">
        <v>42833</v>
      </c>
      <c r="EC81" s="60"/>
      <c r="ED81" s="60"/>
      <c r="EE81" s="60"/>
      <c r="EF81" s="60"/>
    </row>
    <row r="82" spans="2:140" ht="12.75" hidden="1" customHeight="1">
      <c r="B82" s="23" t="s">
        <v>242</v>
      </c>
      <c r="C82" s="22" t="s">
        <v>237</v>
      </c>
      <c r="D82" s="22" t="s">
        <v>238</v>
      </c>
      <c r="E82" s="2" t="str">
        <f>VLOOKUP($C82,[1]Detail!$C:$AK,6,0)</f>
        <v>PMT1</v>
      </c>
      <c r="F82" s="2" t="str">
        <f>VLOOKUP($C82,[1]Detail!$C:$AK,7,0)</f>
        <v>TH</v>
      </c>
      <c r="G82" s="2" t="str">
        <f>VLOOKUP($C82,[1]Detail!$C:$AK,5,0)</f>
        <v>B</v>
      </c>
      <c r="J82" s="22" t="s">
        <v>126</v>
      </c>
      <c r="K82" s="23" t="s">
        <v>241</v>
      </c>
      <c r="L82" s="22" t="s">
        <v>100</v>
      </c>
      <c r="M82" s="51" t="str">
        <f t="shared" si="66"/>
        <v>JD8B-A27207-AA</v>
      </c>
      <c r="O82" s="22">
        <v>1</v>
      </c>
      <c r="P82" s="22">
        <v>1</v>
      </c>
      <c r="Q82" s="22">
        <v>1</v>
      </c>
      <c r="R82" s="22">
        <v>1</v>
      </c>
      <c r="S82" s="22">
        <v>1</v>
      </c>
      <c r="T82" s="22">
        <v>1</v>
      </c>
      <c r="U82" s="22">
        <v>1</v>
      </c>
      <c r="V82" s="22">
        <v>1</v>
      </c>
      <c r="W82" s="64">
        <f t="shared" si="47"/>
        <v>1</v>
      </c>
      <c r="Y82" s="60">
        <v>-2.4</v>
      </c>
      <c r="Z82" s="60">
        <v>-0.08</v>
      </c>
      <c r="AA82" s="60">
        <v>-0.03</v>
      </c>
      <c r="AB82" s="60">
        <v>0</v>
      </c>
      <c r="AC82" s="60">
        <v>0</v>
      </c>
      <c r="AD82" s="8">
        <f t="shared" si="67"/>
        <v>-2.5099999999999998</v>
      </c>
      <c r="AE82" s="2" t="s">
        <v>91</v>
      </c>
      <c r="AG82" s="71">
        <f>-410000/2</f>
        <v>-205000</v>
      </c>
      <c r="AH82" s="71">
        <f t="shared" si="81"/>
        <v>-205000</v>
      </c>
      <c r="AI82" s="6"/>
      <c r="AJ82" s="71">
        <v>0</v>
      </c>
      <c r="AK82" s="71">
        <v>0</v>
      </c>
      <c r="AL82" s="72">
        <v>0</v>
      </c>
      <c r="AM82" s="22"/>
      <c r="AO82" s="22" t="s">
        <v>126</v>
      </c>
      <c r="AP82" s="23" t="s">
        <v>241</v>
      </c>
      <c r="AQ82" s="22" t="s">
        <v>100</v>
      </c>
      <c r="AR82" s="51" t="str">
        <f>TRIM(AO82)&amp;"-"&amp;TRIM(AP82)&amp;"-"&amp;TRIM(AQ82)</f>
        <v>JD8B-A27207-AA</v>
      </c>
      <c r="AS82" s="3"/>
      <c r="AT82" s="22">
        <v>1</v>
      </c>
      <c r="AU82" s="22">
        <v>1</v>
      </c>
      <c r="AV82" s="22">
        <v>1</v>
      </c>
      <c r="AW82" s="22">
        <v>1</v>
      </c>
      <c r="AX82" s="22">
        <v>1</v>
      </c>
      <c r="AY82" s="22">
        <v>1</v>
      </c>
      <c r="AZ82" s="22">
        <v>1</v>
      </c>
      <c r="BA82" s="22">
        <v>1</v>
      </c>
      <c r="BB82" s="64">
        <f>SUMPRODUCT(AT82:BA82,$O$6:$V$6)</f>
        <v>1</v>
      </c>
      <c r="BD82" s="60">
        <v>-2.4</v>
      </c>
      <c r="BE82" s="60">
        <v>-0.08</v>
      </c>
      <c r="BF82" s="60">
        <v>-0.03</v>
      </c>
      <c r="BG82" s="60">
        <v>0</v>
      </c>
      <c r="BH82" s="60">
        <v>0</v>
      </c>
      <c r="BI82" s="8">
        <f t="shared" si="83"/>
        <v>-2.5099999999999998</v>
      </c>
      <c r="BJ82" s="2" t="s">
        <v>91</v>
      </c>
      <c r="BL82" s="71">
        <f>-410000/2</f>
        <v>-205000</v>
      </c>
      <c r="BM82" s="71">
        <f>BL82</f>
        <v>-205000</v>
      </c>
      <c r="BO82" s="71">
        <v>0</v>
      </c>
      <c r="BP82" s="71">
        <v>0</v>
      </c>
      <c r="BQ82" s="72">
        <v>0</v>
      </c>
      <c r="BS82" s="61">
        <f t="shared" si="76"/>
        <v>0</v>
      </c>
      <c r="BT82" s="61">
        <f t="shared" si="77"/>
        <v>0</v>
      </c>
      <c r="BU82" s="61">
        <f t="shared" si="78"/>
        <v>0</v>
      </c>
      <c r="BV82" s="61">
        <f t="shared" si="78"/>
        <v>0</v>
      </c>
      <c r="BW82" s="61">
        <f t="shared" si="78"/>
        <v>0</v>
      </c>
      <c r="BX82" s="61">
        <f t="shared" si="78"/>
        <v>0</v>
      </c>
      <c r="BY82" s="61" t="s">
        <v>91</v>
      </c>
      <c r="CA82" s="61">
        <f t="shared" si="79"/>
        <v>0</v>
      </c>
      <c r="CB82" s="61">
        <f t="shared" si="79"/>
        <v>0</v>
      </c>
      <c r="CC82" s="61">
        <f t="shared" si="79"/>
        <v>0</v>
      </c>
      <c r="CD82" s="61">
        <f t="shared" si="74"/>
        <v>0</v>
      </c>
      <c r="CE82" s="61">
        <f t="shared" si="74"/>
        <v>0</v>
      </c>
      <c r="CF82" s="61">
        <f t="shared" si="74"/>
        <v>0</v>
      </c>
      <c r="CG82" s="61">
        <f t="shared" si="74"/>
        <v>0</v>
      </c>
      <c r="CH82" s="61">
        <f t="shared" si="36"/>
        <v>0</v>
      </c>
      <c r="CI82" s="61">
        <f t="shared" si="68"/>
        <v>0</v>
      </c>
      <c r="CJ82" s="61"/>
      <c r="CK82" s="61">
        <f t="shared" si="80"/>
        <v>0</v>
      </c>
      <c r="CL82" s="61">
        <f t="shared" si="80"/>
        <v>0</v>
      </c>
      <c r="CM82" s="61">
        <f t="shared" si="80"/>
        <v>0</v>
      </c>
      <c r="CN82" s="61">
        <f t="shared" si="75"/>
        <v>0</v>
      </c>
      <c r="CO82" s="61">
        <f t="shared" si="75"/>
        <v>0</v>
      </c>
      <c r="CP82" s="61">
        <f t="shared" si="75"/>
        <v>0</v>
      </c>
      <c r="CQ82" s="61">
        <f t="shared" si="75"/>
        <v>0</v>
      </c>
      <c r="CR82" s="61">
        <f t="shared" si="37"/>
        <v>0</v>
      </c>
      <c r="CS82" s="61">
        <f t="shared" si="69"/>
        <v>0</v>
      </c>
      <c r="CT82" s="61">
        <f t="shared" si="70"/>
        <v>0</v>
      </c>
      <c r="CV82" s="61">
        <f t="shared" si="71"/>
        <v>0</v>
      </c>
      <c r="CW82" s="61">
        <f t="shared" si="12"/>
        <v>0</v>
      </c>
      <c r="CX82" s="61"/>
      <c r="CY82" s="61">
        <f t="shared" si="13"/>
        <v>0</v>
      </c>
      <c r="CZ82" s="61">
        <f t="shared" si="13"/>
        <v>0</v>
      </c>
      <c r="DA82" s="61">
        <f t="shared" si="13"/>
        <v>0</v>
      </c>
      <c r="DB82" s="2" t="s">
        <v>85</v>
      </c>
      <c r="DC82" s="2" t="s">
        <v>85</v>
      </c>
      <c r="DD82" s="2" t="s">
        <v>142</v>
      </c>
      <c r="DE82" s="2" t="s">
        <v>181</v>
      </c>
      <c r="DF82" s="3" t="s">
        <v>86</v>
      </c>
      <c r="DG82" s="62">
        <v>42833</v>
      </c>
      <c r="EC82" s="60"/>
      <c r="ED82" s="60"/>
      <c r="EE82" s="60"/>
      <c r="EF82" s="60"/>
    </row>
    <row r="83" spans="2:140" ht="12.75" customHeight="1">
      <c r="B83" s="23" t="s">
        <v>243</v>
      </c>
      <c r="C83" s="22" t="s">
        <v>244</v>
      </c>
      <c r="D83" s="22" t="s">
        <v>245</v>
      </c>
      <c r="E83" s="2" t="str">
        <f>VLOOKUP($C83,[1]Detail!$C:$AK,6,0)</f>
        <v>PMT5</v>
      </c>
      <c r="F83" s="2" t="str">
        <f>VLOOKUP($C83,[1]Detail!$C:$AK,7,0)</f>
        <v>TH</v>
      </c>
      <c r="G83" s="2" t="str">
        <f>VLOOKUP($C83,[1]Detail!$C:$AK,5,0)</f>
        <v>B</v>
      </c>
      <c r="J83" s="22" t="s">
        <v>110</v>
      </c>
      <c r="K83" s="23" t="s">
        <v>246</v>
      </c>
      <c r="L83" s="22" t="s">
        <v>100</v>
      </c>
      <c r="M83" s="51" t="str">
        <f t="shared" si="66"/>
        <v>JD8T-14529 -AA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1</v>
      </c>
      <c r="V83" s="22">
        <v>1</v>
      </c>
      <c r="W83" s="64">
        <f t="shared" si="47"/>
        <v>0.1</v>
      </c>
      <c r="Y83" s="60">
        <v>-15.84</v>
      </c>
      <c r="Z83" s="60">
        <v>-0.1</v>
      </c>
      <c r="AA83" s="60">
        <v>0</v>
      </c>
      <c r="AB83" s="60">
        <v>0</v>
      </c>
      <c r="AC83" s="60">
        <v>-8.6999999999999993</v>
      </c>
      <c r="AD83" s="8">
        <f t="shared" si="67"/>
        <v>-24.64</v>
      </c>
      <c r="AE83" s="2" t="s">
        <v>91</v>
      </c>
      <c r="AG83" s="71">
        <v>-150000</v>
      </c>
      <c r="AH83" s="71">
        <v>-150000</v>
      </c>
      <c r="AI83" s="6"/>
      <c r="AJ83" s="71">
        <v>0</v>
      </c>
      <c r="AK83" s="71">
        <v>0</v>
      </c>
      <c r="AL83" s="72">
        <v>0</v>
      </c>
      <c r="AM83" s="22"/>
      <c r="AO83" s="22" t="s">
        <v>157</v>
      </c>
      <c r="AP83" s="23" t="s">
        <v>246</v>
      </c>
      <c r="AQ83" s="22" t="s">
        <v>100</v>
      </c>
      <c r="AR83" s="51" t="str">
        <f>TRIM(AO83)&amp;"-"&amp;TRIM(AP83)&amp;"-"&amp;TRIM(AQ83)</f>
        <v>ED8T-14529 -AA</v>
      </c>
      <c r="AS83" s="3"/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1</v>
      </c>
      <c r="BA83" s="22">
        <v>1</v>
      </c>
      <c r="BB83" s="2">
        <f>SUMPRODUCT(AT83:BA83,$O$6:$V$6)</f>
        <v>0.1</v>
      </c>
      <c r="BD83" s="60">
        <v>-9.14</v>
      </c>
      <c r="BE83" s="60">
        <v>-0.1</v>
      </c>
      <c r="BF83" s="60">
        <v>0</v>
      </c>
      <c r="BG83" s="60">
        <v>0</v>
      </c>
      <c r="BH83" s="60">
        <v>-8.6999999999999993</v>
      </c>
      <c r="BI83" s="8">
        <f t="shared" si="83"/>
        <v>-17.939999999999998</v>
      </c>
      <c r="BJ83" s="2" t="s">
        <v>91</v>
      </c>
      <c r="BL83" s="71">
        <v>0</v>
      </c>
      <c r="BM83" s="71">
        <v>0</v>
      </c>
      <c r="BO83" s="71">
        <v>0</v>
      </c>
      <c r="BP83" s="71">
        <v>0</v>
      </c>
      <c r="BQ83" s="72"/>
      <c r="BS83" s="61">
        <f t="shared" si="76"/>
        <v>-6.6999999999999993</v>
      </c>
      <c r="BT83" s="61">
        <f t="shared" si="77"/>
        <v>0</v>
      </c>
      <c r="BU83" s="61">
        <f t="shared" si="78"/>
        <v>0</v>
      </c>
      <c r="BV83" s="61">
        <f t="shared" si="78"/>
        <v>0</v>
      </c>
      <c r="BW83" s="61">
        <f t="shared" si="78"/>
        <v>0</v>
      </c>
      <c r="BX83" s="61">
        <f t="shared" si="78"/>
        <v>-6.7000000000000028</v>
      </c>
      <c r="BY83" s="61" t="s">
        <v>91</v>
      </c>
      <c r="CA83" s="61">
        <f t="shared" si="79"/>
        <v>0</v>
      </c>
      <c r="CB83" s="61">
        <f t="shared" si="79"/>
        <v>0</v>
      </c>
      <c r="CC83" s="61">
        <f t="shared" si="79"/>
        <v>0</v>
      </c>
      <c r="CD83" s="61">
        <f t="shared" si="74"/>
        <v>0</v>
      </c>
      <c r="CE83" s="61">
        <f t="shared" si="74"/>
        <v>0</v>
      </c>
      <c r="CF83" s="61">
        <f t="shared" si="74"/>
        <v>0</v>
      </c>
      <c r="CG83" s="61">
        <f t="shared" si="74"/>
        <v>-1.007973521889574</v>
      </c>
      <c r="CH83" s="61">
        <f t="shared" si="36"/>
        <v>-1.007973521889574</v>
      </c>
      <c r="CI83" s="61">
        <f t="shared" si="68"/>
        <v>-0.10079735218895741</v>
      </c>
      <c r="CJ83" s="61"/>
      <c r="CK83" s="61">
        <f t="shared" si="80"/>
        <v>0</v>
      </c>
      <c r="CL83" s="61">
        <f t="shared" si="80"/>
        <v>0</v>
      </c>
      <c r="CM83" s="61">
        <f t="shared" si="80"/>
        <v>0</v>
      </c>
      <c r="CN83" s="61">
        <f t="shared" si="75"/>
        <v>0</v>
      </c>
      <c r="CO83" s="61">
        <f t="shared" si="75"/>
        <v>0</v>
      </c>
      <c r="CP83" s="61">
        <f t="shared" si="75"/>
        <v>0</v>
      </c>
      <c r="CQ83" s="61">
        <f t="shared" si="75"/>
        <v>-1.0079735218895747</v>
      </c>
      <c r="CR83" s="61">
        <f t="shared" si="37"/>
        <v>-1.0079735218895747</v>
      </c>
      <c r="CS83" s="61">
        <f t="shared" si="69"/>
        <v>-0.10079735218895747</v>
      </c>
      <c r="CT83" s="61">
        <f t="shared" si="70"/>
        <v>-0.67000000000000026</v>
      </c>
      <c r="CV83" s="61">
        <f t="shared" si="71"/>
        <v>-150000</v>
      </c>
      <c r="CW83" s="61">
        <f t="shared" si="12"/>
        <v>-150000</v>
      </c>
      <c r="CX83" s="61"/>
      <c r="CY83" s="61">
        <f t="shared" si="13"/>
        <v>0</v>
      </c>
      <c r="CZ83" s="61">
        <f t="shared" si="13"/>
        <v>0</v>
      </c>
      <c r="DA83" s="61">
        <f t="shared" si="13"/>
        <v>0</v>
      </c>
      <c r="DB83" s="2" t="s">
        <v>247</v>
      </c>
      <c r="DC83" s="2" t="s">
        <v>102</v>
      </c>
      <c r="DD83" s="2" t="s">
        <v>142</v>
      </c>
      <c r="DE83" s="2" t="s">
        <v>181</v>
      </c>
      <c r="DF83" s="3" t="s">
        <v>248</v>
      </c>
      <c r="DG83" s="62">
        <v>42807</v>
      </c>
      <c r="EC83" s="60"/>
      <c r="ED83" s="60"/>
      <c r="EE83" s="60"/>
      <c r="EF83" s="60"/>
    </row>
    <row r="84" spans="2:140" s="75" customFormat="1" ht="12.75" customHeight="1">
      <c r="B84" s="74" t="s">
        <v>249</v>
      </c>
      <c r="C84" s="75" t="s">
        <v>244</v>
      </c>
      <c r="D84" s="75" t="s">
        <v>245</v>
      </c>
      <c r="E84" s="75" t="str">
        <f>VLOOKUP($C84,[1]Detail!$C:$AK,6,0)</f>
        <v>PMT5</v>
      </c>
      <c r="F84" s="75" t="str">
        <f>VLOOKUP($C84,[1]Detail!$C:$AK,7,0)</f>
        <v>TH</v>
      </c>
      <c r="G84" s="75" t="str">
        <f>VLOOKUP($C84,[1]Detail!$C:$AK,5,0)</f>
        <v>B</v>
      </c>
      <c r="H84" s="2"/>
      <c r="J84" s="75" t="s">
        <v>81</v>
      </c>
      <c r="K84" s="74" t="s">
        <v>13</v>
      </c>
      <c r="L84" s="75" t="s">
        <v>180</v>
      </c>
      <c r="M84" s="76" t="s">
        <v>250</v>
      </c>
      <c r="N84" s="77"/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1</v>
      </c>
      <c r="V84" s="75">
        <v>1</v>
      </c>
      <c r="W84" s="75">
        <v>0.1</v>
      </c>
      <c r="Y84" s="78">
        <v>-15.84</v>
      </c>
      <c r="Z84" s="78">
        <v>-0.1</v>
      </c>
      <c r="AA84" s="78">
        <v>0</v>
      </c>
      <c r="AB84" s="78">
        <v>0</v>
      </c>
      <c r="AC84" s="78">
        <v>-8.6999999999999993</v>
      </c>
      <c r="AD84" s="79">
        <v>-24.64</v>
      </c>
      <c r="AE84" s="75" t="s">
        <v>91</v>
      </c>
      <c r="AG84" s="80">
        <v>-150000</v>
      </c>
      <c r="AH84" s="80">
        <v>-150000</v>
      </c>
      <c r="AI84" s="81"/>
      <c r="AJ84" s="80">
        <v>0</v>
      </c>
      <c r="AK84" s="80">
        <v>0</v>
      </c>
      <c r="AL84" s="82">
        <v>0</v>
      </c>
      <c r="AO84" s="75" t="s">
        <v>81</v>
      </c>
      <c r="AP84" s="74" t="s">
        <v>13</v>
      </c>
      <c r="AQ84" s="75" t="s">
        <v>180</v>
      </c>
      <c r="AR84" s="76" t="s">
        <v>250</v>
      </c>
      <c r="AS84" s="77"/>
      <c r="AT84" s="75">
        <v>0</v>
      </c>
      <c r="AU84" s="75">
        <v>0</v>
      </c>
      <c r="AV84" s="75">
        <v>0</v>
      </c>
      <c r="AW84" s="75">
        <v>0</v>
      </c>
      <c r="AX84" s="75">
        <v>0</v>
      </c>
      <c r="AY84" s="75">
        <v>0</v>
      </c>
      <c r="AZ84" s="75">
        <v>1</v>
      </c>
      <c r="BA84" s="75">
        <v>1</v>
      </c>
      <c r="BB84" s="75">
        <v>0.1</v>
      </c>
      <c r="BD84" s="78">
        <v>-15.84</v>
      </c>
      <c r="BE84" s="78">
        <v>-0.1</v>
      </c>
      <c r="BF84" s="78">
        <v>0</v>
      </c>
      <c r="BG84" s="78">
        <v>0</v>
      </c>
      <c r="BH84" s="78">
        <v>-8.6999999999999993</v>
      </c>
      <c r="BI84" s="79">
        <f t="shared" si="83"/>
        <v>-24.64</v>
      </c>
      <c r="BJ84" s="75" t="s">
        <v>91</v>
      </c>
      <c r="BL84" s="80">
        <v>-150000</v>
      </c>
      <c r="BM84" s="80">
        <v>-150000</v>
      </c>
      <c r="BO84" s="80">
        <v>0</v>
      </c>
      <c r="BP84" s="80">
        <v>0</v>
      </c>
      <c r="BQ84" s="82">
        <v>0</v>
      </c>
      <c r="BS84" s="61">
        <f t="shared" si="76"/>
        <v>0</v>
      </c>
      <c r="BT84" s="61">
        <f t="shared" si="77"/>
        <v>0</v>
      </c>
      <c r="BU84" s="61">
        <f t="shared" si="78"/>
        <v>0</v>
      </c>
      <c r="BV84" s="61">
        <f t="shared" si="78"/>
        <v>0</v>
      </c>
      <c r="BW84" s="61">
        <f t="shared" si="78"/>
        <v>0</v>
      </c>
      <c r="BX84" s="61">
        <f t="shared" si="78"/>
        <v>0</v>
      </c>
      <c r="BY84" s="61" t="s">
        <v>91</v>
      </c>
      <c r="BZ84" s="2"/>
      <c r="CA84" s="61">
        <f t="shared" si="79"/>
        <v>0</v>
      </c>
      <c r="CB84" s="61">
        <f t="shared" si="79"/>
        <v>0</v>
      </c>
      <c r="CC84" s="61">
        <f t="shared" si="79"/>
        <v>0</v>
      </c>
      <c r="CD84" s="61">
        <f t="shared" si="74"/>
        <v>0</v>
      </c>
      <c r="CE84" s="61">
        <f t="shared" si="74"/>
        <v>0</v>
      </c>
      <c r="CF84" s="61">
        <f t="shared" si="74"/>
        <v>0</v>
      </c>
      <c r="CG84" s="61">
        <f t="shared" si="74"/>
        <v>0</v>
      </c>
      <c r="CH84" s="61">
        <f t="shared" si="36"/>
        <v>0</v>
      </c>
      <c r="CI84" s="61">
        <f t="shared" si="68"/>
        <v>0</v>
      </c>
      <c r="CJ84" s="61"/>
      <c r="CK84" s="61">
        <f t="shared" si="80"/>
        <v>0</v>
      </c>
      <c r="CL84" s="61">
        <f t="shared" si="80"/>
        <v>0</v>
      </c>
      <c r="CM84" s="61">
        <f t="shared" si="80"/>
        <v>0</v>
      </c>
      <c r="CN84" s="61">
        <f t="shared" si="75"/>
        <v>0</v>
      </c>
      <c r="CO84" s="61">
        <f t="shared" si="75"/>
        <v>0</v>
      </c>
      <c r="CP84" s="61">
        <f t="shared" si="75"/>
        <v>0</v>
      </c>
      <c r="CQ84" s="61">
        <f t="shared" si="75"/>
        <v>0</v>
      </c>
      <c r="CR84" s="61">
        <f t="shared" si="37"/>
        <v>0</v>
      </c>
      <c r="CS84" s="61">
        <f t="shared" si="69"/>
        <v>0</v>
      </c>
      <c r="CT84" s="61">
        <f t="shared" si="70"/>
        <v>0</v>
      </c>
      <c r="CU84" s="2"/>
      <c r="CV84" s="61">
        <f t="shared" si="71"/>
        <v>0</v>
      </c>
      <c r="CW84" s="61">
        <f t="shared" si="12"/>
        <v>0</v>
      </c>
      <c r="CX84" s="61"/>
      <c r="CY84" s="61">
        <f t="shared" si="13"/>
        <v>0</v>
      </c>
      <c r="CZ84" s="61">
        <f t="shared" si="13"/>
        <v>0</v>
      </c>
      <c r="DA84" s="61">
        <f t="shared" si="13"/>
        <v>0</v>
      </c>
      <c r="DB84" s="75" t="s">
        <v>102</v>
      </c>
      <c r="DC84" s="75" t="s">
        <v>247</v>
      </c>
      <c r="DD84" s="75" t="s">
        <v>142</v>
      </c>
      <c r="DE84" s="75" t="s">
        <v>94</v>
      </c>
      <c r="DF84" s="77" t="s">
        <v>86</v>
      </c>
      <c r="DG84" s="83">
        <v>42858</v>
      </c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77"/>
      <c r="EC84" s="78" t="str">
        <f>VLOOKUP($M84,[1]Detail!$M:$BO,1,0)</f>
        <v>JD8T-14529 -AA</v>
      </c>
      <c r="ED84" s="78">
        <f>VLOOKUP($M84,[1]Detail!$M:$BO,22,0)</f>
        <v>-24.64</v>
      </c>
      <c r="EE84" s="78">
        <f>VLOOKUP($M84,[1]Detail!$M:$BO,42,0)</f>
        <v>-150000</v>
      </c>
      <c r="EF84" s="78">
        <f>VLOOKUP($M84,[1]Detail!$M:$BO,45,0)</f>
        <v>0</v>
      </c>
      <c r="EH84" s="78">
        <f>ED84-AD84</f>
        <v>0</v>
      </c>
      <c r="EI84" s="78">
        <f>EE84-AG84</f>
        <v>0</v>
      </c>
      <c r="EJ84" s="78">
        <f>EF84-AJ84</f>
        <v>0</v>
      </c>
    </row>
    <row r="85" spans="2:140" ht="12.75" hidden="1" customHeight="1">
      <c r="B85" s="23" t="s">
        <v>243</v>
      </c>
      <c r="C85" s="22" t="s">
        <v>244</v>
      </c>
      <c r="D85" s="22" t="s">
        <v>245</v>
      </c>
      <c r="E85" s="2" t="str">
        <f>VLOOKUP($C85,[1]Detail!$C:$AK,6,0)</f>
        <v>PMT5</v>
      </c>
      <c r="F85" s="2" t="str">
        <f>VLOOKUP($C85,[1]Detail!$C:$AK,7,0)</f>
        <v>TH</v>
      </c>
      <c r="G85" s="2" t="str">
        <f>VLOOKUP($C85,[1]Detail!$C:$AK,5,0)</f>
        <v>B</v>
      </c>
      <c r="J85" s="22" t="s">
        <v>110</v>
      </c>
      <c r="K85" s="23">
        <v>14540</v>
      </c>
      <c r="L85" s="22" t="s">
        <v>100</v>
      </c>
      <c r="M85" s="51" t="str">
        <f t="shared" ref="M85:M113" si="86">TRIM(J85)&amp;"-"&amp;TRIM(K85)&amp;"-"&amp;TRIM(L85)</f>
        <v>JD8T-14540-AA</v>
      </c>
      <c r="O85" s="22">
        <v>1</v>
      </c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22">
        <v>0</v>
      </c>
      <c r="V85" s="22">
        <v>0</v>
      </c>
      <c r="W85" s="64">
        <f t="shared" ref="W85:W113" si="87">SUMPRODUCT(O85:V85,$O$6:$V$6)</f>
        <v>0.9</v>
      </c>
      <c r="Y85" s="60">
        <v>-78.23</v>
      </c>
      <c r="Z85" s="60">
        <v>-0.5</v>
      </c>
      <c r="AA85" s="60">
        <v>0</v>
      </c>
      <c r="AB85" s="60">
        <v>-0.39</v>
      </c>
      <c r="AC85" s="60">
        <v>0</v>
      </c>
      <c r="AD85" s="8">
        <f t="shared" ref="AD85:AD116" si="88">SUM(Y85:AC85)</f>
        <v>-79.12</v>
      </c>
      <c r="AE85" s="2" t="s">
        <v>91</v>
      </c>
      <c r="AG85" s="71">
        <v>0</v>
      </c>
      <c r="AH85" s="71">
        <v>0</v>
      </c>
      <c r="AJ85" s="71">
        <v>0</v>
      </c>
      <c r="AK85" s="71">
        <v>0</v>
      </c>
      <c r="AL85" s="72">
        <v>0</v>
      </c>
      <c r="AM85" s="22"/>
      <c r="AO85" s="22" t="s">
        <v>157</v>
      </c>
      <c r="AP85" s="23">
        <v>14540</v>
      </c>
      <c r="AQ85" s="22" t="s">
        <v>132</v>
      </c>
      <c r="AR85" s="51" t="str">
        <f>TRIM(AO85)&amp;"-"&amp;TRIM(AP85)&amp;"-"&amp;TRIM(AQ85)</f>
        <v>ED8T-14540-AB</v>
      </c>
      <c r="AS85" s="3"/>
      <c r="AT85" s="22">
        <v>1</v>
      </c>
      <c r="AU85" s="22">
        <v>1</v>
      </c>
      <c r="AV85" s="22">
        <v>1</v>
      </c>
      <c r="AW85" s="22">
        <v>1</v>
      </c>
      <c r="AX85" s="22">
        <v>1</v>
      </c>
      <c r="AY85" s="22">
        <v>1</v>
      </c>
      <c r="AZ85" s="22">
        <v>0</v>
      </c>
      <c r="BA85" s="22">
        <v>0</v>
      </c>
      <c r="BB85" s="2">
        <f>SUMPRODUCT(AT85:BA85,$O$6:$V$6)</f>
        <v>0.9</v>
      </c>
      <c r="BD85" s="60">
        <v>-78.23</v>
      </c>
      <c r="BE85" s="60">
        <v>-0.5</v>
      </c>
      <c r="BF85" s="60">
        <v>0</v>
      </c>
      <c r="BG85" s="60">
        <v>-0.39</v>
      </c>
      <c r="BH85" s="60">
        <v>0</v>
      </c>
      <c r="BI85" s="8">
        <f t="shared" si="83"/>
        <v>-79.12</v>
      </c>
      <c r="BJ85" s="2" t="s">
        <v>91</v>
      </c>
      <c r="BL85" s="71">
        <v>0</v>
      </c>
      <c r="BM85" s="71">
        <v>0</v>
      </c>
      <c r="BO85" s="71">
        <v>0</v>
      </c>
      <c r="BP85" s="71">
        <v>0</v>
      </c>
      <c r="BQ85" s="72">
        <v>0</v>
      </c>
      <c r="BS85" s="61">
        <f t="shared" si="76"/>
        <v>0</v>
      </c>
      <c r="BT85" s="61">
        <f t="shared" si="77"/>
        <v>0</v>
      </c>
      <c r="BU85" s="61">
        <f t="shared" si="78"/>
        <v>0</v>
      </c>
      <c r="BV85" s="61">
        <f t="shared" si="78"/>
        <v>0</v>
      </c>
      <c r="BW85" s="61">
        <f t="shared" si="78"/>
        <v>0</v>
      </c>
      <c r="BX85" s="61">
        <f t="shared" si="78"/>
        <v>0</v>
      </c>
      <c r="BY85" s="61" t="s">
        <v>91</v>
      </c>
      <c r="CA85" s="61">
        <f t="shared" si="79"/>
        <v>0</v>
      </c>
      <c r="CB85" s="61">
        <f t="shared" si="79"/>
        <v>0</v>
      </c>
      <c r="CC85" s="61">
        <f t="shared" si="79"/>
        <v>0</v>
      </c>
      <c r="CD85" s="61">
        <f t="shared" si="74"/>
        <v>0</v>
      </c>
      <c r="CE85" s="61">
        <f t="shared" si="74"/>
        <v>0</v>
      </c>
      <c r="CF85" s="61">
        <f t="shared" si="74"/>
        <v>0</v>
      </c>
      <c r="CG85" s="61">
        <f t="shared" si="74"/>
        <v>0</v>
      </c>
      <c r="CH85" s="61">
        <f t="shared" si="36"/>
        <v>0</v>
      </c>
      <c r="CI85" s="61">
        <f t="shared" si="68"/>
        <v>0</v>
      </c>
      <c r="CJ85" s="61"/>
      <c r="CK85" s="61">
        <f t="shared" si="80"/>
        <v>0</v>
      </c>
      <c r="CL85" s="61">
        <f t="shared" si="80"/>
        <v>0</v>
      </c>
      <c r="CM85" s="61">
        <f t="shared" si="80"/>
        <v>0</v>
      </c>
      <c r="CN85" s="61">
        <f t="shared" si="75"/>
        <v>0</v>
      </c>
      <c r="CO85" s="61">
        <f t="shared" si="75"/>
        <v>0</v>
      </c>
      <c r="CP85" s="61">
        <f t="shared" si="75"/>
        <v>0</v>
      </c>
      <c r="CQ85" s="61">
        <f t="shared" si="75"/>
        <v>0</v>
      </c>
      <c r="CR85" s="61">
        <f t="shared" si="37"/>
        <v>0</v>
      </c>
      <c r="CS85" s="61">
        <f t="shared" si="69"/>
        <v>0</v>
      </c>
      <c r="CT85" s="61">
        <f t="shared" si="70"/>
        <v>0</v>
      </c>
      <c r="CV85" s="61">
        <f t="shared" si="71"/>
        <v>0</v>
      </c>
      <c r="CW85" s="61">
        <f t="shared" si="12"/>
        <v>0</v>
      </c>
      <c r="CX85" s="61"/>
      <c r="CY85" s="61">
        <f t="shared" si="13"/>
        <v>0</v>
      </c>
      <c r="CZ85" s="61">
        <f t="shared" si="13"/>
        <v>0</v>
      </c>
      <c r="DA85" s="61">
        <f t="shared" si="13"/>
        <v>0</v>
      </c>
      <c r="DB85" s="2" t="s">
        <v>85</v>
      </c>
      <c r="DC85" s="2" t="s">
        <v>86</v>
      </c>
      <c r="DD85" s="2" t="s">
        <v>142</v>
      </c>
      <c r="DE85" s="2" t="s">
        <v>181</v>
      </c>
      <c r="DF85" s="3" t="s">
        <v>248</v>
      </c>
      <c r="DG85" s="62">
        <v>42807</v>
      </c>
      <c r="EC85" s="60"/>
      <c r="ED85" s="60"/>
      <c r="EE85" s="60"/>
      <c r="EF85" s="60"/>
    </row>
    <row r="86" spans="2:140" s="75" customFormat="1" ht="12.75" customHeight="1">
      <c r="B86" s="74" t="s">
        <v>251</v>
      </c>
      <c r="C86" s="75" t="s">
        <v>244</v>
      </c>
      <c r="D86" s="75" t="s">
        <v>245</v>
      </c>
      <c r="E86" s="75" t="str">
        <f>VLOOKUP($C86,[1]Detail!$C:$AK,6,0)</f>
        <v>PMT5</v>
      </c>
      <c r="F86" s="75" t="str">
        <f>VLOOKUP($C86,[1]Detail!$C:$AK,7,0)</f>
        <v>TH</v>
      </c>
      <c r="G86" s="75" t="str">
        <f>VLOOKUP($C86,[1]Detail!$C:$AK,5,0)</f>
        <v>B</v>
      </c>
      <c r="H86" s="2"/>
      <c r="J86" s="75" t="s">
        <v>252</v>
      </c>
      <c r="K86" s="74" t="s">
        <v>13</v>
      </c>
      <c r="L86" s="75" t="s">
        <v>253</v>
      </c>
      <c r="M86" s="76" t="str">
        <f t="shared" si="86"/>
        <v>ED8T-14529 -CA</v>
      </c>
      <c r="N86" s="77"/>
      <c r="O86" s="75">
        <v>3</v>
      </c>
      <c r="P86" s="75">
        <v>3</v>
      </c>
      <c r="Q86" s="75">
        <v>0</v>
      </c>
      <c r="R86" s="75">
        <v>0</v>
      </c>
      <c r="S86" s="75">
        <v>0</v>
      </c>
      <c r="T86" s="75">
        <v>0</v>
      </c>
      <c r="U86" s="75">
        <v>0</v>
      </c>
      <c r="V86" s="75">
        <v>0</v>
      </c>
      <c r="W86" s="84">
        <f t="shared" si="87"/>
        <v>0.9</v>
      </c>
      <c r="Y86" s="78">
        <f>-9.14+0.56</f>
        <v>-8.58</v>
      </c>
      <c r="Z86" s="78">
        <v>-0.1</v>
      </c>
      <c r="AA86" s="78">
        <v>0</v>
      </c>
      <c r="AB86" s="78">
        <v>0</v>
      </c>
      <c r="AC86" s="78">
        <v>-8.6999999999999993</v>
      </c>
      <c r="AD86" s="79">
        <f t="shared" si="88"/>
        <v>-17.38</v>
      </c>
      <c r="AE86" s="75" t="s">
        <v>91</v>
      </c>
      <c r="AG86" s="80">
        <v>0</v>
      </c>
      <c r="AH86" s="80">
        <v>0</v>
      </c>
      <c r="AJ86" s="80">
        <v>0</v>
      </c>
      <c r="AK86" s="80">
        <v>0</v>
      </c>
      <c r="AL86" s="82">
        <v>0</v>
      </c>
      <c r="AO86" s="75" t="s">
        <v>252</v>
      </c>
      <c r="AP86" s="74" t="s">
        <v>13</v>
      </c>
      <c r="AQ86" s="75" t="s">
        <v>180</v>
      </c>
      <c r="AR86" s="76" t="str">
        <f>TRIM(AO86)&amp;"-"&amp;TRIM(AP86)&amp;"-"&amp;TRIM(AQ86)</f>
        <v>ED8T-14529 -AA</v>
      </c>
      <c r="AS86" s="77"/>
      <c r="AT86" s="75">
        <v>3</v>
      </c>
      <c r="AU86" s="75">
        <v>3</v>
      </c>
      <c r="AV86" s="75">
        <v>0</v>
      </c>
      <c r="AW86" s="75">
        <v>0</v>
      </c>
      <c r="AX86" s="75">
        <v>0</v>
      </c>
      <c r="AY86" s="75">
        <v>0</v>
      </c>
      <c r="AZ86" s="75">
        <v>0</v>
      </c>
      <c r="BA86" s="75">
        <v>0</v>
      </c>
      <c r="BB86" s="75">
        <f>SUMPRODUCT(AT86:BA86,$O$6:$V$6)</f>
        <v>0.9</v>
      </c>
      <c r="BD86" s="78">
        <v>-9.14</v>
      </c>
      <c r="BE86" s="78">
        <v>-0.1</v>
      </c>
      <c r="BF86" s="78">
        <v>0</v>
      </c>
      <c r="BG86" s="78">
        <v>0</v>
      </c>
      <c r="BH86" s="78">
        <v>-8.6999999999999993</v>
      </c>
      <c r="BI86" s="79">
        <v>-17.939999999999998</v>
      </c>
      <c r="BJ86" s="75" t="s">
        <v>91</v>
      </c>
      <c r="BL86" s="80">
        <v>0</v>
      </c>
      <c r="BM86" s="80">
        <v>0</v>
      </c>
      <c r="BO86" s="80">
        <v>0</v>
      </c>
      <c r="BP86" s="80">
        <v>0</v>
      </c>
      <c r="BQ86" s="82">
        <v>0</v>
      </c>
      <c r="BS86" s="67">
        <f t="shared" si="76"/>
        <v>0.5600000000000005</v>
      </c>
      <c r="BT86" s="61">
        <f t="shared" si="77"/>
        <v>0</v>
      </c>
      <c r="BU86" s="61">
        <f t="shared" si="78"/>
        <v>0</v>
      </c>
      <c r="BV86" s="61">
        <f t="shared" si="78"/>
        <v>0</v>
      </c>
      <c r="BW86" s="61">
        <f t="shared" si="78"/>
        <v>0</v>
      </c>
      <c r="BX86" s="61">
        <f t="shared" si="78"/>
        <v>0.55999999999999872</v>
      </c>
      <c r="BY86" s="61" t="s">
        <v>91</v>
      </c>
      <c r="BZ86" s="2"/>
      <c r="CA86" s="67">
        <f t="shared" si="79"/>
        <v>0.25274559951857978</v>
      </c>
      <c r="CB86" s="61">
        <f t="shared" si="79"/>
        <v>0.25274559951857978</v>
      </c>
      <c r="CC86" s="61">
        <f t="shared" si="79"/>
        <v>0</v>
      </c>
      <c r="CD86" s="61">
        <f t="shared" si="74"/>
        <v>0</v>
      </c>
      <c r="CE86" s="61">
        <f t="shared" si="74"/>
        <v>0</v>
      </c>
      <c r="CF86" s="61">
        <f t="shared" si="74"/>
        <v>0</v>
      </c>
      <c r="CG86" s="61">
        <f t="shared" si="74"/>
        <v>0</v>
      </c>
      <c r="CH86" s="61">
        <f t="shared" si="36"/>
        <v>0</v>
      </c>
      <c r="CI86" s="61">
        <f t="shared" si="68"/>
        <v>7.582367985557395E-2</v>
      </c>
      <c r="CJ86" s="61"/>
      <c r="CK86" s="61">
        <f t="shared" si="80"/>
        <v>0.25274559951857867</v>
      </c>
      <c r="CL86" s="61">
        <f t="shared" si="80"/>
        <v>0.25274559951857867</v>
      </c>
      <c r="CM86" s="61">
        <f t="shared" si="80"/>
        <v>0</v>
      </c>
      <c r="CN86" s="61">
        <f t="shared" si="75"/>
        <v>0</v>
      </c>
      <c r="CO86" s="61">
        <f t="shared" si="75"/>
        <v>0</v>
      </c>
      <c r="CP86" s="61">
        <f t="shared" si="75"/>
        <v>0</v>
      </c>
      <c r="CQ86" s="61">
        <f t="shared" si="75"/>
        <v>0</v>
      </c>
      <c r="CR86" s="61">
        <f t="shared" si="37"/>
        <v>0</v>
      </c>
      <c r="CS86" s="61">
        <f t="shared" si="69"/>
        <v>7.5823679855573603E-2</v>
      </c>
      <c r="CT86" s="67">
        <f t="shared" si="70"/>
        <v>0.50399999999999778</v>
      </c>
      <c r="CU86" s="2"/>
      <c r="CV86" s="61">
        <f t="shared" si="71"/>
        <v>0</v>
      </c>
      <c r="CW86" s="61">
        <f t="shared" si="12"/>
        <v>0</v>
      </c>
      <c r="CX86" s="61"/>
      <c r="CY86" s="61">
        <f t="shared" si="13"/>
        <v>0</v>
      </c>
      <c r="CZ86" s="61">
        <f t="shared" si="13"/>
        <v>0</v>
      </c>
      <c r="DA86" s="61">
        <f t="shared" si="13"/>
        <v>0</v>
      </c>
      <c r="DB86" s="75" t="s">
        <v>102</v>
      </c>
      <c r="DC86" s="75" t="s">
        <v>102</v>
      </c>
      <c r="DD86" s="75" t="s">
        <v>142</v>
      </c>
      <c r="DE86" s="75" t="s">
        <v>94</v>
      </c>
      <c r="DF86" s="77" t="s">
        <v>248</v>
      </c>
      <c r="DG86" s="83">
        <v>42965</v>
      </c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77"/>
      <c r="EC86" s="78" t="e">
        <f>VLOOKUP($M86,[1]Detail!$M:$BO,1,0)</f>
        <v>#N/A</v>
      </c>
      <c r="ED86" s="78" t="e">
        <f>VLOOKUP($M86,[1]Detail!$M:$BO,22,0)</f>
        <v>#N/A</v>
      </c>
      <c r="EE86" s="78" t="e">
        <f>VLOOKUP($M86,[1]Detail!$M:$BO,42,0)</f>
        <v>#N/A</v>
      </c>
      <c r="EF86" s="78" t="e">
        <f>VLOOKUP($M86,[1]Detail!$M:$BO,45,0)</f>
        <v>#N/A</v>
      </c>
      <c r="EH86" s="78" t="e">
        <f t="shared" ref="EH86:EH91" si="89">ED86-AD86</f>
        <v>#N/A</v>
      </c>
      <c r="EI86" s="78" t="e">
        <f t="shared" ref="EI86:EI91" si="90">EE86-AG86</f>
        <v>#N/A</v>
      </c>
      <c r="EJ86" s="78" t="e">
        <f t="shared" ref="EJ86:EJ91" si="91">EF86-AJ86</f>
        <v>#N/A</v>
      </c>
    </row>
    <row r="87" spans="2:140" ht="12.75" hidden="1" customHeight="1">
      <c r="B87" s="23" t="s">
        <v>251</v>
      </c>
      <c r="C87" s="22" t="s">
        <v>244</v>
      </c>
      <c r="D87" s="22" t="s">
        <v>245</v>
      </c>
      <c r="E87" s="2" t="str">
        <f>VLOOKUP($C87,[1]Detail!$C:$AK,6,0)</f>
        <v>PMT5</v>
      </c>
      <c r="F87" s="2" t="str">
        <f>VLOOKUP($C87,[1]Detail!$C:$AK,7,0)</f>
        <v>TH</v>
      </c>
      <c r="G87" s="2" t="str">
        <f>VLOOKUP($C87,[1]Detail!$C:$AK,5,0)</f>
        <v>B</v>
      </c>
      <c r="J87" s="22" t="s">
        <v>110</v>
      </c>
      <c r="K87" s="23">
        <v>14540</v>
      </c>
      <c r="L87" s="22" t="s">
        <v>180</v>
      </c>
      <c r="M87" s="51" t="str">
        <f t="shared" si="86"/>
        <v>JD8T-14540-AA</v>
      </c>
      <c r="O87" s="2">
        <v>0</v>
      </c>
      <c r="P87" s="2">
        <v>0</v>
      </c>
      <c r="Q87" s="22">
        <v>1</v>
      </c>
      <c r="R87" s="22">
        <v>1</v>
      </c>
      <c r="S87" s="22">
        <v>1</v>
      </c>
      <c r="T87" s="22">
        <v>1</v>
      </c>
      <c r="U87" s="22">
        <v>0</v>
      </c>
      <c r="V87" s="22">
        <v>0</v>
      </c>
      <c r="W87" s="64">
        <f t="shared" si="87"/>
        <v>0.6</v>
      </c>
      <c r="Y87" s="63">
        <v>-78.23</v>
      </c>
      <c r="Z87" s="63">
        <v>-0.5</v>
      </c>
      <c r="AA87" s="63">
        <v>0</v>
      </c>
      <c r="AB87" s="63">
        <v>-0.39</v>
      </c>
      <c r="AC87" s="60">
        <v>0</v>
      </c>
      <c r="AD87" s="60">
        <f t="shared" si="88"/>
        <v>-79.12</v>
      </c>
      <c r="AE87" s="2" t="s">
        <v>91</v>
      </c>
      <c r="AG87" s="71">
        <v>0</v>
      </c>
      <c r="AH87" s="71">
        <v>0</v>
      </c>
      <c r="AJ87" s="71">
        <v>0</v>
      </c>
      <c r="AK87" s="71">
        <v>0</v>
      </c>
      <c r="AL87" s="71">
        <v>0</v>
      </c>
      <c r="AM87" s="22"/>
      <c r="AO87" s="22" t="s">
        <v>81</v>
      </c>
      <c r="AP87" s="23">
        <v>14540</v>
      </c>
      <c r="AQ87" s="22" t="s">
        <v>180</v>
      </c>
      <c r="AR87" s="51" t="s">
        <v>254</v>
      </c>
      <c r="AS87" s="3"/>
      <c r="AT87" s="22">
        <v>0</v>
      </c>
      <c r="AU87" s="22">
        <v>0</v>
      </c>
      <c r="AV87" s="22">
        <v>1</v>
      </c>
      <c r="AW87" s="22">
        <v>1</v>
      </c>
      <c r="AX87" s="22">
        <v>1</v>
      </c>
      <c r="AY87" s="22">
        <v>1</v>
      </c>
      <c r="AZ87" s="22">
        <v>0</v>
      </c>
      <c r="BA87" s="22">
        <v>0</v>
      </c>
      <c r="BB87" s="64">
        <v>0.9</v>
      </c>
      <c r="BD87" s="63">
        <v>-78.23</v>
      </c>
      <c r="BE87" s="63">
        <v>-0.5</v>
      </c>
      <c r="BF87" s="63">
        <v>0</v>
      </c>
      <c r="BG87" s="63">
        <v>-0.39</v>
      </c>
      <c r="BH87" s="60">
        <v>0</v>
      </c>
      <c r="BI87" s="60">
        <v>-79.12</v>
      </c>
      <c r="BJ87" s="2" t="s">
        <v>91</v>
      </c>
      <c r="BL87" s="71">
        <v>0</v>
      </c>
      <c r="BM87" s="71">
        <v>0</v>
      </c>
      <c r="BO87" s="71">
        <v>0</v>
      </c>
      <c r="BP87" s="71">
        <v>0</v>
      </c>
      <c r="BQ87" s="72">
        <v>0</v>
      </c>
      <c r="BR87" s="22"/>
      <c r="BS87" s="61">
        <f t="shared" si="76"/>
        <v>0</v>
      </c>
      <c r="BT87" s="61">
        <f t="shared" si="77"/>
        <v>0</v>
      </c>
      <c r="BU87" s="61">
        <f t="shared" si="78"/>
        <v>0</v>
      </c>
      <c r="BV87" s="61">
        <f t="shared" si="78"/>
        <v>0</v>
      </c>
      <c r="BW87" s="61">
        <f t="shared" si="78"/>
        <v>0</v>
      </c>
      <c r="BX87" s="61">
        <f t="shared" si="78"/>
        <v>0</v>
      </c>
      <c r="BY87" s="61" t="s">
        <v>91</v>
      </c>
      <c r="CA87" s="61">
        <f t="shared" si="79"/>
        <v>0</v>
      </c>
      <c r="CB87" s="61">
        <f t="shared" si="79"/>
        <v>0</v>
      </c>
      <c r="CC87" s="61">
        <f t="shared" si="79"/>
        <v>0</v>
      </c>
      <c r="CD87" s="61">
        <f t="shared" si="74"/>
        <v>0</v>
      </c>
      <c r="CE87" s="61">
        <f t="shared" si="74"/>
        <v>0</v>
      </c>
      <c r="CF87" s="61">
        <f t="shared" si="74"/>
        <v>0</v>
      </c>
      <c r="CG87" s="61">
        <f t="shared" si="74"/>
        <v>0</v>
      </c>
      <c r="CH87" s="61">
        <f t="shared" si="36"/>
        <v>0</v>
      </c>
      <c r="CI87" s="61">
        <f t="shared" si="68"/>
        <v>0</v>
      </c>
      <c r="CJ87" s="61"/>
      <c r="CK87" s="61">
        <f t="shared" si="80"/>
        <v>0</v>
      </c>
      <c r="CL87" s="61">
        <f t="shared" si="80"/>
        <v>0</v>
      </c>
      <c r="CM87" s="61">
        <f t="shared" si="80"/>
        <v>0</v>
      </c>
      <c r="CN87" s="61">
        <f t="shared" si="75"/>
        <v>0</v>
      </c>
      <c r="CO87" s="61">
        <f t="shared" si="75"/>
        <v>0</v>
      </c>
      <c r="CP87" s="61">
        <f t="shared" si="75"/>
        <v>0</v>
      </c>
      <c r="CQ87" s="61">
        <f t="shared" si="75"/>
        <v>0</v>
      </c>
      <c r="CR87" s="61">
        <f t="shared" si="37"/>
        <v>0</v>
      </c>
      <c r="CS87" s="61">
        <f t="shared" si="69"/>
        <v>0</v>
      </c>
      <c r="CT87" s="67">
        <f t="shared" si="70"/>
        <v>0</v>
      </c>
      <c r="CV87" s="61">
        <f t="shared" si="71"/>
        <v>0</v>
      </c>
      <c r="CW87" s="61">
        <f t="shared" si="12"/>
        <v>0</v>
      </c>
      <c r="CX87" s="61"/>
      <c r="CY87" s="61">
        <f t="shared" si="13"/>
        <v>0</v>
      </c>
      <c r="CZ87" s="61">
        <f t="shared" si="13"/>
        <v>0</v>
      </c>
      <c r="DA87" s="61">
        <f t="shared" si="13"/>
        <v>0</v>
      </c>
      <c r="DB87" s="2" t="s">
        <v>102</v>
      </c>
      <c r="DC87" s="2" t="s">
        <v>85</v>
      </c>
      <c r="DD87" s="2" t="s">
        <v>142</v>
      </c>
      <c r="DE87" s="2" t="s">
        <v>94</v>
      </c>
      <c r="DF87" s="3" t="s">
        <v>248</v>
      </c>
      <c r="DG87" s="62">
        <v>42965</v>
      </c>
      <c r="EC87" s="60" t="str">
        <f>VLOOKUP($M87,[1]Detail!$M:$BO,1,0)</f>
        <v>JD8T-14540-AA</v>
      </c>
      <c r="ED87" s="60">
        <f>VLOOKUP($M87,[1]Detail!$M:$BO,22,0)</f>
        <v>-79.12</v>
      </c>
      <c r="EE87" s="60">
        <f>VLOOKUP($M87,[1]Detail!$M:$BO,42,0)</f>
        <v>0</v>
      </c>
      <c r="EF87" s="60">
        <f>VLOOKUP($M87,[1]Detail!$M:$BO,45,0)</f>
        <v>0</v>
      </c>
      <c r="EH87" s="60">
        <f t="shared" si="89"/>
        <v>0</v>
      </c>
      <c r="EI87" s="60">
        <f t="shared" si="90"/>
        <v>0</v>
      </c>
      <c r="EJ87" s="60">
        <f t="shared" si="91"/>
        <v>0</v>
      </c>
    </row>
    <row r="88" spans="2:140" ht="12.75" hidden="1" customHeight="1">
      <c r="B88" s="23" t="s">
        <v>251</v>
      </c>
      <c r="C88" s="22" t="s">
        <v>255</v>
      </c>
      <c r="D88" s="22" t="s">
        <v>256</v>
      </c>
      <c r="E88" s="2" t="str">
        <f>VLOOKUP($C88,[1]Detail!$C:$AK,6,0)</f>
        <v>PMT5</v>
      </c>
      <c r="F88" s="2" t="str">
        <f>VLOOKUP($C88,[1]Detail!$C:$AK,7,0)</f>
        <v>TH</v>
      </c>
      <c r="G88" s="2" t="str">
        <f>VLOOKUP($C88,[1]Detail!$C:$AK,5,0)</f>
        <v>B</v>
      </c>
      <c r="J88" s="22" t="s">
        <v>81</v>
      </c>
      <c r="K88" s="23">
        <v>14540</v>
      </c>
      <c r="L88" s="22" t="s">
        <v>253</v>
      </c>
      <c r="M88" s="51" t="str">
        <f t="shared" si="86"/>
        <v>JD8T-14540-CA</v>
      </c>
      <c r="O88" s="22">
        <v>1</v>
      </c>
      <c r="P88" s="22">
        <v>1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64">
        <f t="shared" si="87"/>
        <v>0.30000000000000004</v>
      </c>
      <c r="Y88" s="63">
        <f>-78.23+3.72</f>
        <v>-74.510000000000005</v>
      </c>
      <c r="Z88" s="63">
        <v>-0.5</v>
      </c>
      <c r="AA88" s="63">
        <v>0</v>
      </c>
      <c r="AB88" s="63">
        <v>-0.39</v>
      </c>
      <c r="AC88" s="60">
        <v>0</v>
      </c>
      <c r="AD88" s="60">
        <f t="shared" si="88"/>
        <v>-75.400000000000006</v>
      </c>
      <c r="AG88" s="71"/>
      <c r="AH88" s="71"/>
      <c r="AJ88" s="71"/>
      <c r="AK88" s="71"/>
      <c r="AL88" s="71"/>
      <c r="AM88" s="22"/>
      <c r="AO88" s="22" t="s">
        <v>81</v>
      </c>
      <c r="AP88" s="23">
        <v>14540</v>
      </c>
      <c r="AQ88" s="22" t="s">
        <v>180</v>
      </c>
      <c r="AR88" s="51" t="s">
        <v>254</v>
      </c>
      <c r="AS88" s="3"/>
      <c r="AT88" s="22">
        <v>1</v>
      </c>
      <c r="AU88" s="22">
        <v>1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64">
        <v>0.9</v>
      </c>
      <c r="BD88" s="63">
        <v>-78.23</v>
      </c>
      <c r="BE88" s="63">
        <v>-0.5</v>
      </c>
      <c r="BF88" s="63">
        <v>0</v>
      </c>
      <c r="BG88" s="63">
        <v>-0.39</v>
      </c>
      <c r="BH88" s="60">
        <v>0</v>
      </c>
      <c r="BI88" s="60">
        <v>-79.12</v>
      </c>
      <c r="BJ88" s="2" t="s">
        <v>91</v>
      </c>
      <c r="BL88" s="71">
        <v>0</v>
      </c>
      <c r="BM88" s="71">
        <v>0</v>
      </c>
      <c r="BO88" s="71">
        <v>0</v>
      </c>
      <c r="BP88" s="71">
        <v>0</v>
      </c>
      <c r="BQ88" s="72">
        <v>0</v>
      </c>
      <c r="BR88" s="22"/>
      <c r="BS88" s="67">
        <f t="shared" si="76"/>
        <v>3.7199999999999989</v>
      </c>
      <c r="BT88" s="61">
        <f t="shared" si="77"/>
        <v>0</v>
      </c>
      <c r="BU88" s="61">
        <f t="shared" si="78"/>
        <v>0</v>
      </c>
      <c r="BV88" s="61">
        <f t="shared" si="78"/>
        <v>0</v>
      </c>
      <c r="BW88" s="61">
        <f t="shared" si="78"/>
        <v>0</v>
      </c>
      <c r="BX88" s="61">
        <f t="shared" si="78"/>
        <v>3.7199999999999989</v>
      </c>
      <c r="BY88" s="61" t="s">
        <v>91</v>
      </c>
      <c r="CA88" s="61">
        <f t="shared" si="79"/>
        <v>0.55965097036256939</v>
      </c>
      <c r="CB88" s="61">
        <f t="shared" si="79"/>
        <v>0.55965097036256939</v>
      </c>
      <c r="CC88" s="61">
        <f t="shared" si="79"/>
        <v>0</v>
      </c>
      <c r="CD88" s="61">
        <f t="shared" si="74"/>
        <v>0</v>
      </c>
      <c r="CE88" s="61">
        <f t="shared" si="74"/>
        <v>0</v>
      </c>
      <c r="CF88" s="61">
        <f t="shared" si="74"/>
        <v>0</v>
      </c>
      <c r="CG88" s="61">
        <f t="shared" si="74"/>
        <v>0</v>
      </c>
      <c r="CH88" s="61">
        <f t="shared" si="36"/>
        <v>0</v>
      </c>
      <c r="CI88" s="61">
        <f t="shared" si="68"/>
        <v>0.16789529110877083</v>
      </c>
      <c r="CJ88" s="61"/>
      <c r="CK88" s="61">
        <f t="shared" si="80"/>
        <v>0.55965097036256939</v>
      </c>
      <c r="CL88" s="61">
        <f t="shared" si="80"/>
        <v>0.55965097036256939</v>
      </c>
      <c r="CM88" s="61">
        <f t="shared" si="80"/>
        <v>0</v>
      </c>
      <c r="CN88" s="61">
        <f t="shared" si="75"/>
        <v>0</v>
      </c>
      <c r="CO88" s="61">
        <f t="shared" si="75"/>
        <v>0</v>
      </c>
      <c r="CP88" s="61">
        <f t="shared" si="75"/>
        <v>0</v>
      </c>
      <c r="CQ88" s="61">
        <f t="shared" si="75"/>
        <v>0</v>
      </c>
      <c r="CR88" s="61">
        <f t="shared" si="37"/>
        <v>0</v>
      </c>
      <c r="CS88" s="61">
        <f t="shared" si="69"/>
        <v>0.16789529110877083</v>
      </c>
      <c r="CT88" s="67">
        <f t="shared" si="70"/>
        <v>1.1159999999999997</v>
      </c>
      <c r="CV88" s="61">
        <f t="shared" si="71"/>
        <v>0</v>
      </c>
      <c r="CW88" s="61">
        <f t="shared" si="12"/>
        <v>0</v>
      </c>
      <c r="CX88" s="61"/>
      <c r="CY88" s="61">
        <f t="shared" si="13"/>
        <v>0</v>
      </c>
      <c r="CZ88" s="61">
        <f t="shared" si="13"/>
        <v>0</v>
      </c>
      <c r="DA88" s="61">
        <f t="shared" si="13"/>
        <v>0</v>
      </c>
      <c r="DB88" s="2" t="s">
        <v>102</v>
      </c>
      <c r="DC88" s="2" t="s">
        <v>134</v>
      </c>
      <c r="DD88" s="2" t="s">
        <v>142</v>
      </c>
      <c r="DE88" s="2" t="s">
        <v>257</v>
      </c>
      <c r="DF88" s="3" t="s">
        <v>248</v>
      </c>
      <c r="DG88" s="62">
        <v>42965</v>
      </c>
      <c r="EC88" s="60" t="str">
        <f>VLOOKUP($M88,[1]Detail!$M:$BO,1,0)</f>
        <v>JD8T-14540-CA</v>
      </c>
      <c r="ED88" s="60">
        <f>VLOOKUP($M88,[1]Detail!$M:$BO,22,0)</f>
        <v>-75.25</v>
      </c>
      <c r="EE88" s="60">
        <f>VLOOKUP($M88,[1]Detail!$M:$BO,42,0)</f>
        <v>0</v>
      </c>
      <c r="EF88" s="60">
        <f>VLOOKUP($M88,[1]Detail!$M:$BO,45,0)</f>
        <v>0</v>
      </c>
      <c r="EH88" s="60">
        <f t="shared" si="89"/>
        <v>0.15000000000000568</v>
      </c>
      <c r="EI88" s="60">
        <f t="shared" si="90"/>
        <v>0</v>
      </c>
      <c r="EJ88" s="60">
        <f t="shared" si="91"/>
        <v>0</v>
      </c>
    </row>
    <row r="89" spans="2:140" ht="12.75" hidden="1" customHeight="1">
      <c r="B89" s="23" t="s">
        <v>251</v>
      </c>
      <c r="C89" s="22" t="s">
        <v>258</v>
      </c>
      <c r="D89" s="51" t="s">
        <v>259</v>
      </c>
      <c r="E89" s="2" t="s">
        <v>260</v>
      </c>
      <c r="F89" s="2" t="str">
        <f>VLOOKUP($C89,[1]Detail!$C:$AK,7,0)</f>
        <v>TH</v>
      </c>
      <c r="G89" s="2">
        <f>VLOOKUP($C89,[1]Detail!$C:$AK,5,0)</f>
        <v>0</v>
      </c>
      <c r="J89" s="22" t="s">
        <v>261</v>
      </c>
      <c r="K89" s="23" t="s">
        <v>262</v>
      </c>
      <c r="L89" s="22" t="s">
        <v>263</v>
      </c>
      <c r="M89" s="51" t="str">
        <f t="shared" si="86"/>
        <v>ED8B -F237W20 -AEW </v>
      </c>
      <c r="O89" s="22"/>
      <c r="P89" s="22"/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64">
        <f t="shared" si="87"/>
        <v>0.70000000000000007</v>
      </c>
      <c r="Y89" s="60">
        <v>-6.98</v>
      </c>
      <c r="Z89" s="60">
        <v>-0.14000000000000001</v>
      </c>
      <c r="AA89" s="60">
        <v>0</v>
      </c>
      <c r="AB89" s="60">
        <v>0</v>
      </c>
      <c r="AC89" s="60">
        <v>0</v>
      </c>
      <c r="AD89" s="8">
        <f t="shared" si="88"/>
        <v>-7.12</v>
      </c>
      <c r="AE89" s="2" t="s">
        <v>91</v>
      </c>
      <c r="AG89" s="71">
        <v>0</v>
      </c>
      <c r="AH89" s="71">
        <v>0</v>
      </c>
      <c r="AJ89" s="71">
        <v>0</v>
      </c>
      <c r="AK89" s="71">
        <v>0</v>
      </c>
      <c r="AL89" s="71">
        <v>0</v>
      </c>
      <c r="AM89" s="22"/>
      <c r="AO89" s="22" t="s">
        <v>261</v>
      </c>
      <c r="AP89" s="23" t="s">
        <v>262</v>
      </c>
      <c r="AQ89" s="22" t="s">
        <v>263</v>
      </c>
      <c r="AR89" s="51" t="str">
        <f t="shared" ref="AR89:AR131" si="92">TRIM(AO89)&amp;"-"&amp;TRIM(AP89)&amp;"-"&amp;TRIM(AQ89)</f>
        <v>ED8B -F237W20 -AEW </v>
      </c>
      <c r="AS89" s="3"/>
      <c r="AT89" s="22"/>
      <c r="AU89" s="22"/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64">
        <f t="shared" ref="BB89:BB112" si="93">SUMPRODUCT(AT89:BA89,$O$6:$V$6)</f>
        <v>0.70000000000000007</v>
      </c>
      <c r="BD89" s="60">
        <v>-6.98</v>
      </c>
      <c r="BE89" s="60">
        <v>-0.14000000000000001</v>
      </c>
      <c r="BF89" s="60">
        <v>0</v>
      </c>
      <c r="BG89" s="60">
        <v>0</v>
      </c>
      <c r="BH89" s="60">
        <v>0</v>
      </c>
      <c r="BI89" s="8">
        <f t="shared" ref="BI89:BI112" si="94">SUM(BD89:BH89)</f>
        <v>-7.12</v>
      </c>
      <c r="BJ89" s="2" t="s">
        <v>91</v>
      </c>
      <c r="BL89" s="71">
        <v>0</v>
      </c>
      <c r="BM89" s="71">
        <v>0</v>
      </c>
      <c r="BO89" s="71">
        <v>0</v>
      </c>
      <c r="BP89" s="71">
        <v>0</v>
      </c>
      <c r="BQ89" s="72">
        <v>0</v>
      </c>
      <c r="BR89" s="22"/>
      <c r="BS89" s="61">
        <f t="shared" si="76"/>
        <v>0</v>
      </c>
      <c r="BT89" s="61">
        <f t="shared" si="77"/>
        <v>0</v>
      </c>
      <c r="BU89" s="61">
        <f t="shared" si="78"/>
        <v>0</v>
      </c>
      <c r="BV89" s="61">
        <f t="shared" si="78"/>
        <v>0</v>
      </c>
      <c r="BW89" s="61">
        <f t="shared" si="78"/>
        <v>0</v>
      </c>
      <c r="BX89" s="61">
        <f t="shared" si="78"/>
        <v>0</v>
      </c>
      <c r="BY89" s="61" t="s">
        <v>91</v>
      </c>
      <c r="CA89" s="61">
        <f t="shared" si="79"/>
        <v>0</v>
      </c>
      <c r="CB89" s="61">
        <f t="shared" si="79"/>
        <v>0</v>
      </c>
      <c r="CC89" s="61">
        <f t="shared" si="79"/>
        <v>0</v>
      </c>
      <c r="CD89" s="61">
        <f t="shared" si="74"/>
        <v>0</v>
      </c>
      <c r="CE89" s="61">
        <f t="shared" si="74"/>
        <v>0</v>
      </c>
      <c r="CF89" s="61">
        <f t="shared" si="74"/>
        <v>0</v>
      </c>
      <c r="CG89" s="61">
        <f t="shared" si="74"/>
        <v>0</v>
      </c>
      <c r="CH89" s="61">
        <f t="shared" si="36"/>
        <v>0</v>
      </c>
      <c r="CI89" s="61">
        <f t="shared" si="68"/>
        <v>0</v>
      </c>
      <c r="CJ89" s="61"/>
      <c r="CK89" s="61">
        <f t="shared" si="80"/>
        <v>0</v>
      </c>
      <c r="CL89" s="61">
        <f t="shared" si="80"/>
        <v>0</v>
      </c>
      <c r="CM89" s="61">
        <f t="shared" si="80"/>
        <v>0</v>
      </c>
      <c r="CN89" s="61">
        <f t="shared" si="75"/>
        <v>0</v>
      </c>
      <c r="CO89" s="61">
        <f t="shared" si="75"/>
        <v>0</v>
      </c>
      <c r="CP89" s="61">
        <f t="shared" si="75"/>
        <v>0</v>
      </c>
      <c r="CQ89" s="61">
        <f t="shared" si="75"/>
        <v>0</v>
      </c>
      <c r="CR89" s="61">
        <f t="shared" si="37"/>
        <v>0</v>
      </c>
      <c r="CS89" s="61">
        <f t="shared" si="69"/>
        <v>0</v>
      </c>
      <c r="CT89" s="61">
        <f t="shared" si="70"/>
        <v>0</v>
      </c>
      <c r="CV89" s="61">
        <f t="shared" si="71"/>
        <v>0</v>
      </c>
      <c r="CW89" s="61">
        <f t="shared" si="12"/>
        <v>0</v>
      </c>
      <c r="CX89" s="61"/>
      <c r="CY89" s="61">
        <f t="shared" si="13"/>
        <v>0</v>
      </c>
      <c r="CZ89" s="61">
        <f t="shared" si="13"/>
        <v>0</v>
      </c>
      <c r="DA89" s="61">
        <f t="shared" si="13"/>
        <v>0</v>
      </c>
      <c r="DB89" s="2" t="s">
        <v>102</v>
      </c>
      <c r="DC89" s="2" t="s">
        <v>85</v>
      </c>
      <c r="DD89" s="2" t="s">
        <v>142</v>
      </c>
      <c r="DE89" s="2" t="s">
        <v>264</v>
      </c>
      <c r="DF89" s="3" t="s">
        <v>86</v>
      </c>
      <c r="DG89" s="62">
        <v>42922</v>
      </c>
      <c r="EC89" s="60" t="str">
        <f>VLOOKUP($M89,[1]Detail!$M:$BO,1,0)</f>
        <v>ED8B -F237W20 -AEW </v>
      </c>
      <c r="ED89" s="60">
        <f>VLOOKUP($M89,[1]Detail!$M:$BO,22,0)</f>
        <v>-7.12</v>
      </c>
      <c r="EE89" s="60">
        <f>VLOOKUP($M89,[1]Detail!$M:$BO,42,0)</f>
        <v>0</v>
      </c>
      <c r="EF89" s="60">
        <f>VLOOKUP($M89,[1]Detail!$M:$BO,45,0)</f>
        <v>0</v>
      </c>
      <c r="EH89" s="60">
        <f t="shared" si="89"/>
        <v>0</v>
      </c>
      <c r="EI89" s="60">
        <f t="shared" si="90"/>
        <v>0</v>
      </c>
      <c r="EJ89" s="60">
        <f t="shared" si="91"/>
        <v>0</v>
      </c>
    </row>
    <row r="90" spans="2:140" ht="12.75" hidden="1" customHeight="1">
      <c r="B90" s="23" t="s">
        <v>251</v>
      </c>
      <c r="C90" s="22" t="s">
        <v>258</v>
      </c>
      <c r="D90" s="22" t="s">
        <v>259</v>
      </c>
      <c r="E90" s="2" t="s">
        <v>260</v>
      </c>
      <c r="F90" s="2" t="str">
        <f>VLOOKUP($C90,[1]Detail!$C:$AK,7,0)</f>
        <v>TH</v>
      </c>
      <c r="G90" s="2">
        <f>VLOOKUP($C90,[1]Detail!$C:$AK,5,0)</f>
        <v>0</v>
      </c>
      <c r="J90" s="22" t="s">
        <v>261</v>
      </c>
      <c r="K90" s="23" t="s">
        <v>265</v>
      </c>
      <c r="L90" s="22" t="s">
        <v>263</v>
      </c>
      <c r="M90" s="51" t="str">
        <f t="shared" si="86"/>
        <v>ED8B -F237W21-AEW </v>
      </c>
      <c r="O90" s="22"/>
      <c r="P90" s="22"/>
      <c r="Q90" s="22">
        <v>1</v>
      </c>
      <c r="R90" s="22">
        <v>1</v>
      </c>
      <c r="S90" s="22">
        <v>1</v>
      </c>
      <c r="T90" s="22">
        <v>1</v>
      </c>
      <c r="U90" s="22">
        <v>1</v>
      </c>
      <c r="V90" s="22">
        <v>1</v>
      </c>
      <c r="W90" s="64">
        <f t="shared" si="87"/>
        <v>0.70000000000000007</v>
      </c>
      <c r="Y90" s="60">
        <v>-6.98</v>
      </c>
      <c r="Z90" s="60">
        <v>-0.14000000000000001</v>
      </c>
      <c r="AA90" s="60">
        <v>0</v>
      </c>
      <c r="AB90" s="60">
        <v>0</v>
      </c>
      <c r="AC90" s="60">
        <v>0</v>
      </c>
      <c r="AD90" s="8">
        <f t="shared" si="88"/>
        <v>-7.12</v>
      </c>
      <c r="AE90" s="2" t="s">
        <v>91</v>
      </c>
      <c r="AG90" s="71">
        <v>0</v>
      </c>
      <c r="AH90" s="71">
        <v>0</v>
      </c>
      <c r="AJ90" s="71">
        <v>0</v>
      </c>
      <c r="AK90" s="71">
        <v>0</v>
      </c>
      <c r="AL90" s="71">
        <v>0</v>
      </c>
      <c r="AM90" s="22"/>
      <c r="AO90" s="22" t="s">
        <v>261</v>
      </c>
      <c r="AP90" s="23" t="s">
        <v>265</v>
      </c>
      <c r="AQ90" s="22" t="s">
        <v>263</v>
      </c>
      <c r="AR90" s="51" t="str">
        <f t="shared" si="92"/>
        <v>ED8B -F237W21-AEW </v>
      </c>
      <c r="AS90" s="3"/>
      <c r="AT90" s="22"/>
      <c r="AU90" s="22"/>
      <c r="AV90" s="22">
        <v>1</v>
      </c>
      <c r="AW90" s="22">
        <v>1</v>
      </c>
      <c r="AX90" s="22">
        <v>1</v>
      </c>
      <c r="AY90" s="22">
        <v>1</v>
      </c>
      <c r="AZ90" s="22">
        <v>1</v>
      </c>
      <c r="BA90" s="22">
        <v>1</v>
      </c>
      <c r="BB90" s="64">
        <f t="shared" si="93"/>
        <v>0.70000000000000007</v>
      </c>
      <c r="BD90" s="60">
        <v>-6.98</v>
      </c>
      <c r="BE90" s="60">
        <v>-0.14000000000000001</v>
      </c>
      <c r="BF90" s="60">
        <v>0</v>
      </c>
      <c r="BG90" s="60">
        <v>0</v>
      </c>
      <c r="BH90" s="60">
        <v>0</v>
      </c>
      <c r="BI90" s="8">
        <f t="shared" si="94"/>
        <v>-7.12</v>
      </c>
      <c r="BJ90" s="2" t="s">
        <v>91</v>
      </c>
      <c r="BL90" s="71">
        <v>0</v>
      </c>
      <c r="BM90" s="71">
        <v>0</v>
      </c>
      <c r="BO90" s="71">
        <v>0</v>
      </c>
      <c r="BP90" s="71">
        <v>0</v>
      </c>
      <c r="BQ90" s="72">
        <v>0</v>
      </c>
      <c r="BR90" s="22"/>
      <c r="BS90" s="61">
        <f t="shared" si="76"/>
        <v>0</v>
      </c>
      <c r="BT90" s="61">
        <f t="shared" si="77"/>
        <v>0</v>
      </c>
      <c r="BU90" s="61">
        <f t="shared" si="78"/>
        <v>0</v>
      </c>
      <c r="BV90" s="61">
        <f t="shared" si="78"/>
        <v>0</v>
      </c>
      <c r="BW90" s="61">
        <f t="shared" si="78"/>
        <v>0</v>
      </c>
      <c r="BX90" s="61">
        <f t="shared" si="78"/>
        <v>0</v>
      </c>
      <c r="BY90" s="61" t="s">
        <v>91</v>
      </c>
      <c r="CA90" s="61">
        <f t="shared" si="79"/>
        <v>0</v>
      </c>
      <c r="CB90" s="61">
        <f t="shared" si="79"/>
        <v>0</v>
      </c>
      <c r="CC90" s="61">
        <f t="shared" si="79"/>
        <v>0</v>
      </c>
      <c r="CD90" s="61">
        <f t="shared" si="74"/>
        <v>0</v>
      </c>
      <c r="CE90" s="61">
        <f t="shared" si="74"/>
        <v>0</v>
      </c>
      <c r="CF90" s="61">
        <f t="shared" si="74"/>
        <v>0</v>
      </c>
      <c r="CG90" s="61">
        <f t="shared" si="74"/>
        <v>0</v>
      </c>
      <c r="CH90" s="61">
        <f t="shared" si="36"/>
        <v>0</v>
      </c>
      <c r="CI90" s="61">
        <f t="shared" si="68"/>
        <v>0</v>
      </c>
      <c r="CJ90" s="61"/>
      <c r="CK90" s="61">
        <f t="shared" si="80"/>
        <v>0</v>
      </c>
      <c r="CL90" s="61">
        <f t="shared" si="80"/>
        <v>0</v>
      </c>
      <c r="CM90" s="61">
        <f t="shared" si="80"/>
        <v>0</v>
      </c>
      <c r="CN90" s="61">
        <f t="shared" si="75"/>
        <v>0</v>
      </c>
      <c r="CO90" s="61">
        <f t="shared" si="75"/>
        <v>0</v>
      </c>
      <c r="CP90" s="61">
        <f t="shared" si="75"/>
        <v>0</v>
      </c>
      <c r="CQ90" s="61">
        <f t="shared" si="75"/>
        <v>0</v>
      </c>
      <c r="CR90" s="61">
        <f t="shared" si="37"/>
        <v>0</v>
      </c>
      <c r="CS90" s="61">
        <f t="shared" si="69"/>
        <v>0</v>
      </c>
      <c r="CT90" s="61">
        <f t="shared" si="70"/>
        <v>0</v>
      </c>
      <c r="CV90" s="61">
        <f t="shared" si="71"/>
        <v>0</v>
      </c>
      <c r="CW90" s="61">
        <f t="shared" si="12"/>
        <v>0</v>
      </c>
      <c r="CX90" s="61"/>
      <c r="CY90" s="61">
        <f t="shared" si="13"/>
        <v>0</v>
      </c>
      <c r="CZ90" s="61">
        <f t="shared" si="13"/>
        <v>0</v>
      </c>
      <c r="DA90" s="61">
        <f t="shared" si="13"/>
        <v>0</v>
      </c>
      <c r="DB90" s="2" t="s">
        <v>102</v>
      </c>
      <c r="DC90" s="2" t="s">
        <v>85</v>
      </c>
      <c r="DD90" s="2" t="s">
        <v>142</v>
      </c>
      <c r="DE90" s="2" t="s">
        <v>264</v>
      </c>
      <c r="DF90" s="3" t="s">
        <v>86</v>
      </c>
      <c r="DG90" s="62">
        <v>42922</v>
      </c>
      <c r="EC90" s="60" t="str">
        <f>VLOOKUP($M90,[1]Detail!$M:$BO,1,0)</f>
        <v>ED8B -F237W21-AEW </v>
      </c>
      <c r="ED90" s="60">
        <f>VLOOKUP($M90,[1]Detail!$M:$BO,22,0)</f>
        <v>-7.12</v>
      </c>
      <c r="EE90" s="60">
        <f>VLOOKUP($M90,[1]Detail!$M:$BO,42,0)</f>
        <v>0</v>
      </c>
      <c r="EF90" s="60">
        <f>VLOOKUP($M90,[1]Detail!$M:$BO,45,0)</f>
        <v>0</v>
      </c>
      <c r="EH90" s="60">
        <f t="shared" si="89"/>
        <v>0</v>
      </c>
      <c r="EI90" s="60">
        <f t="shared" si="90"/>
        <v>0</v>
      </c>
      <c r="EJ90" s="60">
        <f t="shared" si="91"/>
        <v>0</v>
      </c>
    </row>
    <row r="91" spans="2:140" ht="12.75" hidden="1" customHeight="1">
      <c r="B91" s="23" t="s">
        <v>251</v>
      </c>
      <c r="C91" s="22" t="s">
        <v>258</v>
      </c>
      <c r="D91" s="22" t="s">
        <v>259</v>
      </c>
      <c r="E91" s="2" t="s">
        <v>260</v>
      </c>
      <c r="F91" s="2" t="str">
        <f>VLOOKUP($C91,[1]Detail!$C:$AK,7,0)</f>
        <v>TH</v>
      </c>
      <c r="G91" s="2">
        <f>VLOOKUP($C91,[1]Detail!$C:$AK,5,0)</f>
        <v>0</v>
      </c>
      <c r="J91" s="22" t="s">
        <v>261</v>
      </c>
      <c r="K91" s="23" t="s">
        <v>266</v>
      </c>
      <c r="L91" s="22" t="s">
        <v>267</v>
      </c>
      <c r="M91" s="51" t="str">
        <f t="shared" si="86"/>
        <v>ED8B -F240A40-ADW</v>
      </c>
      <c r="O91" s="22"/>
      <c r="P91" s="22"/>
      <c r="Q91" s="22">
        <v>1</v>
      </c>
      <c r="R91" s="22">
        <v>1</v>
      </c>
      <c r="S91" s="22">
        <v>1</v>
      </c>
      <c r="T91" s="22">
        <v>1</v>
      </c>
      <c r="U91" s="22"/>
      <c r="V91" s="22"/>
      <c r="W91" s="64">
        <f t="shared" si="87"/>
        <v>0.6</v>
      </c>
      <c r="Y91" s="60">
        <v>-7.45</v>
      </c>
      <c r="Z91" s="60">
        <v>-0.14000000000000001</v>
      </c>
      <c r="AA91" s="60">
        <v>0</v>
      </c>
      <c r="AB91" s="60">
        <v>0</v>
      </c>
      <c r="AC91" s="60">
        <v>0</v>
      </c>
      <c r="AD91" s="8">
        <f t="shared" si="88"/>
        <v>-7.59</v>
      </c>
      <c r="AE91" s="2" t="s">
        <v>91</v>
      </c>
      <c r="AG91" s="71">
        <v>0</v>
      </c>
      <c r="AH91" s="71">
        <v>0</v>
      </c>
      <c r="AJ91" s="71">
        <v>0</v>
      </c>
      <c r="AK91" s="71">
        <v>0</v>
      </c>
      <c r="AL91" s="71">
        <v>0</v>
      </c>
      <c r="AM91" s="22"/>
      <c r="AO91" s="22" t="s">
        <v>261</v>
      </c>
      <c r="AP91" s="23" t="s">
        <v>266</v>
      </c>
      <c r="AQ91" s="22" t="s">
        <v>267</v>
      </c>
      <c r="AR91" s="51" t="str">
        <f t="shared" si="92"/>
        <v>ED8B -F240A40-ADW</v>
      </c>
      <c r="AS91" s="3"/>
      <c r="AT91" s="22"/>
      <c r="AU91" s="22"/>
      <c r="AV91" s="22">
        <v>1</v>
      </c>
      <c r="AW91" s="22">
        <v>1</v>
      </c>
      <c r="AX91" s="22">
        <v>1</v>
      </c>
      <c r="AY91" s="22">
        <v>1</v>
      </c>
      <c r="AZ91" s="22"/>
      <c r="BA91" s="22"/>
      <c r="BB91" s="64">
        <f t="shared" si="93"/>
        <v>0.6</v>
      </c>
      <c r="BD91" s="60">
        <v>-7.45</v>
      </c>
      <c r="BE91" s="60">
        <v>-0.14000000000000001</v>
      </c>
      <c r="BF91" s="60">
        <v>0</v>
      </c>
      <c r="BG91" s="60">
        <v>0</v>
      </c>
      <c r="BH91" s="60">
        <v>0</v>
      </c>
      <c r="BI91" s="8">
        <f t="shared" si="94"/>
        <v>-7.59</v>
      </c>
      <c r="BJ91" s="2" t="s">
        <v>91</v>
      </c>
      <c r="BL91" s="71">
        <v>0</v>
      </c>
      <c r="BM91" s="71">
        <v>0</v>
      </c>
      <c r="BO91" s="71">
        <v>0</v>
      </c>
      <c r="BP91" s="71">
        <v>0</v>
      </c>
      <c r="BQ91" s="72">
        <v>0</v>
      </c>
      <c r="BR91" s="22"/>
      <c r="BS91" s="61">
        <f t="shared" si="76"/>
        <v>0</v>
      </c>
      <c r="BT91" s="61">
        <f t="shared" si="77"/>
        <v>0</v>
      </c>
      <c r="BU91" s="61">
        <f t="shared" si="78"/>
        <v>0</v>
      </c>
      <c r="BV91" s="61">
        <f t="shared" si="78"/>
        <v>0</v>
      </c>
      <c r="BW91" s="61">
        <f t="shared" si="78"/>
        <v>0</v>
      </c>
      <c r="BX91" s="61">
        <f t="shared" si="78"/>
        <v>0</v>
      </c>
      <c r="BY91" s="61" t="s">
        <v>91</v>
      </c>
      <c r="CA91" s="61">
        <f t="shared" si="79"/>
        <v>0</v>
      </c>
      <c r="CB91" s="61">
        <f t="shared" si="79"/>
        <v>0</v>
      </c>
      <c r="CC91" s="61">
        <f t="shared" si="79"/>
        <v>0</v>
      </c>
      <c r="CD91" s="61">
        <f t="shared" si="74"/>
        <v>0</v>
      </c>
      <c r="CE91" s="61">
        <f t="shared" si="74"/>
        <v>0</v>
      </c>
      <c r="CF91" s="61">
        <f t="shared" si="74"/>
        <v>0</v>
      </c>
      <c r="CG91" s="61">
        <f t="shared" si="74"/>
        <v>0</v>
      </c>
      <c r="CH91" s="61">
        <f t="shared" si="36"/>
        <v>0</v>
      </c>
      <c r="CI91" s="61">
        <f t="shared" si="68"/>
        <v>0</v>
      </c>
      <c r="CJ91" s="61"/>
      <c r="CK91" s="61">
        <f t="shared" si="80"/>
        <v>0</v>
      </c>
      <c r="CL91" s="61">
        <f t="shared" si="80"/>
        <v>0</v>
      </c>
      <c r="CM91" s="61">
        <f t="shared" si="80"/>
        <v>0</v>
      </c>
      <c r="CN91" s="61">
        <f t="shared" si="75"/>
        <v>0</v>
      </c>
      <c r="CO91" s="61">
        <f t="shared" si="75"/>
        <v>0</v>
      </c>
      <c r="CP91" s="61">
        <f t="shared" si="75"/>
        <v>0</v>
      </c>
      <c r="CQ91" s="61">
        <f t="shared" si="75"/>
        <v>0</v>
      </c>
      <c r="CR91" s="61">
        <f t="shared" si="37"/>
        <v>0</v>
      </c>
      <c r="CS91" s="61">
        <f t="shared" si="69"/>
        <v>0</v>
      </c>
      <c r="CT91" s="61">
        <f t="shared" si="70"/>
        <v>0</v>
      </c>
      <c r="CV91" s="61">
        <f t="shared" si="71"/>
        <v>0</v>
      </c>
      <c r="CW91" s="61">
        <f t="shared" si="12"/>
        <v>0</v>
      </c>
      <c r="CX91" s="61"/>
      <c r="CY91" s="61">
        <f t="shared" si="13"/>
        <v>0</v>
      </c>
      <c r="CZ91" s="61">
        <f t="shared" si="13"/>
        <v>0</v>
      </c>
      <c r="DA91" s="61">
        <f t="shared" si="13"/>
        <v>0</v>
      </c>
      <c r="DB91" s="2" t="s">
        <v>102</v>
      </c>
      <c r="DC91" s="2" t="s">
        <v>85</v>
      </c>
      <c r="DD91" s="2" t="s">
        <v>142</v>
      </c>
      <c r="DE91" s="2" t="s">
        <v>264</v>
      </c>
      <c r="DF91" s="3" t="s">
        <v>86</v>
      </c>
      <c r="DG91" s="62">
        <v>42922</v>
      </c>
      <c r="EC91" s="60" t="str">
        <f>VLOOKUP($M91,[1]Detail!$M:$BO,1,0)</f>
        <v>ED8B -F240A40-ADW</v>
      </c>
      <c r="ED91" s="60">
        <f>VLOOKUP($M91,[1]Detail!$M:$BO,22,0)</f>
        <v>-7.59</v>
      </c>
      <c r="EE91" s="60">
        <f>VLOOKUP($M91,[1]Detail!$M:$BO,42,0)</f>
        <v>0</v>
      </c>
      <c r="EF91" s="60">
        <f>VLOOKUP($M91,[1]Detail!$M:$BO,45,0)</f>
        <v>0</v>
      </c>
      <c r="EH91" s="60">
        <f t="shared" si="89"/>
        <v>0</v>
      </c>
      <c r="EI91" s="60">
        <f t="shared" si="90"/>
        <v>0</v>
      </c>
      <c r="EJ91" s="60">
        <f t="shared" si="91"/>
        <v>0</v>
      </c>
    </row>
    <row r="92" spans="2:140" ht="12.75" hidden="1" customHeight="1">
      <c r="B92" s="23" t="s">
        <v>251</v>
      </c>
      <c r="C92" s="22" t="s">
        <v>258</v>
      </c>
      <c r="D92" s="22" t="s">
        <v>259</v>
      </c>
      <c r="E92" s="2" t="s">
        <v>260</v>
      </c>
      <c r="F92" s="2" t="str">
        <f>VLOOKUP($C92,[1]Detail!$C:$AK,7,0)</f>
        <v>TH</v>
      </c>
      <c r="G92" s="2">
        <f>VLOOKUP($C92,[1]Detail!$C:$AK,5,0)</f>
        <v>0</v>
      </c>
      <c r="J92" s="22" t="s">
        <v>126</v>
      </c>
      <c r="K92" s="23" t="s">
        <v>268</v>
      </c>
      <c r="L92" s="22" t="s">
        <v>196</v>
      </c>
      <c r="M92" s="51" t="str">
        <f t="shared" si="86"/>
        <v>JD8B-F240A41-AAW</v>
      </c>
      <c r="O92" s="22"/>
      <c r="P92" s="22"/>
      <c r="Q92" s="22">
        <v>1</v>
      </c>
      <c r="R92" s="22">
        <v>1</v>
      </c>
      <c r="S92" s="22">
        <v>1</v>
      </c>
      <c r="T92" s="22">
        <v>1</v>
      </c>
      <c r="U92" s="22"/>
      <c r="V92" s="22"/>
      <c r="W92" s="64">
        <f t="shared" si="87"/>
        <v>0.6</v>
      </c>
      <c r="Y92" s="60">
        <v>-8.1499999999999986</v>
      </c>
      <c r="Z92" s="60">
        <v>-0.14000000000000001</v>
      </c>
      <c r="AA92" s="60">
        <v>0</v>
      </c>
      <c r="AB92" s="60">
        <v>0</v>
      </c>
      <c r="AC92" s="60">
        <v>0</v>
      </c>
      <c r="AD92" s="8">
        <f t="shared" si="88"/>
        <v>-8.2899999999999991</v>
      </c>
      <c r="AE92" s="2" t="s">
        <v>91</v>
      </c>
      <c r="AG92" s="71">
        <v>0</v>
      </c>
      <c r="AH92" s="71">
        <v>0</v>
      </c>
      <c r="AJ92" s="71">
        <v>0</v>
      </c>
      <c r="AK92" s="71">
        <v>0</v>
      </c>
      <c r="AL92" s="71">
        <v>0</v>
      </c>
      <c r="AM92" s="22"/>
      <c r="AO92" s="22" t="s">
        <v>126</v>
      </c>
      <c r="AP92" s="23" t="s">
        <v>268</v>
      </c>
      <c r="AQ92" s="22" t="s">
        <v>196</v>
      </c>
      <c r="AR92" s="51" t="str">
        <f t="shared" si="92"/>
        <v>JD8B-F240A41-AAW</v>
      </c>
      <c r="AS92" s="3"/>
      <c r="AT92" s="22"/>
      <c r="AU92" s="22"/>
      <c r="AV92" s="22">
        <v>1</v>
      </c>
      <c r="AW92" s="22">
        <v>1</v>
      </c>
      <c r="AX92" s="22">
        <v>1</v>
      </c>
      <c r="AY92" s="22">
        <v>1</v>
      </c>
      <c r="AZ92" s="22"/>
      <c r="BA92" s="22"/>
      <c r="BB92" s="64">
        <f t="shared" si="93"/>
        <v>0.6</v>
      </c>
      <c r="BD92" s="60">
        <v>-8.15</v>
      </c>
      <c r="BE92" s="60">
        <v>-0.14000000000000001</v>
      </c>
      <c r="BF92" s="60">
        <v>0</v>
      </c>
      <c r="BG92" s="60">
        <v>0</v>
      </c>
      <c r="BH92" s="60">
        <v>0</v>
      </c>
      <c r="BI92" s="8">
        <f t="shared" si="94"/>
        <v>-8.2900000000000009</v>
      </c>
      <c r="BJ92" s="2" t="s">
        <v>91</v>
      </c>
      <c r="BL92" s="71">
        <v>0</v>
      </c>
      <c r="BM92" s="71">
        <v>0</v>
      </c>
      <c r="BO92" s="71">
        <v>0</v>
      </c>
      <c r="BP92" s="71">
        <v>0</v>
      </c>
      <c r="BQ92" s="72">
        <v>0</v>
      </c>
      <c r="BR92" s="22"/>
      <c r="BS92" s="61">
        <f t="shared" si="76"/>
        <v>0</v>
      </c>
      <c r="BT92" s="61">
        <f t="shared" si="77"/>
        <v>0</v>
      </c>
      <c r="BU92" s="61">
        <f t="shared" si="78"/>
        <v>0</v>
      </c>
      <c r="BV92" s="61">
        <f t="shared" si="78"/>
        <v>0</v>
      </c>
      <c r="BW92" s="61">
        <f t="shared" si="78"/>
        <v>0</v>
      </c>
      <c r="BX92" s="61">
        <f t="shared" si="78"/>
        <v>0</v>
      </c>
      <c r="BY92" s="61" t="s">
        <v>91</v>
      </c>
      <c r="CA92" s="61">
        <f t="shared" si="79"/>
        <v>0</v>
      </c>
      <c r="CB92" s="61">
        <f t="shared" si="79"/>
        <v>0</v>
      </c>
      <c r="CC92" s="61">
        <f t="shared" si="79"/>
        <v>2.6724188948401539E-16</v>
      </c>
      <c r="CD92" s="61">
        <f t="shared" si="74"/>
        <v>2.6724188948401539E-16</v>
      </c>
      <c r="CE92" s="61">
        <f t="shared" si="74"/>
        <v>2.6724188948401539E-16</v>
      </c>
      <c r="CF92" s="61">
        <f t="shared" si="74"/>
        <v>2.6724188948401539E-16</v>
      </c>
      <c r="CG92" s="61">
        <f t="shared" si="74"/>
        <v>0</v>
      </c>
      <c r="CH92" s="61">
        <f t="shared" si="36"/>
        <v>0</v>
      </c>
      <c r="CI92" s="61">
        <f t="shared" si="68"/>
        <v>1.6034513369040922E-16</v>
      </c>
      <c r="CJ92" s="61"/>
      <c r="CK92" s="61">
        <f t="shared" si="80"/>
        <v>0</v>
      </c>
      <c r="CL92" s="61">
        <f t="shared" si="80"/>
        <v>0</v>
      </c>
      <c r="CM92" s="61">
        <f t="shared" si="80"/>
        <v>2.6724188948401539E-16</v>
      </c>
      <c r="CN92" s="61">
        <f t="shared" si="75"/>
        <v>2.6724188948401539E-16</v>
      </c>
      <c r="CO92" s="61">
        <f t="shared" si="75"/>
        <v>2.6724188948401539E-16</v>
      </c>
      <c r="CP92" s="61">
        <f t="shared" si="75"/>
        <v>2.6724188948401539E-16</v>
      </c>
      <c r="CQ92" s="61">
        <f t="shared" si="75"/>
        <v>0</v>
      </c>
      <c r="CR92" s="61">
        <f t="shared" si="37"/>
        <v>0</v>
      </c>
      <c r="CS92" s="61">
        <f t="shared" si="69"/>
        <v>1.6034513369040922E-16</v>
      </c>
      <c r="CT92" s="61">
        <f t="shared" si="70"/>
        <v>1.06581410364015E-15</v>
      </c>
      <c r="CV92" s="61">
        <f t="shared" si="71"/>
        <v>0</v>
      </c>
      <c r="CW92" s="61">
        <f t="shared" si="12"/>
        <v>0</v>
      </c>
      <c r="CX92" s="61"/>
      <c r="CY92" s="61">
        <f t="shared" si="13"/>
        <v>0</v>
      </c>
      <c r="CZ92" s="61">
        <f t="shared" si="13"/>
        <v>0</v>
      </c>
      <c r="DA92" s="61">
        <f t="shared" si="13"/>
        <v>0</v>
      </c>
      <c r="DB92" s="2" t="s">
        <v>85</v>
      </c>
      <c r="DC92" s="2" t="s">
        <v>85</v>
      </c>
      <c r="DD92" s="2" t="s">
        <v>142</v>
      </c>
      <c r="DE92" s="2" t="s">
        <v>264</v>
      </c>
      <c r="DF92" s="3" t="s">
        <v>86</v>
      </c>
      <c r="DG92" s="62">
        <v>42922</v>
      </c>
      <c r="EC92" s="60"/>
      <c r="ED92" s="60"/>
      <c r="EE92" s="60"/>
      <c r="EF92" s="60"/>
    </row>
    <row r="93" spans="2:140" ht="12.75" hidden="1" customHeight="1">
      <c r="B93" s="23" t="s">
        <v>251</v>
      </c>
      <c r="C93" s="22" t="s">
        <v>258</v>
      </c>
      <c r="D93" s="22" t="s">
        <v>259</v>
      </c>
      <c r="E93" s="2" t="s">
        <v>260</v>
      </c>
      <c r="F93" s="2" t="str">
        <f>VLOOKUP($C93,[1]Detail!$C:$AK,7,0)</f>
        <v>TH</v>
      </c>
      <c r="G93" s="2">
        <f>VLOOKUP($C93,[1]Detail!$C:$AK,5,0)</f>
        <v>0</v>
      </c>
      <c r="J93" s="22" t="s">
        <v>126</v>
      </c>
      <c r="K93" s="23" t="s">
        <v>268</v>
      </c>
      <c r="L93" s="22" t="s">
        <v>269</v>
      </c>
      <c r="M93" s="51" t="str">
        <f t="shared" si="86"/>
        <v>JD8B-F240A41-CAW</v>
      </c>
      <c r="O93" s="22">
        <v>1</v>
      </c>
      <c r="P93" s="22">
        <v>1</v>
      </c>
      <c r="Q93" s="22"/>
      <c r="R93" s="22"/>
      <c r="S93" s="22"/>
      <c r="T93" s="22"/>
      <c r="U93" s="22"/>
      <c r="V93" s="22"/>
      <c r="W93" s="64">
        <f t="shared" si="87"/>
        <v>0.30000000000000004</v>
      </c>
      <c r="Y93" s="60">
        <v>-8.1499999999999986</v>
      </c>
      <c r="Z93" s="60">
        <v>-0.14000000000000001</v>
      </c>
      <c r="AA93" s="60">
        <v>0</v>
      </c>
      <c r="AB93" s="60">
        <v>0</v>
      </c>
      <c r="AC93" s="60">
        <v>0</v>
      </c>
      <c r="AD93" s="8">
        <f t="shared" si="88"/>
        <v>-8.2899999999999991</v>
      </c>
      <c r="AE93" s="2" t="s">
        <v>91</v>
      </c>
      <c r="AG93" s="71">
        <v>0</v>
      </c>
      <c r="AH93" s="71">
        <v>0</v>
      </c>
      <c r="AJ93" s="71">
        <v>0</v>
      </c>
      <c r="AK93" s="71">
        <v>0</v>
      </c>
      <c r="AL93" s="71">
        <v>0</v>
      </c>
      <c r="AM93" s="22"/>
      <c r="AO93" s="22" t="s">
        <v>126</v>
      </c>
      <c r="AP93" s="23" t="s">
        <v>268</v>
      </c>
      <c r="AQ93" s="22" t="s">
        <v>196</v>
      </c>
      <c r="AR93" s="51" t="str">
        <f t="shared" si="92"/>
        <v>JD8B-F240A41-AAW</v>
      </c>
      <c r="AS93" s="3"/>
      <c r="AT93" s="22">
        <v>1</v>
      </c>
      <c r="AU93" s="22">
        <v>1</v>
      </c>
      <c r="AV93" s="22"/>
      <c r="AW93" s="22"/>
      <c r="AX93" s="22"/>
      <c r="AY93" s="22"/>
      <c r="AZ93" s="22"/>
      <c r="BA93" s="22"/>
      <c r="BB93" s="64">
        <f t="shared" si="93"/>
        <v>0.30000000000000004</v>
      </c>
      <c r="BD93" s="60">
        <v>-8.15</v>
      </c>
      <c r="BE93" s="60">
        <v>-0.14000000000000001</v>
      </c>
      <c r="BF93" s="60">
        <v>0</v>
      </c>
      <c r="BG93" s="60">
        <v>0</v>
      </c>
      <c r="BH93" s="60">
        <v>0</v>
      </c>
      <c r="BI93" s="8">
        <f t="shared" si="94"/>
        <v>-8.2900000000000009</v>
      </c>
      <c r="BJ93" s="2" t="s">
        <v>91</v>
      </c>
      <c r="BL93" s="71">
        <v>0</v>
      </c>
      <c r="BM93" s="71">
        <v>0</v>
      </c>
      <c r="BO93" s="71">
        <v>0</v>
      </c>
      <c r="BP93" s="71">
        <v>0</v>
      </c>
      <c r="BQ93" s="72">
        <v>0</v>
      </c>
      <c r="BR93" s="22"/>
      <c r="BS93" s="61">
        <f t="shared" si="76"/>
        <v>0</v>
      </c>
      <c r="BT93" s="61">
        <f t="shared" si="77"/>
        <v>0</v>
      </c>
      <c r="BU93" s="61">
        <f t="shared" si="78"/>
        <v>0</v>
      </c>
      <c r="BV93" s="61">
        <f t="shared" si="78"/>
        <v>0</v>
      </c>
      <c r="BW93" s="61">
        <f t="shared" si="78"/>
        <v>0</v>
      </c>
      <c r="BX93" s="61">
        <f t="shared" si="78"/>
        <v>0</v>
      </c>
      <c r="BY93" s="61" t="s">
        <v>91</v>
      </c>
      <c r="CA93" s="61">
        <f t="shared" si="79"/>
        <v>2.6724188948401539E-16</v>
      </c>
      <c r="CB93" s="61">
        <f t="shared" si="79"/>
        <v>2.6724188948401539E-16</v>
      </c>
      <c r="CC93" s="61">
        <f t="shared" si="79"/>
        <v>0</v>
      </c>
      <c r="CD93" s="61">
        <f t="shared" si="74"/>
        <v>0</v>
      </c>
      <c r="CE93" s="61">
        <f t="shared" si="74"/>
        <v>0</v>
      </c>
      <c r="CF93" s="61">
        <f t="shared" si="74"/>
        <v>0</v>
      </c>
      <c r="CG93" s="61">
        <f t="shared" si="74"/>
        <v>0</v>
      </c>
      <c r="CH93" s="61">
        <f t="shared" si="36"/>
        <v>0</v>
      </c>
      <c r="CI93" s="61">
        <f t="shared" si="68"/>
        <v>8.0172566845204623E-17</v>
      </c>
      <c r="CJ93" s="61"/>
      <c r="CK93" s="61">
        <f t="shared" si="80"/>
        <v>2.6724188948401539E-16</v>
      </c>
      <c r="CL93" s="61">
        <f t="shared" si="80"/>
        <v>2.6724188948401539E-16</v>
      </c>
      <c r="CM93" s="61">
        <f t="shared" si="80"/>
        <v>0</v>
      </c>
      <c r="CN93" s="61">
        <f t="shared" si="75"/>
        <v>0</v>
      </c>
      <c r="CO93" s="61">
        <f t="shared" si="75"/>
        <v>0</v>
      </c>
      <c r="CP93" s="61">
        <f t="shared" si="75"/>
        <v>0</v>
      </c>
      <c r="CQ93" s="61">
        <f t="shared" si="75"/>
        <v>0</v>
      </c>
      <c r="CR93" s="61">
        <f t="shared" si="37"/>
        <v>0</v>
      </c>
      <c r="CS93" s="61">
        <f t="shared" si="69"/>
        <v>8.0172566845204623E-17</v>
      </c>
      <c r="CT93" s="61">
        <f t="shared" si="70"/>
        <v>5.3290705182007512E-16</v>
      </c>
      <c r="CV93" s="61">
        <f t="shared" si="71"/>
        <v>0</v>
      </c>
      <c r="CW93" s="61">
        <f t="shared" si="12"/>
        <v>0</v>
      </c>
      <c r="CX93" s="61"/>
      <c r="CY93" s="61">
        <f t="shared" si="13"/>
        <v>0</v>
      </c>
      <c r="CZ93" s="61">
        <f t="shared" si="13"/>
        <v>0</v>
      </c>
      <c r="DA93" s="61">
        <f t="shared" si="13"/>
        <v>0</v>
      </c>
      <c r="DB93" s="2" t="s">
        <v>85</v>
      </c>
      <c r="DC93" s="2" t="s">
        <v>85</v>
      </c>
      <c r="DD93" s="2" t="s">
        <v>142</v>
      </c>
      <c r="DE93" s="2" t="s">
        <v>264</v>
      </c>
      <c r="DF93" s="3" t="s">
        <v>86</v>
      </c>
      <c r="DG93" s="62">
        <v>42922</v>
      </c>
      <c r="EC93" s="60"/>
      <c r="ED93" s="60"/>
      <c r="EE93" s="60"/>
      <c r="EF93" s="60"/>
    </row>
    <row r="94" spans="2:140" ht="12.75" hidden="1" customHeight="1">
      <c r="B94" s="23" t="s">
        <v>270</v>
      </c>
      <c r="C94" s="22" t="s">
        <v>271</v>
      </c>
      <c r="D94" s="22" t="s">
        <v>272</v>
      </c>
      <c r="E94" s="2" t="str">
        <f>VLOOKUP($C94,[1]Detail!$C:$AK,6,0)</f>
        <v>BIW</v>
      </c>
      <c r="F94" s="2" t="s">
        <v>273</v>
      </c>
      <c r="G94" s="2" t="str">
        <f>VLOOKUP($C94,[1]Detail!$C:$AK,5,0)</f>
        <v>D</v>
      </c>
      <c r="J94" s="22" t="s">
        <v>126</v>
      </c>
      <c r="K94" s="23" t="s">
        <v>274</v>
      </c>
      <c r="L94" s="22" t="s">
        <v>100</v>
      </c>
      <c r="M94" s="51" t="str">
        <f t="shared" si="86"/>
        <v>JD8B-18B260-AA</v>
      </c>
      <c r="O94" s="22">
        <v>1</v>
      </c>
      <c r="P94" s="22">
        <v>1</v>
      </c>
      <c r="Q94" s="22">
        <v>1</v>
      </c>
      <c r="R94" s="22">
        <v>1</v>
      </c>
      <c r="S94" s="22">
        <v>1</v>
      </c>
      <c r="T94" s="22">
        <v>1</v>
      </c>
      <c r="U94" s="22">
        <v>1</v>
      </c>
      <c r="V94" s="22">
        <v>1</v>
      </c>
      <c r="W94" s="64">
        <f t="shared" si="87"/>
        <v>1</v>
      </c>
      <c r="Y94" s="60">
        <v>-66.62</v>
      </c>
      <c r="Z94" s="60">
        <v>-1.4</v>
      </c>
      <c r="AA94" s="60">
        <v>-1.4</v>
      </c>
      <c r="AB94" s="60">
        <v>0</v>
      </c>
      <c r="AC94" s="60">
        <v>0</v>
      </c>
      <c r="AD94" s="8">
        <f t="shared" si="88"/>
        <v>-69.420000000000016</v>
      </c>
      <c r="AE94" s="2" t="s">
        <v>91</v>
      </c>
      <c r="AG94" s="71">
        <v>-182279</v>
      </c>
      <c r="AH94" s="71">
        <v>-182279</v>
      </c>
      <c r="AI94" s="6"/>
      <c r="AJ94" s="71">
        <v>0</v>
      </c>
      <c r="AK94" s="71">
        <v>0</v>
      </c>
      <c r="AL94" s="72">
        <v>0</v>
      </c>
      <c r="AM94" s="22"/>
      <c r="AO94" s="22" t="s">
        <v>128</v>
      </c>
      <c r="AP94" s="23" t="s">
        <v>274</v>
      </c>
      <c r="AQ94" s="22" t="s">
        <v>132</v>
      </c>
      <c r="AR94" s="51" t="str">
        <f t="shared" si="92"/>
        <v>ED8B-18B260-AB</v>
      </c>
      <c r="AS94" s="3"/>
      <c r="AT94" s="22">
        <v>1</v>
      </c>
      <c r="AU94" s="22">
        <v>1</v>
      </c>
      <c r="AV94" s="22">
        <v>1</v>
      </c>
      <c r="AW94" s="22">
        <v>1</v>
      </c>
      <c r="AX94" s="22">
        <v>1</v>
      </c>
      <c r="AY94" s="22">
        <v>1</v>
      </c>
      <c r="AZ94" s="22">
        <v>1</v>
      </c>
      <c r="BA94" s="22">
        <v>1</v>
      </c>
      <c r="BB94" s="2">
        <f t="shared" si="93"/>
        <v>1</v>
      </c>
      <c r="BD94" s="60">
        <v>-66.62</v>
      </c>
      <c r="BE94" s="60">
        <v>-1.4</v>
      </c>
      <c r="BF94" s="60">
        <v>-1.4</v>
      </c>
      <c r="BG94" s="60">
        <v>0</v>
      </c>
      <c r="BH94" s="60">
        <v>0</v>
      </c>
      <c r="BI94" s="8">
        <f t="shared" si="94"/>
        <v>-69.420000000000016</v>
      </c>
      <c r="BJ94" s="2" t="s">
        <v>91</v>
      </c>
      <c r="BL94" s="71">
        <v>0</v>
      </c>
      <c r="BM94" s="71">
        <v>0</v>
      </c>
      <c r="BO94" s="71">
        <v>0</v>
      </c>
      <c r="BP94" s="71">
        <v>0</v>
      </c>
      <c r="BQ94" s="72">
        <v>0</v>
      </c>
      <c r="BS94" s="61">
        <f t="shared" si="76"/>
        <v>0</v>
      </c>
      <c r="BT94" s="61">
        <f t="shared" si="77"/>
        <v>0</v>
      </c>
      <c r="BU94" s="61">
        <f t="shared" si="78"/>
        <v>0</v>
      </c>
      <c r="BV94" s="61">
        <f t="shared" si="78"/>
        <v>0</v>
      </c>
      <c r="BW94" s="61">
        <f t="shared" si="78"/>
        <v>0</v>
      </c>
      <c r="BX94" s="61">
        <f t="shared" si="78"/>
        <v>0</v>
      </c>
      <c r="BY94" s="61" t="s">
        <v>91</v>
      </c>
      <c r="CA94" s="61">
        <f t="shared" si="79"/>
        <v>0</v>
      </c>
      <c r="CB94" s="61">
        <f t="shared" si="79"/>
        <v>0</v>
      </c>
      <c r="CC94" s="61">
        <f t="shared" si="79"/>
        <v>0</v>
      </c>
      <c r="CD94" s="61">
        <f t="shared" si="74"/>
        <v>0</v>
      </c>
      <c r="CE94" s="61">
        <f t="shared" si="74"/>
        <v>0</v>
      </c>
      <c r="CF94" s="61">
        <f t="shared" si="74"/>
        <v>0</v>
      </c>
      <c r="CG94" s="61">
        <f t="shared" si="74"/>
        <v>0</v>
      </c>
      <c r="CH94" s="61">
        <f t="shared" si="36"/>
        <v>0</v>
      </c>
      <c r="CI94" s="61">
        <f t="shared" si="68"/>
        <v>0</v>
      </c>
      <c r="CJ94" s="61"/>
      <c r="CK94" s="61">
        <f t="shared" si="80"/>
        <v>0</v>
      </c>
      <c r="CL94" s="61">
        <f t="shared" si="80"/>
        <v>0</v>
      </c>
      <c r="CM94" s="61">
        <f t="shared" si="80"/>
        <v>0</v>
      </c>
      <c r="CN94" s="61">
        <f t="shared" si="75"/>
        <v>0</v>
      </c>
      <c r="CO94" s="61">
        <f t="shared" si="75"/>
        <v>0</v>
      </c>
      <c r="CP94" s="61">
        <f t="shared" si="75"/>
        <v>0</v>
      </c>
      <c r="CQ94" s="61">
        <f t="shared" si="75"/>
        <v>0</v>
      </c>
      <c r="CR94" s="61">
        <f t="shared" si="37"/>
        <v>0</v>
      </c>
      <c r="CS94" s="61">
        <f t="shared" si="69"/>
        <v>0</v>
      </c>
      <c r="CT94" s="61">
        <f t="shared" si="70"/>
        <v>0</v>
      </c>
      <c r="CV94" s="61">
        <f t="shared" si="71"/>
        <v>-182279</v>
      </c>
      <c r="CW94" s="61">
        <f t="shared" si="12"/>
        <v>-182279</v>
      </c>
      <c r="CX94" s="61"/>
      <c r="CY94" s="61">
        <f t="shared" si="13"/>
        <v>0</v>
      </c>
      <c r="CZ94" s="61">
        <f t="shared" si="13"/>
        <v>0</v>
      </c>
      <c r="DA94" s="61">
        <f t="shared" si="13"/>
        <v>0</v>
      </c>
      <c r="DB94" s="2" t="s">
        <v>85</v>
      </c>
      <c r="DC94" s="2" t="s">
        <v>102</v>
      </c>
      <c r="DD94" s="2" t="s">
        <v>142</v>
      </c>
      <c r="DE94" s="2" t="s">
        <v>181</v>
      </c>
      <c r="DF94" s="3" t="s">
        <v>86</v>
      </c>
      <c r="DG94" s="62">
        <v>42800</v>
      </c>
      <c r="EC94" s="60"/>
      <c r="ED94" s="60"/>
      <c r="EE94" s="60"/>
      <c r="EF94" s="60"/>
    </row>
    <row r="95" spans="2:140" ht="12.75" hidden="1" customHeight="1">
      <c r="B95" s="23" t="s">
        <v>275</v>
      </c>
      <c r="C95" s="22" t="s">
        <v>145</v>
      </c>
      <c r="D95" s="22" t="s">
        <v>276</v>
      </c>
      <c r="E95" s="2" t="str">
        <f>VLOOKUP($C95,[1]Detail!$C:$AK,6,0)</f>
        <v>BIW</v>
      </c>
      <c r="F95" s="2" t="s">
        <v>273</v>
      </c>
      <c r="G95" s="2" t="str">
        <f>VLOOKUP($C95,[1]Detail!$C:$AK,5,0)</f>
        <v>D</v>
      </c>
      <c r="J95" s="22" t="s">
        <v>126</v>
      </c>
      <c r="K95" s="23" t="s">
        <v>277</v>
      </c>
      <c r="L95" s="22" t="s">
        <v>100</v>
      </c>
      <c r="M95" s="51" t="str">
        <f t="shared" si="86"/>
        <v>JD8B-F17496-AA</v>
      </c>
      <c r="O95" s="22">
        <v>1</v>
      </c>
      <c r="P95" s="22">
        <v>1</v>
      </c>
      <c r="Q95" s="22">
        <v>1</v>
      </c>
      <c r="R95" s="22">
        <v>1</v>
      </c>
      <c r="S95" s="22">
        <v>1</v>
      </c>
      <c r="T95" s="22">
        <v>1</v>
      </c>
      <c r="U95" s="22">
        <v>1</v>
      </c>
      <c r="V95" s="22">
        <v>1</v>
      </c>
      <c r="W95" s="64">
        <f t="shared" si="87"/>
        <v>1</v>
      </c>
      <c r="Y95" s="60">
        <v>-2.63</v>
      </c>
      <c r="Z95" s="60">
        <v>-0.18</v>
      </c>
      <c r="AA95" s="60">
        <v>-0.27</v>
      </c>
      <c r="AB95" s="60">
        <v>0</v>
      </c>
      <c r="AC95" s="60">
        <v>0</v>
      </c>
      <c r="AD95" s="8">
        <f t="shared" si="88"/>
        <v>-3.08</v>
      </c>
      <c r="AE95" s="2" t="s">
        <v>91</v>
      </c>
      <c r="AG95" s="71">
        <v>-376127</v>
      </c>
      <c r="AH95" s="71">
        <v>-376127</v>
      </c>
      <c r="AI95" s="6"/>
      <c r="AJ95" s="71">
        <v>0</v>
      </c>
      <c r="AK95" s="71">
        <v>0</v>
      </c>
      <c r="AL95" s="72">
        <v>0</v>
      </c>
      <c r="AM95" s="22"/>
      <c r="AO95" s="22" t="s">
        <v>128</v>
      </c>
      <c r="AP95" s="23" t="s">
        <v>277</v>
      </c>
      <c r="AQ95" s="22" t="s">
        <v>100</v>
      </c>
      <c r="AR95" s="51" t="str">
        <f t="shared" si="92"/>
        <v>ED8B-F17496-AA</v>
      </c>
      <c r="AS95" s="3"/>
      <c r="AT95" s="22">
        <v>1</v>
      </c>
      <c r="AU95" s="22">
        <v>1</v>
      </c>
      <c r="AV95" s="22">
        <v>1</v>
      </c>
      <c r="AW95" s="22">
        <v>1</v>
      </c>
      <c r="AX95" s="22">
        <v>1</v>
      </c>
      <c r="AY95" s="22">
        <v>1</v>
      </c>
      <c r="AZ95" s="22">
        <v>1</v>
      </c>
      <c r="BA95" s="22">
        <v>1</v>
      </c>
      <c r="BB95" s="2">
        <f t="shared" si="93"/>
        <v>1</v>
      </c>
      <c r="BD95" s="60">
        <v>-2.63</v>
      </c>
      <c r="BE95" s="60">
        <v>-0.18</v>
      </c>
      <c r="BF95" s="60">
        <v>-0.28000000000000003</v>
      </c>
      <c r="BG95" s="60">
        <v>0</v>
      </c>
      <c r="BH95" s="60">
        <v>0</v>
      </c>
      <c r="BI95" s="8">
        <f t="shared" si="94"/>
        <v>-3.09</v>
      </c>
      <c r="BJ95" s="2" t="s">
        <v>91</v>
      </c>
      <c r="BL95" s="71">
        <v>0</v>
      </c>
      <c r="BM95" s="71">
        <v>0</v>
      </c>
      <c r="BO95" s="71">
        <v>0</v>
      </c>
      <c r="BP95" s="71">
        <v>0</v>
      </c>
      <c r="BQ95" s="72">
        <v>0</v>
      </c>
      <c r="BS95" s="61">
        <f t="shared" si="76"/>
        <v>0</v>
      </c>
      <c r="BT95" s="61">
        <f t="shared" si="77"/>
        <v>0</v>
      </c>
      <c r="BU95" s="61">
        <f t="shared" si="78"/>
        <v>1.0000000000000009E-2</v>
      </c>
      <c r="BV95" s="61">
        <f t="shared" si="78"/>
        <v>0</v>
      </c>
      <c r="BW95" s="61">
        <f t="shared" si="78"/>
        <v>0</v>
      </c>
      <c r="BX95" s="61">
        <f t="shared" si="78"/>
        <v>9.9999999999997868E-3</v>
      </c>
      <c r="BY95" s="61" t="s">
        <v>91</v>
      </c>
      <c r="CA95" s="61">
        <f t="shared" si="79"/>
        <v>0</v>
      </c>
      <c r="CB95" s="61">
        <f t="shared" si="79"/>
        <v>0</v>
      </c>
      <c r="CC95" s="61">
        <f t="shared" si="79"/>
        <v>0</v>
      </c>
      <c r="CD95" s="61">
        <f t="shared" si="74"/>
        <v>0</v>
      </c>
      <c r="CE95" s="61">
        <f t="shared" si="74"/>
        <v>0</v>
      </c>
      <c r="CF95" s="61">
        <f t="shared" si="74"/>
        <v>0</v>
      </c>
      <c r="CG95" s="61">
        <f t="shared" si="74"/>
        <v>0</v>
      </c>
      <c r="CH95" s="61">
        <f t="shared" si="36"/>
        <v>0</v>
      </c>
      <c r="CI95" s="61">
        <f t="shared" si="68"/>
        <v>0</v>
      </c>
      <c r="CJ95" s="61"/>
      <c r="CK95" s="61">
        <f t="shared" si="80"/>
        <v>1.5044380923724667E-3</v>
      </c>
      <c r="CL95" s="61">
        <f t="shared" si="80"/>
        <v>1.5044380923724667E-3</v>
      </c>
      <c r="CM95" s="61">
        <f t="shared" si="80"/>
        <v>1.5044380923724667E-3</v>
      </c>
      <c r="CN95" s="61">
        <f t="shared" si="75"/>
        <v>1.5044380923724667E-3</v>
      </c>
      <c r="CO95" s="61">
        <f t="shared" si="75"/>
        <v>1.5044380923724667E-3</v>
      </c>
      <c r="CP95" s="61">
        <f t="shared" si="75"/>
        <v>1.5044380923724667E-3</v>
      </c>
      <c r="CQ95" s="61">
        <f t="shared" si="75"/>
        <v>1.5044380923724667E-3</v>
      </c>
      <c r="CR95" s="61">
        <f t="shared" si="37"/>
        <v>1.5044380923724667E-3</v>
      </c>
      <c r="CS95" s="61">
        <f t="shared" si="69"/>
        <v>1.5044380923724672E-3</v>
      </c>
      <c r="CT95" s="61">
        <f t="shared" si="70"/>
        <v>9.9999999999997903E-3</v>
      </c>
      <c r="CV95" s="61">
        <f t="shared" si="71"/>
        <v>-376127</v>
      </c>
      <c r="CW95" s="61">
        <f t="shared" si="12"/>
        <v>-376127</v>
      </c>
      <c r="CX95" s="61"/>
      <c r="CY95" s="61">
        <f t="shared" si="13"/>
        <v>0</v>
      </c>
      <c r="CZ95" s="61">
        <f t="shared" si="13"/>
        <v>0</v>
      </c>
      <c r="DA95" s="61">
        <f t="shared" si="13"/>
        <v>0</v>
      </c>
      <c r="DB95" s="2" t="s">
        <v>85</v>
      </c>
      <c r="DC95" s="2" t="s">
        <v>102</v>
      </c>
      <c r="DD95" s="2" t="s">
        <v>142</v>
      </c>
      <c r="DE95" s="2" t="s">
        <v>181</v>
      </c>
      <c r="DF95" s="3" t="s">
        <v>86</v>
      </c>
      <c r="DG95" s="62">
        <v>42800</v>
      </c>
      <c r="EC95" s="60"/>
      <c r="ED95" s="60"/>
      <c r="EE95" s="60"/>
      <c r="EF95" s="60"/>
    </row>
    <row r="96" spans="2:140" ht="12.75" hidden="1" customHeight="1">
      <c r="B96" s="23" t="s">
        <v>278</v>
      </c>
      <c r="C96" s="22" t="s">
        <v>145</v>
      </c>
      <c r="D96" s="22" t="s">
        <v>276</v>
      </c>
      <c r="E96" s="2" t="str">
        <f>VLOOKUP($C96,[1]Detail!$C:$AK,6,0)</f>
        <v>BIW</v>
      </c>
      <c r="F96" s="2" t="s">
        <v>273</v>
      </c>
      <c r="G96" s="2" t="str">
        <f>VLOOKUP($C96,[1]Detail!$C:$AK,5,0)</f>
        <v>D</v>
      </c>
      <c r="J96" s="22" t="s">
        <v>126</v>
      </c>
      <c r="K96" s="23" t="s">
        <v>279</v>
      </c>
      <c r="L96" s="22" t="s">
        <v>100</v>
      </c>
      <c r="M96" s="51" t="str">
        <f t="shared" si="86"/>
        <v>JD8B-F17497-AA</v>
      </c>
      <c r="O96" s="22">
        <v>1</v>
      </c>
      <c r="P96" s="22">
        <v>1</v>
      </c>
      <c r="Q96" s="22">
        <v>1</v>
      </c>
      <c r="R96" s="22">
        <v>1</v>
      </c>
      <c r="S96" s="22">
        <v>1</v>
      </c>
      <c r="T96" s="22">
        <v>1</v>
      </c>
      <c r="U96" s="22">
        <v>1</v>
      </c>
      <c r="V96" s="22">
        <v>1</v>
      </c>
      <c r="W96" s="64">
        <f t="shared" si="87"/>
        <v>1</v>
      </c>
      <c r="Y96" s="60">
        <v>-1.59</v>
      </c>
      <c r="Z96" s="60">
        <v>-0.18</v>
      </c>
      <c r="AA96" s="60">
        <v>-0.28000000000000003</v>
      </c>
      <c r="AB96" s="60">
        <v>0</v>
      </c>
      <c r="AC96" s="60">
        <v>0</v>
      </c>
      <c r="AD96" s="8">
        <f t="shared" si="88"/>
        <v>-2.0499999999999998</v>
      </c>
      <c r="AE96" s="2" t="s">
        <v>91</v>
      </c>
      <c r="AG96" s="71">
        <v>-411873</v>
      </c>
      <c r="AH96" s="71">
        <v>-411873</v>
      </c>
      <c r="AI96" s="6"/>
      <c r="AJ96" s="71">
        <v>0</v>
      </c>
      <c r="AK96" s="71">
        <v>0</v>
      </c>
      <c r="AL96" s="72">
        <v>0</v>
      </c>
      <c r="AM96" s="22"/>
      <c r="AO96" s="22" t="s">
        <v>128</v>
      </c>
      <c r="AP96" s="23">
        <v>17497</v>
      </c>
      <c r="AQ96" s="22" t="s">
        <v>100</v>
      </c>
      <c r="AR96" s="51" t="str">
        <f t="shared" si="92"/>
        <v>ED8B-17497-AA</v>
      </c>
      <c r="AS96" s="3"/>
      <c r="AT96" s="22">
        <v>1</v>
      </c>
      <c r="AU96" s="22">
        <v>1</v>
      </c>
      <c r="AV96" s="22">
        <v>1</v>
      </c>
      <c r="AW96" s="22">
        <v>1</v>
      </c>
      <c r="AX96" s="22">
        <v>1</v>
      </c>
      <c r="AY96" s="22">
        <v>1</v>
      </c>
      <c r="AZ96" s="22">
        <v>1</v>
      </c>
      <c r="BA96" s="22">
        <v>1</v>
      </c>
      <c r="BB96" s="2">
        <f t="shared" si="93"/>
        <v>1</v>
      </c>
      <c r="BD96" s="60">
        <v>-1.59</v>
      </c>
      <c r="BE96" s="60">
        <v>-0.18</v>
      </c>
      <c r="BF96" s="60">
        <v>-0.28000000000000003</v>
      </c>
      <c r="BG96" s="60">
        <v>0</v>
      </c>
      <c r="BH96" s="60">
        <v>0</v>
      </c>
      <c r="BI96" s="8">
        <f t="shared" si="94"/>
        <v>-2.0499999999999998</v>
      </c>
      <c r="BJ96" s="2" t="s">
        <v>91</v>
      </c>
      <c r="BL96" s="71">
        <v>0</v>
      </c>
      <c r="BM96" s="71">
        <v>0</v>
      </c>
      <c r="BO96" s="71">
        <v>0</v>
      </c>
      <c r="BP96" s="71">
        <v>0</v>
      </c>
      <c r="BQ96" s="72">
        <v>0</v>
      </c>
      <c r="BS96" s="61">
        <f t="shared" si="76"/>
        <v>0</v>
      </c>
      <c r="BT96" s="61">
        <f t="shared" si="77"/>
        <v>0</v>
      </c>
      <c r="BU96" s="61">
        <f t="shared" si="78"/>
        <v>0</v>
      </c>
      <c r="BV96" s="61">
        <f t="shared" si="78"/>
        <v>0</v>
      </c>
      <c r="BW96" s="61">
        <f t="shared" si="78"/>
        <v>0</v>
      </c>
      <c r="BX96" s="61">
        <f t="shared" si="78"/>
        <v>0</v>
      </c>
      <c r="BY96" s="61" t="s">
        <v>91</v>
      </c>
      <c r="CA96" s="61">
        <f t="shared" si="79"/>
        <v>0</v>
      </c>
      <c r="CB96" s="61">
        <f t="shared" si="79"/>
        <v>0</v>
      </c>
      <c r="CC96" s="61">
        <f t="shared" si="79"/>
        <v>0</v>
      </c>
      <c r="CD96" s="61">
        <f t="shared" si="74"/>
        <v>0</v>
      </c>
      <c r="CE96" s="61">
        <f t="shared" si="74"/>
        <v>0</v>
      </c>
      <c r="CF96" s="61">
        <f t="shared" si="74"/>
        <v>0</v>
      </c>
      <c r="CG96" s="61">
        <f t="shared" si="74"/>
        <v>0</v>
      </c>
      <c r="CH96" s="61">
        <f t="shared" si="36"/>
        <v>0</v>
      </c>
      <c r="CI96" s="61">
        <f t="shared" si="68"/>
        <v>0</v>
      </c>
      <c r="CJ96" s="61"/>
      <c r="CK96" s="61">
        <f t="shared" si="80"/>
        <v>0</v>
      </c>
      <c r="CL96" s="61">
        <f t="shared" si="80"/>
        <v>0</v>
      </c>
      <c r="CM96" s="61">
        <f t="shared" si="80"/>
        <v>0</v>
      </c>
      <c r="CN96" s="61">
        <f t="shared" si="75"/>
        <v>0</v>
      </c>
      <c r="CO96" s="61">
        <f t="shared" si="75"/>
        <v>0</v>
      </c>
      <c r="CP96" s="61">
        <f t="shared" si="75"/>
        <v>0</v>
      </c>
      <c r="CQ96" s="61">
        <f t="shared" si="75"/>
        <v>0</v>
      </c>
      <c r="CR96" s="61">
        <f t="shared" si="37"/>
        <v>0</v>
      </c>
      <c r="CS96" s="61">
        <f t="shared" si="69"/>
        <v>0</v>
      </c>
      <c r="CT96" s="61">
        <f t="shared" si="70"/>
        <v>0</v>
      </c>
      <c r="CV96" s="61">
        <f t="shared" si="71"/>
        <v>-411873</v>
      </c>
      <c r="CW96" s="61">
        <f t="shared" si="12"/>
        <v>-411873</v>
      </c>
      <c r="CX96" s="61"/>
      <c r="CY96" s="61">
        <f t="shared" si="13"/>
        <v>0</v>
      </c>
      <c r="CZ96" s="61">
        <f t="shared" si="13"/>
        <v>0</v>
      </c>
      <c r="DA96" s="61">
        <f t="shared" si="13"/>
        <v>0</v>
      </c>
      <c r="DB96" s="2" t="s">
        <v>102</v>
      </c>
      <c r="DC96" s="2" t="s">
        <v>102</v>
      </c>
      <c r="DD96" s="2" t="s">
        <v>142</v>
      </c>
      <c r="DE96" s="2" t="s">
        <v>181</v>
      </c>
      <c r="DF96" s="3" t="s">
        <v>86</v>
      </c>
      <c r="DG96" s="62">
        <v>42800</v>
      </c>
      <c r="EC96" s="60" t="str">
        <f>VLOOKUP($M96,[1]Detail!$M:$BO,1,0)</f>
        <v>JD8B-F17497-AA</v>
      </c>
      <c r="ED96" s="60">
        <f>VLOOKUP($M96,[1]Detail!$M:$BO,22,0)</f>
        <v>-2.0499999999999998</v>
      </c>
      <c r="EE96" s="60">
        <f>VLOOKUP($M96,[1]Detail!$M:$BO,42,0)</f>
        <v>-411873</v>
      </c>
      <c r="EF96" s="60">
        <f>VLOOKUP($M96,[1]Detail!$M:$BO,45,0)</f>
        <v>0</v>
      </c>
      <c r="EH96" s="60">
        <f>ED96-AD96</f>
        <v>0</v>
      </c>
      <c r="EI96" s="60">
        <f>EE96-AG96</f>
        <v>0</v>
      </c>
      <c r="EJ96" s="60">
        <f t="shared" ref="EJ96:EJ98" si="95">EF96-AJ96</f>
        <v>0</v>
      </c>
    </row>
    <row r="97" spans="2:140" ht="12.75" hidden="1" customHeight="1">
      <c r="B97" s="23" t="s">
        <v>280</v>
      </c>
      <c r="C97" s="22" t="s">
        <v>281</v>
      </c>
      <c r="D97" s="22" t="s">
        <v>282</v>
      </c>
      <c r="E97" s="2" t="str">
        <f>VLOOKUP($C97,[1]Detail!$C:$AK,6,0)</f>
        <v>PMT3</v>
      </c>
      <c r="F97" s="2" t="str">
        <f>VLOOKUP($C97,[1]Detail!$C:$AK,7,0)</f>
        <v>PF</v>
      </c>
      <c r="G97" s="2" t="str">
        <f>VLOOKUP($C97,[1]Detail!$C:$AK,5,0)</f>
        <v>B</v>
      </c>
      <c r="J97" s="22" t="s">
        <v>98</v>
      </c>
      <c r="K97" s="23">
        <v>1508</v>
      </c>
      <c r="L97" s="22" t="s">
        <v>100</v>
      </c>
      <c r="M97" s="51" t="str">
        <f t="shared" si="86"/>
        <v>JD8C-1508-AA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4</v>
      </c>
      <c r="V97" s="22">
        <v>4</v>
      </c>
      <c r="W97" s="64">
        <f t="shared" si="87"/>
        <v>0.4</v>
      </c>
      <c r="Y97" s="60">
        <v>-264</v>
      </c>
      <c r="Z97" s="60">
        <v>-18</v>
      </c>
      <c r="AA97" s="60">
        <v>0</v>
      </c>
      <c r="AB97" s="60">
        <v>0</v>
      </c>
      <c r="AC97" s="60">
        <v>0</v>
      </c>
      <c r="AD97" s="8">
        <f t="shared" si="88"/>
        <v>-282</v>
      </c>
      <c r="AE97" s="2" t="s">
        <v>91</v>
      </c>
      <c r="AG97" s="71">
        <v>0</v>
      </c>
      <c r="AH97" s="71">
        <v>0</v>
      </c>
      <c r="AJ97" s="71">
        <v>0</v>
      </c>
      <c r="AK97" s="71">
        <v>0</v>
      </c>
      <c r="AL97" s="72">
        <v>0</v>
      </c>
      <c r="AM97" s="22"/>
      <c r="AO97" s="22" t="s">
        <v>98</v>
      </c>
      <c r="AP97" s="23">
        <v>1508</v>
      </c>
      <c r="AQ97" s="22" t="s">
        <v>100</v>
      </c>
      <c r="AR97" s="51" t="str">
        <f t="shared" si="92"/>
        <v>JD8C-1508-AA</v>
      </c>
      <c r="AS97" s="3"/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2">
        <v>4</v>
      </c>
      <c r="BA97" s="22">
        <v>4</v>
      </c>
      <c r="BB97" s="2">
        <f t="shared" si="93"/>
        <v>0.4</v>
      </c>
      <c r="BD97" s="60">
        <v>-264</v>
      </c>
      <c r="BE97" s="60">
        <v>-18</v>
      </c>
      <c r="BF97" s="60">
        <v>0</v>
      </c>
      <c r="BG97" s="60">
        <v>0</v>
      </c>
      <c r="BH97" s="60">
        <v>0</v>
      </c>
      <c r="BI97" s="8">
        <f t="shared" si="94"/>
        <v>-282</v>
      </c>
      <c r="BJ97" s="2" t="s">
        <v>91</v>
      </c>
      <c r="BL97" s="71">
        <v>0</v>
      </c>
      <c r="BM97" s="71">
        <v>0</v>
      </c>
      <c r="BO97" s="71">
        <v>0</v>
      </c>
      <c r="BP97" s="71">
        <v>0</v>
      </c>
      <c r="BQ97" s="72">
        <v>0</v>
      </c>
      <c r="BS97" s="61">
        <f t="shared" si="76"/>
        <v>0</v>
      </c>
      <c r="BT97" s="61">
        <f t="shared" si="77"/>
        <v>0</v>
      </c>
      <c r="BU97" s="61">
        <f t="shared" si="78"/>
        <v>0</v>
      </c>
      <c r="BV97" s="61">
        <f t="shared" si="78"/>
        <v>0</v>
      </c>
      <c r="BW97" s="61">
        <f t="shared" si="78"/>
        <v>0</v>
      </c>
      <c r="BX97" s="61">
        <f t="shared" si="78"/>
        <v>0</v>
      </c>
      <c r="BY97" s="61" t="s">
        <v>91</v>
      </c>
      <c r="CA97" s="61">
        <f t="shared" si="79"/>
        <v>0</v>
      </c>
      <c r="CB97" s="61">
        <f t="shared" si="79"/>
        <v>0</v>
      </c>
      <c r="CC97" s="61">
        <f t="shared" si="79"/>
        <v>0</v>
      </c>
      <c r="CD97" s="61">
        <f t="shared" si="74"/>
        <v>0</v>
      </c>
      <c r="CE97" s="61">
        <f t="shared" si="74"/>
        <v>0</v>
      </c>
      <c r="CF97" s="61">
        <f t="shared" si="74"/>
        <v>0</v>
      </c>
      <c r="CG97" s="61">
        <f t="shared" si="74"/>
        <v>0</v>
      </c>
      <c r="CH97" s="61">
        <f t="shared" si="36"/>
        <v>0</v>
      </c>
      <c r="CI97" s="61">
        <f t="shared" si="68"/>
        <v>0</v>
      </c>
      <c r="CJ97" s="61"/>
      <c r="CK97" s="61">
        <f t="shared" si="80"/>
        <v>0</v>
      </c>
      <c r="CL97" s="61">
        <f t="shared" si="80"/>
        <v>0</v>
      </c>
      <c r="CM97" s="61">
        <f t="shared" si="80"/>
        <v>0</v>
      </c>
      <c r="CN97" s="61">
        <f t="shared" si="75"/>
        <v>0</v>
      </c>
      <c r="CO97" s="61">
        <f t="shared" si="75"/>
        <v>0</v>
      </c>
      <c r="CP97" s="61">
        <f t="shared" si="75"/>
        <v>0</v>
      </c>
      <c r="CQ97" s="61">
        <f t="shared" si="75"/>
        <v>0</v>
      </c>
      <c r="CR97" s="61">
        <f t="shared" si="37"/>
        <v>0</v>
      </c>
      <c r="CS97" s="61">
        <f t="shared" si="69"/>
        <v>0</v>
      </c>
      <c r="CT97" s="61">
        <f t="shared" si="70"/>
        <v>0</v>
      </c>
      <c r="CV97" s="61">
        <f t="shared" si="71"/>
        <v>0</v>
      </c>
      <c r="CW97" s="61">
        <f t="shared" si="12"/>
        <v>0</v>
      </c>
      <c r="CX97" s="61"/>
      <c r="CY97" s="61">
        <f t="shared" si="13"/>
        <v>0</v>
      </c>
      <c r="CZ97" s="61">
        <f t="shared" si="13"/>
        <v>0</v>
      </c>
      <c r="DA97" s="61">
        <f t="shared" si="13"/>
        <v>0</v>
      </c>
      <c r="DB97" s="2" t="s">
        <v>102</v>
      </c>
      <c r="DC97" s="2" t="s">
        <v>102</v>
      </c>
      <c r="DD97" s="2" t="s">
        <v>142</v>
      </c>
      <c r="DE97" s="2" t="s">
        <v>181</v>
      </c>
      <c r="DF97" s="3" t="s">
        <v>86</v>
      </c>
      <c r="DG97" s="62">
        <v>42793</v>
      </c>
      <c r="EC97" s="60" t="str">
        <f>VLOOKUP($M97,[1]Detail!$M:$BO,1,0)</f>
        <v>JD8C-1508-AA</v>
      </c>
      <c r="ED97" s="60">
        <f>VLOOKUP($M97,[1]Detail!$M:$BO,22,0)</f>
        <v>-282</v>
      </c>
      <c r="EE97" s="60">
        <f>VLOOKUP($M97,[1]Detail!$M:$BO,42,0)</f>
        <v>0</v>
      </c>
      <c r="EF97" s="60">
        <f>VLOOKUP($M97,[1]Detail!$M:$BO,45,0)</f>
        <v>0</v>
      </c>
      <c r="EH97" s="60">
        <f>ED97-AD97</f>
        <v>0</v>
      </c>
      <c r="EI97" s="60">
        <f>EE97-AG97</f>
        <v>0</v>
      </c>
      <c r="EJ97" s="60">
        <f t="shared" si="95"/>
        <v>0</v>
      </c>
    </row>
    <row r="98" spans="2:140" ht="12.75" hidden="1" customHeight="1">
      <c r="B98" s="23" t="s">
        <v>283</v>
      </c>
      <c r="C98" s="22" t="s">
        <v>284</v>
      </c>
      <c r="D98" s="22" t="s">
        <v>285</v>
      </c>
      <c r="E98" s="2" t="str">
        <f>VLOOKUP($C98,[1]Detail!$C:$AK,6,0)</f>
        <v>PMT4</v>
      </c>
      <c r="F98" s="2" t="str">
        <f>VLOOKUP($C98,[1]Detail!$C:$AK,7,0)</f>
        <v>PF</v>
      </c>
      <c r="G98" s="2" t="str">
        <f>VLOOKUP($C98,[1]Detail!$C:$AK,5,0)</f>
        <v>D</v>
      </c>
      <c r="J98" s="22" t="s">
        <v>286</v>
      </c>
      <c r="K98" s="23" t="s">
        <v>287</v>
      </c>
      <c r="L98" s="22" t="s">
        <v>111</v>
      </c>
      <c r="M98" s="51" t="str">
        <f t="shared" si="86"/>
        <v>JD8G-12A659-BA</v>
      </c>
      <c r="O98" s="22">
        <v>1</v>
      </c>
      <c r="P98" s="22">
        <v>0</v>
      </c>
      <c r="Q98" s="22">
        <v>1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64">
        <f t="shared" si="87"/>
        <v>0.28000000000000003</v>
      </c>
      <c r="Y98" s="60">
        <v>-10.039999999999999</v>
      </c>
      <c r="Z98" s="60">
        <f>-0.2</f>
        <v>-0.2</v>
      </c>
      <c r="AA98" s="60">
        <f>-0.32</f>
        <v>-0.32</v>
      </c>
      <c r="AB98" s="60">
        <v>0</v>
      </c>
      <c r="AC98" s="60">
        <v>0</v>
      </c>
      <c r="AD98" s="8">
        <f t="shared" si="88"/>
        <v>-10.559999999999999</v>
      </c>
      <c r="AE98" s="2" t="s">
        <v>91</v>
      </c>
      <c r="AG98" s="71">
        <v>-285000</v>
      </c>
      <c r="AH98" s="71">
        <f>AG98</f>
        <v>-285000</v>
      </c>
      <c r="AI98" s="6"/>
      <c r="AJ98" s="71">
        <v>0</v>
      </c>
      <c r="AK98" s="71">
        <v>0</v>
      </c>
      <c r="AL98" s="72">
        <v>0</v>
      </c>
      <c r="AM98" s="22"/>
      <c r="AO98" s="22" t="s">
        <v>286</v>
      </c>
      <c r="AP98" s="23" t="s">
        <v>287</v>
      </c>
      <c r="AQ98" s="22" t="s">
        <v>111</v>
      </c>
      <c r="AR98" s="51" t="str">
        <f t="shared" si="92"/>
        <v>JD8G-12A659-BA</v>
      </c>
      <c r="AS98" s="3"/>
      <c r="AT98" s="22">
        <v>1</v>
      </c>
      <c r="AU98" s="22">
        <v>0</v>
      </c>
      <c r="AV98" s="22">
        <v>1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">
        <f t="shared" si="93"/>
        <v>0.28000000000000003</v>
      </c>
      <c r="BD98" s="60">
        <v>-10.039999999999999</v>
      </c>
      <c r="BE98" s="60">
        <f>-0.2</f>
        <v>-0.2</v>
      </c>
      <c r="BF98" s="60">
        <f>-0.32</f>
        <v>-0.32</v>
      </c>
      <c r="BG98" s="60">
        <v>0</v>
      </c>
      <c r="BH98" s="60">
        <v>0</v>
      </c>
      <c r="BI98" s="8">
        <f t="shared" si="94"/>
        <v>-10.559999999999999</v>
      </c>
      <c r="BJ98" s="2" t="s">
        <v>91</v>
      </c>
      <c r="BL98" s="71">
        <v>-285000</v>
      </c>
      <c r="BM98" s="71">
        <f>BL98</f>
        <v>-285000</v>
      </c>
      <c r="BO98" s="71">
        <v>0</v>
      </c>
      <c r="BP98" s="71">
        <v>0</v>
      </c>
      <c r="BQ98" s="72">
        <v>0</v>
      </c>
      <c r="BS98" s="61">
        <f t="shared" si="76"/>
        <v>0</v>
      </c>
      <c r="BT98" s="61">
        <f t="shared" si="77"/>
        <v>0</v>
      </c>
      <c r="BU98" s="61">
        <f t="shared" si="78"/>
        <v>0</v>
      </c>
      <c r="BV98" s="61">
        <f t="shared" si="78"/>
        <v>0</v>
      </c>
      <c r="BW98" s="61">
        <f t="shared" si="78"/>
        <v>0</v>
      </c>
      <c r="BX98" s="61">
        <f t="shared" si="78"/>
        <v>0</v>
      </c>
      <c r="BY98" s="61" t="s">
        <v>91</v>
      </c>
      <c r="CA98" s="61">
        <f t="shared" si="79"/>
        <v>0</v>
      </c>
      <c r="CB98" s="61">
        <f t="shared" si="79"/>
        <v>0</v>
      </c>
      <c r="CC98" s="61">
        <f t="shared" si="79"/>
        <v>0</v>
      </c>
      <c r="CD98" s="61">
        <f t="shared" si="74"/>
        <v>0</v>
      </c>
      <c r="CE98" s="61">
        <f t="shared" si="74"/>
        <v>0</v>
      </c>
      <c r="CF98" s="61">
        <f t="shared" si="74"/>
        <v>0</v>
      </c>
      <c r="CG98" s="61">
        <f t="shared" si="74"/>
        <v>0</v>
      </c>
      <c r="CH98" s="61">
        <f t="shared" si="36"/>
        <v>0</v>
      </c>
      <c r="CI98" s="61">
        <f t="shared" si="68"/>
        <v>0</v>
      </c>
      <c r="CJ98" s="61"/>
      <c r="CK98" s="61">
        <f t="shared" si="80"/>
        <v>0</v>
      </c>
      <c r="CL98" s="61">
        <f t="shared" si="80"/>
        <v>0</v>
      </c>
      <c r="CM98" s="61">
        <f t="shared" si="80"/>
        <v>0</v>
      </c>
      <c r="CN98" s="61">
        <f t="shared" si="75"/>
        <v>0</v>
      </c>
      <c r="CO98" s="61">
        <f t="shared" si="75"/>
        <v>0</v>
      </c>
      <c r="CP98" s="61">
        <f t="shared" si="75"/>
        <v>0</v>
      </c>
      <c r="CQ98" s="61">
        <f t="shared" si="75"/>
        <v>0</v>
      </c>
      <c r="CR98" s="61">
        <f t="shared" si="37"/>
        <v>0</v>
      </c>
      <c r="CS98" s="61">
        <f t="shared" si="69"/>
        <v>0</v>
      </c>
      <c r="CT98" s="61">
        <f t="shared" si="70"/>
        <v>0</v>
      </c>
      <c r="CV98" s="61">
        <f t="shared" si="71"/>
        <v>0</v>
      </c>
      <c r="CW98" s="61">
        <f t="shared" si="12"/>
        <v>0</v>
      </c>
      <c r="CX98" s="61"/>
      <c r="CY98" s="61">
        <f t="shared" si="13"/>
        <v>0</v>
      </c>
      <c r="CZ98" s="61">
        <f t="shared" si="13"/>
        <v>0</v>
      </c>
      <c r="DA98" s="61">
        <f t="shared" si="13"/>
        <v>0</v>
      </c>
      <c r="DB98" s="2" t="s">
        <v>102</v>
      </c>
      <c r="DC98" s="2" t="s">
        <v>102</v>
      </c>
      <c r="DD98" s="2" t="s">
        <v>142</v>
      </c>
      <c r="DE98" s="2" t="s">
        <v>181</v>
      </c>
      <c r="DF98" s="3" t="s">
        <v>102</v>
      </c>
      <c r="DG98" s="62">
        <v>42801</v>
      </c>
      <c r="EC98" s="60" t="str">
        <f>VLOOKUP($M98,[1]Detail!$M:$BO,1,0)</f>
        <v>JD8G-12A659-BA</v>
      </c>
      <c r="ED98" s="60">
        <f>VLOOKUP($M98,[1]Detail!$M:$BO,22,0)</f>
        <v>-10.559999999999999</v>
      </c>
      <c r="EE98" s="60">
        <f>VLOOKUP($M98,[1]Detail!$M:$BO,42,0)</f>
        <v>-285000</v>
      </c>
      <c r="EF98" s="60">
        <f>VLOOKUP($M98,[1]Detail!$M:$BO,45,0)</f>
        <v>0</v>
      </c>
      <c r="EH98" s="60">
        <f>ED98-AD98</f>
        <v>0</v>
      </c>
      <c r="EI98" s="60">
        <f>EE98-AG98</f>
        <v>0</v>
      </c>
      <c r="EJ98" s="60">
        <f t="shared" si="95"/>
        <v>0</v>
      </c>
    </row>
    <row r="99" spans="2:140" ht="12.75" hidden="1" customHeight="1">
      <c r="B99" s="23" t="s">
        <v>283</v>
      </c>
      <c r="C99" s="22" t="s">
        <v>284</v>
      </c>
      <c r="D99" s="22" t="s">
        <v>288</v>
      </c>
      <c r="E99" s="2" t="str">
        <f>VLOOKUP($C99,[1]Detail!$C:$AK,6,0)</f>
        <v>PMT4</v>
      </c>
      <c r="F99" s="2" t="str">
        <f>VLOOKUP($C99,[1]Detail!$C:$AK,7,0)</f>
        <v>PF</v>
      </c>
      <c r="G99" s="2" t="str">
        <f>VLOOKUP($C99,[1]Detail!$C:$AK,5,0)</f>
        <v>D</v>
      </c>
      <c r="J99" s="22" t="s">
        <v>286</v>
      </c>
      <c r="K99" s="23" t="s">
        <v>287</v>
      </c>
      <c r="L99" s="22" t="s">
        <v>100</v>
      </c>
      <c r="M99" s="51" t="str">
        <f t="shared" si="86"/>
        <v>JD8G-12A659-AA</v>
      </c>
      <c r="O99" s="22">
        <v>0</v>
      </c>
      <c r="P99" s="22">
        <v>1</v>
      </c>
      <c r="Q99" s="22">
        <v>0</v>
      </c>
      <c r="R99" s="22">
        <v>1</v>
      </c>
      <c r="S99" s="22">
        <v>1</v>
      </c>
      <c r="T99" s="22">
        <v>1</v>
      </c>
      <c r="U99" s="22">
        <v>1</v>
      </c>
      <c r="V99" s="22">
        <v>1</v>
      </c>
      <c r="W99" s="64">
        <f t="shared" si="87"/>
        <v>0.72000000000000008</v>
      </c>
      <c r="Y99" s="60">
        <v>-10.18</v>
      </c>
      <c r="Z99" s="60">
        <f>-0.2</f>
        <v>-0.2</v>
      </c>
      <c r="AA99" s="60">
        <f>-0.32</f>
        <v>-0.32</v>
      </c>
      <c r="AB99" s="60">
        <v>0</v>
      </c>
      <c r="AC99" s="60">
        <v>0</v>
      </c>
      <c r="AD99" s="8">
        <f t="shared" si="88"/>
        <v>-10.7</v>
      </c>
      <c r="AE99" s="2" t="s">
        <v>91</v>
      </c>
      <c r="AG99" s="71">
        <v>-285000</v>
      </c>
      <c r="AH99" s="71">
        <v>-285000</v>
      </c>
      <c r="AI99" s="6"/>
      <c r="AJ99" s="71">
        <v>0</v>
      </c>
      <c r="AK99" s="71">
        <v>0</v>
      </c>
      <c r="AL99" s="72">
        <v>0</v>
      </c>
      <c r="AM99" s="22"/>
      <c r="AO99" s="22" t="s">
        <v>286</v>
      </c>
      <c r="AP99" s="23" t="s">
        <v>287</v>
      </c>
      <c r="AQ99" s="22" t="s">
        <v>100</v>
      </c>
      <c r="AR99" s="51" t="str">
        <f t="shared" si="92"/>
        <v>JD8G-12A659-AA</v>
      </c>
      <c r="AS99" s="3"/>
      <c r="AT99" s="22">
        <v>0</v>
      </c>
      <c r="AU99" s="22">
        <v>1</v>
      </c>
      <c r="AV99" s="22">
        <v>0</v>
      </c>
      <c r="AW99" s="22">
        <v>1</v>
      </c>
      <c r="AX99" s="22">
        <v>1</v>
      </c>
      <c r="AY99" s="22">
        <v>1</v>
      </c>
      <c r="AZ99" s="22">
        <v>1</v>
      </c>
      <c r="BA99" s="22">
        <v>1</v>
      </c>
      <c r="BB99" s="2">
        <f t="shared" si="93"/>
        <v>0.72000000000000008</v>
      </c>
      <c r="BD99" s="60">
        <v>-10.18</v>
      </c>
      <c r="BE99" s="60">
        <f>-0.2</f>
        <v>-0.2</v>
      </c>
      <c r="BF99" s="60">
        <f>-0.32</f>
        <v>-0.32</v>
      </c>
      <c r="BG99" s="60">
        <v>0</v>
      </c>
      <c r="BH99" s="60">
        <v>0</v>
      </c>
      <c r="BI99" s="8">
        <f t="shared" si="94"/>
        <v>-10.7</v>
      </c>
      <c r="BJ99" s="2" t="s">
        <v>91</v>
      </c>
      <c r="BL99" s="71">
        <v>-285000</v>
      </c>
      <c r="BM99" s="71">
        <v>-285000</v>
      </c>
      <c r="BO99" s="71">
        <v>0</v>
      </c>
      <c r="BP99" s="71">
        <v>0</v>
      </c>
      <c r="BQ99" s="72">
        <v>0</v>
      </c>
      <c r="BS99" s="61">
        <f t="shared" si="76"/>
        <v>0</v>
      </c>
      <c r="BT99" s="61">
        <f t="shared" si="77"/>
        <v>0</v>
      </c>
      <c r="BU99" s="61">
        <f t="shared" si="78"/>
        <v>0</v>
      </c>
      <c r="BV99" s="61">
        <f t="shared" si="78"/>
        <v>0</v>
      </c>
      <c r="BW99" s="61">
        <f t="shared" si="78"/>
        <v>0</v>
      </c>
      <c r="BX99" s="61">
        <f t="shared" si="78"/>
        <v>0</v>
      </c>
      <c r="BY99" s="61" t="s">
        <v>91</v>
      </c>
      <c r="CA99" s="61">
        <f t="shared" si="79"/>
        <v>0</v>
      </c>
      <c r="CB99" s="61">
        <f t="shared" si="79"/>
        <v>0</v>
      </c>
      <c r="CC99" s="61">
        <f t="shared" si="79"/>
        <v>0</v>
      </c>
      <c r="CD99" s="61">
        <f t="shared" si="74"/>
        <v>0</v>
      </c>
      <c r="CE99" s="61">
        <f t="shared" si="74"/>
        <v>0</v>
      </c>
      <c r="CF99" s="61">
        <f t="shared" si="74"/>
        <v>0</v>
      </c>
      <c r="CG99" s="61">
        <f t="shared" si="74"/>
        <v>0</v>
      </c>
      <c r="CH99" s="61">
        <f t="shared" si="36"/>
        <v>0</v>
      </c>
      <c r="CI99" s="61">
        <f t="shared" si="68"/>
        <v>0</v>
      </c>
      <c r="CJ99" s="61"/>
      <c r="CK99" s="61">
        <f t="shared" si="80"/>
        <v>0</v>
      </c>
      <c r="CL99" s="61">
        <f t="shared" si="80"/>
        <v>0</v>
      </c>
      <c r="CM99" s="61">
        <f t="shared" si="80"/>
        <v>0</v>
      </c>
      <c r="CN99" s="61">
        <f t="shared" si="75"/>
        <v>0</v>
      </c>
      <c r="CO99" s="61">
        <f t="shared" si="75"/>
        <v>0</v>
      </c>
      <c r="CP99" s="61">
        <f t="shared" si="75"/>
        <v>0</v>
      </c>
      <c r="CQ99" s="61">
        <f t="shared" si="75"/>
        <v>0</v>
      </c>
      <c r="CR99" s="61">
        <f t="shared" si="37"/>
        <v>0</v>
      </c>
      <c r="CS99" s="61">
        <f t="shared" si="69"/>
        <v>0</v>
      </c>
      <c r="CT99" s="61">
        <f t="shared" si="70"/>
        <v>0</v>
      </c>
      <c r="CV99" s="61">
        <f t="shared" si="71"/>
        <v>0</v>
      </c>
      <c r="CW99" s="61">
        <f t="shared" si="12"/>
        <v>0</v>
      </c>
      <c r="CX99" s="61"/>
      <c r="CY99" s="61">
        <f t="shared" si="13"/>
        <v>0</v>
      </c>
      <c r="CZ99" s="61">
        <f t="shared" si="13"/>
        <v>0</v>
      </c>
      <c r="DA99" s="61">
        <f t="shared" si="13"/>
        <v>0</v>
      </c>
      <c r="DB99" s="2" t="s">
        <v>289</v>
      </c>
      <c r="DC99" s="2" t="s">
        <v>102</v>
      </c>
      <c r="DD99" s="2" t="s">
        <v>142</v>
      </c>
      <c r="DE99" s="2" t="s">
        <v>181</v>
      </c>
      <c r="DF99" s="3" t="s">
        <v>102</v>
      </c>
      <c r="DG99" s="62">
        <v>42801</v>
      </c>
      <c r="EC99" s="60"/>
      <c r="ED99" s="60"/>
      <c r="EE99" s="60"/>
      <c r="EF99" s="60"/>
    </row>
    <row r="100" spans="2:140" ht="12.75" hidden="1" customHeight="1">
      <c r="B100" s="23" t="s">
        <v>290</v>
      </c>
      <c r="C100" s="22" t="s">
        <v>284</v>
      </c>
      <c r="D100" s="22" t="s">
        <v>288</v>
      </c>
      <c r="E100" s="2" t="str">
        <f>VLOOKUP($C100,[1]Detail!$C:$AK,6,0)</f>
        <v>PMT4</v>
      </c>
      <c r="F100" s="2" t="str">
        <f>VLOOKUP($C100,[1]Detail!$C:$AK,7,0)</f>
        <v>PF</v>
      </c>
      <c r="G100" s="2" t="str">
        <f>VLOOKUP($C100,[1]Detail!$C:$AK,5,0)</f>
        <v>D</v>
      </c>
      <c r="J100" s="22" t="s">
        <v>286</v>
      </c>
      <c r="K100" s="23" t="s">
        <v>287</v>
      </c>
      <c r="L100" s="22" t="s">
        <v>132</v>
      </c>
      <c r="M100" s="51" t="str">
        <f t="shared" si="86"/>
        <v>JD8G-12A659-AB</v>
      </c>
      <c r="O100" s="22">
        <v>0</v>
      </c>
      <c r="P100" s="22">
        <v>1</v>
      </c>
      <c r="Q100" s="22">
        <v>0</v>
      </c>
      <c r="R100" s="22">
        <v>1</v>
      </c>
      <c r="S100" s="22">
        <v>1</v>
      </c>
      <c r="T100" s="22">
        <v>1</v>
      </c>
      <c r="U100" s="22">
        <v>1</v>
      </c>
      <c r="V100" s="22">
        <v>1</v>
      </c>
      <c r="W100" s="64">
        <f t="shared" si="87"/>
        <v>0.72000000000000008</v>
      </c>
      <c r="Y100" s="60">
        <v>-10.18</v>
      </c>
      <c r="Z100" s="60">
        <f>-0.2</f>
        <v>-0.2</v>
      </c>
      <c r="AA100" s="60">
        <f>-0.32</f>
        <v>-0.32</v>
      </c>
      <c r="AB100" s="60">
        <v>0</v>
      </c>
      <c r="AC100" s="60">
        <v>0</v>
      </c>
      <c r="AD100" s="8">
        <f t="shared" si="88"/>
        <v>-10.7</v>
      </c>
      <c r="AE100" s="2" t="s">
        <v>91</v>
      </c>
      <c r="AG100" s="71">
        <v>-285000</v>
      </c>
      <c r="AH100" s="71">
        <v>-285000</v>
      </c>
      <c r="AI100" s="6"/>
      <c r="AJ100" s="71">
        <v>0</v>
      </c>
      <c r="AK100" s="71">
        <v>0</v>
      </c>
      <c r="AL100" s="72">
        <v>0</v>
      </c>
      <c r="AM100" s="22"/>
      <c r="AO100" s="22" t="s">
        <v>286</v>
      </c>
      <c r="AP100" s="23" t="s">
        <v>287</v>
      </c>
      <c r="AQ100" s="22" t="s">
        <v>100</v>
      </c>
      <c r="AR100" s="51" t="str">
        <f t="shared" si="92"/>
        <v>JD8G-12A659-AA</v>
      </c>
      <c r="AS100" s="3"/>
      <c r="AT100" s="22">
        <v>0</v>
      </c>
      <c r="AU100" s="22">
        <v>1</v>
      </c>
      <c r="AV100" s="22">
        <v>0</v>
      </c>
      <c r="AW100" s="22">
        <v>1</v>
      </c>
      <c r="AX100" s="22">
        <v>1</v>
      </c>
      <c r="AY100" s="22">
        <v>1</v>
      </c>
      <c r="AZ100" s="22">
        <v>1</v>
      </c>
      <c r="BA100" s="22">
        <v>1</v>
      </c>
      <c r="BB100" s="64">
        <f t="shared" si="93"/>
        <v>0.72000000000000008</v>
      </c>
      <c r="BD100" s="60">
        <v>-10.18</v>
      </c>
      <c r="BE100" s="60">
        <f>-0.2</f>
        <v>-0.2</v>
      </c>
      <c r="BF100" s="60">
        <f>-0.32</f>
        <v>-0.32</v>
      </c>
      <c r="BG100" s="60">
        <v>0</v>
      </c>
      <c r="BH100" s="60">
        <v>0</v>
      </c>
      <c r="BI100" s="8">
        <f t="shared" si="94"/>
        <v>-10.7</v>
      </c>
      <c r="BJ100" s="2" t="s">
        <v>91</v>
      </c>
      <c r="BL100" s="71">
        <v>-285000</v>
      </c>
      <c r="BM100" s="71">
        <v>-285000</v>
      </c>
      <c r="BO100" s="71">
        <v>0</v>
      </c>
      <c r="BP100" s="71">
        <v>0</v>
      </c>
      <c r="BQ100" s="72">
        <v>0</v>
      </c>
      <c r="BS100" s="61">
        <f t="shared" si="76"/>
        <v>0</v>
      </c>
      <c r="BT100" s="61">
        <f t="shared" si="77"/>
        <v>0</v>
      </c>
      <c r="BU100" s="61">
        <f t="shared" si="78"/>
        <v>0</v>
      </c>
      <c r="BV100" s="61">
        <f t="shared" si="78"/>
        <v>0</v>
      </c>
      <c r="BW100" s="61">
        <f t="shared" si="78"/>
        <v>0</v>
      </c>
      <c r="BX100" s="61">
        <f t="shared" si="78"/>
        <v>0</v>
      </c>
      <c r="BY100" s="61" t="s">
        <v>91</v>
      </c>
      <c r="CA100" s="61">
        <f t="shared" si="79"/>
        <v>0</v>
      </c>
      <c r="CB100" s="61">
        <f t="shared" si="79"/>
        <v>0</v>
      </c>
      <c r="CC100" s="61">
        <f t="shared" si="79"/>
        <v>0</v>
      </c>
      <c r="CD100" s="61">
        <f t="shared" si="74"/>
        <v>0</v>
      </c>
      <c r="CE100" s="61">
        <f t="shared" si="74"/>
        <v>0</v>
      </c>
      <c r="CF100" s="61">
        <f t="shared" si="74"/>
        <v>0</v>
      </c>
      <c r="CG100" s="61">
        <f t="shared" si="74"/>
        <v>0</v>
      </c>
      <c r="CH100" s="61">
        <f t="shared" si="36"/>
        <v>0</v>
      </c>
      <c r="CI100" s="61">
        <f t="shared" si="68"/>
        <v>0</v>
      </c>
      <c r="CJ100" s="61"/>
      <c r="CK100" s="61">
        <f t="shared" si="80"/>
        <v>0</v>
      </c>
      <c r="CL100" s="61">
        <f t="shared" si="80"/>
        <v>0</v>
      </c>
      <c r="CM100" s="61">
        <f t="shared" si="80"/>
        <v>0</v>
      </c>
      <c r="CN100" s="61">
        <f t="shared" si="75"/>
        <v>0</v>
      </c>
      <c r="CO100" s="61">
        <f t="shared" si="75"/>
        <v>0</v>
      </c>
      <c r="CP100" s="61">
        <f t="shared" si="75"/>
        <v>0</v>
      </c>
      <c r="CQ100" s="61">
        <f t="shared" si="75"/>
        <v>0</v>
      </c>
      <c r="CR100" s="61">
        <f t="shared" si="37"/>
        <v>0</v>
      </c>
      <c r="CS100" s="61">
        <f t="shared" si="69"/>
        <v>0</v>
      </c>
      <c r="CT100" s="61">
        <f t="shared" si="70"/>
        <v>0</v>
      </c>
      <c r="CV100" s="61">
        <f t="shared" si="71"/>
        <v>0</v>
      </c>
      <c r="CW100" s="61">
        <f t="shared" ref="CW100:CW163" si="96">SUM(AH100)-SUM(BM100)</f>
        <v>0</v>
      </c>
      <c r="CX100" s="61"/>
      <c r="CY100" s="61">
        <f t="shared" ref="CY100:CY163" si="97">SUM(AJ100)-SUM(BO100)</f>
        <v>0</v>
      </c>
      <c r="CZ100" s="61">
        <f t="shared" ref="CZ100:DA115" si="98">SUM(AK100)-SUM(BP100)</f>
        <v>0</v>
      </c>
      <c r="DA100" s="61">
        <f t="shared" si="98"/>
        <v>0</v>
      </c>
      <c r="DB100" s="2" t="s">
        <v>102</v>
      </c>
      <c r="DC100" s="2" t="s">
        <v>289</v>
      </c>
      <c r="DD100" s="2" t="s">
        <v>142</v>
      </c>
      <c r="DE100" s="2" t="s">
        <v>106</v>
      </c>
      <c r="DF100" s="3" t="s">
        <v>86</v>
      </c>
      <c r="DG100" s="62">
        <v>43123</v>
      </c>
      <c r="EC100" s="60" t="str">
        <f>VLOOKUP($M100,[1]Detail!$M:$BO,1,0)</f>
        <v>JD8G-12A659-AB</v>
      </c>
      <c r="ED100" s="60">
        <f>VLOOKUP($M100,[1]Detail!$M:$BO,22,0)</f>
        <v>-10.7</v>
      </c>
      <c r="EE100" s="60">
        <f>VLOOKUP($M100,[1]Detail!$M:$BO,42,0)</f>
        <v>-285000</v>
      </c>
      <c r="EF100" s="60">
        <f>VLOOKUP($M100,[1]Detail!$M:$BO,45,0)</f>
        <v>0</v>
      </c>
      <c r="EH100" s="60">
        <f t="shared" ref="EH100:EH106" si="99">ED100-AD100</f>
        <v>0</v>
      </c>
      <c r="EI100" s="60">
        <f t="shared" ref="EI100:EI106" si="100">EE100-AG100</f>
        <v>0</v>
      </c>
      <c r="EJ100" s="60">
        <f t="shared" ref="EJ100:EJ106" si="101">EF100-AJ100</f>
        <v>0</v>
      </c>
    </row>
    <row r="101" spans="2:140" ht="12.75" hidden="1" customHeight="1">
      <c r="B101" s="23" t="s">
        <v>283</v>
      </c>
      <c r="C101" s="22" t="s">
        <v>284</v>
      </c>
      <c r="D101" s="22" t="s">
        <v>285</v>
      </c>
      <c r="E101" s="2" t="str">
        <f>VLOOKUP($C101,[1]Detail!$C:$AK,6,0)</f>
        <v>PMT4</v>
      </c>
      <c r="F101" s="2" t="str">
        <f>VLOOKUP($C101,[1]Detail!$C:$AK,7,0)</f>
        <v>PF</v>
      </c>
      <c r="G101" s="2" t="str">
        <f>VLOOKUP($C101,[1]Detail!$C:$AK,5,0)</f>
        <v>D</v>
      </c>
      <c r="J101" s="22" t="s">
        <v>286</v>
      </c>
      <c r="K101" s="23" t="s">
        <v>291</v>
      </c>
      <c r="L101" s="22" t="s">
        <v>113</v>
      </c>
      <c r="M101" s="51" t="str">
        <f t="shared" si="86"/>
        <v>JD8G-12A532-CA</v>
      </c>
      <c r="O101" s="22">
        <v>1</v>
      </c>
      <c r="P101" s="22">
        <v>0</v>
      </c>
      <c r="Q101" s="22">
        <v>1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64">
        <f t="shared" si="87"/>
        <v>0.28000000000000003</v>
      </c>
      <c r="Y101" s="60">
        <v>-4.16</v>
      </c>
      <c r="Z101" s="60">
        <v>-0.1</v>
      </c>
      <c r="AA101" s="60">
        <v>-0.22</v>
      </c>
      <c r="AB101" s="60">
        <v>0</v>
      </c>
      <c r="AC101" s="60">
        <v>0</v>
      </c>
      <c r="AD101" s="8">
        <f t="shared" si="88"/>
        <v>-4.4799999999999995</v>
      </c>
      <c r="AE101" s="2" t="s">
        <v>91</v>
      </c>
      <c r="AG101" s="71">
        <v>-195000</v>
      </c>
      <c r="AH101" s="71">
        <v>-195000</v>
      </c>
      <c r="AI101" s="6"/>
      <c r="AJ101" s="71">
        <v>0</v>
      </c>
      <c r="AK101" s="71">
        <v>0</v>
      </c>
      <c r="AL101" s="72">
        <v>0</v>
      </c>
      <c r="AM101" s="22"/>
      <c r="AO101" s="22" t="s">
        <v>286</v>
      </c>
      <c r="AP101" s="23" t="s">
        <v>291</v>
      </c>
      <c r="AQ101" s="22" t="s">
        <v>113</v>
      </c>
      <c r="AR101" s="51" t="str">
        <f t="shared" si="92"/>
        <v>JD8G-12A532-CA</v>
      </c>
      <c r="AS101" s="3"/>
      <c r="AT101" s="22">
        <v>1</v>
      </c>
      <c r="AU101" s="22">
        <v>0</v>
      </c>
      <c r="AV101" s="22">
        <v>1</v>
      </c>
      <c r="AW101" s="22">
        <v>0</v>
      </c>
      <c r="AX101" s="22">
        <v>0</v>
      </c>
      <c r="AY101" s="22">
        <v>0</v>
      </c>
      <c r="AZ101" s="22">
        <v>0</v>
      </c>
      <c r="BA101" s="22">
        <v>0</v>
      </c>
      <c r="BB101" s="2">
        <f t="shared" si="93"/>
        <v>0.28000000000000003</v>
      </c>
      <c r="BD101" s="60">
        <v>-4.16</v>
      </c>
      <c r="BE101" s="60">
        <v>-0.1</v>
      </c>
      <c r="BF101" s="60">
        <v>-0.22</v>
      </c>
      <c r="BG101" s="60">
        <v>0</v>
      </c>
      <c r="BH101" s="60">
        <v>0</v>
      </c>
      <c r="BI101" s="8">
        <f t="shared" si="94"/>
        <v>-4.4799999999999995</v>
      </c>
      <c r="BJ101" s="2" t="s">
        <v>91</v>
      </c>
      <c r="BL101" s="71">
        <v>-195000</v>
      </c>
      <c r="BM101" s="71">
        <v>-195000</v>
      </c>
      <c r="BO101" s="71">
        <v>0</v>
      </c>
      <c r="BP101" s="71">
        <v>0</v>
      </c>
      <c r="BQ101" s="72">
        <v>0</v>
      </c>
      <c r="BS101" s="61">
        <f t="shared" si="76"/>
        <v>0</v>
      </c>
      <c r="BT101" s="61">
        <f t="shared" si="77"/>
        <v>0</v>
      </c>
      <c r="BU101" s="61">
        <f t="shared" si="78"/>
        <v>0</v>
      </c>
      <c r="BV101" s="61">
        <f t="shared" si="78"/>
        <v>0</v>
      </c>
      <c r="BW101" s="61">
        <f t="shared" si="78"/>
        <v>0</v>
      </c>
      <c r="BX101" s="61">
        <f t="shared" si="78"/>
        <v>0</v>
      </c>
      <c r="BY101" s="61" t="s">
        <v>91</v>
      </c>
      <c r="CA101" s="61">
        <f t="shared" si="79"/>
        <v>0</v>
      </c>
      <c r="CB101" s="61">
        <f t="shared" si="79"/>
        <v>0</v>
      </c>
      <c r="CC101" s="61">
        <f t="shared" si="79"/>
        <v>0</v>
      </c>
      <c r="CD101" s="61">
        <f t="shared" si="74"/>
        <v>0</v>
      </c>
      <c r="CE101" s="61">
        <f t="shared" si="74"/>
        <v>0</v>
      </c>
      <c r="CF101" s="61">
        <f t="shared" si="74"/>
        <v>0</v>
      </c>
      <c r="CG101" s="61">
        <f t="shared" si="74"/>
        <v>0</v>
      </c>
      <c r="CH101" s="61">
        <f t="shared" si="36"/>
        <v>0</v>
      </c>
      <c r="CI101" s="61">
        <f t="shared" si="68"/>
        <v>0</v>
      </c>
      <c r="CJ101" s="61"/>
      <c r="CK101" s="61">
        <f t="shared" si="80"/>
        <v>0</v>
      </c>
      <c r="CL101" s="61">
        <f t="shared" si="80"/>
        <v>0</v>
      </c>
      <c r="CM101" s="61">
        <f t="shared" si="80"/>
        <v>0</v>
      </c>
      <c r="CN101" s="61">
        <f t="shared" si="75"/>
        <v>0</v>
      </c>
      <c r="CO101" s="61">
        <f t="shared" si="75"/>
        <v>0</v>
      </c>
      <c r="CP101" s="61">
        <f t="shared" si="75"/>
        <v>0</v>
      </c>
      <c r="CQ101" s="61">
        <f t="shared" si="75"/>
        <v>0</v>
      </c>
      <c r="CR101" s="61">
        <f t="shared" si="37"/>
        <v>0</v>
      </c>
      <c r="CS101" s="61">
        <f t="shared" si="69"/>
        <v>0</v>
      </c>
      <c r="CT101" s="61">
        <f t="shared" si="70"/>
        <v>0</v>
      </c>
      <c r="CV101" s="61">
        <f t="shared" si="71"/>
        <v>0</v>
      </c>
      <c r="CW101" s="61">
        <f t="shared" si="96"/>
        <v>0</v>
      </c>
      <c r="CX101" s="61"/>
      <c r="CY101" s="61">
        <f t="shared" si="97"/>
        <v>0</v>
      </c>
      <c r="CZ101" s="61">
        <f t="shared" si="98"/>
        <v>0</v>
      </c>
      <c r="DA101" s="61">
        <f t="shared" si="98"/>
        <v>0</v>
      </c>
      <c r="DB101" s="2" t="s">
        <v>102</v>
      </c>
      <c r="DC101" s="2" t="s">
        <v>102</v>
      </c>
      <c r="DD101" s="2" t="s">
        <v>142</v>
      </c>
      <c r="DE101" s="2" t="s">
        <v>181</v>
      </c>
      <c r="DF101" s="3" t="s">
        <v>102</v>
      </c>
      <c r="DG101" s="62">
        <v>42801</v>
      </c>
      <c r="EC101" s="60" t="str">
        <f>VLOOKUP($M101,[1]Detail!$M:$BO,1,0)</f>
        <v>JD8G-12A532-CA</v>
      </c>
      <c r="ED101" s="60">
        <f>VLOOKUP($M101,[1]Detail!$M:$BO,22,0)</f>
        <v>-4.4799999999999995</v>
      </c>
      <c r="EE101" s="60">
        <f>VLOOKUP($M101,[1]Detail!$M:$BO,42,0)</f>
        <v>-195000</v>
      </c>
      <c r="EF101" s="60">
        <f>VLOOKUP($M101,[1]Detail!$M:$BO,45,0)</f>
        <v>0</v>
      </c>
      <c r="EH101" s="60">
        <f t="shared" si="99"/>
        <v>0</v>
      </c>
      <c r="EI101" s="60">
        <f t="shared" si="100"/>
        <v>0</v>
      </c>
      <c r="EJ101" s="60">
        <f t="shared" si="101"/>
        <v>0</v>
      </c>
    </row>
    <row r="102" spans="2:140" ht="12.75" hidden="1" customHeight="1">
      <c r="B102" s="23" t="s">
        <v>283</v>
      </c>
      <c r="C102" s="22" t="s">
        <v>284</v>
      </c>
      <c r="D102" s="22" t="s">
        <v>288</v>
      </c>
      <c r="E102" s="2" t="str">
        <f>VLOOKUP($C102,[1]Detail!$C:$AK,6,0)</f>
        <v>PMT4</v>
      </c>
      <c r="F102" s="2" t="str">
        <f>VLOOKUP($C102,[1]Detail!$C:$AK,7,0)</f>
        <v>PF</v>
      </c>
      <c r="G102" s="2" t="str">
        <f>VLOOKUP($C102,[1]Detail!$C:$AK,5,0)</f>
        <v>D</v>
      </c>
      <c r="J102" s="22" t="s">
        <v>286</v>
      </c>
      <c r="K102" s="23" t="s">
        <v>291</v>
      </c>
      <c r="L102" s="22" t="s">
        <v>111</v>
      </c>
      <c r="M102" s="51" t="str">
        <f t="shared" si="86"/>
        <v>JD8G-12A532-BA</v>
      </c>
      <c r="O102" s="22">
        <v>0</v>
      </c>
      <c r="P102" s="22">
        <v>1</v>
      </c>
      <c r="Q102" s="22">
        <v>0</v>
      </c>
      <c r="R102" s="22">
        <v>1</v>
      </c>
      <c r="S102" s="22">
        <v>0</v>
      </c>
      <c r="T102" s="22">
        <v>0</v>
      </c>
      <c r="U102" s="22">
        <v>1</v>
      </c>
      <c r="V102" s="22">
        <v>0</v>
      </c>
      <c r="W102" s="64">
        <f t="shared" si="87"/>
        <v>0.44</v>
      </c>
      <c r="Y102" s="60">
        <v>-4.7</v>
      </c>
      <c r="Z102" s="60">
        <v>-0.1</v>
      </c>
      <c r="AA102" s="60">
        <v>-0.22</v>
      </c>
      <c r="AB102" s="60">
        <v>0</v>
      </c>
      <c r="AC102" s="60">
        <v>0</v>
      </c>
      <c r="AD102" s="8">
        <f t="shared" si="88"/>
        <v>-5.0199999999999996</v>
      </c>
      <c r="AE102" s="2" t="s">
        <v>91</v>
      </c>
      <c r="AG102" s="71">
        <v>-195000</v>
      </c>
      <c r="AH102" s="71">
        <v>-195000</v>
      </c>
      <c r="AI102" s="6"/>
      <c r="AJ102" s="71">
        <v>0</v>
      </c>
      <c r="AK102" s="71">
        <v>0</v>
      </c>
      <c r="AL102" s="72">
        <v>0</v>
      </c>
      <c r="AM102" s="22"/>
      <c r="AO102" s="22" t="s">
        <v>286</v>
      </c>
      <c r="AP102" s="23" t="s">
        <v>291</v>
      </c>
      <c r="AQ102" s="22" t="s">
        <v>111</v>
      </c>
      <c r="AR102" s="51" t="str">
        <f t="shared" si="92"/>
        <v>JD8G-12A532-BA</v>
      </c>
      <c r="AS102" s="3"/>
      <c r="AT102" s="22">
        <v>0</v>
      </c>
      <c r="AU102" s="22">
        <v>1</v>
      </c>
      <c r="AV102" s="22">
        <v>0</v>
      </c>
      <c r="AW102" s="22">
        <v>1</v>
      </c>
      <c r="AX102" s="22">
        <v>0</v>
      </c>
      <c r="AY102" s="22">
        <v>0</v>
      </c>
      <c r="AZ102" s="22">
        <v>1</v>
      </c>
      <c r="BA102" s="22">
        <v>0</v>
      </c>
      <c r="BB102" s="2">
        <f t="shared" si="93"/>
        <v>0.44</v>
      </c>
      <c r="BD102" s="60">
        <v>-4.7</v>
      </c>
      <c r="BE102" s="60">
        <v>-0.1</v>
      </c>
      <c r="BF102" s="60">
        <v>-0.22</v>
      </c>
      <c r="BG102" s="60">
        <v>0</v>
      </c>
      <c r="BH102" s="60">
        <v>0</v>
      </c>
      <c r="BI102" s="8">
        <f t="shared" si="94"/>
        <v>-5.0199999999999996</v>
      </c>
      <c r="BJ102" s="2" t="s">
        <v>91</v>
      </c>
      <c r="BL102" s="71">
        <v>-195000</v>
      </c>
      <c r="BM102" s="71">
        <v>-195000</v>
      </c>
      <c r="BO102" s="71">
        <v>0</v>
      </c>
      <c r="BP102" s="71">
        <v>0</v>
      </c>
      <c r="BQ102" s="72">
        <v>0</v>
      </c>
      <c r="BS102" s="61">
        <f t="shared" si="76"/>
        <v>0</v>
      </c>
      <c r="BT102" s="61">
        <f t="shared" si="77"/>
        <v>0</v>
      </c>
      <c r="BU102" s="61">
        <f t="shared" si="78"/>
        <v>0</v>
      </c>
      <c r="BV102" s="61">
        <f t="shared" si="78"/>
        <v>0</v>
      </c>
      <c r="BW102" s="61">
        <f t="shared" si="78"/>
        <v>0</v>
      </c>
      <c r="BX102" s="61">
        <f t="shared" si="78"/>
        <v>0</v>
      </c>
      <c r="BY102" s="61" t="s">
        <v>91</v>
      </c>
      <c r="CA102" s="61">
        <f t="shared" si="79"/>
        <v>0</v>
      </c>
      <c r="CB102" s="61">
        <f t="shared" si="79"/>
        <v>0</v>
      </c>
      <c r="CC102" s="61">
        <f t="shared" si="79"/>
        <v>0</v>
      </c>
      <c r="CD102" s="61">
        <f t="shared" si="74"/>
        <v>0</v>
      </c>
      <c r="CE102" s="61">
        <f t="shared" si="74"/>
        <v>0</v>
      </c>
      <c r="CF102" s="61">
        <f t="shared" si="74"/>
        <v>0</v>
      </c>
      <c r="CG102" s="61">
        <f t="shared" si="74"/>
        <v>0</v>
      </c>
      <c r="CH102" s="61">
        <f t="shared" si="74"/>
        <v>0</v>
      </c>
      <c r="CI102" s="61">
        <f t="shared" si="68"/>
        <v>0</v>
      </c>
      <c r="CJ102" s="61"/>
      <c r="CK102" s="61">
        <f t="shared" si="80"/>
        <v>0</v>
      </c>
      <c r="CL102" s="61">
        <f t="shared" si="80"/>
        <v>0</v>
      </c>
      <c r="CM102" s="61">
        <f t="shared" si="80"/>
        <v>0</v>
      </c>
      <c r="CN102" s="61">
        <f t="shared" si="75"/>
        <v>0</v>
      </c>
      <c r="CO102" s="61">
        <f t="shared" si="75"/>
        <v>0</v>
      </c>
      <c r="CP102" s="61">
        <f t="shared" si="75"/>
        <v>0</v>
      </c>
      <c r="CQ102" s="61">
        <f t="shared" si="75"/>
        <v>0</v>
      </c>
      <c r="CR102" s="61">
        <f t="shared" si="75"/>
        <v>0</v>
      </c>
      <c r="CS102" s="61">
        <f t="shared" si="69"/>
        <v>0</v>
      </c>
      <c r="CT102" s="61">
        <f t="shared" si="70"/>
        <v>0</v>
      </c>
      <c r="CV102" s="61">
        <f t="shared" si="71"/>
        <v>0</v>
      </c>
      <c r="CW102" s="61">
        <f t="shared" si="96"/>
        <v>0</v>
      </c>
      <c r="CX102" s="61"/>
      <c r="CY102" s="61">
        <f t="shared" si="97"/>
        <v>0</v>
      </c>
      <c r="CZ102" s="61">
        <f t="shared" si="98"/>
        <v>0</v>
      </c>
      <c r="DA102" s="61">
        <f t="shared" si="98"/>
        <v>0</v>
      </c>
      <c r="DB102" s="2" t="s">
        <v>102</v>
      </c>
      <c r="DC102" s="2" t="s">
        <v>102</v>
      </c>
      <c r="DD102" s="2" t="s">
        <v>142</v>
      </c>
      <c r="DE102" s="2" t="s">
        <v>181</v>
      </c>
      <c r="DF102" s="3" t="s">
        <v>102</v>
      </c>
      <c r="DG102" s="62">
        <v>42801</v>
      </c>
      <c r="EC102" s="60" t="str">
        <f>VLOOKUP($M102,[1]Detail!$M:$BO,1,0)</f>
        <v>JD8G-12A532-BA</v>
      </c>
      <c r="ED102" s="60">
        <f>VLOOKUP($M102,[1]Detail!$M:$BO,22,0)</f>
        <v>-5.0199999999999996</v>
      </c>
      <c r="EE102" s="60">
        <f>VLOOKUP($M102,[1]Detail!$M:$BO,42,0)</f>
        <v>-195000</v>
      </c>
      <c r="EF102" s="60">
        <f>VLOOKUP($M102,[1]Detail!$M:$BO,45,0)</f>
        <v>0</v>
      </c>
      <c r="EH102" s="60">
        <f t="shared" si="99"/>
        <v>0</v>
      </c>
      <c r="EI102" s="60">
        <f t="shared" si="100"/>
        <v>0</v>
      </c>
      <c r="EJ102" s="60">
        <f t="shared" si="101"/>
        <v>0</v>
      </c>
    </row>
    <row r="103" spans="2:140" ht="12.75" hidden="1" customHeight="1">
      <c r="B103" s="23" t="s">
        <v>283</v>
      </c>
      <c r="C103" s="22" t="s">
        <v>284</v>
      </c>
      <c r="D103" s="22" t="s">
        <v>288</v>
      </c>
      <c r="E103" s="2" t="str">
        <f>VLOOKUP($C103,[1]Detail!$C:$AK,6,0)</f>
        <v>PMT4</v>
      </c>
      <c r="F103" s="2" t="str">
        <f>VLOOKUP($C103,[1]Detail!$C:$AK,7,0)</f>
        <v>PF</v>
      </c>
      <c r="G103" s="2" t="str">
        <f>VLOOKUP($C103,[1]Detail!$C:$AK,5,0)</f>
        <v>D</v>
      </c>
      <c r="J103" s="22" t="s">
        <v>286</v>
      </c>
      <c r="K103" s="23" t="s">
        <v>291</v>
      </c>
      <c r="L103" s="22" t="s">
        <v>100</v>
      </c>
      <c r="M103" s="51" t="str">
        <f t="shared" si="86"/>
        <v>JD8G-12A532-AA</v>
      </c>
      <c r="O103" s="22">
        <v>0</v>
      </c>
      <c r="P103" s="22">
        <v>0</v>
      </c>
      <c r="Q103" s="22">
        <v>0</v>
      </c>
      <c r="R103" s="22">
        <v>0</v>
      </c>
      <c r="S103" s="22">
        <v>1</v>
      </c>
      <c r="T103" s="22">
        <v>1</v>
      </c>
      <c r="U103" s="22">
        <v>0</v>
      </c>
      <c r="V103" s="22">
        <v>1</v>
      </c>
      <c r="W103" s="64">
        <f t="shared" si="87"/>
        <v>0.28000000000000003</v>
      </c>
      <c r="Y103" s="60">
        <v>-4.68</v>
      </c>
      <c r="Z103" s="60">
        <v>-0.1</v>
      </c>
      <c r="AA103" s="60">
        <v>-0.22</v>
      </c>
      <c r="AB103" s="60">
        <v>0</v>
      </c>
      <c r="AC103" s="60">
        <v>0</v>
      </c>
      <c r="AD103" s="8">
        <f t="shared" si="88"/>
        <v>-4.9999999999999991</v>
      </c>
      <c r="AE103" s="2" t="s">
        <v>91</v>
      </c>
      <c r="AG103" s="71">
        <v>-195000</v>
      </c>
      <c r="AH103" s="71">
        <v>-195000</v>
      </c>
      <c r="AI103" s="6"/>
      <c r="AJ103" s="71">
        <v>0</v>
      </c>
      <c r="AK103" s="71">
        <v>0</v>
      </c>
      <c r="AL103" s="72">
        <v>0</v>
      </c>
      <c r="AM103" s="22"/>
      <c r="AO103" s="22" t="s">
        <v>286</v>
      </c>
      <c r="AP103" s="23" t="s">
        <v>291</v>
      </c>
      <c r="AQ103" s="22" t="s">
        <v>100</v>
      </c>
      <c r="AR103" s="51" t="str">
        <f t="shared" si="92"/>
        <v>JD8G-12A532-AA</v>
      </c>
      <c r="AS103" s="3"/>
      <c r="AT103" s="22">
        <v>0</v>
      </c>
      <c r="AU103" s="22">
        <v>0</v>
      </c>
      <c r="AV103" s="22">
        <v>0</v>
      </c>
      <c r="AW103" s="22">
        <v>0</v>
      </c>
      <c r="AX103" s="22">
        <v>1</v>
      </c>
      <c r="AY103" s="22">
        <v>1</v>
      </c>
      <c r="AZ103" s="22">
        <v>0</v>
      </c>
      <c r="BA103" s="22">
        <v>1</v>
      </c>
      <c r="BB103" s="2">
        <f t="shared" si="93"/>
        <v>0.28000000000000003</v>
      </c>
      <c r="BD103" s="60">
        <v>-4.68</v>
      </c>
      <c r="BE103" s="60">
        <v>-0.1</v>
      </c>
      <c r="BF103" s="60">
        <v>-0.22</v>
      </c>
      <c r="BG103" s="60">
        <v>0</v>
      </c>
      <c r="BH103" s="60">
        <v>0</v>
      </c>
      <c r="BI103" s="8">
        <f t="shared" si="94"/>
        <v>-4.9999999999999991</v>
      </c>
      <c r="BJ103" s="2" t="s">
        <v>91</v>
      </c>
      <c r="BL103" s="71">
        <v>-195000</v>
      </c>
      <c r="BM103" s="71">
        <v>-195000</v>
      </c>
      <c r="BO103" s="71">
        <v>0</v>
      </c>
      <c r="BP103" s="71">
        <v>0</v>
      </c>
      <c r="BQ103" s="72">
        <v>0</v>
      </c>
      <c r="BS103" s="61">
        <f t="shared" si="76"/>
        <v>0</v>
      </c>
      <c r="BT103" s="61">
        <f t="shared" si="77"/>
        <v>0</v>
      </c>
      <c r="BU103" s="61">
        <f t="shared" si="78"/>
        <v>0</v>
      </c>
      <c r="BV103" s="61">
        <f t="shared" si="78"/>
        <v>0</v>
      </c>
      <c r="BW103" s="61">
        <f t="shared" si="78"/>
        <v>0</v>
      </c>
      <c r="BX103" s="61">
        <f t="shared" si="78"/>
        <v>0</v>
      </c>
      <c r="BY103" s="61" t="s">
        <v>91</v>
      </c>
      <c r="CA103" s="61">
        <f t="shared" si="79"/>
        <v>0</v>
      </c>
      <c r="CB103" s="61">
        <f t="shared" si="79"/>
        <v>0</v>
      </c>
      <c r="CC103" s="61">
        <f t="shared" si="79"/>
        <v>0</v>
      </c>
      <c r="CD103" s="61">
        <f t="shared" si="74"/>
        <v>0</v>
      </c>
      <c r="CE103" s="61">
        <f t="shared" si="74"/>
        <v>0</v>
      </c>
      <c r="CF103" s="61">
        <f t="shared" si="74"/>
        <v>0</v>
      </c>
      <c r="CG103" s="61">
        <f t="shared" si="74"/>
        <v>0</v>
      </c>
      <c r="CH103" s="61">
        <f t="shared" si="74"/>
        <v>0</v>
      </c>
      <c r="CI103" s="61">
        <f t="shared" si="68"/>
        <v>0</v>
      </c>
      <c r="CJ103" s="61"/>
      <c r="CK103" s="61">
        <f t="shared" si="80"/>
        <v>0</v>
      </c>
      <c r="CL103" s="61">
        <f t="shared" si="80"/>
        <v>0</v>
      </c>
      <c r="CM103" s="61">
        <f t="shared" si="80"/>
        <v>0</v>
      </c>
      <c r="CN103" s="61">
        <f t="shared" si="75"/>
        <v>0</v>
      </c>
      <c r="CO103" s="61">
        <f t="shared" si="75"/>
        <v>0</v>
      </c>
      <c r="CP103" s="61">
        <f t="shared" si="75"/>
        <v>0</v>
      </c>
      <c r="CQ103" s="61">
        <f t="shared" si="75"/>
        <v>0</v>
      </c>
      <c r="CR103" s="61">
        <f t="shared" si="75"/>
        <v>0</v>
      </c>
      <c r="CS103" s="61">
        <f t="shared" si="69"/>
        <v>0</v>
      </c>
      <c r="CT103" s="61">
        <f t="shared" si="70"/>
        <v>0</v>
      </c>
      <c r="CV103" s="61">
        <f t="shared" si="71"/>
        <v>0</v>
      </c>
      <c r="CW103" s="61">
        <f t="shared" si="96"/>
        <v>0</v>
      </c>
      <c r="CX103" s="61"/>
      <c r="CY103" s="61">
        <f t="shared" si="97"/>
        <v>0</v>
      </c>
      <c r="CZ103" s="61">
        <f t="shared" si="98"/>
        <v>0</v>
      </c>
      <c r="DA103" s="61">
        <f t="shared" si="98"/>
        <v>0</v>
      </c>
      <c r="DB103" s="2" t="s">
        <v>102</v>
      </c>
      <c r="DC103" s="2" t="s">
        <v>102</v>
      </c>
      <c r="DD103" s="2" t="s">
        <v>142</v>
      </c>
      <c r="DE103" s="2" t="s">
        <v>181</v>
      </c>
      <c r="DF103" s="3" t="s">
        <v>102</v>
      </c>
      <c r="DG103" s="62">
        <v>42801</v>
      </c>
      <c r="EC103" s="60" t="str">
        <f>VLOOKUP($M103,[1]Detail!$M:$BO,1,0)</f>
        <v>JD8G-12A532-AA</v>
      </c>
      <c r="ED103" s="60">
        <f>VLOOKUP($M103,[1]Detail!$M:$BO,22,0)</f>
        <v>-4.9999999999999991</v>
      </c>
      <c r="EE103" s="60">
        <f>VLOOKUP($M103,[1]Detail!$M:$BO,42,0)</f>
        <v>-195000</v>
      </c>
      <c r="EF103" s="60">
        <f>VLOOKUP($M103,[1]Detail!$M:$BO,45,0)</f>
        <v>0</v>
      </c>
      <c r="EH103" s="60">
        <f t="shared" si="99"/>
        <v>0</v>
      </c>
      <c r="EI103" s="60">
        <f t="shared" si="100"/>
        <v>0</v>
      </c>
      <c r="EJ103" s="60">
        <f t="shared" si="101"/>
        <v>0</v>
      </c>
    </row>
    <row r="104" spans="2:140" ht="12.75" hidden="1" customHeight="1">
      <c r="B104" s="23" t="s">
        <v>292</v>
      </c>
      <c r="C104" s="22" t="s">
        <v>293</v>
      </c>
      <c r="D104" s="22" t="s">
        <v>294</v>
      </c>
      <c r="E104" s="2" t="str">
        <f>VLOOKUP($C104,[1]Detail!$C:$AK,6,0)</f>
        <v>PMT4</v>
      </c>
      <c r="F104" s="2" t="str">
        <f>VLOOKUP($C104,[1]Detail!$C:$AK,7,0)</f>
        <v>PF</v>
      </c>
      <c r="G104" s="2" t="str">
        <f>VLOOKUP($C104,[1]Detail!$C:$AK,5,0)</f>
        <v>B</v>
      </c>
      <c r="J104" s="22" t="s">
        <v>295</v>
      </c>
      <c r="K104" s="23" t="s">
        <v>296</v>
      </c>
      <c r="L104" s="22" t="s">
        <v>132</v>
      </c>
      <c r="M104" s="51" t="str">
        <f t="shared" si="86"/>
        <v>JD8P-7869-AB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1</v>
      </c>
      <c r="U104" s="22">
        <v>0</v>
      </c>
      <c r="V104" s="22">
        <v>1</v>
      </c>
      <c r="W104" s="64">
        <f t="shared" si="87"/>
        <v>0.19</v>
      </c>
      <c r="Y104" s="60">
        <v>-114.71</v>
      </c>
      <c r="Z104" s="60">
        <v>-4.3499999999999996</v>
      </c>
      <c r="AA104" s="60">
        <v>-3.27</v>
      </c>
      <c r="AB104" s="60">
        <v>0</v>
      </c>
      <c r="AC104" s="60">
        <v>0</v>
      </c>
      <c r="AD104" s="8">
        <f t="shared" si="88"/>
        <v>-122.32999999999998</v>
      </c>
      <c r="AE104" s="2" t="s">
        <v>91</v>
      </c>
      <c r="AG104" s="71">
        <v>-757300</v>
      </c>
      <c r="AH104" s="71">
        <f>AG104</f>
        <v>-757300</v>
      </c>
      <c r="AI104" s="6"/>
      <c r="AJ104" s="71">
        <v>0</v>
      </c>
      <c r="AK104" s="71">
        <v>0</v>
      </c>
      <c r="AL104" s="72">
        <v>0</v>
      </c>
      <c r="AM104" s="22"/>
      <c r="AO104" s="22" t="s">
        <v>295</v>
      </c>
      <c r="AP104" s="23" t="s">
        <v>296</v>
      </c>
      <c r="AQ104" s="22" t="s">
        <v>100</v>
      </c>
      <c r="AR104" s="51" t="str">
        <f t="shared" si="92"/>
        <v>JD8P-7869-AA</v>
      </c>
      <c r="AS104" s="3"/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1</v>
      </c>
      <c r="AZ104" s="22">
        <v>0</v>
      </c>
      <c r="BA104" s="22">
        <v>1</v>
      </c>
      <c r="BB104" s="2">
        <f t="shared" si="93"/>
        <v>0.19</v>
      </c>
      <c r="BD104" s="60">
        <v>-114.71</v>
      </c>
      <c r="BE104" s="60">
        <v>-4.3499999999999996</v>
      </c>
      <c r="BF104" s="60">
        <v>-3.27</v>
      </c>
      <c r="BG104" s="60">
        <v>0</v>
      </c>
      <c r="BH104" s="60">
        <v>0</v>
      </c>
      <c r="BI104" s="8">
        <f t="shared" si="94"/>
        <v>-122.32999999999998</v>
      </c>
      <c r="BJ104" s="2" t="s">
        <v>91</v>
      </c>
      <c r="BL104" s="71">
        <v>-757300</v>
      </c>
      <c r="BM104" s="71">
        <f>BL104</f>
        <v>-757300</v>
      </c>
      <c r="BO104" s="71">
        <v>0</v>
      </c>
      <c r="BP104" s="71">
        <v>0</v>
      </c>
      <c r="BQ104" s="72">
        <v>0</v>
      </c>
      <c r="BS104" s="61">
        <f t="shared" si="76"/>
        <v>0</v>
      </c>
      <c r="BT104" s="61">
        <f t="shared" si="77"/>
        <v>0</v>
      </c>
      <c r="BU104" s="61">
        <f t="shared" si="78"/>
        <v>0</v>
      </c>
      <c r="BV104" s="61">
        <f t="shared" si="78"/>
        <v>0</v>
      </c>
      <c r="BW104" s="61">
        <f t="shared" si="78"/>
        <v>0</v>
      </c>
      <c r="BX104" s="61">
        <f t="shared" si="78"/>
        <v>0</v>
      </c>
      <c r="BY104" s="61" t="s">
        <v>91</v>
      </c>
      <c r="CA104" s="61">
        <f t="shared" si="79"/>
        <v>0</v>
      </c>
      <c r="CB104" s="61">
        <f t="shared" si="79"/>
        <v>0</v>
      </c>
      <c r="CC104" s="61">
        <f t="shared" si="79"/>
        <v>0</v>
      </c>
      <c r="CD104" s="61">
        <f t="shared" si="74"/>
        <v>0</v>
      </c>
      <c r="CE104" s="61">
        <f t="shared" si="74"/>
        <v>0</v>
      </c>
      <c r="CF104" s="61">
        <f t="shared" si="74"/>
        <v>0</v>
      </c>
      <c r="CG104" s="61">
        <f t="shared" si="74"/>
        <v>0</v>
      </c>
      <c r="CH104" s="61">
        <f t="shared" si="74"/>
        <v>0</v>
      </c>
      <c r="CI104" s="61">
        <f t="shared" si="68"/>
        <v>0</v>
      </c>
      <c r="CJ104" s="61"/>
      <c r="CK104" s="61">
        <f t="shared" si="80"/>
        <v>0</v>
      </c>
      <c r="CL104" s="61">
        <f t="shared" si="80"/>
        <v>0</v>
      </c>
      <c r="CM104" s="61">
        <f t="shared" si="80"/>
        <v>0</v>
      </c>
      <c r="CN104" s="61">
        <f t="shared" si="75"/>
        <v>0</v>
      </c>
      <c r="CO104" s="61">
        <f t="shared" si="75"/>
        <v>0</v>
      </c>
      <c r="CP104" s="61">
        <f t="shared" si="75"/>
        <v>0</v>
      </c>
      <c r="CQ104" s="61">
        <f t="shared" si="75"/>
        <v>0</v>
      </c>
      <c r="CR104" s="61">
        <f t="shared" si="75"/>
        <v>0</v>
      </c>
      <c r="CS104" s="61">
        <f t="shared" si="69"/>
        <v>0</v>
      </c>
      <c r="CT104" s="61">
        <f t="shared" si="70"/>
        <v>0</v>
      </c>
      <c r="CV104" s="61">
        <f t="shared" si="71"/>
        <v>0</v>
      </c>
      <c r="CW104" s="61">
        <f t="shared" si="96"/>
        <v>0</v>
      </c>
      <c r="CX104" s="61"/>
      <c r="CY104" s="61">
        <f t="shared" si="97"/>
        <v>0</v>
      </c>
      <c r="CZ104" s="61">
        <f t="shared" si="98"/>
        <v>0</v>
      </c>
      <c r="DA104" s="61">
        <f t="shared" si="98"/>
        <v>0</v>
      </c>
      <c r="DB104" s="2" t="s">
        <v>102</v>
      </c>
      <c r="DC104" s="2" t="s">
        <v>102</v>
      </c>
      <c r="DD104" s="2" t="s">
        <v>142</v>
      </c>
      <c r="DE104" s="2" t="s">
        <v>181</v>
      </c>
      <c r="DF104" s="3" t="s">
        <v>102</v>
      </c>
      <c r="DG104" s="62">
        <v>42801</v>
      </c>
      <c r="EC104" s="60" t="str">
        <f>VLOOKUP($M104,[1]Detail!$M:$BO,1,0)</f>
        <v>JD8P-7869-AB</v>
      </c>
      <c r="ED104" s="60">
        <f>VLOOKUP($M104,[1]Detail!$M:$BO,22,0)</f>
        <v>-122.32999999999998</v>
      </c>
      <c r="EE104" s="60">
        <f>VLOOKUP($M104,[1]Detail!$M:$BO,42,0)</f>
        <v>-757300</v>
      </c>
      <c r="EF104" s="60">
        <f>VLOOKUP($M104,[1]Detail!$M:$BO,45,0)</f>
        <v>0</v>
      </c>
      <c r="EH104" s="60">
        <f t="shared" si="99"/>
        <v>0</v>
      </c>
      <c r="EI104" s="60">
        <f t="shared" si="100"/>
        <v>0</v>
      </c>
      <c r="EJ104" s="60">
        <f t="shared" si="101"/>
        <v>0</v>
      </c>
    </row>
    <row r="105" spans="2:140" ht="12.75" hidden="1" customHeight="1">
      <c r="B105" s="23" t="s">
        <v>297</v>
      </c>
      <c r="C105" s="22" t="s">
        <v>293</v>
      </c>
      <c r="D105" s="22" t="s">
        <v>298</v>
      </c>
      <c r="E105" s="2" t="str">
        <f>VLOOKUP($C105,[1]Detail!$C:$AK,6,0)</f>
        <v>PMT4</v>
      </c>
      <c r="F105" s="2" t="str">
        <f>VLOOKUP($C105,[1]Detail!$C:$AK,7,0)</f>
        <v>PF</v>
      </c>
      <c r="G105" s="2" t="str">
        <f>VLOOKUP($C105,[1]Detail!$C:$AK,5,0)</f>
        <v>B</v>
      </c>
      <c r="J105" s="22" t="s">
        <v>299</v>
      </c>
      <c r="K105" s="23" t="s">
        <v>296</v>
      </c>
      <c r="L105" s="22" t="s">
        <v>234</v>
      </c>
      <c r="M105" s="51" t="str">
        <f t="shared" si="86"/>
        <v>F1FP-7869-AC</v>
      </c>
      <c r="O105" s="22">
        <v>0</v>
      </c>
      <c r="P105" s="22">
        <v>1</v>
      </c>
      <c r="Q105" s="22">
        <v>0</v>
      </c>
      <c r="R105" s="22">
        <v>1</v>
      </c>
      <c r="S105" s="22">
        <v>0</v>
      </c>
      <c r="T105" s="22">
        <v>0</v>
      </c>
      <c r="U105" s="22">
        <v>1</v>
      </c>
      <c r="V105" s="22">
        <v>0</v>
      </c>
      <c r="W105" s="64">
        <f t="shared" si="87"/>
        <v>0.44</v>
      </c>
      <c r="Y105" s="60">
        <v>-116.93</v>
      </c>
      <c r="Z105" s="60">
        <v>-4.3499999999999996</v>
      </c>
      <c r="AA105" s="60">
        <v>-3.27</v>
      </c>
      <c r="AB105" s="60">
        <v>0</v>
      </c>
      <c r="AC105" s="60">
        <v>0</v>
      </c>
      <c r="AD105" s="8">
        <f t="shared" si="88"/>
        <v>-124.55</v>
      </c>
      <c r="AE105" s="2" t="s">
        <v>91</v>
      </c>
      <c r="AG105" s="71">
        <v>0</v>
      </c>
      <c r="AH105" s="71">
        <v>0</v>
      </c>
      <c r="AJ105" s="71">
        <v>0</v>
      </c>
      <c r="AK105" s="71">
        <v>0</v>
      </c>
      <c r="AL105" s="72">
        <v>0</v>
      </c>
      <c r="AM105" s="22"/>
      <c r="AO105" s="22" t="s">
        <v>299</v>
      </c>
      <c r="AP105" s="23" t="s">
        <v>296</v>
      </c>
      <c r="AQ105" s="22" t="s">
        <v>234</v>
      </c>
      <c r="AR105" s="51" t="str">
        <f t="shared" si="92"/>
        <v>F1FP-7869-AC</v>
      </c>
      <c r="AS105" s="3"/>
      <c r="AT105" s="22">
        <v>0</v>
      </c>
      <c r="AU105" s="22">
        <v>1</v>
      </c>
      <c r="AV105" s="22">
        <v>0</v>
      </c>
      <c r="AW105" s="22">
        <v>1</v>
      </c>
      <c r="AX105" s="22">
        <v>0</v>
      </c>
      <c r="AY105" s="22">
        <v>0</v>
      </c>
      <c r="AZ105" s="22">
        <v>1</v>
      </c>
      <c r="BA105" s="22">
        <v>0</v>
      </c>
      <c r="BB105" s="2">
        <f t="shared" si="93"/>
        <v>0.44</v>
      </c>
      <c r="BD105" s="60">
        <v>-116.93</v>
      </c>
      <c r="BE105" s="60">
        <v>-4.3499999999999996</v>
      </c>
      <c r="BF105" s="60">
        <v>-3.27</v>
      </c>
      <c r="BG105" s="60">
        <v>0</v>
      </c>
      <c r="BH105" s="60">
        <v>0</v>
      </c>
      <c r="BI105" s="8">
        <f t="shared" si="94"/>
        <v>-124.55</v>
      </c>
      <c r="BJ105" s="2" t="s">
        <v>91</v>
      </c>
      <c r="BL105" s="71">
        <v>0</v>
      </c>
      <c r="BM105" s="71">
        <v>0</v>
      </c>
      <c r="BO105" s="71">
        <v>0</v>
      </c>
      <c r="BP105" s="71">
        <v>0</v>
      </c>
      <c r="BQ105" s="72">
        <v>0</v>
      </c>
      <c r="BS105" s="61">
        <f t="shared" si="76"/>
        <v>0</v>
      </c>
      <c r="BT105" s="61">
        <f t="shared" si="77"/>
        <v>0</v>
      </c>
      <c r="BU105" s="61">
        <f t="shared" si="78"/>
        <v>0</v>
      </c>
      <c r="BV105" s="61">
        <f t="shared" si="78"/>
        <v>0</v>
      </c>
      <c r="BW105" s="61">
        <f t="shared" si="78"/>
        <v>0</v>
      </c>
      <c r="BX105" s="61">
        <f t="shared" si="78"/>
        <v>0</v>
      </c>
      <c r="BY105" s="61" t="s">
        <v>91</v>
      </c>
      <c r="CA105" s="61">
        <f t="shared" si="79"/>
        <v>0</v>
      </c>
      <c r="CB105" s="61">
        <f t="shared" si="79"/>
        <v>0</v>
      </c>
      <c r="CC105" s="61">
        <f t="shared" si="79"/>
        <v>0</v>
      </c>
      <c r="CD105" s="61">
        <f t="shared" si="74"/>
        <v>0</v>
      </c>
      <c r="CE105" s="61">
        <f t="shared" si="74"/>
        <v>0</v>
      </c>
      <c r="CF105" s="61">
        <f t="shared" si="74"/>
        <v>0</v>
      </c>
      <c r="CG105" s="61">
        <f t="shared" si="74"/>
        <v>0</v>
      </c>
      <c r="CH105" s="61">
        <f t="shared" si="74"/>
        <v>0</v>
      </c>
      <c r="CI105" s="61">
        <f t="shared" si="68"/>
        <v>0</v>
      </c>
      <c r="CJ105" s="61"/>
      <c r="CK105" s="61">
        <f t="shared" si="80"/>
        <v>0</v>
      </c>
      <c r="CL105" s="61">
        <f t="shared" si="80"/>
        <v>0</v>
      </c>
      <c r="CM105" s="61">
        <f t="shared" si="80"/>
        <v>0</v>
      </c>
      <c r="CN105" s="61">
        <f t="shared" si="75"/>
        <v>0</v>
      </c>
      <c r="CO105" s="61">
        <f t="shared" si="75"/>
        <v>0</v>
      </c>
      <c r="CP105" s="61">
        <f t="shared" si="75"/>
        <v>0</v>
      </c>
      <c r="CQ105" s="61">
        <f t="shared" si="75"/>
        <v>0</v>
      </c>
      <c r="CR105" s="61">
        <f t="shared" si="75"/>
        <v>0</v>
      </c>
      <c r="CS105" s="61">
        <f t="shared" si="69"/>
        <v>0</v>
      </c>
      <c r="CT105" s="61">
        <f t="shared" si="70"/>
        <v>0</v>
      </c>
      <c r="CV105" s="61">
        <f t="shared" si="71"/>
        <v>0</v>
      </c>
      <c r="CW105" s="61">
        <f t="shared" si="96"/>
        <v>0</v>
      </c>
      <c r="CX105" s="61"/>
      <c r="CY105" s="61">
        <f t="shared" si="97"/>
        <v>0</v>
      </c>
      <c r="CZ105" s="61">
        <f t="shared" si="98"/>
        <v>0</v>
      </c>
      <c r="DA105" s="61">
        <f t="shared" si="98"/>
        <v>0</v>
      </c>
      <c r="DB105" s="2" t="s">
        <v>102</v>
      </c>
      <c r="DC105" s="2" t="s">
        <v>102</v>
      </c>
      <c r="DD105" s="2" t="s">
        <v>142</v>
      </c>
      <c r="DE105" s="2" t="s">
        <v>181</v>
      </c>
      <c r="DF105" s="3" t="s">
        <v>102</v>
      </c>
      <c r="DG105" s="62">
        <v>42801</v>
      </c>
      <c r="EC105" s="60" t="str">
        <f>VLOOKUP($M105,[1]Detail!$M:$BO,1,0)</f>
        <v>F1FP-7869-AC</v>
      </c>
      <c r="ED105" s="60">
        <f>VLOOKUP($M105,[1]Detail!$M:$BO,22,0)</f>
        <v>-124.55</v>
      </c>
      <c r="EE105" s="60">
        <f>VLOOKUP($M105,[1]Detail!$M:$BO,42,0)</f>
        <v>0</v>
      </c>
      <c r="EF105" s="60">
        <f>VLOOKUP($M105,[1]Detail!$M:$BO,45,0)</f>
        <v>0</v>
      </c>
      <c r="EH105" s="60">
        <f t="shared" si="99"/>
        <v>0</v>
      </c>
      <c r="EI105" s="60">
        <f t="shared" si="100"/>
        <v>0</v>
      </c>
      <c r="EJ105" s="60">
        <f t="shared" si="101"/>
        <v>0</v>
      </c>
    </row>
    <row r="106" spans="2:140" ht="12.75" hidden="1" customHeight="1">
      <c r="B106" s="23" t="s">
        <v>300</v>
      </c>
      <c r="C106" s="22" t="s">
        <v>301</v>
      </c>
      <c r="D106" s="22" t="s">
        <v>302</v>
      </c>
      <c r="E106" s="2" t="str">
        <f>VLOOKUP($C106,[1]Detail!$C:$AK,6,0)</f>
        <v>PMT4</v>
      </c>
      <c r="F106" s="2" t="str">
        <f>VLOOKUP($C106,[1]Detail!$C:$AK,7,0)</f>
        <v>PF</v>
      </c>
      <c r="G106" s="2" t="str">
        <f>VLOOKUP($C106,[1]Detail!$C:$AK,5,0)</f>
        <v>B</v>
      </c>
      <c r="J106" s="22" t="s">
        <v>303</v>
      </c>
      <c r="K106" s="23" t="s">
        <v>304</v>
      </c>
      <c r="L106" s="22" t="s">
        <v>305</v>
      </c>
      <c r="M106" s="51" t="str">
        <f t="shared" si="86"/>
        <v>KV61-6K775-FB</v>
      </c>
      <c r="O106" s="22">
        <v>0</v>
      </c>
      <c r="P106" s="22">
        <v>0</v>
      </c>
      <c r="Q106" s="22">
        <v>0</v>
      </c>
      <c r="R106" s="22">
        <v>0</v>
      </c>
      <c r="S106" s="22">
        <v>1</v>
      </c>
      <c r="T106" s="22">
        <v>1</v>
      </c>
      <c r="U106" s="22">
        <v>0</v>
      </c>
      <c r="V106" s="22">
        <v>1</v>
      </c>
      <c r="W106" s="64">
        <f t="shared" si="87"/>
        <v>0.28000000000000003</v>
      </c>
      <c r="Y106" s="60">
        <v>-139.94999999999999</v>
      </c>
      <c r="Z106" s="60">
        <v>-6.25</v>
      </c>
      <c r="AA106" s="60">
        <v>-4</v>
      </c>
      <c r="AB106" s="60">
        <v>0</v>
      </c>
      <c r="AC106" s="60">
        <v>0</v>
      </c>
      <c r="AD106" s="8">
        <f t="shared" si="88"/>
        <v>-150.19999999999999</v>
      </c>
      <c r="AE106" s="2" t="s">
        <v>91</v>
      </c>
      <c r="AG106" s="71">
        <v>-2124100</v>
      </c>
      <c r="AH106" s="71">
        <f>AG106</f>
        <v>-2124100</v>
      </c>
      <c r="AI106" s="6"/>
      <c r="AJ106" s="71">
        <v>0</v>
      </c>
      <c r="AK106" s="71">
        <v>0</v>
      </c>
      <c r="AL106" s="72">
        <v>0</v>
      </c>
      <c r="AM106" s="22"/>
      <c r="AO106" s="22" t="s">
        <v>303</v>
      </c>
      <c r="AP106" s="23" t="s">
        <v>304</v>
      </c>
      <c r="AQ106" s="22" t="s">
        <v>306</v>
      </c>
      <c r="AR106" s="51" t="str">
        <f t="shared" si="92"/>
        <v>KV61-6K775-FA</v>
      </c>
      <c r="AS106" s="3"/>
      <c r="AT106" s="22">
        <v>0</v>
      </c>
      <c r="AU106" s="22">
        <v>0</v>
      </c>
      <c r="AV106" s="22">
        <v>0</v>
      </c>
      <c r="AW106" s="22">
        <v>0</v>
      </c>
      <c r="AX106" s="22">
        <v>1</v>
      </c>
      <c r="AY106" s="22">
        <v>1</v>
      </c>
      <c r="AZ106" s="22">
        <v>0</v>
      </c>
      <c r="BA106" s="22">
        <v>1</v>
      </c>
      <c r="BB106" s="2">
        <f t="shared" si="93"/>
        <v>0.28000000000000003</v>
      </c>
      <c r="BD106" s="60">
        <v>-139.94999999999999</v>
      </c>
      <c r="BE106" s="60">
        <v>-6.25</v>
      </c>
      <c r="BF106" s="60">
        <v>-4</v>
      </c>
      <c r="BG106" s="60">
        <v>0</v>
      </c>
      <c r="BH106" s="60">
        <v>0</v>
      </c>
      <c r="BI106" s="8">
        <f t="shared" si="94"/>
        <v>-150.19999999999999</v>
      </c>
      <c r="BJ106" s="2" t="s">
        <v>91</v>
      </c>
      <c r="BL106" s="71">
        <v>-2124100</v>
      </c>
      <c r="BM106" s="71">
        <f>BL106</f>
        <v>-2124100</v>
      </c>
      <c r="BO106" s="71">
        <v>0</v>
      </c>
      <c r="BP106" s="71">
        <v>0</v>
      </c>
      <c r="BQ106" s="72">
        <v>0</v>
      </c>
      <c r="BS106" s="61">
        <f t="shared" si="76"/>
        <v>0</v>
      </c>
      <c r="BT106" s="61">
        <f t="shared" si="77"/>
        <v>0</v>
      </c>
      <c r="BU106" s="61">
        <f t="shared" si="78"/>
        <v>0</v>
      </c>
      <c r="BV106" s="61">
        <f t="shared" si="78"/>
        <v>0</v>
      </c>
      <c r="BW106" s="61">
        <f t="shared" si="78"/>
        <v>0</v>
      </c>
      <c r="BX106" s="61">
        <f t="shared" si="78"/>
        <v>0</v>
      </c>
      <c r="BY106" s="61" t="s">
        <v>91</v>
      </c>
      <c r="CA106" s="61">
        <f t="shared" si="79"/>
        <v>0</v>
      </c>
      <c r="CB106" s="61">
        <f t="shared" si="79"/>
        <v>0</v>
      </c>
      <c r="CC106" s="61">
        <f t="shared" si="79"/>
        <v>0</v>
      </c>
      <c r="CD106" s="61">
        <f t="shared" si="74"/>
        <v>0</v>
      </c>
      <c r="CE106" s="61">
        <f t="shared" si="74"/>
        <v>0</v>
      </c>
      <c r="CF106" s="61">
        <f t="shared" si="74"/>
        <v>0</v>
      </c>
      <c r="CG106" s="61">
        <f t="shared" si="74"/>
        <v>0</v>
      </c>
      <c r="CH106" s="61">
        <f t="shared" si="74"/>
        <v>0</v>
      </c>
      <c r="CI106" s="61">
        <f t="shared" si="68"/>
        <v>0</v>
      </c>
      <c r="CJ106" s="61"/>
      <c r="CK106" s="61">
        <f t="shared" si="80"/>
        <v>0</v>
      </c>
      <c r="CL106" s="61">
        <f t="shared" si="80"/>
        <v>0</v>
      </c>
      <c r="CM106" s="61">
        <f t="shared" si="80"/>
        <v>0</v>
      </c>
      <c r="CN106" s="61">
        <f t="shared" si="75"/>
        <v>0</v>
      </c>
      <c r="CO106" s="61">
        <f t="shared" si="75"/>
        <v>0</v>
      </c>
      <c r="CP106" s="61">
        <f t="shared" si="75"/>
        <v>0</v>
      </c>
      <c r="CQ106" s="61">
        <f t="shared" si="75"/>
        <v>0</v>
      </c>
      <c r="CR106" s="61">
        <f t="shared" si="75"/>
        <v>0</v>
      </c>
      <c r="CS106" s="61">
        <f t="shared" si="69"/>
        <v>0</v>
      </c>
      <c r="CT106" s="61">
        <f t="shared" si="70"/>
        <v>0</v>
      </c>
      <c r="CV106" s="61">
        <f t="shared" si="71"/>
        <v>0</v>
      </c>
      <c r="CW106" s="61">
        <f t="shared" si="96"/>
        <v>0</v>
      </c>
      <c r="CX106" s="61"/>
      <c r="CY106" s="61">
        <f t="shared" si="97"/>
        <v>0</v>
      </c>
      <c r="CZ106" s="61">
        <f t="shared" si="98"/>
        <v>0</v>
      </c>
      <c r="DA106" s="61">
        <f t="shared" si="98"/>
        <v>0</v>
      </c>
      <c r="DB106" s="2" t="s">
        <v>102</v>
      </c>
      <c r="DC106" s="2" t="s">
        <v>102</v>
      </c>
      <c r="DD106" s="2" t="s">
        <v>142</v>
      </c>
      <c r="DE106" s="2" t="s">
        <v>181</v>
      </c>
      <c r="DF106" s="3" t="s">
        <v>102</v>
      </c>
      <c r="DG106" s="62">
        <v>42801</v>
      </c>
      <c r="EC106" s="60" t="str">
        <f>VLOOKUP($M106,[1]Detail!$M:$BO,1,0)</f>
        <v>KV61-6K775-FB</v>
      </c>
      <c r="ED106" s="60">
        <f>VLOOKUP($M106,[1]Detail!$M:$BO,22,0)</f>
        <v>-150.19999999999999</v>
      </c>
      <c r="EE106" s="60">
        <f>VLOOKUP($M106,[1]Detail!$M:$BO,42,0)</f>
        <v>-2124100</v>
      </c>
      <c r="EF106" s="60">
        <f>VLOOKUP($M106,[1]Detail!$M:$BO,45,0)</f>
        <v>0</v>
      </c>
      <c r="EH106" s="60">
        <f t="shared" si="99"/>
        <v>0</v>
      </c>
      <c r="EI106" s="60">
        <f t="shared" si="100"/>
        <v>0</v>
      </c>
      <c r="EJ106" s="60">
        <f t="shared" si="101"/>
        <v>0</v>
      </c>
    </row>
    <row r="107" spans="2:140" ht="12.75" hidden="1" customHeight="1">
      <c r="B107" s="23" t="s">
        <v>307</v>
      </c>
      <c r="C107" s="22" t="s">
        <v>308</v>
      </c>
      <c r="D107" s="22" t="s">
        <v>309</v>
      </c>
      <c r="E107" s="2" t="str">
        <f>VLOOKUP($C107,[1]Detail!$C:$AK,6,0)</f>
        <v>BIW</v>
      </c>
      <c r="F107" s="2" t="str">
        <f>VLOOKUP($C107,[1]Detail!$C:$AK,7,0)</f>
        <v>PF</v>
      </c>
      <c r="G107" s="2" t="str">
        <f>VLOOKUP($C107,[1]Detail!$C:$AK,5,0)</f>
        <v>B</v>
      </c>
      <c r="J107" s="22" t="s">
        <v>126</v>
      </c>
      <c r="K107" s="23" t="s">
        <v>310</v>
      </c>
      <c r="L107" s="22" t="s">
        <v>100</v>
      </c>
      <c r="M107" s="51" t="str">
        <f t="shared" si="86"/>
        <v>JD8B-F422C30-AA</v>
      </c>
      <c r="O107" s="22">
        <v>1</v>
      </c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22">
        <v>1</v>
      </c>
      <c r="V107" s="22">
        <v>1</v>
      </c>
      <c r="W107" s="64">
        <f t="shared" si="87"/>
        <v>1</v>
      </c>
      <c r="Y107" s="60">
        <v>-30.46</v>
      </c>
      <c r="Z107" s="60">
        <v>-1.57</v>
      </c>
      <c r="AA107" s="60" t="s">
        <v>311</v>
      </c>
      <c r="AB107" s="60">
        <v>0</v>
      </c>
      <c r="AC107" s="60">
        <v>0</v>
      </c>
      <c r="AD107" s="8">
        <f t="shared" si="88"/>
        <v>-32.03</v>
      </c>
      <c r="AE107" s="2" t="s">
        <v>91</v>
      </c>
      <c r="AG107" s="71">
        <v>-612000</v>
      </c>
      <c r="AH107" s="71">
        <v>-612000</v>
      </c>
      <c r="AI107" s="6"/>
      <c r="AJ107" s="71">
        <v>0</v>
      </c>
      <c r="AK107" s="71">
        <v>0</v>
      </c>
      <c r="AL107" s="72">
        <v>0</v>
      </c>
      <c r="AM107" s="22"/>
      <c r="AO107" s="22" t="s">
        <v>126</v>
      </c>
      <c r="AP107" s="23" t="s">
        <v>310</v>
      </c>
      <c r="AQ107" s="22" t="s">
        <v>100</v>
      </c>
      <c r="AR107" s="51" t="str">
        <f t="shared" si="92"/>
        <v>JD8B-F422C30-AA</v>
      </c>
      <c r="AS107" s="3"/>
      <c r="AT107" s="22">
        <v>1</v>
      </c>
      <c r="AU107" s="22">
        <v>1</v>
      </c>
      <c r="AV107" s="22">
        <v>1</v>
      </c>
      <c r="AW107" s="22">
        <v>1</v>
      </c>
      <c r="AX107" s="22">
        <v>1</v>
      </c>
      <c r="AY107" s="22">
        <v>1</v>
      </c>
      <c r="AZ107" s="22">
        <v>1</v>
      </c>
      <c r="BA107" s="22">
        <v>1</v>
      </c>
      <c r="BB107" s="2">
        <f t="shared" si="93"/>
        <v>1</v>
      </c>
      <c r="BD107" s="60">
        <v>-30.46</v>
      </c>
      <c r="BE107" s="60">
        <v>-1.57</v>
      </c>
      <c r="BF107" s="60" t="s">
        <v>311</v>
      </c>
      <c r="BG107" s="60">
        <v>0</v>
      </c>
      <c r="BH107" s="60">
        <v>0</v>
      </c>
      <c r="BI107" s="8">
        <f t="shared" si="94"/>
        <v>-32.03</v>
      </c>
      <c r="BJ107" s="2" t="s">
        <v>91</v>
      </c>
      <c r="BL107" s="71">
        <v>-612000</v>
      </c>
      <c r="BM107" s="71">
        <v>-612000</v>
      </c>
      <c r="BO107" s="71">
        <v>0</v>
      </c>
      <c r="BP107" s="71">
        <v>0</v>
      </c>
      <c r="BQ107" s="72">
        <v>0</v>
      </c>
      <c r="BS107" s="61">
        <f t="shared" si="76"/>
        <v>0</v>
      </c>
      <c r="BT107" s="61">
        <f t="shared" si="77"/>
        <v>0</v>
      </c>
      <c r="BU107" s="61">
        <f t="shared" si="78"/>
        <v>0</v>
      </c>
      <c r="BV107" s="61">
        <f t="shared" si="78"/>
        <v>0</v>
      </c>
      <c r="BW107" s="61">
        <f t="shared" si="78"/>
        <v>0</v>
      </c>
      <c r="BX107" s="61">
        <f t="shared" si="78"/>
        <v>0</v>
      </c>
      <c r="BY107" s="61" t="s">
        <v>91</v>
      </c>
      <c r="CA107" s="61">
        <f t="shared" si="79"/>
        <v>0</v>
      </c>
      <c r="CB107" s="61">
        <f t="shared" si="79"/>
        <v>0</v>
      </c>
      <c r="CC107" s="61">
        <f t="shared" si="79"/>
        <v>0</v>
      </c>
      <c r="CD107" s="61">
        <f t="shared" si="74"/>
        <v>0</v>
      </c>
      <c r="CE107" s="61">
        <f t="shared" si="74"/>
        <v>0</v>
      </c>
      <c r="CF107" s="61">
        <f t="shared" si="74"/>
        <v>0</v>
      </c>
      <c r="CG107" s="61">
        <f t="shared" si="74"/>
        <v>0</v>
      </c>
      <c r="CH107" s="61">
        <f t="shared" si="74"/>
        <v>0</v>
      </c>
      <c r="CI107" s="61">
        <f t="shared" si="68"/>
        <v>0</v>
      </c>
      <c r="CJ107" s="61"/>
      <c r="CK107" s="61">
        <f t="shared" si="80"/>
        <v>0</v>
      </c>
      <c r="CL107" s="61">
        <f t="shared" si="80"/>
        <v>0</v>
      </c>
      <c r="CM107" s="61">
        <f t="shared" si="80"/>
        <v>0</v>
      </c>
      <c r="CN107" s="61">
        <f t="shared" si="75"/>
        <v>0</v>
      </c>
      <c r="CO107" s="61">
        <f t="shared" si="75"/>
        <v>0</v>
      </c>
      <c r="CP107" s="61">
        <f t="shared" si="75"/>
        <v>0</v>
      </c>
      <c r="CQ107" s="61">
        <f t="shared" si="75"/>
        <v>0</v>
      </c>
      <c r="CR107" s="61">
        <f t="shared" si="75"/>
        <v>0</v>
      </c>
      <c r="CS107" s="61">
        <f t="shared" si="69"/>
        <v>0</v>
      </c>
      <c r="CT107" s="61">
        <f t="shared" si="70"/>
        <v>0</v>
      </c>
      <c r="CV107" s="61">
        <f t="shared" si="71"/>
        <v>0</v>
      </c>
      <c r="CW107" s="61">
        <f t="shared" si="96"/>
        <v>0</v>
      </c>
      <c r="CX107" s="61"/>
      <c r="CY107" s="61">
        <f t="shared" si="97"/>
        <v>0</v>
      </c>
      <c r="CZ107" s="61">
        <f t="shared" si="98"/>
        <v>0</v>
      </c>
      <c r="DA107" s="61">
        <f t="shared" si="98"/>
        <v>0</v>
      </c>
      <c r="DB107" s="2" t="s">
        <v>289</v>
      </c>
      <c r="DC107" s="2" t="s">
        <v>102</v>
      </c>
      <c r="DD107" s="2" t="s">
        <v>142</v>
      </c>
      <c r="DE107" s="2" t="s">
        <v>181</v>
      </c>
      <c r="DF107" s="3" t="s">
        <v>102</v>
      </c>
      <c r="DG107" s="62">
        <v>42802</v>
      </c>
      <c r="EC107" s="60"/>
      <c r="ED107" s="60"/>
      <c r="EE107" s="60"/>
      <c r="EF107" s="60"/>
    </row>
    <row r="108" spans="2:140" ht="11.25" hidden="1" customHeight="1">
      <c r="B108" s="23" t="s">
        <v>312</v>
      </c>
      <c r="C108" s="22" t="s">
        <v>313</v>
      </c>
      <c r="D108" s="22" t="s">
        <v>314</v>
      </c>
      <c r="E108" s="2" t="str">
        <f>VLOOKUP($C108,[1]Detail!$C:$AK,6,0)</f>
        <v>PMT4</v>
      </c>
      <c r="F108" s="2" t="str">
        <f>VLOOKUP($C108,[1]Detail!$C:$AK,7,0)</f>
        <v>PF</v>
      </c>
      <c r="G108" s="2" t="str">
        <f>VLOOKUP($C108,[1]Detail!$C:$AK,5,0)</f>
        <v>B</v>
      </c>
      <c r="J108" s="22" t="s">
        <v>315</v>
      </c>
      <c r="K108" s="23" t="s">
        <v>316</v>
      </c>
      <c r="L108" s="22" t="s">
        <v>317</v>
      </c>
      <c r="M108" s="51" t="str">
        <f t="shared" si="86"/>
        <v>JD8R-7C453-BAA</v>
      </c>
      <c r="O108" s="22">
        <v>1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64">
        <f t="shared" si="87"/>
        <v>0.14000000000000001</v>
      </c>
      <c r="Y108" s="60">
        <v>-116.45</v>
      </c>
      <c r="Z108" s="60">
        <v>-1.8</v>
      </c>
      <c r="AA108" s="60">
        <v>-2.5099999999999998</v>
      </c>
      <c r="AB108" s="60">
        <v>0</v>
      </c>
      <c r="AC108" s="60">
        <v>0</v>
      </c>
      <c r="AD108" s="8">
        <f t="shared" si="88"/>
        <v>-120.76</v>
      </c>
      <c r="AE108" s="2" t="s">
        <v>91</v>
      </c>
      <c r="AG108" s="71">
        <v>-1341400</v>
      </c>
      <c r="AH108" s="71">
        <v>-1341400</v>
      </c>
      <c r="AI108" s="6"/>
      <c r="AJ108" s="71">
        <v>0</v>
      </c>
      <c r="AK108" s="71">
        <v>0</v>
      </c>
      <c r="AL108" s="72">
        <v>0</v>
      </c>
      <c r="AM108" s="22"/>
      <c r="AO108" s="22" t="s">
        <v>315</v>
      </c>
      <c r="AP108" s="23" t="s">
        <v>316</v>
      </c>
      <c r="AQ108" s="22" t="s">
        <v>317</v>
      </c>
      <c r="AR108" s="51" t="str">
        <f t="shared" si="92"/>
        <v>JD8R-7C453-BAA</v>
      </c>
      <c r="AS108" s="3"/>
      <c r="AT108" s="22">
        <v>1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">
        <f t="shared" si="93"/>
        <v>0.14000000000000001</v>
      </c>
      <c r="BD108" s="60">
        <v>-116.45</v>
      </c>
      <c r="BE108" s="60">
        <v>-1.8</v>
      </c>
      <c r="BF108" s="60">
        <v>-2.5099999999999998</v>
      </c>
      <c r="BG108" s="60">
        <v>0</v>
      </c>
      <c r="BH108" s="60">
        <v>0</v>
      </c>
      <c r="BI108" s="8">
        <f t="shared" si="94"/>
        <v>-120.76</v>
      </c>
      <c r="BJ108" s="2" t="s">
        <v>91</v>
      </c>
      <c r="BL108" s="71">
        <v>-1341400</v>
      </c>
      <c r="BM108" s="71">
        <v>-1341400</v>
      </c>
      <c r="BO108" s="71">
        <v>0</v>
      </c>
      <c r="BP108" s="71">
        <v>0</v>
      </c>
      <c r="BQ108" s="72">
        <v>0</v>
      </c>
      <c r="BS108" s="61">
        <f t="shared" ref="BS108:BS113" si="102">SUM(Y108)-SUM(BD108)</f>
        <v>0</v>
      </c>
      <c r="BT108" s="61">
        <f t="shared" ref="BT108:BT113" si="103">SUM(Z108)-SUM(BE108)</f>
        <v>0</v>
      </c>
      <c r="BU108" s="61">
        <f t="shared" ref="BU108:BX113" si="104">SUM(AA108)-SUM(BF108)</f>
        <v>0</v>
      </c>
      <c r="BV108" s="61">
        <f t="shared" si="104"/>
        <v>0</v>
      </c>
      <c r="BW108" s="61">
        <f t="shared" si="104"/>
        <v>0</v>
      </c>
      <c r="BX108" s="61">
        <f t="shared" si="104"/>
        <v>0</v>
      </c>
      <c r="BY108" s="61" t="s">
        <v>91</v>
      </c>
      <c r="CA108" s="61">
        <f t="shared" si="79"/>
        <v>0</v>
      </c>
      <c r="CB108" s="61">
        <f t="shared" si="79"/>
        <v>0</v>
      </c>
      <c r="CC108" s="61">
        <f t="shared" si="79"/>
        <v>0</v>
      </c>
      <c r="CD108" s="61">
        <f t="shared" si="74"/>
        <v>0</v>
      </c>
      <c r="CE108" s="61">
        <f t="shared" si="74"/>
        <v>0</v>
      </c>
      <c r="CF108" s="61">
        <f t="shared" si="74"/>
        <v>0</v>
      </c>
      <c r="CG108" s="61">
        <f t="shared" si="74"/>
        <v>0</v>
      </c>
      <c r="CH108" s="61">
        <f t="shared" si="74"/>
        <v>0</v>
      </c>
      <c r="CI108" s="61">
        <f t="shared" si="68"/>
        <v>0</v>
      </c>
      <c r="CJ108" s="61"/>
      <c r="CK108" s="61">
        <f t="shared" si="80"/>
        <v>0</v>
      </c>
      <c r="CL108" s="61">
        <f t="shared" si="80"/>
        <v>0</v>
      </c>
      <c r="CM108" s="61">
        <f t="shared" si="80"/>
        <v>0</v>
      </c>
      <c r="CN108" s="61">
        <f t="shared" si="75"/>
        <v>0</v>
      </c>
      <c r="CO108" s="61">
        <f t="shared" si="75"/>
        <v>0</v>
      </c>
      <c r="CP108" s="61">
        <f t="shared" si="75"/>
        <v>0</v>
      </c>
      <c r="CQ108" s="61">
        <f t="shared" si="75"/>
        <v>0</v>
      </c>
      <c r="CR108" s="61">
        <f t="shared" si="75"/>
        <v>0</v>
      </c>
      <c r="CS108" s="61">
        <f t="shared" si="69"/>
        <v>0</v>
      </c>
      <c r="CT108" s="61">
        <f t="shared" si="70"/>
        <v>0</v>
      </c>
      <c r="CV108" s="61">
        <f t="shared" si="71"/>
        <v>0</v>
      </c>
      <c r="CW108" s="61">
        <f t="shared" si="96"/>
        <v>0</v>
      </c>
      <c r="CX108" s="61"/>
      <c r="CY108" s="61">
        <f t="shared" si="97"/>
        <v>0</v>
      </c>
      <c r="CZ108" s="61">
        <f t="shared" si="98"/>
        <v>0</v>
      </c>
      <c r="DA108" s="61">
        <f t="shared" si="98"/>
        <v>0</v>
      </c>
      <c r="DB108" s="2" t="s">
        <v>85</v>
      </c>
      <c r="DC108" s="2" t="s">
        <v>102</v>
      </c>
      <c r="DD108" s="2" t="s">
        <v>142</v>
      </c>
      <c r="DE108" s="2" t="s">
        <v>181</v>
      </c>
      <c r="DF108" s="3" t="s">
        <v>86</v>
      </c>
      <c r="DG108" s="62">
        <v>42833</v>
      </c>
      <c r="EC108" s="60"/>
      <c r="ED108" s="60"/>
      <c r="EE108" s="60"/>
      <c r="EF108" s="60"/>
    </row>
    <row r="109" spans="2:140" ht="11.25" hidden="1" customHeight="1">
      <c r="B109" s="23" t="s">
        <v>312</v>
      </c>
      <c r="C109" s="22" t="s">
        <v>313</v>
      </c>
      <c r="D109" s="22" t="s">
        <v>314</v>
      </c>
      <c r="E109" s="2" t="str">
        <f>VLOOKUP($C109,[1]Detail!$C:$AK,6,0)</f>
        <v>PMT4</v>
      </c>
      <c r="F109" s="2" t="str">
        <f>VLOOKUP($C109,[1]Detail!$C:$AK,7,0)</f>
        <v>PF</v>
      </c>
      <c r="G109" s="2" t="str">
        <f>VLOOKUP($C109,[1]Detail!$C:$AK,5,0)</f>
        <v>B</v>
      </c>
      <c r="J109" s="22" t="s">
        <v>315</v>
      </c>
      <c r="K109" s="23" t="s">
        <v>316</v>
      </c>
      <c r="L109" s="22" t="s">
        <v>318</v>
      </c>
      <c r="M109" s="51" t="str">
        <f t="shared" si="86"/>
        <v>JD8R-7C453-BKA</v>
      </c>
      <c r="O109" s="22">
        <v>0</v>
      </c>
      <c r="P109" s="22">
        <v>0</v>
      </c>
      <c r="Q109" s="22">
        <v>1</v>
      </c>
      <c r="R109" s="22">
        <v>0</v>
      </c>
      <c r="S109" s="22">
        <v>1</v>
      </c>
      <c r="T109" s="22">
        <v>0</v>
      </c>
      <c r="U109" s="22">
        <v>0</v>
      </c>
      <c r="V109" s="22">
        <v>0</v>
      </c>
      <c r="W109" s="64">
        <f t="shared" si="87"/>
        <v>0.23</v>
      </c>
      <c r="Y109" s="60">
        <v>-128.06</v>
      </c>
      <c r="Z109" s="60">
        <v>-1.8</v>
      </c>
      <c r="AA109" s="60">
        <v>-2.62</v>
      </c>
      <c r="AB109" s="60">
        <v>0</v>
      </c>
      <c r="AC109" s="60">
        <v>0</v>
      </c>
      <c r="AD109" s="8">
        <f t="shared" si="88"/>
        <v>-132.48000000000002</v>
      </c>
      <c r="AE109" s="2" t="s">
        <v>91</v>
      </c>
      <c r="AG109" s="71">
        <v>-60000</v>
      </c>
      <c r="AH109" s="71">
        <v>-60000</v>
      </c>
      <c r="AI109" s="6"/>
      <c r="AJ109" s="71">
        <v>0</v>
      </c>
      <c r="AK109" s="71">
        <v>0</v>
      </c>
      <c r="AL109" s="72">
        <v>0</v>
      </c>
      <c r="AM109" s="22"/>
      <c r="AO109" s="22" t="s">
        <v>315</v>
      </c>
      <c r="AP109" s="23" t="s">
        <v>316</v>
      </c>
      <c r="AQ109" s="22" t="s">
        <v>318</v>
      </c>
      <c r="AR109" s="51" t="str">
        <f t="shared" si="92"/>
        <v>JD8R-7C453-BKA</v>
      </c>
      <c r="AS109" s="3"/>
      <c r="AT109" s="22">
        <v>0</v>
      </c>
      <c r="AU109" s="22">
        <v>0</v>
      </c>
      <c r="AV109" s="22">
        <v>1</v>
      </c>
      <c r="AW109" s="22">
        <v>0</v>
      </c>
      <c r="AX109" s="22">
        <v>1</v>
      </c>
      <c r="AY109" s="22">
        <v>0</v>
      </c>
      <c r="AZ109" s="22">
        <v>0</v>
      </c>
      <c r="BA109" s="22">
        <v>0</v>
      </c>
      <c r="BB109" s="2">
        <f t="shared" si="93"/>
        <v>0.23</v>
      </c>
      <c r="BD109" s="60">
        <v>-128.06</v>
      </c>
      <c r="BE109" s="60">
        <v>-1.8</v>
      </c>
      <c r="BF109" s="60">
        <v>-2.62</v>
      </c>
      <c r="BG109" s="60">
        <v>0</v>
      </c>
      <c r="BH109" s="60">
        <v>0</v>
      </c>
      <c r="BI109" s="8">
        <f t="shared" si="94"/>
        <v>-132.48000000000002</v>
      </c>
      <c r="BJ109" s="2" t="s">
        <v>91</v>
      </c>
      <c r="BL109" s="71">
        <v>-60000</v>
      </c>
      <c r="BM109" s="71">
        <v>-60000</v>
      </c>
      <c r="BO109" s="71">
        <v>0</v>
      </c>
      <c r="BP109" s="71">
        <v>0</v>
      </c>
      <c r="BQ109" s="72">
        <v>0</v>
      </c>
      <c r="BS109" s="61">
        <f t="shared" si="102"/>
        <v>0</v>
      </c>
      <c r="BT109" s="61">
        <f t="shared" si="103"/>
        <v>0</v>
      </c>
      <c r="BU109" s="61">
        <f t="shared" si="104"/>
        <v>0</v>
      </c>
      <c r="BV109" s="61">
        <f t="shared" si="104"/>
        <v>0</v>
      </c>
      <c r="BW109" s="61">
        <f t="shared" si="104"/>
        <v>0</v>
      </c>
      <c r="BX109" s="61">
        <f t="shared" si="104"/>
        <v>0</v>
      </c>
      <c r="BY109" s="61" t="s">
        <v>91</v>
      </c>
      <c r="CA109" s="61">
        <f t="shared" si="79"/>
        <v>0</v>
      </c>
      <c r="CB109" s="61">
        <f t="shared" si="79"/>
        <v>0</v>
      </c>
      <c r="CC109" s="61">
        <f t="shared" si="79"/>
        <v>0</v>
      </c>
      <c r="CD109" s="61">
        <f t="shared" si="74"/>
        <v>0</v>
      </c>
      <c r="CE109" s="61">
        <f t="shared" si="74"/>
        <v>0</v>
      </c>
      <c r="CF109" s="61">
        <f t="shared" si="74"/>
        <v>0</v>
      </c>
      <c r="CG109" s="61">
        <f t="shared" si="74"/>
        <v>0</v>
      </c>
      <c r="CH109" s="61">
        <f t="shared" si="74"/>
        <v>0</v>
      </c>
      <c r="CI109" s="61">
        <f t="shared" si="68"/>
        <v>0</v>
      </c>
      <c r="CJ109" s="61"/>
      <c r="CK109" s="61">
        <f t="shared" si="80"/>
        <v>0</v>
      </c>
      <c r="CL109" s="61">
        <f t="shared" si="80"/>
        <v>0</v>
      </c>
      <c r="CM109" s="61">
        <f t="shared" si="80"/>
        <v>0</v>
      </c>
      <c r="CN109" s="61">
        <f t="shared" si="75"/>
        <v>0</v>
      </c>
      <c r="CO109" s="61">
        <f t="shared" si="75"/>
        <v>0</v>
      </c>
      <c r="CP109" s="61">
        <f t="shared" si="75"/>
        <v>0</v>
      </c>
      <c r="CQ109" s="61">
        <f t="shared" si="75"/>
        <v>0</v>
      </c>
      <c r="CR109" s="61">
        <f t="shared" si="75"/>
        <v>0</v>
      </c>
      <c r="CS109" s="61">
        <f t="shared" si="69"/>
        <v>0</v>
      </c>
      <c r="CT109" s="61">
        <f t="shared" si="70"/>
        <v>0</v>
      </c>
      <c r="CV109" s="61">
        <f t="shared" si="71"/>
        <v>0</v>
      </c>
      <c r="CW109" s="61">
        <f t="shared" si="96"/>
        <v>0</v>
      </c>
      <c r="CX109" s="61"/>
      <c r="CY109" s="61">
        <f t="shared" si="97"/>
        <v>0</v>
      </c>
      <c r="CZ109" s="61">
        <f t="shared" si="98"/>
        <v>0</v>
      </c>
      <c r="DA109" s="61">
        <f t="shared" si="98"/>
        <v>0</v>
      </c>
      <c r="DB109" s="2" t="s">
        <v>85</v>
      </c>
      <c r="DC109" s="2" t="s">
        <v>102</v>
      </c>
      <c r="DD109" s="2" t="s">
        <v>142</v>
      </c>
      <c r="DE109" s="2" t="s">
        <v>181</v>
      </c>
      <c r="DF109" s="3" t="s">
        <v>86</v>
      </c>
      <c r="DG109" s="62">
        <v>42833</v>
      </c>
      <c r="EC109" s="60"/>
      <c r="ED109" s="60"/>
      <c r="EE109" s="60"/>
      <c r="EF109" s="60"/>
    </row>
    <row r="110" spans="2:140" ht="11.25" hidden="1" customHeight="1">
      <c r="B110" s="23" t="s">
        <v>319</v>
      </c>
      <c r="C110" s="22" t="s">
        <v>313</v>
      </c>
      <c r="D110" s="22" t="s">
        <v>314</v>
      </c>
      <c r="E110" s="2" t="str">
        <f>VLOOKUP($C110,[1]Detail!$C:$AK,6,0)</f>
        <v>PMT4</v>
      </c>
      <c r="F110" s="2" t="str">
        <f>VLOOKUP($C110,[1]Detail!$C:$AK,7,0)</f>
        <v>PF</v>
      </c>
      <c r="G110" s="2" t="str">
        <f>VLOOKUP($C110,[1]Detail!$C:$AK,5,0)</f>
        <v>B</v>
      </c>
      <c r="J110" s="22" t="s">
        <v>315</v>
      </c>
      <c r="K110" s="23" t="s">
        <v>316</v>
      </c>
      <c r="L110" s="22" t="s">
        <v>320</v>
      </c>
      <c r="M110" s="51" t="str">
        <f t="shared" si="86"/>
        <v>JD8R-7C453-BAB</v>
      </c>
      <c r="O110" s="22">
        <v>1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64">
        <f t="shared" si="87"/>
        <v>0.14000000000000001</v>
      </c>
      <c r="Y110" s="60">
        <v>-116.45</v>
      </c>
      <c r="Z110" s="60">
        <v>-1.8</v>
      </c>
      <c r="AA110" s="60">
        <v>-2.5099999999999998</v>
      </c>
      <c r="AB110" s="60">
        <v>0</v>
      </c>
      <c r="AC110" s="60">
        <v>0</v>
      </c>
      <c r="AD110" s="8">
        <f t="shared" si="88"/>
        <v>-120.76</v>
      </c>
      <c r="AE110" s="2" t="s">
        <v>91</v>
      </c>
      <c r="AG110" s="71">
        <v>-1341400</v>
      </c>
      <c r="AH110" s="71">
        <v>-1341400</v>
      </c>
      <c r="AI110" s="6"/>
      <c r="AJ110" s="71">
        <v>0</v>
      </c>
      <c r="AK110" s="71">
        <v>0</v>
      </c>
      <c r="AL110" s="72">
        <v>0</v>
      </c>
      <c r="AM110" s="22"/>
      <c r="AO110" s="22" t="s">
        <v>315</v>
      </c>
      <c r="AP110" s="23" t="s">
        <v>316</v>
      </c>
      <c r="AQ110" s="22" t="s">
        <v>317</v>
      </c>
      <c r="AR110" s="51" t="str">
        <f t="shared" si="92"/>
        <v>JD8R-7C453-BAA</v>
      </c>
      <c r="AS110" s="3"/>
      <c r="AT110" s="22">
        <v>1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">
        <f t="shared" si="93"/>
        <v>0.14000000000000001</v>
      </c>
      <c r="BD110" s="60">
        <v>-116.45</v>
      </c>
      <c r="BE110" s="60">
        <v>-1.8</v>
      </c>
      <c r="BF110" s="60">
        <v>-2.5099999999999998</v>
      </c>
      <c r="BG110" s="60">
        <v>0</v>
      </c>
      <c r="BH110" s="60">
        <v>0</v>
      </c>
      <c r="BI110" s="8">
        <f t="shared" ref="BI110:BI111" si="105">SUM(BD110:BH110)</f>
        <v>-120.76</v>
      </c>
      <c r="BJ110" s="2" t="s">
        <v>91</v>
      </c>
      <c r="BL110" s="71">
        <v>-1341400</v>
      </c>
      <c r="BM110" s="71">
        <v>-1341400</v>
      </c>
      <c r="BO110" s="71">
        <v>0</v>
      </c>
      <c r="BP110" s="71">
        <v>0</v>
      </c>
      <c r="BQ110" s="72">
        <v>0</v>
      </c>
      <c r="BS110" s="61">
        <f t="shared" si="102"/>
        <v>0</v>
      </c>
      <c r="BT110" s="61">
        <f t="shared" si="103"/>
        <v>0</v>
      </c>
      <c r="BU110" s="61">
        <f t="shared" si="104"/>
        <v>0</v>
      </c>
      <c r="BV110" s="61">
        <f t="shared" si="104"/>
        <v>0</v>
      </c>
      <c r="BW110" s="61">
        <f t="shared" si="104"/>
        <v>0</v>
      </c>
      <c r="BX110" s="61">
        <f t="shared" si="104"/>
        <v>0</v>
      </c>
      <c r="BY110" s="61" t="s">
        <v>91</v>
      </c>
      <c r="CA110" s="61">
        <f t="shared" si="79"/>
        <v>0</v>
      </c>
      <c r="CB110" s="61">
        <f t="shared" si="79"/>
        <v>0</v>
      </c>
      <c r="CC110" s="61">
        <f t="shared" si="79"/>
        <v>0</v>
      </c>
      <c r="CD110" s="61">
        <f t="shared" si="74"/>
        <v>0</v>
      </c>
      <c r="CE110" s="61">
        <f t="shared" si="74"/>
        <v>0</v>
      </c>
      <c r="CF110" s="61">
        <f t="shared" si="74"/>
        <v>0</v>
      </c>
      <c r="CG110" s="61">
        <f t="shared" si="74"/>
        <v>0</v>
      </c>
      <c r="CH110" s="61">
        <f t="shared" si="74"/>
        <v>0</v>
      </c>
      <c r="CI110" s="61">
        <f t="shared" si="68"/>
        <v>0</v>
      </c>
      <c r="CJ110" s="61"/>
      <c r="CK110" s="61">
        <f t="shared" si="80"/>
        <v>0</v>
      </c>
      <c r="CL110" s="61">
        <f t="shared" si="80"/>
        <v>0</v>
      </c>
      <c r="CM110" s="61">
        <f t="shared" si="80"/>
        <v>0</v>
      </c>
      <c r="CN110" s="61">
        <f t="shared" si="75"/>
        <v>0</v>
      </c>
      <c r="CO110" s="61">
        <f t="shared" si="75"/>
        <v>0</v>
      </c>
      <c r="CP110" s="61">
        <f t="shared" si="75"/>
        <v>0</v>
      </c>
      <c r="CQ110" s="61">
        <f t="shared" si="75"/>
        <v>0</v>
      </c>
      <c r="CR110" s="61">
        <f t="shared" si="75"/>
        <v>0</v>
      </c>
      <c r="CS110" s="61">
        <f t="shared" si="69"/>
        <v>0</v>
      </c>
      <c r="CT110" s="61">
        <f t="shared" si="70"/>
        <v>0</v>
      </c>
      <c r="CV110" s="61">
        <f t="shared" si="71"/>
        <v>0</v>
      </c>
      <c r="CW110" s="61">
        <f t="shared" ref="CW110:CW111" si="106">SUM(AH110)-SUM(BM110)</f>
        <v>0</v>
      </c>
      <c r="CX110" s="61"/>
      <c r="CY110" s="61">
        <f t="shared" ref="CY110:CY111" si="107">SUM(AJ110)-SUM(BO110)</f>
        <v>0</v>
      </c>
      <c r="CZ110" s="61">
        <f t="shared" si="98"/>
        <v>0</v>
      </c>
      <c r="DA110" s="61">
        <f t="shared" si="98"/>
        <v>0</v>
      </c>
      <c r="DB110" s="2" t="s">
        <v>102</v>
      </c>
      <c r="DC110" s="2" t="s">
        <v>85</v>
      </c>
      <c r="DD110" s="2" t="s">
        <v>142</v>
      </c>
      <c r="DE110" s="2" t="s">
        <v>106</v>
      </c>
      <c r="DF110" s="3" t="s">
        <v>86</v>
      </c>
      <c r="DG110" s="62">
        <v>43076</v>
      </c>
      <c r="EC110" s="60" t="str">
        <f>VLOOKUP($M110,[1]Detail!$M:$BO,1,0)</f>
        <v>JD8R-7C453-BAB</v>
      </c>
      <c r="ED110" s="60">
        <f>VLOOKUP($M110,[1]Detail!$M:$BO,22,0)</f>
        <v>-120.76</v>
      </c>
      <c r="EE110" s="60">
        <f>VLOOKUP($M110,[1]Detail!$M:$BO,42,0)</f>
        <v>-1341400</v>
      </c>
      <c r="EF110" s="60">
        <f>VLOOKUP($M110,[1]Detail!$M:$BO,45,0)</f>
        <v>0</v>
      </c>
      <c r="EH110" s="60">
        <f>ED110-AD110</f>
        <v>0</v>
      </c>
      <c r="EI110" s="60">
        <f>EE110-AG110</f>
        <v>0</v>
      </c>
      <c r="EJ110" s="60">
        <f t="shared" ref="EJ110:EJ112" si="108">EF110-AJ110</f>
        <v>0</v>
      </c>
    </row>
    <row r="111" spans="2:140" ht="11.25" hidden="1" customHeight="1">
      <c r="B111" s="23" t="s">
        <v>319</v>
      </c>
      <c r="C111" s="22" t="s">
        <v>313</v>
      </c>
      <c r="D111" s="22" t="s">
        <v>314</v>
      </c>
      <c r="E111" s="2" t="str">
        <f>VLOOKUP($C111,[1]Detail!$C:$AK,6,0)</f>
        <v>PMT4</v>
      </c>
      <c r="F111" s="2" t="str">
        <f>VLOOKUP($C111,[1]Detail!$C:$AK,7,0)</f>
        <v>PF</v>
      </c>
      <c r="G111" s="2" t="str">
        <f>VLOOKUP($C111,[1]Detail!$C:$AK,5,0)</f>
        <v>B</v>
      </c>
      <c r="J111" s="22" t="s">
        <v>315</v>
      </c>
      <c r="K111" s="23" t="s">
        <v>316</v>
      </c>
      <c r="L111" s="22" t="s">
        <v>321</v>
      </c>
      <c r="M111" s="51" t="str">
        <f t="shared" si="86"/>
        <v>JD8R-7C453-BKB</v>
      </c>
      <c r="O111" s="22">
        <v>0</v>
      </c>
      <c r="P111" s="22">
        <v>0</v>
      </c>
      <c r="Q111" s="22">
        <v>1</v>
      </c>
      <c r="R111" s="22">
        <v>0</v>
      </c>
      <c r="S111" s="22">
        <v>1</v>
      </c>
      <c r="T111" s="22">
        <v>0</v>
      </c>
      <c r="U111" s="22">
        <v>0</v>
      </c>
      <c r="V111" s="22">
        <v>0</v>
      </c>
      <c r="W111" s="64">
        <f t="shared" si="87"/>
        <v>0.23</v>
      </c>
      <c r="Y111" s="60">
        <v>-128.06</v>
      </c>
      <c r="Z111" s="60">
        <v>-1.8</v>
      </c>
      <c r="AA111" s="60">
        <v>-2.62</v>
      </c>
      <c r="AB111" s="60">
        <v>0</v>
      </c>
      <c r="AC111" s="60">
        <v>0</v>
      </c>
      <c r="AD111" s="8">
        <f t="shared" si="88"/>
        <v>-132.48000000000002</v>
      </c>
      <c r="AE111" s="2" t="s">
        <v>91</v>
      </c>
      <c r="AG111" s="71">
        <v>-60000</v>
      </c>
      <c r="AH111" s="71">
        <v>-60000</v>
      </c>
      <c r="AI111" s="6"/>
      <c r="AJ111" s="71">
        <v>0</v>
      </c>
      <c r="AK111" s="71">
        <v>0</v>
      </c>
      <c r="AL111" s="72">
        <v>0</v>
      </c>
      <c r="AM111" s="22"/>
      <c r="AO111" s="22" t="s">
        <v>315</v>
      </c>
      <c r="AP111" s="23" t="s">
        <v>316</v>
      </c>
      <c r="AQ111" s="22" t="s">
        <v>318</v>
      </c>
      <c r="AR111" s="51" t="str">
        <f t="shared" si="92"/>
        <v>JD8R-7C453-BKA</v>
      </c>
      <c r="AS111" s="3"/>
      <c r="AT111" s="22">
        <v>0</v>
      </c>
      <c r="AU111" s="22">
        <v>0</v>
      </c>
      <c r="AV111" s="22">
        <v>1</v>
      </c>
      <c r="AW111" s="22">
        <v>0</v>
      </c>
      <c r="AX111" s="22">
        <v>1</v>
      </c>
      <c r="AY111" s="22">
        <v>0</v>
      </c>
      <c r="AZ111" s="22">
        <v>0</v>
      </c>
      <c r="BA111" s="22">
        <v>0</v>
      </c>
      <c r="BB111" s="2">
        <f t="shared" si="93"/>
        <v>0.23</v>
      </c>
      <c r="BD111" s="60">
        <v>-128.06</v>
      </c>
      <c r="BE111" s="60">
        <v>-1.8</v>
      </c>
      <c r="BF111" s="60">
        <v>-2.62</v>
      </c>
      <c r="BG111" s="60">
        <v>0</v>
      </c>
      <c r="BH111" s="60">
        <v>0</v>
      </c>
      <c r="BI111" s="8">
        <f t="shared" si="105"/>
        <v>-132.48000000000002</v>
      </c>
      <c r="BJ111" s="2" t="s">
        <v>91</v>
      </c>
      <c r="BL111" s="71">
        <v>-60000</v>
      </c>
      <c r="BM111" s="71">
        <v>-60000</v>
      </c>
      <c r="BO111" s="71">
        <v>0</v>
      </c>
      <c r="BP111" s="71">
        <v>0</v>
      </c>
      <c r="BQ111" s="72">
        <v>0</v>
      </c>
      <c r="BS111" s="61">
        <f t="shared" si="102"/>
        <v>0</v>
      </c>
      <c r="BT111" s="61">
        <f t="shared" si="103"/>
        <v>0</v>
      </c>
      <c r="BU111" s="61">
        <f t="shared" si="104"/>
        <v>0</v>
      </c>
      <c r="BV111" s="61">
        <f t="shared" si="104"/>
        <v>0</v>
      </c>
      <c r="BW111" s="61">
        <f t="shared" si="104"/>
        <v>0</v>
      </c>
      <c r="BX111" s="61">
        <f t="shared" si="104"/>
        <v>0</v>
      </c>
      <c r="BY111" s="61" t="s">
        <v>91</v>
      </c>
      <c r="CA111" s="61">
        <f t="shared" si="79"/>
        <v>0</v>
      </c>
      <c r="CB111" s="61">
        <f t="shared" si="79"/>
        <v>0</v>
      </c>
      <c r="CC111" s="61">
        <f t="shared" si="79"/>
        <v>0</v>
      </c>
      <c r="CD111" s="61">
        <f t="shared" si="74"/>
        <v>0</v>
      </c>
      <c r="CE111" s="61">
        <f t="shared" si="74"/>
        <v>0</v>
      </c>
      <c r="CF111" s="61">
        <f t="shared" si="74"/>
        <v>0</v>
      </c>
      <c r="CG111" s="61">
        <f t="shared" si="74"/>
        <v>0</v>
      </c>
      <c r="CH111" s="61">
        <f t="shared" si="74"/>
        <v>0</v>
      </c>
      <c r="CI111" s="61">
        <f t="shared" si="68"/>
        <v>0</v>
      </c>
      <c r="CJ111" s="61"/>
      <c r="CK111" s="61">
        <f t="shared" si="80"/>
        <v>0</v>
      </c>
      <c r="CL111" s="61">
        <f t="shared" si="80"/>
        <v>0</v>
      </c>
      <c r="CM111" s="61">
        <f t="shared" si="80"/>
        <v>0</v>
      </c>
      <c r="CN111" s="61">
        <f t="shared" si="75"/>
        <v>0</v>
      </c>
      <c r="CO111" s="61">
        <f t="shared" si="75"/>
        <v>0</v>
      </c>
      <c r="CP111" s="61">
        <f t="shared" si="75"/>
        <v>0</v>
      </c>
      <c r="CQ111" s="61">
        <f t="shared" si="75"/>
        <v>0</v>
      </c>
      <c r="CR111" s="61">
        <f t="shared" si="75"/>
        <v>0</v>
      </c>
      <c r="CS111" s="61">
        <f t="shared" si="69"/>
        <v>0</v>
      </c>
      <c r="CT111" s="61">
        <f t="shared" si="70"/>
        <v>0</v>
      </c>
      <c r="CV111" s="61">
        <f t="shared" si="71"/>
        <v>0</v>
      </c>
      <c r="CW111" s="61">
        <f t="shared" si="106"/>
        <v>0</v>
      </c>
      <c r="CX111" s="61"/>
      <c r="CY111" s="61">
        <f t="shared" si="107"/>
        <v>0</v>
      </c>
      <c r="CZ111" s="61">
        <f t="shared" si="98"/>
        <v>0</v>
      </c>
      <c r="DA111" s="61">
        <f t="shared" si="98"/>
        <v>0</v>
      </c>
      <c r="DB111" s="2" t="s">
        <v>102</v>
      </c>
      <c r="DC111" s="2" t="s">
        <v>85</v>
      </c>
      <c r="DD111" s="2" t="s">
        <v>142</v>
      </c>
      <c r="DE111" s="2" t="s">
        <v>106</v>
      </c>
      <c r="DF111" s="3" t="s">
        <v>86</v>
      </c>
      <c r="DG111" s="62">
        <v>43076</v>
      </c>
      <c r="EC111" s="60" t="str">
        <f>VLOOKUP($M111,[1]Detail!$M:$BO,1,0)</f>
        <v>JD8R-7C453-BKB</v>
      </c>
      <c r="ED111" s="60">
        <f>VLOOKUP($M111,[1]Detail!$M:$BO,22,0)</f>
        <v>-132.48000000000002</v>
      </c>
      <c r="EE111" s="60">
        <f>VLOOKUP($M111,[1]Detail!$M:$BO,42,0)</f>
        <v>-60000</v>
      </c>
      <c r="EF111" s="60">
        <f>VLOOKUP($M111,[1]Detail!$M:$BO,45,0)</f>
        <v>0</v>
      </c>
      <c r="EH111" s="60">
        <f>ED111-AD111</f>
        <v>0</v>
      </c>
      <c r="EI111" s="60">
        <f>EE111-AG111</f>
        <v>0</v>
      </c>
      <c r="EJ111" s="60">
        <f t="shared" si="108"/>
        <v>0</v>
      </c>
    </row>
    <row r="112" spans="2:140" ht="12.75" hidden="1" customHeight="1">
      <c r="B112" s="23" t="s">
        <v>322</v>
      </c>
      <c r="C112" s="22" t="s">
        <v>323</v>
      </c>
      <c r="D112" s="22" t="s">
        <v>324</v>
      </c>
      <c r="E112" s="2" t="str">
        <f>VLOOKUP($C112,[1]Detail!$C:$AK,6,0)</f>
        <v>PMT2</v>
      </c>
      <c r="F112" s="2" t="str">
        <f>VLOOKUP($C112,[1]Detail!$C:$AK,7,0)</f>
        <v>PF</v>
      </c>
      <c r="G112" s="2" t="str">
        <f>VLOOKUP($C112,[1]Detail!$C:$AK,5,0)</f>
        <v>B</v>
      </c>
      <c r="J112" s="22" t="s">
        <v>325</v>
      </c>
      <c r="K112" s="23">
        <v>19710</v>
      </c>
      <c r="L112" s="22" t="s">
        <v>120</v>
      </c>
      <c r="M112" s="51" t="str">
        <f t="shared" si="86"/>
        <v>F1F1-19710-BB</v>
      </c>
      <c r="O112" s="22">
        <v>0</v>
      </c>
      <c r="P112" s="22">
        <v>0</v>
      </c>
      <c r="Q112" s="22">
        <v>0</v>
      </c>
      <c r="R112" s="22">
        <v>0</v>
      </c>
      <c r="S112" s="22">
        <v>1</v>
      </c>
      <c r="T112" s="22">
        <v>1</v>
      </c>
      <c r="U112" s="22">
        <v>0</v>
      </c>
      <c r="V112" s="22">
        <v>1</v>
      </c>
      <c r="W112" s="64">
        <f t="shared" si="87"/>
        <v>0.28000000000000003</v>
      </c>
      <c r="Y112" s="60">
        <v>-170.46</v>
      </c>
      <c r="Z112" s="60">
        <v>-4.37</v>
      </c>
      <c r="AA112" s="60">
        <v>-10.199999999999999</v>
      </c>
      <c r="AB112" s="60">
        <v>0</v>
      </c>
      <c r="AC112" s="60">
        <v>0</v>
      </c>
      <c r="AD112" s="8">
        <f t="shared" si="88"/>
        <v>-185.03</v>
      </c>
      <c r="AE112" s="2" t="s">
        <v>91</v>
      </c>
      <c r="AG112" s="71">
        <v>-850000</v>
      </c>
      <c r="AH112" s="71">
        <v>-850000</v>
      </c>
      <c r="AI112" s="6"/>
      <c r="AJ112" s="71">
        <v>0</v>
      </c>
      <c r="AK112" s="71">
        <v>0</v>
      </c>
      <c r="AL112" s="72">
        <v>0</v>
      </c>
      <c r="AM112" s="22"/>
      <c r="AO112" s="22" t="s">
        <v>325</v>
      </c>
      <c r="AP112" s="23">
        <v>19710</v>
      </c>
      <c r="AQ112" s="22" t="s">
        <v>120</v>
      </c>
      <c r="AR112" s="51" t="str">
        <f t="shared" si="92"/>
        <v>F1F1-19710-BB</v>
      </c>
      <c r="AS112" s="3"/>
      <c r="AT112" s="22">
        <v>0</v>
      </c>
      <c r="AU112" s="22">
        <v>0</v>
      </c>
      <c r="AV112" s="22">
        <v>0</v>
      </c>
      <c r="AW112" s="22">
        <v>0</v>
      </c>
      <c r="AX112" s="22">
        <v>1</v>
      </c>
      <c r="AY112" s="22">
        <v>1</v>
      </c>
      <c r="AZ112" s="22">
        <v>0</v>
      </c>
      <c r="BA112" s="22">
        <v>1</v>
      </c>
      <c r="BB112" s="2">
        <f t="shared" si="93"/>
        <v>0.28000000000000003</v>
      </c>
      <c r="BD112" s="60">
        <v>-170.46</v>
      </c>
      <c r="BE112" s="60">
        <v>-4.37</v>
      </c>
      <c r="BF112" s="60">
        <v>-10.199999999999999</v>
      </c>
      <c r="BG112" s="60">
        <v>0</v>
      </c>
      <c r="BH112" s="60">
        <v>0</v>
      </c>
      <c r="BI112" s="8">
        <f t="shared" si="94"/>
        <v>-185.03</v>
      </c>
      <c r="BJ112" s="2" t="s">
        <v>91</v>
      </c>
      <c r="BL112" s="71">
        <v>-850000</v>
      </c>
      <c r="BM112" s="71">
        <v>-850000</v>
      </c>
      <c r="BO112" s="71">
        <v>0</v>
      </c>
      <c r="BP112" s="71">
        <v>0</v>
      </c>
      <c r="BQ112" s="72">
        <v>0</v>
      </c>
      <c r="BS112" s="61">
        <f t="shared" si="102"/>
        <v>0</v>
      </c>
      <c r="BT112" s="61">
        <f t="shared" si="103"/>
        <v>0</v>
      </c>
      <c r="BU112" s="61">
        <f t="shared" si="104"/>
        <v>0</v>
      </c>
      <c r="BV112" s="61">
        <f t="shared" si="104"/>
        <v>0</v>
      </c>
      <c r="BW112" s="61">
        <f t="shared" si="104"/>
        <v>0</v>
      </c>
      <c r="BX112" s="61">
        <f t="shared" si="104"/>
        <v>0</v>
      </c>
      <c r="BY112" s="61" t="s">
        <v>91</v>
      </c>
      <c r="CA112" s="61">
        <f t="shared" si="79"/>
        <v>0</v>
      </c>
      <c r="CB112" s="61">
        <f t="shared" si="79"/>
        <v>0</v>
      </c>
      <c r="CC112" s="61">
        <f t="shared" si="79"/>
        <v>0</v>
      </c>
      <c r="CD112" s="61">
        <f t="shared" si="74"/>
        <v>0</v>
      </c>
      <c r="CE112" s="61">
        <f t="shared" si="74"/>
        <v>0</v>
      </c>
      <c r="CF112" s="61">
        <f t="shared" si="74"/>
        <v>0</v>
      </c>
      <c r="CG112" s="61">
        <f t="shared" si="74"/>
        <v>0</v>
      </c>
      <c r="CH112" s="61">
        <f t="shared" si="74"/>
        <v>0</v>
      </c>
      <c r="CI112" s="61">
        <f t="shared" si="68"/>
        <v>0</v>
      </c>
      <c r="CJ112" s="61"/>
      <c r="CK112" s="61">
        <f t="shared" si="80"/>
        <v>0</v>
      </c>
      <c r="CL112" s="61">
        <f t="shared" si="80"/>
        <v>0</v>
      </c>
      <c r="CM112" s="61">
        <f t="shared" si="80"/>
        <v>0</v>
      </c>
      <c r="CN112" s="61">
        <f t="shared" si="75"/>
        <v>0</v>
      </c>
      <c r="CO112" s="61">
        <f t="shared" si="75"/>
        <v>0</v>
      </c>
      <c r="CP112" s="61">
        <f t="shared" si="75"/>
        <v>0</v>
      </c>
      <c r="CQ112" s="61">
        <f t="shared" si="75"/>
        <v>0</v>
      </c>
      <c r="CR112" s="61">
        <f t="shared" si="75"/>
        <v>0</v>
      </c>
      <c r="CS112" s="61">
        <f t="shared" si="69"/>
        <v>0</v>
      </c>
      <c r="CT112" s="61">
        <f t="shared" si="70"/>
        <v>0</v>
      </c>
      <c r="CV112" s="61">
        <f t="shared" si="71"/>
        <v>0</v>
      </c>
      <c r="CW112" s="61">
        <f t="shared" si="96"/>
        <v>0</v>
      </c>
      <c r="CX112" s="61"/>
      <c r="CY112" s="61">
        <f t="shared" si="97"/>
        <v>0</v>
      </c>
      <c r="CZ112" s="61">
        <f t="shared" si="98"/>
        <v>0</v>
      </c>
      <c r="DA112" s="61">
        <f t="shared" si="98"/>
        <v>0</v>
      </c>
      <c r="DB112" s="2" t="s">
        <v>102</v>
      </c>
      <c r="DC112" s="2" t="s">
        <v>102</v>
      </c>
      <c r="DD112" s="2" t="s">
        <v>142</v>
      </c>
      <c r="DE112" s="2" t="s">
        <v>181</v>
      </c>
      <c r="DF112" s="3" t="s">
        <v>86</v>
      </c>
      <c r="DG112" s="62">
        <v>43076</v>
      </c>
      <c r="EC112" s="60" t="str">
        <f>VLOOKUP($M112,[1]Detail!$M:$BO,1,0)</f>
        <v>F1F1-19710-BB</v>
      </c>
      <c r="ED112" s="60">
        <f>VLOOKUP($M112,[1]Detail!$M:$BO,22,0)</f>
        <v>-185.03</v>
      </c>
      <c r="EE112" s="60">
        <f>VLOOKUP($M112,[1]Detail!$M:$BO,42,0)</f>
        <v>-850000</v>
      </c>
      <c r="EF112" s="60">
        <f>VLOOKUP($M112,[1]Detail!$M:$BO,45,0)</f>
        <v>0</v>
      </c>
      <c r="EH112" s="60">
        <f>ED112-AD112</f>
        <v>0</v>
      </c>
      <c r="EI112" s="60">
        <f>EE112-AG112</f>
        <v>0</v>
      </c>
      <c r="EJ112" s="60">
        <f t="shared" si="108"/>
        <v>0</v>
      </c>
    </row>
    <row r="113" spans="2:140" ht="12.75" hidden="1" customHeight="1">
      <c r="B113" s="85" t="s">
        <v>326</v>
      </c>
      <c r="C113" s="22" t="s">
        <v>327</v>
      </c>
      <c r="D113" s="22" t="s">
        <v>328</v>
      </c>
      <c r="E113" s="2" t="s">
        <v>329</v>
      </c>
      <c r="F113" s="2" t="s">
        <v>330</v>
      </c>
      <c r="G113" s="2" t="s">
        <v>331</v>
      </c>
      <c r="J113" s="22" t="s">
        <v>98</v>
      </c>
      <c r="K113" s="23" t="s">
        <v>332</v>
      </c>
      <c r="L113" s="22" t="s">
        <v>100</v>
      </c>
      <c r="M113" s="51" t="str">
        <f t="shared" si="86"/>
        <v>JD8C-19048-AA</v>
      </c>
      <c r="O113" s="22">
        <v>0</v>
      </c>
      <c r="P113" s="22">
        <v>1</v>
      </c>
      <c r="Q113" s="22">
        <v>0</v>
      </c>
      <c r="R113" s="22">
        <v>1</v>
      </c>
      <c r="S113" s="22">
        <v>0</v>
      </c>
      <c r="T113" s="22">
        <v>0</v>
      </c>
      <c r="U113" s="22">
        <v>1</v>
      </c>
      <c r="V113" s="22">
        <v>0</v>
      </c>
      <c r="W113" s="64">
        <f t="shared" si="87"/>
        <v>0.44</v>
      </c>
      <c r="Y113" s="60">
        <v>-3.84</v>
      </c>
      <c r="Z113" s="60">
        <v>-7.0000000000000007E-2</v>
      </c>
      <c r="AA113" s="60">
        <v>-0.04</v>
      </c>
      <c r="AB113" s="60"/>
      <c r="AC113" s="60"/>
      <c r="AD113" s="8">
        <f t="shared" si="88"/>
        <v>-3.9499999999999997</v>
      </c>
      <c r="AE113" s="2" t="s">
        <v>91</v>
      </c>
      <c r="AG113" s="71">
        <v>-585269</v>
      </c>
      <c r="AH113" s="71">
        <f>AG113</f>
        <v>-585269</v>
      </c>
      <c r="AI113" s="6"/>
      <c r="AJ113" s="71">
        <v>0</v>
      </c>
      <c r="AK113" s="71">
        <v>0</v>
      </c>
      <c r="AL113" s="72">
        <v>0</v>
      </c>
      <c r="AM113" s="22"/>
      <c r="AO113" s="22" t="s">
        <v>333</v>
      </c>
      <c r="AP113" s="23" t="s">
        <v>334</v>
      </c>
      <c r="AQ113" s="22" t="s">
        <v>180</v>
      </c>
      <c r="AR113" s="51" t="str">
        <f t="shared" si="92"/>
        <v>JD8C-19048-AA</v>
      </c>
      <c r="AS113" s="3"/>
      <c r="AT113" s="22">
        <v>0</v>
      </c>
      <c r="AU113" s="22">
        <v>1</v>
      </c>
      <c r="AV113" s="22">
        <v>0</v>
      </c>
      <c r="AW113" s="22">
        <v>1</v>
      </c>
      <c r="AX113" s="22">
        <v>0</v>
      </c>
      <c r="AY113" s="22">
        <v>0</v>
      </c>
      <c r="AZ113" s="22">
        <v>1</v>
      </c>
      <c r="BA113" s="22">
        <v>0</v>
      </c>
      <c r="BB113" s="2">
        <v>0.44</v>
      </c>
      <c r="BD113" s="60">
        <v>-3.84</v>
      </c>
      <c r="BE113" s="60">
        <v>-7.0000000000000007E-2</v>
      </c>
      <c r="BF113" s="60">
        <v>-0.04</v>
      </c>
      <c r="BG113" s="60"/>
      <c r="BH113" s="60"/>
      <c r="BI113" s="8">
        <v>-3.9499999999999997</v>
      </c>
      <c r="BJ113" s="2" t="s">
        <v>91</v>
      </c>
      <c r="BL113" s="71">
        <v>-585269</v>
      </c>
      <c r="BM113" s="71">
        <v>-585269</v>
      </c>
      <c r="BO113" s="71">
        <v>0</v>
      </c>
      <c r="BP113" s="71">
        <v>0</v>
      </c>
      <c r="BQ113" s="72">
        <v>0</v>
      </c>
      <c r="BS113" s="61">
        <f t="shared" si="102"/>
        <v>0</v>
      </c>
      <c r="BT113" s="61">
        <f t="shared" si="103"/>
        <v>0</v>
      </c>
      <c r="BU113" s="61">
        <f t="shared" si="104"/>
        <v>0</v>
      </c>
      <c r="BV113" s="61">
        <f t="shared" si="104"/>
        <v>0</v>
      </c>
      <c r="BW113" s="61">
        <f t="shared" si="104"/>
        <v>0</v>
      </c>
      <c r="BX113" s="61">
        <f t="shared" si="104"/>
        <v>0</v>
      </c>
      <c r="BY113" s="61" t="s">
        <v>91</v>
      </c>
      <c r="CA113" s="61">
        <f t="shared" si="79"/>
        <v>0</v>
      </c>
      <c r="CB113" s="61">
        <f t="shared" si="79"/>
        <v>0</v>
      </c>
      <c r="CC113" s="61">
        <f t="shared" si="79"/>
        <v>0</v>
      </c>
      <c r="CD113" s="61">
        <f t="shared" si="74"/>
        <v>0</v>
      </c>
      <c r="CE113" s="61">
        <f t="shared" si="74"/>
        <v>0</v>
      </c>
      <c r="CF113" s="61">
        <f t="shared" si="74"/>
        <v>0</v>
      </c>
      <c r="CG113" s="61">
        <f t="shared" si="74"/>
        <v>0</v>
      </c>
      <c r="CH113" s="61">
        <f t="shared" si="74"/>
        <v>0</v>
      </c>
      <c r="CI113" s="61">
        <f t="shared" si="68"/>
        <v>0</v>
      </c>
      <c r="CJ113" s="61"/>
      <c r="CK113" s="61">
        <f t="shared" si="80"/>
        <v>0</v>
      </c>
      <c r="CL113" s="61">
        <f t="shared" si="80"/>
        <v>0</v>
      </c>
      <c r="CM113" s="61">
        <f t="shared" si="80"/>
        <v>0</v>
      </c>
      <c r="CN113" s="61">
        <f t="shared" si="75"/>
        <v>0</v>
      </c>
      <c r="CO113" s="61">
        <f t="shared" si="75"/>
        <v>0</v>
      </c>
      <c r="CP113" s="61">
        <f t="shared" si="75"/>
        <v>0</v>
      </c>
      <c r="CQ113" s="61">
        <f t="shared" si="75"/>
        <v>0</v>
      </c>
      <c r="CR113" s="61">
        <f t="shared" si="75"/>
        <v>0</v>
      </c>
      <c r="CS113" s="61">
        <f t="shared" si="69"/>
        <v>0</v>
      </c>
      <c r="CT113" s="61">
        <f t="shared" si="70"/>
        <v>0</v>
      </c>
      <c r="CV113" s="61">
        <f t="shared" si="71"/>
        <v>0</v>
      </c>
      <c r="CW113" s="61">
        <f t="shared" si="96"/>
        <v>0</v>
      </c>
      <c r="CX113" s="61"/>
      <c r="CY113" s="61">
        <f t="shared" si="97"/>
        <v>0</v>
      </c>
      <c r="CZ113" s="61">
        <f t="shared" si="98"/>
        <v>0</v>
      </c>
      <c r="DA113" s="61">
        <f t="shared" si="98"/>
        <v>0</v>
      </c>
      <c r="DB113" s="2" t="s">
        <v>85</v>
      </c>
      <c r="DC113" s="2" t="s">
        <v>102</v>
      </c>
      <c r="DD113" s="2" t="s">
        <v>142</v>
      </c>
      <c r="DE113" s="2" t="s">
        <v>257</v>
      </c>
      <c r="DF113" s="3" t="s">
        <v>86</v>
      </c>
      <c r="DG113" s="62">
        <v>42783</v>
      </c>
      <c r="EC113" s="60"/>
      <c r="ED113" s="60"/>
      <c r="EE113" s="60"/>
      <c r="EF113" s="60"/>
    </row>
    <row r="114" spans="2:140" ht="12.75" hidden="1" customHeight="1">
      <c r="B114" s="23" t="s">
        <v>335</v>
      </c>
      <c r="C114" s="2" t="s">
        <v>336</v>
      </c>
      <c r="D114" s="86" t="s">
        <v>337</v>
      </c>
      <c r="E114" s="87" t="s">
        <v>338</v>
      </c>
      <c r="F114" s="88" t="s">
        <v>330</v>
      </c>
      <c r="G114" s="87" t="s">
        <v>339</v>
      </c>
      <c r="J114" s="1" t="s">
        <v>98</v>
      </c>
      <c r="K114" s="1" t="s">
        <v>340</v>
      </c>
      <c r="L114" s="1" t="s">
        <v>100</v>
      </c>
      <c r="M114" s="2" t="s">
        <v>341</v>
      </c>
      <c r="O114" s="89">
        <v>0</v>
      </c>
      <c r="P114" s="89">
        <v>1</v>
      </c>
      <c r="Q114" s="89">
        <v>0</v>
      </c>
      <c r="R114" s="89">
        <v>1</v>
      </c>
      <c r="S114" s="89">
        <v>0</v>
      </c>
      <c r="T114" s="89">
        <v>0</v>
      </c>
      <c r="U114" s="89">
        <v>1</v>
      </c>
      <c r="V114" s="89">
        <v>0</v>
      </c>
      <c r="W114" s="64">
        <v>0.1</v>
      </c>
      <c r="Y114" s="63">
        <f>-3.84-0.55</f>
        <v>-4.3899999999999997</v>
      </c>
      <c r="Z114" s="63">
        <v>-7.0000000000000007E-2</v>
      </c>
      <c r="AA114" s="63">
        <v>-0.04</v>
      </c>
      <c r="AB114" s="63">
        <v>0</v>
      </c>
      <c r="AC114" s="63">
        <v>0</v>
      </c>
      <c r="AD114" s="8">
        <f t="shared" si="88"/>
        <v>-4.5</v>
      </c>
      <c r="AE114" s="2" t="s">
        <v>91</v>
      </c>
      <c r="AG114" s="70">
        <f>-585269+114144</f>
        <v>-471125</v>
      </c>
      <c r="AH114" s="70">
        <f>-585269+114144</f>
        <v>-471125</v>
      </c>
      <c r="AI114" s="6"/>
      <c r="AJ114" s="70">
        <v>0</v>
      </c>
      <c r="AK114" s="70">
        <v>0</v>
      </c>
      <c r="AM114" s="22"/>
      <c r="AO114" s="3" t="s">
        <v>333</v>
      </c>
      <c r="AP114" s="3" t="s">
        <v>334</v>
      </c>
      <c r="AQ114" s="3" t="s">
        <v>180</v>
      </c>
      <c r="AR114" s="90" t="str">
        <f t="shared" si="92"/>
        <v>JD8C-19048-AA</v>
      </c>
      <c r="AS114" s="87"/>
      <c r="AT114" s="91">
        <v>0</v>
      </c>
      <c r="AU114" s="91">
        <v>1</v>
      </c>
      <c r="AV114" s="91">
        <v>0</v>
      </c>
      <c r="AW114" s="91">
        <v>1</v>
      </c>
      <c r="AX114" s="91">
        <v>0</v>
      </c>
      <c r="AY114" s="91">
        <v>0</v>
      </c>
      <c r="AZ114" s="91">
        <v>1</v>
      </c>
      <c r="BA114" s="91">
        <v>0</v>
      </c>
      <c r="BB114" s="92">
        <v>0.1</v>
      </c>
      <c r="BD114" s="63">
        <v>-3.84</v>
      </c>
      <c r="BE114" s="63">
        <v>-7.0000000000000007E-2</v>
      </c>
      <c r="BF114" s="63">
        <v>-0.04</v>
      </c>
      <c r="BG114" s="63">
        <v>0</v>
      </c>
      <c r="BH114" s="63">
        <v>0</v>
      </c>
      <c r="BI114" s="8">
        <f t="shared" ref="BI114:BI131" si="109">SUM(BD114:BH114)</f>
        <v>-3.9499999999999997</v>
      </c>
      <c r="BJ114" s="2" t="s">
        <v>91</v>
      </c>
      <c r="BL114" s="70">
        <v>-585269</v>
      </c>
      <c r="BM114" s="70">
        <v>-585269</v>
      </c>
      <c r="BO114" s="70">
        <v>0</v>
      </c>
      <c r="BP114" s="70">
        <v>0</v>
      </c>
      <c r="BS114" s="61">
        <f t="shared" ref="BS114:BX114" si="110">Y114-BD114</f>
        <v>-0.54999999999999982</v>
      </c>
      <c r="BT114" s="61">
        <f t="shared" si="110"/>
        <v>0</v>
      </c>
      <c r="BU114" s="61">
        <f t="shared" si="110"/>
        <v>0</v>
      </c>
      <c r="BV114" s="61">
        <f t="shared" si="110"/>
        <v>0</v>
      </c>
      <c r="BW114" s="61">
        <f t="shared" si="110"/>
        <v>0</v>
      </c>
      <c r="BX114" s="61">
        <f t="shared" si="110"/>
        <v>-0.55000000000000027</v>
      </c>
      <c r="BY114" s="61" t="s">
        <v>91</v>
      </c>
      <c r="CA114" s="61">
        <f t="shared" si="79"/>
        <v>0</v>
      </c>
      <c r="CB114" s="61">
        <f t="shared" si="79"/>
        <v>-8.2744095080487412E-2</v>
      </c>
      <c r="CC114" s="61">
        <f t="shared" si="79"/>
        <v>0</v>
      </c>
      <c r="CD114" s="61">
        <f t="shared" si="74"/>
        <v>-8.2744095080487412E-2</v>
      </c>
      <c r="CE114" s="61">
        <f t="shared" si="74"/>
        <v>0</v>
      </c>
      <c r="CF114" s="61">
        <f t="shared" si="74"/>
        <v>0</v>
      </c>
      <c r="CG114" s="61">
        <f t="shared" si="74"/>
        <v>-8.2744095080487412E-2</v>
      </c>
      <c r="CH114" s="61">
        <f t="shared" si="74"/>
        <v>0</v>
      </c>
      <c r="CI114" s="61">
        <f t="shared" si="68"/>
        <v>-3.6407401835414459E-2</v>
      </c>
      <c r="CJ114" s="61"/>
      <c r="CK114" s="61">
        <f t="shared" si="80"/>
        <v>0</v>
      </c>
      <c r="CL114" s="61">
        <f t="shared" si="80"/>
        <v>-8.2744095080487481E-2</v>
      </c>
      <c r="CM114" s="61">
        <f t="shared" si="80"/>
        <v>0</v>
      </c>
      <c r="CN114" s="61">
        <f t="shared" si="75"/>
        <v>-8.2744095080487481E-2</v>
      </c>
      <c r="CO114" s="61">
        <f t="shared" si="75"/>
        <v>0</v>
      </c>
      <c r="CP114" s="61">
        <f t="shared" si="75"/>
        <v>0</v>
      </c>
      <c r="CQ114" s="61">
        <f t="shared" si="75"/>
        <v>-8.2744095080487481E-2</v>
      </c>
      <c r="CR114" s="61">
        <f t="shared" si="75"/>
        <v>0</v>
      </c>
      <c r="CS114" s="61">
        <f t="shared" si="69"/>
        <v>-3.6407401835414493E-2</v>
      </c>
      <c r="CT114" s="61">
        <f t="shared" si="70"/>
        <v>-0.24200000000000016</v>
      </c>
      <c r="CV114" s="61">
        <f t="shared" si="71"/>
        <v>114144</v>
      </c>
      <c r="CW114" s="61">
        <f t="shared" si="96"/>
        <v>114144</v>
      </c>
      <c r="CX114" s="61"/>
      <c r="CY114" s="61">
        <f t="shared" si="97"/>
        <v>0</v>
      </c>
      <c r="CZ114" s="61">
        <f t="shared" si="98"/>
        <v>0</v>
      </c>
      <c r="DA114" s="61">
        <f t="shared" si="98"/>
        <v>0</v>
      </c>
      <c r="DB114" s="2" t="s">
        <v>102</v>
      </c>
      <c r="DC114" s="2" t="s">
        <v>85</v>
      </c>
      <c r="DD114" s="2" t="s">
        <v>142</v>
      </c>
      <c r="DE114" s="2" t="s">
        <v>257</v>
      </c>
      <c r="DZ114" s="3" t="e">
        <v>#N/A</v>
      </c>
      <c r="EC114" s="60" t="str">
        <f>VLOOKUP($M114,[1]Detail!$M:$BO,1,0)</f>
        <v>JD8C-19048-AA</v>
      </c>
      <c r="ED114" s="60">
        <f>VLOOKUP($M114,[1]Detail!$M:$BO,22,0)</f>
        <v>-4.5</v>
      </c>
      <c r="EE114" s="60">
        <f>VLOOKUP($M114,[1]Detail!$M:$BO,42,0)</f>
        <v>-471125</v>
      </c>
      <c r="EF114" s="60">
        <f>VLOOKUP($M114,[1]Detail!$M:$BO,45,0)</f>
        <v>0</v>
      </c>
      <c r="EH114" s="60">
        <f>ED114-AD114</f>
        <v>0</v>
      </c>
      <c r="EI114" s="60">
        <f>EE114-AG114</f>
        <v>0</v>
      </c>
      <c r="EJ114" s="60">
        <f>EF114-AJ114</f>
        <v>0</v>
      </c>
    </row>
    <row r="115" spans="2:140" ht="12.75" hidden="1" customHeight="1">
      <c r="B115" s="23" t="s">
        <v>342</v>
      </c>
      <c r="C115" s="22" t="s">
        <v>343</v>
      </c>
      <c r="D115" s="22" t="s">
        <v>344</v>
      </c>
      <c r="E115" s="2" t="str">
        <f>VLOOKUP($C115,[1]Detail!$C:$AK,6,0)</f>
        <v>PMT3</v>
      </c>
      <c r="F115" s="2" t="str">
        <f>VLOOKUP($C115,[1]Detail!$C:$AK,7,0)</f>
        <v>PF</v>
      </c>
      <c r="G115" s="2" t="str">
        <f>VLOOKUP($C115,[1]Detail!$C:$AK,5,0)</f>
        <v>D</v>
      </c>
      <c r="J115" s="22" t="s">
        <v>110</v>
      </c>
      <c r="K115" s="23">
        <v>1007</v>
      </c>
      <c r="L115" s="22" t="s">
        <v>113</v>
      </c>
      <c r="M115" s="51" t="str">
        <f t="shared" ref="M115:M178" si="111">TRIM(J115)&amp;"-"&amp;TRIM(K115)&amp;"-"&amp;TRIM(L115)</f>
        <v>JD8T-1007-CA</v>
      </c>
      <c r="O115" s="22">
        <v>4</v>
      </c>
      <c r="P115" s="22">
        <v>4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64">
        <f t="shared" ref="W115:W178" si="112">SUMPRODUCT(O115:V115,$O$6:$V$6)</f>
        <v>1.2000000000000002</v>
      </c>
      <c r="Y115" s="60">
        <v>-174.79</v>
      </c>
      <c r="Z115" s="60">
        <v>-1.51</v>
      </c>
      <c r="AA115" s="60">
        <v>-1.34</v>
      </c>
      <c r="AB115" s="60">
        <v>0</v>
      </c>
      <c r="AC115" s="60">
        <v>-2</v>
      </c>
      <c r="AD115" s="8">
        <f t="shared" si="88"/>
        <v>-179.64</v>
      </c>
      <c r="AE115" s="2" t="s">
        <v>91</v>
      </c>
      <c r="AG115" s="71">
        <f>-80000*0</f>
        <v>0</v>
      </c>
      <c r="AH115" s="71" t="s">
        <v>345</v>
      </c>
      <c r="AJ115" s="71">
        <v>0</v>
      </c>
      <c r="AK115" s="71">
        <v>0</v>
      </c>
      <c r="AL115" s="72">
        <v>0</v>
      </c>
      <c r="AM115" s="22"/>
      <c r="AO115" s="22" t="s">
        <v>110</v>
      </c>
      <c r="AP115" s="23">
        <v>1007</v>
      </c>
      <c r="AQ115" s="22" t="s">
        <v>113</v>
      </c>
      <c r="AR115" s="51" t="str">
        <f t="shared" si="92"/>
        <v>JD8T-1007-CA</v>
      </c>
      <c r="AS115" s="3"/>
      <c r="AT115" s="22">
        <v>4</v>
      </c>
      <c r="AU115" s="22">
        <v>4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">
        <f t="shared" ref="BB115:BB131" si="113">SUMPRODUCT(AT115:BA115,$O$6:$V$6)</f>
        <v>1.2000000000000002</v>
      </c>
      <c r="BD115" s="60">
        <v>-174.79</v>
      </c>
      <c r="BE115" s="60">
        <v>-1.51</v>
      </c>
      <c r="BF115" s="60">
        <v>-1.34</v>
      </c>
      <c r="BG115" s="60">
        <v>0</v>
      </c>
      <c r="BH115" s="60">
        <v>-2</v>
      </c>
      <c r="BI115" s="8">
        <f t="shared" si="109"/>
        <v>-179.64</v>
      </c>
      <c r="BJ115" s="2" t="s">
        <v>91</v>
      </c>
      <c r="BL115" s="71">
        <f>-80000*0</f>
        <v>0</v>
      </c>
      <c r="BM115" s="71" t="s">
        <v>345</v>
      </c>
      <c r="BO115" s="71">
        <v>0</v>
      </c>
      <c r="BP115" s="71">
        <v>0</v>
      </c>
      <c r="BQ115" s="72">
        <v>0</v>
      </c>
      <c r="BS115" s="61">
        <f t="shared" ref="BS115:BS178" si="114">SUM(Y115)-SUM(BD115)</f>
        <v>0</v>
      </c>
      <c r="BT115" s="61">
        <f t="shared" ref="BT115:BT178" si="115">SUM(Z115)-SUM(BE115)</f>
        <v>0</v>
      </c>
      <c r="BU115" s="61">
        <f t="shared" ref="BU115:BX178" si="116">SUM(AA115)-SUM(BF115)</f>
        <v>0</v>
      </c>
      <c r="BV115" s="61">
        <f t="shared" si="116"/>
        <v>0</v>
      </c>
      <c r="BW115" s="61">
        <f t="shared" si="116"/>
        <v>0</v>
      </c>
      <c r="BX115" s="61">
        <f t="shared" si="116"/>
        <v>0</v>
      </c>
      <c r="BY115" s="61" t="s">
        <v>91</v>
      </c>
      <c r="CA115" s="61">
        <f t="shared" si="79"/>
        <v>0</v>
      </c>
      <c r="CB115" s="61">
        <f t="shared" si="79"/>
        <v>0</v>
      </c>
      <c r="CC115" s="61">
        <f t="shared" si="79"/>
        <v>0</v>
      </c>
      <c r="CD115" s="61">
        <f t="shared" si="74"/>
        <v>0</v>
      </c>
      <c r="CE115" s="61">
        <f t="shared" si="74"/>
        <v>0</v>
      </c>
      <c r="CF115" s="61">
        <f t="shared" si="74"/>
        <v>0</v>
      </c>
      <c r="CG115" s="61">
        <f t="shared" si="74"/>
        <v>0</v>
      </c>
      <c r="CH115" s="61">
        <f t="shared" si="74"/>
        <v>0</v>
      </c>
      <c r="CI115" s="61">
        <f t="shared" si="68"/>
        <v>0</v>
      </c>
      <c r="CJ115" s="61"/>
      <c r="CK115" s="61">
        <f t="shared" si="80"/>
        <v>0</v>
      </c>
      <c r="CL115" s="61">
        <f t="shared" si="80"/>
        <v>0</v>
      </c>
      <c r="CM115" s="61">
        <f t="shared" si="80"/>
        <v>0</v>
      </c>
      <c r="CN115" s="61">
        <f t="shared" si="75"/>
        <v>0</v>
      </c>
      <c r="CO115" s="61">
        <f t="shared" si="75"/>
        <v>0</v>
      </c>
      <c r="CP115" s="61">
        <f t="shared" si="75"/>
        <v>0</v>
      </c>
      <c r="CQ115" s="61">
        <f t="shared" si="75"/>
        <v>0</v>
      </c>
      <c r="CR115" s="61">
        <f t="shared" si="75"/>
        <v>0</v>
      </c>
      <c r="CS115" s="61">
        <f t="shared" si="69"/>
        <v>0</v>
      </c>
      <c r="CT115" s="61">
        <f t="shared" si="70"/>
        <v>0</v>
      </c>
      <c r="CV115" s="61">
        <f t="shared" si="71"/>
        <v>0</v>
      </c>
      <c r="CW115" s="61">
        <f t="shared" si="96"/>
        <v>0</v>
      </c>
      <c r="CX115" s="61"/>
      <c r="CY115" s="61">
        <f t="shared" si="97"/>
        <v>0</v>
      </c>
      <c r="CZ115" s="61">
        <f t="shared" si="98"/>
        <v>0</v>
      </c>
      <c r="DA115" s="61">
        <f t="shared" si="98"/>
        <v>0</v>
      </c>
      <c r="DB115" s="2" t="s">
        <v>85</v>
      </c>
      <c r="DC115" s="2" t="s">
        <v>102</v>
      </c>
      <c r="DD115" s="2" t="s">
        <v>142</v>
      </c>
      <c r="DE115" s="2" t="s">
        <v>181</v>
      </c>
      <c r="DF115" s="3" t="s">
        <v>102</v>
      </c>
      <c r="DG115" s="62">
        <v>42801</v>
      </c>
      <c r="EC115" s="60"/>
      <c r="ED115" s="60"/>
      <c r="EE115" s="60"/>
      <c r="EF115" s="60"/>
    </row>
    <row r="116" spans="2:140" ht="12.75" hidden="1" customHeight="1">
      <c r="B116" s="23" t="s">
        <v>342</v>
      </c>
      <c r="C116" s="22" t="s">
        <v>343</v>
      </c>
      <c r="D116" s="22" t="s">
        <v>344</v>
      </c>
      <c r="E116" s="2" t="str">
        <f>VLOOKUP($C116,[1]Detail!$C:$AK,6,0)</f>
        <v>PMT3</v>
      </c>
      <c r="F116" s="2" t="str">
        <f>VLOOKUP($C116,[1]Detail!$C:$AK,7,0)</f>
        <v>PF</v>
      </c>
      <c r="G116" s="2" t="str">
        <f>VLOOKUP($C116,[1]Detail!$C:$AK,5,0)</f>
        <v>D</v>
      </c>
      <c r="J116" s="22" t="s">
        <v>110</v>
      </c>
      <c r="K116" s="23">
        <v>1007</v>
      </c>
      <c r="L116" s="22" t="s">
        <v>115</v>
      </c>
      <c r="M116" s="51" t="str">
        <f t="shared" si="111"/>
        <v>JD8T-1007-DA</v>
      </c>
      <c r="O116" s="22">
        <v>0</v>
      </c>
      <c r="P116" s="22">
        <v>0</v>
      </c>
      <c r="Q116" s="22">
        <v>0</v>
      </c>
      <c r="R116" s="22">
        <v>0</v>
      </c>
      <c r="S116" s="22">
        <v>4</v>
      </c>
      <c r="T116" s="22">
        <v>4</v>
      </c>
      <c r="U116" s="22">
        <v>0</v>
      </c>
      <c r="V116" s="22">
        <v>0</v>
      </c>
      <c r="W116" s="64">
        <f t="shared" si="112"/>
        <v>0.92</v>
      </c>
      <c r="Y116" s="60">
        <v>-211.19</v>
      </c>
      <c r="Z116" s="60">
        <v>-1.51</v>
      </c>
      <c r="AA116" s="60">
        <v>-1.56</v>
      </c>
      <c r="AB116" s="60">
        <v>0</v>
      </c>
      <c r="AC116" s="60">
        <v>-2</v>
      </c>
      <c r="AD116" s="8">
        <f t="shared" si="88"/>
        <v>-216.26</v>
      </c>
      <c r="AE116" s="2" t="s">
        <v>91</v>
      </c>
      <c r="AG116" s="71">
        <f>-80000*0</f>
        <v>0</v>
      </c>
      <c r="AH116" s="71" t="s">
        <v>345</v>
      </c>
      <c r="AJ116" s="71">
        <v>0</v>
      </c>
      <c r="AK116" s="71">
        <v>0</v>
      </c>
      <c r="AL116" s="72">
        <v>0</v>
      </c>
      <c r="AM116" s="22"/>
      <c r="AO116" s="22" t="s">
        <v>110</v>
      </c>
      <c r="AP116" s="23">
        <v>1007</v>
      </c>
      <c r="AQ116" s="22" t="s">
        <v>115</v>
      </c>
      <c r="AR116" s="51" t="str">
        <f t="shared" si="92"/>
        <v>JD8T-1007-DA</v>
      </c>
      <c r="AS116" s="3"/>
      <c r="AT116" s="22">
        <v>0</v>
      </c>
      <c r="AU116" s="22">
        <v>0</v>
      </c>
      <c r="AV116" s="22">
        <v>0</v>
      </c>
      <c r="AW116" s="22">
        <v>0</v>
      </c>
      <c r="AX116" s="22">
        <v>4</v>
      </c>
      <c r="AY116" s="22">
        <v>4</v>
      </c>
      <c r="AZ116" s="22">
        <v>0</v>
      </c>
      <c r="BA116" s="22">
        <v>0</v>
      </c>
      <c r="BB116" s="2">
        <f t="shared" si="113"/>
        <v>0.92</v>
      </c>
      <c r="BD116" s="60">
        <v>-211.19</v>
      </c>
      <c r="BE116" s="60">
        <v>-1.51</v>
      </c>
      <c r="BF116" s="60">
        <v>-1.56</v>
      </c>
      <c r="BG116" s="60">
        <v>0</v>
      </c>
      <c r="BH116" s="60">
        <v>-2</v>
      </c>
      <c r="BI116" s="8">
        <f t="shared" si="109"/>
        <v>-216.26</v>
      </c>
      <c r="BJ116" s="2" t="s">
        <v>91</v>
      </c>
      <c r="BL116" s="71">
        <f>-80000*0</f>
        <v>0</v>
      </c>
      <c r="BM116" s="71" t="s">
        <v>345</v>
      </c>
      <c r="BO116" s="71">
        <v>0</v>
      </c>
      <c r="BP116" s="71">
        <v>0</v>
      </c>
      <c r="BQ116" s="72">
        <v>0</v>
      </c>
      <c r="BS116" s="61">
        <f t="shared" si="114"/>
        <v>0</v>
      </c>
      <c r="BT116" s="61">
        <f t="shared" si="115"/>
        <v>0</v>
      </c>
      <c r="BU116" s="61">
        <f t="shared" si="116"/>
        <v>0</v>
      </c>
      <c r="BV116" s="61">
        <f t="shared" si="116"/>
        <v>0</v>
      </c>
      <c r="BW116" s="61">
        <f t="shared" si="116"/>
        <v>0</v>
      </c>
      <c r="BX116" s="61">
        <f t="shared" si="116"/>
        <v>0</v>
      </c>
      <c r="BY116" s="61" t="s">
        <v>91</v>
      </c>
      <c r="CA116" s="61">
        <f t="shared" si="79"/>
        <v>0</v>
      </c>
      <c r="CB116" s="61">
        <f t="shared" si="79"/>
        <v>0</v>
      </c>
      <c r="CC116" s="61">
        <f t="shared" si="79"/>
        <v>0</v>
      </c>
      <c r="CD116" s="61">
        <f t="shared" si="74"/>
        <v>0</v>
      </c>
      <c r="CE116" s="61">
        <f t="shared" si="74"/>
        <v>0</v>
      </c>
      <c r="CF116" s="61">
        <f t="shared" si="74"/>
        <v>0</v>
      </c>
      <c r="CG116" s="61">
        <f t="shared" si="74"/>
        <v>0</v>
      </c>
      <c r="CH116" s="61">
        <f t="shared" si="74"/>
        <v>0</v>
      </c>
      <c r="CI116" s="61">
        <f t="shared" si="68"/>
        <v>0</v>
      </c>
      <c r="CJ116" s="61"/>
      <c r="CK116" s="61">
        <f t="shared" si="80"/>
        <v>0</v>
      </c>
      <c r="CL116" s="61">
        <f t="shared" si="80"/>
        <v>0</v>
      </c>
      <c r="CM116" s="61">
        <f t="shared" si="80"/>
        <v>0</v>
      </c>
      <c r="CN116" s="61">
        <f t="shared" si="75"/>
        <v>0</v>
      </c>
      <c r="CO116" s="61">
        <f t="shared" si="75"/>
        <v>0</v>
      </c>
      <c r="CP116" s="61">
        <f t="shared" si="75"/>
        <v>0</v>
      </c>
      <c r="CQ116" s="61">
        <f t="shared" si="75"/>
        <v>0</v>
      </c>
      <c r="CR116" s="61">
        <f t="shared" si="75"/>
        <v>0</v>
      </c>
      <c r="CS116" s="61">
        <f t="shared" si="69"/>
        <v>0</v>
      </c>
      <c r="CT116" s="61">
        <f t="shared" si="70"/>
        <v>0</v>
      </c>
      <c r="CV116" s="61">
        <f t="shared" si="71"/>
        <v>0</v>
      </c>
      <c r="CW116" s="61">
        <f t="shared" si="96"/>
        <v>0</v>
      </c>
      <c r="CX116" s="61"/>
      <c r="CY116" s="61">
        <f t="shared" si="97"/>
        <v>0</v>
      </c>
      <c r="CZ116" s="61">
        <f t="shared" ref="CZ116:DA185" si="117">SUM(AK116)-SUM(BP116)</f>
        <v>0</v>
      </c>
      <c r="DA116" s="61">
        <f t="shared" si="117"/>
        <v>0</v>
      </c>
      <c r="DB116" s="2" t="s">
        <v>85</v>
      </c>
      <c r="DC116" s="2" t="s">
        <v>102</v>
      </c>
      <c r="DD116" s="2" t="s">
        <v>142</v>
      </c>
      <c r="DE116" s="2" t="s">
        <v>181</v>
      </c>
      <c r="DF116" s="3" t="s">
        <v>102</v>
      </c>
      <c r="DG116" s="62">
        <v>42801</v>
      </c>
      <c r="EC116" s="60"/>
      <c r="ED116" s="60"/>
      <c r="EE116" s="60"/>
      <c r="EF116" s="60"/>
    </row>
    <row r="117" spans="2:140" ht="13.5" hidden="1" customHeight="1">
      <c r="B117" s="23" t="s">
        <v>346</v>
      </c>
      <c r="C117" s="22" t="s">
        <v>343</v>
      </c>
      <c r="D117" s="22" t="s">
        <v>344</v>
      </c>
      <c r="E117" s="2" t="s">
        <v>347</v>
      </c>
      <c r="F117" s="2" t="s">
        <v>348</v>
      </c>
      <c r="G117" s="2" t="s">
        <v>339</v>
      </c>
      <c r="J117" s="22" t="s">
        <v>110</v>
      </c>
      <c r="K117" s="23">
        <v>1007</v>
      </c>
      <c r="L117" s="22" t="s">
        <v>100</v>
      </c>
      <c r="M117" s="51" t="str">
        <f t="shared" si="111"/>
        <v>JD8T-1007-AA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4</v>
      </c>
      <c r="V117" s="22">
        <v>4</v>
      </c>
      <c r="W117" s="64">
        <f t="shared" si="112"/>
        <v>0.4</v>
      </c>
      <c r="Y117" s="60">
        <v>-313.63</v>
      </c>
      <c r="Z117" s="60">
        <v>-1.71</v>
      </c>
      <c r="AA117" s="60">
        <v>-4.8</v>
      </c>
      <c r="AB117" s="60"/>
      <c r="AC117" s="60">
        <v>-2</v>
      </c>
      <c r="AD117" s="8">
        <f t="shared" ref="AD117:AD148" si="118">SUM(Y117:AC117)</f>
        <v>-322.14</v>
      </c>
      <c r="AE117" s="2" t="s">
        <v>91</v>
      </c>
      <c r="AG117" s="71">
        <f>-80000*0</f>
        <v>0</v>
      </c>
      <c r="AH117" s="71" t="s">
        <v>345</v>
      </c>
      <c r="AJ117" s="71">
        <v>0</v>
      </c>
      <c r="AK117" s="71">
        <v>0</v>
      </c>
      <c r="AL117" s="72">
        <v>0</v>
      </c>
      <c r="AM117" s="22"/>
      <c r="AO117" s="22" t="s">
        <v>110</v>
      </c>
      <c r="AP117" s="23">
        <v>1007</v>
      </c>
      <c r="AQ117" s="22" t="s">
        <v>100</v>
      </c>
      <c r="AR117" s="51" t="str">
        <f t="shared" si="92"/>
        <v>JD8T-1007-AA</v>
      </c>
      <c r="AS117" s="3"/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4</v>
      </c>
      <c r="BA117" s="22">
        <v>4</v>
      </c>
      <c r="BB117" s="64">
        <f t="shared" si="113"/>
        <v>0.4</v>
      </c>
      <c r="BD117" s="60">
        <v>-263.08</v>
      </c>
      <c r="BE117" s="60">
        <v>-1.37</v>
      </c>
      <c r="BF117" s="60">
        <v>-0.99</v>
      </c>
      <c r="BG117" s="60"/>
      <c r="BH117" s="60">
        <v>-2</v>
      </c>
      <c r="BI117" s="8">
        <f t="shared" si="109"/>
        <v>-267.44</v>
      </c>
      <c r="BJ117" s="2" t="s">
        <v>91</v>
      </c>
      <c r="BL117" s="71">
        <f>-80000*0</f>
        <v>0</v>
      </c>
      <c r="BM117" s="71" t="s">
        <v>345</v>
      </c>
      <c r="BO117" s="71">
        <v>0</v>
      </c>
      <c r="BP117" s="71">
        <v>0</v>
      </c>
      <c r="BQ117" s="72">
        <v>0</v>
      </c>
      <c r="BS117" s="61">
        <f t="shared" si="114"/>
        <v>-50.550000000000011</v>
      </c>
      <c r="BT117" s="61">
        <f t="shared" si="115"/>
        <v>-0.33999999999999986</v>
      </c>
      <c r="BU117" s="61">
        <f t="shared" si="116"/>
        <v>-3.8099999999999996</v>
      </c>
      <c r="BV117" s="61">
        <f t="shared" si="116"/>
        <v>0</v>
      </c>
      <c r="BW117" s="61">
        <f t="shared" si="116"/>
        <v>0</v>
      </c>
      <c r="BX117" s="61">
        <f t="shared" si="116"/>
        <v>-54.699999999999989</v>
      </c>
      <c r="BY117" s="61" t="s">
        <v>91</v>
      </c>
      <c r="CA117" s="61">
        <f t="shared" si="79"/>
        <v>0</v>
      </c>
      <c r="CB117" s="61">
        <f t="shared" si="79"/>
        <v>0</v>
      </c>
      <c r="CC117" s="61">
        <f t="shared" si="79"/>
        <v>0</v>
      </c>
      <c r="CD117" s="61">
        <f t="shared" si="74"/>
        <v>0</v>
      </c>
      <c r="CE117" s="61">
        <f t="shared" si="74"/>
        <v>0</v>
      </c>
      <c r="CF117" s="61">
        <f t="shared" si="74"/>
        <v>0</v>
      </c>
      <c r="CG117" s="61">
        <f t="shared" si="74"/>
        <v>-30.419738227771933</v>
      </c>
      <c r="CH117" s="61">
        <f t="shared" si="74"/>
        <v>-30.419738227771933</v>
      </c>
      <c r="CI117" s="61">
        <f t="shared" si="68"/>
        <v>-3.0419738227771935</v>
      </c>
      <c r="CJ117" s="61"/>
      <c r="CK117" s="61">
        <f t="shared" si="80"/>
        <v>0</v>
      </c>
      <c r="CL117" s="61">
        <f t="shared" si="80"/>
        <v>0</v>
      </c>
      <c r="CM117" s="61">
        <f t="shared" si="80"/>
        <v>0</v>
      </c>
      <c r="CN117" s="61">
        <f t="shared" si="75"/>
        <v>0</v>
      </c>
      <c r="CO117" s="61">
        <f t="shared" si="75"/>
        <v>0</v>
      </c>
      <c r="CP117" s="61">
        <f t="shared" si="75"/>
        <v>0</v>
      </c>
      <c r="CQ117" s="61">
        <f t="shared" si="75"/>
        <v>-32.917105461110268</v>
      </c>
      <c r="CR117" s="61">
        <f t="shared" si="75"/>
        <v>-32.917105461110268</v>
      </c>
      <c r="CS117" s="61">
        <f t="shared" si="69"/>
        <v>-3.2917105461110268</v>
      </c>
      <c r="CT117" s="61">
        <f t="shared" si="70"/>
        <v>-21.879999999999995</v>
      </c>
      <c r="CV117" s="61">
        <f t="shared" si="71"/>
        <v>0</v>
      </c>
      <c r="CW117" s="61">
        <f t="shared" si="96"/>
        <v>0</v>
      </c>
      <c r="CX117" s="61"/>
      <c r="CY117" s="61">
        <f t="shared" si="97"/>
        <v>0</v>
      </c>
      <c r="CZ117" s="61">
        <f t="shared" si="117"/>
        <v>0</v>
      </c>
      <c r="DA117" s="61">
        <f t="shared" si="117"/>
        <v>0</v>
      </c>
      <c r="DB117" s="2" t="s">
        <v>85</v>
      </c>
      <c r="DC117" s="2" t="s">
        <v>102</v>
      </c>
      <c r="DD117" s="2" t="s">
        <v>142</v>
      </c>
      <c r="DE117" s="2" t="s">
        <v>169</v>
      </c>
      <c r="DF117" s="3" t="s">
        <v>102</v>
      </c>
      <c r="DG117" s="62">
        <v>42913</v>
      </c>
      <c r="EC117" s="60"/>
      <c r="ED117" s="60"/>
      <c r="EE117" s="60"/>
      <c r="EF117" s="60"/>
    </row>
    <row r="118" spans="2:140" ht="12.75" hidden="1" customHeight="1">
      <c r="B118" s="23" t="s">
        <v>346</v>
      </c>
      <c r="C118" s="22" t="s">
        <v>343</v>
      </c>
      <c r="D118" s="22" t="s">
        <v>344</v>
      </c>
      <c r="E118" s="2" t="s">
        <v>347</v>
      </c>
      <c r="F118" s="2" t="s">
        <v>348</v>
      </c>
      <c r="G118" s="2" t="s">
        <v>339</v>
      </c>
      <c r="J118" s="22" t="s">
        <v>110</v>
      </c>
      <c r="K118" s="23">
        <v>1007</v>
      </c>
      <c r="L118" s="22" t="s">
        <v>111</v>
      </c>
      <c r="M118" s="51" t="str">
        <f t="shared" si="111"/>
        <v>JD8T-1007-BA</v>
      </c>
      <c r="O118" s="22">
        <v>0</v>
      </c>
      <c r="P118" s="22">
        <v>0</v>
      </c>
      <c r="Q118" s="22">
        <v>4</v>
      </c>
      <c r="R118" s="22">
        <v>4</v>
      </c>
      <c r="S118" s="22">
        <v>0</v>
      </c>
      <c r="T118" s="22">
        <v>0</v>
      </c>
      <c r="U118" s="22">
        <v>0</v>
      </c>
      <c r="V118" s="22">
        <v>0</v>
      </c>
      <c r="W118" s="64">
        <f t="shared" si="112"/>
        <v>1.48</v>
      </c>
      <c r="Y118" s="60">
        <v>-209.63</v>
      </c>
      <c r="Z118" s="60">
        <v>-1.33</v>
      </c>
      <c r="AA118" s="60">
        <v>-0.83</v>
      </c>
      <c r="AB118" s="60">
        <v>0</v>
      </c>
      <c r="AC118" s="60">
        <v>-2</v>
      </c>
      <c r="AD118" s="8">
        <f t="shared" si="118"/>
        <v>-213.79000000000002</v>
      </c>
      <c r="AE118" s="2" t="s">
        <v>91</v>
      </c>
      <c r="AG118" s="71">
        <f>-80000*0</f>
        <v>0</v>
      </c>
      <c r="AH118" s="71" t="s">
        <v>345</v>
      </c>
      <c r="AJ118" s="71">
        <v>0</v>
      </c>
      <c r="AK118" s="71">
        <v>0</v>
      </c>
      <c r="AL118" s="72">
        <v>0</v>
      </c>
      <c r="AM118" s="22"/>
      <c r="AO118" s="22" t="s">
        <v>110</v>
      </c>
      <c r="AP118" s="23">
        <v>1007</v>
      </c>
      <c r="AQ118" s="22" t="s">
        <v>111</v>
      </c>
      <c r="AR118" s="51" t="str">
        <f t="shared" si="92"/>
        <v>JD8T-1007-BA</v>
      </c>
      <c r="AS118" s="3"/>
      <c r="AT118" s="22">
        <v>0</v>
      </c>
      <c r="AU118" s="22">
        <v>0</v>
      </c>
      <c r="AV118" s="22">
        <v>4</v>
      </c>
      <c r="AW118" s="22">
        <v>4</v>
      </c>
      <c r="AX118" s="22">
        <v>0</v>
      </c>
      <c r="AY118" s="22">
        <v>0</v>
      </c>
      <c r="AZ118" s="22">
        <v>0</v>
      </c>
      <c r="BA118" s="22">
        <v>0</v>
      </c>
      <c r="BB118" s="64">
        <f t="shared" si="113"/>
        <v>1.48</v>
      </c>
      <c r="BD118" s="60">
        <v>-209.63</v>
      </c>
      <c r="BE118" s="60">
        <v>-1.33</v>
      </c>
      <c r="BF118" s="60">
        <v>-0.83</v>
      </c>
      <c r="BG118" s="60">
        <v>0</v>
      </c>
      <c r="BH118" s="60">
        <v>-2</v>
      </c>
      <c r="BI118" s="8">
        <f t="shared" si="109"/>
        <v>-213.79000000000002</v>
      </c>
      <c r="BJ118" s="2" t="s">
        <v>91</v>
      </c>
      <c r="BL118" s="71">
        <f>-80000*0</f>
        <v>0</v>
      </c>
      <c r="BM118" s="71" t="s">
        <v>345</v>
      </c>
      <c r="BO118" s="71">
        <v>0</v>
      </c>
      <c r="BP118" s="71">
        <v>0</v>
      </c>
      <c r="BQ118" s="72">
        <v>0</v>
      </c>
      <c r="BS118" s="61">
        <f t="shared" si="114"/>
        <v>0</v>
      </c>
      <c r="BT118" s="61">
        <f t="shared" si="115"/>
        <v>0</v>
      </c>
      <c r="BU118" s="61">
        <f t="shared" si="116"/>
        <v>0</v>
      </c>
      <c r="BV118" s="61">
        <f t="shared" si="116"/>
        <v>0</v>
      </c>
      <c r="BW118" s="61">
        <f t="shared" si="116"/>
        <v>0</v>
      </c>
      <c r="BX118" s="61">
        <f t="shared" si="116"/>
        <v>0</v>
      </c>
      <c r="BY118" s="61" t="s">
        <v>91</v>
      </c>
      <c r="CA118" s="61">
        <f t="shared" si="79"/>
        <v>0</v>
      </c>
      <c r="CB118" s="61">
        <f t="shared" si="79"/>
        <v>0</v>
      </c>
      <c r="CC118" s="61">
        <f t="shared" si="79"/>
        <v>0</v>
      </c>
      <c r="CD118" s="61">
        <f t="shared" si="74"/>
        <v>0</v>
      </c>
      <c r="CE118" s="61">
        <f t="shared" si="74"/>
        <v>0</v>
      </c>
      <c r="CF118" s="61">
        <f t="shared" si="74"/>
        <v>0</v>
      </c>
      <c r="CG118" s="61">
        <f t="shared" si="74"/>
        <v>0</v>
      </c>
      <c r="CH118" s="61">
        <f t="shared" si="74"/>
        <v>0</v>
      </c>
      <c r="CI118" s="61">
        <f t="shared" si="68"/>
        <v>0</v>
      </c>
      <c r="CJ118" s="61"/>
      <c r="CK118" s="61">
        <f t="shared" si="80"/>
        <v>0</v>
      </c>
      <c r="CL118" s="61">
        <f t="shared" si="80"/>
        <v>0</v>
      </c>
      <c r="CM118" s="61">
        <f t="shared" si="80"/>
        <v>0</v>
      </c>
      <c r="CN118" s="61">
        <f t="shared" si="75"/>
        <v>0</v>
      </c>
      <c r="CO118" s="61">
        <f t="shared" si="75"/>
        <v>0</v>
      </c>
      <c r="CP118" s="61">
        <f t="shared" si="75"/>
        <v>0</v>
      </c>
      <c r="CQ118" s="61">
        <f t="shared" si="75"/>
        <v>0</v>
      </c>
      <c r="CR118" s="61">
        <f t="shared" si="75"/>
        <v>0</v>
      </c>
      <c r="CS118" s="61">
        <f t="shared" si="69"/>
        <v>0</v>
      </c>
      <c r="CT118" s="61">
        <f t="shared" si="70"/>
        <v>0</v>
      </c>
      <c r="CV118" s="61">
        <f t="shared" si="71"/>
        <v>0</v>
      </c>
      <c r="CW118" s="61">
        <f t="shared" si="96"/>
        <v>0</v>
      </c>
      <c r="CX118" s="61"/>
      <c r="CY118" s="61">
        <f t="shared" si="97"/>
        <v>0</v>
      </c>
      <c r="CZ118" s="61">
        <f t="shared" si="117"/>
        <v>0</v>
      </c>
      <c r="DA118" s="61">
        <f t="shared" si="117"/>
        <v>0</v>
      </c>
      <c r="DB118" s="2" t="s">
        <v>85</v>
      </c>
      <c r="DC118" s="2" t="s">
        <v>102</v>
      </c>
      <c r="DD118" s="2" t="s">
        <v>142</v>
      </c>
      <c r="DE118" s="2" t="s">
        <v>169</v>
      </c>
      <c r="DF118" s="3" t="s">
        <v>102</v>
      </c>
      <c r="DG118" s="62">
        <v>42913</v>
      </c>
      <c r="EC118" s="60"/>
      <c r="ED118" s="60"/>
      <c r="EE118" s="60"/>
      <c r="EF118" s="60"/>
    </row>
    <row r="119" spans="2:140" ht="12.75" hidden="1" customHeight="1">
      <c r="B119" s="23" t="s">
        <v>349</v>
      </c>
      <c r="C119" s="22" t="s">
        <v>350</v>
      </c>
      <c r="D119" s="22" t="s">
        <v>351</v>
      </c>
      <c r="E119" s="2" t="s">
        <v>347</v>
      </c>
      <c r="F119" s="2" t="s">
        <v>348</v>
      </c>
      <c r="G119" s="2" t="s">
        <v>339</v>
      </c>
      <c r="J119" s="22" t="s">
        <v>352</v>
      </c>
      <c r="K119" s="23" t="s">
        <v>353</v>
      </c>
      <c r="L119" s="22" t="s">
        <v>111</v>
      </c>
      <c r="M119" s="51" t="str">
        <f t="shared" si="111"/>
        <v>JD8C -1K003-BA</v>
      </c>
      <c r="O119" s="22">
        <v>0</v>
      </c>
      <c r="P119" s="22">
        <v>0</v>
      </c>
      <c r="Q119" s="22">
        <v>4</v>
      </c>
      <c r="R119" s="22">
        <v>4</v>
      </c>
      <c r="S119" s="22">
        <v>0</v>
      </c>
      <c r="T119" s="22">
        <v>0</v>
      </c>
      <c r="U119" s="22">
        <v>0</v>
      </c>
      <c r="V119" s="22">
        <v>0</v>
      </c>
      <c r="W119" s="64">
        <f t="shared" si="112"/>
        <v>1.48</v>
      </c>
      <c r="Y119" s="60">
        <v>-495.7</v>
      </c>
      <c r="Z119" s="60">
        <v>0</v>
      </c>
      <c r="AA119" s="60">
        <v>0</v>
      </c>
      <c r="AB119" s="60">
        <v>0</v>
      </c>
      <c r="AC119" s="60">
        <v>0</v>
      </c>
      <c r="AD119" s="8">
        <f t="shared" si="118"/>
        <v>-495.7</v>
      </c>
      <c r="AE119" s="2" t="s">
        <v>91</v>
      </c>
      <c r="AG119" s="71">
        <v>0</v>
      </c>
      <c r="AH119" s="71">
        <v>0</v>
      </c>
      <c r="AJ119" s="71">
        <v>0</v>
      </c>
      <c r="AK119" s="71">
        <v>0</v>
      </c>
      <c r="AL119" s="71">
        <v>0</v>
      </c>
      <c r="AM119" s="22"/>
      <c r="AO119" s="22" t="s">
        <v>352</v>
      </c>
      <c r="AP119" s="23" t="s">
        <v>353</v>
      </c>
      <c r="AQ119" s="22" t="s">
        <v>111</v>
      </c>
      <c r="AR119" s="51" t="str">
        <f t="shared" si="92"/>
        <v>JD8C -1K003-BA</v>
      </c>
      <c r="AS119" s="3"/>
      <c r="AT119" s="22">
        <v>0</v>
      </c>
      <c r="AU119" s="22">
        <v>0</v>
      </c>
      <c r="AV119" s="22">
        <v>4</v>
      </c>
      <c r="AW119" s="22">
        <v>4</v>
      </c>
      <c r="AX119" s="22">
        <v>0</v>
      </c>
      <c r="AY119" s="22">
        <v>0</v>
      </c>
      <c r="AZ119" s="22">
        <v>0</v>
      </c>
      <c r="BA119" s="22">
        <v>0</v>
      </c>
      <c r="BB119" s="64">
        <f t="shared" si="113"/>
        <v>1.48</v>
      </c>
      <c r="BD119" s="60">
        <v>-495.7</v>
      </c>
      <c r="BE119" s="60">
        <v>0</v>
      </c>
      <c r="BF119" s="60">
        <v>0</v>
      </c>
      <c r="BG119" s="60">
        <v>0</v>
      </c>
      <c r="BH119" s="60">
        <v>0</v>
      </c>
      <c r="BI119" s="8">
        <f t="shared" si="109"/>
        <v>-495.7</v>
      </c>
      <c r="BJ119" s="2" t="s">
        <v>91</v>
      </c>
      <c r="BL119" s="71">
        <v>0</v>
      </c>
      <c r="BM119" s="71">
        <v>0</v>
      </c>
      <c r="BO119" s="71">
        <v>0</v>
      </c>
      <c r="BP119" s="71">
        <v>0</v>
      </c>
      <c r="BQ119" s="72">
        <v>0</v>
      </c>
      <c r="BS119" s="61">
        <f t="shared" si="114"/>
        <v>0</v>
      </c>
      <c r="BT119" s="61">
        <f t="shared" si="115"/>
        <v>0</v>
      </c>
      <c r="BU119" s="61">
        <f t="shared" si="116"/>
        <v>0</v>
      </c>
      <c r="BV119" s="61">
        <f t="shared" si="116"/>
        <v>0</v>
      </c>
      <c r="BW119" s="61">
        <f t="shared" si="116"/>
        <v>0</v>
      </c>
      <c r="BX119" s="61">
        <f t="shared" si="116"/>
        <v>0</v>
      </c>
      <c r="BY119" s="61" t="s">
        <v>91</v>
      </c>
      <c r="CA119" s="61">
        <f t="shared" si="79"/>
        <v>0</v>
      </c>
      <c r="CB119" s="61">
        <f t="shared" si="79"/>
        <v>0</v>
      </c>
      <c r="CC119" s="61">
        <f t="shared" si="79"/>
        <v>0</v>
      </c>
      <c r="CD119" s="61">
        <f t="shared" si="74"/>
        <v>0</v>
      </c>
      <c r="CE119" s="61">
        <f t="shared" si="74"/>
        <v>0</v>
      </c>
      <c r="CF119" s="61">
        <f t="shared" si="74"/>
        <v>0</v>
      </c>
      <c r="CG119" s="61">
        <f t="shared" si="74"/>
        <v>0</v>
      </c>
      <c r="CH119" s="61">
        <f t="shared" si="74"/>
        <v>0</v>
      </c>
      <c r="CI119" s="61">
        <f t="shared" si="68"/>
        <v>0</v>
      </c>
      <c r="CJ119" s="61"/>
      <c r="CK119" s="61">
        <f t="shared" si="80"/>
        <v>0</v>
      </c>
      <c r="CL119" s="61">
        <f t="shared" si="80"/>
        <v>0</v>
      </c>
      <c r="CM119" s="61">
        <f t="shared" si="80"/>
        <v>0</v>
      </c>
      <c r="CN119" s="61">
        <f t="shared" si="75"/>
        <v>0</v>
      </c>
      <c r="CO119" s="61">
        <f t="shared" si="75"/>
        <v>0</v>
      </c>
      <c r="CP119" s="61">
        <f t="shared" si="75"/>
        <v>0</v>
      </c>
      <c r="CQ119" s="61">
        <f t="shared" si="75"/>
        <v>0</v>
      </c>
      <c r="CR119" s="61">
        <f t="shared" si="75"/>
        <v>0</v>
      </c>
      <c r="CS119" s="61">
        <f t="shared" si="69"/>
        <v>0</v>
      </c>
      <c r="CT119" s="61">
        <f t="shared" si="70"/>
        <v>0</v>
      </c>
      <c r="CV119" s="61">
        <f t="shared" si="71"/>
        <v>0</v>
      </c>
      <c r="CW119" s="61">
        <f t="shared" si="96"/>
        <v>0</v>
      </c>
      <c r="CX119" s="61"/>
      <c r="CY119" s="61">
        <f t="shared" si="97"/>
        <v>0</v>
      </c>
      <c r="CZ119" s="61">
        <f t="shared" si="117"/>
        <v>0</v>
      </c>
      <c r="DA119" s="61">
        <f t="shared" si="117"/>
        <v>0</v>
      </c>
      <c r="DB119" s="2" t="s">
        <v>86</v>
      </c>
      <c r="DC119" s="2" t="s">
        <v>102</v>
      </c>
      <c r="DD119" s="2" t="s">
        <v>142</v>
      </c>
      <c r="DE119" s="2" t="s">
        <v>169</v>
      </c>
      <c r="DF119" s="3" t="s">
        <v>102</v>
      </c>
      <c r="DG119" s="62">
        <v>43025</v>
      </c>
      <c r="EC119" s="60" t="str">
        <f>VLOOKUP($M119,[1]Detail!$M:$BO,1,0)</f>
        <v>JD8C -1K003-BA</v>
      </c>
      <c r="ED119" s="60">
        <f>VLOOKUP($M119,[1]Detail!$M:$BO,22,0)</f>
        <v>-495.7</v>
      </c>
      <c r="EE119" s="60">
        <f>VLOOKUP($M119,[1]Detail!$M:$BO,42,0)</f>
        <v>0</v>
      </c>
      <c r="EF119" s="60">
        <f>VLOOKUP($M119,[1]Detail!$M:$BO,45,0)</f>
        <v>0</v>
      </c>
      <c r="EH119" s="60">
        <f>ED119-AD119</f>
        <v>0</v>
      </c>
      <c r="EI119" s="60">
        <f>EE119-AG119</f>
        <v>0</v>
      </c>
      <c r="EJ119" s="60">
        <f t="shared" ref="EJ119:EJ121" si="119">EF119-AJ119</f>
        <v>0</v>
      </c>
    </row>
    <row r="120" spans="2:140" ht="12.75" hidden="1" customHeight="1">
      <c r="B120" s="23" t="s">
        <v>349</v>
      </c>
      <c r="C120" s="22" t="s">
        <v>350</v>
      </c>
      <c r="D120" s="22" t="s">
        <v>351</v>
      </c>
      <c r="E120" s="2" t="s">
        <v>347</v>
      </c>
      <c r="F120" s="2" t="s">
        <v>348</v>
      </c>
      <c r="G120" s="2" t="s">
        <v>339</v>
      </c>
      <c r="J120" s="22" t="s">
        <v>352</v>
      </c>
      <c r="K120" s="23" t="s">
        <v>353</v>
      </c>
      <c r="L120" s="22" t="s">
        <v>115</v>
      </c>
      <c r="M120" s="51" t="str">
        <f t="shared" si="111"/>
        <v>JD8C -1K003-DA</v>
      </c>
      <c r="O120" s="22">
        <v>0</v>
      </c>
      <c r="P120" s="22">
        <v>0</v>
      </c>
      <c r="Q120" s="22">
        <v>0</v>
      </c>
      <c r="R120" s="22">
        <v>0</v>
      </c>
      <c r="S120" s="22">
        <v>4</v>
      </c>
      <c r="T120" s="22">
        <v>4</v>
      </c>
      <c r="U120" s="22">
        <v>0</v>
      </c>
      <c r="V120" s="22">
        <v>0</v>
      </c>
      <c r="W120" s="64">
        <f t="shared" si="112"/>
        <v>0.92</v>
      </c>
      <c r="Y120" s="60">
        <v>-498.18</v>
      </c>
      <c r="Z120" s="60">
        <v>0</v>
      </c>
      <c r="AA120" s="60">
        <v>0</v>
      </c>
      <c r="AB120" s="60">
        <v>0</v>
      </c>
      <c r="AC120" s="60">
        <v>0</v>
      </c>
      <c r="AD120" s="8">
        <f t="shared" si="118"/>
        <v>-498.18</v>
      </c>
      <c r="AE120" s="2" t="s">
        <v>91</v>
      </c>
      <c r="AG120" s="71">
        <v>0</v>
      </c>
      <c r="AH120" s="71">
        <v>0</v>
      </c>
      <c r="AJ120" s="71">
        <v>0</v>
      </c>
      <c r="AK120" s="71">
        <v>0</v>
      </c>
      <c r="AL120" s="71">
        <v>0</v>
      </c>
      <c r="AM120" s="22"/>
      <c r="AO120" s="22" t="s">
        <v>352</v>
      </c>
      <c r="AP120" s="23" t="s">
        <v>353</v>
      </c>
      <c r="AQ120" s="22" t="s">
        <v>115</v>
      </c>
      <c r="AR120" s="51" t="str">
        <f t="shared" si="92"/>
        <v>JD8C -1K003-DA</v>
      </c>
      <c r="AS120" s="3"/>
      <c r="AT120" s="22">
        <v>0</v>
      </c>
      <c r="AU120" s="22">
        <v>0</v>
      </c>
      <c r="AV120" s="22">
        <v>0</v>
      </c>
      <c r="AW120" s="22">
        <v>0</v>
      </c>
      <c r="AX120" s="22">
        <v>4</v>
      </c>
      <c r="AY120" s="22">
        <v>4</v>
      </c>
      <c r="AZ120" s="22">
        <v>0</v>
      </c>
      <c r="BA120" s="22">
        <v>0</v>
      </c>
      <c r="BB120" s="64">
        <f t="shared" si="113"/>
        <v>0.92</v>
      </c>
      <c r="BD120" s="60">
        <v>-498.18</v>
      </c>
      <c r="BE120" s="60">
        <v>0</v>
      </c>
      <c r="BF120" s="60">
        <v>0</v>
      </c>
      <c r="BG120" s="60">
        <v>0</v>
      </c>
      <c r="BH120" s="60">
        <v>0</v>
      </c>
      <c r="BI120" s="8">
        <f t="shared" si="109"/>
        <v>-498.18</v>
      </c>
      <c r="BJ120" s="2" t="s">
        <v>91</v>
      </c>
      <c r="BL120" s="71">
        <v>0</v>
      </c>
      <c r="BM120" s="71">
        <v>0</v>
      </c>
      <c r="BO120" s="71">
        <v>0</v>
      </c>
      <c r="BP120" s="71">
        <v>0</v>
      </c>
      <c r="BQ120" s="71">
        <v>0</v>
      </c>
      <c r="BS120" s="61">
        <f t="shared" si="114"/>
        <v>0</v>
      </c>
      <c r="BT120" s="61">
        <f t="shared" si="115"/>
        <v>0</v>
      </c>
      <c r="BU120" s="61">
        <f t="shared" si="116"/>
        <v>0</v>
      </c>
      <c r="BV120" s="61">
        <f t="shared" si="116"/>
        <v>0</v>
      </c>
      <c r="BW120" s="61">
        <f t="shared" si="116"/>
        <v>0</v>
      </c>
      <c r="BX120" s="61">
        <f t="shared" si="116"/>
        <v>0</v>
      </c>
      <c r="BY120" s="61" t="s">
        <v>91</v>
      </c>
      <c r="CA120" s="61">
        <f t="shared" si="79"/>
        <v>0</v>
      </c>
      <c r="CB120" s="61">
        <f t="shared" si="79"/>
        <v>0</v>
      </c>
      <c r="CC120" s="61">
        <f t="shared" si="79"/>
        <v>0</v>
      </c>
      <c r="CD120" s="61">
        <f t="shared" si="74"/>
        <v>0</v>
      </c>
      <c r="CE120" s="61">
        <f t="shared" si="74"/>
        <v>0</v>
      </c>
      <c r="CF120" s="61">
        <f t="shared" si="74"/>
        <v>0</v>
      </c>
      <c r="CG120" s="61">
        <f t="shared" si="74"/>
        <v>0</v>
      </c>
      <c r="CH120" s="61">
        <f t="shared" si="74"/>
        <v>0</v>
      </c>
      <c r="CI120" s="61">
        <f t="shared" si="68"/>
        <v>0</v>
      </c>
      <c r="CJ120" s="61"/>
      <c r="CK120" s="61">
        <f t="shared" si="80"/>
        <v>0</v>
      </c>
      <c r="CL120" s="61">
        <f t="shared" si="80"/>
        <v>0</v>
      </c>
      <c r="CM120" s="61">
        <f t="shared" si="80"/>
        <v>0</v>
      </c>
      <c r="CN120" s="61">
        <f t="shared" si="75"/>
        <v>0</v>
      </c>
      <c r="CO120" s="61">
        <f t="shared" si="75"/>
        <v>0</v>
      </c>
      <c r="CP120" s="61">
        <f t="shared" si="75"/>
        <v>0</v>
      </c>
      <c r="CQ120" s="61">
        <f t="shared" si="75"/>
        <v>0</v>
      </c>
      <c r="CR120" s="61">
        <f t="shared" si="75"/>
        <v>0</v>
      </c>
      <c r="CS120" s="61">
        <f t="shared" si="69"/>
        <v>0</v>
      </c>
      <c r="CT120" s="61">
        <f t="shared" si="70"/>
        <v>0</v>
      </c>
      <c r="CV120" s="61">
        <f t="shared" si="71"/>
        <v>0</v>
      </c>
      <c r="CW120" s="61">
        <f t="shared" si="96"/>
        <v>0</v>
      </c>
      <c r="CX120" s="61"/>
      <c r="CY120" s="61">
        <f t="shared" si="97"/>
        <v>0</v>
      </c>
      <c r="CZ120" s="61">
        <f t="shared" si="117"/>
        <v>0</v>
      </c>
      <c r="DA120" s="61">
        <f t="shared" si="117"/>
        <v>0</v>
      </c>
      <c r="DB120" s="2" t="s">
        <v>86</v>
      </c>
      <c r="DC120" s="2" t="s">
        <v>102</v>
      </c>
      <c r="DD120" s="2" t="s">
        <v>142</v>
      </c>
      <c r="DE120" s="2" t="s">
        <v>169</v>
      </c>
      <c r="DF120" s="3" t="s">
        <v>102</v>
      </c>
      <c r="DG120" s="62">
        <v>43025</v>
      </c>
      <c r="EC120" s="60" t="str">
        <f>VLOOKUP($M120,[1]Detail!$M:$BO,1,0)</f>
        <v>JD8C -1K003-DA</v>
      </c>
      <c r="ED120" s="60">
        <f>VLOOKUP($M120,[1]Detail!$M:$BO,22,0)</f>
        <v>-498.18</v>
      </c>
      <c r="EE120" s="60">
        <f>VLOOKUP($M120,[1]Detail!$M:$BO,42,0)</f>
        <v>0</v>
      </c>
      <c r="EF120" s="60">
        <f>VLOOKUP($M120,[1]Detail!$M:$BO,45,0)</f>
        <v>0</v>
      </c>
      <c r="EH120" s="60">
        <f>ED120-AD120</f>
        <v>0</v>
      </c>
      <c r="EI120" s="60">
        <f>EE120-AG120</f>
        <v>0</v>
      </c>
      <c r="EJ120" s="60">
        <f t="shared" si="119"/>
        <v>0</v>
      </c>
    </row>
    <row r="121" spans="2:140" ht="12.75" hidden="1" customHeight="1">
      <c r="B121" s="23" t="s">
        <v>354</v>
      </c>
      <c r="C121" s="22" t="s">
        <v>355</v>
      </c>
      <c r="D121" s="22" t="s">
        <v>351</v>
      </c>
      <c r="E121" s="2" t="s">
        <v>347</v>
      </c>
      <c r="F121" s="2" t="s">
        <v>348</v>
      </c>
      <c r="G121" s="2" t="s">
        <v>339</v>
      </c>
      <c r="J121" s="22" t="s">
        <v>352</v>
      </c>
      <c r="K121" s="23" t="s">
        <v>353</v>
      </c>
      <c r="L121" s="22" t="s">
        <v>100</v>
      </c>
      <c r="M121" s="51" t="str">
        <f t="shared" si="111"/>
        <v>JD8C -1K003-AA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4</v>
      </c>
      <c r="V121" s="22">
        <v>4</v>
      </c>
      <c r="W121" s="64">
        <f t="shared" si="112"/>
        <v>0.4</v>
      </c>
      <c r="Y121" s="60">
        <v>-615.1</v>
      </c>
      <c r="Z121" s="60">
        <v>0</v>
      </c>
      <c r="AA121" s="60">
        <v>0</v>
      </c>
      <c r="AB121" s="60">
        <v>0</v>
      </c>
      <c r="AC121" s="60">
        <v>0</v>
      </c>
      <c r="AD121" s="8">
        <f t="shared" si="118"/>
        <v>-615.1</v>
      </c>
      <c r="AE121" s="2" t="s">
        <v>91</v>
      </c>
      <c r="AG121" s="71">
        <v>0</v>
      </c>
      <c r="AH121" s="71">
        <v>0</v>
      </c>
      <c r="AJ121" s="71">
        <v>0</v>
      </c>
      <c r="AK121" s="71">
        <v>0</v>
      </c>
      <c r="AL121" s="71">
        <v>0</v>
      </c>
      <c r="AM121" s="22"/>
      <c r="AO121" s="22" t="s">
        <v>352</v>
      </c>
      <c r="AP121" s="23" t="s">
        <v>353</v>
      </c>
      <c r="AQ121" s="22" t="s">
        <v>100</v>
      </c>
      <c r="AR121" s="51" t="str">
        <f t="shared" si="92"/>
        <v>JD8C -1K003-AA</v>
      </c>
      <c r="AS121" s="3"/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4</v>
      </c>
      <c r="BA121" s="22">
        <v>4</v>
      </c>
      <c r="BB121" s="64">
        <f t="shared" si="113"/>
        <v>0.4</v>
      </c>
      <c r="BD121" s="60">
        <v>-615.1</v>
      </c>
      <c r="BE121" s="60">
        <v>0</v>
      </c>
      <c r="BF121" s="60">
        <v>0</v>
      </c>
      <c r="BG121" s="60">
        <v>0</v>
      </c>
      <c r="BH121" s="60">
        <v>0</v>
      </c>
      <c r="BI121" s="8">
        <f t="shared" si="109"/>
        <v>-615.1</v>
      </c>
      <c r="BJ121" s="2" t="s">
        <v>91</v>
      </c>
      <c r="BL121" s="71">
        <v>0</v>
      </c>
      <c r="BM121" s="71">
        <v>0</v>
      </c>
      <c r="BO121" s="71">
        <v>0</v>
      </c>
      <c r="BP121" s="71">
        <v>0</v>
      </c>
      <c r="BQ121" s="71">
        <v>0</v>
      </c>
      <c r="BR121" s="22"/>
      <c r="BS121" s="61">
        <f t="shared" si="114"/>
        <v>0</v>
      </c>
      <c r="BT121" s="61">
        <f t="shared" si="115"/>
        <v>0</v>
      </c>
      <c r="BU121" s="61">
        <f t="shared" si="116"/>
        <v>0</v>
      </c>
      <c r="BV121" s="61">
        <f t="shared" si="116"/>
        <v>0</v>
      </c>
      <c r="BW121" s="61">
        <f t="shared" si="116"/>
        <v>0</v>
      </c>
      <c r="BX121" s="61">
        <f t="shared" si="116"/>
        <v>0</v>
      </c>
      <c r="BY121" s="61" t="s">
        <v>91</v>
      </c>
      <c r="CA121" s="61">
        <f t="shared" si="79"/>
        <v>0</v>
      </c>
      <c r="CB121" s="61">
        <f t="shared" si="79"/>
        <v>0</v>
      </c>
      <c r="CC121" s="61">
        <f t="shared" si="79"/>
        <v>0</v>
      </c>
      <c r="CD121" s="61">
        <f t="shared" si="74"/>
        <v>0</v>
      </c>
      <c r="CE121" s="61">
        <f t="shared" si="74"/>
        <v>0</v>
      </c>
      <c r="CF121" s="61">
        <f t="shared" si="74"/>
        <v>0</v>
      </c>
      <c r="CG121" s="61">
        <f t="shared" si="74"/>
        <v>0</v>
      </c>
      <c r="CH121" s="61">
        <f t="shared" si="74"/>
        <v>0</v>
      </c>
      <c r="CI121" s="61">
        <f t="shared" si="68"/>
        <v>0</v>
      </c>
      <c r="CJ121" s="61"/>
      <c r="CK121" s="61">
        <f t="shared" si="80"/>
        <v>0</v>
      </c>
      <c r="CL121" s="61">
        <f t="shared" si="80"/>
        <v>0</v>
      </c>
      <c r="CM121" s="61">
        <f t="shared" si="80"/>
        <v>0</v>
      </c>
      <c r="CN121" s="61">
        <f t="shared" si="75"/>
        <v>0</v>
      </c>
      <c r="CO121" s="61">
        <f t="shared" si="75"/>
        <v>0</v>
      </c>
      <c r="CP121" s="61">
        <f t="shared" si="75"/>
        <v>0</v>
      </c>
      <c r="CQ121" s="61">
        <f t="shared" si="75"/>
        <v>0</v>
      </c>
      <c r="CR121" s="61">
        <f t="shared" si="75"/>
        <v>0</v>
      </c>
      <c r="CS121" s="61">
        <f t="shared" si="69"/>
        <v>0</v>
      </c>
      <c r="CT121" s="61">
        <f t="shared" si="70"/>
        <v>0</v>
      </c>
      <c r="CV121" s="61">
        <f t="shared" si="71"/>
        <v>0</v>
      </c>
      <c r="CW121" s="61">
        <f t="shared" si="96"/>
        <v>0</v>
      </c>
      <c r="CX121" s="61"/>
      <c r="CY121" s="61">
        <f t="shared" si="97"/>
        <v>0</v>
      </c>
      <c r="CZ121" s="61">
        <f t="shared" si="117"/>
        <v>0</v>
      </c>
      <c r="DA121" s="61">
        <f t="shared" si="117"/>
        <v>0</v>
      </c>
      <c r="DB121" s="2" t="s">
        <v>86</v>
      </c>
      <c r="DC121" s="2" t="s">
        <v>102</v>
      </c>
      <c r="DD121" s="2" t="s">
        <v>142</v>
      </c>
      <c r="DE121" s="2" t="s">
        <v>169</v>
      </c>
      <c r="DF121" s="3" t="s">
        <v>102</v>
      </c>
      <c r="DG121" s="62">
        <v>43025</v>
      </c>
      <c r="EC121" s="60" t="str">
        <f>VLOOKUP($M121,[1]Detail!$M:$BO,1,0)</f>
        <v>JD8C -1K003-AA</v>
      </c>
      <c r="ED121" s="60">
        <f>VLOOKUP($M121,[1]Detail!$M:$BO,22,0)</f>
        <v>-615.1</v>
      </c>
      <c r="EE121" s="60">
        <f>VLOOKUP($M121,[1]Detail!$M:$BO,42,0)</f>
        <v>0</v>
      </c>
      <c r="EF121" s="60">
        <f>VLOOKUP($M121,[1]Detail!$M:$BO,45,0)</f>
        <v>0</v>
      </c>
      <c r="EH121" s="60">
        <f>ED121-AD121</f>
        <v>0</v>
      </c>
      <c r="EI121" s="60">
        <f>EE121-AG121</f>
        <v>0</v>
      </c>
      <c r="EJ121" s="60">
        <f t="shared" si="119"/>
        <v>0</v>
      </c>
    </row>
    <row r="122" spans="2:140" ht="12.75" hidden="1" customHeight="1">
      <c r="B122" s="23" t="s">
        <v>354</v>
      </c>
      <c r="C122" s="22" t="s">
        <v>355</v>
      </c>
      <c r="D122" s="22" t="s">
        <v>351</v>
      </c>
      <c r="E122" s="2" t="s">
        <v>347</v>
      </c>
      <c r="F122" s="2" t="s">
        <v>348</v>
      </c>
      <c r="G122" s="2" t="s">
        <v>339</v>
      </c>
      <c r="J122" s="22" t="s">
        <v>352</v>
      </c>
      <c r="K122" s="23" t="s">
        <v>353</v>
      </c>
      <c r="L122" s="22" t="s">
        <v>113</v>
      </c>
      <c r="M122" s="51" t="str">
        <f t="shared" si="111"/>
        <v>JD8C -1K003-CA</v>
      </c>
      <c r="O122" s="22">
        <v>4</v>
      </c>
      <c r="P122" s="22">
        <v>4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64">
        <f t="shared" si="112"/>
        <v>1.2000000000000002</v>
      </c>
      <c r="Y122" s="60">
        <v>-392.39</v>
      </c>
      <c r="Z122" s="60">
        <v>0</v>
      </c>
      <c r="AA122" s="60">
        <v>0</v>
      </c>
      <c r="AB122" s="60">
        <v>0</v>
      </c>
      <c r="AC122" s="60">
        <v>0</v>
      </c>
      <c r="AD122" s="8">
        <f t="shared" si="118"/>
        <v>-392.39</v>
      </c>
      <c r="AE122" s="2" t="s">
        <v>91</v>
      </c>
      <c r="AG122" s="71">
        <v>0</v>
      </c>
      <c r="AH122" s="71">
        <v>0</v>
      </c>
      <c r="AJ122" s="71">
        <v>0</v>
      </c>
      <c r="AK122" s="71">
        <v>0</v>
      </c>
      <c r="AL122" s="71">
        <v>0</v>
      </c>
      <c r="AM122" s="22"/>
      <c r="AO122" s="22" t="s">
        <v>352</v>
      </c>
      <c r="AP122" s="23" t="s">
        <v>353</v>
      </c>
      <c r="AQ122" s="22" t="s">
        <v>113</v>
      </c>
      <c r="AR122" s="51" t="str">
        <f t="shared" si="92"/>
        <v>JD8C -1K003-CA</v>
      </c>
      <c r="AS122" s="3"/>
      <c r="AT122" s="22">
        <v>4</v>
      </c>
      <c r="AU122" s="22">
        <v>4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64">
        <f t="shared" si="113"/>
        <v>1.2000000000000002</v>
      </c>
      <c r="BD122" s="60">
        <v>-392.39</v>
      </c>
      <c r="BE122" s="60">
        <v>0</v>
      </c>
      <c r="BF122" s="60">
        <v>0</v>
      </c>
      <c r="BG122" s="60">
        <v>0</v>
      </c>
      <c r="BH122" s="60">
        <v>0</v>
      </c>
      <c r="BI122" s="8">
        <f t="shared" si="109"/>
        <v>-392.39</v>
      </c>
      <c r="BJ122" s="2" t="s">
        <v>91</v>
      </c>
      <c r="BL122" s="71">
        <v>0</v>
      </c>
      <c r="BM122" s="71">
        <v>0</v>
      </c>
      <c r="BO122" s="71">
        <v>0</v>
      </c>
      <c r="BP122" s="71">
        <v>0</v>
      </c>
      <c r="BQ122" s="71">
        <v>0</v>
      </c>
      <c r="BR122" s="22"/>
      <c r="BS122" s="61">
        <f t="shared" si="114"/>
        <v>0</v>
      </c>
      <c r="BT122" s="61">
        <f t="shared" si="115"/>
        <v>0</v>
      </c>
      <c r="BU122" s="61">
        <f t="shared" si="116"/>
        <v>0</v>
      </c>
      <c r="BV122" s="61">
        <f t="shared" si="116"/>
        <v>0</v>
      </c>
      <c r="BW122" s="61">
        <f t="shared" si="116"/>
        <v>0</v>
      </c>
      <c r="BX122" s="61">
        <f t="shared" si="116"/>
        <v>0</v>
      </c>
      <c r="BY122" s="61" t="s">
        <v>91</v>
      </c>
      <c r="CA122" s="61">
        <f t="shared" si="79"/>
        <v>0</v>
      </c>
      <c r="CB122" s="61">
        <f t="shared" si="79"/>
        <v>0</v>
      </c>
      <c r="CC122" s="61">
        <f t="shared" si="79"/>
        <v>0</v>
      </c>
      <c r="CD122" s="61">
        <f t="shared" si="74"/>
        <v>0</v>
      </c>
      <c r="CE122" s="61">
        <f t="shared" si="74"/>
        <v>0</v>
      </c>
      <c r="CF122" s="61">
        <f t="shared" si="74"/>
        <v>0</v>
      </c>
      <c r="CG122" s="61">
        <f t="shared" si="74"/>
        <v>0</v>
      </c>
      <c r="CH122" s="61">
        <f t="shared" si="74"/>
        <v>0</v>
      </c>
      <c r="CI122" s="61">
        <f t="shared" si="68"/>
        <v>0</v>
      </c>
      <c r="CJ122" s="61"/>
      <c r="CK122" s="61">
        <f t="shared" si="80"/>
        <v>0</v>
      </c>
      <c r="CL122" s="61">
        <f t="shared" si="80"/>
        <v>0</v>
      </c>
      <c r="CM122" s="61">
        <f t="shared" si="80"/>
        <v>0</v>
      </c>
      <c r="CN122" s="61">
        <f t="shared" si="75"/>
        <v>0</v>
      </c>
      <c r="CO122" s="61">
        <f t="shared" si="75"/>
        <v>0</v>
      </c>
      <c r="CP122" s="61">
        <f t="shared" si="75"/>
        <v>0</v>
      </c>
      <c r="CQ122" s="61">
        <f t="shared" si="75"/>
        <v>0</v>
      </c>
      <c r="CR122" s="61">
        <f t="shared" si="75"/>
        <v>0</v>
      </c>
      <c r="CS122" s="61">
        <f t="shared" si="69"/>
        <v>0</v>
      </c>
      <c r="CT122" s="61">
        <f t="shared" si="70"/>
        <v>0</v>
      </c>
      <c r="CV122" s="61">
        <f t="shared" si="71"/>
        <v>0</v>
      </c>
      <c r="CW122" s="61">
        <f t="shared" si="96"/>
        <v>0</v>
      </c>
      <c r="CX122" s="61"/>
      <c r="CY122" s="61">
        <f t="shared" si="97"/>
        <v>0</v>
      </c>
      <c r="CZ122" s="61">
        <f t="shared" si="117"/>
        <v>0</v>
      </c>
      <c r="DA122" s="61">
        <f t="shared" si="117"/>
        <v>0</v>
      </c>
      <c r="DB122" s="2" t="s">
        <v>85</v>
      </c>
      <c r="DC122" s="2" t="s">
        <v>102</v>
      </c>
      <c r="DD122" s="2" t="s">
        <v>142</v>
      </c>
      <c r="DE122" s="2" t="s">
        <v>169</v>
      </c>
      <c r="DF122" s="3" t="s">
        <v>102</v>
      </c>
      <c r="DG122" s="62">
        <v>43025</v>
      </c>
      <c r="EC122" s="60"/>
      <c r="ED122" s="60"/>
      <c r="EE122" s="60"/>
      <c r="EF122" s="60"/>
    </row>
    <row r="123" spans="2:140" ht="12.75" hidden="1" customHeight="1">
      <c r="B123" s="23" t="s">
        <v>356</v>
      </c>
      <c r="C123" s="22" t="s">
        <v>355</v>
      </c>
      <c r="D123" s="22" t="s">
        <v>351</v>
      </c>
      <c r="E123" s="2" t="s">
        <v>347</v>
      </c>
      <c r="F123" s="2" t="s">
        <v>348</v>
      </c>
      <c r="G123" s="2" t="s">
        <v>339</v>
      </c>
      <c r="J123" s="22" t="s">
        <v>357</v>
      </c>
      <c r="K123" s="23" t="s">
        <v>353</v>
      </c>
      <c r="L123" s="22" t="s">
        <v>358</v>
      </c>
      <c r="M123" s="51" t="str">
        <f t="shared" si="111"/>
        <v>ED8C-1K003-EB</v>
      </c>
      <c r="O123" s="22">
        <v>1</v>
      </c>
      <c r="P123" s="22">
        <v>1</v>
      </c>
      <c r="Q123" s="22">
        <v>1</v>
      </c>
      <c r="R123" s="22">
        <v>1</v>
      </c>
      <c r="S123" s="22">
        <v>1</v>
      </c>
      <c r="T123" s="22">
        <v>1</v>
      </c>
      <c r="U123" s="22">
        <v>1</v>
      </c>
      <c r="V123" s="22">
        <v>1</v>
      </c>
      <c r="W123" s="64">
        <f t="shared" si="112"/>
        <v>1</v>
      </c>
      <c r="Y123" s="60">
        <v>-221.46</v>
      </c>
      <c r="Z123" s="60">
        <v>0</v>
      </c>
      <c r="AA123" s="60">
        <v>0</v>
      </c>
      <c r="AB123" s="60">
        <v>0</v>
      </c>
      <c r="AC123" s="60">
        <v>0</v>
      </c>
      <c r="AD123" s="8">
        <f t="shared" si="118"/>
        <v>-221.46</v>
      </c>
      <c r="AE123" s="2" t="s">
        <v>91</v>
      </c>
      <c r="AG123" s="71">
        <v>0</v>
      </c>
      <c r="AH123" s="71">
        <v>0</v>
      </c>
      <c r="AJ123" s="71">
        <v>0</v>
      </c>
      <c r="AK123" s="71">
        <v>0</v>
      </c>
      <c r="AL123" s="71">
        <v>0</v>
      </c>
      <c r="AM123" s="22"/>
      <c r="AO123" s="22" t="s">
        <v>357</v>
      </c>
      <c r="AP123" s="23" t="s">
        <v>353</v>
      </c>
      <c r="AQ123" s="22" t="s">
        <v>358</v>
      </c>
      <c r="AR123" s="51" t="str">
        <f t="shared" si="92"/>
        <v>ED8C-1K003-EB</v>
      </c>
      <c r="AS123" s="3"/>
      <c r="AT123" s="22">
        <v>1</v>
      </c>
      <c r="AU123" s="22">
        <v>1</v>
      </c>
      <c r="AV123" s="22">
        <v>1</v>
      </c>
      <c r="AW123" s="22">
        <v>1</v>
      </c>
      <c r="AX123" s="22">
        <v>1</v>
      </c>
      <c r="AY123" s="22">
        <v>1</v>
      </c>
      <c r="AZ123" s="22">
        <v>1</v>
      </c>
      <c r="BA123" s="22">
        <v>1</v>
      </c>
      <c r="BB123" s="64">
        <f t="shared" si="113"/>
        <v>1</v>
      </c>
      <c r="BD123" s="60">
        <v>-224.91</v>
      </c>
      <c r="BE123" s="60">
        <v>0</v>
      </c>
      <c r="BF123" s="60">
        <v>0</v>
      </c>
      <c r="BG123" s="60">
        <v>0</v>
      </c>
      <c r="BH123" s="60">
        <v>0</v>
      </c>
      <c r="BI123" s="8">
        <f t="shared" ref="BI123" si="120">SUM(BD123:BH123)</f>
        <v>-224.91</v>
      </c>
      <c r="BJ123" s="2" t="s">
        <v>91</v>
      </c>
      <c r="BL123" s="71">
        <v>0</v>
      </c>
      <c r="BM123" s="71">
        <v>0</v>
      </c>
      <c r="BO123" s="71">
        <v>0</v>
      </c>
      <c r="BP123" s="71">
        <v>0</v>
      </c>
      <c r="BQ123" s="71">
        <v>0</v>
      </c>
      <c r="BR123" s="22"/>
      <c r="BS123" s="61">
        <f t="shared" si="114"/>
        <v>3.4499999999999886</v>
      </c>
      <c r="BT123" s="61">
        <f t="shared" si="115"/>
        <v>0</v>
      </c>
      <c r="BU123" s="61">
        <f t="shared" si="116"/>
        <v>0</v>
      </c>
      <c r="BV123" s="61">
        <f t="shared" si="116"/>
        <v>0</v>
      </c>
      <c r="BW123" s="61">
        <f t="shared" si="116"/>
        <v>0</v>
      </c>
      <c r="BX123" s="61">
        <f t="shared" si="116"/>
        <v>3.4499999999999886</v>
      </c>
      <c r="BY123" s="61" t="s">
        <v>91</v>
      </c>
      <c r="CA123" s="61">
        <f t="shared" si="79"/>
        <v>0.5190311418685104</v>
      </c>
      <c r="CB123" s="61">
        <f t="shared" si="79"/>
        <v>0.5190311418685104</v>
      </c>
      <c r="CC123" s="61">
        <f t="shared" si="79"/>
        <v>0.5190311418685104</v>
      </c>
      <c r="CD123" s="61">
        <f t="shared" si="74"/>
        <v>0.5190311418685104</v>
      </c>
      <c r="CE123" s="61">
        <f t="shared" si="74"/>
        <v>0.5190311418685104</v>
      </c>
      <c r="CF123" s="61">
        <f t="shared" si="74"/>
        <v>0.5190311418685104</v>
      </c>
      <c r="CG123" s="61">
        <f t="shared" si="74"/>
        <v>0.5190311418685104</v>
      </c>
      <c r="CH123" s="61">
        <f t="shared" si="74"/>
        <v>0.5190311418685104</v>
      </c>
      <c r="CI123" s="61">
        <f t="shared" si="68"/>
        <v>0.5190311418685104</v>
      </c>
      <c r="CJ123" s="61"/>
      <c r="CK123" s="61">
        <f t="shared" si="80"/>
        <v>0.5190311418685104</v>
      </c>
      <c r="CL123" s="61">
        <f t="shared" si="80"/>
        <v>0.5190311418685104</v>
      </c>
      <c r="CM123" s="61">
        <f t="shared" si="80"/>
        <v>0.5190311418685104</v>
      </c>
      <c r="CN123" s="61">
        <f t="shared" si="75"/>
        <v>0.5190311418685104</v>
      </c>
      <c r="CO123" s="61">
        <f t="shared" si="75"/>
        <v>0.5190311418685104</v>
      </c>
      <c r="CP123" s="61">
        <f t="shared" si="75"/>
        <v>0.5190311418685104</v>
      </c>
      <c r="CQ123" s="61">
        <f t="shared" si="75"/>
        <v>0.5190311418685104</v>
      </c>
      <c r="CR123" s="61">
        <f t="shared" si="75"/>
        <v>0.5190311418685104</v>
      </c>
      <c r="CS123" s="61">
        <f t="shared" si="69"/>
        <v>0.5190311418685104</v>
      </c>
      <c r="CT123" s="61">
        <f t="shared" si="70"/>
        <v>3.4499999999999886</v>
      </c>
      <c r="CV123" s="61">
        <f t="shared" si="71"/>
        <v>0</v>
      </c>
      <c r="CW123" s="61">
        <f t="shared" ref="CW123:CW124" si="121">SUM(AH123)-SUM(BM123)</f>
        <v>0</v>
      </c>
      <c r="CX123" s="61"/>
      <c r="CY123" s="61">
        <f t="shared" ref="CY123:CY126" si="122">SUM(AJ123)-SUM(BO123)</f>
        <v>0</v>
      </c>
      <c r="CZ123" s="61">
        <f t="shared" si="117"/>
        <v>0</v>
      </c>
      <c r="DA123" s="61">
        <f t="shared" si="117"/>
        <v>0</v>
      </c>
      <c r="DB123" s="2" t="s">
        <v>86</v>
      </c>
      <c r="DC123" s="2" t="s">
        <v>86</v>
      </c>
      <c r="DD123" s="2" t="s">
        <v>142</v>
      </c>
      <c r="DE123" s="2" t="s">
        <v>169</v>
      </c>
      <c r="DF123" s="3" t="s">
        <v>86</v>
      </c>
      <c r="DG123" s="62">
        <v>43090</v>
      </c>
      <c r="EC123" s="60" t="str">
        <f>VLOOKUP($M123,[1]Detail!$M:$BO,1,0)</f>
        <v>ED8C-1K003-EB</v>
      </c>
      <c r="ED123" s="60">
        <f>VLOOKUP($M123,[1]Detail!$M:$BO,22,0)</f>
        <v>-221.46</v>
      </c>
      <c r="EE123" s="60">
        <f>VLOOKUP($M123,[1]Detail!$M:$BO,42,0)</f>
        <v>0</v>
      </c>
      <c r="EF123" s="60">
        <f>VLOOKUP($M123,[1]Detail!$M:$BO,45,0)</f>
        <v>0</v>
      </c>
      <c r="EH123" s="60">
        <f>ED123-AD123</f>
        <v>0</v>
      </c>
      <c r="EI123" s="60">
        <f>EE123-AG123</f>
        <v>0</v>
      </c>
      <c r="EJ123" s="60">
        <f>EF123-AJ123</f>
        <v>0</v>
      </c>
    </row>
    <row r="124" spans="2:140" ht="12.75" hidden="1" customHeight="1">
      <c r="B124" s="23" t="s">
        <v>359</v>
      </c>
      <c r="C124" s="22" t="s">
        <v>355</v>
      </c>
      <c r="D124" s="22" t="s">
        <v>351</v>
      </c>
      <c r="E124" s="2" t="s">
        <v>347</v>
      </c>
      <c r="F124" s="2" t="s">
        <v>348</v>
      </c>
      <c r="G124" s="2" t="s">
        <v>339</v>
      </c>
      <c r="J124" s="22" t="s">
        <v>352</v>
      </c>
      <c r="K124" s="23" t="s">
        <v>353</v>
      </c>
      <c r="L124" s="22" t="s">
        <v>122</v>
      </c>
      <c r="M124" s="51" t="str">
        <f t="shared" si="111"/>
        <v>JD8C -1K003-CB</v>
      </c>
      <c r="O124" s="22">
        <v>4</v>
      </c>
      <c r="P124" s="22">
        <v>4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64">
        <f t="shared" si="112"/>
        <v>1.2000000000000002</v>
      </c>
      <c r="Y124" s="60">
        <f>-392.39+1.75</f>
        <v>-390.64</v>
      </c>
      <c r="Z124" s="60">
        <v>0</v>
      </c>
      <c r="AA124" s="60">
        <v>0</v>
      </c>
      <c r="AB124" s="60">
        <v>0</v>
      </c>
      <c r="AC124" s="60">
        <v>0</v>
      </c>
      <c r="AD124" s="8">
        <f t="shared" si="118"/>
        <v>-390.64</v>
      </c>
      <c r="AE124" s="2" t="s">
        <v>91</v>
      </c>
      <c r="AG124" s="71">
        <v>0</v>
      </c>
      <c r="AH124" s="71">
        <v>0</v>
      </c>
      <c r="AJ124" s="71">
        <v>0</v>
      </c>
      <c r="AK124" s="71">
        <v>0</v>
      </c>
      <c r="AL124" s="71">
        <v>0</v>
      </c>
      <c r="AM124" s="22"/>
      <c r="AO124" s="22" t="s">
        <v>352</v>
      </c>
      <c r="AP124" s="23" t="s">
        <v>353</v>
      </c>
      <c r="AQ124" s="22" t="s">
        <v>113</v>
      </c>
      <c r="AR124" s="51" t="str">
        <f t="shared" si="92"/>
        <v>JD8C -1K003-CA</v>
      </c>
      <c r="AS124" s="3"/>
      <c r="AT124" s="22">
        <v>4</v>
      </c>
      <c r="AU124" s="22">
        <v>4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64">
        <f t="shared" si="113"/>
        <v>1.2000000000000002</v>
      </c>
      <c r="BD124" s="60">
        <v>-392.39</v>
      </c>
      <c r="BE124" s="60">
        <v>0</v>
      </c>
      <c r="BF124" s="60">
        <v>0</v>
      </c>
      <c r="BG124" s="60">
        <v>0</v>
      </c>
      <c r="BH124" s="60">
        <v>0</v>
      </c>
      <c r="BI124" s="8">
        <f t="shared" ref="BI124:BI126" si="123">SUM(BD124:BH124)</f>
        <v>-392.39</v>
      </c>
      <c r="BJ124" s="2" t="s">
        <v>91</v>
      </c>
      <c r="BL124" s="71">
        <v>0</v>
      </c>
      <c r="BM124" s="71">
        <v>0</v>
      </c>
      <c r="BO124" s="71">
        <v>0</v>
      </c>
      <c r="BP124" s="71">
        <v>0</v>
      </c>
      <c r="BQ124" s="71">
        <v>0</v>
      </c>
      <c r="BR124" s="22"/>
      <c r="BS124" s="61">
        <f t="shared" si="114"/>
        <v>1.75</v>
      </c>
      <c r="BT124" s="61">
        <f t="shared" si="115"/>
        <v>0</v>
      </c>
      <c r="BU124" s="61">
        <f t="shared" si="116"/>
        <v>0</v>
      </c>
      <c r="BV124" s="61">
        <f t="shared" si="116"/>
        <v>0</v>
      </c>
      <c r="BW124" s="61">
        <f t="shared" si="116"/>
        <v>0</v>
      </c>
      <c r="BX124" s="61">
        <f t="shared" si="116"/>
        <v>1.75</v>
      </c>
      <c r="BY124" s="61" t="s">
        <v>91</v>
      </c>
      <c r="CA124" s="61">
        <f t="shared" si="79"/>
        <v>1.0531066646607492</v>
      </c>
      <c r="CB124" s="61">
        <f t="shared" si="79"/>
        <v>1.0531066646607492</v>
      </c>
      <c r="CC124" s="61">
        <f t="shared" si="79"/>
        <v>0</v>
      </c>
      <c r="CD124" s="61">
        <f t="shared" si="74"/>
        <v>0</v>
      </c>
      <c r="CE124" s="61">
        <f t="shared" si="74"/>
        <v>0</v>
      </c>
      <c r="CF124" s="61">
        <f t="shared" si="74"/>
        <v>0</v>
      </c>
      <c r="CG124" s="61">
        <f t="shared" si="74"/>
        <v>0</v>
      </c>
      <c r="CH124" s="61">
        <f t="shared" si="74"/>
        <v>0</v>
      </c>
      <c r="CI124" s="61">
        <f t="shared" si="68"/>
        <v>0.31593199939822481</v>
      </c>
      <c r="CJ124" s="61"/>
      <c r="CK124" s="61">
        <f t="shared" si="80"/>
        <v>1.0531066646607492</v>
      </c>
      <c r="CL124" s="61">
        <f t="shared" si="80"/>
        <v>1.0531066646607492</v>
      </c>
      <c r="CM124" s="61">
        <f t="shared" si="80"/>
        <v>0</v>
      </c>
      <c r="CN124" s="61">
        <f t="shared" si="75"/>
        <v>0</v>
      </c>
      <c r="CO124" s="61">
        <f t="shared" si="75"/>
        <v>0</v>
      </c>
      <c r="CP124" s="61">
        <f t="shared" si="75"/>
        <v>0</v>
      </c>
      <c r="CQ124" s="61">
        <f t="shared" si="75"/>
        <v>0</v>
      </c>
      <c r="CR124" s="61">
        <f t="shared" si="75"/>
        <v>0</v>
      </c>
      <c r="CS124" s="61">
        <f t="shared" si="69"/>
        <v>0.31593199939822481</v>
      </c>
      <c r="CT124" s="67">
        <f t="shared" si="70"/>
        <v>2.1000000000000005</v>
      </c>
      <c r="CV124" s="61">
        <f t="shared" si="71"/>
        <v>0</v>
      </c>
      <c r="CW124" s="61">
        <f t="shared" si="121"/>
        <v>0</v>
      </c>
      <c r="CX124" s="61"/>
      <c r="CY124" s="61">
        <f t="shared" si="122"/>
        <v>0</v>
      </c>
      <c r="CZ124" s="61">
        <f t="shared" si="117"/>
        <v>0</v>
      </c>
      <c r="DA124" s="61">
        <f t="shared" si="117"/>
        <v>0</v>
      </c>
      <c r="DB124" s="2" t="s">
        <v>85</v>
      </c>
      <c r="DC124" s="2" t="s">
        <v>85</v>
      </c>
      <c r="DD124" s="2" t="s">
        <v>142</v>
      </c>
      <c r="DE124" s="2" t="s">
        <v>360</v>
      </c>
      <c r="DG124" s="62"/>
      <c r="EC124" s="60"/>
      <c r="ED124" s="60"/>
      <c r="EE124" s="60"/>
      <c r="EF124" s="60"/>
    </row>
    <row r="125" spans="2:140" ht="12.75" hidden="1" customHeight="1">
      <c r="B125" s="23" t="s">
        <v>361</v>
      </c>
      <c r="C125" s="22" t="s">
        <v>355</v>
      </c>
      <c r="D125" s="22" t="s">
        <v>351</v>
      </c>
      <c r="E125" s="2" t="s">
        <v>347</v>
      </c>
      <c r="F125" s="2" t="s">
        <v>348</v>
      </c>
      <c r="G125" s="2" t="s">
        <v>339</v>
      </c>
      <c r="J125" s="22" t="s">
        <v>352</v>
      </c>
      <c r="K125" s="23" t="s">
        <v>353</v>
      </c>
      <c r="L125" s="22" t="s">
        <v>122</v>
      </c>
      <c r="M125" s="51" t="str">
        <f t="shared" si="111"/>
        <v>JD8C -1K003-CB</v>
      </c>
      <c r="O125" s="22">
        <v>4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64">
        <f t="shared" si="112"/>
        <v>0.56000000000000005</v>
      </c>
      <c r="Y125" s="60">
        <f>-392.39+1.75</f>
        <v>-390.64</v>
      </c>
      <c r="Z125" s="60">
        <v>0</v>
      </c>
      <c r="AA125" s="60">
        <v>0</v>
      </c>
      <c r="AB125" s="60">
        <v>0</v>
      </c>
      <c r="AC125" s="60">
        <v>0</v>
      </c>
      <c r="AD125" s="8">
        <f t="shared" si="118"/>
        <v>-390.64</v>
      </c>
      <c r="AE125" s="2" t="s">
        <v>91</v>
      </c>
      <c r="AG125" s="71">
        <v>0</v>
      </c>
      <c r="AH125" s="71">
        <v>0</v>
      </c>
      <c r="AJ125" s="71">
        <v>0</v>
      </c>
      <c r="AK125" s="71">
        <v>0</v>
      </c>
      <c r="AL125" s="71">
        <v>0</v>
      </c>
      <c r="AM125" s="22"/>
      <c r="AO125" s="22" t="s">
        <v>352</v>
      </c>
      <c r="AP125" s="23" t="s">
        <v>353</v>
      </c>
      <c r="AQ125" s="22" t="s">
        <v>122</v>
      </c>
      <c r="AR125" s="51" t="str">
        <f t="shared" si="92"/>
        <v>JD8C -1K003-CB</v>
      </c>
      <c r="AS125" s="3"/>
      <c r="AT125" s="22">
        <v>4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64">
        <f t="shared" si="113"/>
        <v>0.56000000000000005</v>
      </c>
      <c r="BD125" s="60">
        <f>-392.39+1.75</f>
        <v>-390.64</v>
      </c>
      <c r="BE125" s="60">
        <v>0</v>
      </c>
      <c r="BF125" s="60">
        <v>0</v>
      </c>
      <c r="BG125" s="60">
        <v>0</v>
      </c>
      <c r="BH125" s="60">
        <v>0</v>
      </c>
      <c r="BI125" s="8">
        <f t="shared" si="123"/>
        <v>-390.64</v>
      </c>
      <c r="BJ125" s="2" t="s">
        <v>91</v>
      </c>
      <c r="BL125" s="71">
        <v>0</v>
      </c>
      <c r="BM125" s="71">
        <v>0</v>
      </c>
      <c r="BO125" s="71">
        <v>0</v>
      </c>
      <c r="BP125" s="71">
        <v>0</v>
      </c>
      <c r="BQ125" s="71">
        <v>0</v>
      </c>
      <c r="BR125" s="22"/>
      <c r="BS125" s="61">
        <f t="shared" si="114"/>
        <v>0</v>
      </c>
      <c r="BT125" s="61">
        <f t="shared" si="115"/>
        <v>0</v>
      </c>
      <c r="BU125" s="61">
        <f t="shared" si="116"/>
        <v>0</v>
      </c>
      <c r="BV125" s="61">
        <f t="shared" si="116"/>
        <v>0</v>
      </c>
      <c r="BW125" s="61">
        <f t="shared" si="116"/>
        <v>0</v>
      </c>
      <c r="BX125" s="61">
        <f t="shared" si="116"/>
        <v>0</v>
      </c>
      <c r="BY125" s="61" t="s">
        <v>91</v>
      </c>
      <c r="CA125" s="61">
        <f t="shared" si="79"/>
        <v>0</v>
      </c>
      <c r="CB125" s="61">
        <f t="shared" si="79"/>
        <v>0</v>
      </c>
      <c r="CC125" s="61">
        <f t="shared" si="79"/>
        <v>0</v>
      </c>
      <c r="CD125" s="61">
        <f t="shared" si="74"/>
        <v>0</v>
      </c>
      <c r="CE125" s="61">
        <f t="shared" si="74"/>
        <v>0</v>
      </c>
      <c r="CF125" s="61">
        <f t="shared" si="74"/>
        <v>0</v>
      </c>
      <c r="CG125" s="61">
        <f t="shared" si="74"/>
        <v>0</v>
      </c>
      <c r="CH125" s="61">
        <f t="shared" si="74"/>
        <v>0</v>
      </c>
      <c r="CI125" s="61">
        <f t="shared" si="68"/>
        <v>0</v>
      </c>
      <c r="CJ125" s="61"/>
      <c r="CK125" s="61">
        <f t="shared" si="80"/>
        <v>0</v>
      </c>
      <c r="CL125" s="61">
        <f t="shared" si="80"/>
        <v>0</v>
      </c>
      <c r="CM125" s="61">
        <f t="shared" si="80"/>
        <v>0</v>
      </c>
      <c r="CN125" s="61">
        <f t="shared" si="75"/>
        <v>0</v>
      </c>
      <c r="CO125" s="61">
        <f t="shared" si="75"/>
        <v>0</v>
      </c>
      <c r="CP125" s="61">
        <f t="shared" si="75"/>
        <v>0</v>
      </c>
      <c r="CQ125" s="61">
        <f t="shared" si="75"/>
        <v>0</v>
      </c>
      <c r="CR125" s="61">
        <f t="shared" si="75"/>
        <v>0</v>
      </c>
      <c r="CS125" s="61">
        <f t="shared" si="69"/>
        <v>0</v>
      </c>
      <c r="CT125" s="67">
        <f t="shared" si="70"/>
        <v>0</v>
      </c>
      <c r="CV125" s="61">
        <f t="shared" si="71"/>
        <v>0</v>
      </c>
      <c r="CW125" s="61">
        <f t="shared" ref="CW125:CW126" si="124">SUM(AH125)-SUM(BM125)</f>
        <v>0</v>
      </c>
      <c r="CX125" s="61"/>
      <c r="CY125" s="61">
        <f t="shared" si="122"/>
        <v>0</v>
      </c>
      <c r="CZ125" s="61">
        <f t="shared" si="117"/>
        <v>0</v>
      </c>
      <c r="DA125" s="61">
        <f t="shared" si="117"/>
        <v>0</v>
      </c>
      <c r="DB125" s="2" t="s">
        <v>86</v>
      </c>
      <c r="DC125" s="2" t="s">
        <v>85</v>
      </c>
      <c r="DD125" s="2" t="s">
        <v>142</v>
      </c>
      <c r="DE125" s="2" t="s">
        <v>360</v>
      </c>
      <c r="DF125" s="3" t="s">
        <v>86</v>
      </c>
      <c r="DG125" s="62">
        <v>43137</v>
      </c>
      <c r="EC125" s="60" t="str">
        <f>VLOOKUP($M125,[1]Detail!$M:$BO,1,0)</f>
        <v>JD8C -1K003-CB</v>
      </c>
      <c r="ED125" s="60">
        <f>VLOOKUP($M125,[1]Detail!$M:$BO,22,0)</f>
        <v>-390.64</v>
      </c>
      <c r="EE125" s="60">
        <f>VLOOKUP($M125,[1]Detail!$M:$BO,42,0)</f>
        <v>0</v>
      </c>
      <c r="EF125" s="60">
        <f>VLOOKUP($M125,[1]Detail!$M:$BO,45,0)</f>
        <v>0</v>
      </c>
      <c r="EH125" s="60">
        <f>ED125-AD125</f>
        <v>0</v>
      </c>
      <c r="EI125" s="60">
        <f>EE125-AG125</f>
        <v>0</v>
      </c>
      <c r="EJ125" s="60">
        <f t="shared" ref="EJ125:EJ128" si="125">EF125-AJ125</f>
        <v>0</v>
      </c>
    </row>
    <row r="126" spans="2:140" ht="12.75" hidden="1" customHeight="1">
      <c r="B126" s="23" t="s">
        <v>361</v>
      </c>
      <c r="C126" s="22" t="s">
        <v>355</v>
      </c>
      <c r="D126" s="22" t="s">
        <v>351</v>
      </c>
      <c r="E126" s="2" t="s">
        <v>347</v>
      </c>
      <c r="F126" s="2" t="s">
        <v>348</v>
      </c>
      <c r="G126" s="2" t="s">
        <v>339</v>
      </c>
      <c r="J126" s="22" t="s">
        <v>352</v>
      </c>
      <c r="K126" s="23" t="s">
        <v>353</v>
      </c>
      <c r="L126" s="22" t="s">
        <v>362</v>
      </c>
      <c r="M126" s="51" t="str">
        <f t="shared" si="111"/>
        <v>JD8C -1K003-EA</v>
      </c>
      <c r="O126" s="22">
        <v>0</v>
      </c>
      <c r="P126" s="22">
        <v>4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64">
        <f t="shared" si="112"/>
        <v>0.64</v>
      </c>
      <c r="Y126" s="60">
        <f>-392.39+1.75+30.2</f>
        <v>-360.44</v>
      </c>
      <c r="Z126" s="60">
        <v>0</v>
      </c>
      <c r="AA126" s="60">
        <v>0</v>
      </c>
      <c r="AB126" s="60">
        <v>0</v>
      </c>
      <c r="AC126" s="60">
        <v>0</v>
      </c>
      <c r="AD126" s="8">
        <f t="shared" si="118"/>
        <v>-360.44</v>
      </c>
      <c r="AE126" s="2" t="s">
        <v>91</v>
      </c>
      <c r="AG126" s="71">
        <v>0</v>
      </c>
      <c r="AH126" s="71">
        <v>0</v>
      </c>
      <c r="AJ126" s="71">
        <v>0</v>
      </c>
      <c r="AK126" s="71">
        <v>0</v>
      </c>
      <c r="AL126" s="71">
        <v>0</v>
      </c>
      <c r="AM126" s="22"/>
      <c r="AO126" s="22" t="s">
        <v>352</v>
      </c>
      <c r="AP126" s="23" t="s">
        <v>353</v>
      </c>
      <c r="AQ126" s="22" t="s">
        <v>122</v>
      </c>
      <c r="AR126" s="51" t="str">
        <f t="shared" si="92"/>
        <v>JD8C -1K003-CB</v>
      </c>
      <c r="AS126" s="3"/>
      <c r="AT126" s="22">
        <v>0</v>
      </c>
      <c r="AU126" s="22">
        <v>4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64">
        <f t="shared" si="113"/>
        <v>0.64</v>
      </c>
      <c r="BD126" s="60">
        <f>-392.39+1.75</f>
        <v>-390.64</v>
      </c>
      <c r="BE126" s="60">
        <v>0</v>
      </c>
      <c r="BF126" s="60">
        <v>0</v>
      </c>
      <c r="BG126" s="60">
        <v>0</v>
      </c>
      <c r="BH126" s="60">
        <v>0</v>
      </c>
      <c r="BI126" s="8">
        <f t="shared" si="123"/>
        <v>-390.64</v>
      </c>
      <c r="BJ126" s="2" t="s">
        <v>91</v>
      </c>
      <c r="BL126" s="71">
        <v>0</v>
      </c>
      <c r="BM126" s="71">
        <v>0</v>
      </c>
      <c r="BO126" s="71">
        <v>0</v>
      </c>
      <c r="BP126" s="71">
        <v>0</v>
      </c>
      <c r="BQ126" s="71">
        <v>0</v>
      </c>
      <c r="BR126" s="22"/>
      <c r="BS126" s="61">
        <f t="shared" si="114"/>
        <v>30.199999999999989</v>
      </c>
      <c r="BT126" s="61">
        <f t="shared" si="115"/>
        <v>0</v>
      </c>
      <c r="BU126" s="61">
        <f t="shared" si="116"/>
        <v>0</v>
      </c>
      <c r="BV126" s="61">
        <f t="shared" si="116"/>
        <v>0</v>
      </c>
      <c r="BW126" s="61">
        <f t="shared" si="116"/>
        <v>0</v>
      </c>
      <c r="BX126" s="61">
        <f t="shared" si="116"/>
        <v>30.199999999999989</v>
      </c>
      <c r="BY126" s="61" t="s">
        <v>91</v>
      </c>
      <c r="CA126" s="61">
        <f t="shared" si="79"/>
        <v>0</v>
      </c>
      <c r="CB126" s="61">
        <f t="shared" si="79"/>
        <v>18.173612155859779</v>
      </c>
      <c r="CC126" s="61">
        <f t="shared" si="79"/>
        <v>0</v>
      </c>
      <c r="CD126" s="61">
        <f t="shared" si="74"/>
        <v>0</v>
      </c>
      <c r="CE126" s="61">
        <f t="shared" si="74"/>
        <v>0</v>
      </c>
      <c r="CF126" s="61">
        <f t="shared" si="74"/>
        <v>0</v>
      </c>
      <c r="CG126" s="61">
        <f t="shared" si="74"/>
        <v>0</v>
      </c>
      <c r="CH126" s="61">
        <f t="shared" si="74"/>
        <v>0</v>
      </c>
      <c r="CI126" s="61">
        <f t="shared" si="68"/>
        <v>2.9077779449375645</v>
      </c>
      <c r="CJ126" s="61"/>
      <c r="CK126" s="61">
        <f t="shared" si="80"/>
        <v>0</v>
      </c>
      <c r="CL126" s="61">
        <f t="shared" si="80"/>
        <v>18.173612155859779</v>
      </c>
      <c r="CM126" s="61">
        <f t="shared" si="80"/>
        <v>0</v>
      </c>
      <c r="CN126" s="61">
        <f t="shared" si="75"/>
        <v>0</v>
      </c>
      <c r="CO126" s="61">
        <f t="shared" si="75"/>
        <v>0</v>
      </c>
      <c r="CP126" s="61">
        <f t="shared" si="75"/>
        <v>0</v>
      </c>
      <c r="CQ126" s="61">
        <f t="shared" si="75"/>
        <v>0</v>
      </c>
      <c r="CR126" s="61">
        <f t="shared" si="75"/>
        <v>0</v>
      </c>
      <c r="CS126" s="61">
        <f t="shared" si="69"/>
        <v>2.9077779449375645</v>
      </c>
      <c r="CT126" s="67">
        <f t="shared" si="70"/>
        <v>19.327999999999992</v>
      </c>
      <c r="CV126" s="61">
        <f t="shared" si="71"/>
        <v>0</v>
      </c>
      <c r="CW126" s="61">
        <f t="shared" si="124"/>
        <v>0</v>
      </c>
      <c r="CX126" s="61"/>
      <c r="CY126" s="61">
        <f t="shared" si="122"/>
        <v>0</v>
      </c>
      <c r="CZ126" s="61">
        <f t="shared" si="117"/>
        <v>0</v>
      </c>
      <c r="DA126" s="61">
        <f t="shared" si="117"/>
        <v>0</v>
      </c>
      <c r="DB126" s="2" t="s">
        <v>86</v>
      </c>
      <c r="DC126" s="2" t="s">
        <v>85</v>
      </c>
      <c r="DD126" s="2" t="s">
        <v>142</v>
      </c>
      <c r="DE126" s="2" t="s">
        <v>360</v>
      </c>
      <c r="DF126" s="3" t="s">
        <v>86</v>
      </c>
      <c r="DG126" s="62">
        <v>43137</v>
      </c>
      <c r="EC126" s="60" t="str">
        <f>VLOOKUP($M126,[1]Detail!$M:$BO,1,0)</f>
        <v>JD8C -1K003-EA</v>
      </c>
      <c r="ED126" s="60">
        <f>VLOOKUP($M126,[1]Detail!$M:$BO,22,0)</f>
        <v>-360.44</v>
      </c>
      <c r="EE126" s="60">
        <f>VLOOKUP($M126,[1]Detail!$M:$BO,42,0)</f>
        <v>0</v>
      </c>
      <c r="EF126" s="60">
        <f>VLOOKUP($M126,[1]Detail!$M:$BO,45,0)</f>
        <v>0</v>
      </c>
      <c r="EH126" s="60">
        <f>ED126-AD126</f>
        <v>0</v>
      </c>
      <c r="EI126" s="60">
        <f>EE126-AG126</f>
        <v>0</v>
      </c>
      <c r="EJ126" s="60">
        <f t="shared" si="125"/>
        <v>0</v>
      </c>
    </row>
    <row r="127" spans="2:140" ht="12.75" hidden="1" customHeight="1">
      <c r="B127" s="23" t="s">
        <v>363</v>
      </c>
      <c r="C127" s="22" t="s">
        <v>293</v>
      </c>
      <c r="D127" s="22" t="s">
        <v>364</v>
      </c>
      <c r="E127" s="2" t="str">
        <f>VLOOKUP($C127,[1]Detail!$C:$AK,6,0)</f>
        <v>PMT4</v>
      </c>
      <c r="F127" s="2" t="str">
        <f>VLOOKUP($C127,[1]Detail!$C:$AK,7,0)</f>
        <v>PF</v>
      </c>
      <c r="G127" s="2" t="str">
        <f>VLOOKUP($C127,[1]Detail!$C:$AK,5,0)</f>
        <v>B</v>
      </c>
      <c r="J127" s="22" t="s">
        <v>325</v>
      </c>
      <c r="K127" s="23" t="s">
        <v>365</v>
      </c>
      <c r="L127" s="22" t="s">
        <v>366</v>
      </c>
      <c r="M127" s="51" t="str">
        <f t="shared" si="111"/>
        <v>F1F1-7K177-VA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1</v>
      </c>
      <c r="U127" s="22">
        <v>0</v>
      </c>
      <c r="V127" s="22">
        <v>1</v>
      </c>
      <c r="W127" s="64">
        <f t="shared" si="112"/>
        <v>0.19</v>
      </c>
      <c r="Y127" s="60">
        <v>-187.77</v>
      </c>
      <c r="Z127" s="60">
        <v>-8.76</v>
      </c>
      <c r="AA127" s="60">
        <v>-7.44</v>
      </c>
      <c r="AB127" s="60">
        <v>-2.58</v>
      </c>
      <c r="AC127" s="60">
        <v>0</v>
      </c>
      <c r="AD127" s="8">
        <f t="shared" si="118"/>
        <v>-206.55</v>
      </c>
      <c r="AE127" s="2" t="s">
        <v>91</v>
      </c>
      <c r="AG127" s="71">
        <v>0</v>
      </c>
      <c r="AH127" s="71">
        <v>0</v>
      </c>
      <c r="AJ127" s="71">
        <v>0</v>
      </c>
      <c r="AK127" s="71">
        <v>0</v>
      </c>
      <c r="AL127" s="72">
        <v>0</v>
      </c>
      <c r="AM127" s="22"/>
      <c r="AO127" s="22" t="s">
        <v>325</v>
      </c>
      <c r="AP127" s="23" t="s">
        <v>365</v>
      </c>
      <c r="AQ127" s="22" t="s">
        <v>366</v>
      </c>
      <c r="AR127" s="51" t="str">
        <f t="shared" si="92"/>
        <v>F1F1-7K177-VA</v>
      </c>
      <c r="AS127" s="3"/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1</v>
      </c>
      <c r="AZ127" s="22">
        <v>0</v>
      </c>
      <c r="BA127" s="22">
        <v>1</v>
      </c>
      <c r="BB127" s="2">
        <f t="shared" si="113"/>
        <v>0.19</v>
      </c>
      <c r="BD127" s="60">
        <v>-187.77</v>
      </c>
      <c r="BE127" s="60">
        <v>-8.76</v>
      </c>
      <c r="BF127" s="60">
        <v>-7.44</v>
      </c>
      <c r="BG127" s="60">
        <v>-2.58</v>
      </c>
      <c r="BH127" s="60">
        <v>0</v>
      </c>
      <c r="BI127" s="8">
        <f t="shared" si="109"/>
        <v>-206.55</v>
      </c>
      <c r="BJ127" s="2" t="s">
        <v>91</v>
      </c>
      <c r="BL127" s="71">
        <v>0</v>
      </c>
      <c r="BM127" s="71">
        <v>0</v>
      </c>
      <c r="BO127" s="71">
        <v>0</v>
      </c>
      <c r="BP127" s="71">
        <v>0</v>
      </c>
      <c r="BQ127" s="72">
        <v>0</v>
      </c>
      <c r="BS127" s="61">
        <f t="shared" si="114"/>
        <v>0</v>
      </c>
      <c r="BT127" s="61">
        <f t="shared" si="115"/>
        <v>0</v>
      </c>
      <c r="BU127" s="61">
        <f t="shared" si="116"/>
        <v>0</v>
      </c>
      <c r="BV127" s="61">
        <f t="shared" si="116"/>
        <v>0</v>
      </c>
      <c r="BW127" s="61">
        <f t="shared" si="116"/>
        <v>0</v>
      </c>
      <c r="BX127" s="61">
        <f t="shared" si="116"/>
        <v>0</v>
      </c>
      <c r="BY127" s="61" t="s">
        <v>91</v>
      </c>
      <c r="CA127" s="61">
        <f t="shared" si="79"/>
        <v>0</v>
      </c>
      <c r="CB127" s="61">
        <f t="shared" si="79"/>
        <v>0</v>
      </c>
      <c r="CC127" s="61">
        <f t="shared" si="79"/>
        <v>0</v>
      </c>
      <c r="CD127" s="61">
        <f t="shared" si="74"/>
        <v>0</v>
      </c>
      <c r="CE127" s="61">
        <f t="shared" si="74"/>
        <v>0</v>
      </c>
      <c r="CF127" s="61">
        <f t="shared" si="74"/>
        <v>0</v>
      </c>
      <c r="CG127" s="61">
        <f t="shared" si="74"/>
        <v>0</v>
      </c>
      <c r="CH127" s="61">
        <f t="shared" si="74"/>
        <v>0</v>
      </c>
      <c r="CI127" s="61">
        <f t="shared" si="68"/>
        <v>0</v>
      </c>
      <c r="CJ127" s="61"/>
      <c r="CK127" s="61">
        <f t="shared" si="80"/>
        <v>0</v>
      </c>
      <c r="CL127" s="61">
        <f t="shared" si="80"/>
        <v>0</v>
      </c>
      <c r="CM127" s="61">
        <f t="shared" si="80"/>
        <v>0</v>
      </c>
      <c r="CN127" s="61">
        <f t="shared" si="75"/>
        <v>0</v>
      </c>
      <c r="CO127" s="61">
        <f t="shared" si="75"/>
        <v>0</v>
      </c>
      <c r="CP127" s="61">
        <f t="shared" si="75"/>
        <v>0</v>
      </c>
      <c r="CQ127" s="61">
        <f t="shared" si="75"/>
        <v>0</v>
      </c>
      <c r="CR127" s="61">
        <f t="shared" si="75"/>
        <v>0</v>
      </c>
      <c r="CS127" s="61">
        <f t="shared" si="69"/>
        <v>0</v>
      </c>
      <c r="CT127" s="61">
        <f t="shared" si="70"/>
        <v>0</v>
      </c>
      <c r="CV127" s="61">
        <f t="shared" si="71"/>
        <v>0</v>
      </c>
      <c r="CW127" s="61">
        <f t="shared" si="96"/>
        <v>0</v>
      </c>
      <c r="CX127" s="61"/>
      <c r="CY127" s="61">
        <f t="shared" si="97"/>
        <v>0</v>
      </c>
      <c r="CZ127" s="61">
        <f t="shared" si="117"/>
        <v>0</v>
      </c>
      <c r="DA127" s="61">
        <f t="shared" si="117"/>
        <v>0</v>
      </c>
      <c r="DB127" s="2" t="s">
        <v>102</v>
      </c>
      <c r="DC127" s="2" t="s">
        <v>102</v>
      </c>
      <c r="DD127" s="2" t="s">
        <v>142</v>
      </c>
      <c r="DE127" s="2" t="s">
        <v>181</v>
      </c>
      <c r="DF127" s="3" t="s">
        <v>102</v>
      </c>
      <c r="DG127" s="62">
        <v>42801</v>
      </c>
      <c r="EC127" s="60" t="str">
        <f>VLOOKUP($M127,[1]Detail!$M:$BO,1,0)</f>
        <v>F1F1-7K177-VA</v>
      </c>
      <c r="ED127" s="60">
        <f>VLOOKUP($M127,[1]Detail!$M:$BO,22,0)</f>
        <v>-206.55</v>
      </c>
      <c r="EE127" s="60">
        <f>VLOOKUP($M127,[1]Detail!$M:$BO,42,0)</f>
        <v>0</v>
      </c>
      <c r="EF127" s="60">
        <f>VLOOKUP($M127,[1]Detail!$M:$BO,45,0)</f>
        <v>0</v>
      </c>
      <c r="EH127" s="60">
        <f>ED127-AD127</f>
        <v>0</v>
      </c>
      <c r="EI127" s="60">
        <f>EE127-AG127</f>
        <v>0</v>
      </c>
      <c r="EJ127" s="60">
        <f t="shared" si="125"/>
        <v>0</v>
      </c>
    </row>
    <row r="128" spans="2:140" ht="12.75" hidden="1" customHeight="1">
      <c r="B128" s="93" t="s">
        <v>367</v>
      </c>
      <c r="C128" s="22" t="s">
        <v>368</v>
      </c>
      <c r="D128" s="22" t="s">
        <v>369</v>
      </c>
      <c r="E128" s="2" t="str">
        <f>VLOOKUP($C128,[1]Detail!$C:$AK,6,0)</f>
        <v>PMT4</v>
      </c>
      <c r="F128" s="2" t="str">
        <f>VLOOKUP($C128,[1]Detail!$C:$AK,7,0)</f>
        <v>PF</v>
      </c>
      <c r="G128" s="2" t="str">
        <f>VLOOKUP($C128,[1]Detail!$C:$AK,5,0)</f>
        <v>B</v>
      </c>
      <c r="J128" s="22" t="s">
        <v>325</v>
      </c>
      <c r="K128" s="23">
        <v>8005</v>
      </c>
      <c r="L128" s="22" t="s">
        <v>370</v>
      </c>
      <c r="M128" s="51" t="str">
        <f t="shared" si="111"/>
        <v>F1F1-8005-VE</v>
      </c>
      <c r="O128" s="22">
        <v>0</v>
      </c>
      <c r="P128" s="22">
        <v>0</v>
      </c>
      <c r="Q128" s="22">
        <v>0</v>
      </c>
      <c r="R128" s="22">
        <v>0</v>
      </c>
      <c r="S128" s="22">
        <v>1</v>
      </c>
      <c r="T128" s="22">
        <v>1</v>
      </c>
      <c r="U128" s="22">
        <v>0</v>
      </c>
      <c r="V128" s="22">
        <v>1</v>
      </c>
      <c r="W128" s="64">
        <f t="shared" si="112"/>
        <v>0.28000000000000003</v>
      </c>
      <c r="Y128" s="60">
        <v>-188.09</v>
      </c>
      <c r="Z128" s="60">
        <v>-8</v>
      </c>
      <c r="AA128" s="60">
        <v>-13.89</v>
      </c>
      <c r="AB128" s="60">
        <v>-21.54</v>
      </c>
      <c r="AC128" s="60">
        <v>0</v>
      </c>
      <c r="AD128" s="8">
        <f t="shared" si="118"/>
        <v>-231.52</v>
      </c>
      <c r="AE128" s="2" t="s">
        <v>91</v>
      </c>
      <c r="AG128" s="71">
        <v>0</v>
      </c>
      <c r="AH128" s="71">
        <v>0</v>
      </c>
      <c r="AJ128" s="71">
        <v>0</v>
      </c>
      <c r="AK128" s="71">
        <v>0</v>
      </c>
      <c r="AL128" s="72">
        <v>0</v>
      </c>
      <c r="AM128" s="22"/>
      <c r="AO128" s="22" t="s">
        <v>325</v>
      </c>
      <c r="AP128" s="23">
        <v>8005</v>
      </c>
      <c r="AQ128" s="22" t="s">
        <v>370</v>
      </c>
      <c r="AR128" s="51" t="str">
        <f t="shared" si="92"/>
        <v>F1F1-8005-VE</v>
      </c>
      <c r="AS128" s="3"/>
      <c r="AT128" s="22">
        <v>0</v>
      </c>
      <c r="AU128" s="22">
        <v>0</v>
      </c>
      <c r="AV128" s="22">
        <v>0</v>
      </c>
      <c r="AW128" s="22">
        <v>0</v>
      </c>
      <c r="AX128" s="22">
        <v>1</v>
      </c>
      <c r="AY128" s="22">
        <v>1</v>
      </c>
      <c r="AZ128" s="22">
        <v>0</v>
      </c>
      <c r="BA128" s="22">
        <v>1</v>
      </c>
      <c r="BB128" s="64">
        <f t="shared" si="113"/>
        <v>0.28000000000000003</v>
      </c>
      <c r="BD128" s="60">
        <v>-188.09</v>
      </c>
      <c r="BE128" s="60">
        <v>-8</v>
      </c>
      <c r="BF128" s="60">
        <v>-13.89</v>
      </c>
      <c r="BG128" s="60">
        <v>-21.54</v>
      </c>
      <c r="BH128" s="60">
        <v>0</v>
      </c>
      <c r="BI128" s="8">
        <f t="shared" si="109"/>
        <v>-231.52</v>
      </c>
      <c r="BJ128" s="2" t="s">
        <v>91</v>
      </c>
      <c r="BL128" s="71">
        <v>0</v>
      </c>
      <c r="BM128" s="71">
        <v>0</v>
      </c>
      <c r="BO128" s="71">
        <v>0</v>
      </c>
      <c r="BP128" s="71">
        <v>0</v>
      </c>
      <c r="BQ128" s="72">
        <v>0</v>
      </c>
      <c r="BS128" s="61">
        <f t="shared" si="114"/>
        <v>0</v>
      </c>
      <c r="BT128" s="61">
        <f t="shared" si="115"/>
        <v>0</v>
      </c>
      <c r="BU128" s="61">
        <f t="shared" si="116"/>
        <v>0</v>
      </c>
      <c r="BV128" s="61">
        <f t="shared" si="116"/>
        <v>0</v>
      </c>
      <c r="BW128" s="61">
        <f t="shared" si="116"/>
        <v>0</v>
      </c>
      <c r="BX128" s="61">
        <f t="shared" si="116"/>
        <v>0</v>
      </c>
      <c r="BY128" s="61" t="s">
        <v>91</v>
      </c>
      <c r="CA128" s="61">
        <f t="shared" si="79"/>
        <v>0</v>
      </c>
      <c r="CB128" s="61">
        <f t="shared" si="79"/>
        <v>0</v>
      </c>
      <c r="CC128" s="61">
        <f t="shared" si="79"/>
        <v>0</v>
      </c>
      <c r="CD128" s="61">
        <f t="shared" si="74"/>
        <v>0</v>
      </c>
      <c r="CE128" s="61">
        <f t="shared" si="74"/>
        <v>0</v>
      </c>
      <c r="CF128" s="61">
        <f t="shared" si="74"/>
        <v>0</v>
      </c>
      <c r="CG128" s="61">
        <f t="shared" si="74"/>
        <v>0</v>
      </c>
      <c r="CH128" s="61">
        <f t="shared" si="74"/>
        <v>0</v>
      </c>
      <c r="CI128" s="61">
        <f t="shared" si="68"/>
        <v>0</v>
      </c>
      <c r="CJ128" s="61"/>
      <c r="CK128" s="61">
        <f t="shared" si="80"/>
        <v>0</v>
      </c>
      <c r="CL128" s="61">
        <f t="shared" si="80"/>
        <v>0</v>
      </c>
      <c r="CM128" s="61">
        <f t="shared" si="80"/>
        <v>0</v>
      </c>
      <c r="CN128" s="61">
        <f t="shared" si="75"/>
        <v>0</v>
      </c>
      <c r="CO128" s="61">
        <f t="shared" si="75"/>
        <v>0</v>
      </c>
      <c r="CP128" s="61">
        <f t="shared" si="75"/>
        <v>0</v>
      </c>
      <c r="CQ128" s="61">
        <f t="shared" si="75"/>
        <v>0</v>
      </c>
      <c r="CR128" s="61">
        <f t="shared" si="75"/>
        <v>0</v>
      </c>
      <c r="CS128" s="61">
        <f t="shared" si="69"/>
        <v>0</v>
      </c>
      <c r="CT128" s="61">
        <f t="shared" si="70"/>
        <v>0</v>
      </c>
      <c r="CV128" s="61">
        <f t="shared" si="71"/>
        <v>0</v>
      </c>
      <c r="CW128" s="61">
        <f t="shared" si="96"/>
        <v>0</v>
      </c>
      <c r="CX128" s="61"/>
      <c r="CY128" s="61">
        <f t="shared" si="97"/>
        <v>0</v>
      </c>
      <c r="CZ128" s="61">
        <f t="shared" si="117"/>
        <v>0</v>
      </c>
      <c r="DA128" s="61">
        <f t="shared" si="117"/>
        <v>0</v>
      </c>
      <c r="DB128" s="2" t="s">
        <v>102</v>
      </c>
      <c r="DC128" s="2" t="s">
        <v>102</v>
      </c>
      <c r="DD128" s="2" t="s">
        <v>142</v>
      </c>
      <c r="DE128" s="2" t="s">
        <v>181</v>
      </c>
      <c r="DF128" s="3" t="s">
        <v>102</v>
      </c>
      <c r="DG128" s="62">
        <v>42816</v>
      </c>
      <c r="EC128" s="60" t="str">
        <f>VLOOKUP($M128,[1]Detail!$M:$BO,1,0)</f>
        <v>F1F1-8005-VE</v>
      </c>
      <c r="ED128" s="60">
        <f>VLOOKUP($M128,[1]Detail!$M:$BO,22,0)</f>
        <v>-231.52</v>
      </c>
      <c r="EE128" s="60">
        <f>VLOOKUP($M128,[1]Detail!$M:$BO,42,0)</f>
        <v>0</v>
      </c>
      <c r="EF128" s="60">
        <f>VLOOKUP($M128,[1]Detail!$M:$BO,45,0)</f>
        <v>0</v>
      </c>
      <c r="EH128" s="60">
        <f>ED128-AD128</f>
        <v>0</v>
      </c>
      <c r="EI128" s="60">
        <f>EE128-AG128</f>
        <v>0</v>
      </c>
      <c r="EJ128" s="60">
        <f t="shared" si="125"/>
        <v>0</v>
      </c>
    </row>
    <row r="129" spans="2:140" ht="12.75" hidden="1" customHeight="1">
      <c r="B129" s="23" t="s">
        <v>371</v>
      </c>
      <c r="C129" s="22" t="s">
        <v>372</v>
      </c>
      <c r="D129" s="22" t="s">
        <v>373</v>
      </c>
      <c r="E129" s="2" t="str">
        <f>VLOOKUP($C129,[1]Detail!$C:$AK,6,0)</f>
        <v>PMT3</v>
      </c>
      <c r="F129" s="2" t="str">
        <f>VLOOKUP($C129,[1]Detail!$C:$AK,7,0)</f>
        <v>PF</v>
      </c>
      <c r="G129" s="2" t="str">
        <f>VLOOKUP($C129,[1]Detail!$C:$AK,5,0)</f>
        <v>J</v>
      </c>
      <c r="J129" s="22" t="s">
        <v>374</v>
      </c>
      <c r="K129" s="23" t="s">
        <v>375</v>
      </c>
      <c r="L129" s="22" t="s">
        <v>113</v>
      </c>
      <c r="M129" s="51" t="str">
        <f t="shared" si="111"/>
        <v>BV61-1A201-CA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4</v>
      </c>
      <c r="V129" s="22">
        <v>4</v>
      </c>
      <c r="W129" s="64">
        <f t="shared" si="112"/>
        <v>0.4</v>
      </c>
      <c r="Y129" s="60">
        <v>-3.96</v>
      </c>
      <c r="Z129" s="60">
        <v>-0.06</v>
      </c>
      <c r="AA129" s="60">
        <v>-0.05</v>
      </c>
      <c r="AB129" s="60">
        <v>0</v>
      </c>
      <c r="AC129" s="60">
        <v>0</v>
      </c>
      <c r="AD129" s="8">
        <f t="shared" si="118"/>
        <v>-4.0699999999999994</v>
      </c>
      <c r="AE129" s="2" t="s">
        <v>91</v>
      </c>
      <c r="AG129" s="71">
        <v>0</v>
      </c>
      <c r="AH129" s="71">
        <v>0</v>
      </c>
      <c r="AJ129" s="71">
        <v>0</v>
      </c>
      <c r="AK129" s="71">
        <v>0</v>
      </c>
      <c r="AL129" s="72">
        <v>0</v>
      </c>
      <c r="AM129" s="22"/>
      <c r="AO129" s="22" t="s">
        <v>357</v>
      </c>
      <c r="AP129" s="23" t="s">
        <v>375</v>
      </c>
      <c r="AQ129" s="22" t="s">
        <v>111</v>
      </c>
      <c r="AR129" s="51" t="str">
        <f t="shared" si="92"/>
        <v>ED8C-1A201-BA</v>
      </c>
      <c r="AS129" s="3"/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0</v>
      </c>
      <c r="AZ129" s="22">
        <v>4</v>
      </c>
      <c r="BA129" s="22">
        <v>4</v>
      </c>
      <c r="BB129" s="2">
        <f t="shared" si="113"/>
        <v>0.4</v>
      </c>
      <c r="BD129" s="60">
        <v>-3.92</v>
      </c>
      <c r="BE129" s="60">
        <v>-0.06</v>
      </c>
      <c r="BF129" s="60">
        <v>-0.05</v>
      </c>
      <c r="BG129" s="60">
        <v>0</v>
      </c>
      <c r="BH129" s="60">
        <v>0</v>
      </c>
      <c r="BI129" s="8">
        <f t="shared" si="109"/>
        <v>-4.03</v>
      </c>
      <c r="BL129" s="71">
        <v>0</v>
      </c>
      <c r="BM129" s="71">
        <v>0</v>
      </c>
      <c r="BO129" s="71">
        <v>0</v>
      </c>
      <c r="BP129" s="71">
        <v>0</v>
      </c>
      <c r="BQ129" s="72">
        <v>0</v>
      </c>
      <c r="BS129" s="61">
        <f t="shared" si="114"/>
        <v>-4.0000000000000036E-2</v>
      </c>
      <c r="BT129" s="61">
        <f t="shared" si="115"/>
        <v>0</v>
      </c>
      <c r="BU129" s="61">
        <f t="shared" si="116"/>
        <v>0</v>
      </c>
      <c r="BV129" s="61">
        <f t="shared" si="116"/>
        <v>0</v>
      </c>
      <c r="BW129" s="61">
        <f t="shared" si="116"/>
        <v>0</v>
      </c>
      <c r="BX129" s="61">
        <f t="shared" si="116"/>
        <v>-3.9999999999999147E-2</v>
      </c>
      <c r="BY129" s="61" t="s">
        <v>91</v>
      </c>
      <c r="CA129" s="61">
        <f t="shared" si="79"/>
        <v>0</v>
      </c>
      <c r="CB129" s="61">
        <f t="shared" si="79"/>
        <v>0</v>
      </c>
      <c r="CC129" s="61">
        <f t="shared" si="79"/>
        <v>0</v>
      </c>
      <c r="CD129" s="61">
        <f t="shared" si="74"/>
        <v>0</v>
      </c>
      <c r="CE129" s="61">
        <f t="shared" si="74"/>
        <v>0</v>
      </c>
      <c r="CF129" s="61">
        <f t="shared" si="74"/>
        <v>0</v>
      </c>
      <c r="CG129" s="61">
        <f t="shared" si="74"/>
        <v>-2.4071009477960002E-2</v>
      </c>
      <c r="CH129" s="61">
        <f t="shared" si="74"/>
        <v>-2.4071009477960002E-2</v>
      </c>
      <c r="CI129" s="61">
        <f t="shared" si="68"/>
        <v>-2.4071009477960002E-3</v>
      </c>
      <c r="CJ129" s="61"/>
      <c r="CK129" s="61">
        <f t="shared" si="80"/>
        <v>0</v>
      </c>
      <c r="CL129" s="61">
        <f t="shared" si="80"/>
        <v>0</v>
      </c>
      <c r="CM129" s="61">
        <f t="shared" si="80"/>
        <v>0</v>
      </c>
      <c r="CN129" s="61">
        <f t="shared" si="75"/>
        <v>0</v>
      </c>
      <c r="CO129" s="61">
        <f t="shared" si="75"/>
        <v>0</v>
      </c>
      <c r="CP129" s="61">
        <f t="shared" si="75"/>
        <v>0</v>
      </c>
      <c r="CQ129" s="61">
        <f t="shared" si="75"/>
        <v>-2.4071009477959468E-2</v>
      </c>
      <c r="CR129" s="61">
        <f t="shared" si="75"/>
        <v>-2.4071009477959468E-2</v>
      </c>
      <c r="CS129" s="61">
        <f t="shared" si="69"/>
        <v>-2.4071009477959469E-3</v>
      </c>
      <c r="CT129" s="61">
        <f t="shared" si="70"/>
        <v>-1.599999999999966E-2</v>
      </c>
      <c r="CV129" s="61">
        <f t="shared" si="71"/>
        <v>0</v>
      </c>
      <c r="CW129" s="61">
        <f t="shared" si="96"/>
        <v>0</v>
      </c>
      <c r="CX129" s="61"/>
      <c r="CY129" s="61">
        <f t="shared" si="97"/>
        <v>0</v>
      </c>
      <c r="CZ129" s="61">
        <f t="shared" si="117"/>
        <v>0</v>
      </c>
      <c r="DA129" s="61">
        <f t="shared" si="117"/>
        <v>0</v>
      </c>
      <c r="DB129" s="2" t="s">
        <v>134</v>
      </c>
      <c r="DC129" s="2" t="s">
        <v>102</v>
      </c>
      <c r="DD129" s="2" t="s">
        <v>142</v>
      </c>
      <c r="DE129" s="2" t="s">
        <v>181</v>
      </c>
      <c r="DF129" s="3" t="s">
        <v>248</v>
      </c>
      <c r="DG129" s="62">
        <v>42783</v>
      </c>
      <c r="EC129" s="60"/>
      <c r="ED129" s="60"/>
      <c r="EE129" s="60"/>
      <c r="EF129" s="60"/>
    </row>
    <row r="130" spans="2:140" ht="12.75" hidden="1" customHeight="1">
      <c r="B130" s="23" t="s">
        <v>371</v>
      </c>
      <c r="C130" s="22" t="s">
        <v>372</v>
      </c>
      <c r="D130" s="22" t="s">
        <v>373</v>
      </c>
      <c r="E130" s="2" t="str">
        <f>VLOOKUP($C130,[1]Detail!$C:$AK,6,0)</f>
        <v>PMT3</v>
      </c>
      <c r="F130" s="2" t="str">
        <f>VLOOKUP($C130,[1]Detail!$C:$AK,7,0)</f>
        <v>PF</v>
      </c>
      <c r="G130" s="2" t="str">
        <f>VLOOKUP($C130,[1]Detail!$C:$AK,5,0)</f>
        <v>J</v>
      </c>
      <c r="J130" s="22" t="s">
        <v>357</v>
      </c>
      <c r="K130" s="23" t="s">
        <v>375</v>
      </c>
      <c r="L130" s="22" t="s">
        <v>100</v>
      </c>
      <c r="M130" s="51" t="str">
        <f t="shared" si="111"/>
        <v>ED8C-1A201-AA</v>
      </c>
      <c r="O130" s="22">
        <v>4</v>
      </c>
      <c r="P130" s="22">
        <v>4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64">
        <f t="shared" si="112"/>
        <v>1.2000000000000002</v>
      </c>
      <c r="Y130" s="60">
        <v>-3.86</v>
      </c>
      <c r="Z130" s="60">
        <v>-0.06</v>
      </c>
      <c r="AA130" s="60">
        <v>-0.05</v>
      </c>
      <c r="AB130" s="60">
        <v>0</v>
      </c>
      <c r="AC130" s="60">
        <v>0</v>
      </c>
      <c r="AD130" s="8">
        <f t="shared" si="118"/>
        <v>-3.9699999999999998</v>
      </c>
      <c r="AE130" s="2" t="s">
        <v>91</v>
      </c>
      <c r="AG130" s="71">
        <v>0</v>
      </c>
      <c r="AH130" s="71">
        <v>0</v>
      </c>
      <c r="AJ130" s="71">
        <v>0</v>
      </c>
      <c r="AK130" s="71">
        <v>0</v>
      </c>
      <c r="AL130" s="72">
        <v>0</v>
      </c>
      <c r="AM130" s="22"/>
      <c r="AO130" s="22" t="s">
        <v>357</v>
      </c>
      <c r="AP130" s="23" t="s">
        <v>375</v>
      </c>
      <c r="AQ130" s="22" t="s">
        <v>100</v>
      </c>
      <c r="AR130" s="51" t="str">
        <f t="shared" si="92"/>
        <v>ED8C-1A201-AA</v>
      </c>
      <c r="AS130" s="3"/>
      <c r="AT130" s="22">
        <v>4</v>
      </c>
      <c r="AU130" s="22">
        <v>4</v>
      </c>
      <c r="AV130" s="22">
        <v>0</v>
      </c>
      <c r="AW130" s="22">
        <v>0</v>
      </c>
      <c r="AX130" s="22">
        <v>0</v>
      </c>
      <c r="AY130" s="22">
        <v>0</v>
      </c>
      <c r="AZ130" s="22">
        <v>0</v>
      </c>
      <c r="BA130" s="22">
        <v>0</v>
      </c>
      <c r="BB130" s="2">
        <f t="shared" si="113"/>
        <v>1.2000000000000002</v>
      </c>
      <c r="BD130" s="60">
        <v>-3.86</v>
      </c>
      <c r="BE130" s="60">
        <v>-0.06</v>
      </c>
      <c r="BF130" s="60">
        <v>-0.05</v>
      </c>
      <c r="BG130" s="60">
        <v>0</v>
      </c>
      <c r="BH130" s="60">
        <v>0</v>
      </c>
      <c r="BI130" s="8">
        <f t="shared" si="109"/>
        <v>-3.9699999999999998</v>
      </c>
      <c r="BL130" s="71">
        <v>0</v>
      </c>
      <c r="BM130" s="71">
        <v>0</v>
      </c>
      <c r="BO130" s="71">
        <v>0</v>
      </c>
      <c r="BP130" s="71">
        <v>0</v>
      </c>
      <c r="BQ130" s="72">
        <v>0</v>
      </c>
      <c r="BS130" s="61">
        <f t="shared" si="114"/>
        <v>0</v>
      </c>
      <c r="BT130" s="61">
        <f t="shared" si="115"/>
        <v>0</v>
      </c>
      <c r="BU130" s="61">
        <f t="shared" si="116"/>
        <v>0</v>
      </c>
      <c r="BV130" s="61">
        <f t="shared" si="116"/>
        <v>0</v>
      </c>
      <c r="BW130" s="61">
        <f t="shared" si="116"/>
        <v>0</v>
      </c>
      <c r="BX130" s="61">
        <f t="shared" si="116"/>
        <v>0</v>
      </c>
      <c r="BY130" s="61" t="s">
        <v>91</v>
      </c>
      <c r="CA130" s="61">
        <f t="shared" si="79"/>
        <v>0</v>
      </c>
      <c r="CB130" s="61">
        <f t="shared" si="79"/>
        <v>0</v>
      </c>
      <c r="CC130" s="61">
        <f t="shared" si="79"/>
        <v>0</v>
      </c>
      <c r="CD130" s="61">
        <f t="shared" si="74"/>
        <v>0</v>
      </c>
      <c r="CE130" s="61">
        <f t="shared" si="74"/>
        <v>0</v>
      </c>
      <c r="CF130" s="61">
        <f t="shared" si="74"/>
        <v>0</v>
      </c>
      <c r="CG130" s="61">
        <f t="shared" si="74"/>
        <v>0</v>
      </c>
      <c r="CH130" s="61">
        <f t="shared" si="74"/>
        <v>0</v>
      </c>
      <c r="CI130" s="61">
        <f t="shared" si="68"/>
        <v>0</v>
      </c>
      <c r="CJ130" s="61"/>
      <c r="CK130" s="61">
        <f t="shared" si="80"/>
        <v>0</v>
      </c>
      <c r="CL130" s="61">
        <f t="shared" si="80"/>
        <v>0</v>
      </c>
      <c r="CM130" s="61">
        <f t="shared" si="80"/>
        <v>0</v>
      </c>
      <c r="CN130" s="61">
        <f t="shared" si="75"/>
        <v>0</v>
      </c>
      <c r="CO130" s="61">
        <f t="shared" si="75"/>
        <v>0</v>
      </c>
      <c r="CP130" s="61">
        <f t="shared" si="75"/>
        <v>0</v>
      </c>
      <c r="CQ130" s="61">
        <f t="shared" si="75"/>
        <v>0</v>
      </c>
      <c r="CR130" s="61">
        <f t="shared" si="75"/>
        <v>0</v>
      </c>
      <c r="CS130" s="61">
        <f t="shared" si="69"/>
        <v>0</v>
      </c>
      <c r="CT130" s="61">
        <f t="shared" si="70"/>
        <v>0</v>
      </c>
      <c r="CV130" s="61">
        <f t="shared" si="71"/>
        <v>0</v>
      </c>
      <c r="CW130" s="61">
        <f t="shared" si="96"/>
        <v>0</v>
      </c>
      <c r="CX130" s="61"/>
      <c r="CY130" s="61">
        <f t="shared" si="97"/>
        <v>0</v>
      </c>
      <c r="CZ130" s="61">
        <f t="shared" si="117"/>
        <v>0</v>
      </c>
      <c r="DA130" s="61">
        <f t="shared" si="117"/>
        <v>0</v>
      </c>
      <c r="DB130" s="2" t="s">
        <v>134</v>
      </c>
      <c r="DC130" s="2" t="s">
        <v>102</v>
      </c>
      <c r="DD130" s="2" t="s">
        <v>142</v>
      </c>
      <c r="DE130" s="2" t="s">
        <v>181</v>
      </c>
      <c r="DF130" s="3" t="s">
        <v>248</v>
      </c>
      <c r="DG130" s="62">
        <v>42783</v>
      </c>
      <c r="EC130" s="60"/>
      <c r="ED130" s="60"/>
      <c r="EE130" s="60"/>
      <c r="EF130" s="60"/>
    </row>
    <row r="131" spans="2:140" ht="12" hidden="1" customHeight="1">
      <c r="B131" s="23" t="s">
        <v>371</v>
      </c>
      <c r="C131" s="22" t="s">
        <v>372</v>
      </c>
      <c r="D131" s="22" t="s">
        <v>373</v>
      </c>
      <c r="E131" s="2" t="str">
        <f>VLOOKUP($C131,[1]Detail!$C:$AK,6,0)</f>
        <v>PMT3</v>
      </c>
      <c r="F131" s="2" t="str">
        <f>VLOOKUP($C131,[1]Detail!$C:$AK,7,0)</f>
        <v>PF</v>
      </c>
      <c r="G131" s="2" t="str">
        <f>VLOOKUP($C131,[1]Detail!$C:$AK,5,0)</f>
        <v>J</v>
      </c>
      <c r="J131" s="22" t="s">
        <v>357</v>
      </c>
      <c r="K131" s="23" t="s">
        <v>375</v>
      </c>
      <c r="L131" s="22" t="s">
        <v>111</v>
      </c>
      <c r="M131" s="51" t="str">
        <f t="shared" si="111"/>
        <v>ED8C-1A201-BA</v>
      </c>
      <c r="O131" s="22">
        <v>0</v>
      </c>
      <c r="P131" s="22">
        <v>0</v>
      </c>
      <c r="Q131" s="22">
        <v>4</v>
      </c>
      <c r="R131" s="22">
        <v>4</v>
      </c>
      <c r="S131" s="22">
        <v>4</v>
      </c>
      <c r="T131" s="22">
        <v>4</v>
      </c>
      <c r="U131" s="22">
        <v>0</v>
      </c>
      <c r="V131" s="22">
        <v>0</v>
      </c>
      <c r="W131" s="64">
        <f t="shared" si="112"/>
        <v>2.4</v>
      </c>
      <c r="Y131" s="60">
        <v>-3.92</v>
      </c>
      <c r="Z131" s="60">
        <v>-0.06</v>
      </c>
      <c r="AA131" s="60">
        <v>-0.05</v>
      </c>
      <c r="AB131" s="60">
        <v>0</v>
      </c>
      <c r="AC131" s="60">
        <v>0</v>
      </c>
      <c r="AD131" s="8">
        <f t="shared" si="118"/>
        <v>-4.03</v>
      </c>
      <c r="AE131" s="2" t="s">
        <v>91</v>
      </c>
      <c r="AG131" s="71">
        <v>0</v>
      </c>
      <c r="AH131" s="71">
        <v>0</v>
      </c>
      <c r="AJ131" s="71">
        <v>0</v>
      </c>
      <c r="AK131" s="71">
        <v>0</v>
      </c>
      <c r="AL131" s="72">
        <v>0</v>
      </c>
      <c r="AM131" s="22"/>
      <c r="AO131" s="22" t="s">
        <v>357</v>
      </c>
      <c r="AP131" s="23" t="s">
        <v>375</v>
      </c>
      <c r="AQ131" s="22" t="s">
        <v>111</v>
      </c>
      <c r="AR131" s="51" t="str">
        <f t="shared" si="92"/>
        <v>ED8C-1A201-BA</v>
      </c>
      <c r="AS131" s="3"/>
      <c r="AT131" s="22">
        <v>0</v>
      </c>
      <c r="AU131" s="22">
        <v>0</v>
      </c>
      <c r="AV131" s="22">
        <v>4</v>
      </c>
      <c r="AW131" s="22">
        <v>4</v>
      </c>
      <c r="AX131" s="22">
        <v>4</v>
      </c>
      <c r="AY131" s="22">
        <v>4</v>
      </c>
      <c r="AZ131" s="22">
        <v>0</v>
      </c>
      <c r="BA131" s="22">
        <v>0</v>
      </c>
      <c r="BB131" s="2">
        <f t="shared" si="113"/>
        <v>2.4</v>
      </c>
      <c r="BD131" s="60">
        <v>-3.92</v>
      </c>
      <c r="BE131" s="60">
        <v>-0.06</v>
      </c>
      <c r="BF131" s="60">
        <v>-0.05</v>
      </c>
      <c r="BG131" s="60">
        <v>0</v>
      </c>
      <c r="BH131" s="60">
        <v>0</v>
      </c>
      <c r="BI131" s="8">
        <f t="shared" si="109"/>
        <v>-4.03</v>
      </c>
      <c r="BL131" s="71">
        <v>0</v>
      </c>
      <c r="BM131" s="71">
        <v>0</v>
      </c>
      <c r="BO131" s="71">
        <v>0</v>
      </c>
      <c r="BP131" s="71">
        <v>0</v>
      </c>
      <c r="BQ131" s="72">
        <v>0</v>
      </c>
      <c r="BS131" s="61">
        <f t="shared" si="114"/>
        <v>0</v>
      </c>
      <c r="BT131" s="61">
        <f t="shared" si="115"/>
        <v>0</v>
      </c>
      <c r="BU131" s="61">
        <f t="shared" si="116"/>
        <v>0</v>
      </c>
      <c r="BV131" s="61">
        <f t="shared" si="116"/>
        <v>0</v>
      </c>
      <c r="BW131" s="61">
        <f t="shared" si="116"/>
        <v>0</v>
      </c>
      <c r="BX131" s="61">
        <f t="shared" si="116"/>
        <v>0</v>
      </c>
      <c r="BY131" s="61" t="s">
        <v>91</v>
      </c>
      <c r="CA131" s="61">
        <f t="shared" si="79"/>
        <v>0</v>
      </c>
      <c r="CB131" s="61">
        <f t="shared" si="79"/>
        <v>0</v>
      </c>
      <c r="CC131" s="61">
        <f t="shared" si="79"/>
        <v>0</v>
      </c>
      <c r="CD131" s="61">
        <f t="shared" si="74"/>
        <v>0</v>
      </c>
      <c r="CE131" s="61">
        <f t="shared" si="74"/>
        <v>0</v>
      </c>
      <c r="CF131" s="61">
        <f t="shared" ref="CF131:CH194" si="126">($Y131*T131-AY131*$BD131)/$C$2</f>
        <v>0</v>
      </c>
      <c r="CG131" s="61">
        <f t="shared" si="126"/>
        <v>0</v>
      </c>
      <c r="CH131" s="61">
        <f t="shared" si="126"/>
        <v>0</v>
      </c>
      <c r="CI131" s="61">
        <f t="shared" si="68"/>
        <v>0</v>
      </c>
      <c r="CJ131" s="61"/>
      <c r="CK131" s="61">
        <f t="shared" si="80"/>
        <v>0</v>
      </c>
      <c r="CL131" s="61">
        <f t="shared" si="80"/>
        <v>0</v>
      </c>
      <c r="CM131" s="61">
        <f t="shared" si="80"/>
        <v>0</v>
      </c>
      <c r="CN131" s="61">
        <f t="shared" si="75"/>
        <v>0</v>
      </c>
      <c r="CO131" s="61">
        <f t="shared" si="75"/>
        <v>0</v>
      </c>
      <c r="CP131" s="61">
        <f t="shared" ref="CP131:CR194" si="127">(T131*$AD131-AY131*$BI131)/$C$2</f>
        <v>0</v>
      </c>
      <c r="CQ131" s="61">
        <f t="shared" si="127"/>
        <v>0</v>
      </c>
      <c r="CR131" s="61">
        <f t="shared" si="127"/>
        <v>0</v>
      </c>
      <c r="CS131" s="61">
        <f t="shared" si="69"/>
        <v>0</v>
      </c>
      <c r="CT131" s="61">
        <f t="shared" si="70"/>
        <v>0</v>
      </c>
      <c r="CV131" s="61">
        <f t="shared" si="71"/>
        <v>0</v>
      </c>
      <c r="CW131" s="61">
        <f t="shared" si="96"/>
        <v>0</v>
      </c>
      <c r="CX131" s="61"/>
      <c r="CY131" s="61">
        <f t="shared" si="97"/>
        <v>0</v>
      </c>
      <c r="CZ131" s="61">
        <f t="shared" si="117"/>
        <v>0</v>
      </c>
      <c r="DA131" s="61">
        <f t="shared" si="117"/>
        <v>0</v>
      </c>
      <c r="DB131" s="2" t="s">
        <v>134</v>
      </c>
      <c r="DC131" s="2" t="s">
        <v>102</v>
      </c>
      <c r="DD131" s="2" t="s">
        <v>142</v>
      </c>
      <c r="DE131" s="2" t="s">
        <v>181</v>
      </c>
      <c r="DF131" s="3" t="s">
        <v>248</v>
      </c>
      <c r="DG131" s="62">
        <v>42783</v>
      </c>
      <c r="EC131" s="60"/>
      <c r="ED131" s="60"/>
      <c r="EE131" s="60"/>
      <c r="EF131" s="60"/>
    </row>
    <row r="132" spans="2:140" ht="12.75" hidden="1" customHeight="1">
      <c r="B132" s="1" t="s">
        <v>376</v>
      </c>
      <c r="C132" s="22" t="s">
        <v>377</v>
      </c>
      <c r="D132" s="22" t="s">
        <v>378</v>
      </c>
      <c r="E132" s="2" t="str">
        <f>VLOOKUP($C132,[1]Detail!$C:$AK,6,0)</f>
        <v>PMT3</v>
      </c>
      <c r="F132" s="2" t="str">
        <f>VLOOKUP($C132,[1]Detail!$C:$AK,7,0)</f>
        <v>PF</v>
      </c>
      <c r="G132" s="2" t="str">
        <f>VLOOKUP($C132,[1]Detail!$C:$AK,5,0)</f>
        <v>J</v>
      </c>
      <c r="J132" s="22" t="s">
        <v>379</v>
      </c>
      <c r="K132" s="23" t="s">
        <v>380</v>
      </c>
      <c r="L132" s="22" t="s">
        <v>381</v>
      </c>
      <c r="M132" s="51" t="str">
        <f t="shared" si="111"/>
        <v>BV61-1A201-C1A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4</v>
      </c>
      <c r="V132" s="22">
        <v>4</v>
      </c>
      <c r="W132" s="64">
        <f t="shared" si="112"/>
        <v>0.4</v>
      </c>
      <c r="Y132" s="60">
        <f>-3.96+0.7</f>
        <v>-3.26</v>
      </c>
      <c r="Z132" s="60">
        <v>-0.06</v>
      </c>
      <c r="AA132" s="60">
        <v>-0.03</v>
      </c>
      <c r="AB132" s="60">
        <v>0</v>
      </c>
      <c r="AC132" s="60">
        <v>0</v>
      </c>
      <c r="AD132" s="8">
        <f t="shared" si="118"/>
        <v>-3.3499999999999996</v>
      </c>
      <c r="AE132" s="2" t="s">
        <v>91</v>
      </c>
      <c r="AG132" s="71">
        <v>0</v>
      </c>
      <c r="AH132" s="71">
        <v>0</v>
      </c>
      <c r="AJ132" s="71">
        <v>0</v>
      </c>
      <c r="AK132" s="71">
        <v>0</v>
      </c>
      <c r="AL132" s="72">
        <v>0</v>
      </c>
      <c r="AM132" s="22"/>
      <c r="AO132" s="22" t="s">
        <v>379</v>
      </c>
      <c r="AP132" s="23" t="s">
        <v>380</v>
      </c>
      <c r="AQ132" s="22" t="s">
        <v>253</v>
      </c>
      <c r="AR132" s="51" t="s">
        <v>382</v>
      </c>
      <c r="AS132" s="3"/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0</v>
      </c>
      <c r="AZ132" s="22">
        <v>4</v>
      </c>
      <c r="BA132" s="22">
        <v>4</v>
      </c>
      <c r="BB132" s="2">
        <v>0.4</v>
      </c>
      <c r="BD132" s="60">
        <v>-3.96</v>
      </c>
      <c r="BE132" s="60">
        <v>-0.06</v>
      </c>
      <c r="BF132" s="60">
        <v>-0.05</v>
      </c>
      <c r="BG132" s="60">
        <v>0</v>
      </c>
      <c r="BH132" s="60">
        <v>0</v>
      </c>
      <c r="BI132" s="8">
        <v>-4.0699999999999994</v>
      </c>
      <c r="BJ132" s="2" t="s">
        <v>91</v>
      </c>
      <c r="BL132" s="71">
        <v>0</v>
      </c>
      <c r="BM132" s="71">
        <v>0</v>
      </c>
      <c r="BO132" s="71">
        <v>0</v>
      </c>
      <c r="BP132" s="71">
        <v>0</v>
      </c>
      <c r="BQ132" s="72">
        <v>0</v>
      </c>
      <c r="BS132" s="61">
        <f t="shared" si="114"/>
        <v>0.70000000000000018</v>
      </c>
      <c r="BT132" s="61">
        <f t="shared" si="115"/>
        <v>0</v>
      </c>
      <c r="BU132" s="61">
        <f t="shared" si="116"/>
        <v>2.0000000000000004E-2</v>
      </c>
      <c r="BV132" s="61">
        <f t="shared" si="116"/>
        <v>0</v>
      </c>
      <c r="BW132" s="61">
        <f t="shared" si="116"/>
        <v>0</v>
      </c>
      <c r="BX132" s="61">
        <f t="shared" si="116"/>
        <v>0.71999999999999975</v>
      </c>
      <c r="BY132" s="61" t="s">
        <v>91</v>
      </c>
      <c r="CA132" s="61">
        <f t="shared" si="79"/>
        <v>0</v>
      </c>
      <c r="CB132" s="61">
        <f t="shared" si="79"/>
        <v>0</v>
      </c>
      <c r="CC132" s="61">
        <f t="shared" si="79"/>
        <v>0</v>
      </c>
      <c r="CD132" s="61">
        <f t="shared" si="79"/>
        <v>0</v>
      </c>
      <c r="CE132" s="61">
        <f t="shared" si="79"/>
        <v>0</v>
      </c>
      <c r="CF132" s="61">
        <f t="shared" si="126"/>
        <v>0</v>
      </c>
      <c r="CG132" s="61">
        <f t="shared" si="126"/>
        <v>0.42124266586429976</v>
      </c>
      <c r="CH132" s="61">
        <f t="shared" si="126"/>
        <v>0.42124266586429976</v>
      </c>
      <c r="CI132" s="61">
        <f t="shared" si="68"/>
        <v>4.2124266586429981E-2</v>
      </c>
      <c r="CJ132" s="61"/>
      <c r="CK132" s="61">
        <f t="shared" si="80"/>
        <v>0</v>
      </c>
      <c r="CL132" s="61">
        <f t="shared" si="80"/>
        <v>0</v>
      </c>
      <c r="CM132" s="61">
        <f t="shared" si="80"/>
        <v>0</v>
      </c>
      <c r="CN132" s="61">
        <f t="shared" si="80"/>
        <v>0</v>
      </c>
      <c r="CO132" s="61">
        <f t="shared" si="80"/>
        <v>0</v>
      </c>
      <c r="CP132" s="61">
        <f t="shared" si="127"/>
        <v>0</v>
      </c>
      <c r="CQ132" s="61">
        <f t="shared" si="127"/>
        <v>0.4332781706032795</v>
      </c>
      <c r="CR132" s="61">
        <f t="shared" si="127"/>
        <v>0.4332781706032795</v>
      </c>
      <c r="CS132" s="61">
        <f t="shared" si="69"/>
        <v>4.3327817060327956E-2</v>
      </c>
      <c r="CT132" s="61">
        <f t="shared" si="70"/>
        <v>0.28799999999999992</v>
      </c>
      <c r="CV132" s="61">
        <f t="shared" si="71"/>
        <v>0</v>
      </c>
      <c r="CW132" s="61">
        <f t="shared" si="96"/>
        <v>0</v>
      </c>
      <c r="CX132" s="61"/>
      <c r="CY132" s="61">
        <f t="shared" si="97"/>
        <v>0</v>
      </c>
      <c r="CZ132" s="61">
        <f t="shared" si="117"/>
        <v>0</v>
      </c>
      <c r="DA132" s="61">
        <f t="shared" si="117"/>
        <v>0</v>
      </c>
      <c r="DB132" s="2" t="s">
        <v>102</v>
      </c>
      <c r="DC132" s="2" t="s">
        <v>134</v>
      </c>
      <c r="DD132" s="2" t="s">
        <v>142</v>
      </c>
      <c r="DE132" s="2" t="s">
        <v>257</v>
      </c>
      <c r="DF132" s="3" t="s">
        <v>86</v>
      </c>
      <c r="DG132" s="62">
        <v>42833</v>
      </c>
      <c r="EC132" s="60" t="str">
        <f>VLOOKUP($M132,[1]Detail!$M:$BO,1,0)</f>
        <v>BV61-1A201-C1A</v>
      </c>
      <c r="ED132" s="60">
        <f>VLOOKUP($M132,[1]Detail!$M:$BO,22,0)</f>
        <v>-3.3499999999999996</v>
      </c>
      <c r="EE132" s="60">
        <f>VLOOKUP($M132,[1]Detail!$M:$BO,42,0)</f>
        <v>0</v>
      </c>
      <c r="EF132" s="60">
        <f>VLOOKUP($M132,[1]Detail!$M:$BO,45,0)</f>
        <v>0</v>
      </c>
      <c r="EH132" s="60">
        <f t="shared" ref="EH132:EH137" si="128">ED132-AD132</f>
        <v>0</v>
      </c>
      <c r="EI132" s="60">
        <f t="shared" ref="EI132:EI137" si="129">EE132-AG132</f>
        <v>0</v>
      </c>
      <c r="EJ132" s="60">
        <f t="shared" ref="EJ132:EJ137" si="130">EF132-AJ132</f>
        <v>0</v>
      </c>
    </row>
    <row r="133" spans="2:140" ht="12.75" hidden="1" customHeight="1">
      <c r="B133" s="23" t="s">
        <v>376</v>
      </c>
      <c r="C133" s="22" t="s">
        <v>377</v>
      </c>
      <c r="D133" s="22" t="s">
        <v>378</v>
      </c>
      <c r="E133" s="2" t="str">
        <f>VLOOKUP($C133,[1]Detail!$C:$AK,6,0)</f>
        <v>PMT3</v>
      </c>
      <c r="F133" s="2" t="str">
        <f>VLOOKUP($C133,[1]Detail!$C:$AK,7,0)</f>
        <v>PF</v>
      </c>
      <c r="G133" s="2" t="str">
        <f>VLOOKUP($C133,[1]Detail!$C:$AK,5,0)</f>
        <v>J</v>
      </c>
      <c r="J133" s="22" t="s">
        <v>383</v>
      </c>
      <c r="K133" s="23" t="s">
        <v>380</v>
      </c>
      <c r="L133" s="22" t="s">
        <v>180</v>
      </c>
      <c r="M133" s="51" t="str">
        <f t="shared" si="111"/>
        <v>ED8C-1A201-AA</v>
      </c>
      <c r="O133" s="22">
        <v>4</v>
      </c>
      <c r="P133" s="22">
        <v>4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64">
        <f t="shared" si="112"/>
        <v>1.2000000000000002</v>
      </c>
      <c r="Y133" s="60">
        <v>-3.64</v>
      </c>
      <c r="Z133" s="60">
        <v>-0.06</v>
      </c>
      <c r="AA133" s="60">
        <v>-0.03</v>
      </c>
      <c r="AB133" s="60">
        <v>0</v>
      </c>
      <c r="AC133" s="60">
        <v>0</v>
      </c>
      <c r="AD133" s="8">
        <f t="shared" si="118"/>
        <v>-3.73</v>
      </c>
      <c r="AE133" s="2" t="s">
        <v>91</v>
      </c>
      <c r="AG133" s="71">
        <v>0</v>
      </c>
      <c r="AH133" s="71">
        <v>0</v>
      </c>
      <c r="AJ133" s="71">
        <v>0</v>
      </c>
      <c r="AK133" s="71">
        <v>0</v>
      </c>
      <c r="AL133" s="72">
        <v>0</v>
      </c>
      <c r="AM133" s="22"/>
      <c r="AO133" s="22" t="s">
        <v>383</v>
      </c>
      <c r="AP133" s="23" t="s">
        <v>380</v>
      </c>
      <c r="AQ133" s="22" t="s">
        <v>180</v>
      </c>
      <c r="AR133" s="51" t="s">
        <v>384</v>
      </c>
      <c r="AS133" s="3"/>
      <c r="AT133" s="22">
        <v>4</v>
      </c>
      <c r="AU133" s="22">
        <v>4</v>
      </c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2">
        <v>1.2000000000000002</v>
      </c>
      <c r="BD133" s="60">
        <v>-3.86</v>
      </c>
      <c r="BE133" s="60">
        <v>-0.06</v>
      </c>
      <c r="BF133" s="60">
        <v>-0.05</v>
      </c>
      <c r="BG133" s="60">
        <v>0</v>
      </c>
      <c r="BH133" s="60">
        <v>0</v>
      </c>
      <c r="BI133" s="8">
        <v>-3.9699999999999998</v>
      </c>
      <c r="BJ133" s="2" t="s">
        <v>91</v>
      </c>
      <c r="BL133" s="71">
        <v>0</v>
      </c>
      <c r="BM133" s="71">
        <v>0</v>
      </c>
      <c r="BO133" s="71">
        <v>0</v>
      </c>
      <c r="BP133" s="71">
        <v>0</v>
      </c>
      <c r="BQ133" s="72">
        <v>0</v>
      </c>
      <c r="BS133" s="61">
        <f t="shared" si="114"/>
        <v>0.21999999999999975</v>
      </c>
      <c r="BT133" s="61">
        <f t="shared" si="115"/>
        <v>0</v>
      </c>
      <c r="BU133" s="61">
        <f t="shared" si="116"/>
        <v>2.0000000000000004E-2</v>
      </c>
      <c r="BV133" s="61">
        <f t="shared" si="116"/>
        <v>0</v>
      </c>
      <c r="BW133" s="61">
        <f t="shared" si="116"/>
        <v>0</v>
      </c>
      <c r="BX133" s="61">
        <f t="shared" si="116"/>
        <v>0.23999999999999977</v>
      </c>
      <c r="BY133" s="61" t="s">
        <v>91</v>
      </c>
      <c r="CA133" s="61">
        <f t="shared" si="79"/>
        <v>0.13239055212877976</v>
      </c>
      <c r="CB133" s="61">
        <f t="shared" si="79"/>
        <v>0.13239055212877976</v>
      </c>
      <c r="CC133" s="61">
        <f t="shared" si="79"/>
        <v>0</v>
      </c>
      <c r="CD133" s="61">
        <f t="shared" si="79"/>
        <v>0</v>
      </c>
      <c r="CE133" s="61">
        <f t="shared" si="79"/>
        <v>0</v>
      </c>
      <c r="CF133" s="61">
        <f t="shared" si="126"/>
        <v>0</v>
      </c>
      <c r="CG133" s="61">
        <f t="shared" si="126"/>
        <v>0</v>
      </c>
      <c r="CH133" s="61">
        <f t="shared" si="126"/>
        <v>0</v>
      </c>
      <c r="CI133" s="61">
        <f t="shared" si="68"/>
        <v>3.9717165638633929E-2</v>
      </c>
      <c r="CJ133" s="61"/>
      <c r="CK133" s="61">
        <f t="shared" si="80"/>
        <v>0.14442605686775975</v>
      </c>
      <c r="CL133" s="61">
        <f t="shared" si="80"/>
        <v>0.14442605686775975</v>
      </c>
      <c r="CM133" s="61">
        <f t="shared" si="80"/>
        <v>0</v>
      </c>
      <c r="CN133" s="61">
        <f t="shared" si="80"/>
        <v>0</v>
      </c>
      <c r="CO133" s="61">
        <f t="shared" si="80"/>
        <v>0</v>
      </c>
      <c r="CP133" s="61">
        <f t="shared" si="127"/>
        <v>0</v>
      </c>
      <c r="CQ133" s="61">
        <f t="shared" si="127"/>
        <v>0</v>
      </c>
      <c r="CR133" s="61">
        <f t="shared" si="127"/>
        <v>0</v>
      </c>
      <c r="CS133" s="61">
        <f t="shared" si="69"/>
        <v>4.3327817060327928E-2</v>
      </c>
      <c r="CT133" s="61">
        <f t="shared" si="70"/>
        <v>0.28799999999999976</v>
      </c>
      <c r="CV133" s="61">
        <f t="shared" si="71"/>
        <v>0</v>
      </c>
      <c r="CW133" s="61">
        <f t="shared" si="96"/>
        <v>0</v>
      </c>
      <c r="CX133" s="61"/>
      <c r="CY133" s="61">
        <f t="shared" si="97"/>
        <v>0</v>
      </c>
      <c r="CZ133" s="61">
        <f t="shared" si="117"/>
        <v>0</v>
      </c>
      <c r="DA133" s="61">
        <f t="shared" si="117"/>
        <v>0</v>
      </c>
      <c r="DB133" s="2" t="s">
        <v>102</v>
      </c>
      <c r="DC133" s="2" t="s">
        <v>134</v>
      </c>
      <c r="DD133" s="2" t="s">
        <v>142</v>
      </c>
      <c r="DE133" s="2" t="s">
        <v>257</v>
      </c>
      <c r="DF133" s="3" t="s">
        <v>86</v>
      </c>
      <c r="DG133" s="62">
        <v>42833</v>
      </c>
      <c r="EC133" s="60" t="str">
        <f>VLOOKUP($M133,[1]Detail!$M:$BO,1,0)</f>
        <v>ED8C-1A201-AA</v>
      </c>
      <c r="ED133" s="60">
        <f>VLOOKUP($M133,[1]Detail!$M:$BO,22,0)</f>
        <v>-3.73</v>
      </c>
      <c r="EE133" s="60">
        <f>VLOOKUP($M133,[1]Detail!$M:$BO,42,0)</f>
        <v>0</v>
      </c>
      <c r="EF133" s="60">
        <f>VLOOKUP($M133,[1]Detail!$M:$BO,45,0)</f>
        <v>0</v>
      </c>
      <c r="EH133" s="60">
        <f t="shared" si="128"/>
        <v>0</v>
      </c>
      <c r="EI133" s="60">
        <f t="shared" si="129"/>
        <v>0</v>
      </c>
      <c r="EJ133" s="60">
        <f t="shared" si="130"/>
        <v>0</v>
      </c>
    </row>
    <row r="134" spans="2:140" ht="12.75" hidden="1" customHeight="1">
      <c r="B134" s="23" t="s">
        <v>376</v>
      </c>
      <c r="C134" s="22" t="s">
        <v>377</v>
      </c>
      <c r="D134" s="22" t="s">
        <v>378</v>
      </c>
      <c r="E134" s="2" t="str">
        <f>VLOOKUP($C134,[1]Detail!$C:$AK,6,0)</f>
        <v>PMT3</v>
      </c>
      <c r="F134" s="2" t="str">
        <f>VLOOKUP($C134,[1]Detail!$C:$AK,7,0)</f>
        <v>PF</v>
      </c>
      <c r="G134" s="2" t="str">
        <f>VLOOKUP($C134,[1]Detail!$C:$AK,5,0)</f>
        <v>J</v>
      </c>
      <c r="J134" s="22" t="s">
        <v>383</v>
      </c>
      <c r="K134" s="23" t="s">
        <v>380</v>
      </c>
      <c r="L134" s="22" t="s">
        <v>182</v>
      </c>
      <c r="M134" s="51" t="str">
        <f t="shared" si="111"/>
        <v>ED8C-1A201-BA</v>
      </c>
      <c r="O134" s="22">
        <v>0</v>
      </c>
      <c r="P134" s="22">
        <v>0</v>
      </c>
      <c r="Q134" s="22">
        <v>4</v>
      </c>
      <c r="R134" s="22">
        <v>4</v>
      </c>
      <c r="S134" s="22">
        <v>4</v>
      </c>
      <c r="T134" s="22">
        <v>4</v>
      </c>
      <c r="U134" s="22">
        <v>0</v>
      </c>
      <c r="V134" s="22">
        <v>0</v>
      </c>
      <c r="W134" s="64">
        <f t="shared" si="112"/>
        <v>2.4</v>
      </c>
      <c r="Y134" s="60">
        <v>-3.64</v>
      </c>
      <c r="Z134" s="60">
        <v>-0.06</v>
      </c>
      <c r="AA134" s="60">
        <v>-0.03</v>
      </c>
      <c r="AB134" s="60">
        <v>0</v>
      </c>
      <c r="AC134" s="60">
        <v>0</v>
      </c>
      <c r="AD134" s="8">
        <f t="shared" si="118"/>
        <v>-3.73</v>
      </c>
      <c r="AE134" s="2" t="s">
        <v>91</v>
      </c>
      <c r="AG134" s="71">
        <v>0</v>
      </c>
      <c r="AH134" s="71">
        <v>0</v>
      </c>
      <c r="AJ134" s="71">
        <v>0</v>
      </c>
      <c r="AK134" s="71">
        <v>0</v>
      </c>
      <c r="AL134" s="72">
        <v>0</v>
      </c>
      <c r="AM134" s="22"/>
      <c r="AO134" s="22" t="s">
        <v>383</v>
      </c>
      <c r="AP134" s="23" t="s">
        <v>380</v>
      </c>
      <c r="AQ134" s="22" t="s">
        <v>182</v>
      </c>
      <c r="AR134" s="51" t="s">
        <v>385</v>
      </c>
      <c r="AS134" s="3"/>
      <c r="AT134" s="22">
        <v>0</v>
      </c>
      <c r="AU134" s="22">
        <v>0</v>
      </c>
      <c r="AV134" s="22">
        <v>4</v>
      </c>
      <c r="AW134" s="22">
        <v>4</v>
      </c>
      <c r="AX134" s="22">
        <v>4</v>
      </c>
      <c r="AY134" s="22">
        <v>4</v>
      </c>
      <c r="AZ134" s="22">
        <v>0</v>
      </c>
      <c r="BA134" s="22">
        <v>0</v>
      </c>
      <c r="BB134" s="2">
        <v>2.4</v>
      </c>
      <c r="BD134" s="60">
        <v>-3.92</v>
      </c>
      <c r="BE134" s="60">
        <v>-0.06</v>
      </c>
      <c r="BF134" s="60">
        <v>-0.05</v>
      </c>
      <c r="BG134" s="60">
        <v>0</v>
      </c>
      <c r="BH134" s="60">
        <v>0</v>
      </c>
      <c r="BI134" s="8">
        <v>-4.03</v>
      </c>
      <c r="BJ134" s="2" t="s">
        <v>91</v>
      </c>
      <c r="BL134" s="71">
        <v>0</v>
      </c>
      <c r="BM134" s="71">
        <v>0</v>
      </c>
      <c r="BO134" s="71">
        <v>0</v>
      </c>
      <c r="BP134" s="71">
        <v>0</v>
      </c>
      <c r="BQ134" s="72">
        <v>0</v>
      </c>
      <c r="BS134" s="61">
        <f t="shared" si="114"/>
        <v>0.2799999999999998</v>
      </c>
      <c r="BT134" s="61">
        <f t="shared" si="115"/>
        <v>0</v>
      </c>
      <c r="BU134" s="61">
        <f t="shared" si="116"/>
        <v>2.0000000000000004E-2</v>
      </c>
      <c r="BV134" s="61">
        <f t="shared" si="116"/>
        <v>0</v>
      </c>
      <c r="BW134" s="61">
        <f t="shared" si="116"/>
        <v>0</v>
      </c>
      <c r="BX134" s="61">
        <f t="shared" si="116"/>
        <v>0.30000000000000027</v>
      </c>
      <c r="BY134" s="61" t="s">
        <v>91</v>
      </c>
      <c r="CA134" s="61">
        <f t="shared" si="79"/>
        <v>0</v>
      </c>
      <c r="CB134" s="61">
        <f t="shared" si="79"/>
        <v>0</v>
      </c>
      <c r="CC134" s="61">
        <f t="shared" si="79"/>
        <v>0.16849706634571976</v>
      </c>
      <c r="CD134" s="61">
        <f t="shared" si="79"/>
        <v>0.16849706634571976</v>
      </c>
      <c r="CE134" s="61">
        <f t="shared" si="79"/>
        <v>0.16849706634571976</v>
      </c>
      <c r="CF134" s="61">
        <f t="shared" si="126"/>
        <v>0.16849706634571976</v>
      </c>
      <c r="CG134" s="61">
        <f t="shared" si="126"/>
        <v>0</v>
      </c>
      <c r="CH134" s="61">
        <f t="shared" si="126"/>
        <v>0</v>
      </c>
      <c r="CI134" s="61">
        <f t="shared" si="68"/>
        <v>0.10109823980743186</v>
      </c>
      <c r="CJ134" s="61"/>
      <c r="CK134" s="61">
        <f t="shared" si="80"/>
        <v>0</v>
      </c>
      <c r="CL134" s="61">
        <f t="shared" si="80"/>
        <v>0</v>
      </c>
      <c r="CM134" s="61">
        <f t="shared" si="80"/>
        <v>0.18053257108470003</v>
      </c>
      <c r="CN134" s="61">
        <f t="shared" si="80"/>
        <v>0.18053257108470003</v>
      </c>
      <c r="CO134" s="61">
        <f t="shared" si="80"/>
        <v>0.18053257108470003</v>
      </c>
      <c r="CP134" s="61">
        <f t="shared" si="127"/>
        <v>0.18053257108470003</v>
      </c>
      <c r="CQ134" s="61">
        <f t="shared" si="127"/>
        <v>0</v>
      </c>
      <c r="CR134" s="61">
        <f t="shared" si="127"/>
        <v>0</v>
      </c>
      <c r="CS134" s="61">
        <f t="shared" si="69"/>
        <v>0.10831954265082003</v>
      </c>
      <c r="CT134" s="61">
        <f t="shared" si="70"/>
        <v>0.72000000000000075</v>
      </c>
      <c r="CV134" s="61">
        <f t="shared" si="71"/>
        <v>0</v>
      </c>
      <c r="CW134" s="61">
        <f t="shared" si="96"/>
        <v>0</v>
      </c>
      <c r="CX134" s="61"/>
      <c r="CY134" s="61">
        <f t="shared" si="97"/>
        <v>0</v>
      </c>
      <c r="CZ134" s="61">
        <f t="shared" si="117"/>
        <v>0</v>
      </c>
      <c r="DA134" s="61">
        <f t="shared" si="117"/>
        <v>0</v>
      </c>
      <c r="DB134" s="2" t="s">
        <v>102</v>
      </c>
      <c r="DC134" s="2" t="s">
        <v>134</v>
      </c>
      <c r="DD134" s="2" t="s">
        <v>142</v>
      </c>
      <c r="DE134" s="2" t="s">
        <v>257</v>
      </c>
      <c r="DF134" s="3" t="s">
        <v>86</v>
      </c>
      <c r="DG134" s="62">
        <v>42833</v>
      </c>
      <c r="EC134" s="60" t="str">
        <f>VLOOKUP($M134,[1]Detail!$M:$BO,1,0)</f>
        <v>ED8C-1A201-BA</v>
      </c>
      <c r="ED134" s="60">
        <f>VLOOKUP($M134,[1]Detail!$M:$BO,22,0)</f>
        <v>-3.73</v>
      </c>
      <c r="EE134" s="60">
        <f>VLOOKUP($M134,[1]Detail!$M:$BO,42,0)</f>
        <v>0</v>
      </c>
      <c r="EF134" s="60">
        <f>VLOOKUP($M134,[1]Detail!$M:$BO,45,0)</f>
        <v>0</v>
      </c>
      <c r="EH134" s="60">
        <f t="shared" si="128"/>
        <v>0</v>
      </c>
      <c r="EI134" s="60">
        <f t="shared" si="129"/>
        <v>0</v>
      </c>
      <c r="EJ134" s="60">
        <f t="shared" si="130"/>
        <v>0</v>
      </c>
    </row>
    <row r="135" spans="2:140" ht="12.75" hidden="1" customHeight="1">
      <c r="B135" s="23" t="s">
        <v>386</v>
      </c>
      <c r="C135" s="22" t="s">
        <v>387</v>
      </c>
      <c r="D135" s="22" t="s">
        <v>388</v>
      </c>
      <c r="E135" s="2" t="str">
        <f>VLOOKUP($C135,[1]Detail!$C:$AK,6,0)</f>
        <v>BIW</v>
      </c>
      <c r="F135" s="2" t="str">
        <f>VLOOKUP($C135,[1]Detail!$C:$AK,7,0)</f>
        <v>TH</v>
      </c>
      <c r="G135" s="2" t="str">
        <f>VLOOKUP($C135,[1]Detail!$C:$AK,5,0)</f>
        <v>D</v>
      </c>
      <c r="J135" s="22" t="s">
        <v>126</v>
      </c>
      <c r="K135" s="23" t="s">
        <v>389</v>
      </c>
      <c r="L135" s="22" t="s">
        <v>100</v>
      </c>
      <c r="M135" s="51" t="str">
        <f t="shared" si="111"/>
        <v>JD8B-F431F78-AA</v>
      </c>
      <c r="O135" s="22">
        <v>1</v>
      </c>
      <c r="P135" s="22">
        <v>1</v>
      </c>
      <c r="Q135" s="22">
        <v>1</v>
      </c>
      <c r="R135" s="22">
        <v>1</v>
      </c>
      <c r="S135" s="22">
        <v>1</v>
      </c>
      <c r="T135" s="22">
        <v>1</v>
      </c>
      <c r="U135" s="22">
        <v>1</v>
      </c>
      <c r="V135" s="22">
        <v>1</v>
      </c>
      <c r="W135" s="64">
        <f t="shared" si="112"/>
        <v>1</v>
      </c>
      <c r="Y135" s="60">
        <v>-1.792</v>
      </c>
      <c r="Z135" s="60">
        <v>-2.3E-2</v>
      </c>
      <c r="AA135" s="60">
        <v>-2.3E-2</v>
      </c>
      <c r="AB135" s="60">
        <v>0</v>
      </c>
      <c r="AC135" s="60">
        <v>0</v>
      </c>
      <c r="AD135" s="8">
        <f t="shared" si="118"/>
        <v>-1.8379999999999999</v>
      </c>
      <c r="AE135" s="2" t="s">
        <v>91</v>
      </c>
      <c r="AG135" s="71">
        <v>-239400</v>
      </c>
      <c r="AH135" s="71">
        <v>-239400</v>
      </c>
      <c r="AI135" s="6"/>
      <c r="AJ135" s="71">
        <v>0</v>
      </c>
      <c r="AK135" s="71">
        <v>0</v>
      </c>
      <c r="AL135" s="72">
        <v>0</v>
      </c>
      <c r="AM135" s="22"/>
      <c r="AO135" s="22" t="s">
        <v>126</v>
      </c>
      <c r="AP135" s="23" t="s">
        <v>389</v>
      </c>
      <c r="AQ135" s="22" t="s">
        <v>100</v>
      </c>
      <c r="AR135" s="51" t="str">
        <f t="shared" ref="AR135:AR161" si="131">TRIM(AO135)&amp;"-"&amp;TRIM(AP135)&amp;"-"&amp;TRIM(AQ135)</f>
        <v>JD8B-F431F78-AA</v>
      </c>
      <c r="AS135" s="3"/>
      <c r="AT135" s="22">
        <v>1</v>
      </c>
      <c r="AU135" s="22">
        <v>1</v>
      </c>
      <c r="AV135" s="22">
        <v>1</v>
      </c>
      <c r="AW135" s="22">
        <v>1</v>
      </c>
      <c r="AX135" s="22">
        <v>1</v>
      </c>
      <c r="AY135" s="22">
        <v>1</v>
      </c>
      <c r="AZ135" s="22">
        <v>1</v>
      </c>
      <c r="BA135" s="22">
        <v>1</v>
      </c>
      <c r="BB135" s="2">
        <f t="shared" ref="BB135:BB161" si="132">SUMPRODUCT(AT135:BA135,$O$6:$V$6)</f>
        <v>1</v>
      </c>
      <c r="BD135" s="60">
        <v>-1.792</v>
      </c>
      <c r="BE135" s="60">
        <v>-2.3E-2</v>
      </c>
      <c r="BF135" s="60">
        <v>-2.3E-2</v>
      </c>
      <c r="BG135" s="60">
        <v>0</v>
      </c>
      <c r="BH135" s="60">
        <v>0</v>
      </c>
      <c r="BI135" s="8">
        <f t="shared" ref="BI135:BI161" si="133">SUM(BD135:BH135)</f>
        <v>-1.8379999999999999</v>
      </c>
      <c r="BJ135" s="2" t="s">
        <v>91</v>
      </c>
      <c r="BL135" s="71">
        <v>-239400</v>
      </c>
      <c r="BM135" s="71">
        <v>-239400</v>
      </c>
      <c r="BO135" s="71">
        <v>0</v>
      </c>
      <c r="BP135" s="71">
        <v>0</v>
      </c>
      <c r="BQ135" s="72">
        <v>0</v>
      </c>
      <c r="BS135" s="61">
        <f t="shared" si="114"/>
        <v>0</v>
      </c>
      <c r="BT135" s="61">
        <f t="shared" si="115"/>
        <v>0</v>
      </c>
      <c r="BU135" s="61">
        <f t="shared" si="116"/>
        <v>0</v>
      </c>
      <c r="BV135" s="61">
        <f t="shared" si="116"/>
        <v>0</v>
      </c>
      <c r="BW135" s="61">
        <f t="shared" si="116"/>
        <v>0</v>
      </c>
      <c r="BX135" s="61">
        <f t="shared" si="116"/>
        <v>0</v>
      </c>
      <c r="BY135" s="61" t="s">
        <v>91</v>
      </c>
      <c r="CA135" s="61">
        <f t="shared" si="79"/>
        <v>0</v>
      </c>
      <c r="CB135" s="61">
        <f t="shared" si="79"/>
        <v>0</v>
      </c>
      <c r="CC135" s="61">
        <f t="shared" si="79"/>
        <v>0</v>
      </c>
      <c r="CD135" s="61">
        <f t="shared" si="79"/>
        <v>0</v>
      </c>
      <c r="CE135" s="61">
        <f t="shared" si="79"/>
        <v>0</v>
      </c>
      <c r="CF135" s="61">
        <f t="shared" si="126"/>
        <v>0</v>
      </c>
      <c r="CG135" s="61">
        <f t="shared" si="126"/>
        <v>0</v>
      </c>
      <c r="CH135" s="61">
        <f t="shared" si="126"/>
        <v>0</v>
      </c>
      <c r="CI135" s="61">
        <f t="shared" ref="CI135:CI198" si="134">SUMPRODUCT(CA135:CH135,$O$6:$V$6)</f>
        <v>0</v>
      </c>
      <c r="CJ135" s="61"/>
      <c r="CK135" s="61">
        <f t="shared" si="80"/>
        <v>0</v>
      </c>
      <c r="CL135" s="61">
        <f t="shared" si="80"/>
        <v>0</v>
      </c>
      <c r="CM135" s="61">
        <f t="shared" si="80"/>
        <v>0</v>
      </c>
      <c r="CN135" s="61">
        <f t="shared" si="80"/>
        <v>0</v>
      </c>
      <c r="CO135" s="61">
        <f t="shared" si="80"/>
        <v>0</v>
      </c>
      <c r="CP135" s="61">
        <f t="shared" si="127"/>
        <v>0</v>
      </c>
      <c r="CQ135" s="61">
        <f t="shared" si="127"/>
        <v>0</v>
      </c>
      <c r="CR135" s="61">
        <f t="shared" si="127"/>
        <v>0</v>
      </c>
      <c r="CS135" s="61">
        <f t="shared" ref="CS135:CS198" si="135">SUMPRODUCT(CK135:CR135,$O$6:$V$6)</f>
        <v>0</v>
      </c>
      <c r="CT135" s="61">
        <f t="shared" ref="CT135:CT198" si="136">CS135*$C$2</f>
        <v>0</v>
      </c>
      <c r="CV135" s="61">
        <f t="shared" ref="CV135:CV198" si="137">SUM(AG135)-SUM(BL135)</f>
        <v>0</v>
      </c>
      <c r="CW135" s="61">
        <f t="shared" si="96"/>
        <v>0</v>
      </c>
      <c r="CX135" s="61"/>
      <c r="CY135" s="61">
        <f t="shared" si="97"/>
        <v>0</v>
      </c>
      <c r="CZ135" s="61">
        <f t="shared" si="117"/>
        <v>0</v>
      </c>
      <c r="DA135" s="61">
        <f t="shared" si="117"/>
        <v>0</v>
      </c>
      <c r="DB135" s="2" t="s">
        <v>102</v>
      </c>
      <c r="DC135" s="2" t="s">
        <v>102</v>
      </c>
      <c r="DD135" s="2" t="s">
        <v>142</v>
      </c>
      <c r="DE135" s="2" t="s">
        <v>181</v>
      </c>
      <c r="DF135" s="3" t="s">
        <v>248</v>
      </c>
      <c r="DG135" s="62">
        <v>42807</v>
      </c>
      <c r="EC135" s="60" t="str">
        <f>VLOOKUP($M135,[1]Detail!$M:$BO,1,0)</f>
        <v>JD8B-F431F78-AA</v>
      </c>
      <c r="ED135" s="60">
        <f>VLOOKUP($M135,[1]Detail!$M:$BO,22,0)</f>
        <v>-1.8379999999999999</v>
      </c>
      <c r="EE135" s="60">
        <f>VLOOKUP($M135,[1]Detail!$M:$BO,42,0)</f>
        <v>-239400</v>
      </c>
      <c r="EF135" s="60">
        <f>VLOOKUP($M135,[1]Detail!$M:$BO,45,0)</f>
        <v>0</v>
      </c>
      <c r="EH135" s="60">
        <f t="shared" si="128"/>
        <v>0</v>
      </c>
      <c r="EI135" s="60">
        <f t="shared" si="129"/>
        <v>0</v>
      </c>
      <c r="EJ135" s="60">
        <f t="shared" si="130"/>
        <v>0</v>
      </c>
    </row>
    <row r="136" spans="2:140" ht="12.75" hidden="1" customHeight="1">
      <c r="B136" s="93" t="s">
        <v>386</v>
      </c>
      <c r="C136" s="22" t="s">
        <v>387</v>
      </c>
      <c r="D136" s="22" t="s">
        <v>388</v>
      </c>
      <c r="E136" s="2" t="str">
        <f>VLOOKUP($C136,[1]Detail!$C:$AK,6,0)</f>
        <v>BIW</v>
      </c>
      <c r="F136" s="2" t="str">
        <f>VLOOKUP($C136,[1]Detail!$C:$AK,7,0)</f>
        <v>TH</v>
      </c>
      <c r="G136" s="2" t="str">
        <f>VLOOKUP($C136,[1]Detail!$C:$AK,5,0)</f>
        <v>D</v>
      </c>
      <c r="J136" s="22" t="s">
        <v>126</v>
      </c>
      <c r="K136" s="23" t="s">
        <v>390</v>
      </c>
      <c r="L136" s="22" t="s">
        <v>100</v>
      </c>
      <c r="M136" s="51" t="str">
        <f t="shared" si="111"/>
        <v>JD8B-F45046-AA</v>
      </c>
      <c r="O136" s="22">
        <v>1</v>
      </c>
      <c r="P136" s="22">
        <v>1</v>
      </c>
      <c r="Q136" s="22">
        <v>1</v>
      </c>
      <c r="R136" s="22">
        <v>1</v>
      </c>
      <c r="S136" s="22">
        <v>1</v>
      </c>
      <c r="T136" s="22">
        <v>1</v>
      </c>
      <c r="U136" s="22">
        <v>1</v>
      </c>
      <c r="V136" s="22">
        <v>1</v>
      </c>
      <c r="W136" s="64">
        <f t="shared" si="112"/>
        <v>1</v>
      </c>
      <c r="Y136" s="60">
        <v>-4.1302000000000003</v>
      </c>
      <c r="Z136" s="60">
        <v>-3.5999999999999997E-2</v>
      </c>
      <c r="AA136" s="60">
        <v>-3.5999999999999997E-2</v>
      </c>
      <c r="AB136" s="60">
        <v>0</v>
      </c>
      <c r="AC136" s="60">
        <v>0</v>
      </c>
      <c r="AD136" s="8">
        <f t="shared" si="118"/>
        <v>-4.2021999999999995</v>
      </c>
      <c r="AE136" s="2" t="s">
        <v>91</v>
      </c>
      <c r="AG136" s="71">
        <v>-146616</v>
      </c>
      <c r="AH136" s="71">
        <v>-146616</v>
      </c>
      <c r="AI136" s="6"/>
      <c r="AJ136" s="71">
        <v>0</v>
      </c>
      <c r="AK136" s="71">
        <v>0</v>
      </c>
      <c r="AL136" s="72">
        <v>0</v>
      </c>
      <c r="AM136" s="22"/>
      <c r="AO136" s="22" t="s">
        <v>126</v>
      </c>
      <c r="AP136" s="23" t="s">
        <v>390</v>
      </c>
      <c r="AQ136" s="22" t="s">
        <v>100</v>
      </c>
      <c r="AR136" s="51" t="str">
        <f t="shared" si="131"/>
        <v>JD8B-F45046-AA</v>
      </c>
      <c r="AS136" s="3"/>
      <c r="AT136" s="22">
        <v>1</v>
      </c>
      <c r="AU136" s="22">
        <v>1</v>
      </c>
      <c r="AV136" s="22">
        <v>1</v>
      </c>
      <c r="AW136" s="22">
        <v>1</v>
      </c>
      <c r="AX136" s="22">
        <v>1</v>
      </c>
      <c r="AY136" s="22">
        <v>1</v>
      </c>
      <c r="AZ136" s="22">
        <v>1</v>
      </c>
      <c r="BA136" s="22">
        <v>1</v>
      </c>
      <c r="BB136" s="64">
        <f t="shared" si="132"/>
        <v>1</v>
      </c>
      <c r="BD136" s="60">
        <v>-4.1302000000000003</v>
      </c>
      <c r="BE136" s="60">
        <v>-3.5999999999999997E-2</v>
      </c>
      <c r="BF136" s="60">
        <v>-3.5999999999999997E-2</v>
      </c>
      <c r="BG136" s="60">
        <v>0</v>
      </c>
      <c r="BH136" s="60">
        <v>0</v>
      </c>
      <c r="BI136" s="8">
        <f t="shared" si="133"/>
        <v>-4.2021999999999995</v>
      </c>
      <c r="BJ136" s="2" t="s">
        <v>91</v>
      </c>
      <c r="BL136" s="71">
        <v>-146616</v>
      </c>
      <c r="BM136" s="71">
        <v>-146616</v>
      </c>
      <c r="BO136" s="71">
        <v>0</v>
      </c>
      <c r="BP136" s="71">
        <v>0</v>
      </c>
      <c r="BQ136" s="72">
        <v>0</v>
      </c>
      <c r="BS136" s="61">
        <f t="shared" si="114"/>
        <v>0</v>
      </c>
      <c r="BT136" s="61">
        <f t="shared" si="115"/>
        <v>0</v>
      </c>
      <c r="BU136" s="61">
        <f t="shared" si="116"/>
        <v>0</v>
      </c>
      <c r="BV136" s="61">
        <f t="shared" si="116"/>
        <v>0</v>
      </c>
      <c r="BW136" s="61">
        <f t="shared" si="116"/>
        <v>0</v>
      </c>
      <c r="BX136" s="61">
        <f t="shared" si="116"/>
        <v>0</v>
      </c>
      <c r="BY136" s="61" t="s">
        <v>91</v>
      </c>
      <c r="CA136" s="61">
        <f t="shared" si="79"/>
        <v>0</v>
      </c>
      <c r="CB136" s="61">
        <f t="shared" si="79"/>
        <v>0</v>
      </c>
      <c r="CC136" s="61">
        <f t="shared" si="79"/>
        <v>0</v>
      </c>
      <c r="CD136" s="61">
        <f t="shared" si="79"/>
        <v>0</v>
      </c>
      <c r="CE136" s="61">
        <f t="shared" si="79"/>
        <v>0</v>
      </c>
      <c r="CF136" s="61">
        <f t="shared" si="126"/>
        <v>0</v>
      </c>
      <c r="CG136" s="61">
        <f t="shared" si="126"/>
        <v>0</v>
      </c>
      <c r="CH136" s="61">
        <f t="shared" si="126"/>
        <v>0</v>
      </c>
      <c r="CI136" s="61">
        <f t="shared" si="134"/>
        <v>0</v>
      </c>
      <c r="CJ136" s="61"/>
      <c r="CK136" s="61">
        <f t="shared" si="80"/>
        <v>0</v>
      </c>
      <c r="CL136" s="61">
        <f t="shared" si="80"/>
        <v>0</v>
      </c>
      <c r="CM136" s="61">
        <f t="shared" si="80"/>
        <v>0</v>
      </c>
      <c r="CN136" s="61">
        <f t="shared" si="80"/>
        <v>0</v>
      </c>
      <c r="CO136" s="61">
        <f t="shared" si="80"/>
        <v>0</v>
      </c>
      <c r="CP136" s="61">
        <f t="shared" si="127"/>
        <v>0</v>
      </c>
      <c r="CQ136" s="61">
        <f t="shared" si="127"/>
        <v>0</v>
      </c>
      <c r="CR136" s="61">
        <f t="shared" si="127"/>
        <v>0</v>
      </c>
      <c r="CS136" s="61">
        <f t="shared" si="135"/>
        <v>0</v>
      </c>
      <c r="CT136" s="61">
        <f t="shared" si="136"/>
        <v>0</v>
      </c>
      <c r="CV136" s="61">
        <f t="shared" si="137"/>
        <v>0</v>
      </c>
      <c r="CW136" s="61">
        <f t="shared" si="96"/>
        <v>0</v>
      </c>
      <c r="CX136" s="61"/>
      <c r="CY136" s="61">
        <f t="shared" si="97"/>
        <v>0</v>
      </c>
      <c r="CZ136" s="61">
        <f t="shared" si="117"/>
        <v>0</v>
      </c>
      <c r="DA136" s="61">
        <f t="shared" si="117"/>
        <v>0</v>
      </c>
      <c r="DB136" s="2" t="s">
        <v>102</v>
      </c>
      <c r="DC136" s="2" t="s">
        <v>102</v>
      </c>
      <c r="DD136" s="2" t="s">
        <v>142</v>
      </c>
      <c r="DE136" s="2" t="s">
        <v>181</v>
      </c>
      <c r="DF136" s="3" t="s">
        <v>248</v>
      </c>
      <c r="DG136" s="62">
        <v>42807</v>
      </c>
      <c r="EC136" s="60" t="str">
        <f>VLOOKUP($M136,[1]Detail!$M:$BO,1,0)</f>
        <v>JD8B-F45046-AA</v>
      </c>
      <c r="ED136" s="60">
        <f>VLOOKUP($M136,[1]Detail!$M:$BO,22,0)</f>
        <v>-4.2021999999999995</v>
      </c>
      <c r="EE136" s="60">
        <f>VLOOKUP($M136,[1]Detail!$M:$BO,42,0)</f>
        <v>-146616</v>
      </c>
      <c r="EF136" s="60">
        <f>VLOOKUP($M136,[1]Detail!$M:$BO,45,0)</f>
        <v>0</v>
      </c>
      <c r="EH136" s="60">
        <f t="shared" si="128"/>
        <v>0</v>
      </c>
      <c r="EI136" s="60">
        <f t="shared" si="129"/>
        <v>0</v>
      </c>
      <c r="EJ136" s="60">
        <f t="shared" si="130"/>
        <v>0</v>
      </c>
    </row>
    <row r="137" spans="2:140" ht="12.75" hidden="1" customHeight="1">
      <c r="B137" s="93" t="s">
        <v>386</v>
      </c>
      <c r="C137" s="22" t="s">
        <v>387</v>
      </c>
      <c r="D137" s="22" t="s">
        <v>388</v>
      </c>
      <c r="E137" s="2" t="str">
        <f>VLOOKUP($C137,[1]Detail!$C:$AK,6,0)</f>
        <v>BIW</v>
      </c>
      <c r="F137" s="2" t="str">
        <f>VLOOKUP($C137,[1]Detail!$C:$AK,7,0)</f>
        <v>TH</v>
      </c>
      <c r="G137" s="2" t="str">
        <f>VLOOKUP($C137,[1]Detail!$C:$AK,5,0)</f>
        <v>D</v>
      </c>
      <c r="J137" s="22" t="s">
        <v>126</v>
      </c>
      <c r="K137" s="23" t="s">
        <v>391</v>
      </c>
      <c r="L137" s="22" t="s">
        <v>100</v>
      </c>
      <c r="M137" s="51" t="str">
        <f t="shared" si="111"/>
        <v>JD8B-F45047-AA</v>
      </c>
      <c r="O137" s="22">
        <v>1</v>
      </c>
      <c r="P137" s="22">
        <v>1</v>
      </c>
      <c r="Q137" s="22">
        <v>1</v>
      </c>
      <c r="R137" s="22">
        <v>1</v>
      </c>
      <c r="S137" s="22">
        <v>1</v>
      </c>
      <c r="T137" s="22">
        <v>1</v>
      </c>
      <c r="U137" s="22">
        <v>1</v>
      </c>
      <c r="V137" s="22">
        <v>1</v>
      </c>
      <c r="W137" s="64">
        <f t="shared" si="112"/>
        <v>1</v>
      </c>
      <c r="Y137" s="60">
        <v>-4.1302000000000003</v>
      </c>
      <c r="Z137" s="60">
        <v>-3.5999999999999997E-2</v>
      </c>
      <c r="AA137" s="60">
        <v>-3.5999999999999997E-2</v>
      </c>
      <c r="AB137" s="60">
        <v>0</v>
      </c>
      <c r="AC137" s="60">
        <v>0</v>
      </c>
      <c r="AD137" s="8">
        <f t="shared" si="118"/>
        <v>-4.2021999999999995</v>
      </c>
      <c r="AE137" s="2" t="s">
        <v>91</v>
      </c>
      <c r="AG137" s="71">
        <v>-146616</v>
      </c>
      <c r="AH137" s="71">
        <v>-146616</v>
      </c>
      <c r="AI137" s="6"/>
      <c r="AJ137" s="71">
        <v>0</v>
      </c>
      <c r="AK137" s="71">
        <v>0</v>
      </c>
      <c r="AL137" s="72">
        <v>0</v>
      </c>
      <c r="AM137" s="22"/>
      <c r="AO137" s="22" t="s">
        <v>126</v>
      </c>
      <c r="AP137" s="23" t="s">
        <v>391</v>
      </c>
      <c r="AQ137" s="22" t="s">
        <v>100</v>
      </c>
      <c r="AR137" s="51" t="str">
        <f t="shared" si="131"/>
        <v>JD8B-F45047-AA</v>
      </c>
      <c r="AS137" s="3"/>
      <c r="AT137" s="22">
        <v>1</v>
      </c>
      <c r="AU137" s="22">
        <v>1</v>
      </c>
      <c r="AV137" s="22">
        <v>1</v>
      </c>
      <c r="AW137" s="22">
        <v>1</v>
      </c>
      <c r="AX137" s="22">
        <v>1</v>
      </c>
      <c r="AY137" s="22">
        <v>1</v>
      </c>
      <c r="AZ137" s="22">
        <v>1</v>
      </c>
      <c r="BA137" s="22">
        <v>1</v>
      </c>
      <c r="BB137" s="64">
        <f t="shared" si="132"/>
        <v>1</v>
      </c>
      <c r="BD137" s="60">
        <v>-4.1302000000000003</v>
      </c>
      <c r="BE137" s="60">
        <v>-3.5999999999999997E-2</v>
      </c>
      <c r="BF137" s="60">
        <v>-3.5999999999999997E-2</v>
      </c>
      <c r="BG137" s="60">
        <v>0</v>
      </c>
      <c r="BH137" s="60">
        <v>0</v>
      </c>
      <c r="BI137" s="8">
        <f t="shared" si="133"/>
        <v>-4.2021999999999995</v>
      </c>
      <c r="BJ137" s="2" t="s">
        <v>91</v>
      </c>
      <c r="BL137" s="71">
        <v>-146616</v>
      </c>
      <c r="BM137" s="71">
        <v>-146616</v>
      </c>
      <c r="BO137" s="71">
        <v>0</v>
      </c>
      <c r="BP137" s="71">
        <v>0</v>
      </c>
      <c r="BQ137" s="72">
        <v>0</v>
      </c>
      <c r="BS137" s="61">
        <f t="shared" si="114"/>
        <v>0</v>
      </c>
      <c r="BT137" s="61">
        <f t="shared" si="115"/>
        <v>0</v>
      </c>
      <c r="BU137" s="61">
        <f t="shared" si="116"/>
        <v>0</v>
      </c>
      <c r="BV137" s="61">
        <f t="shared" si="116"/>
        <v>0</v>
      </c>
      <c r="BW137" s="61">
        <f t="shared" si="116"/>
        <v>0</v>
      </c>
      <c r="BX137" s="61">
        <f t="shared" si="116"/>
        <v>0</v>
      </c>
      <c r="BY137" s="61" t="s">
        <v>91</v>
      </c>
      <c r="CA137" s="61">
        <f t="shared" si="79"/>
        <v>0</v>
      </c>
      <c r="CB137" s="61">
        <f t="shared" si="79"/>
        <v>0</v>
      </c>
      <c r="CC137" s="61">
        <f t="shared" si="79"/>
        <v>0</v>
      </c>
      <c r="CD137" s="61">
        <f t="shared" si="79"/>
        <v>0</v>
      </c>
      <c r="CE137" s="61">
        <f t="shared" si="79"/>
        <v>0</v>
      </c>
      <c r="CF137" s="61">
        <f t="shared" si="126"/>
        <v>0</v>
      </c>
      <c r="CG137" s="61">
        <f t="shared" si="126"/>
        <v>0</v>
      </c>
      <c r="CH137" s="61">
        <f t="shared" si="126"/>
        <v>0</v>
      </c>
      <c r="CI137" s="61">
        <f t="shared" si="134"/>
        <v>0</v>
      </c>
      <c r="CJ137" s="61"/>
      <c r="CK137" s="61">
        <f t="shared" si="80"/>
        <v>0</v>
      </c>
      <c r="CL137" s="61">
        <f t="shared" si="80"/>
        <v>0</v>
      </c>
      <c r="CM137" s="61">
        <f t="shared" si="80"/>
        <v>0</v>
      </c>
      <c r="CN137" s="61">
        <f t="shared" si="80"/>
        <v>0</v>
      </c>
      <c r="CO137" s="61">
        <f t="shared" si="80"/>
        <v>0</v>
      </c>
      <c r="CP137" s="61">
        <f t="shared" si="127"/>
        <v>0</v>
      </c>
      <c r="CQ137" s="61">
        <f t="shared" si="127"/>
        <v>0</v>
      </c>
      <c r="CR137" s="61">
        <f t="shared" si="127"/>
        <v>0</v>
      </c>
      <c r="CS137" s="61">
        <f t="shared" si="135"/>
        <v>0</v>
      </c>
      <c r="CT137" s="61">
        <f t="shared" si="136"/>
        <v>0</v>
      </c>
      <c r="CV137" s="61">
        <f t="shared" si="137"/>
        <v>0</v>
      </c>
      <c r="CW137" s="61">
        <f t="shared" si="96"/>
        <v>0</v>
      </c>
      <c r="CX137" s="61"/>
      <c r="CY137" s="61">
        <f t="shared" si="97"/>
        <v>0</v>
      </c>
      <c r="CZ137" s="61">
        <f t="shared" si="117"/>
        <v>0</v>
      </c>
      <c r="DA137" s="61">
        <f t="shared" si="117"/>
        <v>0</v>
      </c>
      <c r="DB137" s="2" t="s">
        <v>102</v>
      </c>
      <c r="DC137" s="2" t="s">
        <v>102</v>
      </c>
      <c r="DD137" s="2" t="s">
        <v>142</v>
      </c>
      <c r="DE137" s="2" t="s">
        <v>181</v>
      </c>
      <c r="DF137" s="3" t="s">
        <v>248</v>
      </c>
      <c r="DG137" s="62">
        <v>42807</v>
      </c>
      <c r="EC137" s="60" t="str">
        <f>VLOOKUP($M137,[1]Detail!$M:$BO,1,0)</f>
        <v>JD8B-F45047-AA</v>
      </c>
      <c r="ED137" s="60">
        <f>VLOOKUP($M137,[1]Detail!$M:$BO,22,0)</f>
        <v>-4.2021999999999995</v>
      </c>
      <c r="EE137" s="60">
        <f>VLOOKUP($M137,[1]Detail!$M:$BO,42,0)</f>
        <v>-146616</v>
      </c>
      <c r="EF137" s="60">
        <f>VLOOKUP($M137,[1]Detail!$M:$BO,45,0)</f>
        <v>0</v>
      </c>
      <c r="EH137" s="60">
        <f t="shared" si="128"/>
        <v>0</v>
      </c>
      <c r="EI137" s="60">
        <f t="shared" si="129"/>
        <v>0</v>
      </c>
      <c r="EJ137" s="60">
        <f t="shared" si="130"/>
        <v>0</v>
      </c>
    </row>
    <row r="138" spans="2:140" ht="12.75" hidden="1" customHeight="1">
      <c r="B138" s="93" t="s">
        <v>392</v>
      </c>
      <c r="C138" s="22" t="s">
        <v>393</v>
      </c>
      <c r="D138" s="22" t="s">
        <v>394</v>
      </c>
      <c r="E138" s="2" t="str">
        <f>VLOOKUP($C138,[1]Detail!$C:$AK,6,0)</f>
        <v>PMT1</v>
      </c>
      <c r="F138" s="2" t="str">
        <f>VLOOKUP($C138,[1]Detail!$C:$AK,7,0)</f>
        <v>TH</v>
      </c>
      <c r="G138" s="2" t="str">
        <f>VLOOKUP($C138,[1]Detail!$C:$AK,5,0)</f>
        <v>B</v>
      </c>
      <c r="J138" s="22" t="s">
        <v>126</v>
      </c>
      <c r="K138" s="23" t="s">
        <v>395</v>
      </c>
      <c r="L138" s="22" t="s">
        <v>100</v>
      </c>
      <c r="M138" s="51" t="str">
        <f t="shared" si="111"/>
        <v>JD8B-F42700-AA</v>
      </c>
      <c r="O138" s="22">
        <v>1</v>
      </c>
      <c r="P138" s="22">
        <v>1</v>
      </c>
      <c r="Q138" s="22">
        <v>1</v>
      </c>
      <c r="R138" s="22">
        <v>1</v>
      </c>
      <c r="S138" s="22">
        <v>1</v>
      </c>
      <c r="T138" s="22">
        <v>1</v>
      </c>
      <c r="U138" s="22">
        <v>1</v>
      </c>
      <c r="V138" s="22">
        <v>1</v>
      </c>
      <c r="W138" s="64">
        <f t="shared" si="112"/>
        <v>1</v>
      </c>
      <c r="Y138" s="60">
        <f>-38.98*0-39.31</f>
        <v>-39.31</v>
      </c>
      <c r="Z138" s="60">
        <v>-3.15</v>
      </c>
      <c r="AA138" s="60">
        <v>-2.13</v>
      </c>
      <c r="AB138" s="60">
        <v>0</v>
      </c>
      <c r="AC138" s="60">
        <v>-0.42</v>
      </c>
      <c r="AD138" s="8">
        <f t="shared" si="118"/>
        <v>-45.010000000000005</v>
      </c>
      <c r="AE138" s="2" t="s">
        <v>91</v>
      </c>
      <c r="AG138" s="71">
        <v>-1023000</v>
      </c>
      <c r="AH138" s="71">
        <f>AG138</f>
        <v>-1023000</v>
      </c>
      <c r="AI138" s="6"/>
      <c r="AJ138" s="71">
        <v>-242150</v>
      </c>
      <c r="AK138" s="71">
        <v>574899</v>
      </c>
      <c r="AL138" s="72">
        <v>0</v>
      </c>
      <c r="AM138" s="22"/>
      <c r="AO138" s="22" t="s">
        <v>126</v>
      </c>
      <c r="AP138" s="23" t="s">
        <v>395</v>
      </c>
      <c r="AQ138" s="22" t="s">
        <v>100</v>
      </c>
      <c r="AR138" s="51" t="str">
        <f t="shared" si="131"/>
        <v>JD8B-F42700-AA</v>
      </c>
      <c r="AS138" s="3"/>
      <c r="AT138" s="22">
        <v>1</v>
      </c>
      <c r="AU138" s="22">
        <v>1</v>
      </c>
      <c r="AV138" s="22">
        <v>1</v>
      </c>
      <c r="AW138" s="22">
        <v>1</v>
      </c>
      <c r="AX138" s="22">
        <v>1</v>
      </c>
      <c r="AY138" s="22">
        <v>1</v>
      </c>
      <c r="AZ138" s="22">
        <v>1</v>
      </c>
      <c r="BA138" s="22">
        <v>1</v>
      </c>
      <c r="BB138" s="64">
        <f t="shared" si="132"/>
        <v>1</v>
      </c>
      <c r="BD138" s="60">
        <v>-38.979999999999997</v>
      </c>
      <c r="BE138" s="60">
        <v>-3.15</v>
      </c>
      <c r="BF138" s="60">
        <v>-2.13</v>
      </c>
      <c r="BG138" s="60">
        <v>0</v>
      </c>
      <c r="BH138" s="60">
        <v>-0.42</v>
      </c>
      <c r="BI138" s="8">
        <f t="shared" si="133"/>
        <v>-44.68</v>
      </c>
      <c r="BJ138" s="2" t="s">
        <v>91</v>
      </c>
      <c r="BL138" s="71">
        <v>-1023000</v>
      </c>
      <c r="BM138" s="71">
        <f>BL138</f>
        <v>-1023000</v>
      </c>
      <c r="BO138" s="71">
        <v>-484330.04</v>
      </c>
      <c r="BP138" s="71">
        <v>574899</v>
      </c>
      <c r="BQ138" s="72">
        <v>0</v>
      </c>
      <c r="BS138" s="61">
        <f t="shared" si="114"/>
        <v>-0.3300000000000054</v>
      </c>
      <c r="BT138" s="61">
        <f t="shared" si="115"/>
        <v>0</v>
      </c>
      <c r="BU138" s="61">
        <f t="shared" si="116"/>
        <v>0</v>
      </c>
      <c r="BV138" s="61">
        <f t="shared" si="116"/>
        <v>0</v>
      </c>
      <c r="BW138" s="61">
        <f t="shared" si="116"/>
        <v>0</v>
      </c>
      <c r="BX138" s="61">
        <f t="shared" si="116"/>
        <v>-0.3300000000000054</v>
      </c>
      <c r="BY138" s="61" t="s">
        <v>91</v>
      </c>
      <c r="CA138" s="61">
        <f t="shared" si="79"/>
        <v>-4.964645704829327E-2</v>
      </c>
      <c r="CB138" s="61">
        <f t="shared" si="79"/>
        <v>-4.964645704829327E-2</v>
      </c>
      <c r="CC138" s="61">
        <f t="shared" si="79"/>
        <v>-4.964645704829327E-2</v>
      </c>
      <c r="CD138" s="61">
        <f t="shared" si="79"/>
        <v>-4.964645704829327E-2</v>
      </c>
      <c r="CE138" s="61">
        <f t="shared" si="79"/>
        <v>-4.964645704829327E-2</v>
      </c>
      <c r="CF138" s="61">
        <f t="shared" si="126"/>
        <v>-4.964645704829327E-2</v>
      </c>
      <c r="CG138" s="61">
        <f t="shared" si="126"/>
        <v>-4.964645704829327E-2</v>
      </c>
      <c r="CH138" s="61">
        <f t="shared" si="126"/>
        <v>-4.964645704829327E-2</v>
      </c>
      <c r="CI138" s="61">
        <f t="shared" si="134"/>
        <v>-4.964645704829327E-2</v>
      </c>
      <c r="CJ138" s="61"/>
      <c r="CK138" s="61">
        <f t="shared" si="80"/>
        <v>-4.964645704829327E-2</v>
      </c>
      <c r="CL138" s="61">
        <f t="shared" si="80"/>
        <v>-4.964645704829327E-2</v>
      </c>
      <c r="CM138" s="61">
        <f t="shared" si="80"/>
        <v>-4.964645704829327E-2</v>
      </c>
      <c r="CN138" s="61">
        <f t="shared" si="80"/>
        <v>-4.964645704829327E-2</v>
      </c>
      <c r="CO138" s="61">
        <f t="shared" si="80"/>
        <v>-4.964645704829327E-2</v>
      </c>
      <c r="CP138" s="61">
        <f t="shared" si="127"/>
        <v>-4.964645704829327E-2</v>
      </c>
      <c r="CQ138" s="61">
        <f t="shared" si="127"/>
        <v>-4.964645704829327E-2</v>
      </c>
      <c r="CR138" s="61">
        <f t="shared" si="127"/>
        <v>-4.964645704829327E-2</v>
      </c>
      <c r="CS138" s="61">
        <f t="shared" si="135"/>
        <v>-4.964645704829327E-2</v>
      </c>
      <c r="CT138" s="61">
        <f t="shared" si="136"/>
        <v>-0.3300000000000054</v>
      </c>
      <c r="CV138" s="61">
        <f t="shared" si="137"/>
        <v>0</v>
      </c>
      <c r="CW138" s="61">
        <f t="shared" si="96"/>
        <v>0</v>
      </c>
      <c r="CX138" s="61"/>
      <c r="CY138" s="61">
        <f t="shared" si="97"/>
        <v>242180.03999999998</v>
      </c>
      <c r="CZ138" s="61">
        <f t="shared" si="117"/>
        <v>0</v>
      </c>
      <c r="DA138" s="61">
        <f t="shared" si="117"/>
        <v>0</v>
      </c>
      <c r="DB138" s="2" t="s">
        <v>85</v>
      </c>
      <c r="DC138" s="2" t="s">
        <v>102</v>
      </c>
      <c r="DD138" s="2" t="s">
        <v>142</v>
      </c>
      <c r="DE138" s="2" t="s">
        <v>181</v>
      </c>
      <c r="DF138" s="3" t="s">
        <v>118</v>
      </c>
      <c r="DG138" s="62">
        <v>42800</v>
      </c>
      <c r="EC138" s="60"/>
      <c r="ED138" s="60"/>
      <c r="EE138" s="60"/>
      <c r="EF138" s="60"/>
    </row>
    <row r="139" spans="2:140" ht="12.75" hidden="1" customHeight="1">
      <c r="B139" s="93" t="s">
        <v>392</v>
      </c>
      <c r="C139" s="22" t="s">
        <v>393</v>
      </c>
      <c r="D139" s="22" t="s">
        <v>394</v>
      </c>
      <c r="E139" s="2" t="str">
        <f>VLOOKUP($C139,[1]Detail!$C:$AK,6,0)</f>
        <v>PMT1</v>
      </c>
      <c r="F139" s="2" t="str">
        <f>VLOOKUP($C139,[1]Detail!$C:$AK,7,0)</f>
        <v>TH</v>
      </c>
      <c r="G139" s="2" t="str">
        <f>VLOOKUP($C139,[1]Detail!$C:$AK,5,0)</f>
        <v>B</v>
      </c>
      <c r="J139" s="22" t="s">
        <v>126</v>
      </c>
      <c r="K139" s="23" t="s">
        <v>396</v>
      </c>
      <c r="L139" s="22" t="s">
        <v>100</v>
      </c>
      <c r="M139" s="51" t="str">
        <f t="shared" si="111"/>
        <v>JD8B-F42701-AA</v>
      </c>
      <c r="O139" s="22">
        <v>1</v>
      </c>
      <c r="P139" s="22">
        <v>1</v>
      </c>
      <c r="Q139" s="22">
        <v>1</v>
      </c>
      <c r="R139" s="22">
        <v>1</v>
      </c>
      <c r="S139" s="22">
        <v>1</v>
      </c>
      <c r="T139" s="22">
        <v>1</v>
      </c>
      <c r="U139" s="22">
        <v>1</v>
      </c>
      <c r="V139" s="22">
        <v>1</v>
      </c>
      <c r="W139" s="64">
        <f t="shared" si="112"/>
        <v>1</v>
      </c>
      <c r="Y139" s="60">
        <f>-38.98*0-39.31</f>
        <v>-39.31</v>
      </c>
      <c r="Z139" s="60">
        <v>-3.15</v>
      </c>
      <c r="AA139" s="60">
        <v>-2.13</v>
      </c>
      <c r="AB139" s="60">
        <v>0</v>
      </c>
      <c r="AC139" s="60">
        <v>-0.42</v>
      </c>
      <c r="AD139" s="8">
        <f t="shared" si="118"/>
        <v>-45.010000000000005</v>
      </c>
      <c r="AE139" s="2" t="s">
        <v>91</v>
      </c>
      <c r="AG139" s="71">
        <v>-1023000</v>
      </c>
      <c r="AH139" s="71">
        <f>AG139</f>
        <v>-1023000</v>
      </c>
      <c r="AI139" s="6"/>
      <c r="AJ139" s="71">
        <v>-242150</v>
      </c>
      <c r="AK139" s="71">
        <v>574899</v>
      </c>
      <c r="AL139" s="72">
        <v>0</v>
      </c>
      <c r="AM139" s="22"/>
      <c r="AO139" s="22" t="s">
        <v>126</v>
      </c>
      <c r="AP139" s="23" t="s">
        <v>396</v>
      </c>
      <c r="AQ139" s="22" t="s">
        <v>100</v>
      </c>
      <c r="AR139" s="51" t="str">
        <f t="shared" si="131"/>
        <v>JD8B-F42701-AA</v>
      </c>
      <c r="AS139" s="3"/>
      <c r="AT139" s="22">
        <v>1</v>
      </c>
      <c r="AU139" s="22">
        <v>1</v>
      </c>
      <c r="AV139" s="22">
        <v>1</v>
      </c>
      <c r="AW139" s="22">
        <v>1</v>
      </c>
      <c r="AX139" s="22">
        <v>1</v>
      </c>
      <c r="AY139" s="22">
        <v>1</v>
      </c>
      <c r="AZ139" s="22">
        <v>1</v>
      </c>
      <c r="BA139" s="22">
        <v>1</v>
      </c>
      <c r="BB139" s="64">
        <f t="shared" si="132"/>
        <v>1</v>
      </c>
      <c r="BD139" s="60">
        <v>-38.979999999999997</v>
      </c>
      <c r="BE139" s="60">
        <v>-3.15</v>
      </c>
      <c r="BF139" s="60">
        <v>-2.13</v>
      </c>
      <c r="BG139" s="60">
        <v>0</v>
      </c>
      <c r="BH139" s="60">
        <v>-0.42</v>
      </c>
      <c r="BI139" s="8">
        <f t="shared" si="133"/>
        <v>-44.68</v>
      </c>
      <c r="BJ139" s="2" t="s">
        <v>91</v>
      </c>
      <c r="BL139" s="71">
        <v>-1023000</v>
      </c>
      <c r="BM139" s="71">
        <f>BL139</f>
        <v>-1023000</v>
      </c>
      <c r="BO139" s="71" t="s">
        <v>114</v>
      </c>
      <c r="BP139" s="71"/>
      <c r="BQ139" s="72">
        <v>0</v>
      </c>
      <c r="BS139" s="61">
        <f t="shared" si="114"/>
        <v>-0.3300000000000054</v>
      </c>
      <c r="BT139" s="61">
        <f t="shared" si="115"/>
        <v>0</v>
      </c>
      <c r="BU139" s="61">
        <f t="shared" si="116"/>
        <v>0</v>
      </c>
      <c r="BV139" s="61">
        <f t="shared" si="116"/>
        <v>0</v>
      </c>
      <c r="BW139" s="61">
        <f t="shared" si="116"/>
        <v>0</v>
      </c>
      <c r="BX139" s="61">
        <f t="shared" si="116"/>
        <v>-0.3300000000000054</v>
      </c>
      <c r="BY139" s="61" t="s">
        <v>91</v>
      </c>
      <c r="CA139" s="61">
        <f t="shared" si="79"/>
        <v>-4.964645704829327E-2</v>
      </c>
      <c r="CB139" s="61">
        <f t="shared" si="79"/>
        <v>-4.964645704829327E-2</v>
      </c>
      <c r="CC139" s="61">
        <f t="shared" si="79"/>
        <v>-4.964645704829327E-2</v>
      </c>
      <c r="CD139" s="61">
        <f t="shared" si="79"/>
        <v>-4.964645704829327E-2</v>
      </c>
      <c r="CE139" s="61">
        <f t="shared" si="79"/>
        <v>-4.964645704829327E-2</v>
      </c>
      <c r="CF139" s="61">
        <f t="shared" si="126"/>
        <v>-4.964645704829327E-2</v>
      </c>
      <c r="CG139" s="61">
        <f t="shared" si="126"/>
        <v>-4.964645704829327E-2</v>
      </c>
      <c r="CH139" s="61">
        <f t="shared" si="126"/>
        <v>-4.964645704829327E-2</v>
      </c>
      <c r="CI139" s="61">
        <f t="shared" si="134"/>
        <v>-4.964645704829327E-2</v>
      </c>
      <c r="CJ139" s="61"/>
      <c r="CK139" s="61">
        <f t="shared" si="80"/>
        <v>-4.964645704829327E-2</v>
      </c>
      <c r="CL139" s="61">
        <f t="shared" si="80"/>
        <v>-4.964645704829327E-2</v>
      </c>
      <c r="CM139" s="61">
        <f t="shared" si="80"/>
        <v>-4.964645704829327E-2</v>
      </c>
      <c r="CN139" s="61">
        <f t="shared" si="80"/>
        <v>-4.964645704829327E-2</v>
      </c>
      <c r="CO139" s="61">
        <f t="shared" si="80"/>
        <v>-4.964645704829327E-2</v>
      </c>
      <c r="CP139" s="61">
        <f t="shared" si="127"/>
        <v>-4.964645704829327E-2</v>
      </c>
      <c r="CQ139" s="61">
        <f t="shared" si="127"/>
        <v>-4.964645704829327E-2</v>
      </c>
      <c r="CR139" s="61">
        <f t="shared" si="127"/>
        <v>-4.964645704829327E-2</v>
      </c>
      <c r="CS139" s="61">
        <f t="shared" si="135"/>
        <v>-4.964645704829327E-2</v>
      </c>
      <c r="CT139" s="61">
        <f t="shared" si="136"/>
        <v>-0.3300000000000054</v>
      </c>
      <c r="CV139" s="61">
        <f t="shared" si="137"/>
        <v>0</v>
      </c>
      <c r="CW139" s="61">
        <f t="shared" si="96"/>
        <v>0</v>
      </c>
      <c r="CX139" s="61"/>
      <c r="CY139" s="61">
        <f t="shared" si="97"/>
        <v>-242150</v>
      </c>
      <c r="CZ139" s="61">
        <f t="shared" si="117"/>
        <v>574899</v>
      </c>
      <c r="DA139" s="61">
        <f t="shared" si="117"/>
        <v>0</v>
      </c>
      <c r="DB139" s="2" t="s">
        <v>85</v>
      </c>
      <c r="DC139" s="2" t="s">
        <v>102</v>
      </c>
      <c r="DD139" s="2" t="s">
        <v>142</v>
      </c>
      <c r="DE139" s="2" t="s">
        <v>181</v>
      </c>
      <c r="DF139" s="3" t="s">
        <v>118</v>
      </c>
      <c r="DG139" s="62">
        <v>42800</v>
      </c>
      <c r="EC139" s="60"/>
      <c r="ED139" s="60"/>
      <c r="EE139" s="60"/>
      <c r="EF139" s="60"/>
    </row>
    <row r="140" spans="2:140" ht="12.75" hidden="1" customHeight="1">
      <c r="B140" s="93" t="s">
        <v>392</v>
      </c>
      <c r="C140" s="22" t="s">
        <v>393</v>
      </c>
      <c r="D140" s="22" t="s">
        <v>394</v>
      </c>
      <c r="E140" s="2" t="str">
        <f>VLOOKUP($C140,[1]Detail!$C:$AK,6,0)</f>
        <v>PMT1</v>
      </c>
      <c r="F140" s="2" t="str">
        <f>VLOOKUP($C140,[1]Detail!$C:$AK,7,0)</f>
        <v>TH</v>
      </c>
      <c r="G140" s="2" t="str">
        <f>VLOOKUP($C140,[1]Detail!$C:$AK,5,0)</f>
        <v>B</v>
      </c>
      <c r="J140" s="22" t="s">
        <v>126</v>
      </c>
      <c r="K140" s="23" t="s">
        <v>397</v>
      </c>
      <c r="L140" s="22" t="s">
        <v>100</v>
      </c>
      <c r="M140" s="51" t="str">
        <f t="shared" si="111"/>
        <v>JD8B-F44890-AA</v>
      </c>
      <c r="O140" s="22">
        <v>1</v>
      </c>
      <c r="P140" s="22">
        <v>1</v>
      </c>
      <c r="Q140" s="22">
        <v>1</v>
      </c>
      <c r="R140" s="22">
        <v>1</v>
      </c>
      <c r="S140" s="22">
        <v>1</v>
      </c>
      <c r="T140" s="22">
        <v>1</v>
      </c>
      <c r="U140" s="22">
        <v>1</v>
      </c>
      <c r="V140" s="22">
        <v>1</v>
      </c>
      <c r="W140" s="64">
        <f t="shared" si="112"/>
        <v>1</v>
      </c>
      <c r="Y140" s="60">
        <v>-7.97</v>
      </c>
      <c r="Z140" s="60">
        <v>-0.74299999999999999</v>
      </c>
      <c r="AA140" s="60">
        <v>-0.42199999999999999</v>
      </c>
      <c r="AB140" s="60">
        <v>0</v>
      </c>
      <c r="AC140" s="60">
        <v>0</v>
      </c>
      <c r="AD140" s="8">
        <f t="shared" si="118"/>
        <v>-9.1349999999999998</v>
      </c>
      <c r="AE140" s="2" t="s">
        <v>91</v>
      </c>
      <c r="AG140" s="71">
        <v>-25000</v>
      </c>
      <c r="AH140" s="71">
        <v>-25000</v>
      </c>
      <c r="AI140" s="6"/>
      <c r="AJ140" s="71">
        <v>0</v>
      </c>
      <c r="AK140" s="71">
        <v>0</v>
      </c>
      <c r="AL140" s="72">
        <v>0</v>
      </c>
      <c r="AM140" s="22"/>
      <c r="AO140" s="22" t="s">
        <v>126</v>
      </c>
      <c r="AP140" s="23" t="s">
        <v>397</v>
      </c>
      <c r="AQ140" s="22" t="s">
        <v>100</v>
      </c>
      <c r="AR140" s="51" t="str">
        <f t="shared" si="131"/>
        <v>JD8B-F44890-AA</v>
      </c>
      <c r="AS140" s="3"/>
      <c r="AT140" s="22">
        <v>1</v>
      </c>
      <c r="AU140" s="22">
        <v>1</v>
      </c>
      <c r="AV140" s="22">
        <v>1</v>
      </c>
      <c r="AW140" s="22">
        <v>1</v>
      </c>
      <c r="AX140" s="22">
        <v>1</v>
      </c>
      <c r="AY140" s="22">
        <v>1</v>
      </c>
      <c r="AZ140" s="22">
        <v>1</v>
      </c>
      <c r="BA140" s="22">
        <v>1</v>
      </c>
      <c r="BB140" s="64">
        <f t="shared" si="132"/>
        <v>1</v>
      </c>
      <c r="BD140" s="60">
        <v>-7.97</v>
      </c>
      <c r="BE140" s="60">
        <v>-0.74299999999999999</v>
      </c>
      <c r="BF140" s="60">
        <v>-0.42199999999999999</v>
      </c>
      <c r="BG140" s="60">
        <v>0</v>
      </c>
      <c r="BH140" s="60">
        <v>0</v>
      </c>
      <c r="BI140" s="8">
        <f t="shared" si="133"/>
        <v>-9.1349999999999998</v>
      </c>
      <c r="BJ140" s="2" t="s">
        <v>91</v>
      </c>
      <c r="BL140" s="71">
        <v>-25000</v>
      </c>
      <c r="BM140" s="71">
        <v>-25000</v>
      </c>
      <c r="BO140" s="71">
        <v>0</v>
      </c>
      <c r="BP140" s="71">
        <v>0</v>
      </c>
      <c r="BQ140" s="72">
        <v>0</v>
      </c>
      <c r="BS140" s="61">
        <f t="shared" si="114"/>
        <v>0</v>
      </c>
      <c r="BT140" s="61">
        <f t="shared" si="115"/>
        <v>0</v>
      </c>
      <c r="BU140" s="61">
        <f t="shared" si="116"/>
        <v>0</v>
      </c>
      <c r="BV140" s="61">
        <f t="shared" si="116"/>
        <v>0</v>
      </c>
      <c r="BW140" s="61">
        <f t="shared" si="116"/>
        <v>0</v>
      </c>
      <c r="BX140" s="61">
        <f t="shared" si="116"/>
        <v>0</v>
      </c>
      <c r="BY140" s="61" t="s">
        <v>91</v>
      </c>
      <c r="CA140" s="61">
        <f t="shared" ref="CA140:CE203" si="138">($Y140*O140-AT140*$BD140)/$C$2</f>
        <v>0</v>
      </c>
      <c r="CB140" s="61">
        <f t="shared" si="138"/>
        <v>0</v>
      </c>
      <c r="CC140" s="61">
        <f t="shared" si="138"/>
        <v>0</v>
      </c>
      <c r="CD140" s="61">
        <f t="shared" si="138"/>
        <v>0</v>
      </c>
      <c r="CE140" s="61">
        <f t="shared" si="138"/>
        <v>0</v>
      </c>
      <c r="CF140" s="61">
        <f t="shared" si="126"/>
        <v>0</v>
      </c>
      <c r="CG140" s="61">
        <f t="shared" si="126"/>
        <v>0</v>
      </c>
      <c r="CH140" s="61">
        <f t="shared" si="126"/>
        <v>0</v>
      </c>
      <c r="CI140" s="61">
        <f t="shared" si="134"/>
        <v>0</v>
      </c>
      <c r="CJ140" s="61"/>
      <c r="CK140" s="61">
        <f t="shared" ref="CK140:CO203" si="139">(O140*$AD140-AT140*$BI140)/$C$2</f>
        <v>0</v>
      </c>
      <c r="CL140" s="61">
        <f t="shared" si="139"/>
        <v>0</v>
      </c>
      <c r="CM140" s="61">
        <f t="shared" si="139"/>
        <v>0</v>
      </c>
      <c r="CN140" s="61">
        <f t="shared" si="139"/>
        <v>0</v>
      </c>
      <c r="CO140" s="61">
        <f t="shared" si="139"/>
        <v>0</v>
      </c>
      <c r="CP140" s="61">
        <f t="shared" si="127"/>
        <v>0</v>
      </c>
      <c r="CQ140" s="61">
        <f t="shared" si="127"/>
        <v>0</v>
      </c>
      <c r="CR140" s="61">
        <f t="shared" si="127"/>
        <v>0</v>
      </c>
      <c r="CS140" s="61">
        <f t="shared" si="135"/>
        <v>0</v>
      </c>
      <c r="CT140" s="61">
        <f t="shared" si="136"/>
        <v>0</v>
      </c>
      <c r="CV140" s="61">
        <f t="shared" si="137"/>
        <v>0</v>
      </c>
      <c r="CW140" s="61">
        <f t="shared" si="96"/>
        <v>0</v>
      </c>
      <c r="CX140" s="61"/>
      <c r="CY140" s="61">
        <f t="shared" si="97"/>
        <v>0</v>
      </c>
      <c r="CZ140" s="61">
        <f t="shared" si="117"/>
        <v>0</v>
      </c>
      <c r="DA140" s="61">
        <f t="shared" si="117"/>
        <v>0</v>
      </c>
      <c r="DB140" s="2" t="s">
        <v>85</v>
      </c>
      <c r="DC140" s="2" t="s">
        <v>102</v>
      </c>
      <c r="DD140" s="2" t="s">
        <v>142</v>
      </c>
      <c r="DE140" s="2" t="s">
        <v>181</v>
      </c>
      <c r="DF140" s="3" t="s">
        <v>118</v>
      </c>
      <c r="DG140" s="62">
        <v>42800</v>
      </c>
      <c r="EC140" s="60"/>
      <c r="ED140" s="60"/>
      <c r="EE140" s="60"/>
      <c r="EF140" s="60"/>
    </row>
    <row r="141" spans="2:140" ht="12.75" hidden="1" customHeight="1">
      <c r="B141" s="93" t="s">
        <v>392</v>
      </c>
      <c r="C141" s="22" t="s">
        <v>393</v>
      </c>
      <c r="D141" s="22" t="s">
        <v>394</v>
      </c>
      <c r="E141" s="2" t="str">
        <f>VLOOKUP($C141,[1]Detail!$C:$AK,6,0)</f>
        <v>PMT1</v>
      </c>
      <c r="F141" s="2" t="str">
        <f>VLOOKUP($C141,[1]Detail!$C:$AK,7,0)</f>
        <v>TH</v>
      </c>
      <c r="G141" s="2" t="str">
        <f>VLOOKUP($C141,[1]Detail!$C:$AK,5,0)</f>
        <v>B</v>
      </c>
      <c r="J141" s="22" t="s">
        <v>126</v>
      </c>
      <c r="K141" s="23" t="s">
        <v>398</v>
      </c>
      <c r="L141" s="22" t="s">
        <v>100</v>
      </c>
      <c r="M141" s="51" t="str">
        <f t="shared" si="111"/>
        <v>JD8B-F44891-AA</v>
      </c>
      <c r="O141" s="22">
        <v>1</v>
      </c>
      <c r="P141" s="22">
        <v>1</v>
      </c>
      <c r="Q141" s="22">
        <v>1</v>
      </c>
      <c r="R141" s="22">
        <v>1</v>
      </c>
      <c r="S141" s="22">
        <v>1</v>
      </c>
      <c r="T141" s="22">
        <v>1</v>
      </c>
      <c r="U141" s="22">
        <v>1</v>
      </c>
      <c r="V141" s="22">
        <v>1</v>
      </c>
      <c r="W141" s="64">
        <f t="shared" si="112"/>
        <v>1</v>
      </c>
      <c r="Y141" s="60">
        <v>-7.97</v>
      </c>
      <c r="Z141" s="60">
        <v>-0.74299999999999999</v>
      </c>
      <c r="AA141" s="60">
        <v>-0.42199999999999999</v>
      </c>
      <c r="AB141" s="60">
        <v>0</v>
      </c>
      <c r="AC141" s="60">
        <v>0</v>
      </c>
      <c r="AD141" s="8">
        <f t="shared" si="118"/>
        <v>-9.1349999999999998</v>
      </c>
      <c r="AE141" s="2" t="s">
        <v>91</v>
      </c>
      <c r="AG141" s="71">
        <v>-25000</v>
      </c>
      <c r="AH141" s="71">
        <v>-25000</v>
      </c>
      <c r="AI141" s="6"/>
      <c r="AJ141" s="71">
        <v>0</v>
      </c>
      <c r="AK141" s="71">
        <v>0</v>
      </c>
      <c r="AL141" s="72">
        <v>0</v>
      </c>
      <c r="AM141" s="22"/>
      <c r="AO141" s="22" t="s">
        <v>126</v>
      </c>
      <c r="AP141" s="23" t="s">
        <v>398</v>
      </c>
      <c r="AQ141" s="22" t="s">
        <v>100</v>
      </c>
      <c r="AR141" s="51" t="str">
        <f t="shared" si="131"/>
        <v>JD8B-F44891-AA</v>
      </c>
      <c r="AS141" s="3"/>
      <c r="AT141" s="22">
        <v>1</v>
      </c>
      <c r="AU141" s="22">
        <v>1</v>
      </c>
      <c r="AV141" s="22">
        <v>1</v>
      </c>
      <c r="AW141" s="22">
        <v>1</v>
      </c>
      <c r="AX141" s="22">
        <v>1</v>
      </c>
      <c r="AY141" s="22">
        <v>1</v>
      </c>
      <c r="AZ141" s="22">
        <v>1</v>
      </c>
      <c r="BA141" s="22">
        <v>1</v>
      </c>
      <c r="BB141" s="64">
        <f t="shared" si="132"/>
        <v>1</v>
      </c>
      <c r="BD141" s="60">
        <v>-7.97</v>
      </c>
      <c r="BE141" s="60">
        <v>-0.74299999999999999</v>
      </c>
      <c r="BF141" s="60">
        <v>-0.42199999999999999</v>
      </c>
      <c r="BG141" s="60">
        <v>0</v>
      </c>
      <c r="BH141" s="60">
        <v>0</v>
      </c>
      <c r="BI141" s="8">
        <f t="shared" si="133"/>
        <v>-9.1349999999999998</v>
      </c>
      <c r="BJ141" s="2" t="s">
        <v>91</v>
      </c>
      <c r="BL141" s="71">
        <v>-25000</v>
      </c>
      <c r="BM141" s="71">
        <v>-25000</v>
      </c>
      <c r="BO141" s="71">
        <v>0</v>
      </c>
      <c r="BP141" s="71">
        <v>0</v>
      </c>
      <c r="BQ141" s="72">
        <v>0</v>
      </c>
      <c r="BS141" s="61">
        <f t="shared" si="114"/>
        <v>0</v>
      </c>
      <c r="BT141" s="61">
        <f t="shared" si="115"/>
        <v>0</v>
      </c>
      <c r="BU141" s="61">
        <f t="shared" si="116"/>
        <v>0</v>
      </c>
      <c r="BV141" s="61">
        <f t="shared" si="116"/>
        <v>0</v>
      </c>
      <c r="BW141" s="61">
        <f t="shared" si="116"/>
        <v>0</v>
      </c>
      <c r="BX141" s="61">
        <f t="shared" si="116"/>
        <v>0</v>
      </c>
      <c r="BY141" s="61" t="s">
        <v>91</v>
      </c>
      <c r="CA141" s="61">
        <f t="shared" si="138"/>
        <v>0</v>
      </c>
      <c r="CB141" s="61">
        <f t="shared" si="138"/>
        <v>0</v>
      </c>
      <c r="CC141" s="61">
        <f t="shared" si="138"/>
        <v>0</v>
      </c>
      <c r="CD141" s="61">
        <f t="shared" si="138"/>
        <v>0</v>
      </c>
      <c r="CE141" s="61">
        <f t="shared" si="138"/>
        <v>0</v>
      </c>
      <c r="CF141" s="61">
        <f t="shared" si="126"/>
        <v>0</v>
      </c>
      <c r="CG141" s="61">
        <f t="shared" si="126"/>
        <v>0</v>
      </c>
      <c r="CH141" s="61">
        <f t="shared" si="126"/>
        <v>0</v>
      </c>
      <c r="CI141" s="61">
        <f t="shared" si="134"/>
        <v>0</v>
      </c>
      <c r="CJ141" s="61"/>
      <c r="CK141" s="61">
        <f t="shared" si="139"/>
        <v>0</v>
      </c>
      <c r="CL141" s="61">
        <f t="shared" si="139"/>
        <v>0</v>
      </c>
      <c r="CM141" s="61">
        <f t="shared" si="139"/>
        <v>0</v>
      </c>
      <c r="CN141" s="61">
        <f t="shared" si="139"/>
        <v>0</v>
      </c>
      <c r="CO141" s="61">
        <f t="shared" si="139"/>
        <v>0</v>
      </c>
      <c r="CP141" s="61">
        <f t="shared" si="127"/>
        <v>0</v>
      </c>
      <c r="CQ141" s="61">
        <f t="shared" si="127"/>
        <v>0</v>
      </c>
      <c r="CR141" s="61">
        <f t="shared" si="127"/>
        <v>0</v>
      </c>
      <c r="CS141" s="61">
        <f t="shared" si="135"/>
        <v>0</v>
      </c>
      <c r="CT141" s="61">
        <f t="shared" si="136"/>
        <v>0</v>
      </c>
      <c r="CV141" s="61">
        <f t="shared" si="137"/>
        <v>0</v>
      </c>
      <c r="CW141" s="61">
        <f t="shared" si="96"/>
        <v>0</v>
      </c>
      <c r="CX141" s="61"/>
      <c r="CY141" s="61">
        <f t="shared" si="97"/>
        <v>0</v>
      </c>
      <c r="CZ141" s="61">
        <f t="shared" si="117"/>
        <v>0</v>
      </c>
      <c r="DA141" s="61">
        <f t="shared" si="117"/>
        <v>0</v>
      </c>
      <c r="DB141" s="2" t="s">
        <v>85</v>
      </c>
      <c r="DC141" s="2" t="s">
        <v>102</v>
      </c>
      <c r="DD141" s="2" t="s">
        <v>142</v>
      </c>
      <c r="DE141" s="2" t="s">
        <v>181</v>
      </c>
      <c r="DF141" s="3" t="s">
        <v>118</v>
      </c>
      <c r="DG141" s="62">
        <v>42800</v>
      </c>
      <c r="EC141" s="60"/>
      <c r="ED141" s="60"/>
      <c r="EE141" s="60"/>
      <c r="EF141" s="60"/>
    </row>
    <row r="142" spans="2:140" ht="12.75" hidden="1" customHeight="1">
      <c r="B142" s="93" t="s">
        <v>392</v>
      </c>
      <c r="C142" s="22" t="s">
        <v>393</v>
      </c>
      <c r="D142" s="22" t="s">
        <v>394</v>
      </c>
      <c r="E142" s="2" t="str">
        <f>VLOOKUP($C142,[1]Detail!$C:$AK,6,0)</f>
        <v>PMT1</v>
      </c>
      <c r="F142" s="2" t="str">
        <f>VLOOKUP($C142,[1]Detail!$C:$AK,7,0)</f>
        <v>TH</v>
      </c>
      <c r="G142" s="2" t="str">
        <f>VLOOKUP($C142,[1]Detail!$C:$AK,5,0)</f>
        <v>B</v>
      </c>
      <c r="J142" s="22" t="s">
        <v>126</v>
      </c>
      <c r="K142" s="23" t="s">
        <v>399</v>
      </c>
      <c r="L142" s="22" t="s">
        <v>100</v>
      </c>
      <c r="M142" s="51" t="str">
        <f t="shared" si="111"/>
        <v>JD8B-F44858-AA</v>
      </c>
      <c r="O142" s="22">
        <v>1</v>
      </c>
      <c r="P142" s="22">
        <v>1</v>
      </c>
      <c r="Q142" s="22">
        <v>1</v>
      </c>
      <c r="R142" s="22">
        <v>1</v>
      </c>
      <c r="S142" s="22">
        <v>1</v>
      </c>
      <c r="T142" s="22">
        <v>1</v>
      </c>
      <c r="U142" s="22">
        <v>1</v>
      </c>
      <c r="V142" s="22">
        <v>1</v>
      </c>
      <c r="W142" s="64">
        <f t="shared" si="112"/>
        <v>1</v>
      </c>
      <c r="Y142" s="60">
        <v>-1.1200000000000001</v>
      </c>
      <c r="Z142" s="60">
        <v>-0.11</v>
      </c>
      <c r="AA142" s="60">
        <v>-0.03</v>
      </c>
      <c r="AB142" s="60">
        <v>0</v>
      </c>
      <c r="AC142" s="60">
        <v>0</v>
      </c>
      <c r="AD142" s="8">
        <f t="shared" si="118"/>
        <v>-1.2600000000000002</v>
      </c>
      <c r="AE142" s="2" t="s">
        <v>91</v>
      </c>
      <c r="AG142" s="71">
        <v>-62500</v>
      </c>
      <c r="AH142" s="71">
        <v>-62500</v>
      </c>
      <c r="AI142" s="6"/>
      <c r="AJ142" s="71">
        <v>0</v>
      </c>
      <c r="AK142" s="71">
        <v>0</v>
      </c>
      <c r="AL142" s="72">
        <v>0</v>
      </c>
      <c r="AM142" s="22"/>
      <c r="AO142" s="22" t="s">
        <v>126</v>
      </c>
      <c r="AP142" s="23" t="s">
        <v>399</v>
      </c>
      <c r="AQ142" s="22" t="s">
        <v>100</v>
      </c>
      <c r="AR142" s="51" t="str">
        <f t="shared" si="131"/>
        <v>JD8B-F44858-AA</v>
      </c>
      <c r="AS142" s="3"/>
      <c r="AT142" s="22">
        <v>1</v>
      </c>
      <c r="AU142" s="22">
        <v>1</v>
      </c>
      <c r="AV142" s="22">
        <v>1</v>
      </c>
      <c r="AW142" s="22">
        <v>1</v>
      </c>
      <c r="AX142" s="22">
        <v>1</v>
      </c>
      <c r="AY142" s="22">
        <v>1</v>
      </c>
      <c r="AZ142" s="22">
        <v>1</v>
      </c>
      <c r="BA142" s="22">
        <v>1</v>
      </c>
      <c r="BB142" s="64">
        <f t="shared" si="132"/>
        <v>1</v>
      </c>
      <c r="BD142" s="60">
        <v>-1.1200000000000001</v>
      </c>
      <c r="BE142" s="60">
        <v>-0.11</v>
      </c>
      <c r="BF142" s="60">
        <v>-0.03</v>
      </c>
      <c r="BG142" s="60">
        <v>0</v>
      </c>
      <c r="BH142" s="60">
        <v>0</v>
      </c>
      <c r="BI142" s="8">
        <f t="shared" si="133"/>
        <v>-1.2600000000000002</v>
      </c>
      <c r="BJ142" s="2" t="s">
        <v>91</v>
      </c>
      <c r="BL142" s="71">
        <v>-62500</v>
      </c>
      <c r="BM142" s="71">
        <v>-62500</v>
      </c>
      <c r="BO142" s="71">
        <v>0</v>
      </c>
      <c r="BP142" s="71">
        <v>0</v>
      </c>
      <c r="BQ142" s="72">
        <v>0</v>
      </c>
      <c r="BS142" s="61">
        <f t="shared" si="114"/>
        <v>0</v>
      </c>
      <c r="BT142" s="61">
        <f t="shared" si="115"/>
        <v>0</v>
      </c>
      <c r="BU142" s="61">
        <f t="shared" si="116"/>
        <v>0</v>
      </c>
      <c r="BV142" s="61">
        <f t="shared" si="116"/>
        <v>0</v>
      </c>
      <c r="BW142" s="61">
        <f t="shared" si="116"/>
        <v>0</v>
      </c>
      <c r="BX142" s="61">
        <f t="shared" si="116"/>
        <v>0</v>
      </c>
      <c r="BY142" s="61" t="s">
        <v>91</v>
      </c>
      <c r="CA142" s="61">
        <f t="shared" si="138"/>
        <v>0</v>
      </c>
      <c r="CB142" s="61">
        <f t="shared" si="138"/>
        <v>0</v>
      </c>
      <c r="CC142" s="61">
        <f t="shared" si="138"/>
        <v>0</v>
      </c>
      <c r="CD142" s="61">
        <f t="shared" si="138"/>
        <v>0</v>
      </c>
      <c r="CE142" s="61">
        <f t="shared" si="138"/>
        <v>0</v>
      </c>
      <c r="CF142" s="61">
        <f t="shared" si="126"/>
        <v>0</v>
      </c>
      <c r="CG142" s="61">
        <f t="shared" si="126"/>
        <v>0</v>
      </c>
      <c r="CH142" s="61">
        <f t="shared" si="126"/>
        <v>0</v>
      </c>
      <c r="CI142" s="61">
        <f t="shared" si="134"/>
        <v>0</v>
      </c>
      <c r="CJ142" s="61"/>
      <c r="CK142" s="61">
        <f t="shared" si="139"/>
        <v>0</v>
      </c>
      <c r="CL142" s="61">
        <f t="shared" si="139"/>
        <v>0</v>
      </c>
      <c r="CM142" s="61">
        <f t="shared" si="139"/>
        <v>0</v>
      </c>
      <c r="CN142" s="61">
        <f t="shared" si="139"/>
        <v>0</v>
      </c>
      <c r="CO142" s="61">
        <f t="shared" si="139"/>
        <v>0</v>
      </c>
      <c r="CP142" s="61">
        <f t="shared" si="127"/>
        <v>0</v>
      </c>
      <c r="CQ142" s="61">
        <f t="shared" si="127"/>
        <v>0</v>
      </c>
      <c r="CR142" s="61">
        <f t="shared" si="127"/>
        <v>0</v>
      </c>
      <c r="CS142" s="61">
        <f t="shared" si="135"/>
        <v>0</v>
      </c>
      <c r="CT142" s="61">
        <f t="shared" si="136"/>
        <v>0</v>
      </c>
      <c r="CV142" s="61">
        <f t="shared" si="137"/>
        <v>0</v>
      </c>
      <c r="CW142" s="61">
        <f t="shared" si="96"/>
        <v>0</v>
      </c>
      <c r="CX142" s="61"/>
      <c r="CY142" s="61">
        <f t="shared" si="97"/>
        <v>0</v>
      </c>
      <c r="CZ142" s="61">
        <f t="shared" si="117"/>
        <v>0</v>
      </c>
      <c r="DA142" s="61">
        <f t="shared" si="117"/>
        <v>0</v>
      </c>
      <c r="DB142" s="2" t="s">
        <v>85</v>
      </c>
      <c r="DC142" s="2" t="s">
        <v>102</v>
      </c>
      <c r="DD142" s="2" t="s">
        <v>142</v>
      </c>
      <c r="DE142" s="2" t="s">
        <v>181</v>
      </c>
      <c r="DF142" s="3" t="s">
        <v>118</v>
      </c>
      <c r="DG142" s="62">
        <v>42800</v>
      </c>
      <c r="EC142" s="60"/>
      <c r="ED142" s="60"/>
      <c r="EE142" s="60"/>
      <c r="EF142" s="60"/>
    </row>
    <row r="143" spans="2:140" ht="12.75" hidden="1" customHeight="1">
      <c r="B143" s="93" t="s">
        <v>400</v>
      </c>
      <c r="C143" s="22" t="s">
        <v>393</v>
      </c>
      <c r="D143" s="22" t="s">
        <v>394</v>
      </c>
      <c r="E143" s="2" t="str">
        <f>VLOOKUP($C143,[1]Detail!$C:$AK,6,0)</f>
        <v>PMT1</v>
      </c>
      <c r="F143" s="2" t="str">
        <f>VLOOKUP($C143,[1]Detail!$C:$AK,7,0)</f>
        <v>TH</v>
      </c>
      <c r="G143" s="2" t="str">
        <f>VLOOKUP($C143,[1]Detail!$C:$AK,5,0)</f>
        <v>B</v>
      </c>
      <c r="J143" s="22" t="s">
        <v>126</v>
      </c>
      <c r="K143" s="23" t="s">
        <v>395</v>
      </c>
      <c r="L143" s="22" t="s">
        <v>132</v>
      </c>
      <c r="M143" s="51" t="str">
        <f t="shared" si="111"/>
        <v>JD8B-F42700-AB</v>
      </c>
      <c r="O143" s="22">
        <v>1</v>
      </c>
      <c r="P143" s="22">
        <v>1</v>
      </c>
      <c r="Q143" s="22">
        <v>1</v>
      </c>
      <c r="R143" s="22">
        <v>1</v>
      </c>
      <c r="S143" s="22">
        <v>1</v>
      </c>
      <c r="T143" s="22">
        <v>1</v>
      </c>
      <c r="U143" s="22">
        <v>1</v>
      </c>
      <c r="V143" s="22">
        <v>1</v>
      </c>
      <c r="W143" s="64">
        <f t="shared" si="112"/>
        <v>1</v>
      </c>
      <c r="Y143" s="60">
        <f>-38.98*0-39.31</f>
        <v>-39.31</v>
      </c>
      <c r="Z143" s="60">
        <v>-3.15</v>
      </c>
      <c r="AA143" s="60">
        <v>-2.13</v>
      </c>
      <c r="AB143" s="60">
        <v>0</v>
      </c>
      <c r="AC143" s="60">
        <v>-0.42</v>
      </c>
      <c r="AD143" s="8">
        <f t="shared" si="118"/>
        <v>-45.010000000000005</v>
      </c>
      <c r="AE143" s="2" t="s">
        <v>91</v>
      </c>
      <c r="AG143" s="71">
        <v>-1023000</v>
      </c>
      <c r="AH143" s="71">
        <f>AG143</f>
        <v>-1023000</v>
      </c>
      <c r="AI143" s="6"/>
      <c r="AJ143" s="71">
        <v>-242150</v>
      </c>
      <c r="AK143" s="71">
        <v>574899</v>
      </c>
      <c r="AL143" s="72">
        <v>0</v>
      </c>
      <c r="AM143" s="22"/>
      <c r="AO143" s="22" t="s">
        <v>126</v>
      </c>
      <c r="AP143" s="23" t="s">
        <v>395</v>
      </c>
      <c r="AQ143" s="22" t="s">
        <v>100</v>
      </c>
      <c r="AR143" s="51" t="str">
        <f t="shared" si="131"/>
        <v>JD8B-F42700-AA</v>
      </c>
      <c r="AS143" s="3"/>
      <c r="AT143" s="22">
        <v>1</v>
      </c>
      <c r="AU143" s="22">
        <v>1</v>
      </c>
      <c r="AV143" s="22">
        <v>1</v>
      </c>
      <c r="AW143" s="22">
        <v>1</v>
      </c>
      <c r="AX143" s="22">
        <v>1</v>
      </c>
      <c r="AY143" s="22">
        <v>1</v>
      </c>
      <c r="AZ143" s="22">
        <v>1</v>
      </c>
      <c r="BA143" s="22">
        <v>1</v>
      </c>
      <c r="BB143" s="64">
        <f t="shared" si="132"/>
        <v>1</v>
      </c>
      <c r="BD143" s="60">
        <f>-38.98*0-39.31</f>
        <v>-39.31</v>
      </c>
      <c r="BE143" s="60">
        <v>-3.15</v>
      </c>
      <c r="BF143" s="60">
        <v>-2.13</v>
      </c>
      <c r="BG143" s="60">
        <v>0</v>
      </c>
      <c r="BH143" s="60">
        <v>-0.42</v>
      </c>
      <c r="BI143" s="8">
        <f t="shared" si="133"/>
        <v>-45.010000000000005</v>
      </c>
      <c r="BJ143" s="2" t="s">
        <v>91</v>
      </c>
      <c r="BL143" s="71">
        <v>-1023000</v>
      </c>
      <c r="BM143" s="71">
        <f>BL143</f>
        <v>-1023000</v>
      </c>
      <c r="BO143" s="71">
        <v>-242150</v>
      </c>
      <c r="BP143" s="71">
        <v>574899</v>
      </c>
      <c r="BQ143" s="72">
        <v>0</v>
      </c>
      <c r="BS143" s="61">
        <f t="shared" si="114"/>
        <v>0</v>
      </c>
      <c r="BT143" s="61">
        <f t="shared" si="115"/>
        <v>0</v>
      </c>
      <c r="BU143" s="61">
        <f t="shared" si="116"/>
        <v>0</v>
      </c>
      <c r="BV143" s="61">
        <f t="shared" si="116"/>
        <v>0</v>
      </c>
      <c r="BW143" s="61">
        <f t="shared" si="116"/>
        <v>0</v>
      </c>
      <c r="BX143" s="61">
        <f t="shared" si="116"/>
        <v>0</v>
      </c>
      <c r="BY143" s="61" t="s">
        <v>91</v>
      </c>
      <c r="CA143" s="61">
        <f t="shared" si="138"/>
        <v>0</v>
      </c>
      <c r="CB143" s="61">
        <f t="shared" si="138"/>
        <v>0</v>
      </c>
      <c r="CC143" s="61">
        <f t="shared" si="138"/>
        <v>0</v>
      </c>
      <c r="CD143" s="61">
        <f t="shared" si="138"/>
        <v>0</v>
      </c>
      <c r="CE143" s="61">
        <f t="shared" si="138"/>
        <v>0</v>
      </c>
      <c r="CF143" s="61">
        <f t="shared" si="126"/>
        <v>0</v>
      </c>
      <c r="CG143" s="61">
        <f t="shared" si="126"/>
        <v>0</v>
      </c>
      <c r="CH143" s="61">
        <f t="shared" si="126"/>
        <v>0</v>
      </c>
      <c r="CI143" s="61">
        <f t="shared" si="134"/>
        <v>0</v>
      </c>
      <c r="CJ143" s="61"/>
      <c r="CK143" s="61">
        <f t="shared" si="139"/>
        <v>0</v>
      </c>
      <c r="CL143" s="61">
        <f t="shared" si="139"/>
        <v>0</v>
      </c>
      <c r="CM143" s="61">
        <f t="shared" si="139"/>
        <v>0</v>
      </c>
      <c r="CN143" s="61">
        <f t="shared" si="139"/>
        <v>0</v>
      </c>
      <c r="CO143" s="61">
        <f t="shared" si="139"/>
        <v>0</v>
      </c>
      <c r="CP143" s="61">
        <f t="shared" si="127"/>
        <v>0</v>
      </c>
      <c r="CQ143" s="61">
        <f t="shared" si="127"/>
        <v>0</v>
      </c>
      <c r="CR143" s="61">
        <f t="shared" si="127"/>
        <v>0</v>
      </c>
      <c r="CS143" s="61">
        <f t="shared" si="135"/>
        <v>0</v>
      </c>
      <c r="CT143" s="61">
        <f t="shared" si="136"/>
        <v>0</v>
      </c>
      <c r="CV143" s="61">
        <f t="shared" si="137"/>
        <v>0</v>
      </c>
      <c r="CW143" s="61">
        <f t="shared" si="96"/>
        <v>0</v>
      </c>
      <c r="CX143" s="61"/>
      <c r="CY143" s="61">
        <f t="shared" si="97"/>
        <v>0</v>
      </c>
      <c r="CZ143" s="61">
        <f t="shared" si="117"/>
        <v>0</v>
      </c>
      <c r="DA143" s="61">
        <f t="shared" si="117"/>
        <v>0</v>
      </c>
      <c r="DB143" s="2" t="s">
        <v>85</v>
      </c>
      <c r="DC143" s="2" t="s">
        <v>85</v>
      </c>
      <c r="DD143" s="2" t="s">
        <v>142</v>
      </c>
      <c r="DE143" s="2" t="s">
        <v>181</v>
      </c>
      <c r="DF143" s="3" t="s">
        <v>86</v>
      </c>
      <c r="DG143" s="62">
        <v>42833</v>
      </c>
      <c r="EC143" s="60"/>
      <c r="ED143" s="60"/>
      <c r="EE143" s="60"/>
      <c r="EF143" s="60"/>
    </row>
    <row r="144" spans="2:140" ht="12.75" hidden="1" customHeight="1">
      <c r="B144" s="93" t="s">
        <v>400</v>
      </c>
      <c r="C144" s="22" t="s">
        <v>393</v>
      </c>
      <c r="D144" s="22" t="s">
        <v>394</v>
      </c>
      <c r="E144" s="2" t="str">
        <f>VLOOKUP($C144,[1]Detail!$C:$AK,6,0)</f>
        <v>PMT1</v>
      </c>
      <c r="F144" s="2" t="str">
        <f>VLOOKUP($C144,[1]Detail!$C:$AK,7,0)</f>
        <v>TH</v>
      </c>
      <c r="G144" s="2" t="str">
        <f>VLOOKUP($C144,[1]Detail!$C:$AK,5,0)</f>
        <v>B</v>
      </c>
      <c r="J144" s="22" t="s">
        <v>126</v>
      </c>
      <c r="K144" s="23" t="s">
        <v>396</v>
      </c>
      <c r="L144" s="22" t="s">
        <v>132</v>
      </c>
      <c r="M144" s="51" t="str">
        <f t="shared" si="111"/>
        <v>JD8B-F42701-AB</v>
      </c>
      <c r="O144" s="22">
        <v>1</v>
      </c>
      <c r="P144" s="22">
        <v>1</v>
      </c>
      <c r="Q144" s="22">
        <v>1</v>
      </c>
      <c r="R144" s="22">
        <v>1</v>
      </c>
      <c r="S144" s="22">
        <v>1</v>
      </c>
      <c r="T144" s="22">
        <v>1</v>
      </c>
      <c r="U144" s="22">
        <v>1</v>
      </c>
      <c r="V144" s="22">
        <v>1</v>
      </c>
      <c r="W144" s="64">
        <f t="shared" si="112"/>
        <v>1</v>
      </c>
      <c r="Y144" s="60">
        <f>-38.98*0-39.31</f>
        <v>-39.31</v>
      </c>
      <c r="Z144" s="60">
        <v>-3.15</v>
      </c>
      <c r="AA144" s="60">
        <v>-2.13</v>
      </c>
      <c r="AB144" s="60">
        <v>0</v>
      </c>
      <c r="AC144" s="60">
        <v>-0.42</v>
      </c>
      <c r="AD144" s="8">
        <f t="shared" si="118"/>
        <v>-45.010000000000005</v>
      </c>
      <c r="AE144" s="2" t="s">
        <v>91</v>
      </c>
      <c r="AG144" s="71">
        <v>-1023000</v>
      </c>
      <c r="AH144" s="71">
        <f>AG144</f>
        <v>-1023000</v>
      </c>
      <c r="AI144" s="6"/>
      <c r="AJ144" s="71">
        <v>-242150</v>
      </c>
      <c r="AK144" s="71">
        <v>574899</v>
      </c>
      <c r="AL144" s="72">
        <v>0</v>
      </c>
      <c r="AM144" s="22"/>
      <c r="AO144" s="22" t="s">
        <v>126</v>
      </c>
      <c r="AP144" s="23" t="s">
        <v>396</v>
      </c>
      <c r="AQ144" s="22" t="s">
        <v>100</v>
      </c>
      <c r="AR144" s="51" t="str">
        <f t="shared" si="131"/>
        <v>JD8B-F42701-AA</v>
      </c>
      <c r="AS144" s="3"/>
      <c r="AT144" s="22">
        <v>1</v>
      </c>
      <c r="AU144" s="22">
        <v>1</v>
      </c>
      <c r="AV144" s="22">
        <v>1</v>
      </c>
      <c r="AW144" s="22">
        <v>1</v>
      </c>
      <c r="AX144" s="22">
        <v>1</v>
      </c>
      <c r="AY144" s="22">
        <v>1</v>
      </c>
      <c r="AZ144" s="22">
        <v>1</v>
      </c>
      <c r="BA144" s="22">
        <v>1</v>
      </c>
      <c r="BB144" s="64">
        <f t="shared" si="132"/>
        <v>1</v>
      </c>
      <c r="BD144" s="60">
        <f>-38.98*0-39.31</f>
        <v>-39.31</v>
      </c>
      <c r="BE144" s="60">
        <v>-3.15</v>
      </c>
      <c r="BF144" s="60">
        <v>-2.13</v>
      </c>
      <c r="BG144" s="60">
        <v>0</v>
      </c>
      <c r="BH144" s="60">
        <v>-0.42</v>
      </c>
      <c r="BI144" s="8">
        <f t="shared" si="133"/>
        <v>-45.010000000000005</v>
      </c>
      <c r="BJ144" s="2" t="s">
        <v>91</v>
      </c>
      <c r="BL144" s="71">
        <v>-1023000</v>
      </c>
      <c r="BM144" s="71">
        <f>BL144</f>
        <v>-1023000</v>
      </c>
      <c r="BO144" s="71">
        <v>-242150</v>
      </c>
      <c r="BP144" s="71">
        <v>574899</v>
      </c>
      <c r="BQ144" s="72">
        <v>0</v>
      </c>
      <c r="BS144" s="61">
        <f t="shared" si="114"/>
        <v>0</v>
      </c>
      <c r="BT144" s="61">
        <f t="shared" si="115"/>
        <v>0</v>
      </c>
      <c r="BU144" s="61">
        <f t="shared" si="116"/>
        <v>0</v>
      </c>
      <c r="BV144" s="61">
        <f t="shared" si="116"/>
        <v>0</v>
      </c>
      <c r="BW144" s="61">
        <f t="shared" si="116"/>
        <v>0</v>
      </c>
      <c r="BX144" s="61">
        <f t="shared" si="116"/>
        <v>0</v>
      </c>
      <c r="BY144" s="61" t="s">
        <v>91</v>
      </c>
      <c r="CA144" s="61">
        <f t="shared" si="138"/>
        <v>0</v>
      </c>
      <c r="CB144" s="61">
        <f t="shared" si="138"/>
        <v>0</v>
      </c>
      <c r="CC144" s="61">
        <f t="shared" si="138"/>
        <v>0</v>
      </c>
      <c r="CD144" s="61">
        <f t="shared" si="138"/>
        <v>0</v>
      </c>
      <c r="CE144" s="61">
        <f t="shared" si="138"/>
        <v>0</v>
      </c>
      <c r="CF144" s="61">
        <f t="shared" si="126"/>
        <v>0</v>
      </c>
      <c r="CG144" s="61">
        <f t="shared" si="126"/>
        <v>0</v>
      </c>
      <c r="CH144" s="61">
        <f t="shared" si="126"/>
        <v>0</v>
      </c>
      <c r="CI144" s="61">
        <f t="shared" si="134"/>
        <v>0</v>
      </c>
      <c r="CJ144" s="61"/>
      <c r="CK144" s="61">
        <f t="shared" si="139"/>
        <v>0</v>
      </c>
      <c r="CL144" s="61">
        <f t="shared" si="139"/>
        <v>0</v>
      </c>
      <c r="CM144" s="61">
        <f t="shared" si="139"/>
        <v>0</v>
      </c>
      <c r="CN144" s="61">
        <f t="shared" si="139"/>
        <v>0</v>
      </c>
      <c r="CO144" s="61">
        <f t="shared" si="139"/>
        <v>0</v>
      </c>
      <c r="CP144" s="61">
        <f t="shared" si="127"/>
        <v>0</v>
      </c>
      <c r="CQ144" s="61">
        <f t="shared" si="127"/>
        <v>0</v>
      </c>
      <c r="CR144" s="61">
        <f t="shared" si="127"/>
        <v>0</v>
      </c>
      <c r="CS144" s="61">
        <f t="shared" si="135"/>
        <v>0</v>
      </c>
      <c r="CT144" s="61">
        <f t="shared" si="136"/>
        <v>0</v>
      </c>
      <c r="CV144" s="61">
        <f t="shared" si="137"/>
        <v>0</v>
      </c>
      <c r="CW144" s="61">
        <f t="shared" si="96"/>
        <v>0</v>
      </c>
      <c r="CX144" s="61"/>
      <c r="CY144" s="61">
        <f t="shared" si="97"/>
        <v>0</v>
      </c>
      <c r="CZ144" s="61">
        <f t="shared" si="117"/>
        <v>0</v>
      </c>
      <c r="DA144" s="61">
        <f t="shared" si="117"/>
        <v>0</v>
      </c>
      <c r="DB144" s="2" t="s">
        <v>85</v>
      </c>
      <c r="DC144" s="2" t="s">
        <v>85</v>
      </c>
      <c r="DD144" s="2" t="s">
        <v>142</v>
      </c>
      <c r="DE144" s="2" t="s">
        <v>181</v>
      </c>
      <c r="DF144" s="3" t="s">
        <v>86</v>
      </c>
      <c r="DG144" s="62">
        <v>42833</v>
      </c>
      <c r="EC144" s="60"/>
      <c r="ED144" s="60"/>
      <c r="EE144" s="60"/>
      <c r="EF144" s="60"/>
    </row>
    <row r="145" spans="2:140" ht="12.75" hidden="1" customHeight="1">
      <c r="B145" s="93" t="s">
        <v>401</v>
      </c>
      <c r="C145" s="22" t="s">
        <v>402</v>
      </c>
      <c r="D145" s="22" t="s">
        <v>403</v>
      </c>
      <c r="E145" s="2" t="str">
        <f>VLOOKUP($C145,[1]Detail!$C:$AK,6,0)</f>
        <v>PMT1</v>
      </c>
      <c r="F145" s="2" t="str">
        <f>VLOOKUP($C145,[1]Detail!$C:$AK,7,0)</f>
        <v>TH</v>
      </c>
      <c r="G145" s="2" t="str">
        <f>VLOOKUP($C145,[1]Detail!$C:$AK,5,0)</f>
        <v>D</v>
      </c>
      <c r="J145" s="22" t="s">
        <v>126</v>
      </c>
      <c r="K145" s="23" t="s">
        <v>404</v>
      </c>
      <c r="L145" s="22" t="s">
        <v>100</v>
      </c>
      <c r="M145" s="51" t="str">
        <f t="shared" si="111"/>
        <v>JD8B-132K14-AA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1</v>
      </c>
      <c r="V145" s="22">
        <v>1</v>
      </c>
      <c r="W145" s="64">
        <f t="shared" si="112"/>
        <v>0.1</v>
      </c>
      <c r="Y145" s="60">
        <v>-9.7799999999999994</v>
      </c>
      <c r="Z145" s="60">
        <v>-0.32</v>
      </c>
      <c r="AA145" s="60">
        <v>-0.3</v>
      </c>
      <c r="AB145" s="60">
        <v>0</v>
      </c>
      <c r="AC145" s="60">
        <v>0</v>
      </c>
      <c r="AD145" s="8">
        <f t="shared" si="118"/>
        <v>-10.4</v>
      </c>
      <c r="AE145" s="2" t="s">
        <v>91</v>
      </c>
      <c r="AG145" s="71">
        <v>-91000</v>
      </c>
      <c r="AH145" s="71">
        <v>-91000</v>
      </c>
      <c r="AI145" s="6"/>
      <c r="AJ145" s="71">
        <v>0</v>
      </c>
      <c r="AK145" s="71">
        <v>0</v>
      </c>
      <c r="AL145" s="72">
        <v>0</v>
      </c>
      <c r="AM145" s="22"/>
      <c r="AO145" s="22" t="s">
        <v>126</v>
      </c>
      <c r="AP145" s="23" t="s">
        <v>404</v>
      </c>
      <c r="AQ145" s="22" t="s">
        <v>100</v>
      </c>
      <c r="AR145" s="51" t="str">
        <f t="shared" si="131"/>
        <v>JD8B-132K14-AA</v>
      </c>
      <c r="AS145" s="3"/>
      <c r="AT145" s="22">
        <v>0</v>
      </c>
      <c r="AU145" s="22">
        <v>0</v>
      </c>
      <c r="AV145" s="22">
        <v>0</v>
      </c>
      <c r="AW145" s="22">
        <v>0</v>
      </c>
      <c r="AX145" s="22">
        <v>0</v>
      </c>
      <c r="AY145" s="22">
        <v>0</v>
      </c>
      <c r="AZ145" s="22">
        <v>1</v>
      </c>
      <c r="BA145" s="22">
        <v>1</v>
      </c>
      <c r="BB145" s="64">
        <f t="shared" si="132"/>
        <v>0.1</v>
      </c>
      <c r="BD145" s="60">
        <v>-9.7799999999999994</v>
      </c>
      <c r="BE145" s="60">
        <v>-0.32</v>
      </c>
      <c r="BF145" s="60">
        <v>-0.3</v>
      </c>
      <c r="BG145" s="60">
        <v>0</v>
      </c>
      <c r="BH145" s="60">
        <v>0</v>
      </c>
      <c r="BI145" s="8">
        <f t="shared" si="133"/>
        <v>-10.4</v>
      </c>
      <c r="BJ145" s="2" t="s">
        <v>91</v>
      </c>
      <c r="BL145" s="71">
        <v>-91000</v>
      </c>
      <c r="BM145" s="71">
        <v>-91000</v>
      </c>
      <c r="BO145" s="71">
        <v>0</v>
      </c>
      <c r="BP145" s="71">
        <v>0</v>
      </c>
      <c r="BQ145" s="72">
        <v>0</v>
      </c>
      <c r="BS145" s="61">
        <f t="shared" si="114"/>
        <v>0</v>
      </c>
      <c r="BT145" s="61">
        <f t="shared" si="115"/>
        <v>0</v>
      </c>
      <c r="BU145" s="61">
        <f t="shared" si="116"/>
        <v>0</v>
      </c>
      <c r="BV145" s="61">
        <f t="shared" si="116"/>
        <v>0</v>
      </c>
      <c r="BW145" s="61">
        <f t="shared" si="116"/>
        <v>0</v>
      </c>
      <c r="BX145" s="61">
        <f t="shared" si="116"/>
        <v>0</v>
      </c>
      <c r="BY145" s="61" t="s">
        <v>91</v>
      </c>
      <c r="CA145" s="61">
        <f t="shared" si="138"/>
        <v>0</v>
      </c>
      <c r="CB145" s="61">
        <f t="shared" si="138"/>
        <v>0</v>
      </c>
      <c r="CC145" s="61">
        <f t="shared" si="138"/>
        <v>0</v>
      </c>
      <c r="CD145" s="61">
        <f t="shared" si="138"/>
        <v>0</v>
      </c>
      <c r="CE145" s="61">
        <f t="shared" si="138"/>
        <v>0</v>
      </c>
      <c r="CF145" s="61">
        <f t="shared" si="126"/>
        <v>0</v>
      </c>
      <c r="CG145" s="61">
        <f t="shared" si="126"/>
        <v>0</v>
      </c>
      <c r="CH145" s="61">
        <f t="shared" si="126"/>
        <v>0</v>
      </c>
      <c r="CI145" s="61">
        <f t="shared" si="134"/>
        <v>0</v>
      </c>
      <c r="CJ145" s="61"/>
      <c r="CK145" s="61">
        <f t="shared" si="139"/>
        <v>0</v>
      </c>
      <c r="CL145" s="61">
        <f t="shared" si="139"/>
        <v>0</v>
      </c>
      <c r="CM145" s="61">
        <f t="shared" si="139"/>
        <v>0</v>
      </c>
      <c r="CN145" s="61">
        <f t="shared" si="139"/>
        <v>0</v>
      </c>
      <c r="CO145" s="61">
        <f t="shared" si="139"/>
        <v>0</v>
      </c>
      <c r="CP145" s="61">
        <f t="shared" si="127"/>
        <v>0</v>
      </c>
      <c r="CQ145" s="61">
        <f t="shared" si="127"/>
        <v>0</v>
      </c>
      <c r="CR145" s="61">
        <f t="shared" si="127"/>
        <v>0</v>
      </c>
      <c r="CS145" s="61">
        <f t="shared" si="135"/>
        <v>0</v>
      </c>
      <c r="CT145" s="61">
        <f t="shared" si="136"/>
        <v>0</v>
      </c>
      <c r="CV145" s="61">
        <f t="shared" si="137"/>
        <v>0</v>
      </c>
      <c r="CW145" s="61">
        <f t="shared" si="96"/>
        <v>0</v>
      </c>
      <c r="CX145" s="61"/>
      <c r="CY145" s="61">
        <f t="shared" si="97"/>
        <v>0</v>
      </c>
      <c r="CZ145" s="61">
        <f t="shared" si="117"/>
        <v>0</v>
      </c>
      <c r="DA145" s="61">
        <f t="shared" si="117"/>
        <v>0</v>
      </c>
      <c r="DB145" s="2" t="s">
        <v>85</v>
      </c>
      <c r="DC145" s="2" t="s">
        <v>102</v>
      </c>
      <c r="DD145" s="2" t="s">
        <v>142</v>
      </c>
      <c r="DE145" s="2" t="s">
        <v>181</v>
      </c>
      <c r="DF145" s="3" t="s">
        <v>118</v>
      </c>
      <c r="DG145" s="62">
        <v>42789</v>
      </c>
      <c r="EC145" s="60"/>
      <c r="ED145" s="60"/>
      <c r="EE145" s="60"/>
      <c r="EF145" s="60"/>
    </row>
    <row r="146" spans="2:140" ht="12.75" hidden="1" customHeight="1">
      <c r="B146" s="93" t="s">
        <v>401</v>
      </c>
      <c r="C146" s="22" t="s">
        <v>405</v>
      </c>
      <c r="D146" s="22" t="s">
        <v>403</v>
      </c>
      <c r="E146" s="2" t="str">
        <f>VLOOKUP($C146,[1]Detail!$C:$AK,6,0)</f>
        <v>PMT1</v>
      </c>
      <c r="F146" s="2" t="str">
        <f>VLOOKUP($C146,[1]Detail!$C:$AK,7,0)</f>
        <v>TH</v>
      </c>
      <c r="G146" s="2" t="str">
        <f>VLOOKUP($C146,[1]Detail!$C:$AK,5,0)</f>
        <v>D</v>
      </c>
      <c r="J146" s="22" t="s">
        <v>126</v>
      </c>
      <c r="K146" s="23" t="s">
        <v>406</v>
      </c>
      <c r="L146" s="22" t="s">
        <v>100</v>
      </c>
      <c r="M146" s="51" t="str">
        <f t="shared" si="111"/>
        <v>JD8B-132K15-AA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1</v>
      </c>
      <c r="V146" s="22">
        <v>1</v>
      </c>
      <c r="W146" s="64">
        <f t="shared" si="112"/>
        <v>0.1</v>
      </c>
      <c r="Y146" s="60">
        <v>-9.7799999999999994</v>
      </c>
      <c r="Z146" s="60">
        <v>-0.32</v>
      </c>
      <c r="AA146" s="60">
        <v>-0.3</v>
      </c>
      <c r="AB146" s="60">
        <v>0</v>
      </c>
      <c r="AC146" s="60">
        <v>0</v>
      </c>
      <c r="AD146" s="8">
        <f t="shared" si="118"/>
        <v>-10.4</v>
      </c>
      <c r="AE146" s="2" t="s">
        <v>91</v>
      </c>
      <c r="AG146" s="71">
        <v>0</v>
      </c>
      <c r="AH146" s="71">
        <v>0</v>
      </c>
      <c r="AJ146" s="71">
        <v>0</v>
      </c>
      <c r="AK146" s="71">
        <v>0</v>
      </c>
      <c r="AL146" s="72">
        <v>0</v>
      </c>
      <c r="AM146" s="22"/>
      <c r="AO146" s="22" t="s">
        <v>126</v>
      </c>
      <c r="AP146" s="23" t="s">
        <v>406</v>
      </c>
      <c r="AQ146" s="22" t="s">
        <v>100</v>
      </c>
      <c r="AR146" s="51" t="str">
        <f t="shared" si="131"/>
        <v>JD8B-132K15-AA</v>
      </c>
      <c r="AS146" s="3"/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0</v>
      </c>
      <c r="AZ146" s="22">
        <v>1</v>
      </c>
      <c r="BA146" s="22">
        <v>1</v>
      </c>
      <c r="BB146" s="64">
        <f t="shared" si="132"/>
        <v>0.1</v>
      </c>
      <c r="BD146" s="60">
        <v>-9.7799999999999994</v>
      </c>
      <c r="BE146" s="60">
        <v>-0.32</v>
      </c>
      <c r="BF146" s="60">
        <v>-0.3</v>
      </c>
      <c r="BG146" s="60">
        <v>0</v>
      </c>
      <c r="BH146" s="60">
        <v>0</v>
      </c>
      <c r="BI146" s="8">
        <f t="shared" si="133"/>
        <v>-10.4</v>
      </c>
      <c r="BJ146" s="2" t="s">
        <v>91</v>
      </c>
      <c r="BL146" s="71">
        <v>0</v>
      </c>
      <c r="BM146" s="71">
        <v>0</v>
      </c>
      <c r="BO146" s="71">
        <v>0</v>
      </c>
      <c r="BP146" s="71">
        <v>0</v>
      </c>
      <c r="BQ146" s="72">
        <v>0</v>
      </c>
      <c r="BS146" s="61">
        <f t="shared" si="114"/>
        <v>0</v>
      </c>
      <c r="BT146" s="61">
        <f t="shared" si="115"/>
        <v>0</v>
      </c>
      <c r="BU146" s="61">
        <f t="shared" si="116"/>
        <v>0</v>
      </c>
      <c r="BV146" s="61">
        <f t="shared" si="116"/>
        <v>0</v>
      </c>
      <c r="BW146" s="61">
        <f t="shared" si="116"/>
        <v>0</v>
      </c>
      <c r="BX146" s="61">
        <f t="shared" si="116"/>
        <v>0</v>
      </c>
      <c r="BY146" s="61" t="s">
        <v>91</v>
      </c>
      <c r="CA146" s="61">
        <f t="shared" si="138"/>
        <v>0</v>
      </c>
      <c r="CB146" s="61">
        <f t="shared" si="138"/>
        <v>0</v>
      </c>
      <c r="CC146" s="61">
        <f t="shared" si="138"/>
        <v>0</v>
      </c>
      <c r="CD146" s="61">
        <f t="shared" si="138"/>
        <v>0</v>
      </c>
      <c r="CE146" s="61">
        <f t="shared" si="138"/>
        <v>0</v>
      </c>
      <c r="CF146" s="61">
        <f t="shared" si="126"/>
        <v>0</v>
      </c>
      <c r="CG146" s="61">
        <f t="shared" si="126"/>
        <v>0</v>
      </c>
      <c r="CH146" s="61">
        <f t="shared" si="126"/>
        <v>0</v>
      </c>
      <c r="CI146" s="61">
        <f t="shared" si="134"/>
        <v>0</v>
      </c>
      <c r="CJ146" s="61"/>
      <c r="CK146" s="61">
        <f t="shared" si="139"/>
        <v>0</v>
      </c>
      <c r="CL146" s="61">
        <f t="shared" si="139"/>
        <v>0</v>
      </c>
      <c r="CM146" s="61">
        <f t="shared" si="139"/>
        <v>0</v>
      </c>
      <c r="CN146" s="61">
        <f t="shared" si="139"/>
        <v>0</v>
      </c>
      <c r="CO146" s="61">
        <f t="shared" si="139"/>
        <v>0</v>
      </c>
      <c r="CP146" s="61">
        <f t="shared" si="127"/>
        <v>0</v>
      </c>
      <c r="CQ146" s="61">
        <f t="shared" si="127"/>
        <v>0</v>
      </c>
      <c r="CR146" s="61">
        <f t="shared" si="127"/>
        <v>0</v>
      </c>
      <c r="CS146" s="61">
        <f t="shared" si="135"/>
        <v>0</v>
      </c>
      <c r="CT146" s="61">
        <f t="shared" si="136"/>
        <v>0</v>
      </c>
      <c r="CV146" s="61">
        <f t="shared" si="137"/>
        <v>0</v>
      </c>
      <c r="CW146" s="61">
        <f t="shared" si="96"/>
        <v>0</v>
      </c>
      <c r="CX146" s="61"/>
      <c r="CY146" s="61">
        <f t="shared" si="97"/>
        <v>0</v>
      </c>
      <c r="CZ146" s="61">
        <f t="shared" si="117"/>
        <v>0</v>
      </c>
      <c r="DA146" s="61">
        <f t="shared" si="117"/>
        <v>0</v>
      </c>
      <c r="DB146" s="2" t="s">
        <v>85</v>
      </c>
      <c r="DC146" s="2" t="s">
        <v>102</v>
      </c>
      <c r="DD146" s="2" t="s">
        <v>142</v>
      </c>
      <c r="DE146" s="2" t="s">
        <v>181</v>
      </c>
      <c r="DF146" s="3" t="s">
        <v>118</v>
      </c>
      <c r="DG146" s="62">
        <v>42789</v>
      </c>
      <c r="EC146" s="60"/>
      <c r="ED146" s="60"/>
      <c r="EE146" s="60"/>
      <c r="EF146" s="60"/>
    </row>
    <row r="147" spans="2:140" ht="12.75" hidden="1" customHeight="1">
      <c r="B147" s="93" t="s">
        <v>401</v>
      </c>
      <c r="C147" s="22" t="s">
        <v>405</v>
      </c>
      <c r="D147" s="22" t="s">
        <v>403</v>
      </c>
      <c r="E147" s="2" t="str">
        <f>VLOOKUP($C147,[1]Detail!$C:$AK,6,0)</f>
        <v>PMT1</v>
      </c>
      <c r="F147" s="2" t="str">
        <f>VLOOKUP($C147,[1]Detail!$C:$AK,7,0)</f>
        <v>TH</v>
      </c>
      <c r="G147" s="2" t="str">
        <f>VLOOKUP($C147,[1]Detail!$C:$AK,5,0)</f>
        <v>D</v>
      </c>
      <c r="J147" s="22" t="s">
        <v>126</v>
      </c>
      <c r="K147" s="23">
        <v>13228</v>
      </c>
      <c r="L147" s="22" t="s">
        <v>100</v>
      </c>
      <c r="M147" s="51" t="str">
        <f t="shared" si="111"/>
        <v>JD8B-13228-AA</v>
      </c>
      <c r="O147" s="94">
        <v>0</v>
      </c>
      <c r="P147" s="94">
        <v>0</v>
      </c>
      <c r="Q147" s="94">
        <v>0</v>
      </c>
      <c r="R147" s="94">
        <v>0</v>
      </c>
      <c r="S147" s="94">
        <v>0</v>
      </c>
      <c r="T147" s="94">
        <v>0</v>
      </c>
      <c r="U147" s="94">
        <v>1</v>
      </c>
      <c r="V147" s="94">
        <v>1</v>
      </c>
      <c r="W147" s="64">
        <f t="shared" si="112"/>
        <v>0.1</v>
      </c>
      <c r="Y147" s="60">
        <v>-7.23</v>
      </c>
      <c r="Z147" s="60">
        <v>-0.22</v>
      </c>
      <c r="AA147" s="60">
        <v>-0.2</v>
      </c>
      <c r="AB147" s="60">
        <v>0</v>
      </c>
      <c r="AC147" s="60">
        <v>0</v>
      </c>
      <c r="AD147" s="8">
        <f t="shared" si="118"/>
        <v>-7.65</v>
      </c>
      <c r="AE147" s="2" t="s">
        <v>91</v>
      </c>
      <c r="AG147" s="71">
        <v>-71000</v>
      </c>
      <c r="AH147" s="71">
        <v>-71000</v>
      </c>
      <c r="AI147" s="6"/>
      <c r="AJ147" s="71">
        <v>0</v>
      </c>
      <c r="AK147" s="71">
        <v>0</v>
      </c>
      <c r="AL147" s="72">
        <v>0</v>
      </c>
      <c r="AM147" s="22"/>
      <c r="AO147" s="22" t="s">
        <v>126</v>
      </c>
      <c r="AP147" s="23">
        <v>13228</v>
      </c>
      <c r="AQ147" s="22" t="s">
        <v>100</v>
      </c>
      <c r="AR147" s="51" t="str">
        <f t="shared" si="131"/>
        <v>JD8B-13228-AA</v>
      </c>
      <c r="AS147" s="3"/>
      <c r="AT147" s="22">
        <v>0</v>
      </c>
      <c r="AU147" s="22">
        <v>0</v>
      </c>
      <c r="AV147" s="22">
        <v>0</v>
      </c>
      <c r="AW147" s="22">
        <v>0</v>
      </c>
      <c r="AX147" s="22">
        <v>0</v>
      </c>
      <c r="AY147" s="22">
        <v>0</v>
      </c>
      <c r="AZ147" s="22">
        <v>1</v>
      </c>
      <c r="BA147" s="22">
        <v>1</v>
      </c>
      <c r="BB147" s="64">
        <f t="shared" si="132"/>
        <v>0.1</v>
      </c>
      <c r="BD147" s="60">
        <v>-7.23</v>
      </c>
      <c r="BE147" s="60">
        <v>-0.22</v>
      </c>
      <c r="BF147" s="60">
        <v>-0.2</v>
      </c>
      <c r="BG147" s="60">
        <v>0</v>
      </c>
      <c r="BH147" s="60">
        <v>0</v>
      </c>
      <c r="BI147" s="8">
        <f t="shared" si="133"/>
        <v>-7.65</v>
      </c>
      <c r="BJ147" s="2" t="s">
        <v>91</v>
      </c>
      <c r="BL147" s="71">
        <v>-71000</v>
      </c>
      <c r="BM147" s="71">
        <v>-71000</v>
      </c>
      <c r="BO147" s="71">
        <v>0</v>
      </c>
      <c r="BP147" s="71">
        <v>0</v>
      </c>
      <c r="BQ147" s="72">
        <v>0</v>
      </c>
      <c r="BS147" s="61">
        <f t="shared" si="114"/>
        <v>0</v>
      </c>
      <c r="BT147" s="61">
        <f t="shared" si="115"/>
        <v>0</v>
      </c>
      <c r="BU147" s="61">
        <f t="shared" si="116"/>
        <v>0</v>
      </c>
      <c r="BV147" s="61">
        <f t="shared" si="116"/>
        <v>0</v>
      </c>
      <c r="BW147" s="61">
        <f t="shared" si="116"/>
        <v>0</v>
      </c>
      <c r="BX147" s="61">
        <f t="shared" si="116"/>
        <v>0</v>
      </c>
      <c r="BY147" s="61" t="s">
        <v>91</v>
      </c>
      <c r="CA147" s="61">
        <f t="shared" si="138"/>
        <v>0</v>
      </c>
      <c r="CB147" s="61">
        <f t="shared" si="138"/>
        <v>0</v>
      </c>
      <c r="CC147" s="61">
        <f t="shared" si="138"/>
        <v>0</v>
      </c>
      <c r="CD147" s="61">
        <f t="shared" si="138"/>
        <v>0</v>
      </c>
      <c r="CE147" s="61">
        <f t="shared" si="138"/>
        <v>0</v>
      </c>
      <c r="CF147" s="61">
        <f t="shared" si="126"/>
        <v>0</v>
      </c>
      <c r="CG147" s="61">
        <f t="shared" si="126"/>
        <v>0</v>
      </c>
      <c r="CH147" s="61">
        <f t="shared" si="126"/>
        <v>0</v>
      </c>
      <c r="CI147" s="61">
        <f t="shared" si="134"/>
        <v>0</v>
      </c>
      <c r="CJ147" s="61"/>
      <c r="CK147" s="61">
        <f t="shared" si="139"/>
        <v>0</v>
      </c>
      <c r="CL147" s="61">
        <f t="shared" si="139"/>
        <v>0</v>
      </c>
      <c r="CM147" s="61">
        <f t="shared" si="139"/>
        <v>0</v>
      </c>
      <c r="CN147" s="61">
        <f t="shared" si="139"/>
        <v>0</v>
      </c>
      <c r="CO147" s="61">
        <f t="shared" si="139"/>
        <v>0</v>
      </c>
      <c r="CP147" s="61">
        <f t="shared" si="127"/>
        <v>0</v>
      </c>
      <c r="CQ147" s="61">
        <f t="shared" si="127"/>
        <v>0</v>
      </c>
      <c r="CR147" s="61">
        <f t="shared" si="127"/>
        <v>0</v>
      </c>
      <c r="CS147" s="61">
        <f t="shared" si="135"/>
        <v>0</v>
      </c>
      <c r="CT147" s="61">
        <f t="shared" si="136"/>
        <v>0</v>
      </c>
      <c r="CV147" s="61">
        <f t="shared" si="137"/>
        <v>0</v>
      </c>
      <c r="CW147" s="61">
        <f t="shared" si="96"/>
        <v>0</v>
      </c>
      <c r="CX147" s="61"/>
      <c r="CY147" s="61">
        <f t="shared" si="97"/>
        <v>0</v>
      </c>
      <c r="CZ147" s="61">
        <f t="shared" si="117"/>
        <v>0</v>
      </c>
      <c r="DA147" s="61">
        <f t="shared" si="117"/>
        <v>0</v>
      </c>
      <c r="DB147" s="2" t="s">
        <v>85</v>
      </c>
      <c r="DC147" s="2" t="s">
        <v>102</v>
      </c>
      <c r="DD147" s="2" t="s">
        <v>142</v>
      </c>
      <c r="DE147" s="2" t="s">
        <v>181</v>
      </c>
      <c r="DF147" s="3" t="s">
        <v>118</v>
      </c>
      <c r="DG147" s="62">
        <v>42789</v>
      </c>
      <c r="EC147" s="60"/>
      <c r="ED147" s="60"/>
      <c r="EE147" s="60"/>
      <c r="EF147" s="60"/>
    </row>
    <row r="148" spans="2:140" ht="12.75" hidden="1" customHeight="1">
      <c r="B148" s="93" t="s">
        <v>401</v>
      </c>
      <c r="C148" s="22" t="s">
        <v>405</v>
      </c>
      <c r="D148" s="22" t="s">
        <v>407</v>
      </c>
      <c r="E148" s="2" t="str">
        <f>VLOOKUP($C148,[1]Detail!$C:$AK,6,0)</f>
        <v>PMT1</v>
      </c>
      <c r="F148" s="2" t="str">
        <f>VLOOKUP($C148,[1]Detail!$C:$AK,7,0)</f>
        <v>TH</v>
      </c>
      <c r="G148" s="2" t="str">
        <f>VLOOKUP($C148,[1]Detail!$C:$AK,5,0)</f>
        <v>D</v>
      </c>
      <c r="J148" s="22" t="s">
        <v>126</v>
      </c>
      <c r="K148" s="23">
        <v>13229</v>
      </c>
      <c r="L148" s="22" t="s">
        <v>100</v>
      </c>
      <c r="M148" s="51" t="str">
        <f t="shared" si="111"/>
        <v>JD8B-13229-AA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1</v>
      </c>
      <c r="V148" s="94">
        <v>1</v>
      </c>
      <c r="W148" s="64">
        <f t="shared" si="112"/>
        <v>0.1</v>
      </c>
      <c r="Y148" s="60">
        <v>-7.23</v>
      </c>
      <c r="Z148" s="60">
        <v>-0.22</v>
      </c>
      <c r="AA148" s="60">
        <v>-0.2</v>
      </c>
      <c r="AB148" s="60">
        <v>0</v>
      </c>
      <c r="AC148" s="60">
        <v>0</v>
      </c>
      <c r="AD148" s="8">
        <f t="shared" si="118"/>
        <v>-7.65</v>
      </c>
      <c r="AE148" s="2" t="s">
        <v>91</v>
      </c>
      <c r="AG148" s="70">
        <v>0</v>
      </c>
      <c r="AH148" s="70">
        <v>0</v>
      </c>
      <c r="AJ148" s="71">
        <v>0</v>
      </c>
      <c r="AK148" s="71">
        <v>0</v>
      </c>
      <c r="AL148" s="72">
        <v>0</v>
      </c>
      <c r="AM148" s="22"/>
      <c r="AO148" s="22" t="s">
        <v>126</v>
      </c>
      <c r="AP148" s="23">
        <v>13229</v>
      </c>
      <c r="AQ148" s="22" t="s">
        <v>100</v>
      </c>
      <c r="AR148" s="51" t="str">
        <f t="shared" si="131"/>
        <v>JD8B-13229-AA</v>
      </c>
      <c r="AS148" s="3"/>
      <c r="AT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2">
        <v>1</v>
      </c>
      <c r="BA148" s="22">
        <v>1</v>
      </c>
      <c r="BB148" s="64">
        <f t="shared" si="132"/>
        <v>0.1</v>
      </c>
      <c r="BD148" s="60">
        <v>-7.23</v>
      </c>
      <c r="BE148" s="60">
        <v>-0.22</v>
      </c>
      <c r="BF148" s="60">
        <v>-0.2</v>
      </c>
      <c r="BG148" s="60">
        <v>0</v>
      </c>
      <c r="BH148" s="60">
        <v>0</v>
      </c>
      <c r="BI148" s="8">
        <f t="shared" si="133"/>
        <v>-7.65</v>
      </c>
      <c r="BJ148" s="2" t="s">
        <v>91</v>
      </c>
      <c r="BL148" s="70">
        <v>0</v>
      </c>
      <c r="BM148" s="70">
        <v>0</v>
      </c>
      <c r="BO148" s="71">
        <v>0</v>
      </c>
      <c r="BP148" s="71">
        <v>0</v>
      </c>
      <c r="BQ148" s="72">
        <v>0</v>
      </c>
      <c r="BS148" s="61">
        <f t="shared" si="114"/>
        <v>0</v>
      </c>
      <c r="BT148" s="61">
        <f t="shared" si="115"/>
        <v>0</v>
      </c>
      <c r="BU148" s="61">
        <f t="shared" si="116"/>
        <v>0</v>
      </c>
      <c r="BV148" s="61">
        <f t="shared" si="116"/>
        <v>0</v>
      </c>
      <c r="BW148" s="61">
        <f t="shared" si="116"/>
        <v>0</v>
      </c>
      <c r="BX148" s="61">
        <f t="shared" si="116"/>
        <v>0</v>
      </c>
      <c r="BY148" s="61" t="s">
        <v>91</v>
      </c>
      <c r="CA148" s="61">
        <f t="shared" si="138"/>
        <v>0</v>
      </c>
      <c r="CB148" s="61">
        <f t="shared" si="138"/>
        <v>0</v>
      </c>
      <c r="CC148" s="61">
        <f t="shared" si="138"/>
        <v>0</v>
      </c>
      <c r="CD148" s="61">
        <f t="shared" si="138"/>
        <v>0</v>
      </c>
      <c r="CE148" s="61">
        <f t="shared" si="138"/>
        <v>0</v>
      </c>
      <c r="CF148" s="61">
        <f t="shared" si="126"/>
        <v>0</v>
      </c>
      <c r="CG148" s="61">
        <f t="shared" si="126"/>
        <v>0</v>
      </c>
      <c r="CH148" s="61">
        <f t="shared" si="126"/>
        <v>0</v>
      </c>
      <c r="CI148" s="61">
        <f t="shared" si="134"/>
        <v>0</v>
      </c>
      <c r="CJ148" s="61"/>
      <c r="CK148" s="61">
        <f t="shared" si="139"/>
        <v>0</v>
      </c>
      <c r="CL148" s="61">
        <f t="shared" si="139"/>
        <v>0</v>
      </c>
      <c r="CM148" s="61">
        <f t="shared" si="139"/>
        <v>0</v>
      </c>
      <c r="CN148" s="61">
        <f t="shared" si="139"/>
        <v>0</v>
      </c>
      <c r="CO148" s="61">
        <f t="shared" si="139"/>
        <v>0</v>
      </c>
      <c r="CP148" s="61">
        <f t="shared" si="127"/>
        <v>0</v>
      </c>
      <c r="CQ148" s="61">
        <f t="shared" si="127"/>
        <v>0</v>
      </c>
      <c r="CR148" s="61">
        <f t="shared" si="127"/>
        <v>0</v>
      </c>
      <c r="CS148" s="61">
        <f t="shared" si="135"/>
        <v>0</v>
      </c>
      <c r="CT148" s="61">
        <f t="shared" si="136"/>
        <v>0</v>
      </c>
      <c r="CV148" s="61">
        <f t="shared" si="137"/>
        <v>0</v>
      </c>
      <c r="CW148" s="61">
        <f t="shared" si="96"/>
        <v>0</v>
      </c>
      <c r="CX148" s="61"/>
      <c r="CY148" s="61">
        <f t="shared" si="97"/>
        <v>0</v>
      </c>
      <c r="CZ148" s="61">
        <f t="shared" si="117"/>
        <v>0</v>
      </c>
      <c r="DA148" s="61">
        <f t="shared" si="117"/>
        <v>0</v>
      </c>
      <c r="DB148" s="2" t="s">
        <v>85</v>
      </c>
      <c r="DC148" s="2" t="s">
        <v>102</v>
      </c>
      <c r="DD148" s="2" t="s">
        <v>142</v>
      </c>
      <c r="DE148" s="2" t="s">
        <v>181</v>
      </c>
      <c r="DF148" s="3" t="s">
        <v>118</v>
      </c>
      <c r="DG148" s="62">
        <v>42789</v>
      </c>
      <c r="EC148" s="60"/>
      <c r="ED148" s="60"/>
      <c r="EE148" s="60"/>
      <c r="EF148" s="60"/>
    </row>
    <row r="149" spans="2:140" ht="12.75" hidden="1" customHeight="1">
      <c r="B149" s="93" t="s">
        <v>408</v>
      </c>
      <c r="C149" s="22" t="s">
        <v>409</v>
      </c>
      <c r="D149" s="22" t="s">
        <v>410</v>
      </c>
      <c r="E149" s="2" t="str">
        <f>VLOOKUP($C149,[1]Detail!$C:$AK,6,0)</f>
        <v>BIW</v>
      </c>
      <c r="F149" s="2" t="str">
        <f>VLOOKUP($C149,[1]Detail!$C:$AK,7,0)</f>
        <v>TH</v>
      </c>
      <c r="G149" s="2" t="str">
        <f>VLOOKUP($C149,[1]Detail!$C:$AK,5,0)</f>
        <v>D</v>
      </c>
      <c r="J149" s="22" t="s">
        <v>126</v>
      </c>
      <c r="K149" s="23" t="s">
        <v>411</v>
      </c>
      <c r="L149" s="22" t="s">
        <v>100</v>
      </c>
      <c r="M149" s="51" t="str">
        <f t="shared" si="111"/>
        <v>JD8B-16K658-AA</v>
      </c>
      <c r="O149" s="22">
        <v>1</v>
      </c>
      <c r="P149" s="22">
        <v>1</v>
      </c>
      <c r="Q149" s="22">
        <v>1</v>
      </c>
      <c r="R149" s="22">
        <v>1</v>
      </c>
      <c r="S149" s="22">
        <v>1</v>
      </c>
      <c r="T149" s="22">
        <v>1</v>
      </c>
      <c r="U149" s="22">
        <v>1</v>
      </c>
      <c r="V149" s="22">
        <v>1</v>
      </c>
      <c r="W149" s="64">
        <f t="shared" si="112"/>
        <v>1</v>
      </c>
      <c r="Y149" s="60">
        <f>-3.355*0-2.56</f>
        <v>-2.56</v>
      </c>
      <c r="Z149" s="60">
        <v>-2.9000000000000001E-2</v>
      </c>
      <c r="AA149" s="60">
        <v>-2.9000000000000001E-2</v>
      </c>
      <c r="AB149" s="60">
        <v>0</v>
      </c>
      <c r="AC149" s="60">
        <v>0</v>
      </c>
      <c r="AD149" s="8">
        <f t="shared" ref="AD149:AD180" si="140">SUM(Y149:AC149)</f>
        <v>-2.6179999999999999</v>
      </c>
      <c r="AE149" s="2" t="s">
        <v>91</v>
      </c>
      <c r="AG149" s="70">
        <v>-138922</v>
      </c>
      <c r="AH149" s="70">
        <v>-138922</v>
      </c>
      <c r="AI149" s="6"/>
      <c r="AJ149" s="71">
        <v>0</v>
      </c>
      <c r="AK149" s="71">
        <v>0</v>
      </c>
      <c r="AL149" s="72">
        <v>0</v>
      </c>
      <c r="AM149" s="22"/>
      <c r="AO149" s="22" t="s">
        <v>126</v>
      </c>
      <c r="AP149" s="23" t="s">
        <v>411</v>
      </c>
      <c r="AQ149" s="22" t="s">
        <v>100</v>
      </c>
      <c r="AR149" s="51" t="str">
        <f t="shared" si="131"/>
        <v>JD8B-16K658-AA</v>
      </c>
      <c r="AS149" s="3"/>
      <c r="AT149" s="22">
        <v>1</v>
      </c>
      <c r="AU149" s="22">
        <v>1</v>
      </c>
      <c r="AV149" s="22">
        <v>1</v>
      </c>
      <c r="AW149" s="22">
        <v>1</v>
      </c>
      <c r="AX149" s="22">
        <v>1</v>
      </c>
      <c r="AY149" s="22">
        <v>1</v>
      </c>
      <c r="AZ149" s="22">
        <v>1</v>
      </c>
      <c r="BA149" s="22">
        <v>1</v>
      </c>
      <c r="BB149" s="64">
        <f t="shared" si="132"/>
        <v>1</v>
      </c>
      <c r="BD149" s="60">
        <v>-3.355</v>
      </c>
      <c r="BE149" s="60">
        <v>-2.9000000000000001E-2</v>
      </c>
      <c r="BF149" s="60">
        <v>-2.9000000000000001E-2</v>
      </c>
      <c r="BG149" s="60">
        <v>0</v>
      </c>
      <c r="BH149" s="60">
        <v>0</v>
      </c>
      <c r="BI149" s="8">
        <f t="shared" si="133"/>
        <v>-3.4129999999999998</v>
      </c>
      <c r="BJ149" s="2" t="s">
        <v>91</v>
      </c>
      <c r="BL149" s="70">
        <v>-138922</v>
      </c>
      <c r="BM149" s="70">
        <v>-138922</v>
      </c>
      <c r="BO149" s="71">
        <v>0</v>
      </c>
      <c r="BP149" s="71">
        <v>0</v>
      </c>
      <c r="BQ149" s="72">
        <v>0</v>
      </c>
      <c r="BS149" s="61">
        <f t="shared" si="114"/>
        <v>0.79499999999999993</v>
      </c>
      <c r="BT149" s="61">
        <f t="shared" si="115"/>
        <v>0</v>
      </c>
      <c r="BU149" s="61">
        <f t="shared" si="116"/>
        <v>0</v>
      </c>
      <c r="BV149" s="61">
        <f t="shared" si="116"/>
        <v>0</v>
      </c>
      <c r="BW149" s="61">
        <f t="shared" si="116"/>
        <v>0</v>
      </c>
      <c r="BX149" s="61">
        <f t="shared" si="116"/>
        <v>0.79499999999999993</v>
      </c>
      <c r="BY149" s="61" t="s">
        <v>91</v>
      </c>
      <c r="CA149" s="61">
        <f t="shared" si="138"/>
        <v>0.11960282834361365</v>
      </c>
      <c r="CB149" s="61">
        <f t="shared" si="138"/>
        <v>0.11960282834361365</v>
      </c>
      <c r="CC149" s="61">
        <f t="shared" si="138"/>
        <v>0.11960282834361365</v>
      </c>
      <c r="CD149" s="61">
        <f t="shared" si="138"/>
        <v>0.11960282834361365</v>
      </c>
      <c r="CE149" s="61">
        <f t="shared" si="138"/>
        <v>0.11960282834361365</v>
      </c>
      <c r="CF149" s="61">
        <f t="shared" si="126"/>
        <v>0.11960282834361365</v>
      </c>
      <c r="CG149" s="61">
        <f t="shared" si="126"/>
        <v>0.11960282834361365</v>
      </c>
      <c r="CH149" s="61">
        <f t="shared" si="126"/>
        <v>0.11960282834361365</v>
      </c>
      <c r="CI149" s="61">
        <f t="shared" si="134"/>
        <v>0.11960282834361365</v>
      </c>
      <c r="CJ149" s="61"/>
      <c r="CK149" s="61">
        <f t="shared" si="139"/>
        <v>0.11960282834361365</v>
      </c>
      <c r="CL149" s="61">
        <f t="shared" si="139"/>
        <v>0.11960282834361365</v>
      </c>
      <c r="CM149" s="61">
        <f t="shared" si="139"/>
        <v>0.11960282834361365</v>
      </c>
      <c r="CN149" s="61">
        <f t="shared" si="139"/>
        <v>0.11960282834361365</v>
      </c>
      <c r="CO149" s="61">
        <f t="shared" si="139"/>
        <v>0.11960282834361365</v>
      </c>
      <c r="CP149" s="61">
        <f t="shared" si="127"/>
        <v>0.11960282834361365</v>
      </c>
      <c r="CQ149" s="61">
        <f t="shared" si="127"/>
        <v>0.11960282834361365</v>
      </c>
      <c r="CR149" s="61">
        <f t="shared" si="127"/>
        <v>0.11960282834361365</v>
      </c>
      <c r="CS149" s="61">
        <f t="shared" si="135"/>
        <v>0.11960282834361365</v>
      </c>
      <c r="CT149" s="61">
        <f t="shared" si="136"/>
        <v>0.79499999999999993</v>
      </c>
      <c r="CV149" s="61">
        <f t="shared" si="137"/>
        <v>0</v>
      </c>
      <c r="CW149" s="61">
        <f t="shared" si="96"/>
        <v>0</v>
      </c>
      <c r="CX149" s="61"/>
      <c r="CY149" s="61">
        <f t="shared" si="97"/>
        <v>0</v>
      </c>
      <c r="CZ149" s="61">
        <f t="shared" si="117"/>
        <v>0</v>
      </c>
      <c r="DA149" s="61">
        <f t="shared" si="117"/>
        <v>0</v>
      </c>
      <c r="DB149" s="2" t="s">
        <v>102</v>
      </c>
      <c r="DC149" s="2" t="s">
        <v>102</v>
      </c>
      <c r="DD149" s="2" t="s">
        <v>142</v>
      </c>
      <c r="DE149" s="2" t="s">
        <v>181</v>
      </c>
      <c r="DF149" s="3" t="s">
        <v>248</v>
      </c>
      <c r="DG149" s="62">
        <v>42807</v>
      </c>
      <c r="EC149" s="60" t="str">
        <f>VLOOKUP($M149,[1]Detail!$M:$BO,1,0)</f>
        <v>JD8B-16K658-AA</v>
      </c>
      <c r="ED149" s="60">
        <f>VLOOKUP($M149,[1]Detail!$M:$BO,22,0)</f>
        <v>-2.6179999999999999</v>
      </c>
      <c r="EE149" s="60">
        <f>VLOOKUP($M149,[1]Detail!$M:$BO,42,0)</f>
        <v>-138922</v>
      </c>
      <c r="EF149" s="60">
        <f>VLOOKUP($M149,[1]Detail!$M:$BO,45,0)</f>
        <v>0</v>
      </c>
      <c r="EH149" s="60">
        <f>ED149-AD149</f>
        <v>0</v>
      </c>
      <c r="EI149" s="60">
        <f>EE149-AG149</f>
        <v>0</v>
      </c>
      <c r="EJ149" s="60">
        <f t="shared" ref="EJ149:EJ152" si="141">EF149-AJ149</f>
        <v>0</v>
      </c>
    </row>
    <row r="150" spans="2:140" ht="12.75" hidden="1" customHeight="1">
      <c r="B150" s="93" t="s">
        <v>408</v>
      </c>
      <c r="C150" s="22" t="s">
        <v>409</v>
      </c>
      <c r="D150" s="22" t="s">
        <v>410</v>
      </c>
      <c r="E150" s="2" t="str">
        <f>VLOOKUP($C150,[1]Detail!$C:$AK,6,0)</f>
        <v>BIW</v>
      </c>
      <c r="F150" s="2" t="str">
        <f>VLOOKUP($C150,[1]Detail!$C:$AK,7,0)</f>
        <v>TH</v>
      </c>
      <c r="G150" s="2" t="str">
        <f>VLOOKUP($C150,[1]Detail!$C:$AK,5,0)</f>
        <v>D</v>
      </c>
      <c r="J150" s="22" t="s">
        <v>126</v>
      </c>
      <c r="K150" s="23" t="s">
        <v>412</v>
      </c>
      <c r="L150" s="22" t="s">
        <v>100</v>
      </c>
      <c r="M150" s="51" t="str">
        <f t="shared" si="111"/>
        <v>JD8B-16K659-AA</v>
      </c>
      <c r="O150" s="22">
        <v>1</v>
      </c>
      <c r="P150" s="22">
        <v>1</v>
      </c>
      <c r="Q150" s="22">
        <v>1</v>
      </c>
      <c r="R150" s="22">
        <v>1</v>
      </c>
      <c r="S150" s="22">
        <v>1</v>
      </c>
      <c r="T150" s="22">
        <v>1</v>
      </c>
      <c r="U150" s="22">
        <v>1</v>
      </c>
      <c r="V150" s="22">
        <v>1</v>
      </c>
      <c r="W150" s="64">
        <f t="shared" si="112"/>
        <v>1</v>
      </c>
      <c r="Y150" s="60">
        <f>-3.355*0-2.56</f>
        <v>-2.56</v>
      </c>
      <c r="Z150" s="60">
        <v>-2.9000000000000001E-2</v>
      </c>
      <c r="AA150" s="60">
        <v>-2.9000000000000001E-2</v>
      </c>
      <c r="AB150" s="60">
        <v>0</v>
      </c>
      <c r="AC150" s="60">
        <v>0</v>
      </c>
      <c r="AD150" s="8">
        <f t="shared" si="140"/>
        <v>-2.6179999999999999</v>
      </c>
      <c r="AE150" s="2" t="s">
        <v>91</v>
      </c>
      <c r="AG150" s="70">
        <v>-138922</v>
      </c>
      <c r="AH150" s="70">
        <v>-138922</v>
      </c>
      <c r="AI150" s="6"/>
      <c r="AJ150" s="71">
        <v>0</v>
      </c>
      <c r="AK150" s="71">
        <v>0</v>
      </c>
      <c r="AL150" s="72">
        <v>0</v>
      </c>
      <c r="AM150" s="22"/>
      <c r="AO150" s="22" t="s">
        <v>126</v>
      </c>
      <c r="AP150" s="23" t="s">
        <v>412</v>
      </c>
      <c r="AQ150" s="22" t="s">
        <v>100</v>
      </c>
      <c r="AR150" s="51" t="str">
        <f t="shared" si="131"/>
        <v>JD8B-16K659-AA</v>
      </c>
      <c r="AS150" s="3"/>
      <c r="AT150" s="22">
        <v>1</v>
      </c>
      <c r="AU150" s="22">
        <v>1</v>
      </c>
      <c r="AV150" s="22">
        <v>1</v>
      </c>
      <c r="AW150" s="22">
        <v>1</v>
      </c>
      <c r="AX150" s="22">
        <v>1</v>
      </c>
      <c r="AY150" s="22">
        <v>1</v>
      </c>
      <c r="AZ150" s="22">
        <v>1</v>
      </c>
      <c r="BA150" s="22">
        <v>1</v>
      </c>
      <c r="BB150" s="64">
        <f t="shared" si="132"/>
        <v>1</v>
      </c>
      <c r="BD150" s="60">
        <v>-3.355</v>
      </c>
      <c r="BE150" s="60">
        <v>-2.9000000000000001E-2</v>
      </c>
      <c r="BF150" s="60">
        <v>-2.9000000000000001E-2</v>
      </c>
      <c r="BG150" s="60">
        <v>0</v>
      </c>
      <c r="BH150" s="60">
        <v>0</v>
      </c>
      <c r="BI150" s="8">
        <f t="shared" si="133"/>
        <v>-3.4129999999999998</v>
      </c>
      <c r="BJ150" s="2" t="s">
        <v>91</v>
      </c>
      <c r="BL150" s="70">
        <v>-138922</v>
      </c>
      <c r="BM150" s="70">
        <v>-138922</v>
      </c>
      <c r="BO150" s="71">
        <v>0</v>
      </c>
      <c r="BP150" s="71">
        <v>0</v>
      </c>
      <c r="BQ150" s="72">
        <v>0</v>
      </c>
      <c r="BS150" s="61">
        <f t="shared" si="114"/>
        <v>0.79499999999999993</v>
      </c>
      <c r="BT150" s="61">
        <f t="shared" si="115"/>
        <v>0</v>
      </c>
      <c r="BU150" s="61">
        <f t="shared" si="116"/>
        <v>0</v>
      </c>
      <c r="BV150" s="61">
        <f t="shared" si="116"/>
        <v>0</v>
      </c>
      <c r="BW150" s="61">
        <f t="shared" si="116"/>
        <v>0</v>
      </c>
      <c r="BX150" s="61">
        <f t="shared" si="116"/>
        <v>0.79499999999999993</v>
      </c>
      <c r="BY150" s="61" t="s">
        <v>91</v>
      </c>
      <c r="CA150" s="61">
        <f t="shared" si="138"/>
        <v>0.11960282834361365</v>
      </c>
      <c r="CB150" s="61">
        <f t="shared" si="138"/>
        <v>0.11960282834361365</v>
      </c>
      <c r="CC150" s="61">
        <f t="shared" si="138"/>
        <v>0.11960282834361365</v>
      </c>
      <c r="CD150" s="61">
        <f t="shared" si="138"/>
        <v>0.11960282834361365</v>
      </c>
      <c r="CE150" s="61">
        <f t="shared" si="138"/>
        <v>0.11960282834361365</v>
      </c>
      <c r="CF150" s="61">
        <f t="shared" si="126"/>
        <v>0.11960282834361365</v>
      </c>
      <c r="CG150" s="61">
        <f t="shared" si="126"/>
        <v>0.11960282834361365</v>
      </c>
      <c r="CH150" s="61">
        <f t="shared" si="126"/>
        <v>0.11960282834361365</v>
      </c>
      <c r="CI150" s="61">
        <f t="shared" si="134"/>
        <v>0.11960282834361365</v>
      </c>
      <c r="CJ150" s="61"/>
      <c r="CK150" s="61">
        <f t="shared" si="139"/>
        <v>0.11960282834361365</v>
      </c>
      <c r="CL150" s="61">
        <f t="shared" si="139"/>
        <v>0.11960282834361365</v>
      </c>
      <c r="CM150" s="61">
        <f t="shared" si="139"/>
        <v>0.11960282834361365</v>
      </c>
      <c r="CN150" s="61">
        <f t="shared" si="139"/>
        <v>0.11960282834361365</v>
      </c>
      <c r="CO150" s="61">
        <f t="shared" si="139"/>
        <v>0.11960282834361365</v>
      </c>
      <c r="CP150" s="61">
        <f t="shared" si="127"/>
        <v>0.11960282834361365</v>
      </c>
      <c r="CQ150" s="61">
        <f t="shared" si="127"/>
        <v>0.11960282834361365</v>
      </c>
      <c r="CR150" s="61">
        <f t="shared" si="127"/>
        <v>0.11960282834361365</v>
      </c>
      <c r="CS150" s="61">
        <f t="shared" si="135"/>
        <v>0.11960282834361365</v>
      </c>
      <c r="CT150" s="61">
        <f t="shared" si="136"/>
        <v>0.79499999999999993</v>
      </c>
      <c r="CV150" s="61">
        <f t="shared" si="137"/>
        <v>0</v>
      </c>
      <c r="CW150" s="61">
        <f t="shared" si="96"/>
        <v>0</v>
      </c>
      <c r="CX150" s="61"/>
      <c r="CY150" s="61">
        <f t="shared" si="97"/>
        <v>0</v>
      </c>
      <c r="CZ150" s="61">
        <f t="shared" si="117"/>
        <v>0</v>
      </c>
      <c r="DA150" s="61">
        <f t="shared" si="117"/>
        <v>0</v>
      </c>
      <c r="DB150" s="2" t="s">
        <v>102</v>
      </c>
      <c r="DC150" s="2" t="s">
        <v>102</v>
      </c>
      <c r="DD150" s="2" t="s">
        <v>142</v>
      </c>
      <c r="DE150" s="2" t="s">
        <v>181</v>
      </c>
      <c r="DF150" s="3" t="s">
        <v>248</v>
      </c>
      <c r="DG150" s="62">
        <v>42807</v>
      </c>
      <c r="EC150" s="60" t="str">
        <f>VLOOKUP($M150,[1]Detail!$M:$BO,1,0)</f>
        <v>JD8B-16K659-AA</v>
      </c>
      <c r="ED150" s="60">
        <f>VLOOKUP($M150,[1]Detail!$M:$BO,22,0)</f>
        <v>-2.6179999999999999</v>
      </c>
      <c r="EE150" s="60">
        <f>VLOOKUP($M150,[1]Detail!$M:$BO,42,0)</f>
        <v>-138922</v>
      </c>
      <c r="EF150" s="60">
        <f>VLOOKUP($M150,[1]Detail!$M:$BO,45,0)</f>
        <v>0</v>
      </c>
      <c r="EH150" s="60">
        <f>ED150-AD150</f>
        <v>0</v>
      </c>
      <c r="EI150" s="60">
        <f>EE150-AG150</f>
        <v>0</v>
      </c>
      <c r="EJ150" s="60">
        <f t="shared" si="141"/>
        <v>0</v>
      </c>
    </row>
    <row r="151" spans="2:140" ht="12.75" hidden="1" customHeight="1">
      <c r="B151" s="93" t="s">
        <v>408</v>
      </c>
      <c r="C151" s="22" t="s">
        <v>409</v>
      </c>
      <c r="D151" s="22" t="s">
        <v>410</v>
      </c>
      <c r="E151" s="2" t="str">
        <f>VLOOKUP($C151,[1]Detail!$C:$AK,6,0)</f>
        <v>BIW</v>
      </c>
      <c r="F151" s="2" t="str">
        <f>VLOOKUP($C151,[1]Detail!$C:$AK,7,0)</f>
        <v>TH</v>
      </c>
      <c r="G151" s="2" t="str">
        <f>VLOOKUP($C151,[1]Detail!$C:$AK,5,0)</f>
        <v>D</v>
      </c>
      <c r="J151" s="22" t="s">
        <v>126</v>
      </c>
      <c r="K151" s="23" t="s">
        <v>413</v>
      </c>
      <c r="L151" s="22" t="s">
        <v>100</v>
      </c>
      <c r="M151" s="51" t="str">
        <f t="shared" si="111"/>
        <v>JD8B-16A762-AA</v>
      </c>
      <c r="O151" s="22">
        <v>1</v>
      </c>
      <c r="P151" s="22">
        <v>1</v>
      </c>
      <c r="Q151" s="22">
        <v>1</v>
      </c>
      <c r="R151" s="22">
        <v>1</v>
      </c>
      <c r="S151" s="22">
        <v>1</v>
      </c>
      <c r="T151" s="22">
        <v>1</v>
      </c>
      <c r="U151" s="22">
        <v>1</v>
      </c>
      <c r="V151" s="22">
        <v>1</v>
      </c>
      <c r="W151" s="64">
        <f t="shared" si="112"/>
        <v>1</v>
      </c>
      <c r="Y151" s="60">
        <f>-3.26*0-3.06</f>
        <v>-3.06</v>
      </c>
      <c r="Z151" s="60">
        <v>-2.8000000000000001E-2</v>
      </c>
      <c r="AA151" s="60">
        <v>-2.8000000000000001E-2</v>
      </c>
      <c r="AB151" s="60">
        <v>0</v>
      </c>
      <c r="AC151" s="60">
        <v>0</v>
      </c>
      <c r="AD151" s="8">
        <f t="shared" si="140"/>
        <v>-3.1160000000000001</v>
      </c>
      <c r="AE151" s="2" t="s">
        <v>91</v>
      </c>
      <c r="AG151" s="70">
        <v>-349952</v>
      </c>
      <c r="AH151" s="70">
        <v>-349952</v>
      </c>
      <c r="AI151" s="6"/>
      <c r="AJ151" s="71">
        <v>0</v>
      </c>
      <c r="AK151" s="71">
        <v>0</v>
      </c>
      <c r="AL151" s="72">
        <v>0</v>
      </c>
      <c r="AM151" s="22"/>
      <c r="AO151" s="22" t="s">
        <v>126</v>
      </c>
      <c r="AP151" s="23" t="s">
        <v>413</v>
      </c>
      <c r="AQ151" s="22" t="s">
        <v>100</v>
      </c>
      <c r="AR151" s="51" t="str">
        <f t="shared" si="131"/>
        <v>JD8B-16A762-AA</v>
      </c>
      <c r="AS151" s="3"/>
      <c r="AT151" s="22">
        <v>1</v>
      </c>
      <c r="AU151" s="22">
        <v>1</v>
      </c>
      <c r="AV151" s="22">
        <v>1</v>
      </c>
      <c r="AW151" s="22">
        <v>1</v>
      </c>
      <c r="AX151" s="22">
        <v>1</v>
      </c>
      <c r="AY151" s="22">
        <v>1</v>
      </c>
      <c r="AZ151" s="22">
        <v>1</v>
      </c>
      <c r="BA151" s="22">
        <v>1</v>
      </c>
      <c r="BB151" s="64">
        <f t="shared" si="132"/>
        <v>1</v>
      </c>
      <c r="BD151" s="60">
        <v>-3.26</v>
      </c>
      <c r="BE151" s="60">
        <v>-2.8000000000000001E-2</v>
      </c>
      <c r="BF151" s="60">
        <v>-2.8000000000000001E-2</v>
      </c>
      <c r="BG151" s="60">
        <v>0</v>
      </c>
      <c r="BH151" s="60">
        <v>0</v>
      </c>
      <c r="BI151" s="8">
        <f t="shared" si="133"/>
        <v>-3.3159999999999998</v>
      </c>
      <c r="BJ151" s="2" t="s">
        <v>91</v>
      </c>
      <c r="BL151" s="70">
        <v>-349952</v>
      </c>
      <c r="BM151" s="70">
        <v>-349952</v>
      </c>
      <c r="BO151" s="71">
        <v>0</v>
      </c>
      <c r="BP151" s="71">
        <v>0</v>
      </c>
      <c r="BQ151" s="72">
        <v>0</v>
      </c>
      <c r="BS151" s="61">
        <f t="shared" si="114"/>
        <v>0.19999999999999973</v>
      </c>
      <c r="BT151" s="61">
        <f t="shared" si="115"/>
        <v>0</v>
      </c>
      <c r="BU151" s="61">
        <f t="shared" si="116"/>
        <v>0</v>
      </c>
      <c r="BV151" s="61">
        <f t="shared" si="116"/>
        <v>0</v>
      </c>
      <c r="BW151" s="61">
        <f t="shared" si="116"/>
        <v>0</v>
      </c>
      <c r="BX151" s="61">
        <f t="shared" si="116"/>
        <v>0.19999999999999973</v>
      </c>
      <c r="BY151" s="61" t="s">
        <v>91</v>
      </c>
      <c r="CA151" s="61">
        <f t="shared" si="138"/>
        <v>3.0088761847449935E-2</v>
      </c>
      <c r="CB151" s="61">
        <f t="shared" si="138"/>
        <v>3.0088761847449935E-2</v>
      </c>
      <c r="CC151" s="61">
        <f t="shared" si="138"/>
        <v>3.0088761847449935E-2</v>
      </c>
      <c r="CD151" s="61">
        <f t="shared" si="138"/>
        <v>3.0088761847449935E-2</v>
      </c>
      <c r="CE151" s="61">
        <f t="shared" si="138"/>
        <v>3.0088761847449935E-2</v>
      </c>
      <c r="CF151" s="61">
        <f t="shared" si="126"/>
        <v>3.0088761847449935E-2</v>
      </c>
      <c r="CG151" s="61">
        <f t="shared" si="126"/>
        <v>3.0088761847449935E-2</v>
      </c>
      <c r="CH151" s="61">
        <f t="shared" si="126"/>
        <v>3.0088761847449935E-2</v>
      </c>
      <c r="CI151" s="61">
        <f t="shared" si="134"/>
        <v>3.0088761847449939E-2</v>
      </c>
      <c r="CJ151" s="61"/>
      <c r="CK151" s="61">
        <f t="shared" si="139"/>
        <v>3.0088761847449935E-2</v>
      </c>
      <c r="CL151" s="61">
        <f t="shared" si="139"/>
        <v>3.0088761847449935E-2</v>
      </c>
      <c r="CM151" s="61">
        <f t="shared" si="139"/>
        <v>3.0088761847449935E-2</v>
      </c>
      <c r="CN151" s="61">
        <f t="shared" si="139"/>
        <v>3.0088761847449935E-2</v>
      </c>
      <c r="CO151" s="61">
        <f t="shared" si="139"/>
        <v>3.0088761847449935E-2</v>
      </c>
      <c r="CP151" s="61">
        <f t="shared" si="127"/>
        <v>3.0088761847449935E-2</v>
      </c>
      <c r="CQ151" s="61">
        <f t="shared" si="127"/>
        <v>3.0088761847449935E-2</v>
      </c>
      <c r="CR151" s="61">
        <f t="shared" si="127"/>
        <v>3.0088761847449935E-2</v>
      </c>
      <c r="CS151" s="61">
        <f t="shared" si="135"/>
        <v>3.0088761847449939E-2</v>
      </c>
      <c r="CT151" s="61">
        <f t="shared" si="136"/>
        <v>0.19999999999999976</v>
      </c>
      <c r="CV151" s="61">
        <f t="shared" si="137"/>
        <v>0</v>
      </c>
      <c r="CW151" s="61">
        <f t="shared" si="96"/>
        <v>0</v>
      </c>
      <c r="CX151" s="61"/>
      <c r="CY151" s="61">
        <f t="shared" si="97"/>
        <v>0</v>
      </c>
      <c r="CZ151" s="61">
        <f t="shared" si="117"/>
        <v>0</v>
      </c>
      <c r="DA151" s="61">
        <f t="shared" si="117"/>
        <v>0</v>
      </c>
      <c r="DB151" s="2" t="s">
        <v>102</v>
      </c>
      <c r="DC151" s="2" t="s">
        <v>102</v>
      </c>
      <c r="DD151" s="2" t="s">
        <v>142</v>
      </c>
      <c r="DE151" s="2" t="s">
        <v>181</v>
      </c>
      <c r="DF151" s="3" t="s">
        <v>248</v>
      </c>
      <c r="DG151" s="62">
        <v>42807</v>
      </c>
      <c r="EC151" s="60" t="str">
        <f>VLOOKUP($M151,[1]Detail!$M:$BO,1,0)</f>
        <v>JD8B-16A762-AA</v>
      </c>
      <c r="ED151" s="60">
        <f>VLOOKUP($M151,[1]Detail!$M:$BO,22,0)</f>
        <v>-3.1160000000000001</v>
      </c>
      <c r="EE151" s="60">
        <f>VLOOKUP($M151,[1]Detail!$M:$BO,42,0)</f>
        <v>-349952</v>
      </c>
      <c r="EF151" s="60">
        <f>VLOOKUP($M151,[1]Detail!$M:$BO,45,0)</f>
        <v>0</v>
      </c>
      <c r="EH151" s="60">
        <f>ED151-AD151</f>
        <v>0</v>
      </c>
      <c r="EI151" s="60">
        <f>EE151-AG151</f>
        <v>0</v>
      </c>
      <c r="EJ151" s="60">
        <f t="shared" si="141"/>
        <v>0</v>
      </c>
    </row>
    <row r="152" spans="2:140" ht="12.75" hidden="1" customHeight="1">
      <c r="B152" s="93" t="s">
        <v>408</v>
      </c>
      <c r="C152" s="22" t="s">
        <v>409</v>
      </c>
      <c r="D152" s="22" t="s">
        <v>410</v>
      </c>
      <c r="E152" s="2" t="str">
        <f>VLOOKUP($C152,[1]Detail!$C:$AK,6,0)</f>
        <v>BIW</v>
      </c>
      <c r="F152" s="2" t="str">
        <f>VLOOKUP($C152,[1]Detail!$C:$AK,7,0)</f>
        <v>TH</v>
      </c>
      <c r="G152" s="2" t="str">
        <f>VLOOKUP($C152,[1]Detail!$C:$AK,5,0)</f>
        <v>D</v>
      </c>
      <c r="J152" s="22" t="s">
        <v>126</v>
      </c>
      <c r="K152" s="23">
        <v>16476</v>
      </c>
      <c r="L152" s="22" t="s">
        <v>100</v>
      </c>
      <c r="M152" s="51" t="str">
        <f t="shared" si="111"/>
        <v>JD8B-16476-AA</v>
      </c>
      <c r="O152" s="22">
        <v>1</v>
      </c>
      <c r="P152" s="22">
        <v>1</v>
      </c>
      <c r="Q152" s="22">
        <v>1</v>
      </c>
      <c r="R152" s="22">
        <v>1</v>
      </c>
      <c r="S152" s="22">
        <v>1</v>
      </c>
      <c r="T152" s="22">
        <v>1</v>
      </c>
      <c r="U152" s="22">
        <v>1</v>
      </c>
      <c r="V152" s="22">
        <v>1</v>
      </c>
      <c r="W152" s="64">
        <f t="shared" si="112"/>
        <v>1</v>
      </c>
      <c r="Y152" s="60">
        <f>-6.27*0-4.67</f>
        <v>-4.67</v>
      </c>
      <c r="Z152" s="60">
        <v>-0.06</v>
      </c>
      <c r="AA152" s="60">
        <v>-0.06</v>
      </c>
      <c r="AB152" s="60">
        <v>0</v>
      </c>
      <c r="AC152" s="60">
        <v>0</v>
      </c>
      <c r="AD152" s="8">
        <f t="shared" si="140"/>
        <v>-4.7899999999999991</v>
      </c>
      <c r="AE152" s="2" t="s">
        <v>91</v>
      </c>
      <c r="AG152" s="70">
        <v>-402744</v>
      </c>
      <c r="AH152" s="70">
        <v>-402744</v>
      </c>
      <c r="AI152" s="6"/>
      <c r="AJ152" s="71">
        <v>0</v>
      </c>
      <c r="AK152" s="71">
        <v>0</v>
      </c>
      <c r="AL152" s="72">
        <v>0</v>
      </c>
      <c r="AM152" s="22"/>
      <c r="AO152" s="22" t="s">
        <v>126</v>
      </c>
      <c r="AP152" s="23">
        <v>16476</v>
      </c>
      <c r="AQ152" s="22" t="s">
        <v>100</v>
      </c>
      <c r="AR152" s="51" t="str">
        <f t="shared" si="131"/>
        <v>JD8B-16476-AA</v>
      </c>
      <c r="AS152" s="3"/>
      <c r="AT152" s="22">
        <v>1</v>
      </c>
      <c r="AU152" s="22">
        <v>1</v>
      </c>
      <c r="AV152" s="22">
        <v>1</v>
      </c>
      <c r="AW152" s="22">
        <v>1</v>
      </c>
      <c r="AX152" s="22">
        <v>1</v>
      </c>
      <c r="AY152" s="22">
        <v>1</v>
      </c>
      <c r="AZ152" s="22">
        <v>1</v>
      </c>
      <c r="BA152" s="22">
        <v>1</v>
      </c>
      <c r="BB152" s="64">
        <f t="shared" si="132"/>
        <v>1</v>
      </c>
      <c r="BD152" s="60">
        <v>-6.27</v>
      </c>
      <c r="BE152" s="60">
        <v>-0.06</v>
      </c>
      <c r="BF152" s="60">
        <v>-0.06</v>
      </c>
      <c r="BG152" s="60">
        <v>0</v>
      </c>
      <c r="BH152" s="60">
        <v>0</v>
      </c>
      <c r="BI152" s="8">
        <f t="shared" si="133"/>
        <v>-6.3899999999999988</v>
      </c>
      <c r="BJ152" s="2" t="s">
        <v>91</v>
      </c>
      <c r="BL152" s="70">
        <v>-402744</v>
      </c>
      <c r="BM152" s="70">
        <v>-402744</v>
      </c>
      <c r="BO152" s="71">
        <v>0</v>
      </c>
      <c r="BP152" s="71">
        <v>0</v>
      </c>
      <c r="BQ152" s="72">
        <v>0</v>
      </c>
      <c r="BS152" s="61">
        <f t="shared" si="114"/>
        <v>1.5999999999999996</v>
      </c>
      <c r="BT152" s="61">
        <f t="shared" si="115"/>
        <v>0</v>
      </c>
      <c r="BU152" s="61">
        <f t="shared" si="116"/>
        <v>0</v>
      </c>
      <c r="BV152" s="61">
        <f t="shared" si="116"/>
        <v>0</v>
      </c>
      <c r="BW152" s="61">
        <f t="shared" si="116"/>
        <v>0</v>
      </c>
      <c r="BX152" s="61">
        <f t="shared" si="116"/>
        <v>1.5999999999999996</v>
      </c>
      <c r="BY152" s="61" t="s">
        <v>91</v>
      </c>
      <c r="CA152" s="61">
        <f t="shared" si="138"/>
        <v>0.24071009477959976</v>
      </c>
      <c r="CB152" s="61">
        <f t="shared" si="138"/>
        <v>0.24071009477959976</v>
      </c>
      <c r="CC152" s="61">
        <f t="shared" si="138"/>
        <v>0.24071009477959976</v>
      </c>
      <c r="CD152" s="61">
        <f t="shared" si="138"/>
        <v>0.24071009477959976</v>
      </c>
      <c r="CE152" s="61">
        <f t="shared" si="138"/>
        <v>0.24071009477959976</v>
      </c>
      <c r="CF152" s="61">
        <f t="shared" si="126"/>
        <v>0.24071009477959976</v>
      </c>
      <c r="CG152" s="61">
        <f t="shared" si="126"/>
        <v>0.24071009477959976</v>
      </c>
      <c r="CH152" s="61">
        <f t="shared" si="126"/>
        <v>0.24071009477959976</v>
      </c>
      <c r="CI152" s="61">
        <f t="shared" si="134"/>
        <v>0.24071009477959979</v>
      </c>
      <c r="CJ152" s="61"/>
      <c r="CK152" s="61">
        <f t="shared" si="139"/>
        <v>0.24071009477959976</v>
      </c>
      <c r="CL152" s="61">
        <f t="shared" si="139"/>
        <v>0.24071009477959976</v>
      </c>
      <c r="CM152" s="61">
        <f t="shared" si="139"/>
        <v>0.24071009477959976</v>
      </c>
      <c r="CN152" s="61">
        <f t="shared" si="139"/>
        <v>0.24071009477959976</v>
      </c>
      <c r="CO152" s="61">
        <f t="shared" si="139"/>
        <v>0.24071009477959976</v>
      </c>
      <c r="CP152" s="61">
        <f t="shared" si="127"/>
        <v>0.24071009477959976</v>
      </c>
      <c r="CQ152" s="61">
        <f t="shared" si="127"/>
        <v>0.24071009477959976</v>
      </c>
      <c r="CR152" s="61">
        <f t="shared" si="127"/>
        <v>0.24071009477959976</v>
      </c>
      <c r="CS152" s="61">
        <f t="shared" si="135"/>
        <v>0.24071009477959979</v>
      </c>
      <c r="CT152" s="61">
        <f t="shared" si="136"/>
        <v>1.5999999999999999</v>
      </c>
      <c r="CV152" s="61">
        <f t="shared" si="137"/>
        <v>0</v>
      </c>
      <c r="CW152" s="61">
        <f t="shared" si="96"/>
        <v>0</v>
      </c>
      <c r="CX152" s="61"/>
      <c r="CY152" s="61">
        <f t="shared" si="97"/>
        <v>0</v>
      </c>
      <c r="CZ152" s="61">
        <f t="shared" si="117"/>
        <v>0</v>
      </c>
      <c r="DA152" s="61">
        <f t="shared" si="117"/>
        <v>0</v>
      </c>
      <c r="DB152" s="2" t="s">
        <v>102</v>
      </c>
      <c r="DC152" s="2" t="s">
        <v>102</v>
      </c>
      <c r="DD152" s="2" t="s">
        <v>142</v>
      </c>
      <c r="DE152" s="2" t="s">
        <v>181</v>
      </c>
      <c r="DF152" s="3" t="s">
        <v>248</v>
      </c>
      <c r="DG152" s="62">
        <v>42807</v>
      </c>
      <c r="EC152" s="60" t="str">
        <f>VLOOKUP($M152,[1]Detail!$M:$BO,1,0)</f>
        <v>JD8B-16476-AA</v>
      </c>
      <c r="ED152" s="60">
        <f>VLOOKUP($M152,[1]Detail!$M:$BO,22,0)</f>
        <v>-4.7899999999999991</v>
      </c>
      <c r="EE152" s="60">
        <f>VLOOKUP($M152,[1]Detail!$M:$BO,42,0)</f>
        <v>-402744</v>
      </c>
      <c r="EF152" s="60">
        <f>VLOOKUP($M152,[1]Detail!$M:$BO,45,0)</f>
        <v>0</v>
      </c>
      <c r="EH152" s="60">
        <f>ED152-AD152</f>
        <v>0</v>
      </c>
      <c r="EI152" s="60">
        <f>EE152-AG152</f>
        <v>0</v>
      </c>
      <c r="EJ152" s="60">
        <f t="shared" si="141"/>
        <v>0</v>
      </c>
    </row>
    <row r="153" spans="2:140" ht="12.75" hidden="1" customHeight="1">
      <c r="B153" s="93" t="s">
        <v>414</v>
      </c>
      <c r="C153" s="22" t="s">
        <v>415</v>
      </c>
      <c r="D153" s="22" t="s">
        <v>416</v>
      </c>
      <c r="E153" s="2" t="str">
        <f>VLOOKUP($C153,[1]Detail!$C:$AK,6,0)</f>
        <v>PMT1</v>
      </c>
      <c r="F153" s="2" t="str">
        <f>VLOOKUP($C153,[1]Detail!$C:$AK,7,0)</f>
        <v>TH</v>
      </c>
      <c r="G153" s="2" t="str">
        <f>VLOOKUP($C153,[1]Detail!$C:$AK,5,0)</f>
        <v>B</v>
      </c>
      <c r="J153" s="22" t="s">
        <v>126</v>
      </c>
      <c r="K153" s="23" t="s">
        <v>417</v>
      </c>
      <c r="L153" s="22" t="s">
        <v>100</v>
      </c>
      <c r="M153" s="51" t="str">
        <f t="shared" si="111"/>
        <v>JD8B-F16800-AA</v>
      </c>
      <c r="O153" s="22">
        <v>1</v>
      </c>
      <c r="P153" s="22">
        <v>1</v>
      </c>
      <c r="Q153" s="22">
        <v>1</v>
      </c>
      <c r="R153" s="22">
        <v>1</v>
      </c>
      <c r="S153" s="22">
        <v>1</v>
      </c>
      <c r="T153" s="22">
        <v>1</v>
      </c>
      <c r="U153" s="22">
        <v>1</v>
      </c>
      <c r="V153" s="22">
        <v>1</v>
      </c>
      <c r="W153" s="64">
        <f t="shared" si="112"/>
        <v>1</v>
      </c>
      <c r="Y153" s="60">
        <f>-15.96*0-16.07</f>
        <v>-16.07</v>
      </c>
      <c r="Z153" s="60">
        <f>-0.34/2</f>
        <v>-0.17</v>
      </c>
      <c r="AA153" s="60">
        <f>-0.9/2</f>
        <v>-0.45</v>
      </c>
      <c r="AB153" s="60">
        <v>0</v>
      </c>
      <c r="AC153" s="60">
        <f>-1.03/2</f>
        <v>-0.51500000000000001</v>
      </c>
      <c r="AD153" s="8">
        <f t="shared" si="140"/>
        <v>-17.205000000000002</v>
      </c>
      <c r="AE153" s="2" t="s">
        <v>91</v>
      </c>
      <c r="AG153" s="70">
        <f t="shared" ref="AG153:AH156" si="142">-705000*0-774900</f>
        <v>-774900</v>
      </c>
      <c r="AH153" s="70">
        <f t="shared" si="142"/>
        <v>-774900</v>
      </c>
      <c r="AI153" s="6"/>
      <c r="AJ153" s="71">
        <v>-297242</v>
      </c>
      <c r="AK153" s="71">
        <v>574899</v>
      </c>
      <c r="AL153" s="72">
        <v>0</v>
      </c>
      <c r="AM153" s="22"/>
      <c r="AO153" s="22" t="s">
        <v>126</v>
      </c>
      <c r="AP153" s="23" t="s">
        <v>417</v>
      </c>
      <c r="AQ153" s="22" t="s">
        <v>100</v>
      </c>
      <c r="AR153" s="51" t="str">
        <f t="shared" si="131"/>
        <v>JD8B-F16800-AA</v>
      </c>
      <c r="AS153" s="3"/>
      <c r="AT153" s="22">
        <v>1</v>
      </c>
      <c r="AU153" s="22">
        <v>1</v>
      </c>
      <c r="AV153" s="22">
        <v>1</v>
      </c>
      <c r="AW153" s="22">
        <v>1</v>
      </c>
      <c r="AX153" s="22">
        <v>1</v>
      </c>
      <c r="AY153" s="22">
        <v>1</v>
      </c>
      <c r="AZ153" s="22">
        <v>1</v>
      </c>
      <c r="BA153" s="22">
        <v>1</v>
      </c>
      <c r="BB153" s="64">
        <f t="shared" si="132"/>
        <v>1</v>
      </c>
      <c r="BD153" s="60">
        <f>-15.96</f>
        <v>-15.96</v>
      </c>
      <c r="BE153" s="60">
        <f>-0.34/2</f>
        <v>-0.17</v>
      </c>
      <c r="BF153" s="60">
        <f>-0.9/2</f>
        <v>-0.45</v>
      </c>
      <c r="BG153" s="60"/>
      <c r="BH153" s="60">
        <f>-1.03/2</f>
        <v>-0.51500000000000001</v>
      </c>
      <c r="BI153" s="8">
        <f t="shared" si="133"/>
        <v>-17.095000000000002</v>
      </c>
      <c r="BJ153" s="2" t="s">
        <v>91</v>
      </c>
      <c r="BL153" s="70">
        <v>-705000</v>
      </c>
      <c r="BM153" s="70">
        <v>-705000</v>
      </c>
      <c r="BO153" s="71">
        <v>-297242</v>
      </c>
      <c r="BP153" s="71">
        <v>574899</v>
      </c>
      <c r="BQ153" s="72">
        <v>0</v>
      </c>
      <c r="BS153" s="61">
        <f t="shared" si="114"/>
        <v>-0.10999999999999943</v>
      </c>
      <c r="BT153" s="61">
        <f t="shared" si="115"/>
        <v>0</v>
      </c>
      <c r="BU153" s="61">
        <f t="shared" si="116"/>
        <v>0</v>
      </c>
      <c r="BV153" s="61">
        <f t="shared" si="116"/>
        <v>0</v>
      </c>
      <c r="BW153" s="61">
        <f t="shared" si="116"/>
        <v>0</v>
      </c>
      <c r="BX153" s="61">
        <f t="shared" si="116"/>
        <v>-0.10999999999999943</v>
      </c>
      <c r="BY153" s="61" t="s">
        <v>91</v>
      </c>
      <c r="CA153" s="61">
        <f t="shared" si="138"/>
        <v>-1.6548819016097401E-2</v>
      </c>
      <c r="CB153" s="61">
        <f t="shared" si="138"/>
        <v>-1.6548819016097401E-2</v>
      </c>
      <c r="CC153" s="61">
        <f t="shared" si="138"/>
        <v>-1.6548819016097401E-2</v>
      </c>
      <c r="CD153" s="61">
        <f t="shared" si="138"/>
        <v>-1.6548819016097401E-2</v>
      </c>
      <c r="CE153" s="61">
        <f t="shared" si="138"/>
        <v>-1.6548819016097401E-2</v>
      </c>
      <c r="CF153" s="61">
        <f t="shared" si="126"/>
        <v>-1.6548819016097401E-2</v>
      </c>
      <c r="CG153" s="61">
        <f t="shared" si="126"/>
        <v>-1.6548819016097401E-2</v>
      </c>
      <c r="CH153" s="61">
        <f t="shared" si="126"/>
        <v>-1.6548819016097401E-2</v>
      </c>
      <c r="CI153" s="61">
        <f t="shared" si="134"/>
        <v>-1.6548819016097404E-2</v>
      </c>
      <c r="CJ153" s="61"/>
      <c r="CK153" s="61">
        <f t="shared" si="139"/>
        <v>-1.6548819016097401E-2</v>
      </c>
      <c r="CL153" s="61">
        <f t="shared" si="139"/>
        <v>-1.6548819016097401E-2</v>
      </c>
      <c r="CM153" s="61">
        <f t="shared" si="139"/>
        <v>-1.6548819016097401E-2</v>
      </c>
      <c r="CN153" s="61">
        <f t="shared" si="139"/>
        <v>-1.6548819016097401E-2</v>
      </c>
      <c r="CO153" s="61">
        <f t="shared" si="139"/>
        <v>-1.6548819016097401E-2</v>
      </c>
      <c r="CP153" s="61">
        <f t="shared" si="127"/>
        <v>-1.6548819016097401E-2</v>
      </c>
      <c r="CQ153" s="61">
        <f t="shared" si="127"/>
        <v>-1.6548819016097401E-2</v>
      </c>
      <c r="CR153" s="61">
        <f t="shared" si="127"/>
        <v>-1.6548819016097401E-2</v>
      </c>
      <c r="CS153" s="61">
        <f t="shared" si="135"/>
        <v>-1.6548819016097404E-2</v>
      </c>
      <c r="CT153" s="61">
        <f t="shared" si="136"/>
        <v>-0.10999999999999945</v>
      </c>
      <c r="CV153" s="61">
        <f t="shared" si="137"/>
        <v>-69900</v>
      </c>
      <c r="CW153" s="61">
        <f t="shared" si="96"/>
        <v>-69900</v>
      </c>
      <c r="CX153" s="61"/>
      <c r="CY153" s="61">
        <f t="shared" si="97"/>
        <v>0</v>
      </c>
      <c r="CZ153" s="61">
        <f t="shared" si="117"/>
        <v>0</v>
      </c>
      <c r="DA153" s="61">
        <f t="shared" si="117"/>
        <v>0</v>
      </c>
      <c r="DB153" s="2" t="s">
        <v>85</v>
      </c>
      <c r="DC153" s="2" t="s">
        <v>102</v>
      </c>
      <c r="DD153" s="2" t="s">
        <v>142</v>
      </c>
      <c r="DE153" s="2" t="s">
        <v>181</v>
      </c>
      <c r="DF153" s="3" t="s">
        <v>86</v>
      </c>
      <c r="DG153" s="62">
        <v>42858</v>
      </c>
      <c r="EC153" s="60"/>
      <c r="ED153" s="60"/>
      <c r="EE153" s="60"/>
      <c r="EF153" s="60"/>
    </row>
    <row r="154" spans="2:140" ht="12.75" hidden="1" customHeight="1">
      <c r="B154" s="93" t="s">
        <v>414</v>
      </c>
      <c r="C154" s="22" t="s">
        <v>415</v>
      </c>
      <c r="D154" s="22" t="s">
        <v>416</v>
      </c>
      <c r="E154" s="2" t="str">
        <f>VLOOKUP($C154,[1]Detail!$C:$AK,6,0)</f>
        <v>PMT1</v>
      </c>
      <c r="F154" s="2" t="str">
        <f>VLOOKUP($C154,[1]Detail!$C:$AK,7,0)</f>
        <v>TH</v>
      </c>
      <c r="G154" s="2" t="str">
        <f>VLOOKUP($C154,[1]Detail!$C:$AK,5,0)</f>
        <v>B</v>
      </c>
      <c r="J154" s="22" t="s">
        <v>126</v>
      </c>
      <c r="K154" s="23" t="s">
        <v>418</v>
      </c>
      <c r="L154" s="22" t="s">
        <v>100</v>
      </c>
      <c r="M154" s="51" t="str">
        <f t="shared" si="111"/>
        <v>JD8B-F16801-AA</v>
      </c>
      <c r="O154" s="22">
        <v>1</v>
      </c>
      <c r="P154" s="22">
        <v>1</v>
      </c>
      <c r="Q154" s="22">
        <v>1</v>
      </c>
      <c r="R154" s="22">
        <v>1</v>
      </c>
      <c r="S154" s="22">
        <v>1</v>
      </c>
      <c r="T154" s="22">
        <v>1</v>
      </c>
      <c r="U154" s="22">
        <v>1</v>
      </c>
      <c r="V154" s="22">
        <v>1</v>
      </c>
      <c r="W154" s="64">
        <f t="shared" si="112"/>
        <v>1</v>
      </c>
      <c r="Y154" s="60">
        <f>-15.96*0-16.07</f>
        <v>-16.07</v>
      </c>
      <c r="Z154" s="60">
        <f>-0.34/2</f>
        <v>-0.17</v>
      </c>
      <c r="AA154" s="60">
        <f>-0.9/2</f>
        <v>-0.45</v>
      </c>
      <c r="AB154" s="60">
        <v>0</v>
      </c>
      <c r="AC154" s="60">
        <f>-1.03/2</f>
        <v>-0.51500000000000001</v>
      </c>
      <c r="AD154" s="8">
        <f t="shared" si="140"/>
        <v>-17.205000000000002</v>
      </c>
      <c r="AE154" s="2" t="s">
        <v>91</v>
      </c>
      <c r="AG154" s="70">
        <f t="shared" si="142"/>
        <v>-774900</v>
      </c>
      <c r="AH154" s="70">
        <f t="shared" si="142"/>
        <v>-774900</v>
      </c>
      <c r="AI154" s="6"/>
      <c r="AJ154" s="71">
        <v>-297242</v>
      </c>
      <c r="AK154" s="71">
        <v>574899</v>
      </c>
      <c r="AL154" s="72">
        <v>0</v>
      </c>
      <c r="AM154" s="22"/>
      <c r="AO154" s="22" t="s">
        <v>126</v>
      </c>
      <c r="AP154" s="23" t="s">
        <v>418</v>
      </c>
      <c r="AQ154" s="22" t="s">
        <v>100</v>
      </c>
      <c r="AR154" s="51" t="str">
        <f t="shared" si="131"/>
        <v>JD8B-F16801-AA</v>
      </c>
      <c r="AS154" s="3"/>
      <c r="AT154" s="22">
        <v>1</v>
      </c>
      <c r="AU154" s="22">
        <v>1</v>
      </c>
      <c r="AV154" s="22">
        <v>1</v>
      </c>
      <c r="AW154" s="22">
        <v>1</v>
      </c>
      <c r="AX154" s="22">
        <v>1</v>
      </c>
      <c r="AY154" s="22">
        <v>1</v>
      </c>
      <c r="AZ154" s="22">
        <v>1</v>
      </c>
      <c r="BA154" s="22">
        <v>1</v>
      </c>
      <c r="BB154" s="64">
        <f t="shared" si="132"/>
        <v>1</v>
      </c>
      <c r="BD154" s="60">
        <f>-15.96</f>
        <v>-15.96</v>
      </c>
      <c r="BE154" s="60">
        <f>-0.34/2</f>
        <v>-0.17</v>
      </c>
      <c r="BF154" s="60">
        <f>-0.9/2</f>
        <v>-0.45</v>
      </c>
      <c r="BG154" s="60"/>
      <c r="BH154" s="60">
        <f>-1.03/2</f>
        <v>-0.51500000000000001</v>
      </c>
      <c r="BI154" s="8">
        <f t="shared" si="133"/>
        <v>-17.095000000000002</v>
      </c>
      <c r="BJ154" s="2" t="s">
        <v>91</v>
      </c>
      <c r="BL154" s="70">
        <v>-705000</v>
      </c>
      <c r="BM154" s="70">
        <v>-705000</v>
      </c>
      <c r="BO154" s="71">
        <v>-297242</v>
      </c>
      <c r="BP154" s="71">
        <v>574899</v>
      </c>
      <c r="BQ154" s="72">
        <v>0</v>
      </c>
      <c r="BS154" s="61">
        <f t="shared" si="114"/>
        <v>-0.10999999999999943</v>
      </c>
      <c r="BT154" s="61">
        <f t="shared" si="115"/>
        <v>0</v>
      </c>
      <c r="BU154" s="61">
        <f t="shared" si="116"/>
        <v>0</v>
      </c>
      <c r="BV154" s="61">
        <f t="shared" si="116"/>
        <v>0</v>
      </c>
      <c r="BW154" s="61">
        <f t="shared" si="116"/>
        <v>0</v>
      </c>
      <c r="BX154" s="61">
        <f t="shared" si="116"/>
        <v>-0.10999999999999943</v>
      </c>
      <c r="BY154" s="61" t="s">
        <v>91</v>
      </c>
      <c r="CA154" s="61">
        <f t="shared" si="138"/>
        <v>-1.6548819016097401E-2</v>
      </c>
      <c r="CB154" s="61">
        <f t="shared" si="138"/>
        <v>-1.6548819016097401E-2</v>
      </c>
      <c r="CC154" s="61">
        <f t="shared" si="138"/>
        <v>-1.6548819016097401E-2</v>
      </c>
      <c r="CD154" s="61">
        <f t="shared" si="138"/>
        <v>-1.6548819016097401E-2</v>
      </c>
      <c r="CE154" s="61">
        <f t="shared" si="138"/>
        <v>-1.6548819016097401E-2</v>
      </c>
      <c r="CF154" s="61">
        <f t="shared" si="126"/>
        <v>-1.6548819016097401E-2</v>
      </c>
      <c r="CG154" s="61">
        <f t="shared" si="126"/>
        <v>-1.6548819016097401E-2</v>
      </c>
      <c r="CH154" s="61">
        <f t="shared" si="126"/>
        <v>-1.6548819016097401E-2</v>
      </c>
      <c r="CI154" s="61">
        <f t="shared" si="134"/>
        <v>-1.6548819016097404E-2</v>
      </c>
      <c r="CJ154" s="61"/>
      <c r="CK154" s="61">
        <f t="shared" si="139"/>
        <v>-1.6548819016097401E-2</v>
      </c>
      <c r="CL154" s="61">
        <f t="shared" si="139"/>
        <v>-1.6548819016097401E-2</v>
      </c>
      <c r="CM154" s="61">
        <f t="shared" si="139"/>
        <v>-1.6548819016097401E-2</v>
      </c>
      <c r="CN154" s="61">
        <f t="shared" si="139"/>
        <v>-1.6548819016097401E-2</v>
      </c>
      <c r="CO154" s="61">
        <f t="shared" si="139"/>
        <v>-1.6548819016097401E-2</v>
      </c>
      <c r="CP154" s="61">
        <f t="shared" si="127"/>
        <v>-1.6548819016097401E-2</v>
      </c>
      <c r="CQ154" s="61">
        <f t="shared" si="127"/>
        <v>-1.6548819016097401E-2</v>
      </c>
      <c r="CR154" s="61">
        <f t="shared" si="127"/>
        <v>-1.6548819016097401E-2</v>
      </c>
      <c r="CS154" s="61">
        <f t="shared" si="135"/>
        <v>-1.6548819016097404E-2</v>
      </c>
      <c r="CT154" s="61">
        <f t="shared" si="136"/>
        <v>-0.10999999999999945</v>
      </c>
      <c r="CV154" s="61">
        <f t="shared" si="137"/>
        <v>-69900</v>
      </c>
      <c r="CW154" s="61">
        <f t="shared" si="96"/>
        <v>-69900</v>
      </c>
      <c r="CX154" s="61"/>
      <c r="CY154" s="61">
        <f t="shared" si="97"/>
        <v>0</v>
      </c>
      <c r="CZ154" s="61">
        <f t="shared" si="117"/>
        <v>0</v>
      </c>
      <c r="DA154" s="61">
        <f t="shared" si="117"/>
        <v>0</v>
      </c>
      <c r="DB154" s="2" t="s">
        <v>85</v>
      </c>
      <c r="DC154" s="2" t="s">
        <v>102</v>
      </c>
      <c r="DD154" s="2" t="s">
        <v>142</v>
      </c>
      <c r="DE154" s="2" t="s">
        <v>181</v>
      </c>
      <c r="DF154" s="3" t="s">
        <v>86</v>
      </c>
      <c r="DG154" s="62">
        <v>42858</v>
      </c>
      <c r="EC154" s="60"/>
      <c r="ED154" s="60"/>
      <c r="EE154" s="60"/>
      <c r="EF154" s="60"/>
    </row>
    <row r="155" spans="2:140" ht="12.75" hidden="1" customHeight="1">
      <c r="B155" s="93" t="s">
        <v>419</v>
      </c>
      <c r="C155" s="22" t="s">
        <v>415</v>
      </c>
      <c r="D155" s="22" t="s">
        <v>416</v>
      </c>
      <c r="E155" s="2" t="str">
        <f>VLOOKUP($C155,[1]Detail!$C:$AK,6,0)</f>
        <v>PMT1</v>
      </c>
      <c r="F155" s="2" t="str">
        <f>VLOOKUP($C155,[1]Detail!$C:$AK,7,0)</f>
        <v>TH</v>
      </c>
      <c r="G155" s="2" t="str">
        <f>VLOOKUP($C155,[1]Detail!$C:$AK,5,0)</f>
        <v>B</v>
      </c>
      <c r="J155" s="22" t="s">
        <v>126</v>
      </c>
      <c r="K155" s="23" t="s">
        <v>417</v>
      </c>
      <c r="L155" s="22" t="s">
        <v>132</v>
      </c>
      <c r="M155" s="51" t="str">
        <f t="shared" si="111"/>
        <v>JD8B-F16800-AB</v>
      </c>
      <c r="O155" s="22">
        <v>1</v>
      </c>
      <c r="P155" s="22">
        <v>1</v>
      </c>
      <c r="Q155" s="22">
        <v>1</v>
      </c>
      <c r="R155" s="22">
        <v>1</v>
      </c>
      <c r="S155" s="22">
        <v>1</v>
      </c>
      <c r="T155" s="22">
        <v>1</v>
      </c>
      <c r="U155" s="22">
        <v>1</v>
      </c>
      <c r="V155" s="22">
        <v>1</v>
      </c>
      <c r="W155" s="64">
        <f t="shared" si="112"/>
        <v>1</v>
      </c>
      <c r="Y155" s="60">
        <f>-15.96*0-16.07</f>
        <v>-16.07</v>
      </c>
      <c r="Z155" s="60">
        <f>-0.34/2</f>
        <v>-0.17</v>
      </c>
      <c r="AA155" s="60">
        <f>-0.9/2</f>
        <v>-0.45</v>
      </c>
      <c r="AB155" s="60">
        <v>0</v>
      </c>
      <c r="AC155" s="60">
        <f>-1.03/2</f>
        <v>-0.51500000000000001</v>
      </c>
      <c r="AD155" s="8">
        <f t="shared" si="140"/>
        <v>-17.205000000000002</v>
      </c>
      <c r="AE155" s="2" t="s">
        <v>91</v>
      </c>
      <c r="AG155" s="70">
        <f t="shared" si="142"/>
        <v>-774900</v>
      </c>
      <c r="AH155" s="70">
        <f t="shared" si="142"/>
        <v>-774900</v>
      </c>
      <c r="AI155" s="6"/>
      <c r="AJ155" s="71">
        <v>-297242</v>
      </c>
      <c r="AK155" s="71">
        <v>574899</v>
      </c>
      <c r="AL155" s="72">
        <v>0</v>
      </c>
      <c r="AM155" s="22"/>
      <c r="AO155" s="22" t="s">
        <v>126</v>
      </c>
      <c r="AP155" s="23" t="s">
        <v>417</v>
      </c>
      <c r="AQ155" s="22" t="s">
        <v>100</v>
      </c>
      <c r="AR155" s="51" t="str">
        <f t="shared" si="131"/>
        <v>JD8B-F16800-AA</v>
      </c>
      <c r="AS155" s="3"/>
      <c r="AT155" s="22">
        <v>1</v>
      </c>
      <c r="AU155" s="22">
        <v>1</v>
      </c>
      <c r="AV155" s="22">
        <v>1</v>
      </c>
      <c r="AW155" s="22">
        <v>1</v>
      </c>
      <c r="AX155" s="22">
        <v>1</v>
      </c>
      <c r="AY155" s="22">
        <v>1</v>
      </c>
      <c r="AZ155" s="22">
        <v>1</v>
      </c>
      <c r="BA155" s="22">
        <v>1</v>
      </c>
      <c r="BB155" s="64">
        <f t="shared" si="132"/>
        <v>1</v>
      </c>
      <c r="BD155" s="60">
        <f>-15.96*0-16.07</f>
        <v>-16.07</v>
      </c>
      <c r="BE155" s="60">
        <f>-0.34/2</f>
        <v>-0.17</v>
      </c>
      <c r="BF155" s="60">
        <f>-0.9/2</f>
        <v>-0.45</v>
      </c>
      <c r="BG155" s="60">
        <v>0</v>
      </c>
      <c r="BH155" s="60">
        <f>-1.03/2</f>
        <v>-0.51500000000000001</v>
      </c>
      <c r="BI155" s="8">
        <f t="shared" si="133"/>
        <v>-17.205000000000002</v>
      </c>
      <c r="BJ155" s="2" t="s">
        <v>91</v>
      </c>
      <c r="BL155" s="70">
        <f>-705000*0-774900</f>
        <v>-774900</v>
      </c>
      <c r="BM155" s="70">
        <f>-705000*0-774900</f>
        <v>-774900</v>
      </c>
      <c r="BO155" s="71">
        <v>-297242</v>
      </c>
      <c r="BP155" s="71">
        <v>574899</v>
      </c>
      <c r="BQ155" s="72">
        <v>0</v>
      </c>
      <c r="BS155" s="61">
        <f t="shared" si="114"/>
        <v>0</v>
      </c>
      <c r="BT155" s="61">
        <f t="shared" si="115"/>
        <v>0</v>
      </c>
      <c r="BU155" s="61">
        <f t="shared" si="116"/>
        <v>0</v>
      </c>
      <c r="BV155" s="61">
        <f t="shared" si="116"/>
        <v>0</v>
      </c>
      <c r="BW155" s="61">
        <f t="shared" si="116"/>
        <v>0</v>
      </c>
      <c r="BX155" s="61">
        <f t="shared" si="116"/>
        <v>0</v>
      </c>
      <c r="BY155" s="61" t="s">
        <v>91</v>
      </c>
      <c r="CA155" s="61">
        <f t="shared" si="138"/>
        <v>0</v>
      </c>
      <c r="CB155" s="61">
        <f t="shared" si="138"/>
        <v>0</v>
      </c>
      <c r="CC155" s="61">
        <f t="shared" si="138"/>
        <v>0</v>
      </c>
      <c r="CD155" s="61">
        <f t="shared" si="138"/>
        <v>0</v>
      </c>
      <c r="CE155" s="61">
        <f t="shared" si="138"/>
        <v>0</v>
      </c>
      <c r="CF155" s="61">
        <f t="shared" si="126"/>
        <v>0</v>
      </c>
      <c r="CG155" s="61">
        <f t="shared" si="126"/>
        <v>0</v>
      </c>
      <c r="CH155" s="61">
        <f t="shared" si="126"/>
        <v>0</v>
      </c>
      <c r="CI155" s="61">
        <f t="shared" si="134"/>
        <v>0</v>
      </c>
      <c r="CJ155" s="61"/>
      <c r="CK155" s="61">
        <f t="shared" si="139"/>
        <v>0</v>
      </c>
      <c r="CL155" s="61">
        <f t="shared" si="139"/>
        <v>0</v>
      </c>
      <c r="CM155" s="61">
        <f t="shared" si="139"/>
        <v>0</v>
      </c>
      <c r="CN155" s="61">
        <f t="shared" si="139"/>
        <v>0</v>
      </c>
      <c r="CO155" s="61">
        <f t="shared" si="139"/>
        <v>0</v>
      </c>
      <c r="CP155" s="61">
        <f t="shared" si="127"/>
        <v>0</v>
      </c>
      <c r="CQ155" s="61">
        <f t="shared" si="127"/>
        <v>0</v>
      </c>
      <c r="CR155" s="61">
        <f t="shared" si="127"/>
        <v>0</v>
      </c>
      <c r="CS155" s="61">
        <f t="shared" si="135"/>
        <v>0</v>
      </c>
      <c r="CT155" s="61">
        <f t="shared" si="136"/>
        <v>0</v>
      </c>
      <c r="CV155" s="61">
        <f t="shared" si="137"/>
        <v>0</v>
      </c>
      <c r="CW155" s="61">
        <f t="shared" si="96"/>
        <v>0</v>
      </c>
      <c r="CX155" s="61"/>
      <c r="CY155" s="61">
        <f t="shared" si="97"/>
        <v>0</v>
      </c>
      <c r="CZ155" s="61">
        <f t="shared" si="117"/>
        <v>0</v>
      </c>
      <c r="DA155" s="61">
        <f t="shared" si="117"/>
        <v>0</v>
      </c>
      <c r="DB155" s="2" t="s">
        <v>102</v>
      </c>
      <c r="DC155" s="2" t="s">
        <v>85</v>
      </c>
      <c r="DD155" s="2" t="s">
        <v>142</v>
      </c>
      <c r="DE155" s="2" t="s">
        <v>181</v>
      </c>
      <c r="DF155" s="3" t="s">
        <v>102</v>
      </c>
      <c r="DG155" s="62">
        <v>42838</v>
      </c>
      <c r="EC155" s="60" t="str">
        <f>VLOOKUP($M155,[1]Detail!$M:$BO,1,0)</f>
        <v>JD8B-F16800-AB</v>
      </c>
      <c r="ED155" s="60">
        <f>VLOOKUP($M155,[1]Detail!$M:$BO,22,0)</f>
        <v>-17.205000000000002</v>
      </c>
      <c r="EE155" s="60">
        <f>VLOOKUP($M155,[1]Detail!$M:$BO,42,0)</f>
        <v>-774900</v>
      </c>
      <c r="EF155" s="60">
        <f>VLOOKUP($M155,[1]Detail!$M:$BO,45,0)</f>
        <v>-297242</v>
      </c>
      <c r="EH155" s="60">
        <f>ED155-AD155</f>
        <v>0</v>
      </c>
      <c r="EI155" s="60">
        <f>EE155-AG155</f>
        <v>0</v>
      </c>
      <c r="EJ155" s="60">
        <f t="shared" ref="EJ155:EJ156" si="143">EF155-AJ155</f>
        <v>0</v>
      </c>
    </row>
    <row r="156" spans="2:140" ht="12.75" hidden="1" customHeight="1">
      <c r="B156" s="93" t="s">
        <v>419</v>
      </c>
      <c r="C156" s="22" t="s">
        <v>415</v>
      </c>
      <c r="D156" s="22" t="s">
        <v>416</v>
      </c>
      <c r="E156" s="2" t="str">
        <f>VLOOKUP($C156,[1]Detail!$C:$AK,6,0)</f>
        <v>PMT1</v>
      </c>
      <c r="F156" s="2" t="str">
        <f>VLOOKUP($C156,[1]Detail!$C:$AK,7,0)</f>
        <v>TH</v>
      </c>
      <c r="G156" s="2" t="str">
        <f>VLOOKUP($C156,[1]Detail!$C:$AK,5,0)</f>
        <v>B</v>
      </c>
      <c r="J156" s="22" t="s">
        <v>126</v>
      </c>
      <c r="K156" s="23" t="s">
        <v>418</v>
      </c>
      <c r="L156" s="22" t="s">
        <v>132</v>
      </c>
      <c r="M156" s="51" t="str">
        <f t="shared" si="111"/>
        <v>JD8B-F16801-AB</v>
      </c>
      <c r="O156" s="22">
        <v>1</v>
      </c>
      <c r="P156" s="22">
        <v>1</v>
      </c>
      <c r="Q156" s="22">
        <v>1</v>
      </c>
      <c r="R156" s="22">
        <v>1</v>
      </c>
      <c r="S156" s="22">
        <v>1</v>
      </c>
      <c r="T156" s="22">
        <v>1</v>
      </c>
      <c r="U156" s="22">
        <v>1</v>
      </c>
      <c r="V156" s="22">
        <v>1</v>
      </c>
      <c r="W156" s="64">
        <f t="shared" si="112"/>
        <v>1</v>
      </c>
      <c r="Y156" s="60">
        <f>-15.96*0-16.07</f>
        <v>-16.07</v>
      </c>
      <c r="Z156" s="60">
        <f>-0.34/2</f>
        <v>-0.17</v>
      </c>
      <c r="AA156" s="60">
        <f>-0.9/2</f>
        <v>-0.45</v>
      </c>
      <c r="AB156" s="60">
        <v>0</v>
      </c>
      <c r="AC156" s="60">
        <f>-1.03/2</f>
        <v>-0.51500000000000001</v>
      </c>
      <c r="AD156" s="8">
        <f t="shared" si="140"/>
        <v>-17.205000000000002</v>
      </c>
      <c r="AE156" s="2" t="s">
        <v>91</v>
      </c>
      <c r="AG156" s="70">
        <f t="shared" si="142"/>
        <v>-774900</v>
      </c>
      <c r="AH156" s="70">
        <f t="shared" si="142"/>
        <v>-774900</v>
      </c>
      <c r="AI156" s="6"/>
      <c r="AJ156" s="71">
        <v>-297242</v>
      </c>
      <c r="AK156" s="71">
        <v>574899</v>
      </c>
      <c r="AL156" s="72">
        <v>0</v>
      </c>
      <c r="AM156" s="22"/>
      <c r="AO156" s="22" t="s">
        <v>126</v>
      </c>
      <c r="AP156" s="23" t="s">
        <v>418</v>
      </c>
      <c r="AQ156" s="22" t="s">
        <v>100</v>
      </c>
      <c r="AR156" s="51" t="str">
        <f t="shared" si="131"/>
        <v>JD8B-F16801-AA</v>
      </c>
      <c r="AS156" s="3"/>
      <c r="AT156" s="22">
        <v>1</v>
      </c>
      <c r="AU156" s="22">
        <v>1</v>
      </c>
      <c r="AV156" s="22">
        <v>1</v>
      </c>
      <c r="AW156" s="22">
        <v>1</v>
      </c>
      <c r="AX156" s="22">
        <v>1</v>
      </c>
      <c r="AY156" s="22">
        <v>1</v>
      </c>
      <c r="AZ156" s="22">
        <v>1</v>
      </c>
      <c r="BA156" s="22">
        <v>1</v>
      </c>
      <c r="BB156" s="64">
        <f t="shared" si="132"/>
        <v>1</v>
      </c>
      <c r="BD156" s="60">
        <f>-15.96*0-16.07</f>
        <v>-16.07</v>
      </c>
      <c r="BE156" s="60">
        <f>-0.34/2</f>
        <v>-0.17</v>
      </c>
      <c r="BF156" s="60">
        <f>-0.9/2</f>
        <v>-0.45</v>
      </c>
      <c r="BG156" s="60">
        <v>0</v>
      </c>
      <c r="BH156" s="60">
        <f>-1.03/2</f>
        <v>-0.51500000000000001</v>
      </c>
      <c r="BI156" s="8">
        <f t="shared" si="133"/>
        <v>-17.205000000000002</v>
      </c>
      <c r="BJ156" s="2" t="s">
        <v>91</v>
      </c>
      <c r="BL156" s="70">
        <f>-705000*0-774900</f>
        <v>-774900</v>
      </c>
      <c r="BM156" s="70">
        <f>-705000*0-774900</f>
        <v>-774900</v>
      </c>
      <c r="BO156" s="71">
        <v>-297242</v>
      </c>
      <c r="BP156" s="71">
        <v>574899</v>
      </c>
      <c r="BQ156" s="72">
        <v>0</v>
      </c>
      <c r="BS156" s="61">
        <f t="shared" si="114"/>
        <v>0</v>
      </c>
      <c r="BT156" s="61">
        <f t="shared" si="115"/>
        <v>0</v>
      </c>
      <c r="BU156" s="61">
        <f t="shared" si="116"/>
        <v>0</v>
      </c>
      <c r="BV156" s="61">
        <f t="shared" si="116"/>
        <v>0</v>
      </c>
      <c r="BW156" s="61">
        <f t="shared" si="116"/>
        <v>0</v>
      </c>
      <c r="BX156" s="61">
        <f t="shared" si="116"/>
        <v>0</v>
      </c>
      <c r="BY156" s="61" t="s">
        <v>91</v>
      </c>
      <c r="CA156" s="61">
        <f t="shared" si="138"/>
        <v>0</v>
      </c>
      <c r="CB156" s="61">
        <f t="shared" si="138"/>
        <v>0</v>
      </c>
      <c r="CC156" s="61">
        <f t="shared" si="138"/>
        <v>0</v>
      </c>
      <c r="CD156" s="61">
        <f t="shared" si="138"/>
        <v>0</v>
      </c>
      <c r="CE156" s="61">
        <f t="shared" si="138"/>
        <v>0</v>
      </c>
      <c r="CF156" s="61">
        <f t="shared" si="126"/>
        <v>0</v>
      </c>
      <c r="CG156" s="61">
        <f t="shared" si="126"/>
        <v>0</v>
      </c>
      <c r="CH156" s="61">
        <f t="shared" si="126"/>
        <v>0</v>
      </c>
      <c r="CI156" s="61">
        <f t="shared" si="134"/>
        <v>0</v>
      </c>
      <c r="CJ156" s="61"/>
      <c r="CK156" s="61">
        <f t="shared" si="139"/>
        <v>0</v>
      </c>
      <c r="CL156" s="61">
        <f t="shared" si="139"/>
        <v>0</v>
      </c>
      <c r="CM156" s="61">
        <f t="shared" si="139"/>
        <v>0</v>
      </c>
      <c r="CN156" s="61">
        <f t="shared" si="139"/>
        <v>0</v>
      </c>
      <c r="CO156" s="61">
        <f t="shared" si="139"/>
        <v>0</v>
      </c>
      <c r="CP156" s="61">
        <f t="shared" si="127"/>
        <v>0</v>
      </c>
      <c r="CQ156" s="61">
        <f t="shared" si="127"/>
        <v>0</v>
      </c>
      <c r="CR156" s="61">
        <f t="shared" si="127"/>
        <v>0</v>
      </c>
      <c r="CS156" s="61">
        <f t="shared" si="135"/>
        <v>0</v>
      </c>
      <c r="CT156" s="61">
        <f t="shared" si="136"/>
        <v>0</v>
      </c>
      <c r="CV156" s="61">
        <f t="shared" si="137"/>
        <v>0</v>
      </c>
      <c r="CW156" s="61">
        <f t="shared" si="96"/>
        <v>0</v>
      </c>
      <c r="CX156" s="61"/>
      <c r="CY156" s="61">
        <f t="shared" si="97"/>
        <v>0</v>
      </c>
      <c r="CZ156" s="61">
        <f t="shared" si="117"/>
        <v>0</v>
      </c>
      <c r="DA156" s="61">
        <f t="shared" si="117"/>
        <v>0</v>
      </c>
      <c r="DB156" s="2" t="s">
        <v>102</v>
      </c>
      <c r="DC156" s="2" t="s">
        <v>85</v>
      </c>
      <c r="DD156" s="2" t="s">
        <v>142</v>
      </c>
      <c r="DE156" s="2" t="s">
        <v>181</v>
      </c>
      <c r="DF156" s="3" t="s">
        <v>102</v>
      </c>
      <c r="DG156" s="62">
        <v>42838</v>
      </c>
      <c r="EC156" s="60" t="str">
        <f>VLOOKUP($M156,[1]Detail!$M:$BO,1,0)</f>
        <v>JD8B-F16801-AB</v>
      </c>
      <c r="ED156" s="60">
        <f>VLOOKUP($M156,[1]Detail!$M:$BO,22,0)</f>
        <v>-17.205000000000002</v>
      </c>
      <c r="EE156" s="60">
        <f>VLOOKUP($M156,[1]Detail!$M:$BO,42,0)</f>
        <v>-774900</v>
      </c>
      <c r="EF156" s="60">
        <f>VLOOKUP($M156,[1]Detail!$M:$BO,45,0)</f>
        <v>-297242</v>
      </c>
      <c r="EH156" s="60">
        <f>ED156-AD156</f>
        <v>0</v>
      </c>
      <c r="EI156" s="60">
        <f>EE156-AG156</f>
        <v>0</v>
      </c>
      <c r="EJ156" s="60">
        <f t="shared" si="143"/>
        <v>0</v>
      </c>
    </row>
    <row r="157" spans="2:140" ht="12.75" hidden="1" customHeight="1">
      <c r="B157" s="93" t="s">
        <v>420</v>
      </c>
      <c r="C157" s="22" t="s">
        <v>409</v>
      </c>
      <c r="D157" s="22" t="s">
        <v>410</v>
      </c>
      <c r="E157" s="2" t="str">
        <f>VLOOKUP($C157,[1]Detail!$C:$AK,6,0)</f>
        <v>BIW</v>
      </c>
      <c r="F157" s="2" t="str">
        <f>VLOOKUP($C157,[1]Detail!$C:$AK,7,0)</f>
        <v>TH</v>
      </c>
      <c r="G157" s="2" t="str">
        <f>VLOOKUP($C157,[1]Detail!$C:$AK,5,0)</f>
        <v>D</v>
      </c>
      <c r="J157" s="22" t="s">
        <v>138</v>
      </c>
      <c r="K157" s="23" t="s">
        <v>421</v>
      </c>
      <c r="L157" s="22" t="s">
        <v>180</v>
      </c>
      <c r="M157" s="51" t="str">
        <f t="shared" si="111"/>
        <v>JD8B-F16E038-AA</v>
      </c>
      <c r="O157" s="22">
        <v>1</v>
      </c>
      <c r="P157" s="22">
        <v>1</v>
      </c>
      <c r="Q157" s="22">
        <v>1</v>
      </c>
      <c r="R157" s="22">
        <v>1</v>
      </c>
      <c r="S157" s="22">
        <v>1</v>
      </c>
      <c r="T157" s="22">
        <v>1</v>
      </c>
      <c r="U157" s="22">
        <v>1</v>
      </c>
      <c r="V157" s="22">
        <v>1</v>
      </c>
      <c r="W157" s="64">
        <f t="shared" si="112"/>
        <v>1</v>
      </c>
      <c r="Y157" s="60">
        <v>-15.808</v>
      </c>
      <c r="Z157" s="60">
        <v>-0.16600000000000001</v>
      </c>
      <c r="AA157" s="60">
        <v>-0.16600000000000001</v>
      </c>
      <c r="AB157" s="60">
        <v>0</v>
      </c>
      <c r="AC157" s="60">
        <v>0</v>
      </c>
      <c r="AD157" s="8">
        <f t="shared" si="140"/>
        <v>-16.14</v>
      </c>
      <c r="AE157" s="2" t="s">
        <v>91</v>
      </c>
      <c r="AG157" s="70">
        <v>-594543</v>
      </c>
      <c r="AH157" s="70">
        <v>-594543</v>
      </c>
      <c r="AI157" s="6"/>
      <c r="AJ157" s="71">
        <v>0</v>
      </c>
      <c r="AK157" s="71">
        <v>0</v>
      </c>
      <c r="AL157" s="72">
        <v>0</v>
      </c>
      <c r="AM157" s="22"/>
      <c r="AO157" s="22" t="s">
        <v>138</v>
      </c>
      <c r="AP157" s="23" t="s">
        <v>421</v>
      </c>
      <c r="AQ157" s="22" t="s">
        <v>180</v>
      </c>
      <c r="AR157" s="51" t="str">
        <f t="shared" si="131"/>
        <v>JD8B-F16E038-AA</v>
      </c>
      <c r="AS157" s="3"/>
      <c r="AT157" s="22">
        <v>1</v>
      </c>
      <c r="AU157" s="22">
        <v>1</v>
      </c>
      <c r="AV157" s="22">
        <v>1</v>
      </c>
      <c r="AW157" s="22">
        <v>1</v>
      </c>
      <c r="AX157" s="22">
        <v>1</v>
      </c>
      <c r="AY157" s="22">
        <v>1</v>
      </c>
      <c r="AZ157" s="22">
        <v>1</v>
      </c>
      <c r="BA157" s="22">
        <v>1</v>
      </c>
      <c r="BB157" s="64">
        <f t="shared" si="132"/>
        <v>1</v>
      </c>
      <c r="BD157" s="60">
        <v>-15.808</v>
      </c>
      <c r="BE157" s="60">
        <v>-0.16600000000000001</v>
      </c>
      <c r="BF157" s="60">
        <v>-0.16600000000000001</v>
      </c>
      <c r="BG157" s="60">
        <v>0</v>
      </c>
      <c r="BH157" s="60">
        <v>0</v>
      </c>
      <c r="BI157" s="8">
        <f t="shared" si="133"/>
        <v>-16.14</v>
      </c>
      <c r="BJ157" s="2" t="s">
        <v>91</v>
      </c>
      <c r="BL157" s="70">
        <v>-594543</v>
      </c>
      <c r="BM157" s="70">
        <v>-594543</v>
      </c>
      <c r="BO157" s="71">
        <v>0</v>
      </c>
      <c r="BP157" s="71">
        <v>0</v>
      </c>
      <c r="BQ157" s="72">
        <v>0</v>
      </c>
      <c r="BS157" s="61">
        <f t="shared" si="114"/>
        <v>0</v>
      </c>
      <c r="BT157" s="61">
        <f t="shared" si="115"/>
        <v>0</v>
      </c>
      <c r="BU157" s="61">
        <f t="shared" si="116"/>
        <v>0</v>
      </c>
      <c r="BV157" s="61">
        <f t="shared" si="116"/>
        <v>0</v>
      </c>
      <c r="BW157" s="61">
        <f t="shared" si="116"/>
        <v>0</v>
      </c>
      <c r="BX157" s="61">
        <f t="shared" si="116"/>
        <v>0</v>
      </c>
      <c r="BY157" s="61" t="s">
        <v>91</v>
      </c>
      <c r="CA157" s="61">
        <f t="shared" si="138"/>
        <v>0</v>
      </c>
      <c r="CB157" s="61">
        <f t="shared" si="138"/>
        <v>0</v>
      </c>
      <c r="CC157" s="61">
        <f t="shared" si="138"/>
        <v>0</v>
      </c>
      <c r="CD157" s="61">
        <f t="shared" si="138"/>
        <v>0</v>
      </c>
      <c r="CE157" s="61">
        <f t="shared" si="138"/>
        <v>0</v>
      </c>
      <c r="CF157" s="61">
        <f t="shared" si="126"/>
        <v>0</v>
      </c>
      <c r="CG157" s="61">
        <f t="shared" si="126"/>
        <v>0</v>
      </c>
      <c r="CH157" s="61">
        <f t="shared" si="126"/>
        <v>0</v>
      </c>
      <c r="CI157" s="61">
        <f t="shared" si="134"/>
        <v>0</v>
      </c>
      <c r="CJ157" s="61"/>
      <c r="CK157" s="61">
        <f t="shared" si="139"/>
        <v>0</v>
      </c>
      <c r="CL157" s="61">
        <f t="shared" si="139"/>
        <v>0</v>
      </c>
      <c r="CM157" s="61">
        <f t="shared" si="139"/>
        <v>0</v>
      </c>
      <c r="CN157" s="61">
        <f t="shared" si="139"/>
        <v>0</v>
      </c>
      <c r="CO157" s="61">
        <f t="shared" si="139"/>
        <v>0</v>
      </c>
      <c r="CP157" s="61">
        <f t="shared" si="127"/>
        <v>0</v>
      </c>
      <c r="CQ157" s="61">
        <f t="shared" si="127"/>
        <v>0</v>
      </c>
      <c r="CR157" s="61">
        <f t="shared" si="127"/>
        <v>0</v>
      </c>
      <c r="CS157" s="61">
        <f t="shared" si="135"/>
        <v>0</v>
      </c>
      <c r="CT157" s="61">
        <f t="shared" si="136"/>
        <v>0</v>
      </c>
      <c r="CV157" s="61">
        <f t="shared" si="137"/>
        <v>0</v>
      </c>
      <c r="CW157" s="61">
        <f t="shared" si="96"/>
        <v>0</v>
      </c>
      <c r="CX157" s="61"/>
      <c r="CY157" s="61">
        <f t="shared" si="97"/>
        <v>0</v>
      </c>
      <c r="CZ157" s="61">
        <f t="shared" si="117"/>
        <v>0</v>
      </c>
      <c r="DA157" s="61">
        <f t="shared" si="117"/>
        <v>0</v>
      </c>
      <c r="DB157" s="2" t="s">
        <v>85</v>
      </c>
      <c r="DC157" s="2" t="s">
        <v>102</v>
      </c>
      <c r="DD157" s="2" t="s">
        <v>142</v>
      </c>
      <c r="DE157" s="2" t="s">
        <v>181</v>
      </c>
      <c r="DF157" s="3" t="s">
        <v>248</v>
      </c>
      <c r="DG157" s="62">
        <v>42807</v>
      </c>
      <c r="EC157" s="60"/>
      <c r="ED157" s="60"/>
      <c r="EE157" s="60"/>
      <c r="EF157" s="60"/>
    </row>
    <row r="158" spans="2:140" ht="12.75" hidden="1" customHeight="1">
      <c r="B158" s="93" t="s">
        <v>420</v>
      </c>
      <c r="C158" s="22" t="s">
        <v>409</v>
      </c>
      <c r="D158" s="22" t="s">
        <v>410</v>
      </c>
      <c r="E158" s="2" t="str">
        <f>VLOOKUP($C158,[1]Detail!$C:$AK,6,0)</f>
        <v>BIW</v>
      </c>
      <c r="F158" s="2" t="str">
        <f>VLOOKUP($C158,[1]Detail!$C:$AK,7,0)</f>
        <v>TH</v>
      </c>
      <c r="G158" s="2" t="str">
        <f>VLOOKUP($C158,[1]Detail!$C:$AK,5,0)</f>
        <v>D</v>
      </c>
      <c r="J158" s="22" t="s">
        <v>138</v>
      </c>
      <c r="K158" s="23" t="s">
        <v>422</v>
      </c>
      <c r="L158" s="22" t="s">
        <v>180</v>
      </c>
      <c r="M158" s="51" t="str">
        <f t="shared" si="111"/>
        <v>JD8B-F16E039-AA</v>
      </c>
      <c r="O158" s="22">
        <v>1</v>
      </c>
      <c r="P158" s="22">
        <v>1</v>
      </c>
      <c r="Q158" s="22">
        <v>1</v>
      </c>
      <c r="R158" s="22">
        <v>1</v>
      </c>
      <c r="S158" s="22">
        <v>1</v>
      </c>
      <c r="T158" s="22">
        <v>1</v>
      </c>
      <c r="U158" s="22">
        <v>1</v>
      </c>
      <c r="V158" s="22">
        <v>1</v>
      </c>
      <c r="W158" s="64">
        <f t="shared" si="112"/>
        <v>1</v>
      </c>
      <c r="Y158" s="60">
        <v>-15.808</v>
      </c>
      <c r="Z158" s="60">
        <v>-0.16600000000000001</v>
      </c>
      <c r="AA158" s="60">
        <v>-0.16600000000000001</v>
      </c>
      <c r="AB158" s="60">
        <v>0</v>
      </c>
      <c r="AC158" s="60">
        <v>0</v>
      </c>
      <c r="AD158" s="8">
        <f t="shared" si="140"/>
        <v>-16.14</v>
      </c>
      <c r="AE158" s="2" t="s">
        <v>91</v>
      </c>
      <c r="AG158" s="70">
        <v>-594543</v>
      </c>
      <c r="AH158" s="70">
        <v>-594543</v>
      </c>
      <c r="AI158" s="6"/>
      <c r="AJ158" s="71">
        <v>0</v>
      </c>
      <c r="AK158" s="71">
        <v>0</v>
      </c>
      <c r="AL158" s="72">
        <v>0</v>
      </c>
      <c r="AM158" s="22"/>
      <c r="AO158" s="22" t="s">
        <v>138</v>
      </c>
      <c r="AP158" s="23" t="s">
        <v>422</v>
      </c>
      <c r="AQ158" s="22" t="s">
        <v>180</v>
      </c>
      <c r="AR158" s="51" t="str">
        <f t="shared" si="131"/>
        <v>JD8B-F16E039-AA</v>
      </c>
      <c r="AS158" s="3"/>
      <c r="AT158" s="22">
        <v>1</v>
      </c>
      <c r="AU158" s="22">
        <v>1</v>
      </c>
      <c r="AV158" s="22">
        <v>1</v>
      </c>
      <c r="AW158" s="22">
        <v>1</v>
      </c>
      <c r="AX158" s="22">
        <v>1</v>
      </c>
      <c r="AY158" s="22">
        <v>1</v>
      </c>
      <c r="AZ158" s="22">
        <v>1</v>
      </c>
      <c r="BA158" s="22">
        <v>1</v>
      </c>
      <c r="BB158" s="64">
        <f t="shared" si="132"/>
        <v>1</v>
      </c>
      <c r="BD158" s="60">
        <v>-15.808</v>
      </c>
      <c r="BE158" s="60">
        <v>-0.16600000000000001</v>
      </c>
      <c r="BF158" s="60">
        <v>-0.16600000000000001</v>
      </c>
      <c r="BG158" s="60">
        <v>0</v>
      </c>
      <c r="BH158" s="60">
        <v>0</v>
      </c>
      <c r="BI158" s="8">
        <f t="shared" si="133"/>
        <v>-16.14</v>
      </c>
      <c r="BJ158" s="2" t="s">
        <v>91</v>
      </c>
      <c r="BL158" s="70">
        <v>-594543</v>
      </c>
      <c r="BM158" s="70">
        <v>-594543</v>
      </c>
      <c r="BO158" s="71">
        <v>0</v>
      </c>
      <c r="BP158" s="71">
        <v>0</v>
      </c>
      <c r="BQ158" s="72">
        <v>0</v>
      </c>
      <c r="BS158" s="61">
        <f t="shared" si="114"/>
        <v>0</v>
      </c>
      <c r="BT158" s="61">
        <f t="shared" si="115"/>
        <v>0</v>
      </c>
      <c r="BU158" s="61">
        <f t="shared" si="116"/>
        <v>0</v>
      </c>
      <c r="BV158" s="61">
        <f t="shared" si="116"/>
        <v>0</v>
      </c>
      <c r="BW158" s="61">
        <f t="shared" si="116"/>
        <v>0</v>
      </c>
      <c r="BX158" s="61">
        <f t="shared" si="116"/>
        <v>0</v>
      </c>
      <c r="BY158" s="61" t="s">
        <v>91</v>
      </c>
      <c r="CA158" s="61">
        <f t="shared" si="138"/>
        <v>0</v>
      </c>
      <c r="CB158" s="61">
        <f t="shared" si="138"/>
        <v>0</v>
      </c>
      <c r="CC158" s="61">
        <f t="shared" si="138"/>
        <v>0</v>
      </c>
      <c r="CD158" s="61">
        <f t="shared" si="138"/>
        <v>0</v>
      </c>
      <c r="CE158" s="61">
        <f t="shared" si="138"/>
        <v>0</v>
      </c>
      <c r="CF158" s="61">
        <f t="shared" si="126"/>
        <v>0</v>
      </c>
      <c r="CG158" s="61">
        <f t="shared" si="126"/>
        <v>0</v>
      </c>
      <c r="CH158" s="61">
        <f t="shared" si="126"/>
        <v>0</v>
      </c>
      <c r="CI158" s="61">
        <f t="shared" si="134"/>
        <v>0</v>
      </c>
      <c r="CJ158" s="61"/>
      <c r="CK158" s="61">
        <f t="shared" si="139"/>
        <v>0</v>
      </c>
      <c r="CL158" s="61">
        <f t="shared" si="139"/>
        <v>0</v>
      </c>
      <c r="CM158" s="61">
        <f t="shared" si="139"/>
        <v>0</v>
      </c>
      <c r="CN158" s="61">
        <f t="shared" si="139"/>
        <v>0</v>
      </c>
      <c r="CO158" s="61">
        <f t="shared" si="139"/>
        <v>0</v>
      </c>
      <c r="CP158" s="61">
        <f t="shared" si="127"/>
        <v>0</v>
      </c>
      <c r="CQ158" s="61">
        <f t="shared" si="127"/>
        <v>0</v>
      </c>
      <c r="CR158" s="61">
        <f t="shared" si="127"/>
        <v>0</v>
      </c>
      <c r="CS158" s="61">
        <f t="shared" si="135"/>
        <v>0</v>
      </c>
      <c r="CT158" s="61">
        <f t="shared" si="136"/>
        <v>0</v>
      </c>
      <c r="CV158" s="61">
        <f t="shared" si="137"/>
        <v>0</v>
      </c>
      <c r="CW158" s="61">
        <f t="shared" si="96"/>
        <v>0</v>
      </c>
      <c r="CX158" s="61"/>
      <c r="CY158" s="61">
        <f t="shared" si="97"/>
        <v>0</v>
      </c>
      <c r="CZ158" s="61">
        <f t="shared" si="117"/>
        <v>0</v>
      </c>
      <c r="DA158" s="61">
        <f t="shared" si="117"/>
        <v>0</v>
      </c>
      <c r="DB158" s="2" t="s">
        <v>85</v>
      </c>
      <c r="DC158" s="2" t="s">
        <v>102</v>
      </c>
      <c r="DD158" s="2" t="s">
        <v>142</v>
      </c>
      <c r="DE158" s="2" t="s">
        <v>181</v>
      </c>
      <c r="DF158" s="3" t="s">
        <v>248</v>
      </c>
      <c r="DG158" s="62">
        <v>42807</v>
      </c>
      <c r="EC158" s="60"/>
      <c r="ED158" s="60"/>
      <c r="EE158" s="60"/>
      <c r="EF158" s="60"/>
    </row>
    <row r="159" spans="2:140" ht="12.75" hidden="1" customHeight="1">
      <c r="B159" s="93" t="s">
        <v>423</v>
      </c>
      <c r="C159" s="22" t="s">
        <v>409</v>
      </c>
      <c r="D159" s="22" t="s">
        <v>410</v>
      </c>
      <c r="E159" s="2" t="str">
        <f>VLOOKUP($C159,[1]Detail!$C:$AK,6,0)</f>
        <v>BIW</v>
      </c>
      <c r="F159" s="2" t="str">
        <f>VLOOKUP($C159,[1]Detail!$C:$AK,7,0)</f>
        <v>TH</v>
      </c>
      <c r="G159" s="2" t="str">
        <f>VLOOKUP($C159,[1]Detail!$C:$AK,5,0)</f>
        <v>D</v>
      </c>
      <c r="J159" s="22" t="s">
        <v>138</v>
      </c>
      <c r="K159" s="23" t="s">
        <v>421</v>
      </c>
      <c r="L159" s="22" t="s">
        <v>132</v>
      </c>
      <c r="M159" s="51" t="str">
        <f t="shared" si="111"/>
        <v>JD8B-F16E038-AB</v>
      </c>
      <c r="O159" s="22">
        <v>1</v>
      </c>
      <c r="P159" s="22">
        <v>1</v>
      </c>
      <c r="Q159" s="22">
        <v>1</v>
      </c>
      <c r="R159" s="22">
        <v>1</v>
      </c>
      <c r="S159" s="22">
        <v>1</v>
      </c>
      <c r="T159" s="22">
        <v>1</v>
      </c>
      <c r="U159" s="22">
        <v>1</v>
      </c>
      <c r="V159" s="22">
        <v>1</v>
      </c>
      <c r="W159" s="64">
        <f t="shared" si="112"/>
        <v>1</v>
      </c>
      <c r="Y159" s="60">
        <v>-15.808</v>
      </c>
      <c r="Z159" s="60">
        <v>-0.16600000000000001</v>
      </c>
      <c r="AA159" s="60">
        <v>-0.16600000000000001</v>
      </c>
      <c r="AB159" s="60">
        <v>0</v>
      </c>
      <c r="AC159" s="60">
        <v>0</v>
      </c>
      <c r="AD159" s="8">
        <f t="shared" si="140"/>
        <v>-16.14</v>
      </c>
      <c r="AE159" s="2" t="s">
        <v>91</v>
      </c>
      <c r="AG159" s="70">
        <f>-594543*0-628033</f>
        <v>-628033</v>
      </c>
      <c r="AH159" s="70">
        <f>-594543*0-628033</f>
        <v>-628033</v>
      </c>
      <c r="AI159" s="6"/>
      <c r="AJ159" s="71">
        <v>0</v>
      </c>
      <c r="AK159" s="71">
        <v>0</v>
      </c>
      <c r="AL159" s="72">
        <v>0</v>
      </c>
      <c r="AM159" s="22"/>
      <c r="AO159" s="22" t="s">
        <v>138</v>
      </c>
      <c r="AP159" s="23" t="s">
        <v>421</v>
      </c>
      <c r="AQ159" s="22" t="s">
        <v>180</v>
      </c>
      <c r="AR159" s="51" t="str">
        <f t="shared" si="131"/>
        <v>JD8B-F16E038-AA</v>
      </c>
      <c r="AS159" s="3"/>
      <c r="AT159" s="22">
        <v>1</v>
      </c>
      <c r="AU159" s="22">
        <v>1</v>
      </c>
      <c r="AV159" s="22">
        <v>1</v>
      </c>
      <c r="AW159" s="22">
        <v>1</v>
      </c>
      <c r="AX159" s="22">
        <v>1</v>
      </c>
      <c r="AY159" s="22">
        <v>1</v>
      </c>
      <c r="AZ159" s="22">
        <v>1</v>
      </c>
      <c r="BA159" s="22">
        <v>1</v>
      </c>
      <c r="BB159" s="64">
        <f t="shared" si="132"/>
        <v>1</v>
      </c>
      <c r="BD159" s="60">
        <v>-15.808</v>
      </c>
      <c r="BE159" s="60">
        <v>-0.16600000000000001</v>
      </c>
      <c r="BF159" s="60">
        <v>-0.16600000000000001</v>
      </c>
      <c r="BG159" s="60">
        <v>0</v>
      </c>
      <c r="BH159" s="60">
        <v>0</v>
      </c>
      <c r="BI159" s="8">
        <f t="shared" si="133"/>
        <v>-16.14</v>
      </c>
      <c r="BJ159" s="2" t="s">
        <v>91</v>
      </c>
      <c r="BL159" s="70">
        <v>-594543</v>
      </c>
      <c r="BM159" s="70">
        <v>-594543</v>
      </c>
      <c r="BO159" s="71">
        <v>0</v>
      </c>
      <c r="BP159" s="71">
        <v>0</v>
      </c>
      <c r="BQ159" s="72">
        <v>0</v>
      </c>
      <c r="BS159" s="61">
        <f t="shared" si="114"/>
        <v>0</v>
      </c>
      <c r="BT159" s="61">
        <f t="shared" si="115"/>
        <v>0</v>
      </c>
      <c r="BU159" s="61">
        <f t="shared" si="116"/>
        <v>0</v>
      </c>
      <c r="BV159" s="61">
        <f t="shared" si="116"/>
        <v>0</v>
      </c>
      <c r="BW159" s="61">
        <f t="shared" si="116"/>
        <v>0</v>
      </c>
      <c r="BX159" s="61">
        <f t="shared" si="116"/>
        <v>0</v>
      </c>
      <c r="BY159" s="61" t="s">
        <v>91</v>
      </c>
      <c r="CA159" s="61">
        <f t="shared" si="138"/>
        <v>0</v>
      </c>
      <c r="CB159" s="61">
        <f t="shared" si="138"/>
        <v>0</v>
      </c>
      <c r="CC159" s="61">
        <f t="shared" si="138"/>
        <v>0</v>
      </c>
      <c r="CD159" s="61">
        <f t="shared" si="138"/>
        <v>0</v>
      </c>
      <c r="CE159" s="61">
        <f t="shared" si="138"/>
        <v>0</v>
      </c>
      <c r="CF159" s="61">
        <f t="shared" si="126"/>
        <v>0</v>
      </c>
      <c r="CG159" s="61">
        <f t="shared" si="126"/>
        <v>0</v>
      </c>
      <c r="CH159" s="61">
        <f t="shared" si="126"/>
        <v>0</v>
      </c>
      <c r="CI159" s="61">
        <f t="shared" si="134"/>
        <v>0</v>
      </c>
      <c r="CJ159" s="61"/>
      <c r="CK159" s="61">
        <f t="shared" si="139"/>
        <v>0</v>
      </c>
      <c r="CL159" s="61">
        <f t="shared" si="139"/>
        <v>0</v>
      </c>
      <c r="CM159" s="61">
        <f t="shared" si="139"/>
        <v>0</v>
      </c>
      <c r="CN159" s="61">
        <f t="shared" si="139"/>
        <v>0</v>
      </c>
      <c r="CO159" s="61">
        <f t="shared" si="139"/>
        <v>0</v>
      </c>
      <c r="CP159" s="61">
        <f t="shared" si="127"/>
        <v>0</v>
      </c>
      <c r="CQ159" s="61">
        <f t="shared" si="127"/>
        <v>0</v>
      </c>
      <c r="CR159" s="61">
        <f t="shared" si="127"/>
        <v>0</v>
      </c>
      <c r="CS159" s="61">
        <f t="shared" si="135"/>
        <v>0</v>
      </c>
      <c r="CT159" s="61">
        <f t="shared" si="136"/>
        <v>0</v>
      </c>
      <c r="CV159" s="61">
        <f t="shared" si="137"/>
        <v>-33490</v>
      </c>
      <c r="CW159" s="61">
        <f t="shared" si="96"/>
        <v>-33490</v>
      </c>
      <c r="CX159" s="61"/>
      <c r="CY159" s="61">
        <f t="shared" si="97"/>
        <v>0</v>
      </c>
      <c r="CZ159" s="61">
        <f t="shared" si="117"/>
        <v>0</v>
      </c>
      <c r="DA159" s="61">
        <f t="shared" si="117"/>
        <v>0</v>
      </c>
      <c r="DB159" s="2" t="s">
        <v>102</v>
      </c>
      <c r="DC159" s="2" t="s">
        <v>85</v>
      </c>
      <c r="DD159" s="2" t="s">
        <v>142</v>
      </c>
      <c r="DE159" s="2" t="s">
        <v>181</v>
      </c>
      <c r="DF159" s="3" t="s">
        <v>86</v>
      </c>
      <c r="DG159" s="62">
        <v>42893</v>
      </c>
      <c r="EC159" s="60" t="str">
        <f>VLOOKUP($M159,[1]Detail!$M:$BO,1,0)</f>
        <v>JD8B-F16E038-AB</v>
      </c>
      <c r="ED159" s="60">
        <f>VLOOKUP($M159,[1]Detail!$M:$BO,22,0)</f>
        <v>-16.14</v>
      </c>
      <c r="EE159" s="60">
        <f>VLOOKUP($M159,[1]Detail!$M:$BO,42,0)</f>
        <v>-628033</v>
      </c>
      <c r="EF159" s="60">
        <f>VLOOKUP($M159,[1]Detail!$M:$BO,45,0)</f>
        <v>0</v>
      </c>
      <c r="EH159" s="60">
        <f>ED159-AD159</f>
        <v>0</v>
      </c>
      <c r="EI159" s="60">
        <f>EE159-AG159</f>
        <v>0</v>
      </c>
      <c r="EJ159" s="60">
        <f t="shared" ref="EJ159:EJ160" si="144">EF159-AJ159</f>
        <v>0</v>
      </c>
    </row>
    <row r="160" spans="2:140" ht="12.75" hidden="1" customHeight="1">
      <c r="B160" s="93" t="s">
        <v>423</v>
      </c>
      <c r="C160" s="22" t="s">
        <v>409</v>
      </c>
      <c r="D160" s="22" t="s">
        <v>410</v>
      </c>
      <c r="E160" s="2" t="str">
        <f>VLOOKUP($C160,[1]Detail!$C:$AK,6,0)</f>
        <v>BIW</v>
      </c>
      <c r="F160" s="2" t="str">
        <f>VLOOKUP($C160,[1]Detail!$C:$AK,7,0)</f>
        <v>TH</v>
      </c>
      <c r="G160" s="2" t="str">
        <f>VLOOKUP($C160,[1]Detail!$C:$AK,5,0)</f>
        <v>D</v>
      </c>
      <c r="J160" s="22" t="s">
        <v>138</v>
      </c>
      <c r="K160" s="23" t="s">
        <v>422</v>
      </c>
      <c r="L160" s="22" t="s">
        <v>132</v>
      </c>
      <c r="M160" s="51" t="str">
        <f t="shared" si="111"/>
        <v>JD8B-F16E039-AB</v>
      </c>
      <c r="O160" s="22">
        <v>1</v>
      </c>
      <c r="P160" s="22">
        <v>1</v>
      </c>
      <c r="Q160" s="22">
        <v>1</v>
      </c>
      <c r="R160" s="22">
        <v>1</v>
      </c>
      <c r="S160" s="22">
        <v>1</v>
      </c>
      <c r="T160" s="22">
        <v>1</v>
      </c>
      <c r="U160" s="22">
        <v>1</v>
      </c>
      <c r="V160" s="22">
        <v>1</v>
      </c>
      <c r="W160" s="64">
        <f t="shared" si="112"/>
        <v>1</v>
      </c>
      <c r="Y160" s="60">
        <v>-15.808</v>
      </c>
      <c r="Z160" s="60">
        <v>-0.16600000000000001</v>
      </c>
      <c r="AA160" s="60">
        <v>-0.16600000000000001</v>
      </c>
      <c r="AB160" s="60">
        <v>0</v>
      </c>
      <c r="AC160" s="60">
        <v>0</v>
      </c>
      <c r="AD160" s="8">
        <f t="shared" si="140"/>
        <v>-16.14</v>
      </c>
      <c r="AE160" s="2" t="s">
        <v>91</v>
      </c>
      <c r="AG160" s="70">
        <f>-594543*0-628033</f>
        <v>-628033</v>
      </c>
      <c r="AH160" s="70">
        <f>-594543*0-628033</f>
        <v>-628033</v>
      </c>
      <c r="AI160" s="6"/>
      <c r="AJ160" s="71">
        <v>0</v>
      </c>
      <c r="AK160" s="71">
        <v>0</v>
      </c>
      <c r="AL160" s="72">
        <v>0</v>
      </c>
      <c r="AM160" s="22"/>
      <c r="AO160" s="22" t="s">
        <v>138</v>
      </c>
      <c r="AP160" s="23" t="s">
        <v>422</v>
      </c>
      <c r="AQ160" s="22" t="s">
        <v>180</v>
      </c>
      <c r="AR160" s="51" t="str">
        <f t="shared" si="131"/>
        <v>JD8B-F16E039-AA</v>
      </c>
      <c r="AS160" s="3"/>
      <c r="AT160" s="22">
        <v>1</v>
      </c>
      <c r="AU160" s="22">
        <v>1</v>
      </c>
      <c r="AV160" s="22">
        <v>1</v>
      </c>
      <c r="AW160" s="22">
        <v>1</v>
      </c>
      <c r="AX160" s="22">
        <v>1</v>
      </c>
      <c r="AY160" s="22">
        <v>1</v>
      </c>
      <c r="AZ160" s="22">
        <v>1</v>
      </c>
      <c r="BA160" s="22">
        <v>1</v>
      </c>
      <c r="BB160" s="64">
        <f t="shared" si="132"/>
        <v>1</v>
      </c>
      <c r="BD160" s="60">
        <v>-15.808</v>
      </c>
      <c r="BE160" s="60">
        <v>-0.16600000000000001</v>
      </c>
      <c r="BF160" s="60">
        <v>-0.16600000000000001</v>
      </c>
      <c r="BG160" s="60">
        <v>0</v>
      </c>
      <c r="BH160" s="60">
        <v>0</v>
      </c>
      <c r="BI160" s="8">
        <f t="shared" si="133"/>
        <v>-16.14</v>
      </c>
      <c r="BJ160" s="2" t="s">
        <v>91</v>
      </c>
      <c r="BL160" s="70">
        <v>-594543</v>
      </c>
      <c r="BM160" s="70">
        <v>-594543</v>
      </c>
      <c r="BO160" s="71">
        <v>0</v>
      </c>
      <c r="BP160" s="71">
        <v>0</v>
      </c>
      <c r="BQ160" s="72">
        <v>0</v>
      </c>
      <c r="BS160" s="61">
        <f t="shared" si="114"/>
        <v>0</v>
      </c>
      <c r="BT160" s="61">
        <f t="shared" si="115"/>
        <v>0</v>
      </c>
      <c r="BU160" s="61">
        <f t="shared" si="116"/>
        <v>0</v>
      </c>
      <c r="BV160" s="61">
        <f t="shared" si="116"/>
        <v>0</v>
      </c>
      <c r="BW160" s="61">
        <f t="shared" si="116"/>
        <v>0</v>
      </c>
      <c r="BX160" s="61">
        <f t="shared" si="116"/>
        <v>0</v>
      </c>
      <c r="BY160" s="61" t="s">
        <v>91</v>
      </c>
      <c r="CA160" s="61">
        <f t="shared" si="138"/>
        <v>0</v>
      </c>
      <c r="CB160" s="61">
        <f t="shared" si="138"/>
        <v>0</v>
      </c>
      <c r="CC160" s="61">
        <f t="shared" si="138"/>
        <v>0</v>
      </c>
      <c r="CD160" s="61">
        <f t="shared" si="138"/>
        <v>0</v>
      </c>
      <c r="CE160" s="61">
        <f t="shared" si="138"/>
        <v>0</v>
      </c>
      <c r="CF160" s="61">
        <f t="shared" si="126"/>
        <v>0</v>
      </c>
      <c r="CG160" s="61">
        <f t="shared" si="126"/>
        <v>0</v>
      </c>
      <c r="CH160" s="61">
        <f t="shared" si="126"/>
        <v>0</v>
      </c>
      <c r="CI160" s="61">
        <f t="shared" si="134"/>
        <v>0</v>
      </c>
      <c r="CJ160" s="61"/>
      <c r="CK160" s="61">
        <f t="shared" si="139"/>
        <v>0</v>
      </c>
      <c r="CL160" s="61">
        <f t="shared" si="139"/>
        <v>0</v>
      </c>
      <c r="CM160" s="61">
        <f t="shared" si="139"/>
        <v>0</v>
      </c>
      <c r="CN160" s="61">
        <f t="shared" si="139"/>
        <v>0</v>
      </c>
      <c r="CO160" s="61">
        <f t="shared" si="139"/>
        <v>0</v>
      </c>
      <c r="CP160" s="61">
        <f t="shared" si="127"/>
        <v>0</v>
      </c>
      <c r="CQ160" s="61">
        <f t="shared" si="127"/>
        <v>0</v>
      </c>
      <c r="CR160" s="61">
        <f t="shared" si="127"/>
        <v>0</v>
      </c>
      <c r="CS160" s="61">
        <f t="shared" si="135"/>
        <v>0</v>
      </c>
      <c r="CT160" s="61">
        <f t="shared" si="136"/>
        <v>0</v>
      </c>
      <c r="CV160" s="61">
        <f t="shared" si="137"/>
        <v>-33490</v>
      </c>
      <c r="CW160" s="61">
        <f t="shared" si="96"/>
        <v>-33490</v>
      </c>
      <c r="CX160" s="61"/>
      <c r="CY160" s="61">
        <f t="shared" si="97"/>
        <v>0</v>
      </c>
      <c r="CZ160" s="61">
        <f t="shared" si="117"/>
        <v>0</v>
      </c>
      <c r="DA160" s="61">
        <f t="shared" si="117"/>
        <v>0</v>
      </c>
      <c r="DB160" s="2" t="s">
        <v>102</v>
      </c>
      <c r="DC160" s="2" t="s">
        <v>85</v>
      </c>
      <c r="DD160" s="2" t="s">
        <v>142</v>
      </c>
      <c r="DE160" s="2" t="s">
        <v>181</v>
      </c>
      <c r="DF160" s="3" t="s">
        <v>86</v>
      </c>
      <c r="DG160" s="62">
        <v>42893</v>
      </c>
      <c r="EC160" s="60" t="str">
        <f>VLOOKUP($M160,[1]Detail!$M:$BO,1,0)</f>
        <v>JD8B-F16E039-AB</v>
      </c>
      <c r="ED160" s="60">
        <f>VLOOKUP($M160,[1]Detail!$M:$BO,22,0)</f>
        <v>-16.14</v>
      </c>
      <c r="EE160" s="60">
        <f>VLOOKUP($M160,[1]Detail!$M:$BO,42,0)</f>
        <v>-628033</v>
      </c>
      <c r="EF160" s="60">
        <f>VLOOKUP($M160,[1]Detail!$M:$BO,45,0)</f>
        <v>0</v>
      </c>
      <c r="EH160" s="60">
        <f>ED160-AD160</f>
        <v>0</v>
      </c>
      <c r="EI160" s="60">
        <f>EE160-AG160</f>
        <v>0</v>
      </c>
      <c r="EJ160" s="60">
        <f t="shared" si="144"/>
        <v>0</v>
      </c>
    </row>
    <row r="161" spans="2:140" ht="12.75" hidden="1" customHeight="1">
      <c r="B161" s="22" t="s">
        <v>424</v>
      </c>
      <c r="C161" s="22" t="s">
        <v>425</v>
      </c>
      <c r="D161" s="22" t="s">
        <v>426</v>
      </c>
      <c r="E161" s="2" t="str">
        <f>VLOOKUP($C161,[1]Detail!$C:$AK,6,0)</f>
        <v>PMT4</v>
      </c>
      <c r="F161" s="2" t="str">
        <f>VLOOKUP($C161,[1]Detail!$C:$AK,7,0)</f>
        <v>PF</v>
      </c>
      <c r="G161" s="2" t="str">
        <f>VLOOKUP($C161,[1]Detail!$C:$AK,5,0)</f>
        <v>D</v>
      </c>
      <c r="J161" s="22" t="s">
        <v>427</v>
      </c>
      <c r="K161" s="23" t="s">
        <v>428</v>
      </c>
      <c r="L161" s="22" t="s">
        <v>180</v>
      </c>
      <c r="M161" s="51" t="str">
        <f t="shared" si="111"/>
        <v>JD8G-9D371-AA</v>
      </c>
      <c r="O161" s="22">
        <v>0</v>
      </c>
      <c r="P161" s="22">
        <v>0</v>
      </c>
      <c r="Q161" s="22">
        <v>0</v>
      </c>
      <c r="R161" s="22">
        <v>0</v>
      </c>
      <c r="S161" s="22">
        <v>1</v>
      </c>
      <c r="T161" s="22">
        <v>1</v>
      </c>
      <c r="U161" s="22">
        <v>0</v>
      </c>
      <c r="V161" s="22">
        <v>1</v>
      </c>
      <c r="W161" s="64">
        <f t="shared" si="112"/>
        <v>0.28000000000000003</v>
      </c>
      <c r="Y161" s="60">
        <f>-0.98*0-1.5</f>
        <v>-1.5</v>
      </c>
      <c r="Z161" s="60">
        <v>-0.01</v>
      </c>
      <c r="AA161" s="60">
        <v>-0.01</v>
      </c>
      <c r="AB161" s="60">
        <v>0</v>
      </c>
      <c r="AC161" s="60">
        <v>0</v>
      </c>
      <c r="AD161" s="8">
        <f t="shared" si="140"/>
        <v>-1.52</v>
      </c>
      <c r="AE161" s="2" t="s">
        <v>91</v>
      </c>
      <c r="AG161" s="70">
        <f>-79844.95*0-199405</f>
        <v>-199405</v>
      </c>
      <c r="AH161" s="70">
        <f>-79844.95*0-199405</f>
        <v>-199405</v>
      </c>
      <c r="AI161" s="6"/>
      <c r="AJ161" s="71">
        <v>0</v>
      </c>
      <c r="AK161" s="71">
        <v>0</v>
      </c>
      <c r="AL161" s="72">
        <v>0</v>
      </c>
      <c r="AM161" s="22"/>
      <c r="AO161" s="22" t="s">
        <v>427</v>
      </c>
      <c r="AP161" s="23" t="s">
        <v>429</v>
      </c>
      <c r="AQ161" s="22" t="s">
        <v>180</v>
      </c>
      <c r="AR161" s="51" t="str">
        <f t="shared" si="131"/>
        <v>JD8G-9D371-AA</v>
      </c>
      <c r="AS161" s="3"/>
      <c r="AT161" s="22">
        <v>0</v>
      </c>
      <c r="AU161" s="22">
        <v>0</v>
      </c>
      <c r="AV161" s="22">
        <v>0</v>
      </c>
      <c r="AW161" s="22">
        <v>0</v>
      </c>
      <c r="AX161" s="22">
        <v>1</v>
      </c>
      <c r="AY161" s="22">
        <v>1</v>
      </c>
      <c r="AZ161" s="22">
        <v>0</v>
      </c>
      <c r="BA161" s="22">
        <v>1</v>
      </c>
      <c r="BB161" s="64">
        <f t="shared" si="132"/>
        <v>0.28000000000000003</v>
      </c>
      <c r="BD161" s="60">
        <v>-0.98</v>
      </c>
      <c r="BE161" s="60">
        <v>-0.01</v>
      </c>
      <c r="BF161" s="60">
        <v>-0.01</v>
      </c>
      <c r="BG161" s="60">
        <v>0</v>
      </c>
      <c r="BH161" s="60">
        <v>0</v>
      </c>
      <c r="BI161" s="8">
        <f t="shared" si="133"/>
        <v>-1</v>
      </c>
      <c r="BJ161" s="2" t="s">
        <v>91</v>
      </c>
      <c r="BL161" s="70">
        <v>-79844.95</v>
      </c>
      <c r="BM161" s="70">
        <v>-79844.95</v>
      </c>
      <c r="BO161" s="71">
        <v>0</v>
      </c>
      <c r="BP161" s="71">
        <v>0</v>
      </c>
      <c r="BQ161" s="72">
        <v>0</v>
      </c>
      <c r="BS161" s="61">
        <f t="shared" si="114"/>
        <v>-0.52</v>
      </c>
      <c r="BT161" s="61">
        <f t="shared" si="115"/>
        <v>0</v>
      </c>
      <c r="BU161" s="61">
        <f t="shared" si="116"/>
        <v>0</v>
      </c>
      <c r="BV161" s="61">
        <f t="shared" si="116"/>
        <v>0</v>
      </c>
      <c r="BW161" s="61">
        <f t="shared" si="116"/>
        <v>0</v>
      </c>
      <c r="BX161" s="61">
        <f t="shared" si="116"/>
        <v>-0.52</v>
      </c>
      <c r="BY161" s="61" t="s">
        <v>91</v>
      </c>
      <c r="CA161" s="61">
        <f t="shared" si="138"/>
        <v>0</v>
      </c>
      <c r="CB161" s="61">
        <f t="shared" si="138"/>
        <v>0</v>
      </c>
      <c r="CC161" s="61">
        <f t="shared" si="138"/>
        <v>0</v>
      </c>
      <c r="CD161" s="61">
        <f t="shared" si="138"/>
        <v>0</v>
      </c>
      <c r="CE161" s="61">
        <f t="shared" si="138"/>
        <v>-7.823078080336994E-2</v>
      </c>
      <c r="CF161" s="61">
        <f t="shared" si="126"/>
        <v>-7.823078080336994E-2</v>
      </c>
      <c r="CG161" s="61">
        <f t="shared" si="126"/>
        <v>0</v>
      </c>
      <c r="CH161" s="61">
        <f t="shared" si="126"/>
        <v>-7.823078080336994E-2</v>
      </c>
      <c r="CI161" s="61">
        <f t="shared" si="134"/>
        <v>-2.1904618624943584E-2</v>
      </c>
      <c r="CJ161" s="61"/>
      <c r="CK161" s="61">
        <f t="shared" si="139"/>
        <v>0</v>
      </c>
      <c r="CL161" s="61">
        <f t="shared" si="139"/>
        <v>0</v>
      </c>
      <c r="CM161" s="61">
        <f t="shared" si="139"/>
        <v>0</v>
      </c>
      <c r="CN161" s="61">
        <f t="shared" si="139"/>
        <v>0</v>
      </c>
      <c r="CO161" s="61">
        <f t="shared" si="139"/>
        <v>-7.823078080336994E-2</v>
      </c>
      <c r="CP161" s="61">
        <f t="shared" si="127"/>
        <v>-7.823078080336994E-2</v>
      </c>
      <c r="CQ161" s="61">
        <f t="shared" si="127"/>
        <v>0</v>
      </c>
      <c r="CR161" s="61">
        <f t="shared" si="127"/>
        <v>-7.823078080336994E-2</v>
      </c>
      <c r="CS161" s="61">
        <f t="shared" si="135"/>
        <v>-2.1904618624943584E-2</v>
      </c>
      <c r="CT161" s="61">
        <f t="shared" si="136"/>
        <v>-0.14560000000000001</v>
      </c>
      <c r="CV161" s="61">
        <f t="shared" si="137"/>
        <v>-119560.05</v>
      </c>
      <c r="CW161" s="61">
        <f t="shared" si="96"/>
        <v>-119560.05</v>
      </c>
      <c r="CX161" s="61"/>
      <c r="CY161" s="61">
        <f t="shared" si="97"/>
        <v>0</v>
      </c>
      <c r="CZ161" s="61">
        <f t="shared" si="117"/>
        <v>0</v>
      </c>
      <c r="DA161" s="61">
        <f t="shared" si="117"/>
        <v>0</v>
      </c>
      <c r="DB161" s="2" t="s">
        <v>85</v>
      </c>
      <c r="DC161" s="2" t="s">
        <v>102</v>
      </c>
      <c r="DD161" s="2" t="s">
        <v>142</v>
      </c>
      <c r="DE161" s="2" t="s">
        <v>257</v>
      </c>
      <c r="DF161" s="3" t="s">
        <v>86</v>
      </c>
      <c r="DG161" s="62">
        <v>42833</v>
      </c>
      <c r="EC161" s="60"/>
      <c r="ED161" s="60"/>
      <c r="EE161" s="60"/>
      <c r="EF161" s="60"/>
    </row>
    <row r="162" spans="2:140" ht="12.75" hidden="1" customHeight="1">
      <c r="B162" s="22" t="s">
        <v>430</v>
      </c>
      <c r="C162" s="22" t="s">
        <v>425</v>
      </c>
      <c r="D162" s="22" t="s">
        <v>426</v>
      </c>
      <c r="E162" s="2" t="str">
        <f>VLOOKUP($C162,[1]Detail!$C:$AK,6,0)</f>
        <v>PMT4</v>
      </c>
      <c r="F162" s="2" t="str">
        <f>VLOOKUP($C162,[1]Detail!$C:$AK,7,0)</f>
        <v>PF</v>
      </c>
      <c r="G162" s="2" t="str">
        <f>VLOOKUP($C162,[1]Detail!$C:$AK,5,0)</f>
        <v>D</v>
      </c>
      <c r="J162" s="22" t="s">
        <v>427</v>
      </c>
      <c r="K162" s="23" t="s">
        <v>428</v>
      </c>
      <c r="L162" s="22" t="s">
        <v>132</v>
      </c>
      <c r="M162" s="51" t="str">
        <f t="shared" si="111"/>
        <v>JD8G-9D371-AB</v>
      </c>
      <c r="O162" s="22">
        <v>0</v>
      </c>
      <c r="P162" s="22">
        <v>0</v>
      </c>
      <c r="Q162" s="22">
        <v>0</v>
      </c>
      <c r="R162" s="22">
        <v>0</v>
      </c>
      <c r="S162" s="22">
        <v>1</v>
      </c>
      <c r="T162" s="22">
        <v>1</v>
      </c>
      <c r="U162" s="22">
        <v>0</v>
      </c>
      <c r="V162" s="22">
        <v>1</v>
      </c>
      <c r="W162" s="64">
        <f t="shared" si="112"/>
        <v>0.28000000000000003</v>
      </c>
      <c r="Y162" s="60">
        <f>-0.98*0-1.5</f>
        <v>-1.5</v>
      </c>
      <c r="Z162" s="60">
        <v>-0.01</v>
      </c>
      <c r="AA162" s="60">
        <v>-0.01</v>
      </c>
      <c r="AB162" s="60">
        <v>0</v>
      </c>
      <c r="AC162" s="60">
        <v>0</v>
      </c>
      <c r="AD162" s="8">
        <f t="shared" si="140"/>
        <v>-1.52</v>
      </c>
      <c r="AE162" s="2" t="s">
        <v>91</v>
      </c>
      <c r="AG162" s="70">
        <f>-79844.95*0-199405</f>
        <v>-199405</v>
      </c>
      <c r="AH162" s="70">
        <f>-79844.95*0-199405</f>
        <v>-199405</v>
      </c>
      <c r="AI162" s="6"/>
      <c r="AJ162" s="71">
        <v>0</v>
      </c>
      <c r="AK162" s="71">
        <v>0</v>
      </c>
      <c r="AL162" s="72">
        <v>0</v>
      </c>
      <c r="AM162" s="22"/>
      <c r="AO162" s="22" t="s">
        <v>427</v>
      </c>
      <c r="AP162" s="23" t="s">
        <v>429</v>
      </c>
      <c r="AQ162" s="22" t="s">
        <v>180</v>
      </c>
      <c r="AR162" s="51" t="s">
        <v>431</v>
      </c>
      <c r="AS162" s="3"/>
      <c r="AT162" s="22">
        <v>0</v>
      </c>
      <c r="AU162" s="22">
        <v>0</v>
      </c>
      <c r="AV162" s="22">
        <v>0</v>
      </c>
      <c r="AW162" s="22">
        <v>0</v>
      </c>
      <c r="AX162" s="22">
        <v>1</v>
      </c>
      <c r="AY162" s="22">
        <v>1</v>
      </c>
      <c r="AZ162" s="22">
        <v>0</v>
      </c>
      <c r="BA162" s="22">
        <v>1</v>
      </c>
      <c r="BB162" s="64">
        <v>0.28000000000000003</v>
      </c>
      <c r="BD162" s="60">
        <v>-1.5</v>
      </c>
      <c r="BE162" s="60">
        <v>-0.01</v>
      </c>
      <c r="BF162" s="60">
        <v>-0.01</v>
      </c>
      <c r="BG162" s="60">
        <v>0</v>
      </c>
      <c r="BH162" s="60">
        <v>0</v>
      </c>
      <c r="BI162" s="8">
        <v>-1.52</v>
      </c>
      <c r="BJ162" s="2" t="s">
        <v>91</v>
      </c>
      <c r="BL162" s="70">
        <v>-199405</v>
      </c>
      <c r="BM162" s="70">
        <v>-199405</v>
      </c>
      <c r="BO162" s="71">
        <v>0</v>
      </c>
      <c r="BP162" s="71">
        <v>0</v>
      </c>
      <c r="BQ162" s="72">
        <v>0</v>
      </c>
      <c r="BS162" s="61">
        <f t="shared" si="114"/>
        <v>0</v>
      </c>
      <c r="BT162" s="61">
        <f t="shared" si="115"/>
        <v>0</v>
      </c>
      <c r="BU162" s="61">
        <f t="shared" si="116"/>
        <v>0</v>
      </c>
      <c r="BV162" s="61">
        <f t="shared" si="116"/>
        <v>0</v>
      </c>
      <c r="BW162" s="61">
        <f t="shared" si="116"/>
        <v>0</v>
      </c>
      <c r="BX162" s="61">
        <f t="shared" si="116"/>
        <v>0</v>
      </c>
      <c r="BY162" s="61" t="s">
        <v>91</v>
      </c>
      <c r="CA162" s="61">
        <f t="shared" si="138"/>
        <v>0</v>
      </c>
      <c r="CB162" s="61">
        <f t="shared" si="138"/>
        <v>0</v>
      </c>
      <c r="CC162" s="61">
        <f t="shared" si="138"/>
        <v>0</v>
      </c>
      <c r="CD162" s="61">
        <f t="shared" si="138"/>
        <v>0</v>
      </c>
      <c r="CE162" s="61">
        <f t="shared" si="138"/>
        <v>0</v>
      </c>
      <c r="CF162" s="61">
        <f t="shared" si="126"/>
        <v>0</v>
      </c>
      <c r="CG162" s="61">
        <f t="shared" si="126"/>
        <v>0</v>
      </c>
      <c r="CH162" s="61">
        <f t="shared" si="126"/>
        <v>0</v>
      </c>
      <c r="CI162" s="61">
        <f t="shared" si="134"/>
        <v>0</v>
      </c>
      <c r="CJ162" s="61"/>
      <c r="CK162" s="61">
        <f t="shared" si="139"/>
        <v>0</v>
      </c>
      <c r="CL162" s="61">
        <f t="shared" si="139"/>
        <v>0</v>
      </c>
      <c r="CM162" s="61">
        <f t="shared" si="139"/>
        <v>0</v>
      </c>
      <c r="CN162" s="61">
        <f t="shared" si="139"/>
        <v>0</v>
      </c>
      <c r="CO162" s="61">
        <f t="shared" si="139"/>
        <v>0</v>
      </c>
      <c r="CP162" s="61">
        <f t="shared" si="127"/>
        <v>0</v>
      </c>
      <c r="CQ162" s="61">
        <f t="shared" si="127"/>
        <v>0</v>
      </c>
      <c r="CR162" s="61">
        <f t="shared" si="127"/>
        <v>0</v>
      </c>
      <c r="CS162" s="61">
        <f t="shared" si="135"/>
        <v>0</v>
      </c>
      <c r="CT162" s="61">
        <f t="shared" si="136"/>
        <v>0</v>
      </c>
      <c r="CV162" s="61">
        <f t="shared" si="137"/>
        <v>0</v>
      </c>
      <c r="CW162" s="61">
        <f t="shared" si="96"/>
        <v>0</v>
      </c>
      <c r="CX162" s="61"/>
      <c r="CY162" s="61">
        <f t="shared" si="97"/>
        <v>0</v>
      </c>
      <c r="CZ162" s="61">
        <f t="shared" si="117"/>
        <v>0</v>
      </c>
      <c r="DA162" s="61">
        <f t="shared" si="117"/>
        <v>0</v>
      </c>
      <c r="DB162" s="2" t="s">
        <v>102</v>
      </c>
      <c r="DC162" s="2" t="s">
        <v>85</v>
      </c>
      <c r="DD162" s="2" t="s">
        <v>142</v>
      </c>
      <c r="DE162" s="2" t="s">
        <v>257</v>
      </c>
      <c r="DF162" s="3" t="s">
        <v>86</v>
      </c>
      <c r="DG162" s="62">
        <v>42845</v>
      </c>
      <c r="EC162" s="60" t="str">
        <f>VLOOKUP($M162,[1]Detail!$M:$BO,1,0)</f>
        <v>JD8G-9D371-AB</v>
      </c>
      <c r="ED162" s="60">
        <f>VLOOKUP($M162,[1]Detail!$M:$BO,22,0)</f>
        <v>-1.52</v>
      </c>
      <c r="EE162" s="60">
        <f>VLOOKUP($M162,[1]Detail!$M:$BO,42,0)</f>
        <v>-199405</v>
      </c>
      <c r="EF162" s="60">
        <f>VLOOKUP($M162,[1]Detail!$M:$BO,45,0)</f>
        <v>0</v>
      </c>
      <c r="EH162" s="60">
        <f>ED162-AD162</f>
        <v>0</v>
      </c>
      <c r="EI162" s="60">
        <f>EE162-AG162</f>
        <v>0</v>
      </c>
      <c r="EJ162" s="60">
        <f>EF162-AJ162</f>
        <v>0</v>
      </c>
    </row>
    <row r="163" spans="2:140" ht="12.75" hidden="1" customHeight="1">
      <c r="B163" s="93" t="s">
        <v>432</v>
      </c>
      <c r="C163" s="22" t="s">
        <v>433</v>
      </c>
      <c r="D163" s="22" t="s">
        <v>434</v>
      </c>
      <c r="E163" s="2" t="str">
        <f>VLOOKUP($C163,[1]Detail!$C:$AK,6,0)</f>
        <v>BIW</v>
      </c>
      <c r="F163" s="2" t="str">
        <f>VLOOKUP($C163,[1]Detail!$C:$AK,7,0)</f>
        <v>TH</v>
      </c>
      <c r="G163" s="2" t="str">
        <f>VLOOKUP($C163,[1]Detail!$C:$AK,5,0)</f>
        <v>D</v>
      </c>
      <c r="J163" s="22" t="s">
        <v>138</v>
      </c>
      <c r="K163" s="23" t="s">
        <v>435</v>
      </c>
      <c r="L163" s="22" t="s">
        <v>180</v>
      </c>
      <c r="M163" s="51" t="str">
        <f t="shared" si="111"/>
        <v>JD8B-F02010-AA</v>
      </c>
      <c r="O163" s="22">
        <v>1</v>
      </c>
      <c r="P163" s="22">
        <v>1</v>
      </c>
      <c r="Q163" s="22">
        <v>1</v>
      </c>
      <c r="R163" s="22">
        <v>1</v>
      </c>
      <c r="S163" s="22">
        <v>1</v>
      </c>
      <c r="T163" s="22">
        <v>1</v>
      </c>
      <c r="U163" s="22">
        <v>1</v>
      </c>
      <c r="V163" s="22">
        <v>1</v>
      </c>
      <c r="W163" s="64">
        <f t="shared" si="112"/>
        <v>1</v>
      </c>
      <c r="Y163" s="95">
        <v>-30.4</v>
      </c>
      <c r="Z163" s="95">
        <v>-0.69</v>
      </c>
      <c r="AA163" s="95">
        <v>-0.86</v>
      </c>
      <c r="AB163" s="95">
        <v>0</v>
      </c>
      <c r="AC163" s="95">
        <v>0</v>
      </c>
      <c r="AD163" s="8">
        <f t="shared" si="140"/>
        <v>-31.95</v>
      </c>
      <c r="AE163" s="2" t="s">
        <v>91</v>
      </c>
      <c r="AG163" s="96">
        <v>-97254</v>
      </c>
      <c r="AH163" s="96">
        <v>-97254</v>
      </c>
      <c r="AI163" s="6"/>
      <c r="AJ163" s="71">
        <v>0</v>
      </c>
      <c r="AK163" s="71">
        <v>0</v>
      </c>
      <c r="AL163" s="72">
        <v>0</v>
      </c>
      <c r="AM163" s="22"/>
      <c r="AO163" s="22" t="s">
        <v>204</v>
      </c>
      <c r="AP163" s="23" t="s">
        <v>435</v>
      </c>
      <c r="AQ163" s="22" t="s">
        <v>436</v>
      </c>
      <c r="AR163" s="51" t="str">
        <f t="shared" ref="AR163:AR225" si="145">TRIM(AO163)&amp;"-"&amp;TRIM(AP163)&amp;"-"&amp;TRIM(AQ163)</f>
        <v>ED8B-F02010-AD</v>
      </c>
      <c r="AS163" s="3"/>
      <c r="AT163" s="22">
        <v>1</v>
      </c>
      <c r="AU163" s="22">
        <v>1</v>
      </c>
      <c r="AV163" s="22">
        <v>1</v>
      </c>
      <c r="AW163" s="22">
        <v>1</v>
      </c>
      <c r="AX163" s="22">
        <v>1</v>
      </c>
      <c r="AY163" s="22">
        <v>1</v>
      </c>
      <c r="AZ163" s="22">
        <v>1</v>
      </c>
      <c r="BA163" s="22">
        <v>1</v>
      </c>
      <c r="BB163" s="64">
        <f t="shared" ref="BB163:BB225" si="146">SUMPRODUCT(AT163:BA163,$O$6:$V$6)</f>
        <v>1</v>
      </c>
      <c r="BD163" s="95">
        <v>-29.21</v>
      </c>
      <c r="BE163" s="95">
        <v>-0.69</v>
      </c>
      <c r="BF163" s="95">
        <v>-0.86</v>
      </c>
      <c r="BG163" s="95">
        <v>0</v>
      </c>
      <c r="BH163" s="95">
        <v>0</v>
      </c>
      <c r="BI163" s="8">
        <f t="shared" ref="BI163:BI195" si="147">SUM(BD163:BH163)</f>
        <v>-30.76</v>
      </c>
      <c r="BJ163" s="2" t="s">
        <v>91</v>
      </c>
      <c r="BL163" s="96">
        <v>0</v>
      </c>
      <c r="BM163" s="96">
        <v>0</v>
      </c>
      <c r="BO163" s="71">
        <v>0</v>
      </c>
      <c r="BP163" s="71">
        <v>0</v>
      </c>
      <c r="BQ163" s="72">
        <v>0</v>
      </c>
      <c r="BS163" s="61">
        <f t="shared" si="114"/>
        <v>-1.1899999999999977</v>
      </c>
      <c r="BT163" s="61">
        <f t="shared" si="115"/>
        <v>0</v>
      </c>
      <c r="BU163" s="61">
        <f t="shared" si="116"/>
        <v>0</v>
      </c>
      <c r="BV163" s="61">
        <f t="shared" si="116"/>
        <v>0</v>
      </c>
      <c r="BW163" s="61">
        <f t="shared" si="116"/>
        <v>0</v>
      </c>
      <c r="BX163" s="61">
        <f t="shared" si="116"/>
        <v>-1.1899999999999977</v>
      </c>
      <c r="BY163" s="61" t="s">
        <v>91</v>
      </c>
      <c r="CA163" s="61">
        <f t="shared" si="138"/>
        <v>-0.179028132992327</v>
      </c>
      <c r="CB163" s="61">
        <f t="shared" si="138"/>
        <v>-0.179028132992327</v>
      </c>
      <c r="CC163" s="61">
        <f t="shared" si="138"/>
        <v>-0.179028132992327</v>
      </c>
      <c r="CD163" s="61">
        <f t="shared" si="138"/>
        <v>-0.179028132992327</v>
      </c>
      <c r="CE163" s="61">
        <f t="shared" si="138"/>
        <v>-0.179028132992327</v>
      </c>
      <c r="CF163" s="61">
        <f t="shared" si="126"/>
        <v>-0.179028132992327</v>
      </c>
      <c r="CG163" s="61">
        <f t="shared" si="126"/>
        <v>-0.179028132992327</v>
      </c>
      <c r="CH163" s="61">
        <f t="shared" si="126"/>
        <v>-0.179028132992327</v>
      </c>
      <c r="CI163" s="61">
        <f t="shared" si="134"/>
        <v>-0.179028132992327</v>
      </c>
      <c r="CJ163" s="61"/>
      <c r="CK163" s="61">
        <f t="shared" si="139"/>
        <v>-0.179028132992327</v>
      </c>
      <c r="CL163" s="61">
        <f t="shared" si="139"/>
        <v>-0.179028132992327</v>
      </c>
      <c r="CM163" s="61">
        <f t="shared" si="139"/>
        <v>-0.179028132992327</v>
      </c>
      <c r="CN163" s="61">
        <f t="shared" si="139"/>
        <v>-0.179028132992327</v>
      </c>
      <c r="CO163" s="61">
        <f t="shared" si="139"/>
        <v>-0.179028132992327</v>
      </c>
      <c r="CP163" s="61">
        <f t="shared" si="127"/>
        <v>-0.179028132992327</v>
      </c>
      <c r="CQ163" s="61">
        <f t="shared" si="127"/>
        <v>-0.179028132992327</v>
      </c>
      <c r="CR163" s="61">
        <f t="shared" si="127"/>
        <v>-0.179028132992327</v>
      </c>
      <c r="CS163" s="61">
        <f t="shared" si="135"/>
        <v>-0.179028132992327</v>
      </c>
      <c r="CT163" s="61">
        <f t="shared" si="136"/>
        <v>-1.1899999999999977</v>
      </c>
      <c r="CV163" s="61">
        <f t="shared" si="137"/>
        <v>-97254</v>
      </c>
      <c r="CW163" s="61">
        <f t="shared" si="96"/>
        <v>-97254</v>
      </c>
      <c r="CX163" s="61"/>
      <c r="CY163" s="61">
        <f t="shared" si="97"/>
        <v>0</v>
      </c>
      <c r="CZ163" s="61">
        <f t="shared" si="117"/>
        <v>0</v>
      </c>
      <c r="DA163" s="61">
        <f t="shared" si="117"/>
        <v>0</v>
      </c>
      <c r="DB163" s="2" t="s">
        <v>289</v>
      </c>
      <c r="DC163" s="2" t="s">
        <v>102</v>
      </c>
      <c r="DD163" s="2" t="s">
        <v>142</v>
      </c>
      <c r="DE163" s="2" t="s">
        <v>181</v>
      </c>
      <c r="DF163" s="3" t="s">
        <v>118</v>
      </c>
      <c r="DG163" s="62">
        <v>42800</v>
      </c>
      <c r="EC163" s="60"/>
      <c r="ED163" s="60"/>
      <c r="EE163" s="60"/>
      <c r="EF163" s="60"/>
    </row>
    <row r="164" spans="2:140" ht="12.75" hidden="1" customHeight="1">
      <c r="B164" s="93" t="s">
        <v>437</v>
      </c>
      <c r="C164" s="22" t="s">
        <v>438</v>
      </c>
      <c r="D164" s="22" t="s">
        <v>439</v>
      </c>
      <c r="E164" s="2" t="str">
        <f>VLOOKUP($C164,[1]Detail!$C:$AK,6,0)</f>
        <v>PMT4</v>
      </c>
      <c r="F164" s="2" t="str">
        <f>VLOOKUP($C164,[1]Detail!$C:$AK,7,0)</f>
        <v>PF</v>
      </c>
      <c r="G164" s="2" t="str">
        <f>VLOOKUP($C164,[1]Detail!$C:$AK,5,0)</f>
        <v>D</v>
      </c>
      <c r="J164" s="22" t="s">
        <v>427</v>
      </c>
      <c r="K164" s="23" t="s">
        <v>440</v>
      </c>
      <c r="L164" s="22" t="s">
        <v>180</v>
      </c>
      <c r="M164" s="51" t="str">
        <f t="shared" si="111"/>
        <v>JD8G-9D665-AA</v>
      </c>
      <c r="O164" s="22">
        <v>1</v>
      </c>
      <c r="P164" s="22">
        <v>1</v>
      </c>
      <c r="Q164" s="22">
        <v>1</v>
      </c>
      <c r="R164" s="22">
        <v>1</v>
      </c>
      <c r="S164" s="22">
        <v>0</v>
      </c>
      <c r="T164" s="22">
        <v>0</v>
      </c>
      <c r="U164" s="22">
        <v>1</v>
      </c>
      <c r="V164" s="22">
        <v>0</v>
      </c>
      <c r="W164" s="64">
        <f t="shared" si="112"/>
        <v>0.72000000000000008</v>
      </c>
      <c r="Y164" s="95">
        <v>-3.48</v>
      </c>
      <c r="Z164" s="95">
        <v>-0.13</v>
      </c>
      <c r="AA164" s="95">
        <v>-0.1</v>
      </c>
      <c r="AB164" s="95">
        <v>0</v>
      </c>
      <c r="AC164" s="95">
        <v>0</v>
      </c>
      <c r="AD164" s="8">
        <f t="shared" si="140"/>
        <v>-3.71</v>
      </c>
      <c r="AE164" s="2" t="s">
        <v>91</v>
      </c>
      <c r="AG164" s="96">
        <v>-299002.13</v>
      </c>
      <c r="AH164" s="96">
        <f>AG164</f>
        <v>-299002.13</v>
      </c>
      <c r="AI164" s="6"/>
      <c r="AJ164" s="71">
        <v>0</v>
      </c>
      <c r="AK164" s="71">
        <v>0</v>
      </c>
      <c r="AL164" s="72">
        <v>0</v>
      </c>
      <c r="AM164" s="22"/>
      <c r="AO164" s="22" t="s">
        <v>427</v>
      </c>
      <c r="AP164" s="23" t="s">
        <v>440</v>
      </c>
      <c r="AQ164" s="22" t="s">
        <v>180</v>
      </c>
      <c r="AR164" s="51" t="str">
        <f t="shared" si="145"/>
        <v>JD8G-9D665-AA</v>
      </c>
      <c r="AS164" s="3"/>
      <c r="AT164" s="22">
        <v>1</v>
      </c>
      <c r="AU164" s="22">
        <v>1</v>
      </c>
      <c r="AV164" s="22">
        <v>1</v>
      </c>
      <c r="AW164" s="22">
        <v>1</v>
      </c>
      <c r="AX164" s="22">
        <v>0</v>
      </c>
      <c r="AY164" s="22">
        <v>0</v>
      </c>
      <c r="AZ164" s="22">
        <v>1</v>
      </c>
      <c r="BA164" s="22">
        <v>0</v>
      </c>
      <c r="BB164" s="64">
        <f t="shared" si="146"/>
        <v>0.72000000000000008</v>
      </c>
      <c r="BD164" s="95">
        <v>-3.48</v>
      </c>
      <c r="BE164" s="95">
        <v>-0.13</v>
      </c>
      <c r="BF164" s="95">
        <v>-0.1</v>
      </c>
      <c r="BG164" s="95">
        <v>0</v>
      </c>
      <c r="BH164" s="95">
        <v>0</v>
      </c>
      <c r="BI164" s="8">
        <f t="shared" si="147"/>
        <v>-3.71</v>
      </c>
      <c r="BJ164" s="2" t="s">
        <v>91</v>
      </c>
      <c r="BL164" s="96">
        <v>-299002.13</v>
      </c>
      <c r="BM164" s="96">
        <f>BL164</f>
        <v>-299002.13</v>
      </c>
      <c r="BO164" s="71">
        <v>0</v>
      </c>
      <c r="BP164" s="71">
        <v>0</v>
      </c>
      <c r="BQ164" s="72">
        <v>0</v>
      </c>
      <c r="BS164" s="61">
        <f t="shared" si="114"/>
        <v>0</v>
      </c>
      <c r="BT164" s="61">
        <f t="shared" si="115"/>
        <v>0</v>
      </c>
      <c r="BU164" s="61">
        <f t="shared" si="116"/>
        <v>0</v>
      </c>
      <c r="BV164" s="61">
        <f t="shared" si="116"/>
        <v>0</v>
      </c>
      <c r="BW164" s="61">
        <f t="shared" si="116"/>
        <v>0</v>
      </c>
      <c r="BX164" s="61">
        <f t="shared" si="116"/>
        <v>0</v>
      </c>
      <c r="BY164" s="61" t="s">
        <v>91</v>
      </c>
      <c r="CA164" s="61">
        <f t="shared" si="138"/>
        <v>0</v>
      </c>
      <c r="CB164" s="61">
        <f t="shared" si="138"/>
        <v>0</v>
      </c>
      <c r="CC164" s="61">
        <f t="shared" si="138"/>
        <v>0</v>
      </c>
      <c r="CD164" s="61">
        <f t="shared" si="138"/>
        <v>0</v>
      </c>
      <c r="CE164" s="61">
        <f t="shared" si="138"/>
        <v>0</v>
      </c>
      <c r="CF164" s="61">
        <f t="shared" si="126"/>
        <v>0</v>
      </c>
      <c r="CG164" s="61">
        <f t="shared" si="126"/>
        <v>0</v>
      </c>
      <c r="CH164" s="61">
        <f t="shared" si="126"/>
        <v>0</v>
      </c>
      <c r="CI164" s="61">
        <f t="shared" si="134"/>
        <v>0</v>
      </c>
      <c r="CJ164" s="61"/>
      <c r="CK164" s="61">
        <f t="shared" si="139"/>
        <v>0</v>
      </c>
      <c r="CL164" s="61">
        <f t="shared" si="139"/>
        <v>0</v>
      </c>
      <c r="CM164" s="61">
        <f t="shared" si="139"/>
        <v>0</v>
      </c>
      <c r="CN164" s="61">
        <f t="shared" si="139"/>
        <v>0</v>
      </c>
      <c r="CO164" s="61">
        <f t="shared" si="139"/>
        <v>0</v>
      </c>
      <c r="CP164" s="61">
        <f t="shared" si="127"/>
        <v>0</v>
      </c>
      <c r="CQ164" s="61">
        <f t="shared" si="127"/>
        <v>0</v>
      </c>
      <c r="CR164" s="61">
        <f t="shared" si="127"/>
        <v>0</v>
      </c>
      <c r="CS164" s="61">
        <f t="shared" si="135"/>
        <v>0</v>
      </c>
      <c r="CT164" s="61">
        <f t="shared" si="136"/>
        <v>0</v>
      </c>
      <c r="CV164" s="61">
        <f t="shared" si="137"/>
        <v>0</v>
      </c>
      <c r="CW164" s="61">
        <f t="shared" ref="CW164:CW233" si="148">SUM(AH164)-SUM(BM164)</f>
        <v>0</v>
      </c>
      <c r="CX164" s="61"/>
      <c r="CY164" s="61">
        <f t="shared" ref="CY164:CY233" si="149">SUM(AJ164)-SUM(BO164)</f>
        <v>0</v>
      </c>
      <c r="CZ164" s="61">
        <f t="shared" si="117"/>
        <v>0</v>
      </c>
      <c r="DA164" s="61">
        <f t="shared" si="117"/>
        <v>0</v>
      </c>
      <c r="DB164" s="2" t="s">
        <v>102</v>
      </c>
      <c r="DC164" s="2" t="s">
        <v>102</v>
      </c>
      <c r="DD164" s="2" t="s">
        <v>142</v>
      </c>
      <c r="DE164" s="2" t="s">
        <v>181</v>
      </c>
      <c r="DF164" s="3" t="s">
        <v>102</v>
      </c>
      <c r="DG164" s="62">
        <v>42801</v>
      </c>
      <c r="EC164" s="60" t="str">
        <f>VLOOKUP($M164,[1]Detail!$M:$BO,1,0)</f>
        <v>JD8G-9D665-AA</v>
      </c>
      <c r="ED164" s="60">
        <f>VLOOKUP($M164,[1]Detail!$M:$BO,22,0)</f>
        <v>-3.71</v>
      </c>
      <c r="EE164" s="60">
        <f>VLOOKUP($M164,[1]Detail!$M:$BO,42,0)</f>
        <v>-299002.13</v>
      </c>
      <c r="EF164" s="60">
        <f>VLOOKUP($M164,[1]Detail!$M:$BO,45,0)</f>
        <v>0</v>
      </c>
      <c r="EH164" s="60">
        <f>ED164-AD164</f>
        <v>0</v>
      </c>
      <c r="EI164" s="60">
        <f>EE164-AG164</f>
        <v>0</v>
      </c>
      <c r="EJ164" s="60">
        <f t="shared" ref="EJ164:EJ166" si="150">EF164-AJ164</f>
        <v>0</v>
      </c>
    </row>
    <row r="165" spans="2:140" ht="12.75" hidden="1" customHeight="1">
      <c r="B165" s="93" t="s">
        <v>441</v>
      </c>
      <c r="C165" s="22" t="s">
        <v>442</v>
      </c>
      <c r="D165" s="22" t="s">
        <v>443</v>
      </c>
      <c r="E165" s="2" t="str">
        <f>VLOOKUP($C165,[1]Detail!$C:$AK,6,0)</f>
        <v>PMT1</v>
      </c>
      <c r="F165" s="2" t="str">
        <f>VLOOKUP($C165,[1]Detail!$C:$AK,7,0)</f>
        <v>TH</v>
      </c>
      <c r="G165" s="2" t="str">
        <f>VLOOKUP($C165,[1]Detail!$C:$AK,5,0)</f>
        <v>B</v>
      </c>
      <c r="J165" s="22" t="s">
        <v>444</v>
      </c>
      <c r="K165" s="23" t="s">
        <v>445</v>
      </c>
      <c r="L165" s="22" t="s">
        <v>182</v>
      </c>
      <c r="M165" s="51" t="str">
        <f t="shared" si="111"/>
        <v>JD8B -F23200-BA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1</v>
      </c>
      <c r="V165" s="22">
        <v>1</v>
      </c>
      <c r="W165" s="64">
        <f t="shared" si="112"/>
        <v>0.1</v>
      </c>
      <c r="Y165" s="95">
        <v>-136.69999999999999</v>
      </c>
      <c r="Z165" s="95">
        <v>-1.1200000000000001</v>
      </c>
      <c r="AA165" s="95">
        <v>-2.2599999999999998</v>
      </c>
      <c r="AB165" s="95">
        <v>-0.99</v>
      </c>
      <c r="AC165" s="95">
        <v>0</v>
      </c>
      <c r="AD165" s="8">
        <f t="shared" si="140"/>
        <v>-141.07</v>
      </c>
      <c r="AE165" s="2" t="s">
        <v>91</v>
      </c>
      <c r="AG165" s="96">
        <v>-180000</v>
      </c>
      <c r="AH165" s="96">
        <v>-180000</v>
      </c>
      <c r="AI165" s="6"/>
      <c r="AJ165" s="71">
        <v>0</v>
      </c>
      <c r="AK165" s="71">
        <v>0</v>
      </c>
      <c r="AL165" s="72">
        <v>0</v>
      </c>
      <c r="AM165" s="22"/>
      <c r="AO165" s="22" t="s">
        <v>204</v>
      </c>
      <c r="AP165" s="23" t="s">
        <v>445</v>
      </c>
      <c r="AQ165" s="22" t="s">
        <v>446</v>
      </c>
      <c r="AR165" s="51" t="str">
        <f t="shared" si="145"/>
        <v>ED8B-F23200-AE</v>
      </c>
      <c r="AS165" s="3"/>
      <c r="AT165" s="22">
        <v>0</v>
      </c>
      <c r="AU165" s="22">
        <v>0</v>
      </c>
      <c r="AV165" s="22">
        <v>0</v>
      </c>
      <c r="AW165" s="22">
        <v>0</v>
      </c>
      <c r="AX165" s="22">
        <v>0</v>
      </c>
      <c r="AY165" s="22">
        <v>0</v>
      </c>
      <c r="AZ165" s="22">
        <v>1</v>
      </c>
      <c r="BA165" s="22">
        <v>1</v>
      </c>
      <c r="BB165" s="64">
        <f t="shared" si="146"/>
        <v>0.1</v>
      </c>
      <c r="BD165" s="95">
        <v>-116.07</v>
      </c>
      <c r="BE165" s="95">
        <v>-1.1200000000000001</v>
      </c>
      <c r="BF165" s="95">
        <v>-2.2599999999999998</v>
      </c>
      <c r="BG165" s="95">
        <v>-0.99</v>
      </c>
      <c r="BH165" s="95">
        <v>0</v>
      </c>
      <c r="BI165" s="8">
        <f t="shared" si="147"/>
        <v>-120.44</v>
      </c>
      <c r="BJ165" s="2" t="s">
        <v>91</v>
      </c>
      <c r="BL165" s="96">
        <v>0</v>
      </c>
      <c r="BM165" s="96">
        <v>0</v>
      </c>
      <c r="BO165" s="71">
        <v>0</v>
      </c>
      <c r="BP165" s="71">
        <v>0</v>
      </c>
      <c r="BQ165" s="72">
        <v>0</v>
      </c>
      <c r="BS165" s="61">
        <f t="shared" si="114"/>
        <v>-20.629999999999995</v>
      </c>
      <c r="BT165" s="61">
        <f t="shared" si="115"/>
        <v>0</v>
      </c>
      <c r="BU165" s="61">
        <f t="shared" si="116"/>
        <v>0</v>
      </c>
      <c r="BV165" s="61">
        <f t="shared" si="116"/>
        <v>0</v>
      </c>
      <c r="BW165" s="61">
        <f t="shared" si="116"/>
        <v>0</v>
      </c>
      <c r="BX165" s="61">
        <f t="shared" si="116"/>
        <v>-20.629999999999995</v>
      </c>
      <c r="BY165" s="61" t="s">
        <v>91</v>
      </c>
      <c r="CA165" s="61">
        <f t="shared" si="138"/>
        <v>0</v>
      </c>
      <c r="CB165" s="61">
        <f t="shared" si="138"/>
        <v>0</v>
      </c>
      <c r="CC165" s="61">
        <f t="shared" si="138"/>
        <v>0</v>
      </c>
      <c r="CD165" s="61">
        <f t="shared" si="138"/>
        <v>0</v>
      </c>
      <c r="CE165" s="61">
        <f t="shared" si="138"/>
        <v>0</v>
      </c>
      <c r="CF165" s="61">
        <f t="shared" si="126"/>
        <v>0</v>
      </c>
      <c r="CG165" s="61">
        <f t="shared" si="126"/>
        <v>-3.1036557845644643</v>
      </c>
      <c r="CH165" s="61">
        <f t="shared" si="126"/>
        <v>-3.1036557845644643</v>
      </c>
      <c r="CI165" s="61">
        <f t="shared" si="134"/>
        <v>-0.31036557845644647</v>
      </c>
      <c r="CJ165" s="61"/>
      <c r="CK165" s="61">
        <f t="shared" si="139"/>
        <v>0</v>
      </c>
      <c r="CL165" s="61">
        <f t="shared" si="139"/>
        <v>0</v>
      </c>
      <c r="CM165" s="61">
        <f t="shared" si="139"/>
        <v>0</v>
      </c>
      <c r="CN165" s="61">
        <f t="shared" si="139"/>
        <v>0</v>
      </c>
      <c r="CO165" s="61">
        <f t="shared" si="139"/>
        <v>0</v>
      </c>
      <c r="CP165" s="61">
        <f t="shared" si="127"/>
        <v>0</v>
      </c>
      <c r="CQ165" s="61">
        <f t="shared" si="127"/>
        <v>-3.1036557845644643</v>
      </c>
      <c r="CR165" s="61">
        <f t="shared" si="127"/>
        <v>-3.1036557845644643</v>
      </c>
      <c r="CS165" s="61">
        <f t="shared" si="135"/>
        <v>-0.31036557845644647</v>
      </c>
      <c r="CT165" s="61">
        <f t="shared" si="136"/>
        <v>-2.0629999999999997</v>
      </c>
      <c r="CV165" s="61">
        <f t="shared" si="137"/>
        <v>-180000</v>
      </c>
      <c r="CW165" s="61">
        <f t="shared" si="148"/>
        <v>-180000</v>
      </c>
      <c r="CX165" s="61"/>
      <c r="CY165" s="61">
        <f t="shared" si="149"/>
        <v>0</v>
      </c>
      <c r="CZ165" s="61">
        <f t="shared" si="117"/>
        <v>0</v>
      </c>
      <c r="DA165" s="61">
        <f t="shared" si="117"/>
        <v>0</v>
      </c>
      <c r="DB165" s="2" t="s">
        <v>102</v>
      </c>
      <c r="DC165" s="2" t="s">
        <v>102</v>
      </c>
      <c r="DD165" s="2" t="s">
        <v>142</v>
      </c>
      <c r="DE165" s="2" t="s">
        <v>181</v>
      </c>
      <c r="DF165" s="3" t="s">
        <v>248</v>
      </c>
      <c r="DG165" s="62">
        <v>42793</v>
      </c>
      <c r="EC165" s="60" t="str">
        <f>VLOOKUP($M165,[1]Detail!$M:$BO,1,0)</f>
        <v>JD8B -F23200-BA</v>
      </c>
      <c r="ED165" s="60">
        <f>VLOOKUP($M165,[1]Detail!$M:$BO,22,0)</f>
        <v>-141.07</v>
      </c>
      <c r="EE165" s="60">
        <f>VLOOKUP($M165,[1]Detail!$M:$BO,42,0)</f>
        <v>-180000</v>
      </c>
      <c r="EF165" s="60">
        <f>VLOOKUP($M165,[1]Detail!$M:$BO,45,0)</f>
        <v>0</v>
      </c>
      <c r="EH165" s="60">
        <f>ED165-AD165</f>
        <v>0</v>
      </c>
      <c r="EI165" s="60">
        <f>EE165-AG165</f>
        <v>0</v>
      </c>
      <c r="EJ165" s="60">
        <f t="shared" si="150"/>
        <v>0</v>
      </c>
    </row>
    <row r="166" spans="2:140" ht="12.75" hidden="1" customHeight="1">
      <c r="B166" s="93" t="s">
        <v>441</v>
      </c>
      <c r="C166" s="22" t="s">
        <v>442</v>
      </c>
      <c r="D166" s="22" t="s">
        <v>443</v>
      </c>
      <c r="E166" s="2" t="str">
        <f>VLOOKUP($C166,[1]Detail!$C:$AK,6,0)</f>
        <v>PMT1</v>
      </c>
      <c r="F166" s="2" t="str">
        <f>VLOOKUP($C166,[1]Detail!$C:$AK,7,0)</f>
        <v>TH</v>
      </c>
      <c r="G166" s="2" t="str">
        <f>VLOOKUP($C166,[1]Detail!$C:$AK,5,0)</f>
        <v>B</v>
      </c>
      <c r="J166" s="22" t="s">
        <v>444</v>
      </c>
      <c r="K166" s="23" t="s">
        <v>447</v>
      </c>
      <c r="L166" s="22" t="s">
        <v>182</v>
      </c>
      <c r="M166" s="51" t="str">
        <f t="shared" si="111"/>
        <v>JD8B -F23201-BA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1</v>
      </c>
      <c r="V166" s="22">
        <v>1</v>
      </c>
      <c r="W166" s="64">
        <f t="shared" si="112"/>
        <v>0.1</v>
      </c>
      <c r="Y166" s="95">
        <v>-136.69999999999999</v>
      </c>
      <c r="Z166" s="95">
        <v>-1.1200000000000001</v>
      </c>
      <c r="AA166" s="95">
        <v>-2.2599999999999998</v>
      </c>
      <c r="AB166" s="95">
        <v>-0.99</v>
      </c>
      <c r="AC166" s="95">
        <v>0</v>
      </c>
      <c r="AD166" s="8">
        <f t="shared" si="140"/>
        <v>-141.07</v>
      </c>
      <c r="AE166" s="2" t="s">
        <v>91</v>
      </c>
      <c r="AG166" s="96">
        <v>0</v>
      </c>
      <c r="AH166" s="96">
        <v>0</v>
      </c>
      <c r="AJ166" s="71">
        <v>0</v>
      </c>
      <c r="AK166" s="71">
        <v>0</v>
      </c>
      <c r="AL166" s="72">
        <v>0</v>
      </c>
      <c r="AM166" s="22"/>
      <c r="AO166" s="22" t="s">
        <v>204</v>
      </c>
      <c r="AP166" s="23" t="s">
        <v>447</v>
      </c>
      <c r="AQ166" s="22" t="s">
        <v>448</v>
      </c>
      <c r="AR166" s="51" t="str">
        <f t="shared" si="145"/>
        <v>ED8B-F23201-AG</v>
      </c>
      <c r="AS166" s="3"/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0</v>
      </c>
      <c r="AZ166" s="22">
        <v>1</v>
      </c>
      <c r="BA166" s="22">
        <v>1</v>
      </c>
      <c r="BB166" s="64">
        <f t="shared" si="146"/>
        <v>0.1</v>
      </c>
      <c r="BD166" s="95">
        <v>-162.91</v>
      </c>
      <c r="BE166" s="95">
        <v>-1.1200000000000001</v>
      </c>
      <c r="BF166" s="95">
        <v>-2.2599999999999998</v>
      </c>
      <c r="BG166" s="95">
        <v>-0.99</v>
      </c>
      <c r="BH166" s="95">
        <v>0</v>
      </c>
      <c r="BI166" s="8">
        <f t="shared" si="147"/>
        <v>-167.28</v>
      </c>
      <c r="BJ166" s="2" t="s">
        <v>91</v>
      </c>
      <c r="BL166" s="96">
        <v>0</v>
      </c>
      <c r="BM166" s="96">
        <v>0</v>
      </c>
      <c r="BO166" s="71">
        <v>0</v>
      </c>
      <c r="BP166" s="71">
        <v>0</v>
      </c>
      <c r="BQ166" s="72">
        <v>0</v>
      </c>
      <c r="BS166" s="61">
        <f t="shared" si="114"/>
        <v>26.210000000000008</v>
      </c>
      <c r="BT166" s="61">
        <f t="shared" si="115"/>
        <v>0</v>
      </c>
      <c r="BU166" s="61">
        <f t="shared" si="116"/>
        <v>0</v>
      </c>
      <c r="BV166" s="61">
        <f t="shared" si="116"/>
        <v>0</v>
      </c>
      <c r="BW166" s="61">
        <f t="shared" si="116"/>
        <v>0</v>
      </c>
      <c r="BX166" s="61">
        <f t="shared" si="116"/>
        <v>26.210000000000008</v>
      </c>
      <c r="BY166" s="61" t="s">
        <v>91</v>
      </c>
      <c r="CA166" s="61">
        <f t="shared" si="138"/>
        <v>0</v>
      </c>
      <c r="CB166" s="61">
        <f t="shared" si="138"/>
        <v>0</v>
      </c>
      <c r="CC166" s="61">
        <f t="shared" si="138"/>
        <v>0</v>
      </c>
      <c r="CD166" s="61">
        <f t="shared" si="138"/>
        <v>0</v>
      </c>
      <c r="CE166" s="61">
        <f t="shared" si="138"/>
        <v>0</v>
      </c>
      <c r="CF166" s="61">
        <f t="shared" si="126"/>
        <v>0</v>
      </c>
      <c r="CG166" s="61">
        <f t="shared" si="126"/>
        <v>3.9431322401083206</v>
      </c>
      <c r="CH166" s="61">
        <f t="shared" si="126"/>
        <v>3.9431322401083206</v>
      </c>
      <c r="CI166" s="61">
        <f t="shared" si="134"/>
        <v>0.39431322401083208</v>
      </c>
      <c r="CJ166" s="61"/>
      <c r="CK166" s="61">
        <f t="shared" si="139"/>
        <v>0</v>
      </c>
      <c r="CL166" s="61">
        <f t="shared" si="139"/>
        <v>0</v>
      </c>
      <c r="CM166" s="61">
        <f t="shared" si="139"/>
        <v>0</v>
      </c>
      <c r="CN166" s="61">
        <f t="shared" si="139"/>
        <v>0</v>
      </c>
      <c r="CO166" s="61">
        <f t="shared" si="139"/>
        <v>0</v>
      </c>
      <c r="CP166" s="61">
        <f t="shared" si="127"/>
        <v>0</v>
      </c>
      <c r="CQ166" s="61">
        <f t="shared" si="127"/>
        <v>3.9431322401083206</v>
      </c>
      <c r="CR166" s="61">
        <f t="shared" si="127"/>
        <v>3.9431322401083206</v>
      </c>
      <c r="CS166" s="61">
        <f t="shared" si="135"/>
        <v>0.39431322401083208</v>
      </c>
      <c r="CT166" s="61">
        <f t="shared" si="136"/>
        <v>2.6210000000000009</v>
      </c>
      <c r="CV166" s="61">
        <f t="shared" si="137"/>
        <v>0</v>
      </c>
      <c r="CW166" s="61">
        <f t="shared" si="148"/>
        <v>0</v>
      </c>
      <c r="CX166" s="61"/>
      <c r="CY166" s="61">
        <f t="shared" si="149"/>
        <v>0</v>
      </c>
      <c r="CZ166" s="61">
        <f t="shared" si="117"/>
        <v>0</v>
      </c>
      <c r="DA166" s="61">
        <f t="shared" si="117"/>
        <v>0</v>
      </c>
      <c r="DB166" s="2" t="s">
        <v>102</v>
      </c>
      <c r="DC166" s="2" t="s">
        <v>102</v>
      </c>
      <c r="DD166" s="2" t="s">
        <v>142</v>
      </c>
      <c r="DE166" s="2" t="s">
        <v>181</v>
      </c>
      <c r="DF166" s="3" t="s">
        <v>248</v>
      </c>
      <c r="DG166" s="62">
        <v>42793</v>
      </c>
      <c r="EC166" s="60" t="str">
        <f>VLOOKUP($M166,[1]Detail!$M:$BO,1,0)</f>
        <v>JD8B -F23201-BA</v>
      </c>
      <c r="ED166" s="60">
        <f>VLOOKUP($M166,[1]Detail!$M:$BO,22,0)</f>
        <v>-141.07</v>
      </c>
      <c r="EE166" s="60">
        <f>VLOOKUP($M166,[1]Detail!$M:$BO,42,0)</f>
        <v>0</v>
      </c>
      <c r="EF166" s="60">
        <f>VLOOKUP($M166,[1]Detail!$M:$BO,45,0)</f>
        <v>0</v>
      </c>
      <c r="EH166" s="60">
        <f>ED166-AD166</f>
        <v>0</v>
      </c>
      <c r="EI166" s="60">
        <f>EE166-AG166</f>
        <v>0</v>
      </c>
      <c r="EJ166" s="60">
        <f t="shared" si="150"/>
        <v>0</v>
      </c>
    </row>
    <row r="167" spans="2:140" ht="12.75" hidden="1" customHeight="1">
      <c r="B167" s="93" t="s">
        <v>449</v>
      </c>
      <c r="C167" s="22" t="s">
        <v>450</v>
      </c>
      <c r="D167" s="22" t="s">
        <v>451</v>
      </c>
      <c r="E167" s="2" t="str">
        <f>VLOOKUP($C167,[1]Detail!$C:$AK,6,0)</f>
        <v>PMT1</v>
      </c>
      <c r="F167" s="2" t="str">
        <f>VLOOKUP($C167,[1]Detail!$C:$AK,7,0)</f>
        <v>TH</v>
      </c>
      <c r="G167" s="2" t="str">
        <f>VLOOKUP($C167,[1]Detail!$C:$AK,5,0)</f>
        <v>B</v>
      </c>
      <c r="J167" s="22" t="s">
        <v>452</v>
      </c>
      <c r="K167" s="23">
        <v>15201</v>
      </c>
      <c r="L167" s="22" t="s">
        <v>180</v>
      </c>
      <c r="M167" s="51" t="str">
        <f t="shared" si="111"/>
        <v>JB3B-15201-AA</v>
      </c>
      <c r="O167" s="94">
        <v>0</v>
      </c>
      <c r="P167" s="94">
        <v>0</v>
      </c>
      <c r="Q167" s="94">
        <v>0</v>
      </c>
      <c r="R167" s="94">
        <v>0</v>
      </c>
      <c r="S167" s="94">
        <v>0</v>
      </c>
      <c r="T167" s="94">
        <v>0</v>
      </c>
      <c r="U167" s="94">
        <v>2</v>
      </c>
      <c r="V167" s="94">
        <v>2</v>
      </c>
      <c r="W167" s="64">
        <f t="shared" si="112"/>
        <v>0.2</v>
      </c>
      <c r="Y167" s="95">
        <f>-191.34/2</f>
        <v>-95.67</v>
      </c>
      <c r="Z167" s="95">
        <f>-0.8/2</f>
        <v>-0.4</v>
      </c>
      <c r="AA167" s="95">
        <f>-2.2/2</f>
        <v>-1.1000000000000001</v>
      </c>
      <c r="AB167" s="95">
        <v>0</v>
      </c>
      <c r="AC167" s="95">
        <v>0</v>
      </c>
      <c r="AD167" s="8">
        <f t="shared" si="140"/>
        <v>-97.17</v>
      </c>
      <c r="AE167" s="2" t="s">
        <v>91</v>
      </c>
      <c r="AG167" s="96">
        <v>0</v>
      </c>
      <c r="AH167" s="96">
        <v>0</v>
      </c>
      <c r="AJ167" s="71">
        <v>0</v>
      </c>
      <c r="AK167" s="71">
        <v>0</v>
      </c>
      <c r="AL167" s="72">
        <v>0</v>
      </c>
      <c r="AM167" s="22"/>
      <c r="AO167" s="22" t="s">
        <v>452</v>
      </c>
      <c r="AP167" s="23">
        <v>15201</v>
      </c>
      <c r="AQ167" s="22" t="s">
        <v>180</v>
      </c>
      <c r="AR167" s="51" t="str">
        <f t="shared" si="145"/>
        <v>JB3B-15201-AA</v>
      </c>
      <c r="AS167" s="3"/>
      <c r="AT167" s="94">
        <v>0</v>
      </c>
      <c r="AU167" s="94">
        <v>0</v>
      </c>
      <c r="AV167" s="94">
        <v>0</v>
      </c>
      <c r="AW167" s="94">
        <v>0</v>
      </c>
      <c r="AX167" s="94">
        <v>0</v>
      </c>
      <c r="AY167" s="94">
        <v>0</v>
      </c>
      <c r="AZ167" s="94">
        <v>2</v>
      </c>
      <c r="BA167" s="94">
        <v>2</v>
      </c>
      <c r="BB167" s="64">
        <f t="shared" si="146"/>
        <v>0.2</v>
      </c>
      <c r="BD167" s="95">
        <f>-191.34/2</f>
        <v>-95.67</v>
      </c>
      <c r="BE167" s="95">
        <f>-0.8/2</f>
        <v>-0.4</v>
      </c>
      <c r="BF167" s="95">
        <f>-2.2/2</f>
        <v>-1.1000000000000001</v>
      </c>
      <c r="BG167" s="95">
        <v>0</v>
      </c>
      <c r="BH167" s="95">
        <v>0</v>
      </c>
      <c r="BI167" s="8">
        <f t="shared" si="147"/>
        <v>-97.17</v>
      </c>
      <c r="BJ167" s="2" t="s">
        <v>91</v>
      </c>
      <c r="BL167" s="96">
        <v>0</v>
      </c>
      <c r="BM167" s="96">
        <v>0</v>
      </c>
      <c r="BO167" s="71">
        <v>0</v>
      </c>
      <c r="BP167" s="71">
        <v>0</v>
      </c>
      <c r="BQ167" s="72">
        <v>0</v>
      </c>
      <c r="BS167" s="61">
        <f t="shared" si="114"/>
        <v>0</v>
      </c>
      <c r="BT167" s="61">
        <f t="shared" si="115"/>
        <v>0</v>
      </c>
      <c r="BU167" s="61">
        <f t="shared" si="116"/>
        <v>0</v>
      </c>
      <c r="BV167" s="61">
        <f t="shared" si="116"/>
        <v>0</v>
      </c>
      <c r="BW167" s="61">
        <f t="shared" si="116"/>
        <v>0</v>
      </c>
      <c r="BX167" s="61">
        <f t="shared" si="116"/>
        <v>0</v>
      </c>
      <c r="BY167" s="61" t="s">
        <v>91</v>
      </c>
      <c r="CA167" s="61">
        <f t="shared" si="138"/>
        <v>0</v>
      </c>
      <c r="CB167" s="61">
        <f t="shared" si="138"/>
        <v>0</v>
      </c>
      <c r="CC167" s="61">
        <f t="shared" si="138"/>
        <v>0</v>
      </c>
      <c r="CD167" s="61">
        <f t="shared" si="138"/>
        <v>0</v>
      </c>
      <c r="CE167" s="61">
        <f t="shared" si="138"/>
        <v>0</v>
      </c>
      <c r="CF167" s="61">
        <f t="shared" si="126"/>
        <v>0</v>
      </c>
      <c r="CG167" s="61">
        <f t="shared" si="126"/>
        <v>0</v>
      </c>
      <c r="CH167" s="61">
        <f t="shared" si="126"/>
        <v>0</v>
      </c>
      <c r="CI167" s="61">
        <f t="shared" si="134"/>
        <v>0</v>
      </c>
      <c r="CJ167" s="61"/>
      <c r="CK167" s="61">
        <f t="shared" si="139"/>
        <v>0</v>
      </c>
      <c r="CL167" s="61">
        <f t="shared" si="139"/>
        <v>0</v>
      </c>
      <c r="CM167" s="61">
        <f t="shared" si="139"/>
        <v>0</v>
      </c>
      <c r="CN167" s="61">
        <f t="shared" si="139"/>
        <v>0</v>
      </c>
      <c r="CO167" s="61">
        <f t="shared" si="139"/>
        <v>0</v>
      </c>
      <c r="CP167" s="61">
        <f t="shared" si="127"/>
        <v>0</v>
      </c>
      <c r="CQ167" s="61">
        <f t="shared" si="127"/>
        <v>0</v>
      </c>
      <c r="CR167" s="61">
        <f t="shared" si="127"/>
        <v>0</v>
      </c>
      <c r="CS167" s="61">
        <f t="shared" si="135"/>
        <v>0</v>
      </c>
      <c r="CT167" s="61">
        <f t="shared" si="136"/>
        <v>0</v>
      </c>
      <c r="CV167" s="61">
        <f t="shared" si="137"/>
        <v>0</v>
      </c>
      <c r="CW167" s="61">
        <f t="shared" si="148"/>
        <v>0</v>
      </c>
      <c r="CX167" s="61"/>
      <c r="CY167" s="61">
        <f t="shared" si="149"/>
        <v>0</v>
      </c>
      <c r="CZ167" s="61">
        <f t="shared" si="117"/>
        <v>0</v>
      </c>
      <c r="DA167" s="61">
        <f t="shared" si="117"/>
        <v>0</v>
      </c>
      <c r="DB167" s="2" t="s">
        <v>85</v>
      </c>
      <c r="DC167" s="2" t="s">
        <v>102</v>
      </c>
      <c r="DD167" s="2" t="s">
        <v>142</v>
      </c>
      <c r="DE167" s="2" t="s">
        <v>181</v>
      </c>
      <c r="DF167" s="3" t="s">
        <v>248</v>
      </c>
      <c r="DG167" s="62">
        <v>42793</v>
      </c>
      <c r="EC167" s="60"/>
      <c r="ED167" s="60"/>
      <c r="EE167" s="60"/>
      <c r="EF167" s="60"/>
    </row>
    <row r="168" spans="2:140" ht="12.75" hidden="1" customHeight="1">
      <c r="B168" s="93" t="s">
        <v>453</v>
      </c>
      <c r="C168" s="22" t="s">
        <v>454</v>
      </c>
      <c r="D168" s="22" t="s">
        <v>455</v>
      </c>
      <c r="E168" s="2" t="str">
        <f>VLOOKUP($C168,[1]Detail!$C:$AK,6,0)</f>
        <v>PMT4</v>
      </c>
      <c r="F168" s="2" t="str">
        <f>VLOOKUP($C168,[1]Detail!$C:$AK,7,0)</f>
        <v>PF</v>
      </c>
      <c r="G168" s="2" t="str">
        <f>VLOOKUP($C168,[1]Detail!$C:$AK,5,0)</f>
        <v>B</v>
      </c>
      <c r="J168" s="22" t="s">
        <v>456</v>
      </c>
      <c r="K168" s="23" t="s">
        <v>457</v>
      </c>
      <c r="L168" s="22" t="s">
        <v>182</v>
      </c>
      <c r="M168" s="51" t="str">
        <f t="shared" si="111"/>
        <v>JD8P-7034-BA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1</v>
      </c>
      <c r="U168" s="22">
        <v>0</v>
      </c>
      <c r="V168" s="22">
        <v>1</v>
      </c>
      <c r="W168" s="64">
        <f t="shared" si="112"/>
        <v>0.19</v>
      </c>
      <c r="Y168" s="95">
        <v>-11</v>
      </c>
      <c r="Z168" s="95">
        <v>-0.2</v>
      </c>
      <c r="AA168" s="95">
        <v>-0.15</v>
      </c>
      <c r="AB168" s="95">
        <v>0</v>
      </c>
      <c r="AC168" s="95">
        <v>0</v>
      </c>
      <c r="AD168" s="8">
        <f t="shared" si="140"/>
        <v>-11.35</v>
      </c>
      <c r="AE168" s="2" t="s">
        <v>91</v>
      </c>
      <c r="AG168" s="96">
        <v>-105000</v>
      </c>
      <c r="AH168" s="96">
        <v>-105000</v>
      </c>
      <c r="AI168" s="6"/>
      <c r="AJ168" s="71">
        <v>0</v>
      </c>
      <c r="AK168" s="71">
        <v>0</v>
      </c>
      <c r="AL168" s="72">
        <v>0</v>
      </c>
      <c r="AM168" s="22"/>
      <c r="AO168" s="22" t="s">
        <v>458</v>
      </c>
      <c r="AP168" s="23" t="s">
        <v>457</v>
      </c>
      <c r="AQ168" s="22" t="s">
        <v>141</v>
      </c>
      <c r="AR168" s="51" t="str">
        <f t="shared" si="145"/>
        <v>ED8P-7034-AB</v>
      </c>
      <c r="AS168" s="3"/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1</v>
      </c>
      <c r="AZ168" s="22">
        <v>0</v>
      </c>
      <c r="BA168" s="22">
        <v>1</v>
      </c>
      <c r="BB168" s="64">
        <f t="shared" si="146"/>
        <v>0.19</v>
      </c>
      <c r="BD168" s="95">
        <v>-16.12</v>
      </c>
      <c r="BE168" s="95">
        <v>-0.2</v>
      </c>
      <c r="BF168" s="95">
        <v>-0.15</v>
      </c>
      <c r="BG168" s="95">
        <v>0</v>
      </c>
      <c r="BH168" s="95">
        <v>0</v>
      </c>
      <c r="BI168" s="8">
        <f t="shared" si="147"/>
        <v>-16.47</v>
      </c>
      <c r="BJ168" s="2" t="s">
        <v>91</v>
      </c>
      <c r="BL168" s="96">
        <v>0</v>
      </c>
      <c r="BM168" s="96">
        <v>0</v>
      </c>
      <c r="BO168" s="71">
        <v>0</v>
      </c>
      <c r="BP168" s="71">
        <v>0</v>
      </c>
      <c r="BQ168" s="72">
        <v>0</v>
      </c>
      <c r="BS168" s="61">
        <f t="shared" si="114"/>
        <v>5.120000000000001</v>
      </c>
      <c r="BT168" s="61">
        <f t="shared" si="115"/>
        <v>0</v>
      </c>
      <c r="BU168" s="61">
        <f t="shared" si="116"/>
        <v>0</v>
      </c>
      <c r="BV168" s="61">
        <f t="shared" si="116"/>
        <v>0</v>
      </c>
      <c r="BW168" s="61">
        <f t="shared" si="116"/>
        <v>0</v>
      </c>
      <c r="BX168" s="61">
        <f t="shared" si="116"/>
        <v>5.1199999999999992</v>
      </c>
      <c r="BY168" s="61" t="s">
        <v>91</v>
      </c>
      <c r="CA168" s="61">
        <f t="shared" si="138"/>
        <v>0</v>
      </c>
      <c r="CB168" s="61">
        <f t="shared" si="138"/>
        <v>0</v>
      </c>
      <c r="CC168" s="61">
        <f t="shared" si="138"/>
        <v>0</v>
      </c>
      <c r="CD168" s="61">
        <f t="shared" si="138"/>
        <v>0</v>
      </c>
      <c r="CE168" s="61">
        <f t="shared" si="138"/>
        <v>0</v>
      </c>
      <c r="CF168" s="61">
        <f t="shared" si="126"/>
        <v>0.77027230329471952</v>
      </c>
      <c r="CG168" s="61">
        <f t="shared" si="126"/>
        <v>0</v>
      </c>
      <c r="CH168" s="61">
        <f t="shared" si="126"/>
        <v>0.77027230329471952</v>
      </c>
      <c r="CI168" s="61">
        <f t="shared" si="134"/>
        <v>0.14635173762599674</v>
      </c>
      <c r="CJ168" s="61"/>
      <c r="CK168" s="61">
        <f t="shared" si="139"/>
        <v>0</v>
      </c>
      <c r="CL168" s="61">
        <f t="shared" si="139"/>
        <v>0</v>
      </c>
      <c r="CM168" s="61">
        <f t="shared" si="139"/>
        <v>0</v>
      </c>
      <c r="CN168" s="61">
        <f t="shared" si="139"/>
        <v>0</v>
      </c>
      <c r="CO168" s="61">
        <f t="shared" si="139"/>
        <v>0</v>
      </c>
      <c r="CP168" s="61">
        <f t="shared" si="127"/>
        <v>0.7702723032947193</v>
      </c>
      <c r="CQ168" s="61">
        <f t="shared" si="127"/>
        <v>0</v>
      </c>
      <c r="CR168" s="61">
        <f t="shared" si="127"/>
        <v>0.7702723032947193</v>
      </c>
      <c r="CS168" s="61">
        <f t="shared" si="135"/>
        <v>0.14635173762599668</v>
      </c>
      <c r="CT168" s="61">
        <f t="shared" si="136"/>
        <v>0.9728</v>
      </c>
      <c r="CV168" s="61">
        <f t="shared" si="137"/>
        <v>-105000</v>
      </c>
      <c r="CW168" s="61">
        <f t="shared" si="148"/>
        <v>-105000</v>
      </c>
      <c r="CX168" s="61"/>
      <c r="CY168" s="61">
        <f t="shared" si="149"/>
        <v>0</v>
      </c>
      <c r="CZ168" s="61">
        <f t="shared" si="117"/>
        <v>0</v>
      </c>
      <c r="DA168" s="61">
        <f t="shared" si="117"/>
        <v>0</v>
      </c>
      <c r="DB168" s="2" t="s">
        <v>102</v>
      </c>
      <c r="DC168" s="2" t="s">
        <v>102</v>
      </c>
      <c r="DD168" s="2" t="s">
        <v>142</v>
      </c>
      <c r="DE168" s="2" t="s">
        <v>181</v>
      </c>
      <c r="DF168" s="3" t="s">
        <v>102</v>
      </c>
      <c r="DG168" s="62">
        <v>42801</v>
      </c>
      <c r="EC168" s="60" t="str">
        <f>VLOOKUP($M168,[1]Detail!$M:$BO,1,0)</f>
        <v>JD8P-7034-BA</v>
      </c>
      <c r="ED168" s="60">
        <f>VLOOKUP($M168,[1]Detail!$M:$BO,22,0)</f>
        <v>-11.35</v>
      </c>
      <c r="EE168" s="60">
        <f>VLOOKUP($M168,[1]Detail!$M:$BO,42,0)</f>
        <v>-105000</v>
      </c>
      <c r="EF168" s="60">
        <f>VLOOKUP($M168,[1]Detail!$M:$BO,45,0)</f>
        <v>0</v>
      </c>
      <c r="EH168" s="60">
        <f>ED168-AD168</f>
        <v>0</v>
      </c>
      <c r="EI168" s="60">
        <f>EE168-AG168</f>
        <v>0</v>
      </c>
      <c r="EJ168" s="60">
        <f t="shared" ref="EJ168:EJ170" si="151">EF168-AJ168</f>
        <v>0</v>
      </c>
    </row>
    <row r="169" spans="2:140" ht="12.75" hidden="1" customHeight="1">
      <c r="B169" s="93" t="s">
        <v>459</v>
      </c>
      <c r="C169" s="22" t="s">
        <v>454</v>
      </c>
      <c r="D169" s="22" t="s">
        <v>455</v>
      </c>
      <c r="E169" s="2" t="str">
        <f>VLOOKUP($C169,[1]Detail!$C:$AK,6,0)</f>
        <v>PMT4</v>
      </c>
      <c r="F169" s="2" t="str">
        <f>VLOOKUP($C169,[1]Detail!$C:$AK,7,0)</f>
        <v>PF</v>
      </c>
      <c r="G169" s="2" t="str">
        <f>VLOOKUP($C169,[1]Detail!$C:$AK,5,0)</f>
        <v>B</v>
      </c>
      <c r="J169" s="22" t="s">
        <v>456</v>
      </c>
      <c r="K169" s="23" t="s">
        <v>457</v>
      </c>
      <c r="L169" s="22" t="s">
        <v>180</v>
      </c>
      <c r="M169" s="51" t="str">
        <f t="shared" si="111"/>
        <v>JD8P-7034-AA</v>
      </c>
      <c r="O169" s="22">
        <v>0</v>
      </c>
      <c r="P169" s="22">
        <v>1</v>
      </c>
      <c r="Q169" s="22">
        <v>0</v>
      </c>
      <c r="R169" s="22">
        <v>1</v>
      </c>
      <c r="S169" s="22">
        <v>0</v>
      </c>
      <c r="T169" s="22">
        <v>0</v>
      </c>
      <c r="U169" s="22">
        <v>1</v>
      </c>
      <c r="V169" s="22">
        <v>0</v>
      </c>
      <c r="W169" s="64">
        <f t="shared" si="112"/>
        <v>0.44</v>
      </c>
      <c r="Y169" s="95">
        <v>-10.93</v>
      </c>
      <c r="Z169" s="95">
        <v>-0.2</v>
      </c>
      <c r="AA169" s="95">
        <v>-0.15</v>
      </c>
      <c r="AB169" s="95">
        <v>0</v>
      </c>
      <c r="AC169" s="95">
        <v>0</v>
      </c>
      <c r="AD169" s="8">
        <f t="shared" si="140"/>
        <v>-11.28</v>
      </c>
      <c r="AE169" s="2" t="s">
        <v>91</v>
      </c>
      <c r="AG169" s="96">
        <v>-130000</v>
      </c>
      <c r="AH169" s="96">
        <v>-130000</v>
      </c>
      <c r="AI169" s="6"/>
      <c r="AJ169" s="71">
        <v>0</v>
      </c>
      <c r="AK169" s="71">
        <v>0</v>
      </c>
      <c r="AL169" s="72">
        <v>0</v>
      </c>
      <c r="AM169" s="22"/>
      <c r="AO169" s="22" t="s">
        <v>458</v>
      </c>
      <c r="AP169" s="23" t="s">
        <v>457</v>
      </c>
      <c r="AQ169" s="22" t="s">
        <v>141</v>
      </c>
      <c r="AR169" s="51" t="str">
        <f t="shared" si="145"/>
        <v>ED8P-7034-AB</v>
      </c>
      <c r="AS169" s="3"/>
      <c r="AT169" s="22">
        <v>0</v>
      </c>
      <c r="AU169" s="22">
        <v>1</v>
      </c>
      <c r="AV169" s="22">
        <v>0</v>
      </c>
      <c r="AW169" s="22">
        <v>1</v>
      </c>
      <c r="AX169" s="22">
        <v>0</v>
      </c>
      <c r="AY169" s="22">
        <v>0</v>
      </c>
      <c r="AZ169" s="22">
        <v>1</v>
      </c>
      <c r="BA169" s="22">
        <v>0</v>
      </c>
      <c r="BB169" s="64">
        <f t="shared" si="146"/>
        <v>0.44</v>
      </c>
      <c r="BD169" s="95">
        <v>-16.12</v>
      </c>
      <c r="BE169" s="95">
        <v>-0.2</v>
      </c>
      <c r="BF169" s="95">
        <v>-0.15</v>
      </c>
      <c r="BG169" s="95">
        <v>0</v>
      </c>
      <c r="BH169" s="95">
        <v>0</v>
      </c>
      <c r="BI169" s="8">
        <f t="shared" si="147"/>
        <v>-16.47</v>
      </c>
      <c r="BJ169" s="2" t="s">
        <v>91</v>
      </c>
      <c r="BL169" s="96">
        <v>0</v>
      </c>
      <c r="BM169" s="96">
        <v>0</v>
      </c>
      <c r="BO169" s="71">
        <v>0</v>
      </c>
      <c r="BP169" s="71">
        <v>0</v>
      </c>
      <c r="BQ169" s="72">
        <v>0</v>
      </c>
      <c r="BS169" s="61">
        <f t="shared" si="114"/>
        <v>5.1900000000000013</v>
      </c>
      <c r="BT169" s="61">
        <f t="shared" si="115"/>
        <v>0</v>
      </c>
      <c r="BU169" s="61">
        <f t="shared" si="116"/>
        <v>0</v>
      </c>
      <c r="BV169" s="61">
        <f t="shared" si="116"/>
        <v>0</v>
      </c>
      <c r="BW169" s="61">
        <f t="shared" si="116"/>
        <v>0</v>
      </c>
      <c r="BX169" s="61">
        <f t="shared" si="116"/>
        <v>5.1899999999999995</v>
      </c>
      <c r="BY169" s="61" t="s">
        <v>91</v>
      </c>
      <c r="CA169" s="61">
        <f t="shared" si="138"/>
        <v>0</v>
      </c>
      <c r="CB169" s="61">
        <f t="shared" si="138"/>
        <v>0.78080336994132704</v>
      </c>
      <c r="CC169" s="61">
        <f t="shared" si="138"/>
        <v>0</v>
      </c>
      <c r="CD169" s="61">
        <f t="shared" si="138"/>
        <v>0.78080336994132704</v>
      </c>
      <c r="CE169" s="61">
        <f t="shared" si="138"/>
        <v>0</v>
      </c>
      <c r="CF169" s="61">
        <f t="shared" si="126"/>
        <v>0</v>
      </c>
      <c r="CG169" s="61">
        <f t="shared" si="126"/>
        <v>0.78080336994132704</v>
      </c>
      <c r="CH169" s="61">
        <f t="shared" si="126"/>
        <v>0</v>
      </c>
      <c r="CI169" s="61">
        <f t="shared" si="134"/>
        <v>0.3435534827741839</v>
      </c>
      <c r="CJ169" s="61"/>
      <c r="CK169" s="61">
        <f t="shared" si="139"/>
        <v>0</v>
      </c>
      <c r="CL169" s="61">
        <f t="shared" si="139"/>
        <v>0.78080336994132682</v>
      </c>
      <c r="CM169" s="61">
        <f t="shared" si="139"/>
        <v>0</v>
      </c>
      <c r="CN169" s="61">
        <f t="shared" si="139"/>
        <v>0.78080336994132682</v>
      </c>
      <c r="CO169" s="61">
        <f t="shared" si="139"/>
        <v>0</v>
      </c>
      <c r="CP169" s="61">
        <f t="shared" si="127"/>
        <v>0</v>
      </c>
      <c r="CQ169" s="61">
        <f t="shared" si="127"/>
        <v>0.78080336994132682</v>
      </c>
      <c r="CR169" s="61">
        <f t="shared" si="127"/>
        <v>0</v>
      </c>
      <c r="CS169" s="61">
        <f t="shared" si="135"/>
        <v>0.34355348277418385</v>
      </c>
      <c r="CT169" s="61">
        <f t="shared" si="136"/>
        <v>2.2836000000000003</v>
      </c>
      <c r="CV169" s="61">
        <f t="shared" si="137"/>
        <v>-130000</v>
      </c>
      <c r="CW169" s="61">
        <f t="shared" si="148"/>
        <v>-130000</v>
      </c>
      <c r="CX169" s="61"/>
      <c r="CY169" s="61">
        <f t="shared" si="149"/>
        <v>0</v>
      </c>
      <c r="CZ169" s="61">
        <f t="shared" si="117"/>
        <v>0</v>
      </c>
      <c r="DA169" s="61">
        <f t="shared" si="117"/>
        <v>0</v>
      </c>
      <c r="DB169" s="2" t="s">
        <v>102</v>
      </c>
      <c r="DC169" s="2" t="s">
        <v>102</v>
      </c>
      <c r="DD169" s="2" t="s">
        <v>142</v>
      </c>
      <c r="DE169" s="2" t="s">
        <v>181</v>
      </c>
      <c r="DF169" s="3" t="s">
        <v>102</v>
      </c>
      <c r="DG169" s="62">
        <v>42801</v>
      </c>
      <c r="EC169" s="60" t="str">
        <f>VLOOKUP($M169,[1]Detail!$M:$BO,1,0)</f>
        <v>JD8P-7034-AA</v>
      </c>
      <c r="ED169" s="60">
        <f>VLOOKUP($M169,[1]Detail!$M:$BO,22,0)</f>
        <v>-11.28</v>
      </c>
      <c r="EE169" s="60">
        <f>VLOOKUP($M169,[1]Detail!$M:$BO,42,0)</f>
        <v>-130000</v>
      </c>
      <c r="EF169" s="60">
        <f>VLOOKUP($M169,[1]Detail!$M:$BO,45,0)</f>
        <v>0</v>
      </c>
      <c r="EH169" s="60">
        <f>ED169-AD169</f>
        <v>0</v>
      </c>
      <c r="EI169" s="60">
        <f>EE169-AG169</f>
        <v>0</v>
      </c>
      <c r="EJ169" s="60">
        <f t="shared" si="151"/>
        <v>0</v>
      </c>
    </row>
    <row r="170" spans="2:140" ht="12.75" hidden="1" customHeight="1">
      <c r="B170" s="93" t="s">
        <v>460</v>
      </c>
      <c r="C170" s="22" t="s">
        <v>461</v>
      </c>
      <c r="D170" s="22" t="s">
        <v>462</v>
      </c>
      <c r="E170" s="2" t="str">
        <f>VLOOKUP($C170,[1]Detail!$C:$AK,6,0)</f>
        <v>PMT2</v>
      </c>
      <c r="F170" s="2" t="str">
        <f>VLOOKUP($C170,[1]Detail!$C:$AK,7,0)</f>
        <v>TH</v>
      </c>
      <c r="G170" s="2" t="str">
        <f>VLOOKUP($C170,[1]Detail!$C:$AK,5,0)</f>
        <v>D</v>
      </c>
      <c r="J170" s="22" t="s">
        <v>463</v>
      </c>
      <c r="K170" s="23" t="s">
        <v>464</v>
      </c>
      <c r="L170" s="22" t="s">
        <v>465</v>
      </c>
      <c r="M170" s="51" t="str">
        <f t="shared" si="111"/>
        <v>JD8B-F11454-AAW</v>
      </c>
      <c r="O170" s="22">
        <v>1</v>
      </c>
      <c r="P170" s="22">
        <v>1</v>
      </c>
      <c r="Q170" s="22">
        <v>1</v>
      </c>
      <c r="R170" s="22">
        <v>1</v>
      </c>
      <c r="S170" s="22">
        <v>1</v>
      </c>
      <c r="T170" s="22">
        <v>1</v>
      </c>
      <c r="U170" s="22">
        <v>1</v>
      </c>
      <c r="V170" s="22">
        <v>1</v>
      </c>
      <c r="W170" s="64">
        <f t="shared" si="112"/>
        <v>1</v>
      </c>
      <c r="Y170" s="95">
        <v>-173.96</v>
      </c>
      <c r="Z170" s="95">
        <v>-3.6</v>
      </c>
      <c r="AA170" s="95">
        <v>-3.49</v>
      </c>
      <c r="AB170" s="95">
        <v>0</v>
      </c>
      <c r="AC170" s="95">
        <v>0</v>
      </c>
      <c r="AD170" s="8">
        <f t="shared" si="140"/>
        <v>-181.05</v>
      </c>
      <c r="AE170" s="2" t="s">
        <v>91</v>
      </c>
      <c r="AG170" s="96">
        <v>-350000</v>
      </c>
      <c r="AH170" s="96">
        <v>-350000</v>
      </c>
      <c r="AI170" s="6"/>
      <c r="AJ170" s="71">
        <v>0</v>
      </c>
      <c r="AK170" s="71">
        <v>0</v>
      </c>
      <c r="AL170" s="72">
        <v>0</v>
      </c>
      <c r="AM170" s="22"/>
      <c r="AO170" s="22" t="s">
        <v>466</v>
      </c>
      <c r="AP170" s="23" t="s">
        <v>464</v>
      </c>
      <c r="AQ170" s="22" t="s">
        <v>467</v>
      </c>
      <c r="AR170" s="51" t="str">
        <f t="shared" si="145"/>
        <v>ED8B-F11454-AGW</v>
      </c>
      <c r="AS170" s="3"/>
      <c r="AT170" s="22">
        <v>1</v>
      </c>
      <c r="AU170" s="22">
        <v>1</v>
      </c>
      <c r="AV170" s="22">
        <v>1</v>
      </c>
      <c r="AW170" s="22">
        <v>1</v>
      </c>
      <c r="AX170" s="22">
        <v>1</v>
      </c>
      <c r="AY170" s="22">
        <v>1</v>
      </c>
      <c r="AZ170" s="22">
        <v>1</v>
      </c>
      <c r="BA170" s="22">
        <v>1</v>
      </c>
      <c r="BB170" s="64">
        <f t="shared" si="146"/>
        <v>1</v>
      </c>
      <c r="BD170" s="95">
        <v>-173.96</v>
      </c>
      <c r="BE170" s="95">
        <v>-3.6</v>
      </c>
      <c r="BF170" s="95">
        <v>-3.49</v>
      </c>
      <c r="BG170" s="95">
        <v>0</v>
      </c>
      <c r="BH170" s="95">
        <v>0</v>
      </c>
      <c r="BI170" s="8">
        <f t="shared" si="147"/>
        <v>-181.05</v>
      </c>
      <c r="BJ170" s="2" t="s">
        <v>91</v>
      </c>
      <c r="BL170" s="96">
        <v>0</v>
      </c>
      <c r="BM170" s="96">
        <v>0</v>
      </c>
      <c r="BO170" s="71">
        <v>0</v>
      </c>
      <c r="BP170" s="71">
        <v>0</v>
      </c>
      <c r="BQ170" s="72">
        <v>0</v>
      </c>
      <c r="BS170" s="61">
        <f t="shared" si="114"/>
        <v>0</v>
      </c>
      <c r="BT170" s="61">
        <f t="shared" si="115"/>
        <v>0</v>
      </c>
      <c r="BU170" s="61">
        <f t="shared" si="116"/>
        <v>0</v>
      </c>
      <c r="BV170" s="61">
        <f t="shared" si="116"/>
        <v>0</v>
      </c>
      <c r="BW170" s="61">
        <f t="shared" si="116"/>
        <v>0</v>
      </c>
      <c r="BX170" s="61">
        <f t="shared" si="116"/>
        <v>0</v>
      </c>
      <c r="BY170" s="61" t="s">
        <v>91</v>
      </c>
      <c r="CA170" s="61">
        <f t="shared" si="138"/>
        <v>0</v>
      </c>
      <c r="CB170" s="61">
        <f t="shared" si="138"/>
        <v>0</v>
      </c>
      <c r="CC170" s="61">
        <f t="shared" si="138"/>
        <v>0</v>
      </c>
      <c r="CD170" s="61">
        <f t="shared" si="138"/>
        <v>0</v>
      </c>
      <c r="CE170" s="61">
        <f t="shared" si="138"/>
        <v>0</v>
      </c>
      <c r="CF170" s="61">
        <f t="shared" si="126"/>
        <v>0</v>
      </c>
      <c r="CG170" s="61">
        <f t="shared" si="126"/>
        <v>0</v>
      </c>
      <c r="CH170" s="61">
        <f t="shared" si="126"/>
        <v>0</v>
      </c>
      <c r="CI170" s="61">
        <f t="shared" si="134"/>
        <v>0</v>
      </c>
      <c r="CJ170" s="61"/>
      <c r="CK170" s="61">
        <f t="shared" si="139"/>
        <v>0</v>
      </c>
      <c r="CL170" s="61">
        <f t="shared" si="139"/>
        <v>0</v>
      </c>
      <c r="CM170" s="61">
        <f t="shared" si="139"/>
        <v>0</v>
      </c>
      <c r="CN170" s="61">
        <f t="shared" si="139"/>
        <v>0</v>
      </c>
      <c r="CO170" s="61">
        <f t="shared" si="139"/>
        <v>0</v>
      </c>
      <c r="CP170" s="61">
        <f t="shared" si="127"/>
        <v>0</v>
      </c>
      <c r="CQ170" s="61">
        <f t="shared" si="127"/>
        <v>0</v>
      </c>
      <c r="CR170" s="61">
        <f t="shared" si="127"/>
        <v>0</v>
      </c>
      <c r="CS170" s="61">
        <f t="shared" si="135"/>
        <v>0</v>
      </c>
      <c r="CT170" s="61">
        <f t="shared" si="136"/>
        <v>0</v>
      </c>
      <c r="CV170" s="61">
        <f t="shared" si="137"/>
        <v>-350000</v>
      </c>
      <c r="CW170" s="61">
        <f t="shared" si="148"/>
        <v>-350000</v>
      </c>
      <c r="CX170" s="61"/>
      <c r="CY170" s="61">
        <f t="shared" si="149"/>
        <v>0</v>
      </c>
      <c r="CZ170" s="61">
        <f t="shared" si="117"/>
        <v>0</v>
      </c>
      <c r="DA170" s="61">
        <f t="shared" si="117"/>
        <v>0</v>
      </c>
      <c r="DB170" s="2" t="s">
        <v>102</v>
      </c>
      <c r="DC170" s="2" t="s">
        <v>102</v>
      </c>
      <c r="DD170" s="2" t="s">
        <v>142</v>
      </c>
      <c r="DE170" s="2" t="s">
        <v>181</v>
      </c>
      <c r="DF170" s="3" t="s">
        <v>248</v>
      </c>
      <c r="DG170" s="62">
        <v>42794</v>
      </c>
      <c r="EC170" s="60" t="str">
        <f>VLOOKUP($M170,[1]Detail!$M:$BO,1,0)</f>
        <v>JD8B-F11454-AAW</v>
      </c>
      <c r="ED170" s="60">
        <f>VLOOKUP($M170,[1]Detail!$M:$BO,22,0)</f>
        <v>-181.05</v>
      </c>
      <c r="EE170" s="60">
        <f>VLOOKUP($M170,[1]Detail!$M:$BO,42,0)</f>
        <v>-350000</v>
      </c>
      <c r="EF170" s="60">
        <f>VLOOKUP($M170,[1]Detail!$M:$BO,45,0)</f>
        <v>0</v>
      </c>
      <c r="EH170" s="60">
        <f>ED170-AD170</f>
        <v>0</v>
      </c>
      <c r="EI170" s="60">
        <f>EE170-AG170</f>
        <v>0</v>
      </c>
      <c r="EJ170" s="60">
        <f t="shared" si="151"/>
        <v>0</v>
      </c>
    </row>
    <row r="171" spans="2:140" ht="12.75" hidden="1" customHeight="1">
      <c r="B171" s="93" t="s">
        <v>468</v>
      </c>
      <c r="C171" s="22" t="s">
        <v>469</v>
      </c>
      <c r="D171" s="22" t="s">
        <v>470</v>
      </c>
      <c r="E171" s="2" t="str">
        <f>VLOOKUP($C171,[1]Detail!$C:$AK,6,0)</f>
        <v>PMT2</v>
      </c>
      <c r="F171" s="2" t="str">
        <f>VLOOKUP($C171,[1]Detail!$C:$AK,7,0)</f>
        <v>TH</v>
      </c>
      <c r="G171" s="2" t="str">
        <f>VLOOKUP($C171,[1]Detail!$C:$AK,5,0)</f>
        <v>D</v>
      </c>
      <c r="J171" s="22" t="s">
        <v>463</v>
      </c>
      <c r="K171" s="23" t="s">
        <v>471</v>
      </c>
      <c r="L171" s="22" t="s">
        <v>465</v>
      </c>
      <c r="M171" s="51" t="str">
        <f t="shared" si="111"/>
        <v>JD8B-F407A64-AAW</v>
      </c>
      <c r="O171" s="22">
        <v>1</v>
      </c>
      <c r="P171" s="22">
        <v>1</v>
      </c>
      <c r="Q171" s="22">
        <v>1</v>
      </c>
      <c r="R171" s="22">
        <v>1</v>
      </c>
      <c r="S171" s="22">
        <v>1</v>
      </c>
      <c r="T171" s="22">
        <v>1</v>
      </c>
      <c r="U171" s="22">
        <v>1</v>
      </c>
      <c r="V171" s="22">
        <v>1</v>
      </c>
      <c r="W171" s="64">
        <f t="shared" si="112"/>
        <v>1</v>
      </c>
      <c r="Y171" s="95">
        <v>-19.829999999999998</v>
      </c>
      <c r="Z171" s="95">
        <v>-0.68</v>
      </c>
      <c r="AA171" s="95">
        <v>-0.5</v>
      </c>
      <c r="AB171" s="95">
        <v>0</v>
      </c>
      <c r="AC171" s="95">
        <v>0</v>
      </c>
      <c r="AD171" s="8">
        <f t="shared" si="140"/>
        <v>-21.009999999999998</v>
      </c>
      <c r="AE171" s="2" t="s">
        <v>91</v>
      </c>
      <c r="AG171" s="96">
        <v>-150000</v>
      </c>
      <c r="AH171" s="96">
        <v>-150000</v>
      </c>
      <c r="AI171" s="6"/>
      <c r="AJ171" s="71">
        <v>0</v>
      </c>
      <c r="AK171" s="71">
        <v>0</v>
      </c>
      <c r="AL171" s="72">
        <v>0</v>
      </c>
      <c r="AM171" s="22"/>
      <c r="AO171" s="22" t="s">
        <v>466</v>
      </c>
      <c r="AP171" s="23" t="s">
        <v>471</v>
      </c>
      <c r="AQ171" s="22" t="s">
        <v>467</v>
      </c>
      <c r="AR171" s="51" t="str">
        <f t="shared" si="145"/>
        <v>ED8B-F407A64-AGW</v>
      </c>
      <c r="AS171" s="3"/>
      <c r="AT171" s="22">
        <v>1</v>
      </c>
      <c r="AU171" s="22">
        <v>1</v>
      </c>
      <c r="AV171" s="22">
        <v>1</v>
      </c>
      <c r="AW171" s="22">
        <v>1</v>
      </c>
      <c r="AX171" s="22">
        <v>1</v>
      </c>
      <c r="AY171" s="22">
        <v>1</v>
      </c>
      <c r="AZ171" s="22">
        <v>1</v>
      </c>
      <c r="BA171" s="22">
        <v>1</v>
      </c>
      <c r="BB171" s="64">
        <f t="shared" si="146"/>
        <v>1</v>
      </c>
      <c r="BD171" s="95">
        <v>-19.829999999999998</v>
      </c>
      <c r="BE171" s="95">
        <v>-0.68</v>
      </c>
      <c r="BF171" s="95">
        <v>-0.5</v>
      </c>
      <c r="BG171" s="95">
        <v>0</v>
      </c>
      <c r="BH171" s="95">
        <v>0</v>
      </c>
      <c r="BI171" s="8">
        <f t="shared" si="147"/>
        <v>-21.009999999999998</v>
      </c>
      <c r="BJ171" s="2" t="s">
        <v>91</v>
      </c>
      <c r="BL171" s="96">
        <v>0</v>
      </c>
      <c r="BM171" s="96">
        <v>0</v>
      </c>
      <c r="BO171" s="71">
        <v>0</v>
      </c>
      <c r="BP171" s="71">
        <v>0</v>
      </c>
      <c r="BQ171" s="72">
        <v>0</v>
      </c>
      <c r="BS171" s="61">
        <f t="shared" si="114"/>
        <v>0</v>
      </c>
      <c r="BT171" s="61">
        <f t="shared" si="115"/>
        <v>0</v>
      </c>
      <c r="BU171" s="61">
        <f t="shared" si="116"/>
        <v>0</v>
      </c>
      <c r="BV171" s="61">
        <f t="shared" si="116"/>
        <v>0</v>
      </c>
      <c r="BW171" s="61">
        <f t="shared" si="116"/>
        <v>0</v>
      </c>
      <c r="BX171" s="61">
        <f t="shared" si="116"/>
        <v>0</v>
      </c>
      <c r="BY171" s="61" t="s">
        <v>91</v>
      </c>
      <c r="CA171" s="61">
        <f t="shared" si="138"/>
        <v>0</v>
      </c>
      <c r="CB171" s="61">
        <f t="shared" si="138"/>
        <v>0</v>
      </c>
      <c r="CC171" s="61">
        <f t="shared" si="138"/>
        <v>0</v>
      </c>
      <c r="CD171" s="61">
        <f t="shared" si="138"/>
        <v>0</v>
      </c>
      <c r="CE171" s="61">
        <f t="shared" si="138"/>
        <v>0</v>
      </c>
      <c r="CF171" s="61">
        <f t="shared" si="126"/>
        <v>0</v>
      </c>
      <c r="CG171" s="61">
        <f t="shared" si="126"/>
        <v>0</v>
      </c>
      <c r="CH171" s="61">
        <f t="shared" si="126"/>
        <v>0</v>
      </c>
      <c r="CI171" s="61">
        <f t="shared" si="134"/>
        <v>0</v>
      </c>
      <c r="CJ171" s="61"/>
      <c r="CK171" s="61">
        <f t="shared" si="139"/>
        <v>0</v>
      </c>
      <c r="CL171" s="61">
        <f t="shared" si="139"/>
        <v>0</v>
      </c>
      <c r="CM171" s="61">
        <f t="shared" si="139"/>
        <v>0</v>
      </c>
      <c r="CN171" s="61">
        <f t="shared" si="139"/>
        <v>0</v>
      </c>
      <c r="CO171" s="61">
        <f t="shared" si="139"/>
        <v>0</v>
      </c>
      <c r="CP171" s="61">
        <f t="shared" si="127"/>
        <v>0</v>
      </c>
      <c r="CQ171" s="61">
        <f t="shared" si="127"/>
        <v>0</v>
      </c>
      <c r="CR171" s="61">
        <f t="shared" si="127"/>
        <v>0</v>
      </c>
      <c r="CS171" s="61">
        <f t="shared" si="135"/>
        <v>0</v>
      </c>
      <c r="CT171" s="61">
        <f t="shared" si="136"/>
        <v>0</v>
      </c>
      <c r="CV171" s="61">
        <f t="shared" si="137"/>
        <v>-150000</v>
      </c>
      <c r="CW171" s="61">
        <f t="shared" si="148"/>
        <v>-150000</v>
      </c>
      <c r="CX171" s="61"/>
      <c r="CY171" s="61">
        <f t="shared" si="149"/>
        <v>0</v>
      </c>
      <c r="CZ171" s="61">
        <f t="shared" si="117"/>
        <v>0</v>
      </c>
      <c r="DA171" s="61">
        <f t="shared" si="117"/>
        <v>0</v>
      </c>
      <c r="DB171" s="2" t="s">
        <v>85</v>
      </c>
      <c r="DC171" s="2" t="s">
        <v>102</v>
      </c>
      <c r="DD171" s="2" t="s">
        <v>142</v>
      </c>
      <c r="DE171" s="2" t="s">
        <v>181</v>
      </c>
      <c r="DF171" s="3" t="s">
        <v>248</v>
      </c>
      <c r="DG171" s="62">
        <v>42800</v>
      </c>
      <c r="EC171" s="60"/>
      <c r="ED171" s="60"/>
      <c r="EE171" s="60"/>
      <c r="EF171" s="60"/>
    </row>
    <row r="172" spans="2:140" ht="12.75" hidden="1" customHeight="1">
      <c r="B172" s="93" t="s">
        <v>472</v>
      </c>
      <c r="C172" s="22" t="s">
        <v>469</v>
      </c>
      <c r="D172" s="22" t="s">
        <v>470</v>
      </c>
      <c r="E172" s="2" t="str">
        <f>VLOOKUP($C172,[1]Detail!$C:$AK,6,0)</f>
        <v>PMT2</v>
      </c>
      <c r="F172" s="2" t="str">
        <f>VLOOKUP($C172,[1]Detail!$C:$AK,7,0)</f>
        <v>TH</v>
      </c>
      <c r="G172" s="2" t="str">
        <f>VLOOKUP($C172,[1]Detail!$C:$AK,5,0)</f>
        <v>D</v>
      </c>
      <c r="J172" s="22" t="s">
        <v>463</v>
      </c>
      <c r="K172" s="23" t="s">
        <v>471</v>
      </c>
      <c r="L172" s="22" t="s">
        <v>473</v>
      </c>
      <c r="M172" s="51" t="str">
        <f t="shared" si="111"/>
        <v>JD8B-F407A64-ABW</v>
      </c>
      <c r="O172" s="22">
        <v>1</v>
      </c>
      <c r="P172" s="22">
        <v>1</v>
      </c>
      <c r="Q172" s="22">
        <v>1</v>
      </c>
      <c r="R172" s="22">
        <v>1</v>
      </c>
      <c r="S172" s="22">
        <v>1</v>
      </c>
      <c r="T172" s="22">
        <v>1</v>
      </c>
      <c r="U172" s="22">
        <v>1</v>
      </c>
      <c r="V172" s="22">
        <v>1</v>
      </c>
      <c r="W172" s="64">
        <f t="shared" si="112"/>
        <v>1</v>
      </c>
      <c r="Y172" s="95">
        <v>-19.829999999999998</v>
      </c>
      <c r="Z172" s="95">
        <v>-0.68</v>
      </c>
      <c r="AA172" s="95">
        <v>-0.5</v>
      </c>
      <c r="AB172" s="95">
        <v>0</v>
      </c>
      <c r="AC172" s="95">
        <v>0</v>
      </c>
      <c r="AD172" s="8">
        <f t="shared" si="140"/>
        <v>-21.009999999999998</v>
      </c>
      <c r="AE172" s="2" t="s">
        <v>91</v>
      </c>
      <c r="AG172" s="96">
        <v>-150000</v>
      </c>
      <c r="AH172" s="96">
        <v>-150000</v>
      </c>
      <c r="AI172" s="6"/>
      <c r="AJ172" s="71">
        <v>0</v>
      </c>
      <c r="AK172" s="71">
        <v>0</v>
      </c>
      <c r="AL172" s="72">
        <v>0</v>
      </c>
      <c r="AM172" s="22"/>
      <c r="AO172" s="22" t="s">
        <v>463</v>
      </c>
      <c r="AP172" s="23" t="s">
        <v>471</v>
      </c>
      <c r="AQ172" s="22" t="s">
        <v>465</v>
      </c>
      <c r="AR172" s="51" t="str">
        <f t="shared" si="145"/>
        <v>JD8B-F407A64-AAW</v>
      </c>
      <c r="AS172" s="3"/>
      <c r="AT172" s="22">
        <v>1</v>
      </c>
      <c r="AU172" s="22">
        <v>1</v>
      </c>
      <c r="AV172" s="22">
        <v>1</v>
      </c>
      <c r="AW172" s="22">
        <v>1</v>
      </c>
      <c r="AX172" s="22">
        <v>1</v>
      </c>
      <c r="AY172" s="22">
        <v>1</v>
      </c>
      <c r="AZ172" s="22">
        <v>1</v>
      </c>
      <c r="BA172" s="22">
        <v>1</v>
      </c>
      <c r="BB172" s="64">
        <f t="shared" si="146"/>
        <v>1</v>
      </c>
      <c r="BD172" s="95">
        <v>-19.829999999999998</v>
      </c>
      <c r="BE172" s="95">
        <v>-0.68</v>
      </c>
      <c r="BF172" s="95">
        <v>-0.5</v>
      </c>
      <c r="BG172" s="95">
        <v>0</v>
      </c>
      <c r="BH172" s="95">
        <v>0</v>
      </c>
      <c r="BI172" s="8">
        <f t="shared" si="147"/>
        <v>-21.009999999999998</v>
      </c>
      <c r="BJ172" s="2" t="s">
        <v>91</v>
      </c>
      <c r="BL172" s="96">
        <v>-150000</v>
      </c>
      <c r="BM172" s="96">
        <v>-150000</v>
      </c>
      <c r="BO172" s="71">
        <v>0</v>
      </c>
      <c r="BP172" s="71">
        <v>0</v>
      </c>
      <c r="BQ172" s="72">
        <v>0</v>
      </c>
      <c r="BS172" s="61">
        <f t="shared" si="114"/>
        <v>0</v>
      </c>
      <c r="BT172" s="61">
        <f t="shared" si="115"/>
        <v>0</v>
      </c>
      <c r="BU172" s="61">
        <f t="shared" si="116"/>
        <v>0</v>
      </c>
      <c r="BV172" s="61">
        <f t="shared" si="116"/>
        <v>0</v>
      </c>
      <c r="BW172" s="61">
        <f t="shared" si="116"/>
        <v>0</v>
      </c>
      <c r="BX172" s="61">
        <f t="shared" si="116"/>
        <v>0</v>
      </c>
      <c r="BY172" s="61" t="s">
        <v>91</v>
      </c>
      <c r="CA172" s="61">
        <f t="shared" si="138"/>
        <v>0</v>
      </c>
      <c r="CB172" s="61">
        <f t="shared" si="138"/>
        <v>0</v>
      </c>
      <c r="CC172" s="61">
        <f t="shared" si="138"/>
        <v>0</v>
      </c>
      <c r="CD172" s="61">
        <f t="shared" si="138"/>
        <v>0</v>
      </c>
      <c r="CE172" s="61">
        <f t="shared" si="138"/>
        <v>0</v>
      </c>
      <c r="CF172" s="61">
        <f t="shared" si="126"/>
        <v>0</v>
      </c>
      <c r="CG172" s="61">
        <f t="shared" si="126"/>
        <v>0</v>
      </c>
      <c r="CH172" s="61">
        <f t="shared" si="126"/>
        <v>0</v>
      </c>
      <c r="CI172" s="61">
        <f t="shared" si="134"/>
        <v>0</v>
      </c>
      <c r="CJ172" s="61"/>
      <c r="CK172" s="61">
        <f t="shared" si="139"/>
        <v>0</v>
      </c>
      <c r="CL172" s="61">
        <f t="shared" si="139"/>
        <v>0</v>
      </c>
      <c r="CM172" s="61">
        <f t="shared" si="139"/>
        <v>0</v>
      </c>
      <c r="CN172" s="61">
        <f t="shared" si="139"/>
        <v>0</v>
      </c>
      <c r="CO172" s="61">
        <f t="shared" si="139"/>
        <v>0</v>
      </c>
      <c r="CP172" s="61">
        <f t="shared" si="127"/>
        <v>0</v>
      </c>
      <c r="CQ172" s="61">
        <f t="shared" si="127"/>
        <v>0</v>
      </c>
      <c r="CR172" s="61">
        <f t="shared" si="127"/>
        <v>0</v>
      </c>
      <c r="CS172" s="61">
        <f t="shared" si="135"/>
        <v>0</v>
      </c>
      <c r="CT172" s="61">
        <f t="shared" si="136"/>
        <v>0</v>
      </c>
      <c r="CV172" s="61">
        <f t="shared" si="137"/>
        <v>0</v>
      </c>
      <c r="CW172" s="61">
        <f t="shared" si="148"/>
        <v>0</v>
      </c>
      <c r="CX172" s="61"/>
      <c r="CY172" s="61">
        <f t="shared" si="149"/>
        <v>0</v>
      </c>
      <c r="CZ172" s="61">
        <f t="shared" si="117"/>
        <v>0</v>
      </c>
      <c r="DA172" s="61">
        <f t="shared" si="117"/>
        <v>0</v>
      </c>
      <c r="DB172" s="2" t="s">
        <v>102</v>
      </c>
      <c r="DC172" s="2" t="s">
        <v>85</v>
      </c>
      <c r="DD172" s="2" t="s">
        <v>142</v>
      </c>
      <c r="DE172" s="2" t="s">
        <v>181</v>
      </c>
      <c r="DF172" s="3" t="s">
        <v>102</v>
      </c>
      <c r="DG172" s="62">
        <v>42838</v>
      </c>
      <c r="EC172" s="60" t="str">
        <f>VLOOKUP($M172,[1]Detail!$M:$BO,1,0)</f>
        <v>JD8B-F407A64-ABW</v>
      </c>
      <c r="ED172" s="60">
        <f>VLOOKUP($M172,[1]Detail!$M:$BO,22,0)</f>
        <v>-21.009999999999998</v>
      </c>
      <c r="EE172" s="60">
        <f>VLOOKUP($M172,[1]Detail!$M:$BO,42,0)</f>
        <v>-150000</v>
      </c>
      <c r="EF172" s="60">
        <f>VLOOKUP($M172,[1]Detail!$M:$BO,45,0)</f>
        <v>0</v>
      </c>
      <c r="EH172" s="60">
        <f t="shared" ref="EH172:EH180" si="152">ED172-AD172</f>
        <v>0</v>
      </c>
      <c r="EI172" s="60">
        <f t="shared" ref="EI172:EI180" si="153">EE172-AG172</f>
        <v>0</v>
      </c>
      <c r="EJ172" s="60">
        <f t="shared" ref="EJ172:EJ180" si="154">EF172-AJ172</f>
        <v>0</v>
      </c>
    </row>
    <row r="173" spans="2:140" ht="12.75" hidden="1" customHeight="1">
      <c r="B173" s="93" t="s">
        <v>474</v>
      </c>
      <c r="C173" s="22" t="s">
        <v>475</v>
      </c>
      <c r="D173" s="22" t="s">
        <v>476</v>
      </c>
      <c r="E173" s="2" t="str">
        <f>VLOOKUP($C173,[1]Detail!$C:$AK,6,0)</f>
        <v>PMT2</v>
      </c>
      <c r="F173" s="2" t="str">
        <f>VLOOKUP($C173,[1]Detail!$C:$AK,7,0)</f>
        <v>TH</v>
      </c>
      <c r="G173" s="2" t="str">
        <f>VLOOKUP($C173,[1]Detail!$C:$AK,5,0)</f>
        <v>D</v>
      </c>
      <c r="J173" s="22" t="s">
        <v>463</v>
      </c>
      <c r="K173" s="23" t="s">
        <v>477</v>
      </c>
      <c r="L173" s="22" t="s">
        <v>465</v>
      </c>
      <c r="M173" s="51" t="str">
        <f t="shared" si="111"/>
        <v>JD8B-F46668-AAW</v>
      </c>
      <c r="O173" s="22">
        <v>1</v>
      </c>
      <c r="P173" s="22">
        <v>1</v>
      </c>
      <c r="Q173" s="22">
        <v>1</v>
      </c>
      <c r="R173" s="22">
        <v>1</v>
      </c>
      <c r="S173" s="22">
        <v>1</v>
      </c>
      <c r="T173" s="22">
        <v>1</v>
      </c>
      <c r="U173" s="22">
        <v>1</v>
      </c>
      <c r="V173" s="22">
        <v>1</v>
      </c>
      <c r="W173" s="64">
        <f t="shared" si="112"/>
        <v>1</v>
      </c>
      <c r="Y173" s="95">
        <v>-83.46</v>
      </c>
      <c r="Z173" s="95">
        <v>-2.08</v>
      </c>
      <c r="AA173" s="95">
        <v>-1</v>
      </c>
      <c r="AB173" s="95">
        <v>0</v>
      </c>
      <c r="AC173" s="95">
        <v>0</v>
      </c>
      <c r="AD173" s="8">
        <f t="shared" si="140"/>
        <v>-86.539999999999992</v>
      </c>
      <c r="AE173" s="2" t="s">
        <v>91</v>
      </c>
      <c r="AG173" s="96">
        <v>-60000</v>
      </c>
      <c r="AH173" s="96">
        <v>-60000</v>
      </c>
      <c r="AI173" s="6"/>
      <c r="AJ173" s="71">
        <v>0</v>
      </c>
      <c r="AK173" s="71">
        <v>0</v>
      </c>
      <c r="AL173" s="72">
        <v>0</v>
      </c>
      <c r="AM173" s="22"/>
      <c r="AO173" s="22" t="s">
        <v>466</v>
      </c>
      <c r="AP173" s="23" t="s">
        <v>477</v>
      </c>
      <c r="AQ173" s="22" t="s">
        <v>478</v>
      </c>
      <c r="AR173" s="51" t="str">
        <f t="shared" si="145"/>
        <v>ED8B-F46668-AEW</v>
      </c>
      <c r="AS173" s="3"/>
      <c r="AT173" s="22">
        <v>1</v>
      </c>
      <c r="AU173" s="22">
        <v>1</v>
      </c>
      <c r="AV173" s="22">
        <v>1</v>
      </c>
      <c r="AW173" s="22">
        <v>1</v>
      </c>
      <c r="AX173" s="22">
        <v>1</v>
      </c>
      <c r="AY173" s="22">
        <v>1</v>
      </c>
      <c r="AZ173" s="22">
        <v>1</v>
      </c>
      <c r="BA173" s="22">
        <v>1</v>
      </c>
      <c r="BB173" s="64">
        <f t="shared" si="146"/>
        <v>1</v>
      </c>
      <c r="BD173" s="95">
        <v>-83.46</v>
      </c>
      <c r="BE173" s="95">
        <v>-2.08</v>
      </c>
      <c r="BF173" s="95">
        <v>-1</v>
      </c>
      <c r="BG173" s="95">
        <v>0</v>
      </c>
      <c r="BH173" s="95">
        <v>0</v>
      </c>
      <c r="BI173" s="8">
        <f t="shared" si="147"/>
        <v>-86.539999999999992</v>
      </c>
      <c r="BJ173" s="2" t="s">
        <v>91</v>
      </c>
      <c r="BL173" s="96">
        <v>0</v>
      </c>
      <c r="BM173" s="96">
        <v>0</v>
      </c>
      <c r="BO173" s="71">
        <v>0</v>
      </c>
      <c r="BP173" s="71">
        <v>0</v>
      </c>
      <c r="BQ173" s="72">
        <v>0</v>
      </c>
      <c r="BS173" s="61">
        <f t="shared" si="114"/>
        <v>0</v>
      </c>
      <c r="BT173" s="61">
        <f t="shared" si="115"/>
        <v>0</v>
      </c>
      <c r="BU173" s="61">
        <f t="shared" si="116"/>
        <v>0</v>
      </c>
      <c r="BV173" s="61">
        <f t="shared" si="116"/>
        <v>0</v>
      </c>
      <c r="BW173" s="61">
        <f t="shared" si="116"/>
        <v>0</v>
      </c>
      <c r="BX173" s="61">
        <f t="shared" si="116"/>
        <v>0</v>
      </c>
      <c r="BY173" s="61" t="s">
        <v>91</v>
      </c>
      <c r="CA173" s="61">
        <f t="shared" si="138"/>
        <v>0</v>
      </c>
      <c r="CB173" s="61">
        <f t="shared" si="138"/>
        <v>0</v>
      </c>
      <c r="CC173" s="61">
        <f t="shared" si="138"/>
        <v>0</v>
      </c>
      <c r="CD173" s="61">
        <f t="shared" si="138"/>
        <v>0</v>
      </c>
      <c r="CE173" s="61">
        <f t="shared" si="138"/>
        <v>0</v>
      </c>
      <c r="CF173" s="61">
        <f t="shared" si="126"/>
        <v>0</v>
      </c>
      <c r="CG173" s="61">
        <f t="shared" si="126"/>
        <v>0</v>
      </c>
      <c r="CH173" s="61">
        <f t="shared" si="126"/>
        <v>0</v>
      </c>
      <c r="CI173" s="61">
        <f t="shared" si="134"/>
        <v>0</v>
      </c>
      <c r="CJ173" s="61"/>
      <c r="CK173" s="61">
        <f t="shared" si="139"/>
        <v>0</v>
      </c>
      <c r="CL173" s="61">
        <f t="shared" si="139"/>
        <v>0</v>
      </c>
      <c r="CM173" s="61">
        <f t="shared" si="139"/>
        <v>0</v>
      </c>
      <c r="CN173" s="61">
        <f t="shared" si="139"/>
        <v>0</v>
      </c>
      <c r="CO173" s="61">
        <f t="shared" si="139"/>
        <v>0</v>
      </c>
      <c r="CP173" s="61">
        <f t="shared" si="127"/>
        <v>0</v>
      </c>
      <c r="CQ173" s="61">
        <f t="shared" si="127"/>
        <v>0</v>
      </c>
      <c r="CR173" s="61">
        <f t="shared" si="127"/>
        <v>0</v>
      </c>
      <c r="CS173" s="61">
        <f t="shared" si="135"/>
        <v>0</v>
      </c>
      <c r="CT173" s="61">
        <f t="shared" si="136"/>
        <v>0</v>
      </c>
      <c r="CV173" s="61">
        <f t="shared" si="137"/>
        <v>-60000</v>
      </c>
      <c r="CW173" s="61">
        <f t="shared" si="148"/>
        <v>-60000</v>
      </c>
      <c r="CX173" s="61"/>
      <c r="CY173" s="61">
        <f t="shared" si="149"/>
        <v>0</v>
      </c>
      <c r="CZ173" s="61">
        <f t="shared" si="117"/>
        <v>0</v>
      </c>
      <c r="DA173" s="61">
        <f t="shared" si="117"/>
        <v>0</v>
      </c>
      <c r="DB173" s="2" t="s">
        <v>102</v>
      </c>
      <c r="DC173" s="2" t="s">
        <v>102</v>
      </c>
      <c r="DD173" s="2" t="s">
        <v>142</v>
      </c>
      <c r="DE173" s="2" t="s">
        <v>181</v>
      </c>
      <c r="DF173" s="3" t="s">
        <v>118</v>
      </c>
      <c r="DG173" s="62">
        <v>42789</v>
      </c>
      <c r="EC173" s="60" t="str">
        <f>VLOOKUP($M173,[1]Detail!$M:$BO,1,0)</f>
        <v>JD8B-F46668-AAW</v>
      </c>
      <c r="ED173" s="60">
        <f>VLOOKUP($M173,[1]Detail!$M:$BO,22,0)</f>
        <v>-86.539999999999992</v>
      </c>
      <c r="EE173" s="60">
        <f>VLOOKUP($M173,[1]Detail!$M:$BO,42,0)</f>
        <v>-60000</v>
      </c>
      <c r="EF173" s="60">
        <f>VLOOKUP($M173,[1]Detail!$M:$BO,45,0)</f>
        <v>0</v>
      </c>
      <c r="EH173" s="60">
        <f t="shared" si="152"/>
        <v>0</v>
      </c>
      <c r="EI173" s="60">
        <f t="shared" si="153"/>
        <v>0</v>
      </c>
      <c r="EJ173" s="60">
        <f t="shared" si="154"/>
        <v>0</v>
      </c>
    </row>
    <row r="174" spans="2:140" ht="12.75" hidden="1" customHeight="1">
      <c r="B174" s="93" t="s">
        <v>479</v>
      </c>
      <c r="C174" s="22" t="s">
        <v>480</v>
      </c>
      <c r="D174" s="22" t="s">
        <v>481</v>
      </c>
      <c r="E174" s="2" t="str">
        <f>VLOOKUP($C174,[1]Detail!$C:$AK,6,0)</f>
        <v>PMT2</v>
      </c>
      <c r="F174" s="2" t="str">
        <f>VLOOKUP($C174,[1]Detail!$C:$AK,7,0)</f>
        <v>PF</v>
      </c>
      <c r="G174" s="2" t="str">
        <f>VLOOKUP($C174,[1]Detail!$C:$AK,5,0)</f>
        <v>D</v>
      </c>
      <c r="J174" s="22" t="s">
        <v>463</v>
      </c>
      <c r="K174" s="23" t="s">
        <v>482</v>
      </c>
      <c r="L174" s="22" t="s">
        <v>483</v>
      </c>
      <c r="M174" s="51" t="str">
        <f t="shared" si="111"/>
        <v>JD8B-19A834-AA</v>
      </c>
      <c r="O174" s="22">
        <v>1</v>
      </c>
      <c r="P174" s="22">
        <v>1</v>
      </c>
      <c r="Q174" s="22">
        <v>1</v>
      </c>
      <c r="R174" s="22">
        <v>1</v>
      </c>
      <c r="S174" s="22">
        <v>1</v>
      </c>
      <c r="T174" s="22">
        <v>1</v>
      </c>
      <c r="U174" s="22">
        <v>1</v>
      </c>
      <c r="V174" s="22">
        <v>1</v>
      </c>
      <c r="W174" s="64">
        <f t="shared" si="112"/>
        <v>1</v>
      </c>
      <c r="Y174" s="95">
        <v>-96.64</v>
      </c>
      <c r="Z174" s="95">
        <v>-1.1299999999999999</v>
      </c>
      <c r="AA174" s="95">
        <v>-2.23</v>
      </c>
      <c r="AB174" s="95">
        <v>0</v>
      </c>
      <c r="AC174" s="95">
        <v>0</v>
      </c>
      <c r="AD174" s="8">
        <f t="shared" si="140"/>
        <v>-100</v>
      </c>
      <c r="AE174" s="2" t="s">
        <v>91</v>
      </c>
      <c r="AG174" s="96">
        <v>-200000</v>
      </c>
      <c r="AH174" s="96">
        <v>-200000</v>
      </c>
      <c r="AI174" s="6"/>
      <c r="AJ174" s="71">
        <v>0</v>
      </c>
      <c r="AK174" s="71">
        <v>0</v>
      </c>
      <c r="AL174" s="72">
        <v>0</v>
      </c>
      <c r="AM174" s="22"/>
      <c r="AO174" s="22" t="s">
        <v>466</v>
      </c>
      <c r="AP174" s="23" t="s">
        <v>482</v>
      </c>
      <c r="AQ174" s="22" t="s">
        <v>484</v>
      </c>
      <c r="AR174" s="51" t="str">
        <f t="shared" si="145"/>
        <v>ED8B-19A834-AC</v>
      </c>
      <c r="AS174" s="3"/>
      <c r="AT174" s="22">
        <v>1</v>
      </c>
      <c r="AU174" s="22">
        <v>1</v>
      </c>
      <c r="AV174" s="22">
        <v>1</v>
      </c>
      <c r="AW174" s="22">
        <v>1</v>
      </c>
      <c r="AX174" s="22">
        <v>1</v>
      </c>
      <c r="AY174" s="22">
        <v>1</v>
      </c>
      <c r="AZ174" s="22">
        <v>1</v>
      </c>
      <c r="BA174" s="22">
        <v>1</v>
      </c>
      <c r="BB174" s="64">
        <f t="shared" si="146"/>
        <v>1</v>
      </c>
      <c r="BD174" s="95">
        <v>-103.11</v>
      </c>
      <c r="BE174" s="95">
        <v>-1.1299999999999999</v>
      </c>
      <c r="BF174" s="95">
        <v>-1.26</v>
      </c>
      <c r="BG174" s="95">
        <v>-0.3</v>
      </c>
      <c r="BH174" s="95">
        <v>0</v>
      </c>
      <c r="BI174" s="8">
        <f t="shared" si="147"/>
        <v>-105.8</v>
      </c>
      <c r="BJ174" s="2" t="s">
        <v>91</v>
      </c>
      <c r="BL174" s="96">
        <v>0</v>
      </c>
      <c r="BM174" s="96">
        <v>0</v>
      </c>
      <c r="BO174" s="71">
        <v>0</v>
      </c>
      <c r="BP174" s="71">
        <v>0</v>
      </c>
      <c r="BQ174" s="72">
        <v>0</v>
      </c>
      <c r="BS174" s="61">
        <f t="shared" si="114"/>
        <v>6.4699999999999989</v>
      </c>
      <c r="BT174" s="61">
        <f t="shared" si="115"/>
        <v>0</v>
      </c>
      <c r="BU174" s="61">
        <f t="shared" si="116"/>
        <v>-0.97</v>
      </c>
      <c r="BV174" s="61">
        <f t="shared" si="116"/>
        <v>0.3</v>
      </c>
      <c r="BW174" s="61">
        <f t="shared" si="116"/>
        <v>0</v>
      </c>
      <c r="BX174" s="61">
        <f t="shared" si="116"/>
        <v>5.7999999999999972</v>
      </c>
      <c r="BY174" s="61" t="s">
        <v>91</v>
      </c>
      <c r="CA174" s="61">
        <f t="shared" si="138"/>
        <v>0.97337144576500656</v>
      </c>
      <c r="CB174" s="61">
        <f t="shared" si="138"/>
        <v>0.97337144576500656</v>
      </c>
      <c r="CC174" s="61">
        <f t="shared" si="138"/>
        <v>0.97337144576500656</v>
      </c>
      <c r="CD174" s="61">
        <f t="shared" si="138"/>
        <v>0.97337144576500656</v>
      </c>
      <c r="CE174" s="61">
        <f t="shared" si="138"/>
        <v>0.97337144576500656</v>
      </c>
      <c r="CF174" s="61">
        <f t="shared" si="126"/>
        <v>0.97337144576500656</v>
      </c>
      <c r="CG174" s="61">
        <f t="shared" si="126"/>
        <v>0.97337144576500656</v>
      </c>
      <c r="CH174" s="61">
        <f t="shared" si="126"/>
        <v>0.97337144576500656</v>
      </c>
      <c r="CI174" s="61">
        <f t="shared" si="134"/>
        <v>0.97337144576500667</v>
      </c>
      <c r="CJ174" s="61"/>
      <c r="CK174" s="61">
        <f t="shared" si="139"/>
        <v>0.87257409357604887</v>
      </c>
      <c r="CL174" s="61">
        <f t="shared" si="139"/>
        <v>0.87257409357604887</v>
      </c>
      <c r="CM174" s="61">
        <f t="shared" si="139"/>
        <v>0.87257409357604887</v>
      </c>
      <c r="CN174" s="61">
        <f t="shared" si="139"/>
        <v>0.87257409357604887</v>
      </c>
      <c r="CO174" s="61">
        <f t="shared" si="139"/>
        <v>0.87257409357604887</v>
      </c>
      <c r="CP174" s="61">
        <f t="shared" si="127"/>
        <v>0.87257409357604887</v>
      </c>
      <c r="CQ174" s="61">
        <f t="shared" si="127"/>
        <v>0.87257409357604887</v>
      </c>
      <c r="CR174" s="61">
        <f t="shared" si="127"/>
        <v>0.87257409357604887</v>
      </c>
      <c r="CS174" s="61">
        <f t="shared" si="135"/>
        <v>0.87257409357604887</v>
      </c>
      <c r="CT174" s="61">
        <f t="shared" si="136"/>
        <v>5.7999999999999972</v>
      </c>
      <c r="CV174" s="61">
        <f t="shared" si="137"/>
        <v>-200000</v>
      </c>
      <c r="CW174" s="61">
        <f t="shared" si="148"/>
        <v>-200000</v>
      </c>
      <c r="CX174" s="61"/>
      <c r="CY174" s="61">
        <f t="shared" si="149"/>
        <v>0</v>
      </c>
      <c r="CZ174" s="61">
        <f t="shared" si="117"/>
        <v>0</v>
      </c>
      <c r="DA174" s="61">
        <f t="shared" si="117"/>
        <v>0</v>
      </c>
      <c r="DB174" s="2" t="s">
        <v>102</v>
      </c>
      <c r="DC174" s="2" t="s">
        <v>102</v>
      </c>
      <c r="DD174" s="2" t="s">
        <v>142</v>
      </c>
      <c r="DE174" s="2" t="s">
        <v>181</v>
      </c>
      <c r="DF174" s="3" t="s">
        <v>118</v>
      </c>
      <c r="DG174" s="62">
        <v>42800</v>
      </c>
      <c r="EC174" s="60" t="str">
        <f>VLOOKUP($M174,[1]Detail!$M:$BO,1,0)</f>
        <v>JD8B-19A834-AA</v>
      </c>
      <c r="ED174" s="60">
        <f>VLOOKUP($M174,[1]Detail!$M:$BO,22,0)</f>
        <v>-100</v>
      </c>
      <c r="EE174" s="60">
        <f>VLOOKUP($M174,[1]Detail!$M:$BO,42,0)</f>
        <v>-200000</v>
      </c>
      <c r="EF174" s="60">
        <f>VLOOKUP($M174,[1]Detail!$M:$BO,45,0)</f>
        <v>0</v>
      </c>
      <c r="EH174" s="60">
        <f t="shared" si="152"/>
        <v>0</v>
      </c>
      <c r="EI174" s="60">
        <f t="shared" si="153"/>
        <v>0</v>
      </c>
      <c r="EJ174" s="60">
        <f t="shared" si="154"/>
        <v>0</v>
      </c>
    </row>
    <row r="175" spans="2:140" ht="12.75" hidden="1" customHeight="1">
      <c r="B175" s="93" t="s">
        <v>479</v>
      </c>
      <c r="C175" s="22" t="s">
        <v>480</v>
      </c>
      <c r="D175" s="22" t="s">
        <v>481</v>
      </c>
      <c r="E175" s="2" t="str">
        <f>VLOOKUP($C175,[1]Detail!$C:$AK,6,0)</f>
        <v>PMT2</v>
      </c>
      <c r="F175" s="2" t="str">
        <f>VLOOKUP($C175,[1]Detail!$C:$AK,7,0)</f>
        <v>PF</v>
      </c>
      <c r="G175" s="2" t="str">
        <f>VLOOKUP($C175,[1]Detail!$C:$AK,5,0)</f>
        <v>D</v>
      </c>
      <c r="J175" s="22" t="s">
        <v>463</v>
      </c>
      <c r="K175" s="23" t="s">
        <v>485</v>
      </c>
      <c r="L175" s="22" t="s">
        <v>483</v>
      </c>
      <c r="M175" s="51" t="str">
        <f t="shared" si="111"/>
        <v>JD8B-19N601 -AA</v>
      </c>
      <c r="O175" s="22">
        <v>1</v>
      </c>
      <c r="P175" s="22">
        <v>1</v>
      </c>
      <c r="Q175" s="22">
        <v>1</v>
      </c>
      <c r="R175" s="22">
        <v>1</v>
      </c>
      <c r="S175" s="22">
        <v>0</v>
      </c>
      <c r="T175" s="22">
        <v>0</v>
      </c>
      <c r="U175" s="22">
        <v>1</v>
      </c>
      <c r="V175" s="22">
        <v>0</v>
      </c>
      <c r="W175" s="64">
        <f t="shared" si="112"/>
        <v>0.72000000000000008</v>
      </c>
      <c r="Y175" s="95">
        <v>-76.62</v>
      </c>
      <c r="Z175" s="95">
        <v>-0.79</v>
      </c>
      <c r="AA175" s="95">
        <v>-0.96</v>
      </c>
      <c r="AB175" s="95">
        <v>0</v>
      </c>
      <c r="AC175" s="95">
        <v>0</v>
      </c>
      <c r="AD175" s="8">
        <f t="shared" si="140"/>
        <v>-78.37</v>
      </c>
      <c r="AE175" s="2" t="s">
        <v>91</v>
      </c>
      <c r="AG175" s="96">
        <v>-40000</v>
      </c>
      <c r="AH175" s="96">
        <v>-40000</v>
      </c>
      <c r="AI175" s="6"/>
      <c r="AJ175" s="71">
        <v>0</v>
      </c>
      <c r="AK175" s="71">
        <v>0</v>
      </c>
      <c r="AL175" s="72">
        <v>0</v>
      </c>
      <c r="AM175" s="22"/>
      <c r="AO175" s="22" t="s">
        <v>466</v>
      </c>
      <c r="AP175" s="23" t="s">
        <v>485</v>
      </c>
      <c r="AQ175" s="22" t="s">
        <v>486</v>
      </c>
      <c r="AR175" s="51" t="str">
        <f t="shared" si="145"/>
        <v>ED8B-19N601 -AB</v>
      </c>
      <c r="AS175" s="3"/>
      <c r="AT175" s="22">
        <v>1</v>
      </c>
      <c r="AU175" s="22">
        <v>1</v>
      </c>
      <c r="AV175" s="22">
        <v>1</v>
      </c>
      <c r="AW175" s="22">
        <v>1</v>
      </c>
      <c r="AX175" s="22">
        <v>0</v>
      </c>
      <c r="AY175" s="22">
        <v>0</v>
      </c>
      <c r="AZ175" s="22">
        <v>1</v>
      </c>
      <c r="BA175" s="22">
        <v>0</v>
      </c>
      <c r="BB175" s="64">
        <f t="shared" si="146"/>
        <v>0.72000000000000008</v>
      </c>
      <c r="BD175" s="95">
        <v>-77.5</v>
      </c>
      <c r="BE175" s="95">
        <v>-0.79</v>
      </c>
      <c r="BF175" s="95">
        <v>-0.96</v>
      </c>
      <c r="BG175" s="95">
        <v>-0.25</v>
      </c>
      <c r="BH175" s="95">
        <v>0</v>
      </c>
      <c r="BI175" s="8">
        <f t="shared" si="147"/>
        <v>-79.5</v>
      </c>
      <c r="BJ175" s="2" t="s">
        <v>91</v>
      </c>
      <c r="BL175" s="96">
        <v>0</v>
      </c>
      <c r="BM175" s="96">
        <v>0</v>
      </c>
      <c r="BO175" s="71">
        <v>0</v>
      </c>
      <c r="BP175" s="71">
        <v>0</v>
      </c>
      <c r="BQ175" s="72">
        <v>0</v>
      </c>
      <c r="BS175" s="61">
        <f t="shared" si="114"/>
        <v>0.87999999999999545</v>
      </c>
      <c r="BT175" s="61">
        <f t="shared" si="115"/>
        <v>0</v>
      </c>
      <c r="BU175" s="61">
        <f t="shared" si="116"/>
        <v>0</v>
      </c>
      <c r="BV175" s="61">
        <f t="shared" si="116"/>
        <v>0.25</v>
      </c>
      <c r="BW175" s="61">
        <f t="shared" si="116"/>
        <v>0</v>
      </c>
      <c r="BX175" s="61">
        <f t="shared" si="116"/>
        <v>1.1299999999999955</v>
      </c>
      <c r="BY175" s="61" t="s">
        <v>91</v>
      </c>
      <c r="CA175" s="61">
        <f t="shared" si="138"/>
        <v>0.1323905521287792</v>
      </c>
      <c r="CB175" s="61">
        <f t="shared" si="138"/>
        <v>0.1323905521287792</v>
      </c>
      <c r="CC175" s="61">
        <f t="shared" si="138"/>
        <v>0.1323905521287792</v>
      </c>
      <c r="CD175" s="61">
        <f t="shared" si="138"/>
        <v>0.1323905521287792</v>
      </c>
      <c r="CE175" s="61">
        <f t="shared" si="138"/>
        <v>0</v>
      </c>
      <c r="CF175" s="61">
        <f t="shared" si="126"/>
        <v>0</v>
      </c>
      <c r="CG175" s="61">
        <f t="shared" si="126"/>
        <v>0.1323905521287792</v>
      </c>
      <c r="CH175" s="61">
        <f t="shared" si="126"/>
        <v>0</v>
      </c>
      <c r="CI175" s="61">
        <f t="shared" si="134"/>
        <v>9.532119753272103E-2</v>
      </c>
      <c r="CJ175" s="61"/>
      <c r="CK175" s="61">
        <f t="shared" si="139"/>
        <v>0.17000150443809167</v>
      </c>
      <c r="CL175" s="61">
        <f t="shared" si="139"/>
        <v>0.17000150443809167</v>
      </c>
      <c r="CM175" s="61">
        <f t="shared" si="139"/>
        <v>0.17000150443809167</v>
      </c>
      <c r="CN175" s="61">
        <f t="shared" si="139"/>
        <v>0.17000150443809167</v>
      </c>
      <c r="CO175" s="61">
        <f t="shared" si="139"/>
        <v>0</v>
      </c>
      <c r="CP175" s="61">
        <f t="shared" si="127"/>
        <v>0</v>
      </c>
      <c r="CQ175" s="61">
        <f t="shared" si="127"/>
        <v>0.17000150443809167</v>
      </c>
      <c r="CR175" s="61">
        <f t="shared" si="127"/>
        <v>0</v>
      </c>
      <c r="CS175" s="61">
        <f t="shared" si="135"/>
        <v>0.12240108319542602</v>
      </c>
      <c r="CT175" s="61">
        <f t="shared" si="136"/>
        <v>0.81359999999999677</v>
      </c>
      <c r="CV175" s="61">
        <f t="shared" si="137"/>
        <v>-40000</v>
      </c>
      <c r="CW175" s="61">
        <f t="shared" si="148"/>
        <v>-40000</v>
      </c>
      <c r="CX175" s="61"/>
      <c r="CY175" s="61">
        <f t="shared" si="149"/>
        <v>0</v>
      </c>
      <c r="CZ175" s="61">
        <f t="shared" si="117"/>
        <v>0</v>
      </c>
      <c r="DA175" s="61">
        <f t="shared" si="117"/>
        <v>0</v>
      </c>
      <c r="DB175" s="2" t="s">
        <v>102</v>
      </c>
      <c r="DC175" s="2" t="s">
        <v>102</v>
      </c>
      <c r="DD175" s="2" t="s">
        <v>142</v>
      </c>
      <c r="DE175" s="2" t="s">
        <v>181</v>
      </c>
      <c r="DF175" s="3" t="s">
        <v>118</v>
      </c>
      <c r="DG175" s="62">
        <v>42800</v>
      </c>
      <c r="EC175" s="60" t="str">
        <f>VLOOKUP($M175,[1]Detail!$M:$BO,1,0)</f>
        <v>JD8B-19N601 -AA</v>
      </c>
      <c r="ED175" s="60">
        <f>VLOOKUP($M175,[1]Detail!$M:$BO,22,0)</f>
        <v>-78.37</v>
      </c>
      <c r="EE175" s="60">
        <f>VLOOKUP($M175,[1]Detail!$M:$BO,42,0)</f>
        <v>-40000</v>
      </c>
      <c r="EF175" s="60">
        <f>VLOOKUP($M175,[1]Detail!$M:$BO,45,0)</f>
        <v>0</v>
      </c>
      <c r="EH175" s="60">
        <f t="shared" si="152"/>
        <v>0</v>
      </c>
      <c r="EI175" s="60">
        <f t="shared" si="153"/>
        <v>0</v>
      </c>
      <c r="EJ175" s="60">
        <f t="shared" si="154"/>
        <v>0</v>
      </c>
    </row>
    <row r="176" spans="2:140" ht="12.75" hidden="1" customHeight="1">
      <c r="B176" s="93" t="s">
        <v>479</v>
      </c>
      <c r="C176" s="22" t="s">
        <v>480</v>
      </c>
      <c r="D176" s="22" t="s">
        <v>481</v>
      </c>
      <c r="E176" s="2" t="str">
        <f>VLOOKUP($C176,[1]Detail!$C:$AK,6,0)</f>
        <v>PMT2</v>
      </c>
      <c r="F176" s="2" t="str">
        <f>VLOOKUP($C176,[1]Detail!$C:$AK,7,0)</f>
        <v>PF</v>
      </c>
      <c r="G176" s="2" t="str">
        <f>VLOOKUP($C176,[1]Detail!$C:$AK,5,0)</f>
        <v>D</v>
      </c>
      <c r="J176" s="22" t="s">
        <v>463</v>
      </c>
      <c r="K176" s="23" t="s">
        <v>485</v>
      </c>
      <c r="L176" s="22" t="s">
        <v>487</v>
      </c>
      <c r="M176" s="51" t="str">
        <f t="shared" si="111"/>
        <v>JD8B-19N601 -BA</v>
      </c>
      <c r="O176" s="22">
        <v>0</v>
      </c>
      <c r="P176" s="22">
        <v>0</v>
      </c>
      <c r="Q176" s="22">
        <v>0</v>
      </c>
      <c r="R176" s="22">
        <v>0</v>
      </c>
      <c r="S176" s="22">
        <v>1</v>
      </c>
      <c r="T176" s="22">
        <v>1</v>
      </c>
      <c r="U176" s="22">
        <v>0</v>
      </c>
      <c r="V176" s="22">
        <v>1</v>
      </c>
      <c r="W176" s="64">
        <f t="shared" si="112"/>
        <v>0.28000000000000003</v>
      </c>
      <c r="Y176" s="95">
        <v>-81.38</v>
      </c>
      <c r="Z176" s="95">
        <v>-0.79</v>
      </c>
      <c r="AA176" s="95">
        <v>-0.96</v>
      </c>
      <c r="AB176" s="95">
        <v>0</v>
      </c>
      <c r="AC176" s="95">
        <v>0</v>
      </c>
      <c r="AD176" s="8">
        <f t="shared" si="140"/>
        <v>-83.13</v>
      </c>
      <c r="AE176" s="2" t="s">
        <v>91</v>
      </c>
      <c r="AG176" s="96">
        <v>-50000</v>
      </c>
      <c r="AH176" s="96">
        <v>-50000</v>
      </c>
      <c r="AI176" s="6"/>
      <c r="AJ176" s="71">
        <v>0</v>
      </c>
      <c r="AK176" s="71">
        <v>0</v>
      </c>
      <c r="AL176" s="72">
        <v>0</v>
      </c>
      <c r="AM176" s="22"/>
      <c r="AO176" s="22" t="s">
        <v>466</v>
      </c>
      <c r="AP176" s="23" t="s">
        <v>485</v>
      </c>
      <c r="AQ176" s="22" t="s">
        <v>486</v>
      </c>
      <c r="AR176" s="51" t="str">
        <f t="shared" si="145"/>
        <v>ED8B-19N601 -AB</v>
      </c>
      <c r="AS176" s="3"/>
      <c r="AT176" s="22">
        <v>0</v>
      </c>
      <c r="AU176" s="22">
        <v>0</v>
      </c>
      <c r="AV176" s="22">
        <v>0</v>
      </c>
      <c r="AW176" s="22">
        <v>0</v>
      </c>
      <c r="AX176" s="22">
        <v>1</v>
      </c>
      <c r="AY176" s="22">
        <v>1</v>
      </c>
      <c r="AZ176" s="22">
        <v>0</v>
      </c>
      <c r="BA176" s="22">
        <v>1</v>
      </c>
      <c r="BB176" s="64">
        <f t="shared" si="146"/>
        <v>0.28000000000000003</v>
      </c>
      <c r="BD176" s="95">
        <v>-77.5</v>
      </c>
      <c r="BE176" s="95">
        <v>-0.79</v>
      </c>
      <c r="BF176" s="95">
        <v>-0.96</v>
      </c>
      <c r="BG176" s="95">
        <v>-0.25</v>
      </c>
      <c r="BH176" s="95">
        <v>0</v>
      </c>
      <c r="BI176" s="8">
        <f t="shared" si="147"/>
        <v>-79.5</v>
      </c>
      <c r="BJ176" s="2" t="s">
        <v>91</v>
      </c>
      <c r="BL176" s="96">
        <v>0</v>
      </c>
      <c r="BM176" s="96">
        <v>0</v>
      </c>
      <c r="BO176" s="71">
        <v>0</v>
      </c>
      <c r="BP176" s="71">
        <v>0</v>
      </c>
      <c r="BQ176" s="72">
        <v>0</v>
      </c>
      <c r="BS176" s="61">
        <f t="shared" si="114"/>
        <v>-3.8799999999999955</v>
      </c>
      <c r="BT176" s="61">
        <f t="shared" si="115"/>
        <v>0</v>
      </c>
      <c r="BU176" s="61">
        <f t="shared" si="116"/>
        <v>0</v>
      </c>
      <c r="BV176" s="61">
        <f t="shared" si="116"/>
        <v>0.25</v>
      </c>
      <c r="BW176" s="61">
        <f t="shared" si="116"/>
        <v>0</v>
      </c>
      <c r="BX176" s="61">
        <f t="shared" si="116"/>
        <v>-3.6299999999999955</v>
      </c>
      <c r="BY176" s="61" t="s">
        <v>91</v>
      </c>
      <c r="CA176" s="61">
        <f t="shared" si="138"/>
        <v>0</v>
      </c>
      <c r="CB176" s="61">
        <f t="shared" si="138"/>
        <v>0</v>
      </c>
      <c r="CC176" s="61">
        <f t="shared" si="138"/>
        <v>0</v>
      </c>
      <c r="CD176" s="61">
        <f t="shared" si="138"/>
        <v>0</v>
      </c>
      <c r="CE176" s="61">
        <f t="shared" si="138"/>
        <v>-0.58372197984052887</v>
      </c>
      <c r="CF176" s="61">
        <f t="shared" si="126"/>
        <v>-0.58372197984052887</v>
      </c>
      <c r="CG176" s="61">
        <f t="shared" si="126"/>
        <v>0</v>
      </c>
      <c r="CH176" s="61">
        <f t="shared" si="126"/>
        <v>-0.58372197984052887</v>
      </c>
      <c r="CI176" s="61">
        <f t="shared" si="134"/>
        <v>-0.16344215435534809</v>
      </c>
      <c r="CJ176" s="61"/>
      <c r="CK176" s="61">
        <f t="shared" si="139"/>
        <v>0</v>
      </c>
      <c r="CL176" s="61">
        <f t="shared" si="139"/>
        <v>0</v>
      </c>
      <c r="CM176" s="61">
        <f t="shared" si="139"/>
        <v>0</v>
      </c>
      <c r="CN176" s="61">
        <f t="shared" si="139"/>
        <v>0</v>
      </c>
      <c r="CO176" s="61">
        <f t="shared" si="139"/>
        <v>-0.54611102753121643</v>
      </c>
      <c r="CP176" s="61">
        <f t="shared" si="127"/>
        <v>-0.54611102753121643</v>
      </c>
      <c r="CQ176" s="61">
        <f t="shared" si="127"/>
        <v>0</v>
      </c>
      <c r="CR176" s="61">
        <f t="shared" si="127"/>
        <v>-0.54611102753121643</v>
      </c>
      <c r="CS176" s="61">
        <f t="shared" si="135"/>
        <v>-0.15291108770874062</v>
      </c>
      <c r="CT176" s="61">
        <f t="shared" si="136"/>
        <v>-1.0163999999999989</v>
      </c>
      <c r="CV176" s="61">
        <f t="shared" si="137"/>
        <v>-50000</v>
      </c>
      <c r="CW176" s="61">
        <f t="shared" si="148"/>
        <v>-50000</v>
      </c>
      <c r="CX176" s="61"/>
      <c r="CY176" s="61">
        <f t="shared" si="149"/>
        <v>0</v>
      </c>
      <c r="CZ176" s="61">
        <f t="shared" si="117"/>
        <v>0</v>
      </c>
      <c r="DA176" s="61">
        <f t="shared" si="117"/>
        <v>0</v>
      </c>
      <c r="DB176" s="2" t="s">
        <v>102</v>
      </c>
      <c r="DC176" s="2" t="s">
        <v>102</v>
      </c>
      <c r="DD176" s="2" t="s">
        <v>142</v>
      </c>
      <c r="DE176" s="2" t="s">
        <v>181</v>
      </c>
      <c r="DF176" s="3" t="s">
        <v>118</v>
      </c>
      <c r="DG176" s="62">
        <v>42800</v>
      </c>
      <c r="EC176" s="60" t="str">
        <f>VLOOKUP($M176,[1]Detail!$M:$BO,1,0)</f>
        <v>JD8B-19N601 -BA</v>
      </c>
      <c r="ED176" s="60">
        <f>VLOOKUP($M176,[1]Detail!$M:$BO,22,0)</f>
        <v>-83.13</v>
      </c>
      <c r="EE176" s="60">
        <f>VLOOKUP($M176,[1]Detail!$M:$BO,42,0)</f>
        <v>-50000</v>
      </c>
      <c r="EF176" s="60">
        <f>VLOOKUP($M176,[1]Detail!$M:$BO,45,0)</f>
        <v>0</v>
      </c>
      <c r="EH176" s="60">
        <f t="shared" si="152"/>
        <v>0</v>
      </c>
      <c r="EI176" s="60">
        <f t="shared" si="153"/>
        <v>0</v>
      </c>
      <c r="EJ176" s="60">
        <f t="shared" si="154"/>
        <v>0</v>
      </c>
    </row>
    <row r="177" spans="2:140" ht="12.75" hidden="1" customHeight="1">
      <c r="B177" s="93" t="s">
        <v>479</v>
      </c>
      <c r="C177" s="22" t="s">
        <v>480</v>
      </c>
      <c r="D177" s="22" t="s">
        <v>481</v>
      </c>
      <c r="E177" s="2" t="str">
        <f>VLOOKUP($C177,[1]Detail!$C:$AK,6,0)</f>
        <v>PMT2</v>
      </c>
      <c r="F177" s="2" t="str">
        <f>VLOOKUP($C177,[1]Detail!$C:$AK,7,0)</f>
        <v>PF</v>
      </c>
      <c r="G177" s="2" t="str">
        <f>VLOOKUP($C177,[1]Detail!$C:$AK,5,0)</f>
        <v>D</v>
      </c>
      <c r="J177" s="22" t="s">
        <v>463</v>
      </c>
      <c r="K177" s="23" t="s">
        <v>488</v>
      </c>
      <c r="L177" s="22" t="s">
        <v>483</v>
      </c>
      <c r="M177" s="51" t="str">
        <f t="shared" si="111"/>
        <v>JD8B-19N602 -AA</v>
      </c>
      <c r="O177" s="22">
        <v>1</v>
      </c>
      <c r="P177" s="22">
        <v>1</v>
      </c>
      <c r="Q177" s="22">
        <v>1</v>
      </c>
      <c r="R177" s="22">
        <v>1</v>
      </c>
      <c r="S177" s="22">
        <v>0</v>
      </c>
      <c r="T177" s="22">
        <v>0</v>
      </c>
      <c r="U177" s="22">
        <v>1</v>
      </c>
      <c r="V177" s="22">
        <v>0</v>
      </c>
      <c r="W177" s="64">
        <f t="shared" si="112"/>
        <v>0.72000000000000008</v>
      </c>
      <c r="Y177" s="95">
        <v>-50.8</v>
      </c>
      <c r="Z177" s="95">
        <v>-0.79</v>
      </c>
      <c r="AA177" s="95">
        <v>-0.96</v>
      </c>
      <c r="AB177" s="95">
        <v>0</v>
      </c>
      <c r="AC177" s="95">
        <v>0</v>
      </c>
      <c r="AD177" s="8">
        <f t="shared" si="140"/>
        <v>-52.55</v>
      </c>
      <c r="AE177" s="2" t="s">
        <v>91</v>
      </c>
      <c r="AG177" s="96">
        <v>-60000</v>
      </c>
      <c r="AH177" s="96">
        <v>-60000</v>
      </c>
      <c r="AI177" s="6"/>
      <c r="AJ177" s="71">
        <v>0</v>
      </c>
      <c r="AK177" s="71">
        <v>0</v>
      </c>
      <c r="AL177" s="72">
        <v>0</v>
      </c>
      <c r="AM177" s="22"/>
      <c r="AO177" s="22" t="s">
        <v>466</v>
      </c>
      <c r="AP177" s="23" t="s">
        <v>488</v>
      </c>
      <c r="AQ177" s="22" t="s">
        <v>489</v>
      </c>
      <c r="AR177" s="51" t="str">
        <f t="shared" si="145"/>
        <v>ED8B-19N602 -AD</v>
      </c>
      <c r="AS177" s="3"/>
      <c r="AT177" s="22">
        <v>1</v>
      </c>
      <c r="AU177" s="22">
        <v>1</v>
      </c>
      <c r="AV177" s="22">
        <v>1</v>
      </c>
      <c r="AW177" s="22">
        <v>1</v>
      </c>
      <c r="AX177" s="22">
        <v>0</v>
      </c>
      <c r="AY177" s="22">
        <v>0</v>
      </c>
      <c r="AZ177" s="22">
        <v>1</v>
      </c>
      <c r="BA177" s="22">
        <v>0</v>
      </c>
      <c r="BB177" s="64">
        <f t="shared" si="146"/>
        <v>0.72000000000000008</v>
      </c>
      <c r="BD177" s="95">
        <f>-55.24*0-52.2*0-55.6*0-47.5*0-48.67</f>
        <v>-48.67</v>
      </c>
      <c r="BE177" s="95">
        <v>-0.79</v>
      </c>
      <c r="BF177" s="95">
        <v>-0.96</v>
      </c>
      <c r="BG177" s="95">
        <v>-0.16</v>
      </c>
      <c r="BH177" s="95">
        <v>0</v>
      </c>
      <c r="BI177" s="8">
        <f t="shared" si="147"/>
        <v>-50.58</v>
      </c>
      <c r="BJ177" s="2" t="s">
        <v>91</v>
      </c>
      <c r="BL177" s="96">
        <v>0</v>
      </c>
      <c r="BM177" s="96">
        <v>0</v>
      </c>
      <c r="BO177" s="71">
        <v>0</v>
      </c>
      <c r="BP177" s="71">
        <v>0</v>
      </c>
      <c r="BQ177" s="72">
        <v>0</v>
      </c>
      <c r="BS177" s="61">
        <f t="shared" si="114"/>
        <v>-2.1299999999999955</v>
      </c>
      <c r="BT177" s="61">
        <f t="shared" si="115"/>
        <v>0</v>
      </c>
      <c r="BU177" s="61">
        <f t="shared" si="116"/>
        <v>0</v>
      </c>
      <c r="BV177" s="61">
        <f t="shared" si="116"/>
        <v>0.16</v>
      </c>
      <c r="BW177" s="61">
        <f t="shared" si="116"/>
        <v>0</v>
      </c>
      <c r="BX177" s="61">
        <f t="shared" si="116"/>
        <v>-1.9699999999999989</v>
      </c>
      <c r="BY177" s="61" t="s">
        <v>91</v>
      </c>
      <c r="CA177" s="61">
        <f t="shared" si="138"/>
        <v>-0.32044531367534157</v>
      </c>
      <c r="CB177" s="61">
        <f t="shared" si="138"/>
        <v>-0.32044531367534157</v>
      </c>
      <c r="CC177" s="61">
        <f t="shared" si="138"/>
        <v>-0.32044531367534157</v>
      </c>
      <c r="CD177" s="61">
        <f t="shared" si="138"/>
        <v>-0.32044531367534157</v>
      </c>
      <c r="CE177" s="61">
        <f t="shared" si="138"/>
        <v>0</v>
      </c>
      <c r="CF177" s="61">
        <f t="shared" si="126"/>
        <v>0</v>
      </c>
      <c r="CG177" s="61">
        <f t="shared" si="126"/>
        <v>-0.32044531367534157</v>
      </c>
      <c r="CH177" s="61">
        <f t="shared" si="126"/>
        <v>0</v>
      </c>
      <c r="CI177" s="61">
        <f t="shared" si="134"/>
        <v>-0.23072062584624592</v>
      </c>
      <c r="CJ177" s="61"/>
      <c r="CK177" s="61">
        <f t="shared" si="139"/>
        <v>-0.29637430419738209</v>
      </c>
      <c r="CL177" s="61">
        <f t="shared" si="139"/>
        <v>-0.29637430419738209</v>
      </c>
      <c r="CM177" s="61">
        <f t="shared" si="139"/>
        <v>-0.29637430419738209</v>
      </c>
      <c r="CN177" s="61">
        <f t="shared" si="139"/>
        <v>-0.29637430419738209</v>
      </c>
      <c r="CO177" s="61">
        <f t="shared" si="139"/>
        <v>0</v>
      </c>
      <c r="CP177" s="61">
        <f t="shared" si="127"/>
        <v>0</v>
      </c>
      <c r="CQ177" s="61">
        <f t="shared" si="127"/>
        <v>-0.29637430419738209</v>
      </c>
      <c r="CR177" s="61">
        <f t="shared" si="127"/>
        <v>0</v>
      </c>
      <c r="CS177" s="61">
        <f t="shared" si="135"/>
        <v>-0.2133894990221151</v>
      </c>
      <c r="CT177" s="61">
        <f t="shared" si="136"/>
        <v>-1.4183999999999992</v>
      </c>
      <c r="CV177" s="61">
        <f t="shared" si="137"/>
        <v>-60000</v>
      </c>
      <c r="CW177" s="61">
        <f t="shared" si="148"/>
        <v>-60000</v>
      </c>
      <c r="CX177" s="61"/>
      <c r="CY177" s="61">
        <f t="shared" si="149"/>
        <v>0</v>
      </c>
      <c r="CZ177" s="61">
        <f t="shared" si="117"/>
        <v>0</v>
      </c>
      <c r="DA177" s="61">
        <f t="shared" si="117"/>
        <v>0</v>
      </c>
      <c r="DB177" s="2" t="s">
        <v>102</v>
      </c>
      <c r="DC177" s="2" t="s">
        <v>102</v>
      </c>
      <c r="DD177" s="2" t="s">
        <v>142</v>
      </c>
      <c r="DE177" s="2" t="s">
        <v>181</v>
      </c>
      <c r="DF177" s="3" t="s">
        <v>118</v>
      </c>
      <c r="DG177" s="62">
        <v>42800</v>
      </c>
      <c r="EC177" s="60" t="str">
        <f>VLOOKUP($M177,[1]Detail!$M:$BO,1,0)</f>
        <v>JD8B-19N602 -AA</v>
      </c>
      <c r="ED177" s="60">
        <f>VLOOKUP($M177,[1]Detail!$M:$BO,22,0)</f>
        <v>-52.55</v>
      </c>
      <c r="EE177" s="60">
        <f>VLOOKUP($M177,[1]Detail!$M:$BO,42,0)</f>
        <v>-60000</v>
      </c>
      <c r="EF177" s="60">
        <f>VLOOKUP($M177,[1]Detail!$M:$BO,45,0)</f>
        <v>0</v>
      </c>
      <c r="EH177" s="60">
        <f t="shared" si="152"/>
        <v>0</v>
      </c>
      <c r="EI177" s="60">
        <f t="shared" si="153"/>
        <v>0</v>
      </c>
      <c r="EJ177" s="60">
        <f t="shared" si="154"/>
        <v>0</v>
      </c>
    </row>
    <row r="178" spans="2:140" ht="12.75" hidden="1" customHeight="1">
      <c r="B178" s="93" t="s">
        <v>479</v>
      </c>
      <c r="C178" s="22" t="s">
        <v>480</v>
      </c>
      <c r="D178" s="22" t="s">
        <v>481</v>
      </c>
      <c r="E178" s="2" t="str">
        <f>VLOOKUP($C178,[1]Detail!$C:$AK,6,0)</f>
        <v>PMT2</v>
      </c>
      <c r="F178" s="2" t="str">
        <f>VLOOKUP($C178,[1]Detail!$C:$AK,7,0)</f>
        <v>PF</v>
      </c>
      <c r="G178" s="2" t="str">
        <f>VLOOKUP($C178,[1]Detail!$C:$AK,5,0)</f>
        <v>D</v>
      </c>
      <c r="J178" s="22" t="s">
        <v>463</v>
      </c>
      <c r="K178" s="23" t="s">
        <v>488</v>
      </c>
      <c r="L178" s="22" t="s">
        <v>487</v>
      </c>
      <c r="M178" s="51" t="str">
        <f t="shared" si="111"/>
        <v>JD8B-19N602 -BA</v>
      </c>
      <c r="O178" s="22">
        <v>0</v>
      </c>
      <c r="P178" s="22">
        <v>0</v>
      </c>
      <c r="Q178" s="22">
        <v>0</v>
      </c>
      <c r="R178" s="22">
        <v>0</v>
      </c>
      <c r="S178" s="22">
        <v>1</v>
      </c>
      <c r="T178" s="22">
        <v>1</v>
      </c>
      <c r="U178" s="22">
        <v>0</v>
      </c>
      <c r="V178" s="22">
        <v>1</v>
      </c>
      <c r="W178" s="64">
        <f t="shared" si="112"/>
        <v>0.28000000000000003</v>
      </c>
      <c r="Y178" s="95">
        <v>-51.11</v>
      </c>
      <c r="Z178" s="95">
        <v>-0.79</v>
      </c>
      <c r="AA178" s="95">
        <v>-0.96</v>
      </c>
      <c r="AB178" s="95">
        <v>0</v>
      </c>
      <c r="AC178" s="95">
        <v>0</v>
      </c>
      <c r="AD178" s="8">
        <f t="shared" si="140"/>
        <v>-52.86</v>
      </c>
      <c r="AE178" s="2" t="s">
        <v>91</v>
      </c>
      <c r="AG178" s="96">
        <v>-60000</v>
      </c>
      <c r="AH178" s="96">
        <v>-60000</v>
      </c>
      <c r="AI178" s="6"/>
      <c r="AJ178" s="71">
        <v>0</v>
      </c>
      <c r="AK178" s="71">
        <v>0</v>
      </c>
      <c r="AL178" s="72">
        <v>0</v>
      </c>
      <c r="AM178" s="22"/>
      <c r="AO178" s="22" t="s">
        <v>466</v>
      </c>
      <c r="AP178" s="23" t="s">
        <v>488</v>
      </c>
      <c r="AQ178" s="22" t="s">
        <v>489</v>
      </c>
      <c r="AR178" s="51" t="str">
        <f t="shared" si="145"/>
        <v>ED8B-19N602 -AD</v>
      </c>
      <c r="AS178" s="3"/>
      <c r="AT178" s="22">
        <v>0</v>
      </c>
      <c r="AU178" s="22">
        <v>0</v>
      </c>
      <c r="AV178" s="22">
        <v>0</v>
      </c>
      <c r="AW178" s="22">
        <v>0</v>
      </c>
      <c r="AX178" s="22">
        <v>1</v>
      </c>
      <c r="AY178" s="22">
        <v>1</v>
      </c>
      <c r="AZ178" s="22">
        <v>0</v>
      </c>
      <c r="BA178" s="22">
        <v>1</v>
      </c>
      <c r="BB178" s="64">
        <f t="shared" si="146"/>
        <v>0.28000000000000003</v>
      </c>
      <c r="BD178" s="95">
        <f>-55.24*0-52.2*0-55.6*0-47.5*0-48.67</f>
        <v>-48.67</v>
      </c>
      <c r="BE178" s="95">
        <v>-0.79</v>
      </c>
      <c r="BF178" s="95">
        <v>-0.96</v>
      </c>
      <c r="BG178" s="95">
        <v>-0.16</v>
      </c>
      <c r="BH178" s="95">
        <v>0</v>
      </c>
      <c r="BI178" s="8">
        <f t="shared" si="147"/>
        <v>-50.58</v>
      </c>
      <c r="BJ178" s="2" t="s">
        <v>91</v>
      </c>
      <c r="BL178" s="96">
        <v>0</v>
      </c>
      <c r="BM178" s="96">
        <v>0</v>
      </c>
      <c r="BO178" s="71">
        <v>0</v>
      </c>
      <c r="BP178" s="71">
        <v>0</v>
      </c>
      <c r="BQ178" s="72">
        <v>0</v>
      </c>
      <c r="BS178" s="61">
        <f t="shared" si="114"/>
        <v>-2.4399999999999977</v>
      </c>
      <c r="BT178" s="61">
        <f t="shared" si="115"/>
        <v>0</v>
      </c>
      <c r="BU178" s="61">
        <f t="shared" si="116"/>
        <v>0</v>
      </c>
      <c r="BV178" s="61">
        <f t="shared" si="116"/>
        <v>0.16</v>
      </c>
      <c r="BW178" s="61">
        <f t="shared" si="116"/>
        <v>0</v>
      </c>
      <c r="BX178" s="61">
        <f t="shared" ref="BX178:BX241" si="155">SUM(AD178)-SUM(BI178)</f>
        <v>-2.2800000000000011</v>
      </c>
      <c r="BY178" s="61" t="s">
        <v>91</v>
      </c>
      <c r="CA178" s="61">
        <f t="shared" si="138"/>
        <v>0</v>
      </c>
      <c r="CB178" s="61">
        <f t="shared" si="138"/>
        <v>0</v>
      </c>
      <c r="CC178" s="61">
        <f t="shared" si="138"/>
        <v>0</v>
      </c>
      <c r="CD178" s="61">
        <f t="shared" si="138"/>
        <v>0</v>
      </c>
      <c r="CE178" s="61">
        <f t="shared" si="138"/>
        <v>-0.36708289453888937</v>
      </c>
      <c r="CF178" s="61">
        <f t="shared" si="126"/>
        <v>-0.36708289453888937</v>
      </c>
      <c r="CG178" s="61">
        <f t="shared" si="126"/>
        <v>0</v>
      </c>
      <c r="CH178" s="61">
        <f t="shared" si="126"/>
        <v>-0.36708289453888937</v>
      </c>
      <c r="CI178" s="61">
        <f t="shared" si="134"/>
        <v>-0.10278321047088904</v>
      </c>
      <c r="CJ178" s="61"/>
      <c r="CK178" s="61">
        <f t="shared" si="139"/>
        <v>0</v>
      </c>
      <c r="CL178" s="61">
        <f t="shared" si="139"/>
        <v>0</v>
      </c>
      <c r="CM178" s="61">
        <f t="shared" si="139"/>
        <v>0</v>
      </c>
      <c r="CN178" s="61">
        <f t="shared" si="139"/>
        <v>0</v>
      </c>
      <c r="CO178" s="61">
        <f t="shared" si="139"/>
        <v>-0.34301188506092989</v>
      </c>
      <c r="CP178" s="61">
        <f t="shared" si="127"/>
        <v>-0.34301188506092989</v>
      </c>
      <c r="CQ178" s="61">
        <f t="shared" si="127"/>
        <v>0</v>
      </c>
      <c r="CR178" s="61">
        <f t="shared" si="127"/>
        <v>-0.34301188506092989</v>
      </c>
      <c r="CS178" s="61">
        <f t="shared" si="135"/>
        <v>-9.6043327817060375E-2</v>
      </c>
      <c r="CT178" s="61">
        <f t="shared" si="136"/>
        <v>-0.6384000000000003</v>
      </c>
      <c r="CV178" s="61">
        <f t="shared" si="137"/>
        <v>-60000</v>
      </c>
      <c r="CW178" s="61">
        <f t="shared" si="148"/>
        <v>-60000</v>
      </c>
      <c r="CX178" s="61"/>
      <c r="CY178" s="61">
        <f t="shared" si="149"/>
        <v>0</v>
      </c>
      <c r="CZ178" s="61">
        <f t="shared" si="117"/>
        <v>0</v>
      </c>
      <c r="DA178" s="61">
        <f t="shared" si="117"/>
        <v>0</v>
      </c>
      <c r="DB178" s="2" t="s">
        <v>102</v>
      </c>
      <c r="DC178" s="2" t="s">
        <v>102</v>
      </c>
      <c r="DD178" s="2" t="s">
        <v>142</v>
      </c>
      <c r="DE178" s="2" t="s">
        <v>181</v>
      </c>
      <c r="DF178" s="3" t="s">
        <v>118</v>
      </c>
      <c r="DG178" s="62">
        <v>42800</v>
      </c>
      <c r="EC178" s="60" t="str">
        <f>VLOOKUP($M178,[1]Detail!$M:$BO,1,0)</f>
        <v>JD8B-19N602 -BA</v>
      </c>
      <c r="ED178" s="60">
        <f>VLOOKUP($M178,[1]Detail!$M:$BO,22,0)</f>
        <v>-52.86</v>
      </c>
      <c r="EE178" s="60">
        <f>VLOOKUP($M178,[1]Detail!$M:$BO,42,0)</f>
        <v>-60000</v>
      </c>
      <c r="EF178" s="60">
        <f>VLOOKUP($M178,[1]Detail!$M:$BO,45,0)</f>
        <v>0</v>
      </c>
      <c r="EH178" s="60">
        <f t="shared" si="152"/>
        <v>0</v>
      </c>
      <c r="EI178" s="60">
        <f t="shared" si="153"/>
        <v>0</v>
      </c>
      <c r="EJ178" s="60">
        <f t="shared" si="154"/>
        <v>0</v>
      </c>
    </row>
    <row r="179" spans="2:140" ht="12.75" hidden="1" customHeight="1">
      <c r="B179" s="93" t="s">
        <v>479</v>
      </c>
      <c r="C179" s="22" t="s">
        <v>480</v>
      </c>
      <c r="D179" s="22" t="s">
        <v>481</v>
      </c>
      <c r="E179" s="2" t="str">
        <f>VLOOKUP($C179,[1]Detail!$C:$AK,6,0)</f>
        <v>PMT2</v>
      </c>
      <c r="F179" s="2" t="str">
        <f>VLOOKUP($C179,[1]Detail!$C:$AK,7,0)</f>
        <v>PF</v>
      </c>
      <c r="G179" s="2" t="str">
        <f>VLOOKUP($C179,[1]Detail!$C:$AK,5,0)</f>
        <v>D</v>
      </c>
      <c r="J179" s="22" t="s">
        <v>463</v>
      </c>
      <c r="K179" s="23" t="s">
        <v>490</v>
      </c>
      <c r="L179" s="22" t="s">
        <v>483</v>
      </c>
      <c r="M179" s="51" t="str">
        <f t="shared" ref="M179:M242" si="156">TRIM(J179)&amp;"-"&amp;TRIM(K179)&amp;"-"&amp;TRIM(L179)</f>
        <v>JD8B-19N651 -AA</v>
      </c>
      <c r="O179" s="22">
        <v>0</v>
      </c>
      <c r="P179" s="22">
        <v>0</v>
      </c>
      <c r="Q179" s="22">
        <v>0</v>
      </c>
      <c r="R179" s="22">
        <v>0</v>
      </c>
      <c r="S179" s="22">
        <v>1</v>
      </c>
      <c r="T179" s="22">
        <v>1</v>
      </c>
      <c r="U179" s="22">
        <v>0</v>
      </c>
      <c r="V179" s="22">
        <v>1</v>
      </c>
      <c r="W179" s="64">
        <f t="shared" ref="W179:W242" si="157">SUMPRODUCT(O179:V179,$O$6:$V$6)</f>
        <v>0.28000000000000003</v>
      </c>
      <c r="Y179" s="95">
        <v>-25.86</v>
      </c>
      <c r="Z179" s="95">
        <v>-0.79</v>
      </c>
      <c r="AA179" s="95">
        <v>-0.96</v>
      </c>
      <c r="AB179" s="95">
        <v>0</v>
      </c>
      <c r="AC179" s="95">
        <v>0</v>
      </c>
      <c r="AD179" s="8">
        <f t="shared" si="140"/>
        <v>-27.61</v>
      </c>
      <c r="AE179" s="2" t="s">
        <v>91</v>
      </c>
      <c r="AG179" s="96">
        <v>-40000</v>
      </c>
      <c r="AH179" s="96">
        <v>-40000</v>
      </c>
      <c r="AI179" s="6"/>
      <c r="AJ179" s="71">
        <v>0</v>
      </c>
      <c r="AK179" s="71">
        <v>0</v>
      </c>
      <c r="AL179" s="72">
        <v>0</v>
      </c>
      <c r="AM179" s="22"/>
      <c r="AO179" s="22">
        <v>0</v>
      </c>
      <c r="AP179" s="23">
        <v>0</v>
      </c>
      <c r="AQ179" s="22">
        <v>0</v>
      </c>
      <c r="AR179" s="51" t="str">
        <f t="shared" si="145"/>
        <v>0-0-0</v>
      </c>
      <c r="AS179" s="3"/>
      <c r="AT179" s="22">
        <v>0</v>
      </c>
      <c r="AU179" s="22">
        <v>0</v>
      </c>
      <c r="AV179" s="22">
        <v>0</v>
      </c>
      <c r="AW179" s="22">
        <v>0</v>
      </c>
      <c r="AX179" s="22">
        <v>0</v>
      </c>
      <c r="AY179" s="22">
        <v>0</v>
      </c>
      <c r="AZ179" s="22">
        <v>0</v>
      </c>
      <c r="BA179" s="22">
        <v>0</v>
      </c>
      <c r="BB179" s="64">
        <f t="shared" si="146"/>
        <v>0</v>
      </c>
      <c r="BD179" s="95">
        <v>0</v>
      </c>
      <c r="BE179" s="95">
        <v>0</v>
      </c>
      <c r="BF179" s="95">
        <v>0</v>
      </c>
      <c r="BG179" s="95">
        <v>0</v>
      </c>
      <c r="BH179" s="95">
        <v>0</v>
      </c>
      <c r="BI179" s="8">
        <f t="shared" si="147"/>
        <v>0</v>
      </c>
      <c r="BJ179" s="2" t="s">
        <v>91</v>
      </c>
      <c r="BL179" s="96">
        <v>0</v>
      </c>
      <c r="BM179" s="96">
        <v>0</v>
      </c>
      <c r="BO179" s="71">
        <v>0</v>
      </c>
      <c r="BP179" s="71">
        <v>0</v>
      </c>
      <c r="BQ179" s="72">
        <v>0</v>
      </c>
      <c r="BS179" s="61">
        <f t="shared" ref="BS179:BS242" si="158">SUM(Y179)-SUM(BD179)</f>
        <v>-25.86</v>
      </c>
      <c r="BT179" s="61">
        <f t="shared" ref="BT179:BT242" si="159">SUM(Z179)-SUM(BE179)</f>
        <v>-0.79</v>
      </c>
      <c r="BU179" s="61">
        <f t="shared" ref="BU179:BX242" si="160">SUM(AA179)-SUM(BF179)</f>
        <v>-0.96</v>
      </c>
      <c r="BV179" s="61">
        <f t="shared" si="160"/>
        <v>0</v>
      </c>
      <c r="BW179" s="61">
        <f t="shared" si="160"/>
        <v>0</v>
      </c>
      <c r="BX179" s="61">
        <f t="shared" si="155"/>
        <v>-27.61</v>
      </c>
      <c r="BY179" s="61" t="s">
        <v>91</v>
      </c>
      <c r="CA179" s="61">
        <f t="shared" si="138"/>
        <v>0</v>
      </c>
      <c r="CB179" s="61">
        <f t="shared" si="138"/>
        <v>0</v>
      </c>
      <c r="CC179" s="61">
        <f t="shared" si="138"/>
        <v>0</v>
      </c>
      <c r="CD179" s="61">
        <f t="shared" si="138"/>
        <v>0</v>
      </c>
      <c r="CE179" s="61">
        <f t="shared" si="138"/>
        <v>-3.890476906875282</v>
      </c>
      <c r="CF179" s="61">
        <f t="shared" si="126"/>
        <v>-3.890476906875282</v>
      </c>
      <c r="CG179" s="61">
        <f t="shared" si="126"/>
        <v>0</v>
      </c>
      <c r="CH179" s="61">
        <f t="shared" si="126"/>
        <v>-3.890476906875282</v>
      </c>
      <c r="CI179" s="61">
        <f t="shared" si="134"/>
        <v>-1.0893335339250791</v>
      </c>
      <c r="CJ179" s="61"/>
      <c r="CK179" s="61">
        <f t="shared" si="139"/>
        <v>0</v>
      </c>
      <c r="CL179" s="61">
        <f t="shared" si="139"/>
        <v>0</v>
      </c>
      <c r="CM179" s="61">
        <f t="shared" si="139"/>
        <v>0</v>
      </c>
      <c r="CN179" s="61">
        <f t="shared" si="139"/>
        <v>0</v>
      </c>
      <c r="CO179" s="61">
        <f t="shared" si="139"/>
        <v>-4.1537535730404693</v>
      </c>
      <c r="CP179" s="61">
        <f t="shared" si="127"/>
        <v>-4.1537535730404693</v>
      </c>
      <c r="CQ179" s="61">
        <f t="shared" si="127"/>
        <v>0</v>
      </c>
      <c r="CR179" s="61">
        <f t="shared" si="127"/>
        <v>-4.1537535730404693</v>
      </c>
      <c r="CS179" s="61">
        <f t="shared" si="135"/>
        <v>-1.1630510004513315</v>
      </c>
      <c r="CT179" s="61">
        <f t="shared" si="136"/>
        <v>-7.7308000000000003</v>
      </c>
      <c r="CV179" s="61">
        <f t="shared" si="137"/>
        <v>-40000</v>
      </c>
      <c r="CW179" s="61">
        <f t="shared" si="148"/>
        <v>-40000</v>
      </c>
      <c r="CX179" s="61"/>
      <c r="CY179" s="61">
        <f t="shared" si="149"/>
        <v>0</v>
      </c>
      <c r="CZ179" s="61">
        <f t="shared" si="117"/>
        <v>0</v>
      </c>
      <c r="DA179" s="61">
        <f t="shared" si="117"/>
        <v>0</v>
      </c>
      <c r="DB179" s="2" t="s">
        <v>102</v>
      </c>
      <c r="DC179" s="2" t="s">
        <v>102</v>
      </c>
      <c r="DD179" s="2" t="s">
        <v>142</v>
      </c>
      <c r="DE179" s="2" t="s">
        <v>181</v>
      </c>
      <c r="DF179" s="3" t="s">
        <v>118</v>
      </c>
      <c r="DG179" s="62">
        <v>42800</v>
      </c>
      <c r="EC179" s="60" t="str">
        <f>VLOOKUP($M179,[1]Detail!$M:$BO,1,0)</f>
        <v>JD8B-19N651 -AA</v>
      </c>
      <c r="ED179" s="60">
        <f>VLOOKUP($M179,[1]Detail!$M:$BO,22,0)</f>
        <v>-27.61</v>
      </c>
      <c r="EE179" s="60">
        <f>VLOOKUP($M179,[1]Detail!$M:$BO,42,0)</f>
        <v>-40000</v>
      </c>
      <c r="EF179" s="60">
        <f>VLOOKUP($M179,[1]Detail!$M:$BO,45,0)</f>
        <v>0</v>
      </c>
      <c r="EH179" s="60">
        <f t="shared" si="152"/>
        <v>0</v>
      </c>
      <c r="EI179" s="60">
        <f t="shared" si="153"/>
        <v>0</v>
      </c>
      <c r="EJ179" s="60">
        <f t="shared" si="154"/>
        <v>0</v>
      </c>
    </row>
    <row r="180" spans="2:140" ht="12.75" hidden="1" customHeight="1">
      <c r="B180" s="93" t="s">
        <v>491</v>
      </c>
      <c r="C180" s="22" t="s">
        <v>492</v>
      </c>
      <c r="D180" s="22" t="s">
        <v>493</v>
      </c>
      <c r="E180" s="2" t="str">
        <f>VLOOKUP($C180,[1]Detail!$C:$AK,6,0)</f>
        <v>PMT2</v>
      </c>
      <c r="F180" s="2" t="str">
        <f>VLOOKUP($C180,[1]Detail!$C:$AK,7,0)</f>
        <v>TH</v>
      </c>
      <c r="G180" s="2" t="str">
        <f>VLOOKUP($C180,[1]Detail!$C:$AK,5,0)</f>
        <v>B</v>
      </c>
      <c r="J180" s="22" t="s">
        <v>463</v>
      </c>
      <c r="K180" s="23" t="s">
        <v>494</v>
      </c>
      <c r="L180" s="22" t="s">
        <v>465</v>
      </c>
      <c r="M180" s="51" t="str">
        <f t="shared" si="156"/>
        <v>JD8B-611B64-AAW</v>
      </c>
      <c r="O180" s="22">
        <v>1</v>
      </c>
      <c r="P180" s="22">
        <v>1</v>
      </c>
      <c r="Q180" s="22">
        <v>1</v>
      </c>
      <c r="R180" s="22">
        <v>1</v>
      </c>
      <c r="S180" s="22">
        <v>1</v>
      </c>
      <c r="T180" s="22">
        <v>1</v>
      </c>
      <c r="U180" s="22">
        <v>1</v>
      </c>
      <c r="V180" s="22">
        <v>1</v>
      </c>
      <c r="W180" s="64">
        <f t="shared" si="157"/>
        <v>1</v>
      </c>
      <c r="Y180" s="95">
        <v>-56.45</v>
      </c>
      <c r="Z180" s="95">
        <v>-0.55000000000000004</v>
      </c>
      <c r="AA180" s="95">
        <v>-0.35</v>
      </c>
      <c r="AB180" s="95">
        <v>-0.18</v>
      </c>
      <c r="AC180" s="95">
        <v>-0.2</v>
      </c>
      <c r="AD180" s="8">
        <f t="shared" si="140"/>
        <v>-57.730000000000004</v>
      </c>
      <c r="AE180" s="2" t="s">
        <v>91</v>
      </c>
      <c r="AG180" s="96">
        <v>0</v>
      </c>
      <c r="AH180" s="96">
        <v>0</v>
      </c>
      <c r="AJ180" s="71">
        <v>0</v>
      </c>
      <c r="AK180" s="71">
        <v>0</v>
      </c>
      <c r="AL180" s="72">
        <v>0</v>
      </c>
      <c r="AM180" s="22" t="s">
        <v>495</v>
      </c>
      <c r="AO180" s="22" t="s">
        <v>466</v>
      </c>
      <c r="AP180" s="23" t="s">
        <v>494</v>
      </c>
      <c r="AQ180" s="22" t="s">
        <v>496</v>
      </c>
      <c r="AR180" s="51" t="str">
        <f t="shared" si="145"/>
        <v>ED8B-611B64-BBW</v>
      </c>
      <c r="AS180" s="3"/>
      <c r="AT180" s="22">
        <v>1</v>
      </c>
      <c r="AU180" s="22">
        <v>1</v>
      </c>
      <c r="AV180" s="22">
        <v>1</v>
      </c>
      <c r="AW180" s="22">
        <v>1</v>
      </c>
      <c r="AX180" s="22">
        <v>1</v>
      </c>
      <c r="AY180" s="22">
        <v>1</v>
      </c>
      <c r="AZ180" s="22">
        <v>1</v>
      </c>
      <c r="BA180" s="22">
        <v>1</v>
      </c>
      <c r="BB180" s="64">
        <f t="shared" si="146"/>
        <v>1</v>
      </c>
      <c r="BD180" s="95">
        <v>-55.54</v>
      </c>
      <c r="BE180" s="95">
        <v>-0.55000000000000004</v>
      </c>
      <c r="BF180" s="95">
        <v>-0.35</v>
      </c>
      <c r="BG180" s="95">
        <v>-0.18</v>
      </c>
      <c r="BH180" s="95">
        <v>0</v>
      </c>
      <c r="BI180" s="8">
        <f t="shared" si="147"/>
        <v>-56.62</v>
      </c>
      <c r="BJ180" s="2" t="s">
        <v>91</v>
      </c>
      <c r="BL180" s="96">
        <v>0</v>
      </c>
      <c r="BM180" s="96">
        <v>0</v>
      </c>
      <c r="BO180" s="71">
        <v>0</v>
      </c>
      <c r="BP180" s="71">
        <v>0</v>
      </c>
      <c r="BQ180" s="72">
        <v>0</v>
      </c>
      <c r="BS180" s="61">
        <f t="shared" si="158"/>
        <v>-0.91000000000000369</v>
      </c>
      <c r="BT180" s="61">
        <f t="shared" si="159"/>
        <v>0</v>
      </c>
      <c r="BU180" s="61">
        <f t="shared" si="160"/>
        <v>0</v>
      </c>
      <c r="BV180" s="61">
        <f t="shared" si="160"/>
        <v>0</v>
      </c>
      <c r="BW180" s="61">
        <f t="shared" si="160"/>
        <v>-0.2</v>
      </c>
      <c r="BX180" s="61">
        <f t="shared" si="155"/>
        <v>-1.1100000000000065</v>
      </c>
      <c r="BY180" s="61" t="s">
        <v>91</v>
      </c>
      <c r="CA180" s="61">
        <f t="shared" si="138"/>
        <v>-0.13690386640589794</v>
      </c>
      <c r="CB180" s="61">
        <f t="shared" si="138"/>
        <v>-0.13690386640589794</v>
      </c>
      <c r="CC180" s="61">
        <f t="shared" si="138"/>
        <v>-0.13690386640589794</v>
      </c>
      <c r="CD180" s="61">
        <f t="shared" si="138"/>
        <v>-0.13690386640589794</v>
      </c>
      <c r="CE180" s="61">
        <f t="shared" si="138"/>
        <v>-0.13690386640589794</v>
      </c>
      <c r="CF180" s="61">
        <f t="shared" si="126"/>
        <v>-0.13690386640589794</v>
      </c>
      <c r="CG180" s="61">
        <f t="shared" si="126"/>
        <v>-0.13690386640589794</v>
      </c>
      <c r="CH180" s="61">
        <f t="shared" si="126"/>
        <v>-0.13690386640589794</v>
      </c>
      <c r="CI180" s="61">
        <f t="shared" si="134"/>
        <v>-0.13690386640589794</v>
      </c>
      <c r="CJ180" s="61"/>
      <c r="CK180" s="61">
        <f t="shared" si="139"/>
        <v>-0.16699262825334835</v>
      </c>
      <c r="CL180" s="61">
        <f t="shared" si="139"/>
        <v>-0.16699262825334835</v>
      </c>
      <c r="CM180" s="61">
        <f t="shared" si="139"/>
        <v>-0.16699262825334835</v>
      </c>
      <c r="CN180" s="61">
        <f t="shared" si="139"/>
        <v>-0.16699262825334835</v>
      </c>
      <c r="CO180" s="61">
        <f t="shared" si="139"/>
        <v>-0.16699262825334835</v>
      </c>
      <c r="CP180" s="61">
        <f t="shared" si="127"/>
        <v>-0.16699262825334835</v>
      </c>
      <c r="CQ180" s="61">
        <f t="shared" si="127"/>
        <v>-0.16699262825334835</v>
      </c>
      <c r="CR180" s="61">
        <f t="shared" si="127"/>
        <v>-0.16699262825334835</v>
      </c>
      <c r="CS180" s="61">
        <f t="shared" si="135"/>
        <v>-0.16699262825334835</v>
      </c>
      <c r="CT180" s="61">
        <f t="shared" si="136"/>
        <v>-1.1100000000000065</v>
      </c>
      <c r="CV180" s="61">
        <f t="shared" si="137"/>
        <v>0</v>
      </c>
      <c r="CW180" s="61">
        <f t="shared" si="148"/>
        <v>0</v>
      </c>
      <c r="CX180" s="61"/>
      <c r="CY180" s="61">
        <f t="shared" si="149"/>
        <v>0</v>
      </c>
      <c r="CZ180" s="61">
        <f t="shared" si="117"/>
        <v>0</v>
      </c>
      <c r="DA180" s="61">
        <f t="shared" si="117"/>
        <v>0</v>
      </c>
      <c r="DB180" s="2" t="s">
        <v>102</v>
      </c>
      <c r="DC180" s="2" t="s">
        <v>102</v>
      </c>
      <c r="DD180" s="2" t="s">
        <v>142</v>
      </c>
      <c r="DE180" s="2" t="s">
        <v>181</v>
      </c>
      <c r="DF180" s="3" t="s">
        <v>118</v>
      </c>
      <c r="DG180" s="62">
        <v>42800</v>
      </c>
      <c r="EC180" s="60" t="str">
        <f>VLOOKUP($M180,[1]Detail!$M:$BO,1,0)</f>
        <v>JD8B-611B64-AAW</v>
      </c>
      <c r="ED180" s="60">
        <f>VLOOKUP($M180,[1]Detail!$M:$BO,22,0)</f>
        <v>-57.730000000000004</v>
      </c>
      <c r="EE180" s="60">
        <f>VLOOKUP($M180,[1]Detail!$M:$BO,42,0)</f>
        <v>0</v>
      </c>
      <c r="EF180" s="60">
        <f>VLOOKUP($M180,[1]Detail!$M:$BO,45,0)</f>
        <v>-113680</v>
      </c>
      <c r="EH180" s="60">
        <f t="shared" si="152"/>
        <v>0</v>
      </c>
      <c r="EI180" s="60">
        <f t="shared" si="153"/>
        <v>0</v>
      </c>
      <c r="EJ180" s="60">
        <f t="shared" si="154"/>
        <v>-113680</v>
      </c>
    </row>
    <row r="181" spans="2:140" ht="12.75" hidden="1" customHeight="1">
      <c r="B181" s="93" t="s">
        <v>491</v>
      </c>
      <c r="C181" s="22" t="s">
        <v>492</v>
      </c>
      <c r="D181" s="22" t="s">
        <v>493</v>
      </c>
      <c r="E181" s="2" t="str">
        <f>VLOOKUP($C181,[1]Detail!$C:$AK,6,0)</f>
        <v>PMT2</v>
      </c>
      <c r="F181" s="2" t="str">
        <f>VLOOKUP($C181,[1]Detail!$C:$AK,7,0)</f>
        <v>TH</v>
      </c>
      <c r="G181" s="2" t="str">
        <f>VLOOKUP($C181,[1]Detail!$C:$AK,5,0)</f>
        <v>B</v>
      </c>
      <c r="J181" s="22" t="s">
        <v>463</v>
      </c>
      <c r="K181" s="23" t="s">
        <v>497</v>
      </c>
      <c r="L181" s="22" t="s">
        <v>465</v>
      </c>
      <c r="M181" s="51" t="str">
        <f t="shared" si="156"/>
        <v>JD8B-611B68-AAW</v>
      </c>
      <c r="O181" s="22">
        <v>0</v>
      </c>
      <c r="P181" s="22">
        <v>0</v>
      </c>
      <c r="Q181" s="22">
        <v>0</v>
      </c>
      <c r="R181" s="22">
        <v>1</v>
      </c>
      <c r="S181" s="22">
        <v>0</v>
      </c>
      <c r="T181" s="22">
        <v>0</v>
      </c>
      <c r="U181" s="22">
        <v>1</v>
      </c>
      <c r="V181" s="22">
        <v>1</v>
      </c>
      <c r="W181" s="64">
        <f t="shared" si="157"/>
        <v>0.33</v>
      </c>
      <c r="Y181" s="95">
        <v>-91.83</v>
      </c>
      <c r="Z181" s="95">
        <v>-0.45</v>
      </c>
      <c r="AA181" s="95">
        <v>-0.55000000000000004</v>
      </c>
      <c r="AB181" s="95">
        <v>-0.16</v>
      </c>
      <c r="AC181" s="95">
        <v>-1.49</v>
      </c>
      <c r="AD181" s="8">
        <f t="shared" ref="AD181:AD231" si="161">SUM(Y181:AC181)</f>
        <v>-94.47999999999999</v>
      </c>
      <c r="AE181" s="2" t="s">
        <v>91</v>
      </c>
      <c r="AG181" s="96">
        <v>-300000</v>
      </c>
      <c r="AH181" s="96">
        <v>-300000</v>
      </c>
      <c r="AI181" s="6"/>
      <c r="AJ181" s="71">
        <v>0</v>
      </c>
      <c r="AK181" s="71">
        <v>0</v>
      </c>
      <c r="AL181" s="72">
        <v>0</v>
      </c>
      <c r="AM181" s="22" t="s">
        <v>495</v>
      </c>
      <c r="AO181" s="22" t="s">
        <v>466</v>
      </c>
      <c r="AP181" s="23" t="s">
        <v>497</v>
      </c>
      <c r="AQ181" s="22" t="s">
        <v>498</v>
      </c>
      <c r="AR181" s="51" t="str">
        <f t="shared" si="145"/>
        <v>ED8B-611B68-CBW</v>
      </c>
      <c r="AS181" s="3"/>
      <c r="AT181" s="22">
        <v>0</v>
      </c>
      <c r="AU181" s="22">
        <v>0</v>
      </c>
      <c r="AV181" s="22">
        <v>0</v>
      </c>
      <c r="AW181" s="22">
        <v>1</v>
      </c>
      <c r="AX181" s="22">
        <v>0</v>
      </c>
      <c r="AY181" s="22">
        <v>0</v>
      </c>
      <c r="AZ181" s="22">
        <v>1</v>
      </c>
      <c r="BA181" s="22">
        <v>1</v>
      </c>
      <c r="BB181" s="64">
        <f t="shared" si="146"/>
        <v>0.33</v>
      </c>
      <c r="BD181" s="95">
        <v>-37.730000000000004</v>
      </c>
      <c r="BE181" s="95">
        <v>-0.45</v>
      </c>
      <c r="BF181" s="95">
        <v>-0.55000000000000004</v>
      </c>
      <c r="BG181" s="95">
        <f>-0.21*0-0.16</f>
        <v>-0.16</v>
      </c>
      <c r="BH181" s="95">
        <v>0</v>
      </c>
      <c r="BI181" s="8">
        <f t="shared" si="147"/>
        <v>-38.89</v>
      </c>
      <c r="BJ181" s="2" t="s">
        <v>91</v>
      </c>
      <c r="BL181" s="96">
        <v>0</v>
      </c>
      <c r="BM181" s="96">
        <v>0</v>
      </c>
      <c r="BO181" s="71">
        <v>0</v>
      </c>
      <c r="BP181" s="71">
        <v>0</v>
      </c>
      <c r="BQ181" s="72">
        <v>0</v>
      </c>
      <c r="BS181" s="61">
        <f t="shared" si="158"/>
        <v>-54.099999999999994</v>
      </c>
      <c r="BT181" s="61">
        <f t="shared" si="159"/>
        <v>0</v>
      </c>
      <c r="BU181" s="61">
        <f t="shared" si="160"/>
        <v>0</v>
      </c>
      <c r="BV181" s="61">
        <f t="shared" si="160"/>
        <v>0</v>
      </c>
      <c r="BW181" s="61">
        <f t="shared" si="160"/>
        <v>-1.49</v>
      </c>
      <c r="BX181" s="61">
        <f t="shared" si="155"/>
        <v>-55.589999999999989</v>
      </c>
      <c r="BY181" s="61" t="s">
        <v>91</v>
      </c>
      <c r="CA181" s="61">
        <f t="shared" si="138"/>
        <v>0</v>
      </c>
      <c r="CB181" s="61">
        <f t="shared" si="138"/>
        <v>0</v>
      </c>
      <c r="CC181" s="61">
        <f t="shared" si="138"/>
        <v>0</v>
      </c>
      <c r="CD181" s="61">
        <f t="shared" si="138"/>
        <v>-8.1390100797352183</v>
      </c>
      <c r="CE181" s="61">
        <f t="shared" si="138"/>
        <v>0</v>
      </c>
      <c r="CF181" s="61">
        <f t="shared" si="126"/>
        <v>0</v>
      </c>
      <c r="CG181" s="61">
        <f t="shared" si="126"/>
        <v>-8.1390100797352183</v>
      </c>
      <c r="CH181" s="61">
        <f t="shared" si="126"/>
        <v>-8.1390100797352183</v>
      </c>
      <c r="CI181" s="61">
        <f t="shared" si="134"/>
        <v>-2.6858733263126222</v>
      </c>
      <c r="CJ181" s="61"/>
      <c r="CK181" s="61">
        <f t="shared" si="139"/>
        <v>0</v>
      </c>
      <c r="CL181" s="61">
        <f t="shared" si="139"/>
        <v>0</v>
      </c>
      <c r="CM181" s="61">
        <f t="shared" si="139"/>
        <v>0</v>
      </c>
      <c r="CN181" s="61">
        <f t="shared" si="139"/>
        <v>-8.3631713554987197</v>
      </c>
      <c r="CO181" s="61">
        <f t="shared" si="139"/>
        <v>0</v>
      </c>
      <c r="CP181" s="61">
        <f t="shared" si="127"/>
        <v>0</v>
      </c>
      <c r="CQ181" s="61">
        <f t="shared" si="127"/>
        <v>-8.3631713554987197</v>
      </c>
      <c r="CR181" s="61">
        <f t="shared" si="127"/>
        <v>-8.3631713554987197</v>
      </c>
      <c r="CS181" s="61">
        <f t="shared" si="135"/>
        <v>-2.7598465473145777</v>
      </c>
      <c r="CT181" s="61">
        <f t="shared" si="136"/>
        <v>-18.3447</v>
      </c>
      <c r="CV181" s="61">
        <f t="shared" si="137"/>
        <v>-300000</v>
      </c>
      <c r="CW181" s="61">
        <f t="shared" si="148"/>
        <v>-300000</v>
      </c>
      <c r="CX181" s="61"/>
      <c r="CY181" s="61">
        <f t="shared" si="149"/>
        <v>0</v>
      </c>
      <c r="CZ181" s="61">
        <f t="shared" si="117"/>
        <v>0</v>
      </c>
      <c r="DA181" s="61">
        <f t="shared" si="117"/>
        <v>0</v>
      </c>
      <c r="DB181" s="2" t="s">
        <v>85</v>
      </c>
      <c r="DC181" s="2" t="s">
        <v>102</v>
      </c>
      <c r="DD181" s="2" t="s">
        <v>142</v>
      </c>
      <c r="DE181" s="2" t="s">
        <v>181</v>
      </c>
      <c r="DF181" s="3" t="s">
        <v>118</v>
      </c>
      <c r="DG181" s="62">
        <v>42800</v>
      </c>
      <c r="EC181" s="60"/>
      <c r="ED181" s="60"/>
      <c r="EE181" s="60"/>
      <c r="EF181" s="60"/>
    </row>
    <row r="182" spans="2:140" ht="12.75" hidden="1" customHeight="1">
      <c r="B182" s="93" t="s">
        <v>491</v>
      </c>
      <c r="C182" s="22" t="s">
        <v>492</v>
      </c>
      <c r="D182" s="22" t="s">
        <v>493</v>
      </c>
      <c r="E182" s="2" t="str">
        <f>VLOOKUP($C182,[1]Detail!$C:$AK,6,0)</f>
        <v>PMT2</v>
      </c>
      <c r="F182" s="2" t="str">
        <f>VLOOKUP($C182,[1]Detail!$C:$AK,7,0)</f>
        <v>TH</v>
      </c>
      <c r="G182" s="2" t="str">
        <f>VLOOKUP($C182,[1]Detail!$C:$AK,5,0)</f>
        <v>B</v>
      </c>
      <c r="J182" s="22" t="s">
        <v>463</v>
      </c>
      <c r="K182" s="23" t="s">
        <v>499</v>
      </c>
      <c r="L182" s="22" t="s">
        <v>465</v>
      </c>
      <c r="M182" s="51" t="str">
        <f t="shared" si="156"/>
        <v>JD8B-611B69-AAW</v>
      </c>
      <c r="O182" s="22">
        <v>0</v>
      </c>
      <c r="P182" s="22">
        <v>0</v>
      </c>
      <c r="Q182" s="22">
        <v>0</v>
      </c>
      <c r="R182" s="22">
        <v>1</v>
      </c>
      <c r="S182" s="22">
        <v>0</v>
      </c>
      <c r="T182" s="22">
        <v>0</v>
      </c>
      <c r="U182" s="22">
        <v>1</v>
      </c>
      <c r="V182" s="22">
        <v>1</v>
      </c>
      <c r="W182" s="64">
        <f t="shared" si="157"/>
        <v>0.33</v>
      </c>
      <c r="Y182" s="95">
        <v>-91.83</v>
      </c>
      <c r="Z182" s="95">
        <v>-0.45</v>
      </c>
      <c r="AA182" s="95">
        <v>-0.55000000000000004</v>
      </c>
      <c r="AB182" s="95">
        <v>-0.16</v>
      </c>
      <c r="AC182" s="95">
        <v>-1.49</v>
      </c>
      <c r="AD182" s="8">
        <f t="shared" si="161"/>
        <v>-94.47999999999999</v>
      </c>
      <c r="AE182" s="2" t="s">
        <v>91</v>
      </c>
      <c r="AG182" s="96">
        <v>-300000</v>
      </c>
      <c r="AH182" s="96">
        <v>-300000</v>
      </c>
      <c r="AI182" s="6"/>
      <c r="AJ182" s="71">
        <v>0</v>
      </c>
      <c r="AK182" s="71">
        <v>0</v>
      </c>
      <c r="AL182" s="72">
        <v>0</v>
      </c>
      <c r="AM182" s="22" t="s">
        <v>495</v>
      </c>
      <c r="AO182" s="22" t="s">
        <v>466</v>
      </c>
      <c r="AP182" s="23" t="s">
        <v>497</v>
      </c>
      <c r="AQ182" s="22" t="s">
        <v>498</v>
      </c>
      <c r="AR182" s="51" t="str">
        <f t="shared" si="145"/>
        <v>ED8B-611B68-CBW</v>
      </c>
      <c r="AS182" s="3"/>
      <c r="AT182" s="22">
        <v>0</v>
      </c>
      <c r="AU182" s="22">
        <v>0</v>
      </c>
      <c r="AV182" s="22">
        <v>0</v>
      </c>
      <c r="AW182" s="22">
        <v>1</v>
      </c>
      <c r="AX182" s="22">
        <v>0</v>
      </c>
      <c r="AY182" s="22">
        <v>0</v>
      </c>
      <c r="AZ182" s="22">
        <v>1</v>
      </c>
      <c r="BA182" s="22">
        <v>1</v>
      </c>
      <c r="BB182" s="64">
        <f t="shared" si="146"/>
        <v>0.33</v>
      </c>
      <c r="BD182" s="95">
        <v>-37.730000000000004</v>
      </c>
      <c r="BE182" s="95">
        <v>-0.45</v>
      </c>
      <c r="BF182" s="95">
        <v>-0.55000000000000004</v>
      </c>
      <c r="BG182" s="95">
        <f>-0.21*0-0.16</f>
        <v>-0.16</v>
      </c>
      <c r="BH182" s="95">
        <v>0</v>
      </c>
      <c r="BI182" s="8">
        <f t="shared" si="147"/>
        <v>-38.89</v>
      </c>
      <c r="BJ182" s="2" t="s">
        <v>91</v>
      </c>
      <c r="BL182" s="96">
        <v>0</v>
      </c>
      <c r="BM182" s="96">
        <v>0</v>
      </c>
      <c r="BO182" s="71">
        <v>0</v>
      </c>
      <c r="BP182" s="71">
        <v>0</v>
      </c>
      <c r="BQ182" s="72">
        <v>0</v>
      </c>
      <c r="BS182" s="61">
        <f t="shared" si="158"/>
        <v>-54.099999999999994</v>
      </c>
      <c r="BT182" s="61">
        <f t="shared" si="159"/>
        <v>0</v>
      </c>
      <c r="BU182" s="61">
        <f t="shared" si="160"/>
        <v>0</v>
      </c>
      <c r="BV182" s="61">
        <f t="shared" si="160"/>
        <v>0</v>
      </c>
      <c r="BW182" s="61">
        <f t="shared" si="160"/>
        <v>-1.49</v>
      </c>
      <c r="BX182" s="61">
        <f t="shared" si="155"/>
        <v>-55.589999999999989</v>
      </c>
      <c r="BY182" s="61" t="s">
        <v>91</v>
      </c>
      <c r="CA182" s="61">
        <f t="shared" si="138"/>
        <v>0</v>
      </c>
      <c r="CB182" s="61">
        <f t="shared" si="138"/>
        <v>0</v>
      </c>
      <c r="CC182" s="61">
        <f t="shared" si="138"/>
        <v>0</v>
      </c>
      <c r="CD182" s="61">
        <f t="shared" si="138"/>
        <v>-8.1390100797352183</v>
      </c>
      <c r="CE182" s="61">
        <f t="shared" si="138"/>
        <v>0</v>
      </c>
      <c r="CF182" s="61">
        <f t="shared" si="126"/>
        <v>0</v>
      </c>
      <c r="CG182" s="61">
        <f t="shared" si="126"/>
        <v>-8.1390100797352183</v>
      </c>
      <c r="CH182" s="61">
        <f t="shared" si="126"/>
        <v>-8.1390100797352183</v>
      </c>
      <c r="CI182" s="61">
        <f t="shared" si="134"/>
        <v>-2.6858733263126222</v>
      </c>
      <c r="CJ182" s="61"/>
      <c r="CK182" s="61">
        <f t="shared" si="139"/>
        <v>0</v>
      </c>
      <c r="CL182" s="61">
        <f t="shared" si="139"/>
        <v>0</v>
      </c>
      <c r="CM182" s="61">
        <f t="shared" si="139"/>
        <v>0</v>
      </c>
      <c r="CN182" s="61">
        <f t="shared" si="139"/>
        <v>-8.3631713554987197</v>
      </c>
      <c r="CO182" s="61">
        <f t="shared" si="139"/>
        <v>0</v>
      </c>
      <c r="CP182" s="61">
        <f t="shared" si="127"/>
        <v>0</v>
      </c>
      <c r="CQ182" s="61">
        <f t="shared" si="127"/>
        <v>-8.3631713554987197</v>
      </c>
      <c r="CR182" s="61">
        <f t="shared" si="127"/>
        <v>-8.3631713554987197</v>
      </c>
      <c r="CS182" s="61">
        <f t="shared" si="135"/>
        <v>-2.7598465473145777</v>
      </c>
      <c r="CT182" s="61">
        <f t="shared" si="136"/>
        <v>-18.3447</v>
      </c>
      <c r="CV182" s="61">
        <f t="shared" si="137"/>
        <v>-300000</v>
      </c>
      <c r="CW182" s="61">
        <f t="shared" si="148"/>
        <v>-300000</v>
      </c>
      <c r="CX182" s="61"/>
      <c r="CY182" s="61">
        <f t="shared" si="149"/>
        <v>0</v>
      </c>
      <c r="CZ182" s="61">
        <f t="shared" si="117"/>
        <v>0</v>
      </c>
      <c r="DA182" s="61">
        <f t="shared" si="117"/>
        <v>0</v>
      </c>
      <c r="DB182" s="2" t="s">
        <v>85</v>
      </c>
      <c r="DC182" s="2" t="s">
        <v>102</v>
      </c>
      <c r="DD182" s="2" t="s">
        <v>142</v>
      </c>
      <c r="DE182" s="2" t="s">
        <v>181</v>
      </c>
      <c r="DF182" s="3" t="s">
        <v>118</v>
      </c>
      <c r="DG182" s="62">
        <v>42800</v>
      </c>
      <c r="EC182" s="60"/>
      <c r="ED182" s="60"/>
      <c r="EE182" s="60"/>
      <c r="EF182" s="60"/>
    </row>
    <row r="183" spans="2:140" ht="12.75" hidden="1" customHeight="1">
      <c r="B183" s="93" t="s">
        <v>491</v>
      </c>
      <c r="C183" s="22" t="s">
        <v>492</v>
      </c>
      <c r="D183" s="22" t="s">
        <v>493</v>
      </c>
      <c r="E183" s="2" t="str">
        <f>VLOOKUP($C183,[1]Detail!$C:$AK,6,0)</f>
        <v>PMT2</v>
      </c>
      <c r="F183" s="2" t="str">
        <f>VLOOKUP($C183,[1]Detail!$C:$AK,7,0)</f>
        <v>TH</v>
      </c>
      <c r="G183" s="2" t="str">
        <f>VLOOKUP($C183,[1]Detail!$C:$AK,5,0)</f>
        <v>B</v>
      </c>
      <c r="J183" s="22" t="s">
        <v>463</v>
      </c>
      <c r="K183" s="23" t="s">
        <v>500</v>
      </c>
      <c r="L183" s="22" t="s">
        <v>465</v>
      </c>
      <c r="M183" s="51" t="str">
        <f t="shared" si="156"/>
        <v>JD8B-613K21-AAW</v>
      </c>
      <c r="O183" s="22">
        <v>1</v>
      </c>
      <c r="P183" s="22">
        <v>1</v>
      </c>
      <c r="Q183" s="22">
        <v>1</v>
      </c>
      <c r="R183" s="22">
        <v>1</v>
      </c>
      <c r="S183" s="22">
        <v>1</v>
      </c>
      <c r="T183" s="22">
        <v>1</v>
      </c>
      <c r="U183" s="22">
        <v>1</v>
      </c>
      <c r="V183" s="22">
        <v>1</v>
      </c>
      <c r="W183" s="64">
        <f t="shared" si="157"/>
        <v>1</v>
      </c>
      <c r="Y183" s="95">
        <v>-31.97</v>
      </c>
      <c r="Z183" s="95">
        <v>-0.59</v>
      </c>
      <c r="AA183" s="95">
        <v>-0.3</v>
      </c>
      <c r="AB183" s="95">
        <v>-0.18</v>
      </c>
      <c r="AC183" s="95">
        <v>-0.2</v>
      </c>
      <c r="AD183" s="8">
        <f t="shared" si="161"/>
        <v>-33.24</v>
      </c>
      <c r="AE183" s="2" t="s">
        <v>91</v>
      </c>
      <c r="AG183" s="96">
        <v>0</v>
      </c>
      <c r="AH183" s="96">
        <v>0</v>
      </c>
      <c r="AJ183" s="71">
        <v>0</v>
      </c>
      <c r="AK183" s="71">
        <v>0</v>
      </c>
      <c r="AL183" s="72">
        <v>0</v>
      </c>
      <c r="AM183" s="22" t="s">
        <v>495</v>
      </c>
      <c r="AO183" s="22" t="s">
        <v>466</v>
      </c>
      <c r="AP183" s="23" t="s">
        <v>500</v>
      </c>
      <c r="AQ183" s="22" t="s">
        <v>501</v>
      </c>
      <c r="AR183" s="51" t="str">
        <f t="shared" si="145"/>
        <v>ED8B-613K21-BDW</v>
      </c>
      <c r="AS183" s="3"/>
      <c r="AT183" s="22">
        <v>1</v>
      </c>
      <c r="AU183" s="22">
        <v>1</v>
      </c>
      <c r="AV183" s="22">
        <v>1</v>
      </c>
      <c r="AW183" s="22">
        <v>1</v>
      </c>
      <c r="AX183" s="22">
        <v>1</v>
      </c>
      <c r="AY183" s="22">
        <v>1</v>
      </c>
      <c r="AZ183" s="22">
        <v>1</v>
      </c>
      <c r="BA183" s="22">
        <v>1</v>
      </c>
      <c r="BB183" s="64">
        <f t="shared" si="146"/>
        <v>1</v>
      </c>
      <c r="BD183" s="95">
        <v>-30.15</v>
      </c>
      <c r="BE183" s="95">
        <v>-0.59</v>
      </c>
      <c r="BF183" s="95">
        <v>-0.3</v>
      </c>
      <c r="BG183" s="95">
        <v>-0.18</v>
      </c>
      <c r="BH183" s="95">
        <v>0</v>
      </c>
      <c r="BI183" s="8">
        <f t="shared" si="147"/>
        <v>-31.22</v>
      </c>
      <c r="BJ183" s="2" t="s">
        <v>91</v>
      </c>
      <c r="BL183" s="96">
        <v>0</v>
      </c>
      <c r="BM183" s="96">
        <v>0</v>
      </c>
      <c r="BO183" s="71">
        <v>0</v>
      </c>
      <c r="BP183" s="71">
        <v>0</v>
      </c>
      <c r="BQ183" s="72">
        <v>0</v>
      </c>
      <c r="BS183" s="61">
        <f t="shared" si="158"/>
        <v>-1.8200000000000003</v>
      </c>
      <c r="BT183" s="61">
        <f t="shared" si="159"/>
        <v>0</v>
      </c>
      <c r="BU183" s="61">
        <f t="shared" si="160"/>
        <v>0</v>
      </c>
      <c r="BV183" s="61">
        <f t="shared" si="160"/>
        <v>0</v>
      </c>
      <c r="BW183" s="61">
        <f t="shared" si="160"/>
        <v>-0.2</v>
      </c>
      <c r="BX183" s="61">
        <f t="shared" si="155"/>
        <v>-2.0200000000000031</v>
      </c>
      <c r="BY183" s="61" t="s">
        <v>91</v>
      </c>
      <c r="CA183" s="61">
        <f t="shared" si="138"/>
        <v>-0.27380773281179482</v>
      </c>
      <c r="CB183" s="61">
        <f t="shared" si="138"/>
        <v>-0.27380773281179482</v>
      </c>
      <c r="CC183" s="61">
        <f t="shared" si="138"/>
        <v>-0.27380773281179482</v>
      </c>
      <c r="CD183" s="61">
        <f t="shared" si="138"/>
        <v>-0.27380773281179482</v>
      </c>
      <c r="CE183" s="61">
        <f t="shared" si="138"/>
        <v>-0.27380773281179482</v>
      </c>
      <c r="CF183" s="61">
        <f t="shared" si="126"/>
        <v>-0.27380773281179482</v>
      </c>
      <c r="CG183" s="61">
        <f t="shared" si="126"/>
        <v>-0.27380773281179482</v>
      </c>
      <c r="CH183" s="61">
        <f t="shared" si="126"/>
        <v>-0.27380773281179482</v>
      </c>
      <c r="CI183" s="61">
        <f t="shared" si="134"/>
        <v>-0.27380773281179488</v>
      </c>
      <c r="CJ183" s="61"/>
      <c r="CK183" s="61">
        <f t="shared" si="139"/>
        <v>-0.30389649465924523</v>
      </c>
      <c r="CL183" s="61">
        <f t="shared" si="139"/>
        <v>-0.30389649465924523</v>
      </c>
      <c r="CM183" s="61">
        <f t="shared" si="139"/>
        <v>-0.30389649465924523</v>
      </c>
      <c r="CN183" s="61">
        <f t="shared" si="139"/>
        <v>-0.30389649465924523</v>
      </c>
      <c r="CO183" s="61">
        <f t="shared" si="139"/>
        <v>-0.30389649465924523</v>
      </c>
      <c r="CP183" s="61">
        <f t="shared" si="127"/>
        <v>-0.30389649465924523</v>
      </c>
      <c r="CQ183" s="61">
        <f t="shared" si="127"/>
        <v>-0.30389649465924523</v>
      </c>
      <c r="CR183" s="61">
        <f t="shared" si="127"/>
        <v>-0.30389649465924523</v>
      </c>
      <c r="CS183" s="61">
        <f t="shared" si="135"/>
        <v>-0.30389649465924518</v>
      </c>
      <c r="CT183" s="61">
        <f t="shared" si="136"/>
        <v>-2.0200000000000027</v>
      </c>
      <c r="CV183" s="61">
        <f t="shared" si="137"/>
        <v>0</v>
      </c>
      <c r="CW183" s="61">
        <f t="shared" si="148"/>
        <v>0</v>
      </c>
      <c r="CX183" s="61"/>
      <c r="CY183" s="61">
        <f t="shared" si="149"/>
        <v>0</v>
      </c>
      <c r="CZ183" s="61">
        <f t="shared" si="117"/>
        <v>0</v>
      </c>
      <c r="DA183" s="61">
        <f t="shared" si="117"/>
        <v>0</v>
      </c>
      <c r="DB183" s="2" t="s">
        <v>102</v>
      </c>
      <c r="DC183" s="2" t="s">
        <v>102</v>
      </c>
      <c r="DD183" s="2" t="s">
        <v>142</v>
      </c>
      <c r="DE183" s="2" t="s">
        <v>181</v>
      </c>
      <c r="DF183" s="3" t="s">
        <v>118</v>
      </c>
      <c r="DG183" s="62">
        <v>42800</v>
      </c>
      <c r="EC183" s="60" t="str">
        <f>VLOOKUP($M183,[1]Detail!$M:$BO,1,0)</f>
        <v>JD8B-613K21-AAW</v>
      </c>
      <c r="ED183" s="60">
        <f>VLOOKUP($M183,[1]Detail!$M:$BO,22,0)</f>
        <v>-33.24</v>
      </c>
      <c r="EE183" s="60">
        <f>VLOOKUP($M183,[1]Detail!$M:$BO,42,0)</f>
        <v>0</v>
      </c>
      <c r="EF183" s="60">
        <f>VLOOKUP($M183,[1]Detail!$M:$BO,45,0)</f>
        <v>-113680</v>
      </c>
      <c r="EH183" s="60">
        <f>ED183-AD183</f>
        <v>0</v>
      </c>
      <c r="EI183" s="60">
        <f>EE183-AG183</f>
        <v>0</v>
      </c>
      <c r="EJ183" s="60">
        <f t="shared" ref="EJ183:EJ185" si="162">EF183-AJ183</f>
        <v>-113680</v>
      </c>
    </row>
    <row r="184" spans="2:140" ht="12.75" hidden="1" customHeight="1">
      <c r="B184" s="93" t="s">
        <v>502</v>
      </c>
      <c r="C184" s="22" t="s">
        <v>492</v>
      </c>
      <c r="D184" s="22" t="s">
        <v>493</v>
      </c>
      <c r="E184" s="2" t="str">
        <f>VLOOKUP($C184,[1]Detail!$C:$AK,6,0)</f>
        <v>PMT2</v>
      </c>
      <c r="F184" s="2" t="str">
        <f>VLOOKUP($C184,[1]Detail!$C:$AK,7,0)</f>
        <v>TH</v>
      </c>
      <c r="G184" s="2" t="str">
        <f>VLOOKUP($C184,[1]Detail!$C:$AK,5,0)</f>
        <v>B</v>
      </c>
      <c r="J184" s="22" t="s">
        <v>463</v>
      </c>
      <c r="K184" s="23" t="s">
        <v>497</v>
      </c>
      <c r="L184" s="22" t="s">
        <v>473</v>
      </c>
      <c r="M184" s="51" t="str">
        <f t="shared" si="156"/>
        <v>JD8B-611B68-ABW</v>
      </c>
      <c r="O184" s="22">
        <v>0</v>
      </c>
      <c r="P184" s="22">
        <v>0</v>
      </c>
      <c r="Q184" s="22">
        <v>0</v>
      </c>
      <c r="R184" s="22">
        <v>1</v>
      </c>
      <c r="S184" s="22">
        <v>0</v>
      </c>
      <c r="T184" s="22">
        <v>0</v>
      </c>
      <c r="U184" s="22">
        <v>1</v>
      </c>
      <c r="V184" s="22">
        <v>1</v>
      </c>
      <c r="W184" s="64">
        <f t="shared" si="157"/>
        <v>0.33</v>
      </c>
      <c r="Y184" s="95">
        <v>-91.83</v>
      </c>
      <c r="Z184" s="95">
        <v>-0.45</v>
      </c>
      <c r="AA184" s="95">
        <v>-0.55000000000000004</v>
      </c>
      <c r="AB184" s="95">
        <v>-0.16</v>
      </c>
      <c r="AC184" s="95">
        <v>-1.49</v>
      </c>
      <c r="AD184" s="8">
        <f t="shared" si="161"/>
        <v>-94.47999999999999</v>
      </c>
      <c r="AE184" s="2" t="s">
        <v>91</v>
      </c>
      <c r="AG184" s="96">
        <v>-300000</v>
      </c>
      <c r="AH184" s="96">
        <v>-300000</v>
      </c>
      <c r="AI184" s="6"/>
      <c r="AJ184" s="71">
        <v>0</v>
      </c>
      <c r="AK184" s="71">
        <v>0</v>
      </c>
      <c r="AL184" s="72">
        <v>0</v>
      </c>
      <c r="AM184" s="22"/>
      <c r="AO184" s="22" t="s">
        <v>463</v>
      </c>
      <c r="AP184" s="23" t="s">
        <v>497</v>
      </c>
      <c r="AQ184" s="22" t="s">
        <v>465</v>
      </c>
      <c r="AR184" s="51" t="str">
        <f t="shared" si="145"/>
        <v>JD8B-611B68-AAW</v>
      </c>
      <c r="AS184" s="3"/>
      <c r="AT184" s="22">
        <v>0</v>
      </c>
      <c r="AU184" s="22">
        <v>0</v>
      </c>
      <c r="AV184" s="22">
        <v>0</v>
      </c>
      <c r="AW184" s="22">
        <v>1</v>
      </c>
      <c r="AX184" s="22">
        <v>0</v>
      </c>
      <c r="AY184" s="22">
        <v>0</v>
      </c>
      <c r="AZ184" s="22">
        <v>1</v>
      </c>
      <c r="BA184" s="22">
        <v>1</v>
      </c>
      <c r="BB184" s="64">
        <f t="shared" si="146"/>
        <v>0.33</v>
      </c>
      <c r="BD184" s="95">
        <v>-91.83</v>
      </c>
      <c r="BE184" s="95">
        <v>-0.45</v>
      </c>
      <c r="BF184" s="95">
        <v>-0.55000000000000004</v>
      </c>
      <c r="BG184" s="95">
        <v>-0.16</v>
      </c>
      <c r="BH184" s="95">
        <v>-1.49</v>
      </c>
      <c r="BI184" s="8">
        <f t="shared" si="147"/>
        <v>-94.47999999999999</v>
      </c>
      <c r="BJ184" s="2" t="s">
        <v>91</v>
      </c>
      <c r="BL184" s="96">
        <v>-300000</v>
      </c>
      <c r="BM184" s="96">
        <v>-300000</v>
      </c>
      <c r="BO184" s="71">
        <v>0</v>
      </c>
      <c r="BP184" s="71">
        <v>0</v>
      </c>
      <c r="BQ184" s="72">
        <v>0</v>
      </c>
      <c r="BS184" s="61">
        <f t="shared" si="158"/>
        <v>0</v>
      </c>
      <c r="BT184" s="61">
        <f t="shared" si="159"/>
        <v>0</v>
      </c>
      <c r="BU184" s="61">
        <f t="shared" si="160"/>
        <v>0</v>
      </c>
      <c r="BV184" s="61">
        <f t="shared" si="160"/>
        <v>0</v>
      </c>
      <c r="BW184" s="61">
        <f t="shared" si="160"/>
        <v>0</v>
      </c>
      <c r="BX184" s="61">
        <f t="shared" si="155"/>
        <v>0</v>
      </c>
      <c r="BY184" s="61" t="s">
        <v>91</v>
      </c>
      <c r="CA184" s="61">
        <f t="shared" si="138"/>
        <v>0</v>
      </c>
      <c r="CB184" s="61">
        <f t="shared" si="138"/>
        <v>0</v>
      </c>
      <c r="CC184" s="61">
        <f t="shared" si="138"/>
        <v>0</v>
      </c>
      <c r="CD184" s="61">
        <f t="shared" si="138"/>
        <v>0</v>
      </c>
      <c r="CE184" s="61">
        <f t="shared" si="138"/>
        <v>0</v>
      </c>
      <c r="CF184" s="61">
        <f t="shared" si="126"/>
        <v>0</v>
      </c>
      <c r="CG184" s="61">
        <f t="shared" si="126"/>
        <v>0</v>
      </c>
      <c r="CH184" s="61">
        <f t="shared" si="126"/>
        <v>0</v>
      </c>
      <c r="CI184" s="61">
        <f t="shared" si="134"/>
        <v>0</v>
      </c>
      <c r="CJ184" s="61"/>
      <c r="CK184" s="61">
        <f t="shared" si="139"/>
        <v>0</v>
      </c>
      <c r="CL184" s="61">
        <f t="shared" si="139"/>
        <v>0</v>
      </c>
      <c r="CM184" s="61">
        <f t="shared" si="139"/>
        <v>0</v>
      </c>
      <c r="CN184" s="61">
        <f t="shared" si="139"/>
        <v>0</v>
      </c>
      <c r="CO184" s="61">
        <f t="shared" si="139"/>
        <v>0</v>
      </c>
      <c r="CP184" s="61">
        <f t="shared" si="127"/>
        <v>0</v>
      </c>
      <c r="CQ184" s="61">
        <f t="shared" si="127"/>
        <v>0</v>
      </c>
      <c r="CR184" s="61">
        <f t="shared" si="127"/>
        <v>0</v>
      </c>
      <c r="CS184" s="61">
        <f t="shared" si="135"/>
        <v>0</v>
      </c>
      <c r="CT184" s="61">
        <f t="shared" si="136"/>
        <v>0</v>
      </c>
      <c r="CV184" s="61">
        <f t="shared" si="137"/>
        <v>0</v>
      </c>
      <c r="CW184" s="61">
        <f t="shared" si="148"/>
        <v>0</v>
      </c>
      <c r="CX184" s="61"/>
      <c r="CY184" s="61">
        <f t="shared" si="149"/>
        <v>0</v>
      </c>
      <c r="CZ184" s="61">
        <f t="shared" si="117"/>
        <v>0</v>
      </c>
      <c r="DA184" s="61">
        <f t="shared" si="117"/>
        <v>0</v>
      </c>
      <c r="DB184" s="2" t="s">
        <v>86</v>
      </c>
      <c r="DC184" s="2" t="s">
        <v>85</v>
      </c>
      <c r="DD184" s="2" t="s">
        <v>142</v>
      </c>
      <c r="DF184" s="3" t="s">
        <v>118</v>
      </c>
      <c r="DG184" s="62">
        <v>42879</v>
      </c>
      <c r="EC184" s="60" t="str">
        <f>VLOOKUP($M184,[1]Detail!$M:$BO,1,0)</f>
        <v>JD8B-611B68-ABW</v>
      </c>
      <c r="ED184" s="60">
        <f>VLOOKUP($M184,[1]Detail!$M:$BO,22,0)</f>
        <v>-94.47999999999999</v>
      </c>
      <c r="EE184" s="60">
        <f>VLOOKUP($M184,[1]Detail!$M:$BO,42,0)</f>
        <v>-300000</v>
      </c>
      <c r="EF184" s="60">
        <f>VLOOKUP($M184,[1]Detail!$M:$BO,45,0)</f>
        <v>-385000</v>
      </c>
      <c r="EH184" s="60">
        <f>ED184-AD184</f>
        <v>0</v>
      </c>
      <c r="EI184" s="60">
        <f>EE184-AG184</f>
        <v>0</v>
      </c>
      <c r="EJ184" s="60">
        <f t="shared" si="162"/>
        <v>-385000</v>
      </c>
    </row>
    <row r="185" spans="2:140" ht="12.75" hidden="1" customHeight="1">
      <c r="B185" s="93" t="s">
        <v>502</v>
      </c>
      <c r="C185" s="22" t="s">
        <v>492</v>
      </c>
      <c r="D185" s="22" t="s">
        <v>493</v>
      </c>
      <c r="E185" s="2" t="str">
        <f>VLOOKUP($C185,[1]Detail!$C:$AK,6,0)</f>
        <v>PMT2</v>
      </c>
      <c r="F185" s="2" t="str">
        <f>VLOOKUP($C185,[1]Detail!$C:$AK,7,0)</f>
        <v>TH</v>
      </c>
      <c r="G185" s="2" t="str">
        <f>VLOOKUP($C185,[1]Detail!$C:$AK,5,0)</f>
        <v>B</v>
      </c>
      <c r="J185" s="22" t="s">
        <v>463</v>
      </c>
      <c r="K185" s="23" t="s">
        <v>499</v>
      </c>
      <c r="L185" s="22" t="s">
        <v>473</v>
      </c>
      <c r="M185" s="51" t="str">
        <f t="shared" si="156"/>
        <v>JD8B-611B69-ABW</v>
      </c>
      <c r="O185" s="22">
        <v>0</v>
      </c>
      <c r="P185" s="22">
        <v>0</v>
      </c>
      <c r="Q185" s="22">
        <v>0</v>
      </c>
      <c r="R185" s="22">
        <v>1</v>
      </c>
      <c r="S185" s="22">
        <v>0</v>
      </c>
      <c r="T185" s="22">
        <v>0</v>
      </c>
      <c r="U185" s="22">
        <v>1</v>
      </c>
      <c r="V185" s="22">
        <v>1</v>
      </c>
      <c r="W185" s="64">
        <f t="shared" si="157"/>
        <v>0.33</v>
      </c>
      <c r="Y185" s="95">
        <v>-91.83</v>
      </c>
      <c r="Z185" s="95">
        <v>-0.45</v>
      </c>
      <c r="AA185" s="95">
        <v>-0.55000000000000004</v>
      </c>
      <c r="AB185" s="95">
        <v>-0.16</v>
      </c>
      <c r="AC185" s="95">
        <v>-1.49</v>
      </c>
      <c r="AD185" s="8">
        <f t="shared" si="161"/>
        <v>-94.47999999999999</v>
      </c>
      <c r="AE185" s="2" t="s">
        <v>91</v>
      </c>
      <c r="AG185" s="96">
        <v>-300000</v>
      </c>
      <c r="AH185" s="96">
        <v>-300000</v>
      </c>
      <c r="AI185" s="6"/>
      <c r="AJ185" s="71">
        <v>0</v>
      </c>
      <c r="AK185" s="71">
        <v>0</v>
      </c>
      <c r="AL185" s="72">
        <v>0</v>
      </c>
      <c r="AM185" s="22"/>
      <c r="AO185" s="22" t="s">
        <v>463</v>
      </c>
      <c r="AP185" s="23" t="s">
        <v>499</v>
      </c>
      <c r="AQ185" s="22" t="s">
        <v>465</v>
      </c>
      <c r="AR185" s="51" t="str">
        <f t="shared" si="145"/>
        <v>JD8B-611B69-AAW</v>
      </c>
      <c r="AS185" s="3"/>
      <c r="AT185" s="22">
        <v>0</v>
      </c>
      <c r="AU185" s="22">
        <v>0</v>
      </c>
      <c r="AV185" s="22">
        <v>0</v>
      </c>
      <c r="AW185" s="22">
        <v>1</v>
      </c>
      <c r="AX185" s="22">
        <v>0</v>
      </c>
      <c r="AY185" s="22">
        <v>0</v>
      </c>
      <c r="AZ185" s="22">
        <v>1</v>
      </c>
      <c r="BA185" s="22">
        <v>1</v>
      </c>
      <c r="BB185" s="64">
        <f t="shared" si="146"/>
        <v>0.33</v>
      </c>
      <c r="BD185" s="95">
        <v>-91.83</v>
      </c>
      <c r="BE185" s="95">
        <v>-0.45</v>
      </c>
      <c r="BF185" s="95">
        <v>-0.55000000000000004</v>
      </c>
      <c r="BG185" s="95">
        <v>-0.16</v>
      </c>
      <c r="BH185" s="95">
        <v>-1.49</v>
      </c>
      <c r="BI185" s="8">
        <f t="shared" si="147"/>
        <v>-94.47999999999999</v>
      </c>
      <c r="BJ185" s="2" t="s">
        <v>91</v>
      </c>
      <c r="BL185" s="96">
        <v>-300000</v>
      </c>
      <c r="BM185" s="96">
        <v>-300000</v>
      </c>
      <c r="BO185" s="71">
        <v>0</v>
      </c>
      <c r="BP185" s="71">
        <v>0</v>
      </c>
      <c r="BQ185" s="72">
        <v>0</v>
      </c>
      <c r="BS185" s="61">
        <f t="shared" si="158"/>
        <v>0</v>
      </c>
      <c r="BT185" s="61">
        <f t="shared" si="159"/>
        <v>0</v>
      </c>
      <c r="BU185" s="61">
        <f t="shared" si="160"/>
        <v>0</v>
      </c>
      <c r="BV185" s="61">
        <f t="shared" si="160"/>
        <v>0</v>
      </c>
      <c r="BW185" s="61">
        <f t="shared" si="160"/>
        <v>0</v>
      </c>
      <c r="BX185" s="61">
        <f t="shared" si="155"/>
        <v>0</v>
      </c>
      <c r="BY185" s="61" t="s">
        <v>91</v>
      </c>
      <c r="CA185" s="61">
        <f t="shared" si="138"/>
        <v>0</v>
      </c>
      <c r="CB185" s="61">
        <f t="shared" si="138"/>
        <v>0</v>
      </c>
      <c r="CC185" s="61">
        <f t="shared" si="138"/>
        <v>0</v>
      </c>
      <c r="CD185" s="61">
        <f t="shared" si="138"/>
        <v>0</v>
      </c>
      <c r="CE185" s="61">
        <f t="shared" si="138"/>
        <v>0</v>
      </c>
      <c r="CF185" s="61">
        <f t="shared" si="126"/>
        <v>0</v>
      </c>
      <c r="CG185" s="61">
        <f t="shared" si="126"/>
        <v>0</v>
      </c>
      <c r="CH185" s="61">
        <f t="shared" si="126"/>
        <v>0</v>
      </c>
      <c r="CI185" s="61">
        <f t="shared" si="134"/>
        <v>0</v>
      </c>
      <c r="CJ185" s="61"/>
      <c r="CK185" s="61">
        <f t="shared" si="139"/>
        <v>0</v>
      </c>
      <c r="CL185" s="61">
        <f t="shared" si="139"/>
        <v>0</v>
      </c>
      <c r="CM185" s="61">
        <f t="shared" si="139"/>
        <v>0</v>
      </c>
      <c r="CN185" s="61">
        <f t="shared" si="139"/>
        <v>0</v>
      </c>
      <c r="CO185" s="61">
        <f t="shared" si="139"/>
        <v>0</v>
      </c>
      <c r="CP185" s="61">
        <f t="shared" si="127"/>
        <v>0</v>
      </c>
      <c r="CQ185" s="61">
        <f t="shared" si="127"/>
        <v>0</v>
      </c>
      <c r="CR185" s="61">
        <f t="shared" si="127"/>
        <v>0</v>
      </c>
      <c r="CS185" s="61">
        <f t="shared" si="135"/>
        <v>0</v>
      </c>
      <c r="CT185" s="61">
        <f t="shared" si="136"/>
        <v>0</v>
      </c>
      <c r="CV185" s="61">
        <f t="shared" si="137"/>
        <v>0</v>
      </c>
      <c r="CW185" s="61">
        <f t="shared" si="148"/>
        <v>0</v>
      </c>
      <c r="CX185" s="61"/>
      <c r="CY185" s="61">
        <f t="shared" si="149"/>
        <v>0</v>
      </c>
      <c r="CZ185" s="61">
        <f t="shared" si="117"/>
        <v>0</v>
      </c>
      <c r="DA185" s="61">
        <f t="shared" si="117"/>
        <v>0</v>
      </c>
      <c r="DB185" s="2" t="s">
        <v>86</v>
      </c>
      <c r="DC185" s="2" t="s">
        <v>85</v>
      </c>
      <c r="DD185" s="2" t="s">
        <v>142</v>
      </c>
      <c r="DF185" s="3" t="s">
        <v>118</v>
      </c>
      <c r="DG185" s="62">
        <v>42879</v>
      </c>
      <c r="EC185" s="60" t="str">
        <f>VLOOKUP($M185,[1]Detail!$M:$BO,1,0)</f>
        <v>JD8B-611B69-ABW</v>
      </c>
      <c r="ED185" s="60">
        <f>VLOOKUP($M185,[1]Detail!$M:$BO,22,0)</f>
        <v>-94.47999999999999</v>
      </c>
      <c r="EE185" s="60">
        <f>VLOOKUP($M185,[1]Detail!$M:$BO,42,0)</f>
        <v>-300000</v>
      </c>
      <c r="EF185" s="60">
        <f>VLOOKUP($M185,[1]Detail!$M:$BO,45,0)</f>
        <v>-385000</v>
      </c>
      <c r="EH185" s="60">
        <f>ED185-AD185</f>
        <v>0</v>
      </c>
      <c r="EI185" s="60">
        <f>EE185-AG185</f>
        <v>0</v>
      </c>
      <c r="EJ185" s="60">
        <f t="shared" si="162"/>
        <v>-385000</v>
      </c>
    </row>
    <row r="186" spans="2:140" ht="12.75" hidden="1" customHeight="1">
      <c r="B186" s="93" t="s">
        <v>503</v>
      </c>
      <c r="C186" s="22" t="s">
        <v>504</v>
      </c>
      <c r="D186" s="22" t="s">
        <v>505</v>
      </c>
      <c r="E186" s="2" t="str">
        <f>VLOOKUP($C186,[1]Detail!$C:$AK,6,0)</f>
        <v>PMT1</v>
      </c>
      <c r="F186" s="2" t="str">
        <f>VLOOKUP($C186,[1]Detail!$C:$AK,7,0)</f>
        <v>TH</v>
      </c>
      <c r="G186" s="2" t="str">
        <f>VLOOKUP($C186,[1]Detail!$C:$AK,5,0)</f>
        <v>B</v>
      </c>
      <c r="J186" s="22" t="s">
        <v>463</v>
      </c>
      <c r="K186" s="23" t="s">
        <v>506</v>
      </c>
      <c r="L186" s="22" t="s">
        <v>487</v>
      </c>
      <c r="M186" s="51" t="str">
        <f t="shared" si="156"/>
        <v>JD8B-F22050-BA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1</v>
      </c>
      <c r="V186" s="22">
        <v>1</v>
      </c>
      <c r="W186" s="64">
        <f t="shared" si="157"/>
        <v>0.1</v>
      </c>
      <c r="Y186" s="95">
        <v>-74.39</v>
      </c>
      <c r="Z186" s="95">
        <v>-2.67</v>
      </c>
      <c r="AA186" s="95">
        <v>-0.72</v>
      </c>
      <c r="AB186" s="95">
        <v>-1.46</v>
      </c>
      <c r="AC186" s="95">
        <v>0</v>
      </c>
      <c r="AD186" s="8">
        <f t="shared" si="161"/>
        <v>-79.239999999999995</v>
      </c>
      <c r="AE186" s="2" t="s">
        <v>91</v>
      </c>
      <c r="AG186" s="96">
        <v>-172000</v>
      </c>
      <c r="AH186" s="96">
        <v>-172000</v>
      </c>
      <c r="AI186" s="6"/>
      <c r="AJ186" s="71">
        <v>0</v>
      </c>
      <c r="AK186" s="71">
        <v>0</v>
      </c>
      <c r="AL186" s="72">
        <v>0</v>
      </c>
      <c r="AM186" s="22"/>
      <c r="AO186" s="22" t="s">
        <v>466</v>
      </c>
      <c r="AP186" s="23" t="s">
        <v>507</v>
      </c>
      <c r="AQ186" s="22" t="s">
        <v>508</v>
      </c>
      <c r="AR186" s="51" t="str">
        <f t="shared" si="145"/>
        <v>ED8B-F22050 -AH</v>
      </c>
      <c r="AS186" s="3"/>
      <c r="AT186" s="22">
        <v>0</v>
      </c>
      <c r="AU186" s="22">
        <v>0</v>
      </c>
      <c r="AV186" s="22">
        <v>0</v>
      </c>
      <c r="AW186" s="22">
        <v>0</v>
      </c>
      <c r="AX186" s="22">
        <v>0</v>
      </c>
      <c r="AY186" s="22">
        <v>0</v>
      </c>
      <c r="AZ186" s="22">
        <v>1</v>
      </c>
      <c r="BA186" s="22">
        <v>1</v>
      </c>
      <c r="BB186" s="64">
        <f t="shared" si="146"/>
        <v>0.1</v>
      </c>
      <c r="BD186" s="95">
        <v>-61.779999999999994</v>
      </c>
      <c r="BE186" s="95">
        <v>-2.67</v>
      </c>
      <c r="BF186" s="95">
        <v>-0.72</v>
      </c>
      <c r="BG186" s="95">
        <v>-1.46</v>
      </c>
      <c r="BH186" s="95">
        <v>0</v>
      </c>
      <c r="BI186" s="8">
        <f t="shared" si="147"/>
        <v>-66.629999999999981</v>
      </c>
      <c r="BJ186" s="2" t="s">
        <v>91</v>
      </c>
      <c r="BL186" s="96">
        <v>0</v>
      </c>
      <c r="BM186" s="96">
        <v>0</v>
      </c>
      <c r="BO186" s="71">
        <v>0</v>
      </c>
      <c r="BP186" s="71">
        <v>0</v>
      </c>
      <c r="BQ186" s="72">
        <v>0</v>
      </c>
      <c r="BS186" s="61">
        <f t="shared" si="158"/>
        <v>-12.610000000000007</v>
      </c>
      <c r="BT186" s="61">
        <f t="shared" si="159"/>
        <v>0</v>
      </c>
      <c r="BU186" s="61">
        <f t="shared" si="160"/>
        <v>0</v>
      </c>
      <c r="BV186" s="61">
        <f t="shared" si="160"/>
        <v>0</v>
      </c>
      <c r="BW186" s="61">
        <f t="shared" si="160"/>
        <v>0</v>
      </c>
      <c r="BX186" s="61">
        <f t="shared" si="155"/>
        <v>-12.610000000000014</v>
      </c>
      <c r="BY186" s="61" t="s">
        <v>91</v>
      </c>
      <c r="CA186" s="61">
        <f t="shared" si="138"/>
        <v>0</v>
      </c>
      <c r="CB186" s="61">
        <f t="shared" si="138"/>
        <v>0</v>
      </c>
      <c r="CC186" s="61">
        <f t="shared" si="138"/>
        <v>0</v>
      </c>
      <c r="CD186" s="61">
        <f t="shared" si="138"/>
        <v>0</v>
      </c>
      <c r="CE186" s="61">
        <f t="shared" si="138"/>
        <v>0</v>
      </c>
      <c r="CF186" s="61">
        <f t="shared" si="126"/>
        <v>0</v>
      </c>
      <c r="CG186" s="61">
        <f t="shared" si="126"/>
        <v>-1.897096434481722</v>
      </c>
      <c r="CH186" s="61">
        <f t="shared" si="126"/>
        <v>-1.897096434481722</v>
      </c>
      <c r="CI186" s="61">
        <f t="shared" si="134"/>
        <v>-0.1897096434481722</v>
      </c>
      <c r="CJ186" s="61"/>
      <c r="CK186" s="61">
        <f t="shared" si="139"/>
        <v>0</v>
      </c>
      <c r="CL186" s="61">
        <f t="shared" si="139"/>
        <v>0</v>
      </c>
      <c r="CM186" s="61">
        <f t="shared" si="139"/>
        <v>0</v>
      </c>
      <c r="CN186" s="61">
        <f t="shared" si="139"/>
        <v>0</v>
      </c>
      <c r="CO186" s="61">
        <f t="shared" si="139"/>
        <v>0</v>
      </c>
      <c r="CP186" s="61">
        <f t="shared" si="127"/>
        <v>0</v>
      </c>
      <c r="CQ186" s="61">
        <f t="shared" si="127"/>
        <v>-1.8970964344817232</v>
      </c>
      <c r="CR186" s="61">
        <f t="shared" si="127"/>
        <v>-1.8970964344817232</v>
      </c>
      <c r="CS186" s="61">
        <f t="shared" si="135"/>
        <v>-0.18970964344817232</v>
      </c>
      <c r="CT186" s="61">
        <f t="shared" si="136"/>
        <v>-1.2610000000000015</v>
      </c>
      <c r="CV186" s="61">
        <f t="shared" si="137"/>
        <v>-172000</v>
      </c>
      <c r="CW186" s="61">
        <f t="shared" si="148"/>
        <v>-172000</v>
      </c>
      <c r="CX186" s="61"/>
      <c r="CY186" s="61">
        <f t="shared" si="149"/>
        <v>0</v>
      </c>
      <c r="CZ186" s="61">
        <f t="shared" ref="CZ186:DA258" si="163">SUM(AK186)-SUM(BP186)</f>
        <v>0</v>
      </c>
      <c r="DA186" s="61">
        <f t="shared" si="163"/>
        <v>0</v>
      </c>
      <c r="DB186" s="2" t="s">
        <v>85</v>
      </c>
      <c r="DC186" s="2" t="s">
        <v>102</v>
      </c>
      <c r="DD186" s="2" t="s">
        <v>142</v>
      </c>
      <c r="DE186" s="2" t="s">
        <v>181</v>
      </c>
      <c r="DF186" s="3" t="s">
        <v>118</v>
      </c>
      <c r="DG186" s="62">
        <v>42796</v>
      </c>
      <c r="EC186" s="60"/>
      <c r="ED186" s="60"/>
      <c r="EE186" s="60"/>
      <c r="EF186" s="60"/>
    </row>
    <row r="187" spans="2:140" ht="12.75" hidden="1" customHeight="1">
      <c r="B187" s="93" t="s">
        <v>503</v>
      </c>
      <c r="C187" s="22" t="s">
        <v>504</v>
      </c>
      <c r="D187" s="22" t="s">
        <v>505</v>
      </c>
      <c r="E187" s="2" t="str">
        <f>VLOOKUP($C187,[1]Detail!$C:$AK,6,0)</f>
        <v>PMT1</v>
      </c>
      <c r="F187" s="2" t="str">
        <f>VLOOKUP($C187,[1]Detail!$C:$AK,7,0)</f>
        <v>TH</v>
      </c>
      <c r="G187" s="2" t="str">
        <f>VLOOKUP($C187,[1]Detail!$C:$AK,5,0)</f>
        <v>B</v>
      </c>
      <c r="J187" s="22" t="s">
        <v>463</v>
      </c>
      <c r="K187" s="23" t="s">
        <v>506</v>
      </c>
      <c r="L187" s="22" t="s">
        <v>509</v>
      </c>
      <c r="M187" s="51" t="str">
        <f t="shared" si="156"/>
        <v>JD8B-F22050-CA</v>
      </c>
      <c r="O187" s="22">
        <v>0</v>
      </c>
      <c r="P187" s="22">
        <v>0</v>
      </c>
      <c r="Q187" s="22">
        <v>0</v>
      </c>
      <c r="R187" s="22">
        <v>0</v>
      </c>
      <c r="S187" s="22">
        <v>1</v>
      </c>
      <c r="T187" s="22">
        <v>1</v>
      </c>
      <c r="U187" s="22">
        <v>0</v>
      </c>
      <c r="V187" s="22">
        <v>0</v>
      </c>
      <c r="W187" s="64">
        <f t="shared" si="157"/>
        <v>0.23</v>
      </c>
      <c r="Y187" s="95">
        <v>-74.39</v>
      </c>
      <c r="Z187" s="95">
        <v>-2.67</v>
      </c>
      <c r="AA187" s="95">
        <v>-0.72</v>
      </c>
      <c r="AB187" s="95">
        <v>-1.46</v>
      </c>
      <c r="AC187" s="95">
        <v>0</v>
      </c>
      <c r="AD187" s="8">
        <f t="shared" si="161"/>
        <v>-79.239999999999995</v>
      </c>
      <c r="AE187" s="2" t="s">
        <v>91</v>
      </c>
      <c r="AG187" s="96">
        <v>0</v>
      </c>
      <c r="AH187" s="96">
        <v>0</v>
      </c>
      <c r="AJ187" s="71">
        <v>0</v>
      </c>
      <c r="AK187" s="71">
        <v>0</v>
      </c>
      <c r="AL187" s="72">
        <v>0</v>
      </c>
      <c r="AM187" s="22"/>
      <c r="AO187" s="22" t="s">
        <v>466</v>
      </c>
      <c r="AP187" s="23" t="s">
        <v>507</v>
      </c>
      <c r="AQ187" s="22" t="s">
        <v>508</v>
      </c>
      <c r="AR187" s="51" t="str">
        <f t="shared" si="145"/>
        <v>ED8B-F22050 -AH</v>
      </c>
      <c r="AS187" s="3"/>
      <c r="AT187" s="94">
        <v>0</v>
      </c>
      <c r="AU187" s="94">
        <v>0</v>
      </c>
      <c r="AV187" s="94">
        <v>0</v>
      </c>
      <c r="AW187" s="94">
        <v>0</v>
      </c>
      <c r="AX187" s="94">
        <v>1</v>
      </c>
      <c r="AY187" s="94">
        <v>1</v>
      </c>
      <c r="AZ187" s="94">
        <v>0</v>
      </c>
      <c r="BA187" s="94">
        <v>0</v>
      </c>
      <c r="BB187" s="64">
        <f t="shared" si="146"/>
        <v>0.23</v>
      </c>
      <c r="BD187" s="95">
        <v>-61.779999999999994</v>
      </c>
      <c r="BE187" s="95">
        <v>-2.67</v>
      </c>
      <c r="BF187" s="95">
        <v>-0.72</v>
      </c>
      <c r="BG187" s="95">
        <v>-1.46</v>
      </c>
      <c r="BH187" s="95">
        <v>0</v>
      </c>
      <c r="BI187" s="8">
        <f t="shared" si="147"/>
        <v>-66.629999999999981</v>
      </c>
      <c r="BJ187" s="2" t="s">
        <v>91</v>
      </c>
      <c r="BL187" s="96">
        <v>0</v>
      </c>
      <c r="BM187" s="96">
        <v>0</v>
      </c>
      <c r="BO187" s="71">
        <v>0</v>
      </c>
      <c r="BP187" s="71">
        <v>0</v>
      </c>
      <c r="BQ187" s="72">
        <v>0</v>
      </c>
      <c r="BS187" s="61">
        <f t="shared" si="158"/>
        <v>-12.610000000000007</v>
      </c>
      <c r="BT187" s="61">
        <f t="shared" si="159"/>
        <v>0</v>
      </c>
      <c r="BU187" s="61">
        <f t="shared" si="160"/>
        <v>0</v>
      </c>
      <c r="BV187" s="61">
        <f t="shared" si="160"/>
        <v>0</v>
      </c>
      <c r="BW187" s="61">
        <f t="shared" si="160"/>
        <v>0</v>
      </c>
      <c r="BX187" s="61">
        <f t="shared" si="155"/>
        <v>-12.610000000000014</v>
      </c>
      <c r="BY187" s="61" t="s">
        <v>91</v>
      </c>
      <c r="CA187" s="61">
        <f t="shared" si="138"/>
        <v>0</v>
      </c>
      <c r="CB187" s="61">
        <f t="shared" si="138"/>
        <v>0</v>
      </c>
      <c r="CC187" s="61">
        <f t="shared" si="138"/>
        <v>0</v>
      </c>
      <c r="CD187" s="61">
        <f t="shared" si="138"/>
        <v>0</v>
      </c>
      <c r="CE187" s="61">
        <f t="shared" si="138"/>
        <v>-1.897096434481722</v>
      </c>
      <c r="CF187" s="61">
        <f t="shared" si="126"/>
        <v>-1.897096434481722</v>
      </c>
      <c r="CG187" s="61">
        <f t="shared" si="126"/>
        <v>0</v>
      </c>
      <c r="CH187" s="61">
        <f t="shared" si="126"/>
        <v>0</v>
      </c>
      <c r="CI187" s="61">
        <f t="shared" si="134"/>
        <v>-0.43633217993079609</v>
      </c>
      <c r="CJ187" s="61"/>
      <c r="CK187" s="61">
        <f t="shared" si="139"/>
        <v>0</v>
      </c>
      <c r="CL187" s="61">
        <f t="shared" si="139"/>
        <v>0</v>
      </c>
      <c r="CM187" s="61">
        <f t="shared" si="139"/>
        <v>0</v>
      </c>
      <c r="CN187" s="61">
        <f t="shared" si="139"/>
        <v>0</v>
      </c>
      <c r="CO187" s="61">
        <f t="shared" si="139"/>
        <v>-1.8970964344817232</v>
      </c>
      <c r="CP187" s="61">
        <f t="shared" si="127"/>
        <v>-1.8970964344817232</v>
      </c>
      <c r="CQ187" s="61">
        <f t="shared" si="127"/>
        <v>0</v>
      </c>
      <c r="CR187" s="61">
        <f t="shared" si="127"/>
        <v>0</v>
      </c>
      <c r="CS187" s="61">
        <f t="shared" si="135"/>
        <v>-0.43633217993079632</v>
      </c>
      <c r="CT187" s="61">
        <f t="shared" si="136"/>
        <v>-2.9003000000000032</v>
      </c>
      <c r="CV187" s="61">
        <f t="shared" si="137"/>
        <v>0</v>
      </c>
      <c r="CW187" s="61">
        <f t="shared" si="148"/>
        <v>0</v>
      </c>
      <c r="CX187" s="61"/>
      <c r="CY187" s="61">
        <f t="shared" si="149"/>
        <v>0</v>
      </c>
      <c r="CZ187" s="61">
        <f t="shared" si="163"/>
        <v>0</v>
      </c>
      <c r="DA187" s="61">
        <f t="shared" si="163"/>
        <v>0</v>
      </c>
      <c r="DB187" s="2" t="s">
        <v>85</v>
      </c>
      <c r="DC187" s="2" t="s">
        <v>102</v>
      </c>
      <c r="DD187" s="2" t="s">
        <v>142</v>
      </c>
      <c r="DE187" s="2" t="s">
        <v>181</v>
      </c>
      <c r="DF187" s="3" t="s">
        <v>118</v>
      </c>
      <c r="DG187" s="62">
        <v>42796</v>
      </c>
      <c r="EC187" s="60"/>
      <c r="ED187" s="60"/>
      <c r="EE187" s="60"/>
      <c r="EF187" s="60"/>
    </row>
    <row r="188" spans="2:140" ht="12.75" hidden="1" customHeight="1">
      <c r="B188" s="93" t="s">
        <v>510</v>
      </c>
      <c r="C188" s="22" t="s">
        <v>504</v>
      </c>
      <c r="D188" s="22" t="s">
        <v>505</v>
      </c>
      <c r="E188" s="2" t="str">
        <f>VLOOKUP($C188,[1]Detail!$C:$AK,6,0)</f>
        <v>PMT1</v>
      </c>
      <c r="F188" s="2" t="str">
        <f>VLOOKUP($C188,[1]Detail!$C:$AK,7,0)</f>
        <v>TH</v>
      </c>
      <c r="G188" s="2" t="str">
        <f>VLOOKUP($C188,[1]Detail!$C:$AK,5,0)</f>
        <v>B</v>
      </c>
      <c r="J188" s="22" t="s">
        <v>463</v>
      </c>
      <c r="K188" s="23" t="s">
        <v>506</v>
      </c>
      <c r="L188" s="22" t="s">
        <v>511</v>
      </c>
      <c r="M188" s="51" t="str">
        <f t="shared" si="156"/>
        <v>JD8B-F22050-BB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1</v>
      </c>
      <c r="V188" s="22">
        <v>1</v>
      </c>
      <c r="W188" s="64">
        <f t="shared" si="157"/>
        <v>0.1</v>
      </c>
      <c r="Y188" s="95">
        <f>-74.39*0-87.28</f>
        <v>-87.28</v>
      </c>
      <c r="Z188" s="95">
        <f>-2.67*0-2.92</f>
        <v>-2.92</v>
      </c>
      <c r="AA188" s="95">
        <f>-0.72*0-0.88</f>
        <v>-0.88</v>
      </c>
      <c r="AB188" s="95">
        <v>-1.46</v>
      </c>
      <c r="AC188" s="95">
        <v>-0.35</v>
      </c>
      <c r="AD188" s="8">
        <f t="shared" si="161"/>
        <v>-92.889999999999986</v>
      </c>
      <c r="AE188" s="2" t="s">
        <v>91</v>
      </c>
      <c r="AG188" s="96">
        <f>-172000*0-666800</f>
        <v>-666800</v>
      </c>
      <c r="AH188" s="96">
        <f>-172000*0-666800</f>
        <v>-666800</v>
      </c>
      <c r="AI188" s="6"/>
      <c r="AJ188" s="71">
        <v>-201990</v>
      </c>
      <c r="AK188" s="71">
        <v>574899</v>
      </c>
      <c r="AL188" s="72">
        <v>0</v>
      </c>
      <c r="AM188" s="22" t="s">
        <v>512</v>
      </c>
      <c r="AO188" s="22" t="s">
        <v>463</v>
      </c>
      <c r="AP188" s="23" t="s">
        <v>507</v>
      </c>
      <c r="AQ188" s="22" t="s">
        <v>487</v>
      </c>
      <c r="AR188" s="51" t="str">
        <f t="shared" si="145"/>
        <v>JD8B-F22050 -BA</v>
      </c>
      <c r="AS188" s="3"/>
      <c r="AT188" s="94">
        <v>0</v>
      </c>
      <c r="AU188" s="94">
        <v>0</v>
      </c>
      <c r="AV188" s="94">
        <v>0</v>
      </c>
      <c r="AW188" s="94">
        <v>0</v>
      </c>
      <c r="AX188" s="94">
        <v>0</v>
      </c>
      <c r="AY188" s="94">
        <v>0</v>
      </c>
      <c r="AZ188" s="94">
        <v>1</v>
      </c>
      <c r="BA188" s="94">
        <v>1</v>
      </c>
      <c r="BB188" s="64">
        <f t="shared" si="146"/>
        <v>0.1</v>
      </c>
      <c r="BD188" s="95">
        <v>-74.39</v>
      </c>
      <c r="BE188" s="95">
        <v>-2.67</v>
      </c>
      <c r="BF188" s="95">
        <v>-0.72</v>
      </c>
      <c r="BG188" s="95">
        <v>-1.46</v>
      </c>
      <c r="BH188" s="95">
        <v>0</v>
      </c>
      <c r="BI188" s="8">
        <f t="shared" si="147"/>
        <v>-79.239999999999995</v>
      </c>
      <c r="BJ188" s="2" t="s">
        <v>91</v>
      </c>
      <c r="BL188" s="96">
        <v>-172000</v>
      </c>
      <c r="BM188" s="96">
        <v>-172000</v>
      </c>
      <c r="BO188" s="71">
        <v>0</v>
      </c>
      <c r="BP188" s="71">
        <v>0</v>
      </c>
      <c r="BQ188" s="72">
        <v>0</v>
      </c>
      <c r="BS188" s="61">
        <f t="shared" si="158"/>
        <v>-12.89</v>
      </c>
      <c r="BT188" s="61">
        <f t="shared" si="159"/>
        <v>-0.25</v>
      </c>
      <c r="BU188" s="61">
        <f t="shared" si="160"/>
        <v>-0.16000000000000003</v>
      </c>
      <c r="BV188" s="61">
        <f t="shared" si="160"/>
        <v>0</v>
      </c>
      <c r="BW188" s="61">
        <f t="shared" si="160"/>
        <v>-0.35</v>
      </c>
      <c r="BX188" s="61">
        <f t="shared" si="155"/>
        <v>-13.649999999999991</v>
      </c>
      <c r="BY188" s="61" t="s">
        <v>91</v>
      </c>
      <c r="CA188" s="61">
        <f t="shared" si="138"/>
        <v>0</v>
      </c>
      <c r="CB188" s="61">
        <f t="shared" si="138"/>
        <v>0</v>
      </c>
      <c r="CC188" s="61">
        <f t="shared" si="138"/>
        <v>0</v>
      </c>
      <c r="CD188" s="61">
        <f t="shared" si="138"/>
        <v>0</v>
      </c>
      <c r="CE188" s="61">
        <f t="shared" si="138"/>
        <v>0</v>
      </c>
      <c r="CF188" s="61">
        <f t="shared" si="126"/>
        <v>0</v>
      </c>
      <c r="CG188" s="61">
        <f t="shared" si="126"/>
        <v>-1.939220701068151</v>
      </c>
      <c r="CH188" s="61">
        <f t="shared" si="126"/>
        <v>-1.939220701068151</v>
      </c>
      <c r="CI188" s="61">
        <f t="shared" si="134"/>
        <v>-0.19392207010681511</v>
      </c>
      <c r="CJ188" s="61"/>
      <c r="CK188" s="61">
        <f t="shared" si="139"/>
        <v>0</v>
      </c>
      <c r="CL188" s="61">
        <f t="shared" si="139"/>
        <v>0</v>
      </c>
      <c r="CM188" s="61">
        <f t="shared" si="139"/>
        <v>0</v>
      </c>
      <c r="CN188" s="61">
        <f t="shared" si="139"/>
        <v>0</v>
      </c>
      <c r="CO188" s="61">
        <f t="shared" si="139"/>
        <v>0</v>
      </c>
      <c r="CP188" s="61">
        <f t="shared" si="127"/>
        <v>0</v>
      </c>
      <c r="CQ188" s="61">
        <f t="shared" si="127"/>
        <v>-2.0535579960884598</v>
      </c>
      <c r="CR188" s="61">
        <f t="shared" si="127"/>
        <v>-2.0535579960884598</v>
      </c>
      <c r="CS188" s="61">
        <f t="shared" si="135"/>
        <v>-0.20535579960884598</v>
      </c>
      <c r="CT188" s="61">
        <f t="shared" si="136"/>
        <v>-1.3649999999999993</v>
      </c>
      <c r="CV188" s="61">
        <f t="shared" si="137"/>
        <v>-494800</v>
      </c>
      <c r="CW188" s="61">
        <f t="shared" si="148"/>
        <v>-494800</v>
      </c>
      <c r="CX188" s="61"/>
      <c r="CY188" s="61">
        <f t="shared" si="149"/>
        <v>-201990</v>
      </c>
      <c r="CZ188" s="61">
        <f t="shared" si="163"/>
        <v>574899</v>
      </c>
      <c r="DA188" s="61">
        <f t="shared" si="163"/>
        <v>0</v>
      </c>
      <c r="DB188" s="2" t="s">
        <v>85</v>
      </c>
      <c r="DC188" s="2" t="s">
        <v>85</v>
      </c>
      <c r="DD188" s="2" t="s">
        <v>142</v>
      </c>
      <c r="DE188" s="2" t="s">
        <v>181</v>
      </c>
      <c r="DG188" s="62"/>
      <c r="DZ188" s="3" t="e">
        <v>#N/A</v>
      </c>
      <c r="EC188" s="60"/>
      <c r="ED188" s="60"/>
      <c r="EE188" s="60"/>
      <c r="EF188" s="60"/>
    </row>
    <row r="189" spans="2:140" ht="12.75" hidden="1" customHeight="1">
      <c r="B189" s="93" t="s">
        <v>510</v>
      </c>
      <c r="C189" s="22" t="s">
        <v>504</v>
      </c>
      <c r="D189" s="22" t="s">
        <v>505</v>
      </c>
      <c r="E189" s="2" t="str">
        <f>VLOOKUP($C189,[1]Detail!$C:$AK,6,0)</f>
        <v>PMT1</v>
      </c>
      <c r="F189" s="2" t="str">
        <f>VLOOKUP($C189,[1]Detail!$C:$AK,7,0)</f>
        <v>TH</v>
      </c>
      <c r="G189" s="2" t="str">
        <f>VLOOKUP($C189,[1]Detail!$C:$AK,5,0)</f>
        <v>B</v>
      </c>
      <c r="J189" s="22" t="s">
        <v>463</v>
      </c>
      <c r="K189" s="23" t="s">
        <v>506</v>
      </c>
      <c r="L189" s="22" t="s">
        <v>513</v>
      </c>
      <c r="M189" s="51" t="str">
        <f t="shared" si="156"/>
        <v>JD8B-F22050-CB</v>
      </c>
      <c r="O189" s="22">
        <v>0</v>
      </c>
      <c r="P189" s="22">
        <v>0</v>
      </c>
      <c r="Q189" s="22">
        <v>0</v>
      </c>
      <c r="R189" s="22">
        <v>0</v>
      </c>
      <c r="S189" s="22">
        <v>1</v>
      </c>
      <c r="T189" s="22">
        <v>1</v>
      </c>
      <c r="U189" s="22">
        <v>0</v>
      </c>
      <c r="V189" s="22">
        <v>0</v>
      </c>
      <c r="W189" s="64">
        <f t="shared" si="157"/>
        <v>0.23</v>
      </c>
      <c r="Y189" s="95">
        <f>-74.39*0-87.28</f>
        <v>-87.28</v>
      </c>
      <c r="Z189" s="95">
        <f>-2.67*0-2.92</f>
        <v>-2.92</v>
      </c>
      <c r="AA189" s="95">
        <f>-0.72*0-0.88</f>
        <v>-0.88</v>
      </c>
      <c r="AB189" s="95">
        <v>-1.46</v>
      </c>
      <c r="AC189" s="95">
        <v>-0.35</v>
      </c>
      <c r="AD189" s="8">
        <f t="shared" si="161"/>
        <v>-92.889999999999986</v>
      </c>
      <c r="AE189" s="2" t="s">
        <v>91</v>
      </c>
      <c r="AG189" s="96">
        <v>0</v>
      </c>
      <c r="AH189" s="96">
        <v>0</v>
      </c>
      <c r="AJ189" s="71" t="s">
        <v>114</v>
      </c>
      <c r="AK189" s="71">
        <v>0</v>
      </c>
      <c r="AL189" s="72">
        <v>0</v>
      </c>
      <c r="AM189" s="22" t="s">
        <v>512</v>
      </c>
      <c r="AO189" s="22" t="s">
        <v>463</v>
      </c>
      <c r="AP189" s="23" t="s">
        <v>507</v>
      </c>
      <c r="AQ189" s="22" t="s">
        <v>509</v>
      </c>
      <c r="AR189" s="51" t="str">
        <f t="shared" si="145"/>
        <v>JD8B-F22050 -CA</v>
      </c>
      <c r="AS189" s="3"/>
      <c r="AT189" s="94">
        <v>0</v>
      </c>
      <c r="AU189" s="94">
        <v>0</v>
      </c>
      <c r="AV189" s="94">
        <v>0</v>
      </c>
      <c r="AW189" s="94">
        <v>0</v>
      </c>
      <c r="AX189" s="94">
        <v>1</v>
      </c>
      <c r="AY189" s="94">
        <v>1</v>
      </c>
      <c r="AZ189" s="94">
        <v>0</v>
      </c>
      <c r="BA189" s="94">
        <v>0</v>
      </c>
      <c r="BB189" s="64">
        <f t="shared" si="146"/>
        <v>0.23</v>
      </c>
      <c r="BD189" s="95">
        <v>-74.39</v>
      </c>
      <c r="BE189" s="95">
        <v>-2.67</v>
      </c>
      <c r="BF189" s="95">
        <v>-0.72</v>
      </c>
      <c r="BG189" s="95">
        <v>-1.46</v>
      </c>
      <c r="BH189" s="95">
        <v>0</v>
      </c>
      <c r="BI189" s="8">
        <f t="shared" si="147"/>
        <v>-79.239999999999995</v>
      </c>
      <c r="BJ189" s="2" t="s">
        <v>91</v>
      </c>
      <c r="BL189" s="96">
        <v>0</v>
      </c>
      <c r="BM189" s="96">
        <v>0</v>
      </c>
      <c r="BO189" s="71">
        <v>0</v>
      </c>
      <c r="BP189" s="71">
        <v>0</v>
      </c>
      <c r="BQ189" s="72">
        <v>0</v>
      </c>
      <c r="BS189" s="61">
        <f t="shared" si="158"/>
        <v>-12.89</v>
      </c>
      <c r="BT189" s="61">
        <f t="shared" si="159"/>
        <v>-0.25</v>
      </c>
      <c r="BU189" s="61">
        <f t="shared" si="160"/>
        <v>-0.16000000000000003</v>
      </c>
      <c r="BV189" s="61">
        <f t="shared" si="160"/>
        <v>0</v>
      </c>
      <c r="BW189" s="61">
        <f t="shared" si="160"/>
        <v>-0.35</v>
      </c>
      <c r="BX189" s="61">
        <f t="shared" si="155"/>
        <v>-13.649999999999991</v>
      </c>
      <c r="BY189" s="61" t="s">
        <v>91</v>
      </c>
      <c r="CA189" s="61">
        <f t="shared" si="138"/>
        <v>0</v>
      </c>
      <c r="CB189" s="61">
        <f t="shared" si="138"/>
        <v>0</v>
      </c>
      <c r="CC189" s="61">
        <f t="shared" si="138"/>
        <v>0</v>
      </c>
      <c r="CD189" s="61">
        <f t="shared" si="138"/>
        <v>0</v>
      </c>
      <c r="CE189" s="61">
        <f t="shared" si="138"/>
        <v>-1.939220701068151</v>
      </c>
      <c r="CF189" s="61">
        <f t="shared" si="126"/>
        <v>-1.939220701068151</v>
      </c>
      <c r="CG189" s="61">
        <f t="shared" si="126"/>
        <v>0</v>
      </c>
      <c r="CH189" s="61">
        <f t="shared" si="126"/>
        <v>0</v>
      </c>
      <c r="CI189" s="61">
        <f t="shared" si="134"/>
        <v>-0.4460207612456748</v>
      </c>
      <c r="CJ189" s="61"/>
      <c r="CK189" s="61">
        <f t="shared" si="139"/>
        <v>0</v>
      </c>
      <c r="CL189" s="61">
        <f t="shared" si="139"/>
        <v>0</v>
      </c>
      <c r="CM189" s="61">
        <f t="shared" si="139"/>
        <v>0</v>
      </c>
      <c r="CN189" s="61">
        <f t="shared" si="139"/>
        <v>0</v>
      </c>
      <c r="CO189" s="61">
        <f t="shared" si="139"/>
        <v>-2.0535579960884598</v>
      </c>
      <c r="CP189" s="61">
        <f t="shared" si="127"/>
        <v>-2.0535579960884598</v>
      </c>
      <c r="CQ189" s="61">
        <f t="shared" si="127"/>
        <v>0</v>
      </c>
      <c r="CR189" s="61">
        <f t="shared" si="127"/>
        <v>0</v>
      </c>
      <c r="CS189" s="61">
        <f t="shared" si="135"/>
        <v>-0.47231833910034582</v>
      </c>
      <c r="CT189" s="61">
        <f t="shared" si="136"/>
        <v>-3.1394999999999986</v>
      </c>
      <c r="CV189" s="61">
        <f t="shared" si="137"/>
        <v>0</v>
      </c>
      <c r="CW189" s="61">
        <f t="shared" si="148"/>
        <v>0</v>
      </c>
      <c r="CX189" s="61"/>
      <c r="CY189" s="61">
        <f t="shared" si="149"/>
        <v>0</v>
      </c>
      <c r="CZ189" s="61">
        <f t="shared" si="163"/>
        <v>0</v>
      </c>
      <c r="DA189" s="61">
        <f t="shared" si="163"/>
        <v>0</v>
      </c>
      <c r="DB189" s="2" t="s">
        <v>85</v>
      </c>
      <c r="DC189" s="2" t="s">
        <v>85</v>
      </c>
      <c r="DD189" s="2" t="s">
        <v>142</v>
      </c>
      <c r="DE189" s="2" t="s">
        <v>181</v>
      </c>
      <c r="DG189" s="62"/>
      <c r="DZ189" s="3" t="e">
        <v>#N/A</v>
      </c>
      <c r="EC189" s="60"/>
      <c r="ED189" s="60"/>
      <c r="EE189" s="60"/>
      <c r="EF189" s="60"/>
    </row>
    <row r="190" spans="2:140" ht="12.75" hidden="1" customHeight="1">
      <c r="B190" s="93" t="s">
        <v>510</v>
      </c>
      <c r="C190" s="22" t="s">
        <v>504</v>
      </c>
      <c r="D190" s="22" t="s">
        <v>505</v>
      </c>
      <c r="E190" s="2" t="str">
        <f>VLOOKUP($C190,[1]Detail!$C:$AK,6,0)</f>
        <v>PMT1</v>
      </c>
      <c r="F190" s="2" t="str">
        <f>VLOOKUP($C190,[1]Detail!$C:$AK,7,0)</f>
        <v>TH</v>
      </c>
      <c r="G190" s="2" t="str">
        <f>VLOOKUP($C190,[1]Detail!$C:$AK,5,0)</f>
        <v>B</v>
      </c>
      <c r="J190" s="22" t="s">
        <v>463</v>
      </c>
      <c r="K190" s="23" t="s">
        <v>506</v>
      </c>
      <c r="L190" s="22" t="s">
        <v>483</v>
      </c>
      <c r="M190" s="51" t="str">
        <f t="shared" si="156"/>
        <v>JD8B-F22050-AA</v>
      </c>
      <c r="O190" s="22">
        <v>1</v>
      </c>
      <c r="P190" s="22">
        <v>1</v>
      </c>
      <c r="Q190" s="22">
        <v>1</v>
      </c>
      <c r="R190" s="22">
        <v>1</v>
      </c>
      <c r="S190" s="22">
        <v>0</v>
      </c>
      <c r="T190" s="22">
        <v>0</v>
      </c>
      <c r="U190" s="22">
        <v>0</v>
      </c>
      <c r="V190" s="22">
        <v>0</v>
      </c>
      <c r="W190" s="64">
        <f t="shared" si="157"/>
        <v>0.67</v>
      </c>
      <c r="Y190" s="95">
        <v>-74.67</v>
      </c>
      <c r="Z190" s="95">
        <v>-2.92</v>
      </c>
      <c r="AA190" s="95">
        <v>-0.88</v>
      </c>
      <c r="AB190" s="95">
        <v>-1.46</v>
      </c>
      <c r="AC190" s="95">
        <v>-0.35</v>
      </c>
      <c r="AD190" s="8">
        <f t="shared" si="161"/>
        <v>-80.279999999999987</v>
      </c>
      <c r="AE190" s="2" t="s">
        <v>91</v>
      </c>
      <c r="AG190" s="96">
        <v>0</v>
      </c>
      <c r="AH190" s="96">
        <v>0</v>
      </c>
      <c r="AJ190" s="71" t="s">
        <v>114</v>
      </c>
      <c r="AK190" s="71">
        <v>0</v>
      </c>
      <c r="AL190" s="72">
        <v>0</v>
      </c>
      <c r="AM190" s="22" t="s">
        <v>512</v>
      </c>
      <c r="AO190" s="22" t="s">
        <v>466</v>
      </c>
      <c r="AP190" s="23" t="s">
        <v>507</v>
      </c>
      <c r="AQ190" s="22" t="s">
        <v>508</v>
      </c>
      <c r="AR190" s="51" t="str">
        <f t="shared" si="145"/>
        <v>ED8B-F22050 -AH</v>
      </c>
      <c r="AS190" s="3"/>
      <c r="AT190" s="94">
        <v>1</v>
      </c>
      <c r="AU190" s="94">
        <v>1</v>
      </c>
      <c r="AV190" s="94">
        <v>1</v>
      </c>
      <c r="AW190" s="94">
        <v>1</v>
      </c>
      <c r="AX190" s="94">
        <v>0</v>
      </c>
      <c r="AY190" s="94">
        <v>0</v>
      </c>
      <c r="AZ190" s="94">
        <v>0</v>
      </c>
      <c r="BA190" s="94">
        <v>0</v>
      </c>
      <c r="BB190" s="64">
        <f t="shared" si="146"/>
        <v>0.67</v>
      </c>
      <c r="BD190" s="95">
        <v>-61.37</v>
      </c>
      <c r="BE190" s="95">
        <v>-2.92</v>
      </c>
      <c r="BF190" s="95">
        <v>-0.88</v>
      </c>
      <c r="BG190" s="95">
        <v>-1.46</v>
      </c>
      <c r="BH190" s="95">
        <v>0</v>
      </c>
      <c r="BI190" s="8">
        <f t="shared" si="147"/>
        <v>-66.629999999999981</v>
      </c>
      <c r="BJ190" s="2" t="s">
        <v>91</v>
      </c>
      <c r="BL190" s="96">
        <v>0</v>
      </c>
      <c r="BM190" s="96">
        <v>0</v>
      </c>
      <c r="BO190" s="71">
        <v>0</v>
      </c>
      <c r="BP190" s="71">
        <v>0</v>
      </c>
      <c r="BQ190" s="72">
        <v>0</v>
      </c>
      <c r="BS190" s="61">
        <f t="shared" si="158"/>
        <v>-13.300000000000004</v>
      </c>
      <c r="BT190" s="61">
        <f t="shared" si="159"/>
        <v>0</v>
      </c>
      <c r="BU190" s="61">
        <f t="shared" si="160"/>
        <v>0</v>
      </c>
      <c r="BV190" s="61">
        <f t="shared" si="160"/>
        <v>0</v>
      </c>
      <c r="BW190" s="61">
        <f t="shared" si="160"/>
        <v>-0.35</v>
      </c>
      <c r="BX190" s="61">
        <f t="shared" si="155"/>
        <v>-13.650000000000006</v>
      </c>
      <c r="BY190" s="61" t="s">
        <v>91</v>
      </c>
      <c r="CA190" s="61">
        <f t="shared" si="138"/>
        <v>-2.0009026628554243</v>
      </c>
      <c r="CB190" s="61">
        <f t="shared" si="138"/>
        <v>-2.0009026628554243</v>
      </c>
      <c r="CC190" s="61">
        <f t="shared" si="138"/>
        <v>-2.0009026628554243</v>
      </c>
      <c r="CD190" s="61">
        <f t="shared" si="138"/>
        <v>-2.0009026628554243</v>
      </c>
      <c r="CE190" s="61">
        <f t="shared" si="138"/>
        <v>0</v>
      </c>
      <c r="CF190" s="61">
        <f t="shared" si="126"/>
        <v>0</v>
      </c>
      <c r="CG190" s="61">
        <f t="shared" si="126"/>
        <v>0</v>
      </c>
      <c r="CH190" s="61">
        <f t="shared" si="126"/>
        <v>0</v>
      </c>
      <c r="CI190" s="61">
        <f t="shared" si="134"/>
        <v>-1.3406047841131343</v>
      </c>
      <c r="CJ190" s="61"/>
      <c r="CK190" s="61">
        <f t="shared" si="139"/>
        <v>-2.0535579960884616</v>
      </c>
      <c r="CL190" s="61">
        <f t="shared" si="139"/>
        <v>-2.0535579960884616</v>
      </c>
      <c r="CM190" s="61">
        <f t="shared" si="139"/>
        <v>-2.0535579960884616</v>
      </c>
      <c r="CN190" s="61">
        <f t="shared" si="139"/>
        <v>-2.0535579960884616</v>
      </c>
      <c r="CO190" s="61">
        <f t="shared" si="139"/>
        <v>0</v>
      </c>
      <c r="CP190" s="61">
        <f t="shared" si="127"/>
        <v>0</v>
      </c>
      <c r="CQ190" s="61">
        <f t="shared" si="127"/>
        <v>0</v>
      </c>
      <c r="CR190" s="61">
        <f t="shared" si="127"/>
        <v>0</v>
      </c>
      <c r="CS190" s="61">
        <f t="shared" si="135"/>
        <v>-1.3758838573792693</v>
      </c>
      <c r="CT190" s="61">
        <f t="shared" si="136"/>
        <v>-9.1455000000000037</v>
      </c>
      <c r="CV190" s="61">
        <f t="shared" si="137"/>
        <v>0</v>
      </c>
      <c r="CW190" s="61">
        <f t="shared" si="148"/>
        <v>0</v>
      </c>
      <c r="CX190" s="61"/>
      <c r="CY190" s="61">
        <f t="shared" si="149"/>
        <v>0</v>
      </c>
      <c r="CZ190" s="61">
        <f t="shared" si="163"/>
        <v>0</v>
      </c>
      <c r="DA190" s="61">
        <f t="shared" si="163"/>
        <v>0</v>
      </c>
      <c r="DB190" s="2" t="s">
        <v>85</v>
      </c>
      <c r="DC190" s="2" t="s">
        <v>85</v>
      </c>
      <c r="DD190" s="2" t="s">
        <v>142</v>
      </c>
      <c r="DE190" s="2" t="s">
        <v>181</v>
      </c>
      <c r="DG190" s="62"/>
      <c r="DZ190" s="3" t="e">
        <v>#N/A</v>
      </c>
      <c r="EC190" s="60"/>
      <c r="ED190" s="60"/>
      <c r="EE190" s="60"/>
      <c r="EF190" s="60"/>
    </row>
    <row r="191" spans="2:140" ht="12.75" hidden="1" customHeight="1">
      <c r="B191" s="93" t="s">
        <v>510</v>
      </c>
      <c r="C191" s="22" t="s">
        <v>514</v>
      </c>
      <c r="D191" s="22" t="s">
        <v>515</v>
      </c>
      <c r="E191" s="2" t="str">
        <f>VLOOKUP($C191,[1]Detail!$C:$AK,6,0)</f>
        <v>PMT1</v>
      </c>
      <c r="F191" s="2" t="str">
        <f>VLOOKUP($C191,[1]Detail!$C:$AK,7,0)</f>
        <v>TH</v>
      </c>
      <c r="G191" s="2" t="str">
        <f>VLOOKUP($C191,[1]Detail!$C:$AK,5,0)</f>
        <v>B</v>
      </c>
      <c r="J191" s="22" t="s">
        <v>463</v>
      </c>
      <c r="K191" s="23" t="s">
        <v>516</v>
      </c>
      <c r="L191" s="22" t="s">
        <v>483</v>
      </c>
      <c r="M191" s="51" t="str">
        <f t="shared" si="156"/>
        <v>JD8B-F43282 -AA</v>
      </c>
      <c r="O191" s="22">
        <v>1</v>
      </c>
      <c r="P191" s="22">
        <v>1</v>
      </c>
      <c r="Q191" s="22">
        <v>1</v>
      </c>
      <c r="R191" s="22">
        <v>1</v>
      </c>
      <c r="S191" s="22">
        <v>0</v>
      </c>
      <c r="T191" s="22">
        <v>0</v>
      </c>
      <c r="U191" s="22">
        <v>0</v>
      </c>
      <c r="V191" s="22">
        <v>0</v>
      </c>
      <c r="W191" s="64">
        <f t="shared" si="157"/>
        <v>0.67</v>
      </c>
      <c r="Y191" s="95">
        <v>-37.06</v>
      </c>
      <c r="Z191" s="95">
        <v>-1.19</v>
      </c>
      <c r="AA191" s="95">
        <v>-2</v>
      </c>
      <c r="AB191" s="95">
        <v>0</v>
      </c>
      <c r="AC191" s="95">
        <v>0</v>
      </c>
      <c r="AD191" s="8">
        <f t="shared" si="161"/>
        <v>-40.25</v>
      </c>
      <c r="AE191" s="2" t="s">
        <v>91</v>
      </c>
      <c r="AG191" s="96">
        <v>-200000</v>
      </c>
      <c r="AH191" s="96">
        <v>-200000</v>
      </c>
      <c r="AI191" s="6"/>
      <c r="AJ191" s="71">
        <v>0</v>
      </c>
      <c r="AK191" s="71">
        <v>0</v>
      </c>
      <c r="AL191" s="72">
        <v>0</v>
      </c>
      <c r="AM191" s="22" t="s">
        <v>517</v>
      </c>
      <c r="AO191" s="22" t="s">
        <v>466</v>
      </c>
      <c r="AP191" s="23" t="s">
        <v>516</v>
      </c>
      <c r="AQ191" s="22" t="s">
        <v>486</v>
      </c>
      <c r="AR191" s="51" t="str">
        <f t="shared" si="145"/>
        <v>ED8B-F43282 -AB</v>
      </c>
      <c r="AS191" s="3"/>
      <c r="AT191" s="22">
        <v>1</v>
      </c>
      <c r="AU191" s="22">
        <v>1</v>
      </c>
      <c r="AV191" s="22">
        <v>1</v>
      </c>
      <c r="AW191" s="22">
        <v>1</v>
      </c>
      <c r="AX191" s="22">
        <v>0</v>
      </c>
      <c r="AY191" s="22">
        <v>0</v>
      </c>
      <c r="AZ191" s="22">
        <v>0</v>
      </c>
      <c r="BA191" s="22">
        <v>0</v>
      </c>
      <c r="BB191" s="64">
        <f t="shared" si="146"/>
        <v>0.67</v>
      </c>
      <c r="BD191" s="95">
        <v>-29.69</v>
      </c>
      <c r="BE191" s="95">
        <v>-1.19</v>
      </c>
      <c r="BF191" s="95">
        <v>-2</v>
      </c>
      <c r="BG191" s="95">
        <v>0</v>
      </c>
      <c r="BH191" s="95">
        <v>0</v>
      </c>
      <c r="BI191" s="8">
        <f t="shared" si="147"/>
        <v>-32.880000000000003</v>
      </c>
      <c r="BJ191" s="2" t="s">
        <v>91</v>
      </c>
      <c r="BL191" s="96">
        <v>0</v>
      </c>
      <c r="BM191" s="96">
        <v>0</v>
      </c>
      <c r="BO191" s="71">
        <v>0</v>
      </c>
      <c r="BP191" s="71">
        <v>0</v>
      </c>
      <c r="BQ191" s="72">
        <v>0</v>
      </c>
      <c r="BS191" s="61">
        <f t="shared" si="158"/>
        <v>-7.370000000000001</v>
      </c>
      <c r="BT191" s="61">
        <f t="shared" si="159"/>
        <v>0</v>
      </c>
      <c r="BU191" s="61">
        <f t="shared" si="160"/>
        <v>0</v>
      </c>
      <c r="BV191" s="61">
        <f t="shared" si="160"/>
        <v>0</v>
      </c>
      <c r="BW191" s="61">
        <f t="shared" si="160"/>
        <v>0</v>
      </c>
      <c r="BX191" s="61">
        <f t="shared" si="155"/>
        <v>-7.3699999999999974</v>
      </c>
      <c r="BY191" s="61" t="s">
        <v>91</v>
      </c>
      <c r="CA191" s="61">
        <f t="shared" ref="CA191:CH254" si="164">($Y191*O191-AT191*$BD191)/$C$2</f>
        <v>-1.1087708740785318</v>
      </c>
      <c r="CB191" s="61">
        <f t="shared" si="164"/>
        <v>-1.1087708740785318</v>
      </c>
      <c r="CC191" s="61">
        <f t="shared" si="164"/>
        <v>-1.1087708740785318</v>
      </c>
      <c r="CD191" s="61">
        <f t="shared" si="164"/>
        <v>-1.1087708740785318</v>
      </c>
      <c r="CE191" s="61">
        <f t="shared" si="164"/>
        <v>0</v>
      </c>
      <c r="CF191" s="61">
        <f t="shared" si="126"/>
        <v>0</v>
      </c>
      <c r="CG191" s="61">
        <f t="shared" si="126"/>
        <v>0</v>
      </c>
      <c r="CH191" s="61">
        <f t="shared" si="126"/>
        <v>0</v>
      </c>
      <c r="CI191" s="61">
        <f t="shared" si="134"/>
        <v>-0.74287648563261632</v>
      </c>
      <c r="CJ191" s="61"/>
      <c r="CK191" s="61">
        <f t="shared" ref="CK191:CR254" si="165">(O191*$AD191-AT191*$BI191)/$C$2</f>
        <v>-1.1087708740785311</v>
      </c>
      <c r="CL191" s="61">
        <f t="shared" si="165"/>
        <v>-1.1087708740785311</v>
      </c>
      <c r="CM191" s="61">
        <f t="shared" si="165"/>
        <v>-1.1087708740785311</v>
      </c>
      <c r="CN191" s="61">
        <f t="shared" si="165"/>
        <v>-1.1087708740785311</v>
      </c>
      <c r="CO191" s="61">
        <f t="shared" si="165"/>
        <v>0</v>
      </c>
      <c r="CP191" s="61">
        <f t="shared" si="127"/>
        <v>0</v>
      </c>
      <c r="CQ191" s="61">
        <f t="shared" si="127"/>
        <v>0</v>
      </c>
      <c r="CR191" s="61">
        <f t="shared" si="127"/>
        <v>0</v>
      </c>
      <c r="CS191" s="61">
        <f t="shared" si="135"/>
        <v>-0.74287648563261588</v>
      </c>
      <c r="CT191" s="61">
        <f t="shared" si="136"/>
        <v>-4.9378999999999982</v>
      </c>
      <c r="CV191" s="61">
        <f t="shared" si="137"/>
        <v>-200000</v>
      </c>
      <c r="CW191" s="61">
        <f t="shared" si="148"/>
        <v>-200000</v>
      </c>
      <c r="CX191" s="61"/>
      <c r="CY191" s="61">
        <f t="shared" si="149"/>
        <v>0</v>
      </c>
      <c r="CZ191" s="61">
        <f t="shared" si="163"/>
        <v>0</v>
      </c>
      <c r="DA191" s="61">
        <f t="shared" si="163"/>
        <v>0</v>
      </c>
      <c r="DB191" s="2" t="s">
        <v>86</v>
      </c>
      <c r="DC191" s="2" t="s">
        <v>86</v>
      </c>
      <c r="DD191" s="2" t="s">
        <v>142</v>
      </c>
      <c r="DE191" s="2" t="s">
        <v>181</v>
      </c>
      <c r="DF191" s="3" t="s">
        <v>102</v>
      </c>
      <c r="DG191" s="62">
        <v>43035</v>
      </c>
      <c r="EC191" s="60" t="str">
        <f>VLOOKUP($M191,[1]Detail!$M:$BO,1,0)</f>
        <v>JD8B-F43282 -AA</v>
      </c>
      <c r="ED191" s="60">
        <f>VLOOKUP($M191,[1]Detail!$M:$BO,22,0)</f>
        <v>-40.25</v>
      </c>
      <c r="EE191" s="60">
        <f>VLOOKUP($M191,[1]Detail!$M:$BO,42,0)</f>
        <v>-200000</v>
      </c>
      <c r="EF191" s="60">
        <f>VLOOKUP($M191,[1]Detail!$M:$BO,45,0)</f>
        <v>0</v>
      </c>
      <c r="EH191" s="60">
        <f>ED191-AD191</f>
        <v>0</v>
      </c>
      <c r="EI191" s="60">
        <f>EE191-AG191</f>
        <v>0</v>
      </c>
      <c r="EJ191" s="60">
        <f t="shared" ref="EJ191:EJ193" si="166">EF191-AJ191</f>
        <v>0</v>
      </c>
    </row>
    <row r="192" spans="2:140" hidden="1">
      <c r="B192" s="93" t="s">
        <v>510</v>
      </c>
      <c r="C192" s="22" t="s">
        <v>514</v>
      </c>
      <c r="D192" s="22" t="s">
        <v>518</v>
      </c>
      <c r="E192" s="2" t="str">
        <f>VLOOKUP($C192,[1]Detail!$C:$AK,6,0)</f>
        <v>PMT1</v>
      </c>
      <c r="F192" s="2" t="str">
        <f>VLOOKUP($C192,[1]Detail!$C:$AK,7,0)</f>
        <v>TH</v>
      </c>
      <c r="G192" s="2" t="str">
        <f>VLOOKUP($C192,[1]Detail!$C:$AK,5,0)</f>
        <v>B</v>
      </c>
      <c r="J192" s="22">
        <v>0</v>
      </c>
      <c r="K192" s="23" t="s">
        <v>519</v>
      </c>
      <c r="L192" s="22" t="s">
        <v>520</v>
      </c>
      <c r="M192" s="51" t="str">
        <f t="shared" si="156"/>
        <v>0-W520412 -S442 </v>
      </c>
      <c r="O192" s="22">
        <v>2</v>
      </c>
      <c r="P192" s="22">
        <v>2</v>
      </c>
      <c r="Q192" s="22">
        <v>2</v>
      </c>
      <c r="R192" s="22">
        <v>2</v>
      </c>
      <c r="S192" s="22">
        <v>2</v>
      </c>
      <c r="T192" s="22">
        <v>2</v>
      </c>
      <c r="U192" s="22">
        <v>2</v>
      </c>
      <c r="V192" s="22">
        <v>2</v>
      </c>
      <c r="W192" s="64">
        <f t="shared" si="157"/>
        <v>2</v>
      </c>
      <c r="Y192" s="95">
        <v>-0.08</v>
      </c>
      <c r="Z192" s="95">
        <v>0</v>
      </c>
      <c r="AA192" s="95">
        <v>0</v>
      </c>
      <c r="AB192" s="95">
        <v>0</v>
      </c>
      <c r="AC192" s="95">
        <v>0</v>
      </c>
      <c r="AD192" s="8">
        <f t="shared" si="161"/>
        <v>-0.08</v>
      </c>
      <c r="AE192" s="2" t="s">
        <v>91</v>
      </c>
      <c r="AG192" s="96">
        <v>0</v>
      </c>
      <c r="AH192" s="96">
        <v>0</v>
      </c>
      <c r="AJ192" s="71">
        <v>0</v>
      </c>
      <c r="AK192" s="71">
        <v>0</v>
      </c>
      <c r="AL192" s="72">
        <v>0</v>
      </c>
      <c r="AM192" s="22"/>
      <c r="AO192" s="22">
        <v>0</v>
      </c>
      <c r="AP192" s="23">
        <v>0</v>
      </c>
      <c r="AQ192" s="22">
        <v>0</v>
      </c>
      <c r="AR192" s="51" t="str">
        <f t="shared" si="145"/>
        <v>0-0-0</v>
      </c>
      <c r="AS192" s="3"/>
      <c r="AT192" s="22">
        <v>0</v>
      </c>
      <c r="AU192" s="22">
        <v>0</v>
      </c>
      <c r="AV192" s="22">
        <v>0</v>
      </c>
      <c r="AW192" s="22">
        <v>0</v>
      </c>
      <c r="AX192" s="22">
        <v>0</v>
      </c>
      <c r="AY192" s="22">
        <v>0</v>
      </c>
      <c r="AZ192" s="22">
        <v>0</v>
      </c>
      <c r="BA192" s="22">
        <v>0</v>
      </c>
      <c r="BB192" s="64">
        <f t="shared" si="146"/>
        <v>0</v>
      </c>
      <c r="BD192" s="95">
        <v>0</v>
      </c>
      <c r="BE192" s="95">
        <v>0</v>
      </c>
      <c r="BF192" s="95">
        <v>0</v>
      </c>
      <c r="BG192" s="95">
        <v>0</v>
      </c>
      <c r="BH192" s="95">
        <v>0</v>
      </c>
      <c r="BI192" s="8">
        <f t="shared" si="147"/>
        <v>0</v>
      </c>
      <c r="BJ192" s="2" t="s">
        <v>91</v>
      </c>
      <c r="BL192" s="96">
        <v>0</v>
      </c>
      <c r="BM192" s="96">
        <v>0</v>
      </c>
      <c r="BO192" s="71">
        <v>0</v>
      </c>
      <c r="BP192" s="71">
        <v>0</v>
      </c>
      <c r="BQ192" s="72">
        <v>0</v>
      </c>
      <c r="BS192" s="61">
        <f t="shared" si="158"/>
        <v>-0.08</v>
      </c>
      <c r="BT192" s="61">
        <f t="shared" si="159"/>
        <v>0</v>
      </c>
      <c r="BU192" s="61">
        <f t="shared" si="160"/>
        <v>0</v>
      </c>
      <c r="BV192" s="61">
        <f t="shared" si="160"/>
        <v>0</v>
      </c>
      <c r="BW192" s="61">
        <f t="shared" si="160"/>
        <v>0</v>
      </c>
      <c r="BX192" s="61">
        <f t="shared" si="155"/>
        <v>-0.08</v>
      </c>
      <c r="BY192" s="61" t="s">
        <v>91</v>
      </c>
      <c r="CA192" s="61">
        <f t="shared" si="164"/>
        <v>-2.4071009477959981E-2</v>
      </c>
      <c r="CB192" s="61">
        <f t="shared" si="164"/>
        <v>-2.4071009477959981E-2</v>
      </c>
      <c r="CC192" s="61">
        <f t="shared" si="164"/>
        <v>-2.4071009477959981E-2</v>
      </c>
      <c r="CD192" s="61">
        <f t="shared" si="164"/>
        <v>-2.4071009477959981E-2</v>
      </c>
      <c r="CE192" s="61">
        <f t="shared" si="164"/>
        <v>-2.4071009477959981E-2</v>
      </c>
      <c r="CF192" s="61">
        <f t="shared" si="126"/>
        <v>-2.4071009477959981E-2</v>
      </c>
      <c r="CG192" s="61">
        <f t="shared" si="126"/>
        <v>-2.4071009477959981E-2</v>
      </c>
      <c r="CH192" s="61">
        <f t="shared" si="126"/>
        <v>-2.4071009477959981E-2</v>
      </c>
      <c r="CI192" s="61">
        <f t="shared" si="134"/>
        <v>-2.4071009477959981E-2</v>
      </c>
      <c r="CJ192" s="61"/>
      <c r="CK192" s="61">
        <f t="shared" si="165"/>
        <v>-2.4071009477959981E-2</v>
      </c>
      <c r="CL192" s="61">
        <f t="shared" si="165"/>
        <v>-2.4071009477959981E-2</v>
      </c>
      <c r="CM192" s="61">
        <f t="shared" si="165"/>
        <v>-2.4071009477959981E-2</v>
      </c>
      <c r="CN192" s="61">
        <f t="shared" si="165"/>
        <v>-2.4071009477959981E-2</v>
      </c>
      <c r="CO192" s="61">
        <f t="shared" si="165"/>
        <v>-2.4071009477959981E-2</v>
      </c>
      <c r="CP192" s="61">
        <f t="shared" si="127"/>
        <v>-2.4071009477959981E-2</v>
      </c>
      <c r="CQ192" s="61">
        <f t="shared" si="127"/>
        <v>-2.4071009477959981E-2</v>
      </c>
      <c r="CR192" s="61">
        <f t="shared" si="127"/>
        <v>-2.4071009477959981E-2</v>
      </c>
      <c r="CS192" s="61">
        <f t="shared" si="135"/>
        <v>-2.4071009477959981E-2</v>
      </c>
      <c r="CT192" s="61">
        <f t="shared" si="136"/>
        <v>-0.16</v>
      </c>
      <c r="CV192" s="61">
        <f t="shared" si="137"/>
        <v>0</v>
      </c>
      <c r="CW192" s="61">
        <f t="shared" si="148"/>
        <v>0</v>
      </c>
      <c r="CX192" s="61"/>
      <c r="CY192" s="61">
        <f t="shared" si="149"/>
        <v>0</v>
      </c>
      <c r="CZ192" s="61">
        <f t="shared" si="163"/>
        <v>0</v>
      </c>
      <c r="DA192" s="61">
        <f t="shared" si="163"/>
        <v>0</v>
      </c>
      <c r="DB192" s="2" t="s">
        <v>86</v>
      </c>
      <c r="DC192" s="2" t="s">
        <v>86</v>
      </c>
      <c r="DD192" s="2" t="s">
        <v>142</v>
      </c>
      <c r="DE192" s="2" t="s">
        <v>181</v>
      </c>
      <c r="DG192" s="62"/>
      <c r="DZ192" s="3" t="e">
        <v>#N/A</v>
      </c>
      <c r="EC192" s="60" t="e">
        <f>VLOOKUP($M192,[1]Detail!$M:$BO,1,0)</f>
        <v>#N/A</v>
      </c>
      <c r="ED192" s="60" t="e">
        <f>VLOOKUP($M192,[1]Detail!$M:$BO,22,0)</f>
        <v>#N/A</v>
      </c>
      <c r="EE192" s="60" t="e">
        <f>VLOOKUP($M192,[1]Detail!$M:$BO,42,0)</f>
        <v>#N/A</v>
      </c>
      <c r="EF192" s="60" t="e">
        <f>VLOOKUP($M192,[1]Detail!$M:$BO,45,0)</f>
        <v>#N/A</v>
      </c>
      <c r="EH192" s="60" t="e">
        <f>ED192-AD192</f>
        <v>#N/A</v>
      </c>
      <c r="EI192" s="60" t="e">
        <f>EE192-AG192</f>
        <v>#N/A</v>
      </c>
      <c r="EJ192" s="60" t="e">
        <f t="shared" si="166"/>
        <v>#N/A</v>
      </c>
    </row>
    <row r="193" spans="2:140" hidden="1">
      <c r="B193" s="93" t="s">
        <v>521</v>
      </c>
      <c r="C193" s="22" t="s">
        <v>514</v>
      </c>
      <c r="D193" s="66" t="s">
        <v>522</v>
      </c>
      <c r="E193" s="2" t="s">
        <v>523</v>
      </c>
      <c r="F193" s="2" t="str">
        <f>VLOOKUP($C193,[1]Detail!$C:$AK,7,0)</f>
        <v>TH</v>
      </c>
      <c r="G193" s="2" t="str">
        <f>VLOOKUP($C193,[1]Detail!$C:$AK,5,0)</f>
        <v>B</v>
      </c>
      <c r="J193" s="22">
        <v>0</v>
      </c>
      <c r="K193" s="66" t="s">
        <v>524</v>
      </c>
      <c r="L193" s="22" t="s">
        <v>520</v>
      </c>
      <c r="M193" s="51" t="str">
        <f t="shared" si="156"/>
        <v>0-W500012 -S442 </v>
      </c>
      <c r="O193" s="22">
        <v>0</v>
      </c>
      <c r="P193" s="22">
        <v>0</v>
      </c>
      <c r="Q193" s="22">
        <v>0</v>
      </c>
      <c r="R193" s="22">
        <v>0</v>
      </c>
      <c r="S193" s="22">
        <v>2</v>
      </c>
      <c r="T193" s="22">
        <v>2</v>
      </c>
      <c r="U193" s="22">
        <v>0</v>
      </c>
      <c r="V193" s="22">
        <v>2</v>
      </c>
      <c r="W193" s="64">
        <f t="shared" si="157"/>
        <v>0.56000000000000005</v>
      </c>
      <c r="Y193" s="95">
        <v>-0.126</v>
      </c>
      <c r="Z193" s="95">
        <v>0</v>
      </c>
      <c r="AA193" s="95">
        <v>0</v>
      </c>
      <c r="AB193" s="95">
        <v>0</v>
      </c>
      <c r="AC193" s="95">
        <v>0</v>
      </c>
      <c r="AD193" s="8">
        <f t="shared" si="161"/>
        <v>-0.126</v>
      </c>
      <c r="AE193" s="2" t="s">
        <v>91</v>
      </c>
      <c r="AG193" s="96">
        <v>0</v>
      </c>
      <c r="AH193" s="96">
        <v>0</v>
      </c>
      <c r="AJ193" s="71">
        <v>0</v>
      </c>
      <c r="AK193" s="71">
        <v>0</v>
      </c>
      <c r="AL193" s="72">
        <v>0</v>
      </c>
      <c r="AM193" s="22"/>
      <c r="AO193" s="22">
        <v>0</v>
      </c>
      <c r="AP193" s="23">
        <v>0</v>
      </c>
      <c r="AQ193" s="22">
        <v>0</v>
      </c>
      <c r="AR193" s="51" t="str">
        <f t="shared" si="145"/>
        <v>0-0-0</v>
      </c>
      <c r="AS193" s="3"/>
      <c r="AT193" s="22">
        <v>0</v>
      </c>
      <c r="AU193" s="22">
        <v>0</v>
      </c>
      <c r="AV193" s="22">
        <v>0</v>
      </c>
      <c r="AW193" s="22">
        <v>0</v>
      </c>
      <c r="AX193" s="22">
        <v>0</v>
      </c>
      <c r="AY193" s="22">
        <v>0</v>
      </c>
      <c r="AZ193" s="22">
        <v>0</v>
      </c>
      <c r="BA193" s="22">
        <v>0</v>
      </c>
      <c r="BB193" s="64">
        <f t="shared" si="146"/>
        <v>0</v>
      </c>
      <c r="BD193" s="95">
        <v>0</v>
      </c>
      <c r="BE193" s="95">
        <v>0</v>
      </c>
      <c r="BF193" s="95">
        <v>0</v>
      </c>
      <c r="BG193" s="95">
        <v>0</v>
      </c>
      <c r="BH193" s="95">
        <v>0</v>
      </c>
      <c r="BI193" s="8">
        <f t="shared" ref="BI193" si="167">SUM(BD193:BH193)</f>
        <v>0</v>
      </c>
      <c r="BJ193" s="2" t="s">
        <v>91</v>
      </c>
      <c r="BL193" s="96">
        <v>0</v>
      </c>
      <c r="BM193" s="96">
        <v>0</v>
      </c>
      <c r="BO193" s="71">
        <v>0</v>
      </c>
      <c r="BP193" s="71">
        <v>0</v>
      </c>
      <c r="BQ193" s="72">
        <v>0</v>
      </c>
      <c r="BS193" s="61">
        <f t="shared" si="158"/>
        <v>-0.126</v>
      </c>
      <c r="BT193" s="61">
        <f t="shared" si="159"/>
        <v>0</v>
      </c>
      <c r="BU193" s="61">
        <f t="shared" si="160"/>
        <v>0</v>
      </c>
      <c r="BV193" s="61">
        <f t="shared" si="160"/>
        <v>0</v>
      </c>
      <c r="BW193" s="61">
        <f t="shared" si="160"/>
        <v>0</v>
      </c>
      <c r="BX193" s="61">
        <f t="shared" si="155"/>
        <v>-0.126</v>
      </c>
      <c r="BY193" s="61" t="s">
        <v>91</v>
      </c>
      <c r="CA193" s="61">
        <f t="shared" si="164"/>
        <v>0</v>
      </c>
      <c r="CB193" s="61">
        <f t="shared" si="164"/>
        <v>0</v>
      </c>
      <c r="CC193" s="61">
        <f t="shared" si="164"/>
        <v>0</v>
      </c>
      <c r="CD193" s="61">
        <f t="shared" si="164"/>
        <v>0</v>
      </c>
      <c r="CE193" s="61">
        <f t="shared" si="164"/>
        <v>-3.7911839927786968E-2</v>
      </c>
      <c r="CF193" s="61">
        <f t="shared" si="126"/>
        <v>-3.7911839927786968E-2</v>
      </c>
      <c r="CG193" s="61">
        <f t="shared" si="126"/>
        <v>0</v>
      </c>
      <c r="CH193" s="61">
        <f t="shared" si="126"/>
        <v>-3.7911839927786968E-2</v>
      </c>
      <c r="CI193" s="61">
        <f t="shared" si="134"/>
        <v>-1.061531517978035E-2</v>
      </c>
      <c r="CJ193" s="61"/>
      <c r="CK193" s="61">
        <f t="shared" si="165"/>
        <v>0</v>
      </c>
      <c r="CL193" s="61">
        <f t="shared" si="165"/>
        <v>0</v>
      </c>
      <c r="CM193" s="61">
        <f t="shared" si="165"/>
        <v>0</v>
      </c>
      <c r="CN193" s="61">
        <f t="shared" si="165"/>
        <v>0</v>
      </c>
      <c r="CO193" s="61">
        <f t="shared" si="165"/>
        <v>-3.7911839927786968E-2</v>
      </c>
      <c r="CP193" s="61">
        <f t="shared" si="127"/>
        <v>-3.7911839927786968E-2</v>
      </c>
      <c r="CQ193" s="61">
        <f t="shared" si="127"/>
        <v>0</v>
      </c>
      <c r="CR193" s="61">
        <f t="shared" si="127"/>
        <v>-3.7911839927786968E-2</v>
      </c>
      <c r="CS193" s="61">
        <f t="shared" si="135"/>
        <v>-1.061531517978035E-2</v>
      </c>
      <c r="CT193" s="61">
        <f t="shared" si="136"/>
        <v>-7.0559999999999998E-2</v>
      </c>
      <c r="CV193" s="61">
        <f t="shared" si="137"/>
        <v>0</v>
      </c>
      <c r="CW193" s="61">
        <f t="shared" ref="CW193" si="168">SUM(AH193)-SUM(BM193)</f>
        <v>0</v>
      </c>
      <c r="CX193" s="61"/>
      <c r="CY193" s="61">
        <f t="shared" ref="CY193" si="169">SUM(AJ193)-SUM(BO193)</f>
        <v>0</v>
      </c>
      <c r="CZ193" s="61">
        <f t="shared" si="163"/>
        <v>0</v>
      </c>
      <c r="DA193" s="61">
        <f t="shared" si="163"/>
        <v>0</v>
      </c>
      <c r="DB193" s="2" t="s">
        <v>86</v>
      </c>
      <c r="DC193" s="2" t="s">
        <v>86</v>
      </c>
      <c r="DD193" s="2" t="s">
        <v>142</v>
      </c>
      <c r="DE193" s="2" t="s">
        <v>181</v>
      </c>
      <c r="DF193" s="3" t="s">
        <v>86</v>
      </c>
      <c r="DG193" s="62">
        <v>43105</v>
      </c>
      <c r="EC193" s="60" t="e">
        <f>VLOOKUP($M193,[1]Detail!$M:$BO,1,0)</f>
        <v>#N/A</v>
      </c>
      <c r="ED193" s="60" t="e">
        <f>VLOOKUP($M193,[1]Detail!$M:$BO,22,0)</f>
        <v>#N/A</v>
      </c>
      <c r="EE193" s="60" t="e">
        <f>VLOOKUP($M193,[1]Detail!$M:$BO,42,0)</f>
        <v>#N/A</v>
      </c>
      <c r="EF193" s="60" t="e">
        <f>VLOOKUP($M193,[1]Detail!$M:$BO,45,0)</f>
        <v>#N/A</v>
      </c>
      <c r="EH193" s="60" t="e">
        <f>ED193-AD193</f>
        <v>#N/A</v>
      </c>
      <c r="EI193" s="60" t="e">
        <f>EE193-AG193</f>
        <v>#N/A</v>
      </c>
      <c r="EJ193" s="60" t="e">
        <f t="shared" si="166"/>
        <v>#N/A</v>
      </c>
    </row>
    <row r="194" spans="2:140" ht="12.75" hidden="1" customHeight="1">
      <c r="B194" s="93" t="s">
        <v>525</v>
      </c>
      <c r="C194" s="22" t="s">
        <v>526</v>
      </c>
      <c r="D194" s="22" t="s">
        <v>527</v>
      </c>
      <c r="E194" s="2" t="str">
        <f>VLOOKUP($C194,[1]Detail!$C:$AK,6,0)</f>
        <v>PMT1</v>
      </c>
      <c r="F194" s="2" t="str">
        <f>VLOOKUP($C194,[1]Detail!$C:$AK,7,0)</f>
        <v>TH</v>
      </c>
      <c r="G194" s="2" t="str">
        <f>VLOOKUP($C194,[1]Detail!$C:$AK,5,0)</f>
        <v>D</v>
      </c>
      <c r="J194" s="22" t="s">
        <v>463</v>
      </c>
      <c r="K194" s="23" t="s">
        <v>528</v>
      </c>
      <c r="L194" s="22" t="s">
        <v>483</v>
      </c>
      <c r="M194" s="51" t="str">
        <f t="shared" si="156"/>
        <v>JD8B-F02216-AA</v>
      </c>
      <c r="O194" s="22">
        <v>1</v>
      </c>
      <c r="P194" s="22">
        <v>1</v>
      </c>
      <c r="Q194" s="22">
        <v>1</v>
      </c>
      <c r="R194" s="22">
        <v>1</v>
      </c>
      <c r="S194" s="22">
        <v>1</v>
      </c>
      <c r="T194" s="22">
        <v>1</v>
      </c>
      <c r="U194" s="22">
        <v>1</v>
      </c>
      <c r="V194" s="22">
        <v>1</v>
      </c>
      <c r="W194" s="64">
        <f t="shared" si="157"/>
        <v>1</v>
      </c>
      <c r="Y194" s="95">
        <v>-59.03</v>
      </c>
      <c r="Z194" s="95">
        <v>-0.61</v>
      </c>
      <c r="AA194" s="95">
        <v>-1.32</v>
      </c>
      <c r="AB194" s="95">
        <v>0</v>
      </c>
      <c r="AC194" s="95">
        <v>0</v>
      </c>
      <c r="AD194" s="8">
        <f t="shared" si="161"/>
        <v>-60.96</v>
      </c>
      <c r="AE194" s="2" t="s">
        <v>91</v>
      </c>
      <c r="AG194" s="96">
        <v>-2540176</v>
      </c>
      <c r="AH194" s="96">
        <v>-2540176</v>
      </c>
      <c r="AI194" s="6"/>
      <c r="AJ194" s="71">
        <v>0</v>
      </c>
      <c r="AK194" s="71">
        <v>0</v>
      </c>
      <c r="AL194" s="72">
        <v>0</v>
      </c>
      <c r="AM194" s="22" t="s">
        <v>529</v>
      </c>
      <c r="AO194" s="22" t="s">
        <v>466</v>
      </c>
      <c r="AP194" s="23" t="s">
        <v>528</v>
      </c>
      <c r="AQ194" s="22" t="s">
        <v>530</v>
      </c>
      <c r="AR194" s="51" t="str">
        <f t="shared" si="145"/>
        <v>ED8B-F02216-AK</v>
      </c>
      <c r="AS194" s="3"/>
      <c r="AT194" s="22">
        <v>1</v>
      </c>
      <c r="AU194" s="22">
        <v>1</v>
      </c>
      <c r="AV194" s="22">
        <v>1</v>
      </c>
      <c r="AW194" s="22">
        <v>1</v>
      </c>
      <c r="AX194" s="22">
        <v>1</v>
      </c>
      <c r="AY194" s="22">
        <v>1</v>
      </c>
      <c r="AZ194" s="22">
        <v>1</v>
      </c>
      <c r="BA194" s="22">
        <v>1</v>
      </c>
      <c r="BB194" s="64">
        <f t="shared" si="146"/>
        <v>1</v>
      </c>
      <c r="BD194" s="95">
        <v>-65.209999999999994</v>
      </c>
      <c r="BE194" s="95">
        <v>-0.61</v>
      </c>
      <c r="BF194" s="95">
        <v>-1.32</v>
      </c>
      <c r="BG194" s="95">
        <v>0</v>
      </c>
      <c r="BH194" s="95">
        <v>0</v>
      </c>
      <c r="BI194" s="8">
        <f t="shared" si="147"/>
        <v>-67.139999999999986</v>
      </c>
      <c r="BJ194" s="2" t="s">
        <v>91</v>
      </c>
      <c r="BL194" s="96">
        <v>0</v>
      </c>
      <c r="BM194" s="96">
        <v>0</v>
      </c>
      <c r="BO194" s="71">
        <v>0</v>
      </c>
      <c r="BP194" s="71">
        <v>0</v>
      </c>
      <c r="BQ194" s="72">
        <v>0</v>
      </c>
      <c r="BS194" s="61">
        <f t="shared" si="158"/>
        <v>6.1799999999999926</v>
      </c>
      <c r="BT194" s="61">
        <f t="shared" si="159"/>
        <v>0</v>
      </c>
      <c r="BU194" s="61">
        <f t="shared" si="160"/>
        <v>0</v>
      </c>
      <c r="BV194" s="61">
        <f t="shared" si="160"/>
        <v>0</v>
      </c>
      <c r="BW194" s="61">
        <f t="shared" si="160"/>
        <v>0</v>
      </c>
      <c r="BX194" s="61">
        <f t="shared" si="155"/>
        <v>6.1799999999999855</v>
      </c>
      <c r="BY194" s="61" t="s">
        <v>91</v>
      </c>
      <c r="CA194" s="61">
        <f t="shared" si="164"/>
        <v>0.92974274108620314</v>
      </c>
      <c r="CB194" s="61">
        <f t="shared" si="164"/>
        <v>0.92974274108620314</v>
      </c>
      <c r="CC194" s="61">
        <f t="shared" si="164"/>
        <v>0.92974274108620314</v>
      </c>
      <c r="CD194" s="61">
        <f t="shared" si="164"/>
        <v>0.92974274108620314</v>
      </c>
      <c r="CE194" s="61">
        <f t="shared" si="164"/>
        <v>0.92974274108620314</v>
      </c>
      <c r="CF194" s="61">
        <f t="shared" si="126"/>
        <v>0.92974274108620314</v>
      </c>
      <c r="CG194" s="61">
        <f t="shared" si="126"/>
        <v>0.92974274108620314</v>
      </c>
      <c r="CH194" s="61">
        <f t="shared" si="126"/>
        <v>0.92974274108620314</v>
      </c>
      <c r="CI194" s="61">
        <f t="shared" si="134"/>
        <v>0.92974274108620336</v>
      </c>
      <c r="CJ194" s="61"/>
      <c r="CK194" s="61">
        <f t="shared" si="165"/>
        <v>0.92974274108620214</v>
      </c>
      <c r="CL194" s="61">
        <f t="shared" si="165"/>
        <v>0.92974274108620214</v>
      </c>
      <c r="CM194" s="61">
        <f t="shared" si="165"/>
        <v>0.92974274108620214</v>
      </c>
      <c r="CN194" s="61">
        <f t="shared" si="165"/>
        <v>0.92974274108620214</v>
      </c>
      <c r="CO194" s="61">
        <f t="shared" si="165"/>
        <v>0.92974274108620214</v>
      </c>
      <c r="CP194" s="61">
        <f t="shared" si="127"/>
        <v>0.92974274108620214</v>
      </c>
      <c r="CQ194" s="61">
        <f t="shared" si="127"/>
        <v>0.92974274108620214</v>
      </c>
      <c r="CR194" s="61">
        <f t="shared" si="127"/>
        <v>0.92974274108620214</v>
      </c>
      <c r="CS194" s="61">
        <f t="shared" si="135"/>
        <v>0.92974274108620203</v>
      </c>
      <c r="CT194" s="61">
        <f t="shared" si="136"/>
        <v>6.1799999999999855</v>
      </c>
      <c r="CV194" s="61">
        <f t="shared" si="137"/>
        <v>-2540176</v>
      </c>
      <c r="CW194" s="61">
        <f t="shared" si="148"/>
        <v>-2540176</v>
      </c>
      <c r="CX194" s="61"/>
      <c r="CY194" s="61">
        <f t="shared" si="149"/>
        <v>0</v>
      </c>
      <c r="CZ194" s="61">
        <f t="shared" si="163"/>
        <v>0</v>
      </c>
      <c r="DA194" s="61">
        <f t="shared" si="163"/>
        <v>0</v>
      </c>
      <c r="DB194" s="2" t="s">
        <v>85</v>
      </c>
      <c r="DC194" s="2" t="s">
        <v>102</v>
      </c>
      <c r="DD194" s="2" t="s">
        <v>142</v>
      </c>
      <c r="DE194" s="2" t="s">
        <v>181</v>
      </c>
      <c r="DF194" s="3" t="s">
        <v>118</v>
      </c>
      <c r="DG194" s="62">
        <v>42800</v>
      </c>
      <c r="EC194" s="60"/>
      <c r="ED194" s="60"/>
      <c r="EE194" s="60"/>
      <c r="EF194" s="60"/>
    </row>
    <row r="195" spans="2:140" ht="12.75" hidden="1" customHeight="1">
      <c r="B195" s="93" t="s">
        <v>531</v>
      </c>
      <c r="C195" s="22" t="s">
        <v>526</v>
      </c>
      <c r="D195" s="22" t="s">
        <v>527</v>
      </c>
      <c r="E195" s="2" t="str">
        <f>VLOOKUP($C195,[1]Detail!$C:$AK,6,0)</f>
        <v>PMT1</v>
      </c>
      <c r="F195" s="2" t="str">
        <f>VLOOKUP($C195,[1]Detail!$C:$AK,7,0)</f>
        <v>TH</v>
      </c>
      <c r="G195" s="2" t="str">
        <f>VLOOKUP($C195,[1]Detail!$C:$AK,5,0)</f>
        <v>D</v>
      </c>
      <c r="J195" s="22" t="s">
        <v>463</v>
      </c>
      <c r="K195" s="23" t="s">
        <v>528</v>
      </c>
      <c r="L195" s="22" t="s">
        <v>486</v>
      </c>
      <c r="M195" s="51" t="str">
        <f t="shared" si="156"/>
        <v>JD8B-F02216-AB</v>
      </c>
      <c r="O195" s="22">
        <v>1</v>
      </c>
      <c r="P195" s="22">
        <v>1</v>
      </c>
      <c r="Q195" s="22">
        <v>1</v>
      </c>
      <c r="R195" s="22">
        <v>1</v>
      </c>
      <c r="S195" s="22">
        <v>1</v>
      </c>
      <c r="T195" s="22">
        <v>1</v>
      </c>
      <c r="U195" s="22">
        <v>1</v>
      </c>
      <c r="V195" s="22">
        <v>1</v>
      </c>
      <c r="W195" s="64">
        <f t="shared" si="157"/>
        <v>1</v>
      </c>
      <c r="Y195" s="95">
        <v>-59.03</v>
      </c>
      <c r="Z195" s="95">
        <v>-0.61</v>
      </c>
      <c r="AA195" s="95">
        <v>-1.32</v>
      </c>
      <c r="AB195" s="95">
        <v>0</v>
      </c>
      <c r="AC195" s="95">
        <v>0</v>
      </c>
      <c r="AD195" s="8">
        <f t="shared" si="161"/>
        <v>-60.96</v>
      </c>
      <c r="AE195" s="2" t="s">
        <v>91</v>
      </c>
      <c r="AG195" s="96">
        <v>-2540176</v>
      </c>
      <c r="AH195" s="96">
        <v>-2540176</v>
      </c>
      <c r="AI195" s="6"/>
      <c r="AJ195" s="71">
        <v>0</v>
      </c>
      <c r="AK195" s="71">
        <v>0</v>
      </c>
      <c r="AL195" s="72">
        <v>0</v>
      </c>
      <c r="AM195" s="22"/>
      <c r="AO195" s="22" t="s">
        <v>463</v>
      </c>
      <c r="AP195" s="23" t="s">
        <v>528</v>
      </c>
      <c r="AQ195" s="22" t="s">
        <v>483</v>
      </c>
      <c r="AR195" s="51" t="str">
        <f t="shared" si="145"/>
        <v>JD8B-F02216-AA</v>
      </c>
      <c r="AS195" s="3"/>
      <c r="AT195" s="22">
        <v>1</v>
      </c>
      <c r="AU195" s="22">
        <v>1</v>
      </c>
      <c r="AV195" s="22">
        <v>1</v>
      </c>
      <c r="AW195" s="22">
        <v>1</v>
      </c>
      <c r="AX195" s="22">
        <v>1</v>
      </c>
      <c r="AY195" s="22">
        <v>1</v>
      </c>
      <c r="AZ195" s="22">
        <v>1</v>
      </c>
      <c r="BA195" s="22">
        <v>1</v>
      </c>
      <c r="BB195" s="64">
        <f t="shared" si="146"/>
        <v>1</v>
      </c>
      <c r="BD195" s="95">
        <v>-59.03</v>
      </c>
      <c r="BE195" s="95">
        <v>-0.61</v>
      </c>
      <c r="BF195" s="95">
        <v>-1.32</v>
      </c>
      <c r="BG195" s="95">
        <v>0</v>
      </c>
      <c r="BH195" s="95">
        <v>0</v>
      </c>
      <c r="BI195" s="8">
        <f t="shared" si="147"/>
        <v>-60.96</v>
      </c>
      <c r="BJ195" s="2" t="s">
        <v>91</v>
      </c>
      <c r="BL195" s="96">
        <v>-2540176</v>
      </c>
      <c r="BM195" s="96">
        <v>-2540176</v>
      </c>
      <c r="BO195" s="71">
        <v>0</v>
      </c>
      <c r="BP195" s="71">
        <v>0</v>
      </c>
      <c r="BQ195" s="72">
        <v>0</v>
      </c>
      <c r="BS195" s="61">
        <f t="shared" si="158"/>
        <v>0</v>
      </c>
      <c r="BT195" s="61">
        <f t="shared" si="159"/>
        <v>0</v>
      </c>
      <c r="BU195" s="61">
        <f t="shared" si="160"/>
        <v>0</v>
      </c>
      <c r="BV195" s="61">
        <f t="shared" si="160"/>
        <v>0</v>
      </c>
      <c r="BW195" s="61">
        <f t="shared" si="160"/>
        <v>0</v>
      </c>
      <c r="BX195" s="61">
        <f t="shared" si="155"/>
        <v>0</v>
      </c>
      <c r="BY195" s="61" t="s">
        <v>91</v>
      </c>
      <c r="CA195" s="61">
        <f t="shared" si="164"/>
        <v>0</v>
      </c>
      <c r="CB195" s="61">
        <f t="shared" si="164"/>
        <v>0</v>
      </c>
      <c r="CC195" s="61">
        <f t="shared" si="164"/>
        <v>0</v>
      </c>
      <c r="CD195" s="61">
        <f t="shared" si="164"/>
        <v>0</v>
      </c>
      <c r="CE195" s="61">
        <f t="shared" si="164"/>
        <v>0</v>
      </c>
      <c r="CF195" s="61">
        <f t="shared" si="164"/>
        <v>0</v>
      </c>
      <c r="CG195" s="61">
        <f t="shared" si="164"/>
        <v>0</v>
      </c>
      <c r="CH195" s="61">
        <f t="shared" si="164"/>
        <v>0</v>
      </c>
      <c r="CI195" s="61">
        <f t="shared" si="134"/>
        <v>0</v>
      </c>
      <c r="CJ195" s="61"/>
      <c r="CK195" s="61">
        <f t="shared" si="165"/>
        <v>0</v>
      </c>
      <c r="CL195" s="61">
        <f t="shared" si="165"/>
        <v>0</v>
      </c>
      <c r="CM195" s="61">
        <f t="shared" si="165"/>
        <v>0</v>
      </c>
      <c r="CN195" s="61">
        <f t="shared" si="165"/>
        <v>0</v>
      </c>
      <c r="CO195" s="61">
        <f t="shared" si="165"/>
        <v>0</v>
      </c>
      <c r="CP195" s="61">
        <f t="shared" si="165"/>
        <v>0</v>
      </c>
      <c r="CQ195" s="61">
        <f t="shared" si="165"/>
        <v>0</v>
      </c>
      <c r="CR195" s="61">
        <f t="shared" si="165"/>
        <v>0</v>
      </c>
      <c r="CS195" s="61">
        <f t="shared" si="135"/>
        <v>0</v>
      </c>
      <c r="CT195" s="61">
        <f t="shared" si="136"/>
        <v>0</v>
      </c>
      <c r="CV195" s="61">
        <f t="shared" si="137"/>
        <v>0</v>
      </c>
      <c r="CW195" s="61">
        <f t="shared" si="148"/>
        <v>0</v>
      </c>
      <c r="CX195" s="61"/>
      <c r="CY195" s="61">
        <f t="shared" si="149"/>
        <v>0</v>
      </c>
      <c r="CZ195" s="61">
        <f t="shared" si="163"/>
        <v>0</v>
      </c>
      <c r="DA195" s="61">
        <f t="shared" si="163"/>
        <v>0</v>
      </c>
      <c r="DB195" s="2" t="s">
        <v>85</v>
      </c>
      <c r="DC195" s="2" t="s">
        <v>134</v>
      </c>
      <c r="DD195" s="2" t="s">
        <v>142</v>
      </c>
      <c r="DE195" s="2" t="s">
        <v>181</v>
      </c>
      <c r="DF195" s="3" t="s">
        <v>118</v>
      </c>
      <c r="DG195" s="62">
        <v>42858</v>
      </c>
      <c r="EC195" s="60"/>
      <c r="ED195" s="60"/>
      <c r="EE195" s="60"/>
      <c r="EF195" s="60"/>
    </row>
    <row r="196" spans="2:140" ht="12.75" hidden="1" customHeight="1">
      <c r="B196" s="93" t="s">
        <v>532</v>
      </c>
      <c r="C196" s="22" t="s">
        <v>533</v>
      </c>
      <c r="D196" s="22" t="s">
        <v>534</v>
      </c>
      <c r="E196" s="2" t="str">
        <f>VLOOKUP($C196,[1]Detail!$C:$AK,6,0)</f>
        <v>PMT5</v>
      </c>
      <c r="F196" s="2" t="str">
        <f>VLOOKUP($C196,[1]Detail!$C:$AK,7,0)</f>
        <v>TH</v>
      </c>
      <c r="G196" s="2" t="str">
        <f>VLOOKUP($C196,[1]Detail!$C:$AK,5,0)</f>
        <v>D</v>
      </c>
      <c r="J196" s="22" t="s">
        <v>535</v>
      </c>
      <c r="K196" s="23" t="s">
        <v>536</v>
      </c>
      <c r="L196" s="22" t="s">
        <v>483</v>
      </c>
      <c r="M196" s="51" t="str">
        <f t="shared" si="156"/>
        <v>JD8T-14A254-AA</v>
      </c>
      <c r="O196" s="22">
        <v>1</v>
      </c>
      <c r="P196" s="22">
        <v>1</v>
      </c>
      <c r="Q196" s="22">
        <v>1</v>
      </c>
      <c r="R196" s="22">
        <v>1</v>
      </c>
      <c r="S196" s="22">
        <v>1</v>
      </c>
      <c r="T196" s="22">
        <v>1</v>
      </c>
      <c r="U196" s="22">
        <v>1</v>
      </c>
      <c r="V196" s="22">
        <v>1</v>
      </c>
      <c r="W196" s="64">
        <f t="shared" si="157"/>
        <v>1</v>
      </c>
      <c r="Y196" s="95">
        <f>-9.83</f>
        <v>-9.83</v>
      </c>
      <c r="Z196" s="95">
        <v>-7.0000000000000007E-2</v>
      </c>
      <c r="AA196" s="95">
        <v>-0.04</v>
      </c>
      <c r="AB196" s="95">
        <v>0</v>
      </c>
      <c r="AC196" s="95">
        <v>0</v>
      </c>
      <c r="AD196" s="8">
        <f t="shared" si="161"/>
        <v>-9.94</v>
      </c>
      <c r="AE196" s="2" t="s">
        <v>91</v>
      </c>
      <c r="AG196" s="96">
        <v>-445859</v>
      </c>
      <c r="AH196" s="96">
        <v>-445859</v>
      </c>
      <c r="AI196" s="6"/>
      <c r="AJ196" s="71">
        <v>0</v>
      </c>
      <c r="AK196" s="71">
        <v>0</v>
      </c>
      <c r="AL196" s="72">
        <v>0</v>
      </c>
      <c r="AM196" s="22"/>
      <c r="AO196" s="22" t="s">
        <v>535</v>
      </c>
      <c r="AP196" s="23" t="s">
        <v>536</v>
      </c>
      <c r="AQ196" s="22" t="s">
        <v>483</v>
      </c>
      <c r="AR196" s="51" t="str">
        <f t="shared" si="145"/>
        <v>JD8T-14A254-AA</v>
      </c>
      <c r="AS196" s="3"/>
      <c r="AT196" s="22">
        <v>1</v>
      </c>
      <c r="AU196" s="22">
        <v>1</v>
      </c>
      <c r="AV196" s="22">
        <v>1</v>
      </c>
      <c r="AW196" s="22">
        <v>1</v>
      </c>
      <c r="AX196" s="22">
        <v>1</v>
      </c>
      <c r="AY196" s="22">
        <v>1</v>
      </c>
      <c r="AZ196" s="22">
        <v>1</v>
      </c>
      <c r="BA196" s="22">
        <v>1</v>
      </c>
      <c r="BB196" s="64">
        <f t="shared" si="146"/>
        <v>1</v>
      </c>
      <c r="BD196" s="95">
        <v>-9.83</v>
      </c>
      <c r="BE196" s="95">
        <v>-7.0000000000000007E-2</v>
      </c>
      <c r="BF196" s="95">
        <v>-0.04</v>
      </c>
      <c r="BG196" s="95">
        <v>0</v>
      </c>
      <c r="BH196" s="95">
        <v>0</v>
      </c>
      <c r="BI196" s="8">
        <f t="shared" ref="BI196:BI225" si="170">SUM(BD196:BH196)</f>
        <v>-9.94</v>
      </c>
      <c r="BJ196" s="2" t="s">
        <v>91</v>
      </c>
      <c r="BL196" s="96">
        <v>-445859</v>
      </c>
      <c r="BM196" s="96">
        <v>-445859</v>
      </c>
      <c r="BO196" s="71">
        <v>0</v>
      </c>
      <c r="BP196" s="71">
        <v>0</v>
      </c>
      <c r="BQ196" s="72">
        <v>0</v>
      </c>
      <c r="BS196" s="61">
        <f t="shared" si="158"/>
        <v>0</v>
      </c>
      <c r="BT196" s="61">
        <f t="shared" si="159"/>
        <v>0</v>
      </c>
      <c r="BU196" s="61">
        <f t="shared" si="160"/>
        <v>0</v>
      </c>
      <c r="BV196" s="61">
        <f t="shared" si="160"/>
        <v>0</v>
      </c>
      <c r="BW196" s="61">
        <f t="shared" si="160"/>
        <v>0</v>
      </c>
      <c r="BX196" s="61">
        <f t="shared" si="155"/>
        <v>0</v>
      </c>
      <c r="BY196" s="61" t="s">
        <v>91</v>
      </c>
      <c r="CA196" s="61">
        <f t="shared" si="164"/>
        <v>0</v>
      </c>
      <c r="CB196" s="61">
        <f t="shared" si="164"/>
        <v>0</v>
      </c>
      <c r="CC196" s="61">
        <f t="shared" si="164"/>
        <v>0</v>
      </c>
      <c r="CD196" s="61">
        <f t="shared" si="164"/>
        <v>0</v>
      </c>
      <c r="CE196" s="61">
        <f t="shared" si="164"/>
        <v>0</v>
      </c>
      <c r="CF196" s="61">
        <f t="shared" si="164"/>
        <v>0</v>
      </c>
      <c r="CG196" s="61">
        <f t="shared" si="164"/>
        <v>0</v>
      </c>
      <c r="CH196" s="61">
        <f t="shared" si="164"/>
        <v>0</v>
      </c>
      <c r="CI196" s="61">
        <f t="shared" si="134"/>
        <v>0</v>
      </c>
      <c r="CJ196" s="61"/>
      <c r="CK196" s="61">
        <f t="shared" si="165"/>
        <v>0</v>
      </c>
      <c r="CL196" s="61">
        <f t="shared" si="165"/>
        <v>0</v>
      </c>
      <c r="CM196" s="61">
        <f t="shared" si="165"/>
        <v>0</v>
      </c>
      <c r="CN196" s="61">
        <f t="shared" si="165"/>
        <v>0</v>
      </c>
      <c r="CO196" s="61">
        <f t="shared" si="165"/>
        <v>0</v>
      </c>
      <c r="CP196" s="61">
        <f t="shared" si="165"/>
        <v>0</v>
      </c>
      <c r="CQ196" s="61">
        <f t="shared" si="165"/>
        <v>0</v>
      </c>
      <c r="CR196" s="61">
        <f t="shared" si="165"/>
        <v>0</v>
      </c>
      <c r="CS196" s="61">
        <f t="shared" si="135"/>
        <v>0</v>
      </c>
      <c r="CT196" s="61">
        <f t="shared" si="136"/>
        <v>0</v>
      </c>
      <c r="CV196" s="61">
        <f t="shared" si="137"/>
        <v>0</v>
      </c>
      <c r="CW196" s="61">
        <f t="shared" si="148"/>
        <v>0</v>
      </c>
      <c r="CX196" s="61"/>
      <c r="CY196" s="61">
        <f t="shared" si="149"/>
        <v>0</v>
      </c>
      <c r="CZ196" s="61">
        <f t="shared" si="163"/>
        <v>0</v>
      </c>
      <c r="DA196" s="61">
        <f t="shared" si="163"/>
        <v>0</v>
      </c>
      <c r="DB196" s="2" t="s">
        <v>85</v>
      </c>
      <c r="DC196" s="2" t="s">
        <v>102</v>
      </c>
      <c r="DD196" s="2" t="s">
        <v>142</v>
      </c>
      <c r="DE196" s="2" t="s">
        <v>181</v>
      </c>
      <c r="DF196" s="3" t="s">
        <v>118</v>
      </c>
      <c r="DG196" s="62">
        <v>42793</v>
      </c>
      <c r="EC196" s="60"/>
      <c r="ED196" s="60"/>
      <c r="EE196" s="60"/>
      <c r="EF196" s="60"/>
    </row>
    <row r="197" spans="2:140" ht="12.75" hidden="1" customHeight="1">
      <c r="B197" s="93" t="s">
        <v>537</v>
      </c>
      <c r="C197" s="22" t="s">
        <v>533</v>
      </c>
      <c r="D197" s="22" t="s">
        <v>534</v>
      </c>
      <c r="E197" s="2" t="str">
        <f>VLOOKUP($C197,[1]Detail!$C:$AK,6,0)</f>
        <v>PMT5</v>
      </c>
      <c r="F197" s="2" t="str">
        <f>VLOOKUP($C197,[1]Detail!$C:$AK,7,0)</f>
        <v>TH</v>
      </c>
      <c r="G197" s="2" t="str">
        <f>VLOOKUP($C197,[1]Detail!$C:$AK,5,0)</f>
        <v>D</v>
      </c>
      <c r="J197" s="22" t="s">
        <v>535</v>
      </c>
      <c r="K197" s="23" t="s">
        <v>536</v>
      </c>
      <c r="L197" s="22" t="s">
        <v>486</v>
      </c>
      <c r="M197" s="51" t="str">
        <f t="shared" si="156"/>
        <v>JD8T-14A254-AB</v>
      </c>
      <c r="O197" s="22">
        <v>1</v>
      </c>
      <c r="P197" s="22">
        <v>1</v>
      </c>
      <c r="Q197" s="22">
        <v>1</v>
      </c>
      <c r="R197" s="22">
        <v>1</v>
      </c>
      <c r="S197" s="22">
        <v>1</v>
      </c>
      <c r="T197" s="22">
        <v>1</v>
      </c>
      <c r="U197" s="22">
        <v>1</v>
      </c>
      <c r="V197" s="22">
        <v>1</v>
      </c>
      <c r="W197" s="64">
        <f t="shared" si="157"/>
        <v>1</v>
      </c>
      <c r="Y197" s="95">
        <f>-2.11-9.83</f>
        <v>-11.94</v>
      </c>
      <c r="Z197" s="95">
        <v>-7.0000000000000007E-2</v>
      </c>
      <c r="AA197" s="95">
        <v>-0.04</v>
      </c>
      <c r="AB197" s="95">
        <v>0</v>
      </c>
      <c r="AC197" s="95">
        <v>0</v>
      </c>
      <c r="AD197" s="8">
        <f t="shared" si="161"/>
        <v>-12.049999999999999</v>
      </c>
      <c r="AE197" s="2" t="s">
        <v>91</v>
      </c>
      <c r="AG197" s="96">
        <f>-445859-400000</f>
        <v>-845859</v>
      </c>
      <c r="AH197" s="96">
        <f>-445859-400000</f>
        <v>-845859</v>
      </c>
      <c r="AI197" s="6"/>
      <c r="AJ197" s="71">
        <v>0</v>
      </c>
      <c r="AK197" s="71">
        <v>0</v>
      </c>
      <c r="AL197" s="72">
        <v>0</v>
      </c>
      <c r="AM197" s="96" t="s">
        <v>538</v>
      </c>
      <c r="AO197" s="22" t="s">
        <v>535</v>
      </c>
      <c r="AP197" s="23" t="s">
        <v>536</v>
      </c>
      <c r="AQ197" s="22" t="s">
        <v>483</v>
      </c>
      <c r="AR197" s="51" t="str">
        <f t="shared" si="145"/>
        <v>JD8T-14A254-AA</v>
      </c>
      <c r="AS197" s="3"/>
      <c r="AT197" s="22">
        <v>1</v>
      </c>
      <c r="AU197" s="22">
        <v>1</v>
      </c>
      <c r="AV197" s="22">
        <v>1</v>
      </c>
      <c r="AW197" s="22">
        <v>1</v>
      </c>
      <c r="AX197" s="22">
        <v>1</v>
      </c>
      <c r="AY197" s="22">
        <v>1</v>
      </c>
      <c r="AZ197" s="22">
        <v>1</v>
      </c>
      <c r="BA197" s="22">
        <v>1</v>
      </c>
      <c r="BB197" s="64">
        <f t="shared" si="146"/>
        <v>1</v>
      </c>
      <c r="BD197" s="95">
        <f>-9.83</f>
        <v>-9.83</v>
      </c>
      <c r="BE197" s="95">
        <v>-7.0000000000000007E-2</v>
      </c>
      <c r="BF197" s="95">
        <v>-0.04</v>
      </c>
      <c r="BG197" s="95">
        <v>0</v>
      </c>
      <c r="BH197" s="95">
        <v>0</v>
      </c>
      <c r="BI197" s="8">
        <f t="shared" si="170"/>
        <v>-9.94</v>
      </c>
      <c r="BJ197" s="2" t="s">
        <v>91</v>
      </c>
      <c r="BL197" s="96">
        <v>-445859</v>
      </c>
      <c r="BM197" s="96">
        <v>-445859</v>
      </c>
      <c r="BN197" s="6"/>
      <c r="BO197" s="71">
        <v>0</v>
      </c>
      <c r="BP197" s="71">
        <v>0</v>
      </c>
      <c r="BQ197" s="72">
        <v>0</v>
      </c>
      <c r="BS197" s="61">
        <f t="shared" si="158"/>
        <v>-2.1099999999999994</v>
      </c>
      <c r="BT197" s="61">
        <f t="shared" si="159"/>
        <v>0</v>
      </c>
      <c r="BU197" s="61">
        <f t="shared" si="160"/>
        <v>0</v>
      </c>
      <c r="BV197" s="61">
        <f t="shared" si="160"/>
        <v>0</v>
      </c>
      <c r="BW197" s="61">
        <f t="shared" si="160"/>
        <v>0</v>
      </c>
      <c r="BX197" s="61">
        <f t="shared" si="155"/>
        <v>-2.1099999999999994</v>
      </c>
      <c r="BY197" s="61" t="s">
        <v>91</v>
      </c>
      <c r="CA197" s="61">
        <f t="shared" si="164"/>
        <v>-0.31743643749059719</v>
      </c>
      <c r="CB197" s="61">
        <f t="shared" si="164"/>
        <v>-0.31743643749059719</v>
      </c>
      <c r="CC197" s="61">
        <f t="shared" si="164"/>
        <v>-0.31743643749059719</v>
      </c>
      <c r="CD197" s="61">
        <f t="shared" si="164"/>
        <v>-0.31743643749059719</v>
      </c>
      <c r="CE197" s="61">
        <f t="shared" si="164"/>
        <v>-0.31743643749059719</v>
      </c>
      <c r="CF197" s="61">
        <f t="shared" si="164"/>
        <v>-0.31743643749059719</v>
      </c>
      <c r="CG197" s="61">
        <f t="shared" si="164"/>
        <v>-0.31743643749059719</v>
      </c>
      <c r="CH197" s="61">
        <f t="shared" si="164"/>
        <v>-0.31743643749059719</v>
      </c>
      <c r="CI197" s="61">
        <f t="shared" si="134"/>
        <v>-0.31743643749059713</v>
      </c>
      <c r="CJ197" s="61"/>
      <c r="CK197" s="61">
        <f t="shared" si="165"/>
        <v>-0.31743643749059719</v>
      </c>
      <c r="CL197" s="61">
        <f t="shared" si="165"/>
        <v>-0.31743643749059719</v>
      </c>
      <c r="CM197" s="61">
        <f t="shared" si="165"/>
        <v>-0.31743643749059719</v>
      </c>
      <c r="CN197" s="61">
        <f t="shared" si="165"/>
        <v>-0.31743643749059719</v>
      </c>
      <c r="CO197" s="61">
        <f t="shared" si="165"/>
        <v>-0.31743643749059719</v>
      </c>
      <c r="CP197" s="61">
        <f t="shared" si="165"/>
        <v>-0.31743643749059719</v>
      </c>
      <c r="CQ197" s="61">
        <f t="shared" si="165"/>
        <v>-0.31743643749059719</v>
      </c>
      <c r="CR197" s="61">
        <f t="shared" si="165"/>
        <v>-0.31743643749059719</v>
      </c>
      <c r="CS197" s="61">
        <f t="shared" si="135"/>
        <v>-0.31743643749059713</v>
      </c>
      <c r="CT197" s="67">
        <f t="shared" si="136"/>
        <v>-2.1099999999999994</v>
      </c>
      <c r="CV197" s="61">
        <f t="shared" si="137"/>
        <v>-400000</v>
      </c>
      <c r="CW197" s="61">
        <f t="shared" ref="CW197" si="171">SUM(AH197)-SUM(BM197)</f>
        <v>-400000</v>
      </c>
      <c r="CX197" s="61"/>
      <c r="CY197" s="61">
        <f t="shared" ref="CY197" si="172">SUM(AJ197)-SUM(BO197)</f>
        <v>0</v>
      </c>
      <c r="CZ197" s="61">
        <f t="shared" si="163"/>
        <v>0</v>
      </c>
      <c r="DA197" s="61">
        <f t="shared" si="163"/>
        <v>0</v>
      </c>
      <c r="DB197" s="2" t="s">
        <v>85</v>
      </c>
      <c r="DC197" s="2" t="s">
        <v>85</v>
      </c>
      <c r="DD197" s="2" t="s">
        <v>142</v>
      </c>
      <c r="DE197" s="2" t="s">
        <v>169</v>
      </c>
      <c r="DF197" s="3" t="s">
        <v>86</v>
      </c>
      <c r="DG197" s="62">
        <v>43103</v>
      </c>
      <c r="EC197" s="60"/>
      <c r="ED197" s="60"/>
      <c r="EE197" s="60"/>
      <c r="EF197" s="60"/>
    </row>
    <row r="198" spans="2:140" ht="12.75" hidden="1" customHeight="1">
      <c r="B198" s="93" t="s">
        <v>539</v>
      </c>
      <c r="C198" s="22" t="s">
        <v>533</v>
      </c>
      <c r="D198" s="22" t="s">
        <v>534</v>
      </c>
      <c r="E198" s="2" t="str">
        <f>VLOOKUP($C198,[1]Detail!$C:$AK,6,0)</f>
        <v>PMT5</v>
      </c>
      <c r="F198" s="2" t="str">
        <f>VLOOKUP($C198,[1]Detail!$C:$AK,7,0)</f>
        <v>TH</v>
      </c>
      <c r="G198" s="2" t="str">
        <f>VLOOKUP($C198,[1]Detail!$C:$AK,5,0)</f>
        <v>D</v>
      </c>
      <c r="J198" s="22" t="s">
        <v>535</v>
      </c>
      <c r="K198" s="23" t="s">
        <v>536</v>
      </c>
      <c r="L198" s="22" t="s">
        <v>484</v>
      </c>
      <c r="M198" s="51" t="str">
        <f t="shared" si="156"/>
        <v>JD8T-14A254-AC</v>
      </c>
      <c r="O198" s="22">
        <v>1</v>
      </c>
      <c r="P198" s="22">
        <v>1</v>
      </c>
      <c r="Q198" s="22">
        <v>1</v>
      </c>
      <c r="R198" s="22">
        <v>1</v>
      </c>
      <c r="S198" s="22">
        <v>1</v>
      </c>
      <c r="T198" s="22">
        <v>1</v>
      </c>
      <c r="U198" s="22">
        <v>1</v>
      </c>
      <c r="V198" s="22">
        <v>1</v>
      </c>
      <c r="W198" s="64">
        <f t="shared" si="157"/>
        <v>1</v>
      </c>
      <c r="Y198" s="95">
        <f>-2.11-9.83-0.29</f>
        <v>-12.229999999999999</v>
      </c>
      <c r="Z198" s="95">
        <v>-7.0000000000000007E-2</v>
      </c>
      <c r="AA198" s="95">
        <v>-0.04</v>
      </c>
      <c r="AB198" s="95">
        <v>0</v>
      </c>
      <c r="AC198" s="95">
        <v>0</v>
      </c>
      <c r="AD198" s="8">
        <f t="shared" si="161"/>
        <v>-12.339999999999998</v>
      </c>
      <c r="AE198" s="2" t="s">
        <v>91</v>
      </c>
      <c r="AG198" s="96">
        <f>-445859-400000</f>
        <v>-845859</v>
      </c>
      <c r="AH198" s="96">
        <f>-445859-400000</f>
        <v>-845859</v>
      </c>
      <c r="AI198" s="6"/>
      <c r="AJ198" s="71">
        <v>0</v>
      </c>
      <c r="AK198" s="71">
        <v>0</v>
      </c>
      <c r="AL198" s="72">
        <v>0</v>
      </c>
      <c r="AM198" s="96" t="s">
        <v>538</v>
      </c>
      <c r="AO198" s="22" t="s">
        <v>535</v>
      </c>
      <c r="AP198" s="23" t="s">
        <v>536</v>
      </c>
      <c r="AQ198" s="22" t="s">
        <v>486</v>
      </c>
      <c r="AR198" s="51" t="str">
        <f t="shared" si="145"/>
        <v>JD8T-14A254-AB</v>
      </c>
      <c r="AS198" s="3"/>
      <c r="AT198" s="22">
        <v>1</v>
      </c>
      <c r="AU198" s="22">
        <v>1</v>
      </c>
      <c r="AV198" s="22">
        <v>1</v>
      </c>
      <c r="AW198" s="22">
        <v>1</v>
      </c>
      <c r="AX198" s="22">
        <v>1</v>
      </c>
      <c r="AY198" s="22">
        <v>1</v>
      </c>
      <c r="AZ198" s="22">
        <v>1</v>
      </c>
      <c r="BA198" s="22">
        <v>1</v>
      </c>
      <c r="BB198" s="64">
        <f t="shared" si="146"/>
        <v>1</v>
      </c>
      <c r="BD198" s="95">
        <f>-2.11-9.83</f>
        <v>-11.94</v>
      </c>
      <c r="BE198" s="95">
        <v>-7.0000000000000007E-2</v>
      </c>
      <c r="BF198" s="95">
        <v>-0.04</v>
      </c>
      <c r="BG198" s="95">
        <v>0</v>
      </c>
      <c r="BH198" s="95">
        <v>0</v>
      </c>
      <c r="BI198" s="8">
        <f t="shared" ref="BI198" si="173">SUM(BD198:BH198)</f>
        <v>-12.049999999999999</v>
      </c>
      <c r="BJ198" s="2" t="s">
        <v>91</v>
      </c>
      <c r="BL198" s="96">
        <f>-445859-400000</f>
        <v>-845859</v>
      </c>
      <c r="BM198" s="96">
        <f>-445859-400000</f>
        <v>-845859</v>
      </c>
      <c r="BN198" s="6"/>
      <c r="BO198" s="71">
        <v>0</v>
      </c>
      <c r="BP198" s="71">
        <v>0</v>
      </c>
      <c r="BQ198" s="72">
        <v>0</v>
      </c>
      <c r="BS198" s="61">
        <f t="shared" si="158"/>
        <v>-0.28999999999999915</v>
      </c>
      <c r="BT198" s="61">
        <f t="shared" si="159"/>
        <v>0</v>
      </c>
      <c r="BU198" s="61">
        <f t="shared" si="160"/>
        <v>0</v>
      </c>
      <c r="BV198" s="61">
        <f t="shared" si="160"/>
        <v>0</v>
      </c>
      <c r="BW198" s="61">
        <f t="shared" si="160"/>
        <v>0</v>
      </c>
      <c r="BX198" s="61">
        <f t="shared" si="155"/>
        <v>-0.28999999999999915</v>
      </c>
      <c r="BY198" s="61" t="s">
        <v>91</v>
      </c>
      <c r="CA198" s="61">
        <f t="shared" si="164"/>
        <v>-4.3628704678802338E-2</v>
      </c>
      <c r="CB198" s="61">
        <f t="shared" si="164"/>
        <v>-4.3628704678802338E-2</v>
      </c>
      <c r="CC198" s="61">
        <f t="shared" si="164"/>
        <v>-4.3628704678802338E-2</v>
      </c>
      <c r="CD198" s="61">
        <f t="shared" si="164"/>
        <v>-4.3628704678802338E-2</v>
      </c>
      <c r="CE198" s="61">
        <f t="shared" si="164"/>
        <v>-4.3628704678802338E-2</v>
      </c>
      <c r="CF198" s="61">
        <f t="shared" si="164"/>
        <v>-4.3628704678802338E-2</v>
      </c>
      <c r="CG198" s="61">
        <f t="shared" si="164"/>
        <v>-4.3628704678802338E-2</v>
      </c>
      <c r="CH198" s="61">
        <f t="shared" si="164"/>
        <v>-4.3628704678802338E-2</v>
      </c>
      <c r="CI198" s="61">
        <f t="shared" si="134"/>
        <v>-4.3628704678802338E-2</v>
      </c>
      <c r="CJ198" s="61"/>
      <c r="CK198" s="61">
        <f t="shared" si="165"/>
        <v>-4.3628704678802338E-2</v>
      </c>
      <c r="CL198" s="61">
        <f t="shared" si="165"/>
        <v>-4.3628704678802338E-2</v>
      </c>
      <c r="CM198" s="61">
        <f t="shared" si="165"/>
        <v>-4.3628704678802338E-2</v>
      </c>
      <c r="CN198" s="61">
        <f t="shared" si="165"/>
        <v>-4.3628704678802338E-2</v>
      </c>
      <c r="CO198" s="61">
        <f t="shared" si="165"/>
        <v>-4.3628704678802338E-2</v>
      </c>
      <c r="CP198" s="61">
        <f t="shared" si="165"/>
        <v>-4.3628704678802338E-2</v>
      </c>
      <c r="CQ198" s="61">
        <f t="shared" si="165"/>
        <v>-4.3628704678802338E-2</v>
      </c>
      <c r="CR198" s="61">
        <f t="shared" si="165"/>
        <v>-4.3628704678802338E-2</v>
      </c>
      <c r="CS198" s="61">
        <f t="shared" si="135"/>
        <v>-4.3628704678802338E-2</v>
      </c>
      <c r="CT198" s="67">
        <f t="shared" si="136"/>
        <v>-0.28999999999999915</v>
      </c>
      <c r="CV198" s="61">
        <f t="shared" si="137"/>
        <v>0</v>
      </c>
      <c r="CW198" s="61">
        <f t="shared" ref="CW198" si="174">SUM(AH198)-SUM(BM198)</f>
        <v>0</v>
      </c>
      <c r="CX198" s="61"/>
      <c r="CY198" s="61">
        <f t="shared" ref="CY198" si="175">SUM(AJ198)-SUM(BO198)</f>
        <v>0</v>
      </c>
      <c r="CZ198" s="61">
        <f t="shared" si="163"/>
        <v>0</v>
      </c>
      <c r="DA198" s="61">
        <f t="shared" si="163"/>
        <v>0</v>
      </c>
      <c r="DB198" s="2" t="s">
        <v>86</v>
      </c>
      <c r="DC198" s="2" t="s">
        <v>85</v>
      </c>
      <c r="DD198" s="2" t="s">
        <v>142</v>
      </c>
      <c r="DE198" s="2" t="s">
        <v>169</v>
      </c>
      <c r="DG198" s="62"/>
      <c r="EC198" s="60" t="str">
        <f>VLOOKUP($M198,[1]Detail!$M:$BO,1,0)</f>
        <v>JD8T-14A254-AC</v>
      </c>
      <c r="ED198" s="60">
        <f>VLOOKUP($M198,[1]Detail!$M:$BO,22,0)</f>
        <v>-12.339999999999998</v>
      </c>
      <c r="EE198" s="60">
        <f>VLOOKUP($M198,[1]Detail!$M:$BO,42,0)</f>
        <v>-845859</v>
      </c>
      <c r="EF198" s="60">
        <f>VLOOKUP($M198,[1]Detail!$M:$BO,45,0)</f>
        <v>0</v>
      </c>
      <c r="EH198" s="60">
        <f>ED198-AD198</f>
        <v>0</v>
      </c>
      <c r="EI198" s="60">
        <f>EE198-AG198</f>
        <v>0</v>
      </c>
      <c r="EJ198" s="60">
        <f>EF198-AJ198</f>
        <v>0</v>
      </c>
    </row>
    <row r="199" spans="2:140" ht="13.5" hidden="1" customHeight="1">
      <c r="B199" s="93" t="s">
        <v>540</v>
      </c>
      <c r="C199" s="22" t="s">
        <v>541</v>
      </c>
      <c r="D199" s="22" t="s">
        <v>542</v>
      </c>
      <c r="E199" s="2" t="str">
        <f>VLOOKUP($C199,[1]Detail!$C:$AK,6,0)</f>
        <v>PMT5</v>
      </c>
      <c r="F199" s="2" t="str">
        <f>VLOOKUP($C199,[1]Detail!$C:$AK,7,0)</f>
        <v>TH</v>
      </c>
      <c r="G199" s="2" t="str">
        <f>VLOOKUP($C199,[1]Detail!$C:$AK,5,0)</f>
        <v>D</v>
      </c>
      <c r="J199" s="22" t="s">
        <v>535</v>
      </c>
      <c r="K199" s="23" t="s">
        <v>543</v>
      </c>
      <c r="L199" s="22" t="s">
        <v>483</v>
      </c>
      <c r="M199" s="51" t="str">
        <f t="shared" si="156"/>
        <v>JD8T-14A301-AA</v>
      </c>
      <c r="O199" s="22">
        <v>0</v>
      </c>
      <c r="P199" s="22">
        <v>1</v>
      </c>
      <c r="Q199" s="22">
        <v>0</v>
      </c>
      <c r="R199" s="22">
        <v>1</v>
      </c>
      <c r="S199" s="22">
        <v>0</v>
      </c>
      <c r="T199" s="22">
        <v>1</v>
      </c>
      <c r="U199" s="22">
        <v>1</v>
      </c>
      <c r="V199" s="22">
        <v>1</v>
      </c>
      <c r="W199" s="64">
        <f t="shared" si="157"/>
        <v>0.63000000000000012</v>
      </c>
      <c r="Y199" s="95">
        <v>-6.98</v>
      </c>
      <c r="Z199" s="95">
        <f>-0.04*0-0.36</f>
        <v>-0.36</v>
      </c>
      <c r="AA199" s="95">
        <f>-0.05*0-0.11</f>
        <v>-0.11</v>
      </c>
      <c r="AB199" s="95">
        <v>0</v>
      </c>
      <c r="AC199" s="95">
        <v>0</v>
      </c>
      <c r="AD199" s="8">
        <f t="shared" si="161"/>
        <v>-7.4500000000000011</v>
      </c>
      <c r="AE199" s="2" t="s">
        <v>91</v>
      </c>
      <c r="AG199" s="96">
        <v>-498000</v>
      </c>
      <c r="AH199" s="96">
        <v>-498000</v>
      </c>
      <c r="AI199" s="6"/>
      <c r="AJ199" s="71">
        <v>0</v>
      </c>
      <c r="AK199" s="71">
        <v>0</v>
      </c>
      <c r="AL199" s="72">
        <v>0</v>
      </c>
      <c r="AM199" s="22"/>
      <c r="AO199" s="22" t="s">
        <v>544</v>
      </c>
      <c r="AP199" s="23" t="s">
        <v>543</v>
      </c>
      <c r="AQ199" s="22" t="s">
        <v>511</v>
      </c>
      <c r="AR199" s="51" t="str">
        <f t="shared" si="145"/>
        <v>ED8T-14A301-BB</v>
      </c>
      <c r="AS199" s="3"/>
      <c r="AT199" s="22">
        <v>0</v>
      </c>
      <c r="AU199" s="22">
        <v>1</v>
      </c>
      <c r="AV199" s="22">
        <v>0</v>
      </c>
      <c r="AW199" s="22">
        <v>1</v>
      </c>
      <c r="AX199" s="22">
        <v>0</v>
      </c>
      <c r="AY199" s="22">
        <v>1</v>
      </c>
      <c r="AZ199" s="22">
        <v>1</v>
      </c>
      <c r="BA199" s="22">
        <v>1</v>
      </c>
      <c r="BB199" s="64">
        <f t="shared" si="146"/>
        <v>0.63000000000000012</v>
      </c>
      <c r="BD199" s="95">
        <v>-6.73</v>
      </c>
      <c r="BE199" s="95">
        <f>-0.04*0-0.36</f>
        <v>-0.36</v>
      </c>
      <c r="BF199" s="95">
        <f>-0.05*0-0.11</f>
        <v>-0.11</v>
      </c>
      <c r="BG199" s="95">
        <v>0</v>
      </c>
      <c r="BH199" s="95">
        <v>0</v>
      </c>
      <c r="BI199" s="8">
        <f t="shared" si="170"/>
        <v>-7.2000000000000011</v>
      </c>
      <c r="BJ199" s="2" t="s">
        <v>91</v>
      </c>
      <c r="BL199" s="96">
        <v>0</v>
      </c>
      <c r="BM199" s="96">
        <v>0</v>
      </c>
      <c r="BO199" s="71">
        <v>0</v>
      </c>
      <c r="BP199" s="71">
        <v>0</v>
      </c>
      <c r="BQ199" s="72">
        <v>0</v>
      </c>
      <c r="BS199" s="61">
        <f t="shared" si="158"/>
        <v>-0.25</v>
      </c>
      <c r="BT199" s="61">
        <f t="shared" si="159"/>
        <v>0</v>
      </c>
      <c r="BU199" s="61">
        <f t="shared" si="160"/>
        <v>0</v>
      </c>
      <c r="BV199" s="61">
        <f t="shared" si="160"/>
        <v>0</v>
      </c>
      <c r="BW199" s="61">
        <f t="shared" si="160"/>
        <v>0</v>
      </c>
      <c r="BX199" s="61">
        <f t="shared" si="155"/>
        <v>-0.25</v>
      </c>
      <c r="BY199" s="61" t="s">
        <v>91</v>
      </c>
      <c r="CA199" s="61">
        <f t="shared" si="164"/>
        <v>0</v>
      </c>
      <c r="CB199" s="61">
        <f t="shared" si="164"/>
        <v>-3.7610952309312468E-2</v>
      </c>
      <c r="CC199" s="61">
        <f t="shared" si="164"/>
        <v>0</v>
      </c>
      <c r="CD199" s="61">
        <f t="shared" si="164"/>
        <v>-3.7610952309312468E-2</v>
      </c>
      <c r="CE199" s="61">
        <f t="shared" si="164"/>
        <v>0</v>
      </c>
      <c r="CF199" s="61">
        <f t="shared" si="164"/>
        <v>-3.7610952309312468E-2</v>
      </c>
      <c r="CG199" s="61">
        <f t="shared" si="164"/>
        <v>-3.7610952309312468E-2</v>
      </c>
      <c r="CH199" s="61">
        <f t="shared" si="164"/>
        <v>-3.7610952309312468E-2</v>
      </c>
      <c r="CI199" s="61">
        <f t="shared" ref="CI199:CI262" si="176">SUMPRODUCT(CA199:CH199,$O$6:$V$6)</f>
        <v>-2.3694899954866854E-2</v>
      </c>
      <c r="CJ199" s="61"/>
      <c r="CK199" s="61">
        <f t="shared" si="165"/>
        <v>0</v>
      </c>
      <c r="CL199" s="61">
        <f t="shared" si="165"/>
        <v>-3.7610952309312468E-2</v>
      </c>
      <c r="CM199" s="61">
        <f t="shared" si="165"/>
        <v>0</v>
      </c>
      <c r="CN199" s="61">
        <f t="shared" si="165"/>
        <v>-3.7610952309312468E-2</v>
      </c>
      <c r="CO199" s="61">
        <f t="shared" si="165"/>
        <v>0</v>
      </c>
      <c r="CP199" s="61">
        <f t="shared" si="165"/>
        <v>-3.7610952309312468E-2</v>
      </c>
      <c r="CQ199" s="61">
        <f t="shared" si="165"/>
        <v>-3.7610952309312468E-2</v>
      </c>
      <c r="CR199" s="61">
        <f t="shared" si="165"/>
        <v>-3.7610952309312468E-2</v>
      </c>
      <c r="CS199" s="61">
        <f t="shared" ref="CS199:CS262" si="177">SUMPRODUCT(CK199:CR199,$O$6:$V$6)</f>
        <v>-2.3694899954866854E-2</v>
      </c>
      <c r="CT199" s="61">
        <f t="shared" ref="CT199:CT262" si="178">CS199*$C$2</f>
        <v>-0.15749999999999997</v>
      </c>
      <c r="CV199" s="61">
        <f t="shared" ref="CV199:CV262" si="179">SUM(AG199)-SUM(BL199)</f>
        <v>-498000</v>
      </c>
      <c r="CW199" s="61">
        <f t="shared" si="148"/>
        <v>-498000</v>
      </c>
      <c r="CX199" s="61"/>
      <c r="CY199" s="61">
        <f t="shared" si="149"/>
        <v>0</v>
      </c>
      <c r="CZ199" s="61">
        <f t="shared" si="163"/>
        <v>0</v>
      </c>
      <c r="DA199" s="61">
        <f t="shared" si="163"/>
        <v>0</v>
      </c>
      <c r="DB199" s="2" t="s">
        <v>85</v>
      </c>
      <c r="DC199" s="2" t="s">
        <v>102</v>
      </c>
      <c r="DD199" s="2" t="s">
        <v>142</v>
      </c>
      <c r="DE199" s="2" t="s">
        <v>181</v>
      </c>
      <c r="DF199" s="3" t="s">
        <v>118</v>
      </c>
      <c r="DG199" s="62">
        <v>42833</v>
      </c>
      <c r="EC199" s="60"/>
      <c r="ED199" s="60"/>
      <c r="EE199" s="60"/>
      <c r="EF199" s="60"/>
    </row>
    <row r="200" spans="2:140" ht="12.75" hidden="1" customHeight="1">
      <c r="B200" s="93" t="s">
        <v>545</v>
      </c>
      <c r="C200" s="22" t="s">
        <v>541</v>
      </c>
      <c r="D200" s="22" t="s">
        <v>542</v>
      </c>
      <c r="E200" s="2" t="str">
        <f>VLOOKUP($C200,[1]Detail!$C:$AK,6,0)</f>
        <v>PMT5</v>
      </c>
      <c r="F200" s="2" t="str">
        <f>VLOOKUP($C200,[1]Detail!$C:$AK,7,0)</f>
        <v>TH</v>
      </c>
      <c r="G200" s="2" t="str">
        <f>VLOOKUP($C200,[1]Detail!$C:$AK,5,0)</f>
        <v>D</v>
      </c>
      <c r="J200" s="22" t="s">
        <v>535</v>
      </c>
      <c r="K200" s="23" t="s">
        <v>543</v>
      </c>
      <c r="L200" s="22" t="s">
        <v>483</v>
      </c>
      <c r="M200" s="51" t="str">
        <f t="shared" si="156"/>
        <v>JD8T-14A301-AA</v>
      </c>
      <c r="O200" s="22">
        <v>0</v>
      </c>
      <c r="P200" s="22">
        <v>1</v>
      </c>
      <c r="Q200" s="22">
        <v>0</v>
      </c>
      <c r="R200" s="22">
        <v>1</v>
      </c>
      <c r="S200" s="22">
        <v>0</v>
      </c>
      <c r="T200" s="22">
        <v>1</v>
      </c>
      <c r="U200" s="22">
        <v>1</v>
      </c>
      <c r="V200" s="22">
        <v>1</v>
      </c>
      <c r="W200" s="64">
        <f t="shared" si="157"/>
        <v>0.63000000000000012</v>
      </c>
      <c r="Y200" s="95">
        <f>-6.98-0.11</f>
        <v>-7.0900000000000007</v>
      </c>
      <c r="Z200" s="95">
        <f>-0.04*0-0.36</f>
        <v>-0.36</v>
      </c>
      <c r="AA200" s="95">
        <f>-0.05*0-0.11</f>
        <v>-0.11</v>
      </c>
      <c r="AB200" s="95">
        <v>0</v>
      </c>
      <c r="AC200" s="95">
        <v>0</v>
      </c>
      <c r="AD200" s="8">
        <f t="shared" si="161"/>
        <v>-7.5600000000000014</v>
      </c>
      <c r="AE200" s="2" t="s">
        <v>91</v>
      </c>
      <c r="AG200" s="96">
        <f>-161060-498000</f>
        <v>-659060</v>
      </c>
      <c r="AH200" s="96">
        <f>-161060-498000</f>
        <v>-659060</v>
      </c>
      <c r="AI200" s="6"/>
      <c r="AJ200" s="71">
        <v>0</v>
      </c>
      <c r="AK200" s="71">
        <v>0</v>
      </c>
      <c r="AL200" s="72">
        <v>0</v>
      </c>
      <c r="AM200" s="22"/>
      <c r="AO200" s="22" t="s">
        <v>535</v>
      </c>
      <c r="AP200" s="23" t="s">
        <v>543</v>
      </c>
      <c r="AQ200" s="22" t="s">
        <v>483</v>
      </c>
      <c r="AR200" s="51" t="str">
        <f t="shared" si="145"/>
        <v>JD8T-14A301-AA</v>
      </c>
      <c r="AS200" s="3"/>
      <c r="AT200" s="22">
        <v>0</v>
      </c>
      <c r="AU200" s="22">
        <v>1</v>
      </c>
      <c r="AV200" s="22">
        <v>0</v>
      </c>
      <c r="AW200" s="22">
        <v>1</v>
      </c>
      <c r="AX200" s="22">
        <v>0</v>
      </c>
      <c r="AY200" s="22">
        <v>1</v>
      </c>
      <c r="AZ200" s="22">
        <v>1</v>
      </c>
      <c r="BA200" s="22">
        <v>1</v>
      </c>
      <c r="BB200" s="64">
        <f t="shared" si="146"/>
        <v>0.63000000000000012</v>
      </c>
      <c r="BD200" s="95">
        <v>-6.98</v>
      </c>
      <c r="BE200" s="95">
        <f>-0.04*0-0.36</f>
        <v>-0.36</v>
      </c>
      <c r="BF200" s="95">
        <f>-0.05*0-0.11</f>
        <v>-0.11</v>
      </c>
      <c r="BG200" s="95">
        <v>0</v>
      </c>
      <c r="BH200" s="95">
        <v>0</v>
      </c>
      <c r="BI200" s="8">
        <f t="shared" ref="BI200" si="180">SUM(BD200:BH200)</f>
        <v>-7.4500000000000011</v>
      </c>
      <c r="BJ200" s="2" t="s">
        <v>91</v>
      </c>
      <c r="BL200" s="96">
        <v>-498000</v>
      </c>
      <c r="BM200" s="96">
        <v>-498000</v>
      </c>
      <c r="BO200" s="71">
        <v>0</v>
      </c>
      <c r="BP200" s="71">
        <v>0</v>
      </c>
      <c r="BQ200" s="72">
        <v>0</v>
      </c>
      <c r="BS200" s="61">
        <f t="shared" si="158"/>
        <v>-0.11000000000000032</v>
      </c>
      <c r="BT200" s="61">
        <f t="shared" si="159"/>
        <v>0</v>
      </c>
      <c r="BU200" s="61">
        <f t="shared" si="160"/>
        <v>0</v>
      </c>
      <c r="BV200" s="61">
        <f t="shared" si="160"/>
        <v>0</v>
      </c>
      <c r="BW200" s="61">
        <f t="shared" si="160"/>
        <v>0</v>
      </c>
      <c r="BX200" s="61">
        <f t="shared" si="155"/>
        <v>-0.11000000000000032</v>
      </c>
      <c r="BY200" s="61" t="s">
        <v>91</v>
      </c>
      <c r="CA200" s="61">
        <f t="shared" si="164"/>
        <v>0</v>
      </c>
      <c r="CB200" s="61">
        <f t="shared" si="164"/>
        <v>-1.6548819016097536E-2</v>
      </c>
      <c r="CC200" s="61">
        <f t="shared" si="164"/>
        <v>0</v>
      </c>
      <c r="CD200" s="61">
        <f t="shared" si="164"/>
        <v>-1.6548819016097536E-2</v>
      </c>
      <c r="CE200" s="61">
        <f t="shared" si="164"/>
        <v>0</v>
      </c>
      <c r="CF200" s="61">
        <f t="shared" si="164"/>
        <v>-1.6548819016097536E-2</v>
      </c>
      <c r="CG200" s="61">
        <f t="shared" si="164"/>
        <v>-1.6548819016097536E-2</v>
      </c>
      <c r="CH200" s="61">
        <f t="shared" si="164"/>
        <v>-1.6548819016097536E-2</v>
      </c>
      <c r="CI200" s="61">
        <f t="shared" si="176"/>
        <v>-1.0425755980141447E-2</v>
      </c>
      <c r="CJ200" s="61"/>
      <c r="CK200" s="61">
        <f t="shared" si="165"/>
        <v>0</v>
      </c>
      <c r="CL200" s="61">
        <f t="shared" si="165"/>
        <v>-1.6548819016097536E-2</v>
      </c>
      <c r="CM200" s="61">
        <f t="shared" si="165"/>
        <v>0</v>
      </c>
      <c r="CN200" s="61">
        <f t="shared" si="165"/>
        <v>-1.6548819016097536E-2</v>
      </c>
      <c r="CO200" s="61">
        <f t="shared" si="165"/>
        <v>0</v>
      </c>
      <c r="CP200" s="61">
        <f t="shared" si="165"/>
        <v>-1.6548819016097536E-2</v>
      </c>
      <c r="CQ200" s="61">
        <f t="shared" si="165"/>
        <v>-1.6548819016097536E-2</v>
      </c>
      <c r="CR200" s="61">
        <f t="shared" si="165"/>
        <v>-1.6548819016097536E-2</v>
      </c>
      <c r="CS200" s="61">
        <f t="shared" si="177"/>
        <v>-1.0425755980141447E-2</v>
      </c>
      <c r="CT200" s="67">
        <f t="shared" si="178"/>
        <v>-6.9300000000000209E-2</v>
      </c>
      <c r="CV200" s="61">
        <f t="shared" si="179"/>
        <v>-161060</v>
      </c>
      <c r="CW200" s="61">
        <f t="shared" ref="CW200" si="181">SUM(AH200)-SUM(BM200)</f>
        <v>-161060</v>
      </c>
      <c r="CX200" s="61"/>
      <c r="CY200" s="61">
        <f t="shared" ref="CY200" si="182">SUM(AJ200)-SUM(BO200)</f>
        <v>0</v>
      </c>
      <c r="CZ200" s="61">
        <f t="shared" si="163"/>
        <v>0</v>
      </c>
      <c r="DA200" s="61">
        <f t="shared" si="163"/>
        <v>0</v>
      </c>
      <c r="DB200" s="2" t="s">
        <v>86</v>
      </c>
      <c r="DC200" s="2" t="s">
        <v>85</v>
      </c>
      <c r="DD200" s="2" t="s">
        <v>142</v>
      </c>
      <c r="DE200" s="2" t="s">
        <v>106</v>
      </c>
      <c r="DG200" s="62"/>
      <c r="DZ200" s="3" t="e">
        <v>#N/A</v>
      </c>
      <c r="EC200" s="60" t="str">
        <f>VLOOKUP($M200,[1]Detail!$M:$BO,1,0)</f>
        <v>JD8T-14A301-AA</v>
      </c>
      <c r="ED200" s="60">
        <f>VLOOKUP($M200,[1]Detail!$M:$BO,22,0)</f>
        <v>-7.5600000000000014</v>
      </c>
      <c r="EE200" s="60">
        <f>VLOOKUP($M200,[1]Detail!$M:$BO,42,0)</f>
        <v>-659060</v>
      </c>
      <c r="EF200" s="60">
        <f>VLOOKUP($M200,[1]Detail!$M:$BO,45,0)</f>
        <v>0</v>
      </c>
      <c r="EH200" s="60">
        <f>ED200-AD200</f>
        <v>0</v>
      </c>
      <c r="EI200" s="60">
        <f>EE200-AG200</f>
        <v>0</v>
      </c>
      <c r="EJ200" s="60">
        <f>EF200-AJ200</f>
        <v>0</v>
      </c>
    </row>
    <row r="201" spans="2:140" ht="14.25" hidden="1" customHeight="1">
      <c r="B201" s="93" t="s">
        <v>546</v>
      </c>
      <c r="C201" s="22" t="s">
        <v>547</v>
      </c>
      <c r="D201" s="22" t="s">
        <v>548</v>
      </c>
      <c r="E201" s="2" t="str">
        <f>VLOOKUP($C201,[1]Detail!$C:$AK,6,0)</f>
        <v>BIW</v>
      </c>
      <c r="F201" s="2" t="str">
        <f>VLOOKUP($C201,[1]Detail!$C:$AK,7,0)</f>
        <v>TH</v>
      </c>
      <c r="G201" s="2" t="str">
        <f>VLOOKUP($C201,[1]Detail!$C:$AK,5,0)</f>
        <v>D</v>
      </c>
      <c r="J201" s="22" t="s">
        <v>463</v>
      </c>
      <c r="K201" s="23" t="s">
        <v>549</v>
      </c>
      <c r="L201" s="22" t="s">
        <v>483</v>
      </c>
      <c r="M201" s="51" t="str">
        <f t="shared" si="156"/>
        <v>JD8B-F21192 -AA</v>
      </c>
      <c r="O201" s="22">
        <v>1</v>
      </c>
      <c r="P201" s="22">
        <v>1</v>
      </c>
      <c r="Q201" s="22">
        <v>1</v>
      </c>
      <c r="R201" s="22">
        <v>1</v>
      </c>
      <c r="S201" s="22">
        <v>1</v>
      </c>
      <c r="T201" s="22">
        <v>1</v>
      </c>
      <c r="U201" s="22">
        <v>1</v>
      </c>
      <c r="V201" s="22">
        <v>1</v>
      </c>
      <c r="W201" s="64">
        <f t="shared" si="157"/>
        <v>1</v>
      </c>
      <c r="Y201" s="95">
        <v>-2.25</v>
      </c>
      <c r="Z201" s="95">
        <v>-0.02</v>
      </c>
      <c r="AA201" s="95">
        <v>-0.02</v>
      </c>
      <c r="AB201" s="95">
        <v>0</v>
      </c>
      <c r="AC201" s="95">
        <v>0</v>
      </c>
      <c r="AD201" s="8">
        <f t="shared" si="161"/>
        <v>-2.29</v>
      </c>
      <c r="AE201" s="2" t="s">
        <v>91</v>
      </c>
      <c r="AG201" s="96">
        <v>-179280</v>
      </c>
      <c r="AH201" s="96">
        <v>-179280</v>
      </c>
      <c r="AI201" s="6"/>
      <c r="AJ201" s="71">
        <v>0</v>
      </c>
      <c r="AK201" s="71">
        <v>0</v>
      </c>
      <c r="AL201" s="72">
        <v>0</v>
      </c>
      <c r="AM201" s="22"/>
      <c r="AO201" s="22" t="s">
        <v>463</v>
      </c>
      <c r="AP201" s="23" t="s">
        <v>549</v>
      </c>
      <c r="AQ201" s="22" t="s">
        <v>483</v>
      </c>
      <c r="AR201" s="51" t="str">
        <f t="shared" si="145"/>
        <v>JD8B-F21192 -AA</v>
      </c>
      <c r="AS201" s="3"/>
      <c r="AT201" s="22">
        <v>1</v>
      </c>
      <c r="AU201" s="22">
        <v>1</v>
      </c>
      <c r="AV201" s="22">
        <v>1</v>
      </c>
      <c r="AW201" s="22">
        <v>1</v>
      </c>
      <c r="AX201" s="22">
        <v>1</v>
      </c>
      <c r="AY201" s="22">
        <v>1</v>
      </c>
      <c r="AZ201" s="22">
        <v>1</v>
      </c>
      <c r="BA201" s="22">
        <v>1</v>
      </c>
      <c r="BB201" s="64">
        <f t="shared" si="146"/>
        <v>1</v>
      </c>
      <c r="BD201" s="95">
        <v>-2.25</v>
      </c>
      <c r="BE201" s="95">
        <v>-0.02</v>
      </c>
      <c r="BF201" s="95">
        <v>-0.02</v>
      </c>
      <c r="BG201" s="95">
        <v>0</v>
      </c>
      <c r="BH201" s="95">
        <v>0</v>
      </c>
      <c r="BI201" s="8">
        <f t="shared" si="170"/>
        <v>-2.29</v>
      </c>
      <c r="BJ201" s="2" t="s">
        <v>91</v>
      </c>
      <c r="BL201" s="96">
        <v>-179280</v>
      </c>
      <c r="BM201" s="96">
        <v>-179280</v>
      </c>
      <c r="BO201" s="71">
        <v>0</v>
      </c>
      <c r="BP201" s="71">
        <v>0</v>
      </c>
      <c r="BQ201" s="72">
        <v>0</v>
      </c>
      <c r="BS201" s="61">
        <f t="shared" si="158"/>
        <v>0</v>
      </c>
      <c r="BT201" s="61">
        <f t="shared" si="159"/>
        <v>0</v>
      </c>
      <c r="BU201" s="61">
        <f t="shared" si="160"/>
        <v>0</v>
      </c>
      <c r="BV201" s="61">
        <f t="shared" si="160"/>
        <v>0</v>
      </c>
      <c r="BW201" s="61">
        <f t="shared" si="160"/>
        <v>0</v>
      </c>
      <c r="BX201" s="61">
        <f t="shared" si="155"/>
        <v>0</v>
      </c>
      <c r="BY201" s="61" t="s">
        <v>91</v>
      </c>
      <c r="CA201" s="61">
        <f t="shared" si="164"/>
        <v>0</v>
      </c>
      <c r="CB201" s="61">
        <f t="shared" si="164"/>
        <v>0</v>
      </c>
      <c r="CC201" s="61">
        <f t="shared" si="164"/>
        <v>0</v>
      </c>
      <c r="CD201" s="61">
        <f t="shared" si="164"/>
        <v>0</v>
      </c>
      <c r="CE201" s="61">
        <f t="shared" si="164"/>
        <v>0</v>
      </c>
      <c r="CF201" s="61">
        <f t="shared" si="164"/>
        <v>0</v>
      </c>
      <c r="CG201" s="61">
        <f t="shared" si="164"/>
        <v>0</v>
      </c>
      <c r="CH201" s="61">
        <f t="shared" si="164"/>
        <v>0</v>
      </c>
      <c r="CI201" s="61">
        <f t="shared" si="176"/>
        <v>0</v>
      </c>
      <c r="CJ201" s="61"/>
      <c r="CK201" s="61">
        <f t="shared" si="165"/>
        <v>0</v>
      </c>
      <c r="CL201" s="61">
        <f t="shared" si="165"/>
        <v>0</v>
      </c>
      <c r="CM201" s="61">
        <f t="shared" si="165"/>
        <v>0</v>
      </c>
      <c r="CN201" s="61">
        <f t="shared" si="165"/>
        <v>0</v>
      </c>
      <c r="CO201" s="61">
        <f t="shared" si="165"/>
        <v>0</v>
      </c>
      <c r="CP201" s="61">
        <f t="shared" si="165"/>
        <v>0</v>
      </c>
      <c r="CQ201" s="61">
        <f t="shared" si="165"/>
        <v>0</v>
      </c>
      <c r="CR201" s="61">
        <f t="shared" si="165"/>
        <v>0</v>
      </c>
      <c r="CS201" s="61">
        <f t="shared" si="177"/>
        <v>0</v>
      </c>
      <c r="CT201" s="61">
        <f t="shared" si="178"/>
        <v>0</v>
      </c>
      <c r="CV201" s="61">
        <f t="shared" si="179"/>
        <v>0</v>
      </c>
      <c r="CW201" s="61">
        <f t="shared" si="148"/>
        <v>0</v>
      </c>
      <c r="CX201" s="61"/>
      <c r="CY201" s="61">
        <f t="shared" si="149"/>
        <v>0</v>
      </c>
      <c r="CZ201" s="61">
        <f t="shared" si="163"/>
        <v>0</v>
      </c>
      <c r="DA201" s="61">
        <f t="shared" si="163"/>
        <v>0</v>
      </c>
      <c r="DB201" s="2" t="s">
        <v>134</v>
      </c>
      <c r="DC201" s="2" t="s">
        <v>102</v>
      </c>
      <c r="DD201" s="2" t="s">
        <v>142</v>
      </c>
      <c r="DE201" s="2" t="s">
        <v>181</v>
      </c>
      <c r="DF201" s="3" t="s">
        <v>118</v>
      </c>
      <c r="DG201" s="62">
        <v>42796</v>
      </c>
      <c r="EC201" s="60"/>
      <c r="ED201" s="60"/>
      <c r="EE201" s="60"/>
      <c r="EF201" s="60"/>
    </row>
    <row r="202" spans="2:140" ht="14.25" hidden="1" customHeight="1">
      <c r="B202" s="93" t="s">
        <v>546</v>
      </c>
      <c r="C202" s="22" t="s">
        <v>547</v>
      </c>
      <c r="D202" s="22" t="s">
        <v>548</v>
      </c>
      <c r="E202" s="2" t="str">
        <f>VLOOKUP($C202,[1]Detail!$C:$AK,6,0)</f>
        <v>BIW</v>
      </c>
      <c r="F202" s="2" t="str">
        <f>VLOOKUP($C202,[1]Detail!$C:$AK,7,0)</f>
        <v>TH</v>
      </c>
      <c r="G202" s="2" t="str">
        <f>VLOOKUP($C202,[1]Detail!$C:$AK,5,0)</f>
        <v>D</v>
      </c>
      <c r="J202" s="22" t="s">
        <v>463</v>
      </c>
      <c r="K202" s="23" t="s">
        <v>550</v>
      </c>
      <c r="L202" s="22" t="s">
        <v>483</v>
      </c>
      <c r="M202" s="51" t="str">
        <f t="shared" si="156"/>
        <v>JD8B-F21193-AA</v>
      </c>
      <c r="O202" s="22">
        <v>1</v>
      </c>
      <c r="P202" s="22">
        <v>1</v>
      </c>
      <c r="Q202" s="22">
        <v>1</v>
      </c>
      <c r="R202" s="22">
        <v>1</v>
      </c>
      <c r="S202" s="22">
        <v>1</v>
      </c>
      <c r="T202" s="22">
        <v>1</v>
      </c>
      <c r="U202" s="22">
        <v>1</v>
      </c>
      <c r="V202" s="22">
        <v>1</v>
      </c>
      <c r="W202" s="64">
        <f t="shared" si="157"/>
        <v>1</v>
      </c>
      <c r="Y202" s="95">
        <v>-2.25</v>
      </c>
      <c r="Z202" s="95">
        <v>-0.02</v>
      </c>
      <c r="AA202" s="95">
        <v>-0.02</v>
      </c>
      <c r="AB202" s="95">
        <v>0</v>
      </c>
      <c r="AC202" s="95">
        <v>0</v>
      </c>
      <c r="AD202" s="8">
        <f t="shared" si="161"/>
        <v>-2.29</v>
      </c>
      <c r="AE202" s="2" t="s">
        <v>91</v>
      </c>
      <c r="AG202" s="96">
        <v>-179280</v>
      </c>
      <c r="AH202" s="96">
        <v>-179280</v>
      </c>
      <c r="AI202" s="6"/>
      <c r="AJ202" s="71">
        <v>0</v>
      </c>
      <c r="AK202" s="71">
        <v>0</v>
      </c>
      <c r="AL202" s="72">
        <v>0</v>
      </c>
      <c r="AM202" s="22"/>
      <c r="AO202" s="22" t="s">
        <v>463</v>
      </c>
      <c r="AP202" s="23" t="s">
        <v>550</v>
      </c>
      <c r="AQ202" s="22" t="s">
        <v>483</v>
      </c>
      <c r="AR202" s="51" t="str">
        <f t="shared" si="145"/>
        <v>JD8B-F21193-AA</v>
      </c>
      <c r="AS202" s="3"/>
      <c r="AT202" s="22">
        <v>1</v>
      </c>
      <c r="AU202" s="22">
        <v>1</v>
      </c>
      <c r="AV202" s="22">
        <v>1</v>
      </c>
      <c r="AW202" s="22">
        <v>1</v>
      </c>
      <c r="AX202" s="22">
        <v>1</v>
      </c>
      <c r="AY202" s="22">
        <v>1</v>
      </c>
      <c r="AZ202" s="22">
        <v>1</v>
      </c>
      <c r="BA202" s="22">
        <v>1</v>
      </c>
      <c r="BB202" s="64">
        <f t="shared" si="146"/>
        <v>1</v>
      </c>
      <c r="BD202" s="95">
        <v>-2.25</v>
      </c>
      <c r="BE202" s="95">
        <v>-0.02</v>
      </c>
      <c r="BF202" s="95">
        <v>-0.02</v>
      </c>
      <c r="BG202" s="95">
        <v>0</v>
      </c>
      <c r="BH202" s="95">
        <v>0</v>
      </c>
      <c r="BI202" s="8">
        <f t="shared" si="170"/>
        <v>-2.29</v>
      </c>
      <c r="BJ202" s="2" t="s">
        <v>91</v>
      </c>
      <c r="BL202" s="96">
        <v>-179280</v>
      </c>
      <c r="BM202" s="96">
        <v>-179280</v>
      </c>
      <c r="BO202" s="71">
        <v>0</v>
      </c>
      <c r="BP202" s="71">
        <v>0</v>
      </c>
      <c r="BQ202" s="72">
        <v>0</v>
      </c>
      <c r="BS202" s="61">
        <f t="shared" si="158"/>
        <v>0</v>
      </c>
      <c r="BT202" s="61">
        <f t="shared" si="159"/>
        <v>0</v>
      </c>
      <c r="BU202" s="61">
        <f t="shared" si="160"/>
        <v>0</v>
      </c>
      <c r="BV202" s="61">
        <f t="shared" si="160"/>
        <v>0</v>
      </c>
      <c r="BW202" s="61">
        <f t="shared" si="160"/>
        <v>0</v>
      </c>
      <c r="BX202" s="61">
        <f t="shared" si="155"/>
        <v>0</v>
      </c>
      <c r="BY202" s="61" t="s">
        <v>91</v>
      </c>
      <c r="CA202" s="61">
        <f t="shared" si="164"/>
        <v>0</v>
      </c>
      <c r="CB202" s="61">
        <f t="shared" si="164"/>
        <v>0</v>
      </c>
      <c r="CC202" s="61">
        <f t="shared" si="164"/>
        <v>0</v>
      </c>
      <c r="CD202" s="61">
        <f t="shared" si="164"/>
        <v>0</v>
      </c>
      <c r="CE202" s="61">
        <f t="shared" si="164"/>
        <v>0</v>
      </c>
      <c r="CF202" s="61">
        <f t="shared" si="164"/>
        <v>0</v>
      </c>
      <c r="CG202" s="61">
        <f t="shared" si="164"/>
        <v>0</v>
      </c>
      <c r="CH202" s="61">
        <f t="shared" si="164"/>
        <v>0</v>
      </c>
      <c r="CI202" s="61">
        <f t="shared" si="176"/>
        <v>0</v>
      </c>
      <c r="CJ202" s="61"/>
      <c r="CK202" s="61">
        <f t="shared" si="165"/>
        <v>0</v>
      </c>
      <c r="CL202" s="61">
        <f t="shared" si="165"/>
        <v>0</v>
      </c>
      <c r="CM202" s="61">
        <f t="shared" si="165"/>
        <v>0</v>
      </c>
      <c r="CN202" s="61">
        <f t="shared" si="165"/>
        <v>0</v>
      </c>
      <c r="CO202" s="61">
        <f t="shared" si="165"/>
        <v>0</v>
      </c>
      <c r="CP202" s="61">
        <f t="shared" si="165"/>
        <v>0</v>
      </c>
      <c r="CQ202" s="61">
        <f t="shared" si="165"/>
        <v>0</v>
      </c>
      <c r="CR202" s="61">
        <f t="shared" si="165"/>
        <v>0</v>
      </c>
      <c r="CS202" s="61">
        <f t="shared" si="177"/>
        <v>0</v>
      </c>
      <c r="CT202" s="61">
        <f t="shared" si="178"/>
        <v>0</v>
      </c>
      <c r="CV202" s="61">
        <f t="shared" si="179"/>
        <v>0</v>
      </c>
      <c r="CW202" s="61">
        <f t="shared" si="148"/>
        <v>0</v>
      </c>
      <c r="CX202" s="61"/>
      <c r="CY202" s="61">
        <f t="shared" si="149"/>
        <v>0</v>
      </c>
      <c r="CZ202" s="61">
        <f t="shared" si="163"/>
        <v>0</v>
      </c>
      <c r="DA202" s="61">
        <f t="shared" si="163"/>
        <v>0</v>
      </c>
      <c r="DB202" s="2" t="s">
        <v>134</v>
      </c>
      <c r="DC202" s="2" t="s">
        <v>102</v>
      </c>
      <c r="DD202" s="2" t="s">
        <v>142</v>
      </c>
      <c r="DE202" s="2" t="s">
        <v>181</v>
      </c>
      <c r="DF202" s="3" t="s">
        <v>118</v>
      </c>
      <c r="DG202" s="62">
        <v>42796</v>
      </c>
      <c r="EC202" s="60"/>
      <c r="ED202" s="60"/>
      <c r="EE202" s="60"/>
      <c r="EF202" s="60"/>
    </row>
    <row r="203" spans="2:140" ht="14.25" hidden="1" customHeight="1">
      <c r="B203" s="93" t="s">
        <v>551</v>
      </c>
      <c r="C203" s="22" t="s">
        <v>552</v>
      </c>
      <c r="D203" s="22" t="s">
        <v>553</v>
      </c>
      <c r="E203" s="2" t="str">
        <f>VLOOKUP($C203,[1]Detail!$C:$AK,6,0)</f>
        <v>BIW</v>
      </c>
      <c r="F203" s="2" t="str">
        <f>VLOOKUP($C203,[1]Detail!$C:$AK,7,0)</f>
        <v>TH</v>
      </c>
      <c r="G203" s="2" t="str">
        <f>VLOOKUP($C203,[1]Detail!$C:$AK,5,0)</f>
        <v>D</v>
      </c>
      <c r="J203" s="22" t="s">
        <v>138</v>
      </c>
      <c r="K203" s="23" t="s">
        <v>554</v>
      </c>
      <c r="L203" s="22" t="s">
        <v>141</v>
      </c>
      <c r="M203" s="51" t="str">
        <f t="shared" si="156"/>
        <v>JD8B-F21192 -AB</v>
      </c>
      <c r="O203" s="22">
        <v>1</v>
      </c>
      <c r="P203" s="22">
        <v>1</v>
      </c>
      <c r="Q203" s="22">
        <v>1</v>
      </c>
      <c r="R203" s="22">
        <v>1</v>
      </c>
      <c r="S203" s="22">
        <v>1</v>
      </c>
      <c r="T203" s="22">
        <v>1</v>
      </c>
      <c r="U203" s="22">
        <v>1</v>
      </c>
      <c r="V203" s="22">
        <v>1</v>
      </c>
      <c r="W203" s="64">
        <f t="shared" si="157"/>
        <v>1</v>
      </c>
      <c r="Y203" s="95">
        <v>-2.25</v>
      </c>
      <c r="Z203" s="95">
        <v>-0.02</v>
      </c>
      <c r="AA203" s="95">
        <v>-0.02</v>
      </c>
      <c r="AB203" s="95">
        <v>0</v>
      </c>
      <c r="AC203" s="95">
        <v>0</v>
      </c>
      <c r="AD203" s="8">
        <f t="shared" si="161"/>
        <v>-2.29</v>
      </c>
      <c r="AE203" s="2" t="s">
        <v>91</v>
      </c>
      <c r="AG203" s="96">
        <v>-179280</v>
      </c>
      <c r="AH203" s="96">
        <v>-179280</v>
      </c>
      <c r="AI203" s="6"/>
      <c r="AJ203" s="71">
        <v>0</v>
      </c>
      <c r="AK203" s="71">
        <v>0</v>
      </c>
      <c r="AL203" s="72">
        <v>0</v>
      </c>
      <c r="AM203" s="22"/>
      <c r="AO203" s="22" t="s">
        <v>138</v>
      </c>
      <c r="AP203" s="23" t="s">
        <v>554</v>
      </c>
      <c r="AQ203" s="22" t="s">
        <v>180</v>
      </c>
      <c r="AR203" s="51" t="str">
        <f t="shared" si="145"/>
        <v>JD8B-F21192 -AA</v>
      </c>
      <c r="AS203" s="3"/>
      <c r="AT203" s="22">
        <v>1</v>
      </c>
      <c r="AU203" s="22">
        <v>1</v>
      </c>
      <c r="AV203" s="22">
        <v>1</v>
      </c>
      <c r="AW203" s="22">
        <v>1</v>
      </c>
      <c r="AX203" s="22">
        <v>1</v>
      </c>
      <c r="AY203" s="22">
        <v>1</v>
      </c>
      <c r="AZ203" s="22">
        <v>1</v>
      </c>
      <c r="BA203" s="22">
        <v>1</v>
      </c>
      <c r="BB203" s="64">
        <f t="shared" si="146"/>
        <v>1</v>
      </c>
      <c r="BD203" s="95">
        <v>-2.25</v>
      </c>
      <c r="BE203" s="95">
        <v>-0.02</v>
      </c>
      <c r="BF203" s="95">
        <v>-0.02</v>
      </c>
      <c r="BG203" s="95">
        <v>0</v>
      </c>
      <c r="BH203" s="95">
        <v>0</v>
      </c>
      <c r="BI203" s="8">
        <f t="shared" si="170"/>
        <v>-2.29</v>
      </c>
      <c r="BJ203" s="2" t="s">
        <v>91</v>
      </c>
      <c r="BL203" s="96">
        <v>-179280</v>
      </c>
      <c r="BM203" s="96">
        <v>-179280</v>
      </c>
      <c r="BO203" s="71">
        <v>0</v>
      </c>
      <c r="BP203" s="71">
        <v>0</v>
      </c>
      <c r="BQ203" s="72">
        <v>0</v>
      </c>
      <c r="BS203" s="61">
        <f t="shared" si="158"/>
        <v>0</v>
      </c>
      <c r="BT203" s="61">
        <f t="shared" si="159"/>
        <v>0</v>
      </c>
      <c r="BU203" s="61">
        <f t="shared" si="160"/>
        <v>0</v>
      </c>
      <c r="BV203" s="61">
        <f t="shared" si="160"/>
        <v>0</v>
      </c>
      <c r="BW203" s="61">
        <f t="shared" si="160"/>
        <v>0</v>
      </c>
      <c r="BX203" s="61">
        <f t="shared" si="155"/>
        <v>0</v>
      </c>
      <c r="BY203" s="61" t="s">
        <v>91</v>
      </c>
      <c r="CA203" s="61">
        <f t="shared" si="164"/>
        <v>0</v>
      </c>
      <c r="CB203" s="61">
        <f t="shared" si="164"/>
        <v>0</v>
      </c>
      <c r="CC203" s="61">
        <f t="shared" si="164"/>
        <v>0</v>
      </c>
      <c r="CD203" s="61">
        <f t="shared" si="164"/>
        <v>0</v>
      </c>
      <c r="CE203" s="61">
        <f t="shared" si="164"/>
        <v>0</v>
      </c>
      <c r="CF203" s="61">
        <f t="shared" si="164"/>
        <v>0</v>
      </c>
      <c r="CG203" s="61">
        <f t="shared" si="164"/>
        <v>0</v>
      </c>
      <c r="CH203" s="61">
        <f t="shared" si="164"/>
        <v>0</v>
      </c>
      <c r="CI203" s="61">
        <f t="shared" si="176"/>
        <v>0</v>
      </c>
      <c r="CJ203" s="61"/>
      <c r="CK203" s="61">
        <f t="shared" si="165"/>
        <v>0</v>
      </c>
      <c r="CL203" s="61">
        <f t="shared" si="165"/>
        <v>0</v>
      </c>
      <c r="CM203" s="61">
        <f t="shared" si="165"/>
        <v>0</v>
      </c>
      <c r="CN203" s="61">
        <f t="shared" si="165"/>
        <v>0</v>
      </c>
      <c r="CO203" s="61">
        <f t="shared" si="165"/>
        <v>0</v>
      </c>
      <c r="CP203" s="61">
        <f t="shared" si="165"/>
        <v>0</v>
      </c>
      <c r="CQ203" s="61">
        <f t="shared" si="165"/>
        <v>0</v>
      </c>
      <c r="CR203" s="61">
        <f t="shared" si="165"/>
        <v>0</v>
      </c>
      <c r="CS203" s="61">
        <f t="shared" si="177"/>
        <v>0</v>
      </c>
      <c r="CT203" s="61">
        <f t="shared" si="178"/>
        <v>0</v>
      </c>
      <c r="CV203" s="61">
        <f t="shared" si="179"/>
        <v>0</v>
      </c>
      <c r="CW203" s="61">
        <f t="shared" si="148"/>
        <v>0</v>
      </c>
      <c r="CX203" s="61"/>
      <c r="CY203" s="61">
        <f t="shared" si="149"/>
        <v>0</v>
      </c>
      <c r="CZ203" s="61">
        <f t="shared" si="163"/>
        <v>0</v>
      </c>
      <c r="DA203" s="61">
        <f t="shared" si="163"/>
        <v>0</v>
      </c>
      <c r="DB203" s="2" t="s">
        <v>102</v>
      </c>
      <c r="DC203" s="2" t="s">
        <v>134</v>
      </c>
      <c r="DD203" s="2" t="s">
        <v>142</v>
      </c>
      <c r="DE203" s="2" t="s">
        <v>181</v>
      </c>
      <c r="DF203" s="3" t="s">
        <v>86</v>
      </c>
      <c r="DG203" s="62">
        <v>42879</v>
      </c>
      <c r="EC203" s="60" t="str">
        <f>VLOOKUP($M203,[1]Detail!$M:$BO,1,0)</f>
        <v>JD8B-F21192 -AB</v>
      </c>
      <c r="ED203" s="60">
        <f>VLOOKUP($M203,[1]Detail!$M:$BO,22,0)</f>
        <v>-2.29</v>
      </c>
      <c r="EE203" s="60">
        <f>VLOOKUP($M203,[1]Detail!$M:$BO,42,0)</f>
        <v>-179280</v>
      </c>
      <c r="EF203" s="60">
        <f>VLOOKUP($M203,[1]Detail!$M:$BO,45,0)</f>
        <v>0</v>
      </c>
      <c r="EH203" s="60">
        <f>ED203-AD203</f>
        <v>0</v>
      </c>
      <c r="EI203" s="60">
        <f>EE203-AG203</f>
        <v>0</v>
      </c>
      <c r="EJ203" s="60">
        <f t="shared" ref="EJ203:EJ204" si="183">EF203-AJ203</f>
        <v>0</v>
      </c>
    </row>
    <row r="204" spans="2:140" ht="14.25" hidden="1" customHeight="1">
      <c r="B204" s="93" t="s">
        <v>551</v>
      </c>
      <c r="C204" s="22" t="s">
        <v>552</v>
      </c>
      <c r="D204" s="22" t="s">
        <v>553</v>
      </c>
      <c r="E204" s="2" t="str">
        <f>VLOOKUP($C204,[1]Detail!$C:$AK,6,0)</f>
        <v>BIW</v>
      </c>
      <c r="F204" s="2" t="str">
        <f>VLOOKUP($C204,[1]Detail!$C:$AK,7,0)</f>
        <v>TH</v>
      </c>
      <c r="G204" s="2" t="str">
        <f>VLOOKUP($C204,[1]Detail!$C:$AK,5,0)</f>
        <v>D</v>
      </c>
      <c r="J204" s="22" t="s">
        <v>138</v>
      </c>
      <c r="K204" s="23" t="s">
        <v>555</v>
      </c>
      <c r="L204" s="22" t="s">
        <v>141</v>
      </c>
      <c r="M204" s="51" t="str">
        <f t="shared" si="156"/>
        <v>JD8B-F21193-AB</v>
      </c>
      <c r="O204" s="22">
        <v>1</v>
      </c>
      <c r="P204" s="22">
        <v>1</v>
      </c>
      <c r="Q204" s="22">
        <v>1</v>
      </c>
      <c r="R204" s="22">
        <v>1</v>
      </c>
      <c r="S204" s="22">
        <v>1</v>
      </c>
      <c r="T204" s="22">
        <v>1</v>
      </c>
      <c r="U204" s="22">
        <v>1</v>
      </c>
      <c r="V204" s="22">
        <v>1</v>
      </c>
      <c r="W204" s="64">
        <f t="shared" si="157"/>
        <v>1</v>
      </c>
      <c r="Y204" s="95">
        <v>-2.25</v>
      </c>
      <c r="Z204" s="95">
        <v>-0.02</v>
      </c>
      <c r="AA204" s="95">
        <v>-0.02</v>
      </c>
      <c r="AB204" s="95">
        <v>0</v>
      </c>
      <c r="AC204" s="95">
        <v>0</v>
      </c>
      <c r="AD204" s="8">
        <f t="shared" si="161"/>
        <v>-2.29</v>
      </c>
      <c r="AE204" s="2" t="s">
        <v>91</v>
      </c>
      <c r="AG204" s="96">
        <v>-179280</v>
      </c>
      <c r="AH204" s="96">
        <v>-179280</v>
      </c>
      <c r="AI204" s="6"/>
      <c r="AJ204" s="71">
        <v>0</v>
      </c>
      <c r="AK204" s="71">
        <v>0</v>
      </c>
      <c r="AL204" s="72">
        <v>0</v>
      </c>
      <c r="AM204" s="22"/>
      <c r="AO204" s="22" t="s">
        <v>138</v>
      </c>
      <c r="AP204" s="23" t="s">
        <v>555</v>
      </c>
      <c r="AQ204" s="22" t="s">
        <v>180</v>
      </c>
      <c r="AR204" s="51" t="str">
        <f t="shared" si="145"/>
        <v>JD8B-F21193-AA</v>
      </c>
      <c r="AS204" s="3"/>
      <c r="AT204" s="22">
        <v>1</v>
      </c>
      <c r="AU204" s="22">
        <v>1</v>
      </c>
      <c r="AV204" s="22">
        <v>1</v>
      </c>
      <c r="AW204" s="22">
        <v>1</v>
      </c>
      <c r="AX204" s="22">
        <v>1</v>
      </c>
      <c r="AY204" s="22">
        <v>1</v>
      </c>
      <c r="AZ204" s="22">
        <v>1</v>
      </c>
      <c r="BA204" s="22">
        <v>1</v>
      </c>
      <c r="BB204" s="64">
        <f t="shared" si="146"/>
        <v>1</v>
      </c>
      <c r="BD204" s="95">
        <v>-2.25</v>
      </c>
      <c r="BE204" s="95">
        <v>-0.02</v>
      </c>
      <c r="BF204" s="95">
        <v>-0.02</v>
      </c>
      <c r="BG204" s="95">
        <v>0</v>
      </c>
      <c r="BH204" s="95">
        <v>0</v>
      </c>
      <c r="BI204" s="8">
        <f t="shared" si="170"/>
        <v>-2.29</v>
      </c>
      <c r="BJ204" s="2" t="s">
        <v>91</v>
      </c>
      <c r="BL204" s="96">
        <v>-179280</v>
      </c>
      <c r="BM204" s="96">
        <v>-179280</v>
      </c>
      <c r="BO204" s="71">
        <v>0</v>
      </c>
      <c r="BP204" s="71">
        <v>0</v>
      </c>
      <c r="BQ204" s="72">
        <v>0</v>
      </c>
      <c r="BS204" s="61">
        <f t="shared" si="158"/>
        <v>0</v>
      </c>
      <c r="BT204" s="61">
        <f t="shared" si="159"/>
        <v>0</v>
      </c>
      <c r="BU204" s="61">
        <f t="shared" si="160"/>
        <v>0</v>
      </c>
      <c r="BV204" s="61">
        <f t="shared" si="160"/>
        <v>0</v>
      </c>
      <c r="BW204" s="61">
        <f t="shared" si="160"/>
        <v>0</v>
      </c>
      <c r="BX204" s="61">
        <f t="shared" si="155"/>
        <v>0</v>
      </c>
      <c r="BY204" s="61" t="s">
        <v>91</v>
      </c>
      <c r="CA204" s="61">
        <f t="shared" si="164"/>
        <v>0</v>
      </c>
      <c r="CB204" s="61">
        <f t="shared" si="164"/>
        <v>0</v>
      </c>
      <c r="CC204" s="61">
        <f t="shared" si="164"/>
        <v>0</v>
      </c>
      <c r="CD204" s="61">
        <f t="shared" si="164"/>
        <v>0</v>
      </c>
      <c r="CE204" s="61">
        <f t="shared" si="164"/>
        <v>0</v>
      </c>
      <c r="CF204" s="61">
        <f t="shared" si="164"/>
        <v>0</v>
      </c>
      <c r="CG204" s="61">
        <f t="shared" si="164"/>
        <v>0</v>
      </c>
      <c r="CH204" s="61">
        <f t="shared" si="164"/>
        <v>0</v>
      </c>
      <c r="CI204" s="61">
        <f t="shared" si="176"/>
        <v>0</v>
      </c>
      <c r="CJ204" s="61"/>
      <c r="CK204" s="61">
        <f t="shared" si="165"/>
        <v>0</v>
      </c>
      <c r="CL204" s="61">
        <f t="shared" si="165"/>
        <v>0</v>
      </c>
      <c r="CM204" s="61">
        <f t="shared" si="165"/>
        <v>0</v>
      </c>
      <c r="CN204" s="61">
        <f t="shared" si="165"/>
        <v>0</v>
      </c>
      <c r="CO204" s="61">
        <f t="shared" si="165"/>
        <v>0</v>
      </c>
      <c r="CP204" s="61">
        <f t="shared" si="165"/>
        <v>0</v>
      </c>
      <c r="CQ204" s="61">
        <f t="shared" si="165"/>
        <v>0</v>
      </c>
      <c r="CR204" s="61">
        <f t="shared" si="165"/>
        <v>0</v>
      </c>
      <c r="CS204" s="61">
        <f t="shared" si="177"/>
        <v>0</v>
      </c>
      <c r="CT204" s="61">
        <f t="shared" si="178"/>
        <v>0</v>
      </c>
      <c r="CV204" s="61">
        <f t="shared" si="179"/>
        <v>0</v>
      </c>
      <c r="CW204" s="61">
        <f t="shared" si="148"/>
        <v>0</v>
      </c>
      <c r="CX204" s="61"/>
      <c r="CY204" s="61">
        <f t="shared" si="149"/>
        <v>0</v>
      </c>
      <c r="CZ204" s="61">
        <f t="shared" si="163"/>
        <v>0</v>
      </c>
      <c r="DA204" s="61">
        <f t="shared" si="163"/>
        <v>0</v>
      </c>
      <c r="DB204" s="2" t="s">
        <v>102</v>
      </c>
      <c r="DC204" s="2" t="s">
        <v>134</v>
      </c>
      <c r="DD204" s="2" t="s">
        <v>142</v>
      </c>
      <c r="DE204" s="2" t="s">
        <v>181</v>
      </c>
      <c r="DF204" s="3" t="s">
        <v>86</v>
      </c>
      <c r="DG204" s="62">
        <v>42879</v>
      </c>
      <c r="EC204" s="60" t="str">
        <f>VLOOKUP($M204,[1]Detail!$M:$BO,1,0)</f>
        <v>JD8B-F21193-AB</v>
      </c>
      <c r="ED204" s="60">
        <f>VLOOKUP($M204,[1]Detail!$M:$BO,22,0)</f>
        <v>-2.29</v>
      </c>
      <c r="EE204" s="60">
        <f>VLOOKUP($M204,[1]Detail!$M:$BO,42,0)</f>
        <v>-179280</v>
      </c>
      <c r="EF204" s="60">
        <f>VLOOKUP($M204,[1]Detail!$M:$BO,45,0)</f>
        <v>0</v>
      </c>
      <c r="EH204" s="60">
        <f>ED204-AD204</f>
        <v>0</v>
      </c>
      <c r="EI204" s="60">
        <f>EE204-AG204</f>
        <v>0</v>
      </c>
      <c r="EJ204" s="60">
        <f t="shared" si="183"/>
        <v>0</v>
      </c>
    </row>
    <row r="205" spans="2:140" ht="12.75" hidden="1" customHeight="1">
      <c r="B205" s="93" t="s">
        <v>556</v>
      </c>
      <c r="C205" s="22" t="s">
        <v>557</v>
      </c>
      <c r="D205" s="22" t="s">
        <v>558</v>
      </c>
      <c r="E205" s="2" t="str">
        <f>VLOOKUP($C205,[1]Detail!$C:$AK,6,0)</f>
        <v>PMT1</v>
      </c>
      <c r="F205" s="2" t="str">
        <f>VLOOKUP($C205,[1]Detail!$C:$AK,7,0)</f>
        <v>TH</v>
      </c>
      <c r="G205" s="2" t="str">
        <f>VLOOKUP($C205,[1]Detail!$C:$AK,5,0)</f>
        <v>B</v>
      </c>
      <c r="J205" s="22" t="s">
        <v>559</v>
      </c>
      <c r="K205" s="23" t="s">
        <v>560</v>
      </c>
      <c r="L205" s="22" t="s">
        <v>198</v>
      </c>
      <c r="M205" s="51" t="str">
        <f t="shared" si="156"/>
        <v>PJD8B-F22400-BAW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</v>
      </c>
      <c r="V205" s="22">
        <v>1</v>
      </c>
      <c r="W205" s="64">
        <f t="shared" si="157"/>
        <v>0.1</v>
      </c>
      <c r="Y205" s="2">
        <v>-89.7</v>
      </c>
      <c r="Z205" s="2">
        <v>-1.21</v>
      </c>
      <c r="AA205" s="2">
        <v>-0.8</v>
      </c>
      <c r="AB205" s="2">
        <v>0</v>
      </c>
      <c r="AC205" s="2">
        <v>-7.04</v>
      </c>
      <c r="AD205" s="8">
        <f t="shared" si="161"/>
        <v>-98.75</v>
      </c>
      <c r="AE205" s="2" t="s">
        <v>91</v>
      </c>
      <c r="AG205" s="2">
        <v>-1153750</v>
      </c>
      <c r="AH205" s="70">
        <f>AG205</f>
        <v>-1153750</v>
      </c>
      <c r="AI205" s="6"/>
      <c r="AJ205" s="71">
        <v>-783079.52500000002</v>
      </c>
      <c r="AK205" s="71">
        <f>55586*2</f>
        <v>111172</v>
      </c>
      <c r="AL205" s="72">
        <v>0</v>
      </c>
      <c r="AM205" s="22"/>
      <c r="AO205" s="22" t="s">
        <v>559</v>
      </c>
      <c r="AP205" s="23" t="s">
        <v>560</v>
      </c>
      <c r="AQ205" s="22" t="s">
        <v>198</v>
      </c>
      <c r="AR205" s="51" t="str">
        <f t="shared" si="145"/>
        <v>PJD8B-F22400-BAW</v>
      </c>
      <c r="AS205" s="3"/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0</v>
      </c>
      <c r="AZ205" s="22">
        <v>1</v>
      </c>
      <c r="BA205" s="22">
        <v>1</v>
      </c>
      <c r="BB205" s="64">
        <f t="shared" si="146"/>
        <v>0.1</v>
      </c>
      <c r="BD205" s="2">
        <v>-89.7</v>
      </c>
      <c r="BE205" s="2">
        <v>-1.21</v>
      </c>
      <c r="BF205" s="2">
        <v>-0.8</v>
      </c>
      <c r="BG205" s="2">
        <v>0</v>
      </c>
      <c r="BH205" s="2">
        <v>-7.04</v>
      </c>
      <c r="BI205" s="8">
        <f t="shared" si="170"/>
        <v>-98.75</v>
      </c>
      <c r="BJ205" s="2" t="s">
        <v>91</v>
      </c>
      <c r="BL205" s="2">
        <v>-1153750</v>
      </c>
      <c r="BM205" s="70">
        <f>BL205</f>
        <v>-1153750</v>
      </c>
      <c r="BO205" s="71">
        <v>-783079.52500000002</v>
      </c>
      <c r="BP205" s="71">
        <v>57490</v>
      </c>
      <c r="BQ205" s="72">
        <v>0</v>
      </c>
      <c r="BS205" s="61">
        <f t="shared" si="158"/>
        <v>0</v>
      </c>
      <c r="BT205" s="61">
        <f t="shared" si="159"/>
        <v>0</v>
      </c>
      <c r="BU205" s="61">
        <f t="shared" si="160"/>
        <v>0</v>
      </c>
      <c r="BV205" s="61">
        <f t="shared" si="160"/>
        <v>0</v>
      </c>
      <c r="BW205" s="61">
        <f t="shared" si="160"/>
        <v>0</v>
      </c>
      <c r="BX205" s="61">
        <f t="shared" si="155"/>
        <v>0</v>
      </c>
      <c r="BY205" s="61" t="s">
        <v>91</v>
      </c>
      <c r="CA205" s="61">
        <f t="shared" si="164"/>
        <v>0</v>
      </c>
      <c r="CB205" s="61">
        <f t="shared" si="164"/>
        <v>0</v>
      </c>
      <c r="CC205" s="61">
        <f t="shared" si="164"/>
        <v>0</v>
      </c>
      <c r="CD205" s="61">
        <f t="shared" si="164"/>
        <v>0</v>
      </c>
      <c r="CE205" s="61">
        <f t="shared" si="164"/>
        <v>0</v>
      </c>
      <c r="CF205" s="61">
        <f t="shared" si="164"/>
        <v>0</v>
      </c>
      <c r="CG205" s="61">
        <f t="shared" si="164"/>
        <v>0</v>
      </c>
      <c r="CH205" s="61">
        <f t="shared" si="164"/>
        <v>0</v>
      </c>
      <c r="CI205" s="61">
        <f t="shared" si="176"/>
        <v>0</v>
      </c>
      <c r="CJ205" s="61"/>
      <c r="CK205" s="61">
        <f t="shared" si="165"/>
        <v>0</v>
      </c>
      <c r="CL205" s="61">
        <f t="shared" si="165"/>
        <v>0</v>
      </c>
      <c r="CM205" s="61">
        <f t="shared" si="165"/>
        <v>0</v>
      </c>
      <c r="CN205" s="61">
        <f t="shared" si="165"/>
        <v>0</v>
      </c>
      <c r="CO205" s="61">
        <f t="shared" si="165"/>
        <v>0</v>
      </c>
      <c r="CP205" s="61">
        <f t="shared" si="165"/>
        <v>0</v>
      </c>
      <c r="CQ205" s="61">
        <f t="shared" si="165"/>
        <v>0</v>
      </c>
      <c r="CR205" s="61">
        <f t="shared" si="165"/>
        <v>0</v>
      </c>
      <c r="CS205" s="61">
        <f t="shared" si="177"/>
        <v>0</v>
      </c>
      <c r="CT205" s="61">
        <f t="shared" si="178"/>
        <v>0</v>
      </c>
      <c r="CV205" s="61">
        <f t="shared" si="179"/>
        <v>0</v>
      </c>
      <c r="CW205" s="61">
        <f t="shared" si="148"/>
        <v>0</v>
      </c>
      <c r="CX205" s="61"/>
      <c r="CY205" s="61">
        <f t="shared" si="149"/>
        <v>0</v>
      </c>
      <c r="CZ205" s="61">
        <f t="shared" si="163"/>
        <v>53682</v>
      </c>
      <c r="DA205" s="61">
        <f t="shared" si="163"/>
        <v>0</v>
      </c>
      <c r="DB205" s="2" t="s">
        <v>85</v>
      </c>
      <c r="DC205" s="2" t="s">
        <v>102</v>
      </c>
      <c r="DD205" s="2" t="s">
        <v>142</v>
      </c>
      <c r="DE205" s="2" t="s">
        <v>181</v>
      </c>
      <c r="DF205" s="3" t="s">
        <v>118</v>
      </c>
      <c r="DG205" s="62">
        <v>42800</v>
      </c>
      <c r="EC205" s="60"/>
      <c r="ED205" s="60"/>
      <c r="EE205" s="60"/>
      <c r="EF205" s="60"/>
    </row>
    <row r="206" spans="2:140" ht="12.75" hidden="1" customHeight="1">
      <c r="B206" s="93" t="s">
        <v>556</v>
      </c>
      <c r="C206" s="22" t="s">
        <v>557</v>
      </c>
      <c r="D206" s="22" t="s">
        <v>558</v>
      </c>
      <c r="E206" s="2" t="str">
        <f>VLOOKUP($C206,[1]Detail!$C:$AK,6,0)</f>
        <v>PMT1</v>
      </c>
      <c r="F206" s="2" t="str">
        <f>VLOOKUP($C206,[1]Detail!$C:$AK,7,0)</f>
        <v>TH</v>
      </c>
      <c r="G206" s="2" t="str">
        <f>VLOOKUP($C206,[1]Detail!$C:$AK,5,0)</f>
        <v>B</v>
      </c>
      <c r="J206" s="22" t="s">
        <v>559</v>
      </c>
      <c r="K206" s="23" t="s">
        <v>561</v>
      </c>
      <c r="L206" s="22" t="s">
        <v>198</v>
      </c>
      <c r="M206" s="51" t="str">
        <f t="shared" si="156"/>
        <v>PJD8B-F22401-BAW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1</v>
      </c>
      <c r="V206" s="22">
        <v>1</v>
      </c>
      <c r="W206" s="64">
        <f t="shared" si="157"/>
        <v>0.1</v>
      </c>
      <c r="Y206" s="2">
        <v>-88.34</v>
      </c>
      <c r="Z206" s="2">
        <v>-1.23</v>
      </c>
      <c r="AA206" s="2">
        <v>-0.82</v>
      </c>
      <c r="AB206" s="2">
        <v>0</v>
      </c>
      <c r="AC206" s="2">
        <v>-7.04</v>
      </c>
      <c r="AD206" s="8">
        <f t="shared" si="161"/>
        <v>-97.43</v>
      </c>
      <c r="AE206" s="2" t="s">
        <v>91</v>
      </c>
      <c r="AG206" s="2">
        <v>-983250</v>
      </c>
      <c r="AH206" s="2">
        <v>-983250</v>
      </c>
      <c r="AI206" s="6"/>
      <c r="AJ206" s="71" t="s">
        <v>114</v>
      </c>
      <c r="AK206" s="71">
        <v>0</v>
      </c>
      <c r="AL206" s="72">
        <v>0</v>
      </c>
      <c r="AM206" s="22"/>
      <c r="AO206" s="22" t="s">
        <v>559</v>
      </c>
      <c r="AP206" s="23" t="s">
        <v>561</v>
      </c>
      <c r="AQ206" s="22" t="s">
        <v>198</v>
      </c>
      <c r="AR206" s="51" t="str">
        <f t="shared" si="145"/>
        <v>PJD8B-F22401-BAW</v>
      </c>
      <c r="AS206" s="3"/>
      <c r="AT206" s="22">
        <v>0</v>
      </c>
      <c r="AU206" s="22">
        <v>0</v>
      </c>
      <c r="AV206" s="22">
        <v>0</v>
      </c>
      <c r="AW206" s="22">
        <v>0</v>
      </c>
      <c r="AX206" s="22">
        <v>0</v>
      </c>
      <c r="AY206" s="22">
        <v>0</v>
      </c>
      <c r="AZ206" s="22">
        <v>1</v>
      </c>
      <c r="BA206" s="22">
        <v>1</v>
      </c>
      <c r="BB206" s="64">
        <f t="shared" si="146"/>
        <v>0.1</v>
      </c>
      <c r="BD206" s="2">
        <v>-88.34</v>
      </c>
      <c r="BE206" s="2">
        <v>-1.23</v>
      </c>
      <c r="BF206" s="2">
        <v>-0.82</v>
      </c>
      <c r="BG206" s="2">
        <v>0</v>
      </c>
      <c r="BH206" s="2">
        <v>-7.04</v>
      </c>
      <c r="BI206" s="8">
        <f t="shared" si="170"/>
        <v>-97.43</v>
      </c>
      <c r="BJ206" s="2" t="s">
        <v>91</v>
      </c>
      <c r="BL206" s="2">
        <v>-983250</v>
      </c>
      <c r="BM206" s="2">
        <v>-983250</v>
      </c>
      <c r="BO206" s="71" t="s">
        <v>114</v>
      </c>
      <c r="BP206" s="71">
        <v>0</v>
      </c>
      <c r="BQ206" s="72">
        <v>0</v>
      </c>
      <c r="BS206" s="61">
        <f t="shared" si="158"/>
        <v>0</v>
      </c>
      <c r="BT206" s="61">
        <f t="shared" si="159"/>
        <v>0</v>
      </c>
      <c r="BU206" s="61">
        <f t="shared" si="160"/>
        <v>0</v>
      </c>
      <c r="BV206" s="61">
        <f t="shared" si="160"/>
        <v>0</v>
      </c>
      <c r="BW206" s="61">
        <f t="shared" si="160"/>
        <v>0</v>
      </c>
      <c r="BX206" s="61">
        <f t="shared" si="155"/>
        <v>0</v>
      </c>
      <c r="BY206" s="61" t="s">
        <v>91</v>
      </c>
      <c r="CA206" s="61">
        <f t="shared" si="164"/>
        <v>0</v>
      </c>
      <c r="CB206" s="61">
        <f t="shared" si="164"/>
        <v>0</v>
      </c>
      <c r="CC206" s="61">
        <f t="shared" si="164"/>
        <v>0</v>
      </c>
      <c r="CD206" s="61">
        <f t="shared" si="164"/>
        <v>0</v>
      </c>
      <c r="CE206" s="61">
        <f t="shared" si="164"/>
        <v>0</v>
      </c>
      <c r="CF206" s="61">
        <f t="shared" si="164"/>
        <v>0</v>
      </c>
      <c r="CG206" s="61">
        <f t="shared" si="164"/>
        <v>0</v>
      </c>
      <c r="CH206" s="61">
        <f t="shared" si="164"/>
        <v>0</v>
      </c>
      <c r="CI206" s="61">
        <f t="shared" si="176"/>
        <v>0</v>
      </c>
      <c r="CJ206" s="61"/>
      <c r="CK206" s="61">
        <f t="shared" si="165"/>
        <v>0</v>
      </c>
      <c r="CL206" s="61">
        <f t="shared" si="165"/>
        <v>0</v>
      </c>
      <c r="CM206" s="61">
        <f t="shared" si="165"/>
        <v>0</v>
      </c>
      <c r="CN206" s="61">
        <f t="shared" si="165"/>
        <v>0</v>
      </c>
      <c r="CO206" s="61">
        <f t="shared" si="165"/>
        <v>0</v>
      </c>
      <c r="CP206" s="61">
        <f t="shared" si="165"/>
        <v>0</v>
      </c>
      <c r="CQ206" s="61">
        <f t="shared" si="165"/>
        <v>0</v>
      </c>
      <c r="CR206" s="61">
        <f t="shared" si="165"/>
        <v>0</v>
      </c>
      <c r="CS206" s="61">
        <f t="shared" si="177"/>
        <v>0</v>
      </c>
      <c r="CT206" s="61">
        <f t="shared" si="178"/>
        <v>0</v>
      </c>
      <c r="CV206" s="61">
        <f t="shared" si="179"/>
        <v>0</v>
      </c>
      <c r="CW206" s="61">
        <f t="shared" si="148"/>
        <v>0</v>
      </c>
      <c r="CX206" s="61"/>
      <c r="CY206" s="61">
        <f t="shared" si="149"/>
        <v>0</v>
      </c>
      <c r="CZ206" s="61">
        <f t="shared" si="163"/>
        <v>0</v>
      </c>
      <c r="DA206" s="61">
        <f t="shared" si="163"/>
        <v>0</v>
      </c>
      <c r="DB206" s="2" t="s">
        <v>85</v>
      </c>
      <c r="DC206" s="2" t="s">
        <v>102</v>
      </c>
      <c r="DD206" s="2" t="s">
        <v>142</v>
      </c>
      <c r="DE206" s="2" t="s">
        <v>181</v>
      </c>
      <c r="DF206" s="3" t="s">
        <v>118</v>
      </c>
      <c r="DG206" s="62">
        <v>42800</v>
      </c>
      <c r="EC206" s="60"/>
      <c r="ED206" s="60"/>
      <c r="EE206" s="60"/>
      <c r="EF206" s="60"/>
    </row>
    <row r="207" spans="2:140" ht="12.75" hidden="1" customHeight="1">
      <c r="B207" s="93" t="s">
        <v>556</v>
      </c>
      <c r="C207" s="22" t="s">
        <v>557</v>
      </c>
      <c r="D207" s="22" t="s">
        <v>558</v>
      </c>
      <c r="E207" s="2" t="str">
        <f>VLOOKUP($C207,[1]Detail!$C:$AK,6,0)</f>
        <v>PMT1</v>
      </c>
      <c r="F207" s="2" t="str">
        <f>VLOOKUP($C207,[1]Detail!$C:$AK,7,0)</f>
        <v>TH</v>
      </c>
      <c r="G207" s="2" t="str">
        <f>VLOOKUP($C207,[1]Detail!$C:$AK,5,0)</f>
        <v>B</v>
      </c>
      <c r="J207" s="22" t="s">
        <v>559</v>
      </c>
      <c r="K207" s="23" t="s">
        <v>562</v>
      </c>
      <c r="L207" s="22" t="s">
        <v>198</v>
      </c>
      <c r="M207" s="51" t="str">
        <f t="shared" si="156"/>
        <v>PJD8B-F26600-BAW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</v>
      </c>
      <c r="V207" s="22">
        <v>1</v>
      </c>
      <c r="W207" s="64">
        <f t="shared" si="157"/>
        <v>0.1</v>
      </c>
      <c r="Y207" s="2">
        <v>-35.33</v>
      </c>
      <c r="Z207" s="2">
        <v>-1.21</v>
      </c>
      <c r="AA207" s="2">
        <v>-0.8</v>
      </c>
      <c r="AB207" s="2">
        <v>0</v>
      </c>
      <c r="AC207" s="2">
        <v>0</v>
      </c>
      <c r="AD207" s="8">
        <f t="shared" si="161"/>
        <v>-37.339999999999996</v>
      </c>
      <c r="AE207" s="2" t="s">
        <v>91</v>
      </c>
      <c r="AG207" s="2">
        <v>-420250</v>
      </c>
      <c r="AH207" s="2">
        <v>-420250</v>
      </c>
      <c r="AI207" s="6"/>
      <c r="AJ207" s="71">
        <v>0</v>
      </c>
      <c r="AK207" s="71">
        <v>0</v>
      </c>
      <c r="AL207" s="72">
        <v>0</v>
      </c>
      <c r="AM207" s="22"/>
      <c r="AO207" s="22" t="s">
        <v>559</v>
      </c>
      <c r="AP207" s="23" t="s">
        <v>562</v>
      </c>
      <c r="AQ207" s="22" t="s">
        <v>198</v>
      </c>
      <c r="AR207" s="51" t="str">
        <f t="shared" si="145"/>
        <v>PJD8B-F26600-BAW</v>
      </c>
      <c r="AS207" s="3"/>
      <c r="AT207" s="22">
        <v>0</v>
      </c>
      <c r="AU207" s="22">
        <v>0</v>
      </c>
      <c r="AV207" s="22">
        <v>0</v>
      </c>
      <c r="AW207" s="22">
        <v>0</v>
      </c>
      <c r="AX207" s="22">
        <v>0</v>
      </c>
      <c r="AY207" s="22">
        <v>0</v>
      </c>
      <c r="AZ207" s="22">
        <v>1</v>
      </c>
      <c r="BA207" s="22">
        <v>1</v>
      </c>
      <c r="BB207" s="64">
        <f t="shared" si="146"/>
        <v>0.1</v>
      </c>
      <c r="BD207" s="2">
        <v>-35.33</v>
      </c>
      <c r="BE207" s="2">
        <v>-1.21</v>
      </c>
      <c r="BF207" s="2">
        <v>-0.8</v>
      </c>
      <c r="BG207" s="2">
        <v>0</v>
      </c>
      <c r="BH207" s="2">
        <v>0</v>
      </c>
      <c r="BI207" s="8">
        <f t="shared" si="170"/>
        <v>-37.339999999999996</v>
      </c>
      <c r="BJ207" s="2" t="s">
        <v>91</v>
      </c>
      <c r="BL207" s="2">
        <v>-420250</v>
      </c>
      <c r="BM207" s="2">
        <v>-420250</v>
      </c>
      <c r="BO207" s="71">
        <v>0</v>
      </c>
      <c r="BP207" s="71">
        <v>0</v>
      </c>
      <c r="BQ207" s="72">
        <v>0</v>
      </c>
      <c r="BS207" s="61">
        <f t="shared" si="158"/>
        <v>0</v>
      </c>
      <c r="BT207" s="61">
        <f t="shared" si="159"/>
        <v>0</v>
      </c>
      <c r="BU207" s="61">
        <f t="shared" si="160"/>
        <v>0</v>
      </c>
      <c r="BV207" s="61">
        <f t="shared" si="160"/>
        <v>0</v>
      </c>
      <c r="BW207" s="61">
        <f t="shared" si="160"/>
        <v>0</v>
      </c>
      <c r="BX207" s="61">
        <f t="shared" si="155"/>
        <v>0</v>
      </c>
      <c r="BY207" s="61" t="s">
        <v>91</v>
      </c>
      <c r="CA207" s="61">
        <f t="shared" si="164"/>
        <v>0</v>
      </c>
      <c r="CB207" s="61">
        <f t="shared" si="164"/>
        <v>0</v>
      </c>
      <c r="CC207" s="61">
        <f t="shared" si="164"/>
        <v>0</v>
      </c>
      <c r="CD207" s="61">
        <f t="shared" si="164"/>
        <v>0</v>
      </c>
      <c r="CE207" s="61">
        <f t="shared" si="164"/>
        <v>0</v>
      </c>
      <c r="CF207" s="61">
        <f t="shared" si="164"/>
        <v>0</v>
      </c>
      <c r="CG207" s="61">
        <f t="shared" si="164"/>
        <v>0</v>
      </c>
      <c r="CH207" s="61">
        <f t="shared" si="164"/>
        <v>0</v>
      </c>
      <c r="CI207" s="61">
        <f t="shared" si="176"/>
        <v>0</v>
      </c>
      <c r="CJ207" s="61"/>
      <c r="CK207" s="61">
        <f t="shared" si="165"/>
        <v>0</v>
      </c>
      <c r="CL207" s="61">
        <f t="shared" si="165"/>
        <v>0</v>
      </c>
      <c r="CM207" s="61">
        <f t="shared" si="165"/>
        <v>0</v>
      </c>
      <c r="CN207" s="61">
        <f t="shared" si="165"/>
        <v>0</v>
      </c>
      <c r="CO207" s="61">
        <f t="shared" si="165"/>
        <v>0</v>
      </c>
      <c r="CP207" s="61">
        <f t="shared" si="165"/>
        <v>0</v>
      </c>
      <c r="CQ207" s="61">
        <f t="shared" si="165"/>
        <v>0</v>
      </c>
      <c r="CR207" s="61">
        <f t="shared" si="165"/>
        <v>0</v>
      </c>
      <c r="CS207" s="61">
        <f t="shared" si="177"/>
        <v>0</v>
      </c>
      <c r="CT207" s="61">
        <f t="shared" si="178"/>
        <v>0</v>
      </c>
      <c r="CV207" s="61">
        <f t="shared" si="179"/>
        <v>0</v>
      </c>
      <c r="CW207" s="61">
        <f t="shared" si="148"/>
        <v>0</v>
      </c>
      <c r="CX207" s="61"/>
      <c r="CY207" s="61">
        <f t="shared" si="149"/>
        <v>0</v>
      </c>
      <c r="CZ207" s="61">
        <f t="shared" si="163"/>
        <v>0</v>
      </c>
      <c r="DA207" s="61">
        <f t="shared" si="163"/>
        <v>0</v>
      </c>
      <c r="DB207" s="2" t="s">
        <v>85</v>
      </c>
      <c r="DC207" s="2" t="s">
        <v>102</v>
      </c>
      <c r="DD207" s="2" t="s">
        <v>142</v>
      </c>
      <c r="DE207" s="2" t="s">
        <v>181</v>
      </c>
      <c r="DF207" s="3" t="s">
        <v>118</v>
      </c>
      <c r="DG207" s="62">
        <v>42800</v>
      </c>
      <c r="EC207" s="60"/>
      <c r="ED207" s="60"/>
      <c r="EE207" s="60"/>
      <c r="EF207" s="60"/>
    </row>
    <row r="208" spans="2:140" ht="12.75" hidden="1" customHeight="1">
      <c r="B208" s="93" t="s">
        <v>556</v>
      </c>
      <c r="C208" s="22" t="s">
        <v>557</v>
      </c>
      <c r="D208" s="22" t="s">
        <v>558</v>
      </c>
      <c r="E208" s="2" t="str">
        <f>VLOOKUP($C208,[1]Detail!$C:$AK,6,0)</f>
        <v>PMT1</v>
      </c>
      <c r="F208" s="2" t="str">
        <f>VLOOKUP($C208,[1]Detail!$C:$AK,7,0)</f>
        <v>TH</v>
      </c>
      <c r="G208" s="2" t="str">
        <f>VLOOKUP($C208,[1]Detail!$C:$AK,5,0)</f>
        <v>B</v>
      </c>
      <c r="J208" s="22" t="s">
        <v>559</v>
      </c>
      <c r="K208" s="23" t="s">
        <v>563</v>
      </c>
      <c r="L208" s="22" t="s">
        <v>198</v>
      </c>
      <c r="M208" s="51" t="str">
        <f t="shared" si="156"/>
        <v>PJD8B-F26601-BAW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</v>
      </c>
      <c r="V208" s="22">
        <v>1</v>
      </c>
      <c r="W208" s="64">
        <f t="shared" si="157"/>
        <v>0.1</v>
      </c>
      <c r="Y208" s="2">
        <v>-35.33</v>
      </c>
      <c r="Z208" s="2">
        <v>-1.21</v>
      </c>
      <c r="AA208" s="2">
        <v>-0.8</v>
      </c>
      <c r="AB208" s="2">
        <v>0</v>
      </c>
      <c r="AC208" s="2">
        <v>0</v>
      </c>
      <c r="AD208" s="8">
        <f t="shared" si="161"/>
        <v>-37.339999999999996</v>
      </c>
      <c r="AE208" s="2" t="s">
        <v>91</v>
      </c>
      <c r="AG208" s="2">
        <v>-590750</v>
      </c>
      <c r="AH208" s="2">
        <v>-590750</v>
      </c>
      <c r="AI208" s="6"/>
      <c r="AJ208" s="71">
        <v>0</v>
      </c>
      <c r="AK208" s="71">
        <v>0</v>
      </c>
      <c r="AL208" s="72">
        <v>0</v>
      </c>
      <c r="AM208" s="22"/>
      <c r="AO208" s="22" t="s">
        <v>559</v>
      </c>
      <c r="AP208" s="23" t="s">
        <v>563</v>
      </c>
      <c r="AQ208" s="22" t="s">
        <v>198</v>
      </c>
      <c r="AR208" s="51" t="str">
        <f t="shared" si="145"/>
        <v>PJD8B-F26601-BAW</v>
      </c>
      <c r="AS208" s="3"/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2">
        <v>1</v>
      </c>
      <c r="BA208" s="22">
        <v>1</v>
      </c>
      <c r="BB208" s="64">
        <f t="shared" si="146"/>
        <v>0.1</v>
      </c>
      <c r="BD208" s="2">
        <v>-35.33</v>
      </c>
      <c r="BE208" s="2">
        <v>-1.21</v>
      </c>
      <c r="BF208" s="2">
        <v>-0.8</v>
      </c>
      <c r="BG208" s="2">
        <v>0</v>
      </c>
      <c r="BH208" s="2">
        <v>0</v>
      </c>
      <c r="BI208" s="8">
        <f t="shared" si="170"/>
        <v>-37.339999999999996</v>
      </c>
      <c r="BJ208" s="2" t="s">
        <v>91</v>
      </c>
      <c r="BL208" s="2">
        <v>-590750</v>
      </c>
      <c r="BM208" s="2">
        <v>-590750</v>
      </c>
      <c r="BO208" s="71">
        <v>0</v>
      </c>
      <c r="BP208" s="71">
        <v>0</v>
      </c>
      <c r="BQ208" s="72">
        <v>0</v>
      </c>
      <c r="BS208" s="61">
        <f t="shared" si="158"/>
        <v>0</v>
      </c>
      <c r="BT208" s="61">
        <f t="shared" si="159"/>
        <v>0</v>
      </c>
      <c r="BU208" s="61">
        <f t="shared" si="160"/>
        <v>0</v>
      </c>
      <c r="BV208" s="61">
        <f t="shared" si="160"/>
        <v>0</v>
      </c>
      <c r="BW208" s="61">
        <f t="shared" si="160"/>
        <v>0</v>
      </c>
      <c r="BX208" s="61">
        <f t="shared" si="155"/>
        <v>0</v>
      </c>
      <c r="BY208" s="61" t="s">
        <v>91</v>
      </c>
      <c r="CA208" s="61">
        <f t="shared" si="164"/>
        <v>0</v>
      </c>
      <c r="CB208" s="61">
        <f t="shared" si="164"/>
        <v>0</v>
      </c>
      <c r="CC208" s="61">
        <f t="shared" si="164"/>
        <v>0</v>
      </c>
      <c r="CD208" s="61">
        <f t="shared" si="164"/>
        <v>0</v>
      </c>
      <c r="CE208" s="61">
        <f t="shared" si="164"/>
        <v>0</v>
      </c>
      <c r="CF208" s="61">
        <f t="shared" si="164"/>
        <v>0</v>
      </c>
      <c r="CG208" s="61">
        <f t="shared" si="164"/>
        <v>0</v>
      </c>
      <c r="CH208" s="61">
        <f t="shared" si="164"/>
        <v>0</v>
      </c>
      <c r="CI208" s="61">
        <f t="shared" si="176"/>
        <v>0</v>
      </c>
      <c r="CJ208" s="61"/>
      <c r="CK208" s="61">
        <f t="shared" si="165"/>
        <v>0</v>
      </c>
      <c r="CL208" s="61">
        <f t="shared" si="165"/>
        <v>0</v>
      </c>
      <c r="CM208" s="61">
        <f t="shared" si="165"/>
        <v>0</v>
      </c>
      <c r="CN208" s="61">
        <f t="shared" si="165"/>
        <v>0</v>
      </c>
      <c r="CO208" s="61">
        <f t="shared" si="165"/>
        <v>0</v>
      </c>
      <c r="CP208" s="61">
        <f t="shared" si="165"/>
        <v>0</v>
      </c>
      <c r="CQ208" s="61">
        <f t="shared" si="165"/>
        <v>0</v>
      </c>
      <c r="CR208" s="61">
        <f t="shared" si="165"/>
        <v>0</v>
      </c>
      <c r="CS208" s="61">
        <f t="shared" si="177"/>
        <v>0</v>
      </c>
      <c r="CT208" s="61">
        <f t="shared" si="178"/>
        <v>0</v>
      </c>
      <c r="CV208" s="61">
        <f t="shared" si="179"/>
        <v>0</v>
      </c>
      <c r="CW208" s="61">
        <f t="shared" si="148"/>
        <v>0</v>
      </c>
      <c r="CX208" s="61"/>
      <c r="CY208" s="61">
        <f t="shared" si="149"/>
        <v>0</v>
      </c>
      <c r="CZ208" s="61">
        <f t="shared" si="163"/>
        <v>0</v>
      </c>
      <c r="DA208" s="61">
        <f t="shared" si="163"/>
        <v>0</v>
      </c>
      <c r="DB208" s="2" t="s">
        <v>85</v>
      </c>
      <c r="DC208" s="2" t="s">
        <v>102</v>
      </c>
      <c r="DD208" s="2" t="s">
        <v>142</v>
      </c>
      <c r="DE208" s="2" t="s">
        <v>181</v>
      </c>
      <c r="DF208" s="3" t="s">
        <v>118</v>
      </c>
      <c r="DG208" s="62">
        <v>42800</v>
      </c>
      <c r="EC208" s="60"/>
      <c r="ED208" s="60"/>
      <c r="EE208" s="60"/>
      <c r="EF208" s="60"/>
    </row>
    <row r="209" spans="2:140" ht="12.75" hidden="1" customHeight="1">
      <c r="B209" s="93" t="s">
        <v>556</v>
      </c>
      <c r="C209" s="22" t="s">
        <v>557</v>
      </c>
      <c r="D209" s="22" t="s">
        <v>558</v>
      </c>
      <c r="E209" s="2" t="str">
        <f>VLOOKUP($C209,[1]Detail!$C:$AK,6,0)</f>
        <v>PMT1</v>
      </c>
      <c r="F209" s="2" t="str">
        <f>VLOOKUP($C209,[1]Detail!$C:$AK,7,0)</f>
        <v>TH</v>
      </c>
      <c r="G209" s="2" t="str">
        <f>VLOOKUP($C209,[1]Detail!$C:$AK,5,0)</f>
        <v>B</v>
      </c>
      <c r="J209" s="22" t="s">
        <v>559</v>
      </c>
      <c r="K209" s="23" t="s">
        <v>560</v>
      </c>
      <c r="L209" s="22" t="s">
        <v>196</v>
      </c>
      <c r="M209" s="51" t="str">
        <f t="shared" si="156"/>
        <v>PJD8B-F22400-AAW</v>
      </c>
      <c r="O209" s="22">
        <v>2</v>
      </c>
      <c r="P209" s="22">
        <v>2</v>
      </c>
      <c r="Q209" s="22">
        <v>2</v>
      </c>
      <c r="R209" s="22">
        <v>2</v>
      </c>
      <c r="S209" s="22">
        <v>2</v>
      </c>
      <c r="T209" s="22">
        <v>2</v>
      </c>
      <c r="U209" s="22">
        <v>0</v>
      </c>
      <c r="V209" s="22">
        <v>0</v>
      </c>
      <c r="W209" s="64">
        <f t="shared" si="157"/>
        <v>1.8</v>
      </c>
      <c r="Y209" s="2">
        <v>-17.149999999999999</v>
      </c>
      <c r="Z209" s="2">
        <v>-1.21</v>
      </c>
      <c r="AA209" s="2">
        <v>-0.8</v>
      </c>
      <c r="AB209" s="2">
        <v>0</v>
      </c>
      <c r="AC209" s="2">
        <v>0</v>
      </c>
      <c r="AD209" s="8">
        <f t="shared" si="161"/>
        <v>-19.16</v>
      </c>
      <c r="AE209" s="2" t="s">
        <v>91</v>
      </c>
      <c r="AG209" s="2">
        <v>0</v>
      </c>
      <c r="AH209" s="2">
        <v>0</v>
      </c>
      <c r="AJ209" s="71">
        <v>0</v>
      </c>
      <c r="AK209" s="71">
        <v>0</v>
      </c>
      <c r="AL209" s="72">
        <v>0</v>
      </c>
      <c r="AM209" s="22"/>
      <c r="AO209" s="22" t="s">
        <v>564</v>
      </c>
      <c r="AP209" s="23" t="s">
        <v>560</v>
      </c>
      <c r="AQ209" s="22" t="s">
        <v>565</v>
      </c>
      <c r="AR209" s="51" t="str">
        <f t="shared" si="145"/>
        <v>PED8B-F22400-ACW</v>
      </c>
      <c r="AS209" s="3"/>
      <c r="AT209" s="22">
        <v>2</v>
      </c>
      <c r="AU209" s="22">
        <v>2</v>
      </c>
      <c r="AV209" s="22">
        <v>2</v>
      </c>
      <c r="AW209" s="22">
        <v>2</v>
      </c>
      <c r="AX209" s="22">
        <v>2</v>
      </c>
      <c r="AY209" s="22">
        <v>2</v>
      </c>
      <c r="AZ209" s="22">
        <v>0</v>
      </c>
      <c r="BA209" s="22">
        <v>0</v>
      </c>
      <c r="BB209" s="64">
        <f t="shared" si="146"/>
        <v>1.8</v>
      </c>
      <c r="BD209" s="2">
        <v>-17.149999999999999</v>
      </c>
      <c r="BE209" s="2">
        <v>-1.21</v>
      </c>
      <c r="BF209" s="2">
        <v>-0.8</v>
      </c>
      <c r="BG209" s="2">
        <v>-0.77</v>
      </c>
      <c r="BH209" s="2">
        <v>0</v>
      </c>
      <c r="BI209" s="8">
        <f t="shared" si="170"/>
        <v>-19.93</v>
      </c>
      <c r="BJ209" s="2" t="s">
        <v>91</v>
      </c>
      <c r="BL209" s="2">
        <v>0</v>
      </c>
      <c r="BM209" s="2">
        <v>0</v>
      </c>
      <c r="BO209" s="71">
        <v>0</v>
      </c>
      <c r="BP209" s="71">
        <v>0</v>
      </c>
      <c r="BQ209" s="72">
        <v>0</v>
      </c>
      <c r="BS209" s="61">
        <f t="shared" si="158"/>
        <v>0</v>
      </c>
      <c r="BT209" s="61">
        <f t="shared" si="159"/>
        <v>0</v>
      </c>
      <c r="BU209" s="61">
        <f t="shared" si="160"/>
        <v>0</v>
      </c>
      <c r="BV209" s="61">
        <f t="shared" si="160"/>
        <v>0.77</v>
      </c>
      <c r="BW209" s="61">
        <f t="shared" si="160"/>
        <v>0</v>
      </c>
      <c r="BX209" s="61">
        <f t="shared" si="155"/>
        <v>0.76999999999999957</v>
      </c>
      <c r="BY209" s="61" t="s">
        <v>91</v>
      </c>
      <c r="CA209" s="61">
        <f t="shared" si="164"/>
        <v>0</v>
      </c>
      <c r="CB209" s="61">
        <f t="shared" si="164"/>
        <v>0</v>
      </c>
      <c r="CC209" s="61">
        <f t="shared" si="164"/>
        <v>0</v>
      </c>
      <c r="CD209" s="61">
        <f t="shared" si="164"/>
        <v>0</v>
      </c>
      <c r="CE209" s="61">
        <f t="shared" si="164"/>
        <v>0</v>
      </c>
      <c r="CF209" s="61">
        <f t="shared" si="164"/>
        <v>0</v>
      </c>
      <c r="CG209" s="61">
        <f t="shared" si="164"/>
        <v>0</v>
      </c>
      <c r="CH209" s="61">
        <f t="shared" si="164"/>
        <v>0</v>
      </c>
      <c r="CI209" s="61">
        <f t="shared" si="176"/>
        <v>0</v>
      </c>
      <c r="CJ209" s="61"/>
      <c r="CK209" s="61">
        <f t="shared" si="165"/>
        <v>0.23168346622536468</v>
      </c>
      <c r="CL209" s="61">
        <f t="shared" si="165"/>
        <v>0.23168346622536468</v>
      </c>
      <c r="CM209" s="61">
        <f t="shared" si="165"/>
        <v>0.23168346622536468</v>
      </c>
      <c r="CN209" s="61">
        <f t="shared" si="165"/>
        <v>0.23168346622536468</v>
      </c>
      <c r="CO209" s="61">
        <f t="shared" si="165"/>
        <v>0.23168346622536468</v>
      </c>
      <c r="CP209" s="61">
        <f t="shared" si="165"/>
        <v>0.23168346622536468</v>
      </c>
      <c r="CQ209" s="61">
        <f t="shared" si="165"/>
        <v>0</v>
      </c>
      <c r="CR209" s="61">
        <f t="shared" si="165"/>
        <v>0</v>
      </c>
      <c r="CS209" s="61">
        <f t="shared" si="177"/>
        <v>0.20851511960282823</v>
      </c>
      <c r="CT209" s="61">
        <f t="shared" si="178"/>
        <v>1.3859999999999992</v>
      </c>
      <c r="CV209" s="61">
        <f t="shared" si="179"/>
        <v>0</v>
      </c>
      <c r="CW209" s="61">
        <f t="shared" si="148"/>
        <v>0</v>
      </c>
      <c r="CX209" s="61"/>
      <c r="CY209" s="61">
        <f t="shared" si="149"/>
        <v>0</v>
      </c>
      <c r="CZ209" s="61">
        <f t="shared" si="163"/>
        <v>0</v>
      </c>
      <c r="DA209" s="61">
        <f t="shared" si="163"/>
        <v>0</v>
      </c>
      <c r="DB209" s="2" t="s">
        <v>102</v>
      </c>
      <c r="DC209" s="2" t="s">
        <v>102</v>
      </c>
      <c r="DD209" s="2" t="s">
        <v>142</v>
      </c>
      <c r="DE209" s="2" t="s">
        <v>181</v>
      </c>
      <c r="DF209" s="3" t="s">
        <v>118</v>
      </c>
      <c r="DG209" s="62">
        <v>42800</v>
      </c>
      <c r="EC209" s="60" t="str">
        <f>VLOOKUP($M209,[1]Detail!$M:$BO,1,0)</f>
        <v>PJD8B-F22400-AAW</v>
      </c>
      <c r="ED209" s="60">
        <f>VLOOKUP($M209,[1]Detail!$M:$BO,22,0)</f>
        <v>-19.16</v>
      </c>
      <c r="EE209" s="60">
        <f>VLOOKUP($M209,[1]Detail!$M:$BO,42,0)</f>
        <v>0</v>
      </c>
      <c r="EF209" s="60">
        <f>VLOOKUP($M209,[1]Detail!$M:$BO,45,0)</f>
        <v>0</v>
      </c>
      <c r="EH209" s="60">
        <f>ED209-AD209</f>
        <v>0</v>
      </c>
      <c r="EI209" s="60">
        <f>EE209-AG209</f>
        <v>0</v>
      </c>
      <c r="EJ209" s="60">
        <f t="shared" ref="EJ209:EJ211" si="184">EF209-AJ209</f>
        <v>0</v>
      </c>
    </row>
    <row r="210" spans="2:140" ht="12.75" hidden="1" customHeight="1">
      <c r="B210" s="93" t="s">
        <v>556</v>
      </c>
      <c r="C210" s="22" t="s">
        <v>557</v>
      </c>
      <c r="D210" s="22" t="s">
        <v>558</v>
      </c>
      <c r="E210" s="2" t="str">
        <f>VLOOKUP($C210,[1]Detail!$C:$AK,6,0)</f>
        <v>PMT1</v>
      </c>
      <c r="F210" s="2" t="str">
        <f>VLOOKUP($C210,[1]Detail!$C:$AK,7,0)</f>
        <v>TH</v>
      </c>
      <c r="G210" s="2" t="str">
        <f>VLOOKUP($C210,[1]Detail!$C:$AK,5,0)</f>
        <v>B</v>
      </c>
      <c r="J210" s="22" t="s">
        <v>559</v>
      </c>
      <c r="K210" s="23" t="s">
        <v>561</v>
      </c>
      <c r="L210" s="22" t="s">
        <v>196</v>
      </c>
      <c r="M210" s="51" t="str">
        <f t="shared" si="156"/>
        <v>PJD8B-F22401-AAW</v>
      </c>
      <c r="O210" s="22">
        <v>1</v>
      </c>
      <c r="P210" s="22">
        <v>1</v>
      </c>
      <c r="Q210" s="22">
        <v>1</v>
      </c>
      <c r="R210" s="22">
        <v>1</v>
      </c>
      <c r="S210" s="22">
        <v>1</v>
      </c>
      <c r="T210" s="22">
        <v>1</v>
      </c>
      <c r="U210" s="22">
        <v>0</v>
      </c>
      <c r="V210" s="22">
        <v>0</v>
      </c>
      <c r="W210" s="64">
        <f t="shared" si="157"/>
        <v>0.9</v>
      </c>
      <c r="Y210" s="2">
        <v>-16.43</v>
      </c>
      <c r="Z210" s="2">
        <v>-1.23</v>
      </c>
      <c r="AA210" s="2">
        <v>-0.82</v>
      </c>
      <c r="AB210" s="2">
        <v>0</v>
      </c>
      <c r="AC210" s="2">
        <v>0</v>
      </c>
      <c r="AD210" s="8">
        <f t="shared" si="161"/>
        <v>-18.48</v>
      </c>
      <c r="AE210" s="2" t="s">
        <v>91</v>
      </c>
      <c r="AG210" s="2">
        <v>0</v>
      </c>
      <c r="AH210" s="2">
        <v>0</v>
      </c>
      <c r="AJ210" s="71">
        <v>0</v>
      </c>
      <c r="AK210" s="71">
        <v>0</v>
      </c>
      <c r="AL210" s="72">
        <v>0</v>
      </c>
      <c r="AM210" s="22"/>
      <c r="AO210" s="22" t="s">
        <v>564</v>
      </c>
      <c r="AP210" s="23" t="s">
        <v>561</v>
      </c>
      <c r="AQ210" s="22" t="s">
        <v>565</v>
      </c>
      <c r="AR210" s="51" t="str">
        <f t="shared" si="145"/>
        <v>PED8B-F22401-ACW</v>
      </c>
      <c r="AS210" s="3"/>
      <c r="AT210" s="22">
        <v>1</v>
      </c>
      <c r="AU210" s="22">
        <v>1</v>
      </c>
      <c r="AV210" s="22">
        <v>1</v>
      </c>
      <c r="AW210" s="22">
        <v>1</v>
      </c>
      <c r="AX210" s="22">
        <v>1</v>
      </c>
      <c r="AY210" s="22">
        <v>1</v>
      </c>
      <c r="AZ210" s="22">
        <v>0</v>
      </c>
      <c r="BA210" s="22">
        <v>0</v>
      </c>
      <c r="BB210" s="64">
        <f t="shared" si="146"/>
        <v>0.9</v>
      </c>
      <c r="BD210" s="2">
        <v>-16.43</v>
      </c>
      <c r="BE210" s="2">
        <v>-1.23</v>
      </c>
      <c r="BF210" s="2">
        <v>-0.82</v>
      </c>
      <c r="BG210" s="2">
        <v>-0.77</v>
      </c>
      <c r="BH210" s="2">
        <v>0</v>
      </c>
      <c r="BI210" s="8">
        <f t="shared" si="170"/>
        <v>-19.25</v>
      </c>
      <c r="BJ210" s="2" t="s">
        <v>91</v>
      </c>
      <c r="BL210" s="2">
        <v>0</v>
      </c>
      <c r="BM210" s="2">
        <v>0</v>
      </c>
      <c r="BO210" s="71">
        <v>0</v>
      </c>
      <c r="BP210" s="71">
        <v>0</v>
      </c>
      <c r="BQ210" s="72">
        <v>0</v>
      </c>
      <c r="BS210" s="61">
        <f t="shared" si="158"/>
        <v>0</v>
      </c>
      <c r="BT210" s="61">
        <f t="shared" si="159"/>
        <v>0</v>
      </c>
      <c r="BU210" s="61">
        <f t="shared" si="160"/>
        <v>0</v>
      </c>
      <c r="BV210" s="61">
        <f t="shared" si="160"/>
        <v>0.77</v>
      </c>
      <c r="BW210" s="61">
        <f t="shared" si="160"/>
        <v>0</v>
      </c>
      <c r="BX210" s="61">
        <f t="shared" si="155"/>
        <v>0.76999999999999957</v>
      </c>
      <c r="BY210" s="61" t="s">
        <v>91</v>
      </c>
      <c r="CA210" s="61">
        <f t="shared" si="164"/>
        <v>0</v>
      </c>
      <c r="CB210" s="61">
        <f t="shared" si="164"/>
        <v>0</v>
      </c>
      <c r="CC210" s="61">
        <f t="shared" si="164"/>
        <v>0</v>
      </c>
      <c r="CD210" s="61">
        <f t="shared" si="164"/>
        <v>0</v>
      </c>
      <c r="CE210" s="61">
        <f t="shared" si="164"/>
        <v>0</v>
      </c>
      <c r="CF210" s="61">
        <f t="shared" si="164"/>
        <v>0</v>
      </c>
      <c r="CG210" s="61">
        <f t="shared" si="164"/>
        <v>0</v>
      </c>
      <c r="CH210" s="61">
        <f t="shared" si="164"/>
        <v>0</v>
      </c>
      <c r="CI210" s="61">
        <f t="shared" si="176"/>
        <v>0</v>
      </c>
      <c r="CJ210" s="61"/>
      <c r="CK210" s="61">
        <f t="shared" si="165"/>
        <v>0.11584173311268234</v>
      </c>
      <c r="CL210" s="61">
        <f t="shared" si="165"/>
        <v>0.11584173311268234</v>
      </c>
      <c r="CM210" s="61">
        <f t="shared" si="165"/>
        <v>0.11584173311268234</v>
      </c>
      <c r="CN210" s="61">
        <f t="shared" si="165"/>
        <v>0.11584173311268234</v>
      </c>
      <c r="CO210" s="61">
        <f t="shared" si="165"/>
        <v>0.11584173311268234</v>
      </c>
      <c r="CP210" s="61">
        <f t="shared" si="165"/>
        <v>0.11584173311268234</v>
      </c>
      <c r="CQ210" s="61">
        <f t="shared" si="165"/>
        <v>0</v>
      </c>
      <c r="CR210" s="61">
        <f t="shared" si="165"/>
        <v>0</v>
      </c>
      <c r="CS210" s="61">
        <f t="shared" si="177"/>
        <v>0.10425755980141412</v>
      </c>
      <c r="CT210" s="61">
        <f t="shared" si="178"/>
        <v>0.69299999999999962</v>
      </c>
      <c r="CV210" s="61">
        <f t="shared" si="179"/>
        <v>0</v>
      </c>
      <c r="CW210" s="61">
        <f t="shared" si="148"/>
        <v>0</v>
      </c>
      <c r="CX210" s="61"/>
      <c r="CY210" s="61">
        <f t="shared" si="149"/>
        <v>0</v>
      </c>
      <c r="CZ210" s="61">
        <f t="shared" si="163"/>
        <v>0</v>
      </c>
      <c r="DA210" s="61">
        <f t="shared" si="163"/>
        <v>0</v>
      </c>
      <c r="DB210" s="2" t="s">
        <v>102</v>
      </c>
      <c r="DC210" s="2" t="s">
        <v>102</v>
      </c>
      <c r="DD210" s="2" t="s">
        <v>142</v>
      </c>
      <c r="DE210" s="2" t="s">
        <v>181</v>
      </c>
      <c r="DF210" s="3" t="s">
        <v>118</v>
      </c>
      <c r="DG210" s="62">
        <v>42800</v>
      </c>
      <c r="EC210" s="60" t="str">
        <f>VLOOKUP($M210,[1]Detail!$M:$BO,1,0)</f>
        <v>PJD8B-F22401-AAW</v>
      </c>
      <c r="ED210" s="60">
        <f>VLOOKUP($M210,[1]Detail!$M:$BO,22,0)</f>
        <v>-18.48</v>
      </c>
      <c r="EE210" s="60">
        <f>VLOOKUP($M210,[1]Detail!$M:$BO,42,0)</f>
        <v>0</v>
      </c>
      <c r="EF210" s="60">
        <f>VLOOKUP($M210,[1]Detail!$M:$BO,45,0)</f>
        <v>0</v>
      </c>
      <c r="EH210" s="60">
        <f>ED210-AD210</f>
        <v>0</v>
      </c>
      <c r="EI210" s="60">
        <f>EE210-AG210</f>
        <v>0</v>
      </c>
      <c r="EJ210" s="60">
        <f t="shared" si="184"/>
        <v>0</v>
      </c>
    </row>
    <row r="211" spans="2:140" ht="12.75" hidden="1" customHeight="1">
      <c r="B211" s="93" t="s">
        <v>556</v>
      </c>
      <c r="C211" s="22" t="s">
        <v>557</v>
      </c>
      <c r="D211" s="22" t="s">
        <v>558</v>
      </c>
      <c r="E211" s="2" t="str">
        <f>VLOOKUP($C211,[1]Detail!$C:$AK,6,0)</f>
        <v>PMT1</v>
      </c>
      <c r="F211" s="2" t="str">
        <f>VLOOKUP($C211,[1]Detail!$C:$AK,7,0)</f>
        <v>TH</v>
      </c>
      <c r="G211" s="2" t="str">
        <f>VLOOKUP($C211,[1]Detail!$C:$AK,5,0)</f>
        <v>B</v>
      </c>
      <c r="J211" s="22" t="s">
        <v>559</v>
      </c>
      <c r="K211" s="23" t="s">
        <v>563</v>
      </c>
      <c r="L211" s="22" t="s">
        <v>196</v>
      </c>
      <c r="M211" s="51" t="str">
        <f t="shared" si="156"/>
        <v>PJD8B-F26601-AAW</v>
      </c>
      <c r="O211" s="22">
        <v>1</v>
      </c>
      <c r="P211" s="22">
        <v>1</v>
      </c>
      <c r="Q211" s="22">
        <v>1</v>
      </c>
      <c r="R211" s="22">
        <v>1</v>
      </c>
      <c r="S211" s="22">
        <v>1</v>
      </c>
      <c r="T211" s="22">
        <v>1</v>
      </c>
      <c r="U211" s="22">
        <v>0</v>
      </c>
      <c r="V211" s="22">
        <v>0</v>
      </c>
      <c r="W211" s="64">
        <f t="shared" si="157"/>
        <v>0.9</v>
      </c>
      <c r="Y211" s="2">
        <v>-17.149999999999999</v>
      </c>
      <c r="Z211" s="2">
        <v>-1.21</v>
      </c>
      <c r="AA211" s="2">
        <v>-0.8</v>
      </c>
      <c r="AB211" s="2">
        <v>0</v>
      </c>
      <c r="AC211" s="2">
        <v>0</v>
      </c>
      <c r="AD211" s="8">
        <f t="shared" si="161"/>
        <v>-19.16</v>
      </c>
      <c r="AE211" s="2" t="s">
        <v>91</v>
      </c>
      <c r="AG211" s="2">
        <v>0</v>
      </c>
      <c r="AH211" s="2">
        <v>0</v>
      </c>
      <c r="AJ211" s="71">
        <v>0</v>
      </c>
      <c r="AK211" s="71">
        <v>0</v>
      </c>
      <c r="AL211" s="72">
        <v>0</v>
      </c>
      <c r="AM211" s="22"/>
      <c r="AO211" s="22" t="s">
        <v>564</v>
      </c>
      <c r="AP211" s="23" t="s">
        <v>563</v>
      </c>
      <c r="AQ211" s="22" t="s">
        <v>565</v>
      </c>
      <c r="AR211" s="51" t="str">
        <f t="shared" si="145"/>
        <v>PED8B-F26601-ACW</v>
      </c>
      <c r="AS211" s="3"/>
      <c r="AT211" s="22">
        <v>1</v>
      </c>
      <c r="AU211" s="22">
        <v>1</v>
      </c>
      <c r="AV211" s="22">
        <v>1</v>
      </c>
      <c r="AW211" s="22">
        <v>1</v>
      </c>
      <c r="AX211" s="22">
        <v>1</v>
      </c>
      <c r="AY211" s="22">
        <v>1</v>
      </c>
      <c r="AZ211" s="22">
        <v>0</v>
      </c>
      <c r="BA211" s="22">
        <v>0</v>
      </c>
      <c r="BB211" s="64">
        <f t="shared" si="146"/>
        <v>0.9</v>
      </c>
      <c r="BD211" s="2">
        <v>-17.149999999999999</v>
      </c>
      <c r="BE211" s="2">
        <v>-1.21</v>
      </c>
      <c r="BF211" s="2">
        <v>-0.8</v>
      </c>
      <c r="BG211" s="2">
        <v>-0.77</v>
      </c>
      <c r="BH211" s="2">
        <v>0</v>
      </c>
      <c r="BI211" s="8">
        <f t="shared" si="170"/>
        <v>-19.93</v>
      </c>
      <c r="BJ211" s="2" t="s">
        <v>91</v>
      </c>
      <c r="BL211" s="2">
        <v>0</v>
      </c>
      <c r="BM211" s="2">
        <v>0</v>
      </c>
      <c r="BO211" s="71">
        <v>0</v>
      </c>
      <c r="BP211" s="71">
        <v>0</v>
      </c>
      <c r="BQ211" s="72">
        <v>0</v>
      </c>
      <c r="BS211" s="61">
        <f t="shared" si="158"/>
        <v>0</v>
      </c>
      <c r="BT211" s="61">
        <f t="shared" si="159"/>
        <v>0</v>
      </c>
      <c r="BU211" s="61">
        <f t="shared" si="160"/>
        <v>0</v>
      </c>
      <c r="BV211" s="61">
        <f t="shared" si="160"/>
        <v>0.77</v>
      </c>
      <c r="BW211" s="61">
        <f t="shared" si="160"/>
        <v>0</v>
      </c>
      <c r="BX211" s="61">
        <f t="shared" si="155"/>
        <v>0.76999999999999957</v>
      </c>
      <c r="BY211" s="61" t="s">
        <v>91</v>
      </c>
      <c r="CA211" s="61">
        <f t="shared" si="164"/>
        <v>0</v>
      </c>
      <c r="CB211" s="61">
        <f t="shared" si="164"/>
        <v>0</v>
      </c>
      <c r="CC211" s="61">
        <f t="shared" si="164"/>
        <v>0</v>
      </c>
      <c r="CD211" s="61">
        <f t="shared" si="164"/>
        <v>0</v>
      </c>
      <c r="CE211" s="61">
        <f t="shared" si="164"/>
        <v>0</v>
      </c>
      <c r="CF211" s="61">
        <f t="shared" si="164"/>
        <v>0</v>
      </c>
      <c r="CG211" s="61">
        <f t="shared" si="164"/>
        <v>0</v>
      </c>
      <c r="CH211" s="61">
        <f t="shared" si="164"/>
        <v>0</v>
      </c>
      <c r="CI211" s="61">
        <f t="shared" si="176"/>
        <v>0</v>
      </c>
      <c r="CJ211" s="61"/>
      <c r="CK211" s="61">
        <f t="shared" si="165"/>
        <v>0.11584173311268234</v>
      </c>
      <c r="CL211" s="61">
        <f t="shared" si="165"/>
        <v>0.11584173311268234</v>
      </c>
      <c r="CM211" s="61">
        <f t="shared" si="165"/>
        <v>0.11584173311268234</v>
      </c>
      <c r="CN211" s="61">
        <f t="shared" si="165"/>
        <v>0.11584173311268234</v>
      </c>
      <c r="CO211" s="61">
        <f t="shared" si="165"/>
        <v>0.11584173311268234</v>
      </c>
      <c r="CP211" s="61">
        <f t="shared" si="165"/>
        <v>0.11584173311268234</v>
      </c>
      <c r="CQ211" s="61">
        <f t="shared" si="165"/>
        <v>0</v>
      </c>
      <c r="CR211" s="61">
        <f t="shared" si="165"/>
        <v>0</v>
      </c>
      <c r="CS211" s="61">
        <f t="shared" si="177"/>
        <v>0.10425755980141412</v>
      </c>
      <c r="CT211" s="61">
        <f t="shared" si="178"/>
        <v>0.69299999999999962</v>
      </c>
      <c r="CV211" s="61">
        <f t="shared" si="179"/>
        <v>0</v>
      </c>
      <c r="CW211" s="61">
        <f t="shared" si="148"/>
        <v>0</v>
      </c>
      <c r="CX211" s="61"/>
      <c r="CY211" s="61">
        <f t="shared" si="149"/>
        <v>0</v>
      </c>
      <c r="CZ211" s="61">
        <f t="shared" si="163"/>
        <v>0</v>
      </c>
      <c r="DA211" s="61">
        <f t="shared" si="163"/>
        <v>0</v>
      </c>
      <c r="DB211" s="2" t="s">
        <v>102</v>
      </c>
      <c r="DC211" s="2" t="s">
        <v>102</v>
      </c>
      <c r="DD211" s="2" t="s">
        <v>142</v>
      </c>
      <c r="DE211" s="2" t="s">
        <v>181</v>
      </c>
      <c r="DF211" s="3" t="s">
        <v>118</v>
      </c>
      <c r="DG211" s="62">
        <v>42800</v>
      </c>
      <c r="EC211" s="60" t="str">
        <f>VLOOKUP($M211,[1]Detail!$M:$BO,1,0)</f>
        <v>PJD8B-F26601-AAW</v>
      </c>
      <c r="ED211" s="60">
        <f>VLOOKUP($M211,[1]Detail!$M:$BO,22,0)</f>
        <v>-19.16</v>
      </c>
      <c r="EE211" s="60">
        <f>VLOOKUP($M211,[1]Detail!$M:$BO,42,0)</f>
        <v>0</v>
      </c>
      <c r="EF211" s="60">
        <f>VLOOKUP($M211,[1]Detail!$M:$BO,45,0)</f>
        <v>0</v>
      </c>
      <c r="EH211" s="60">
        <f>ED211-AD211</f>
        <v>0</v>
      </c>
      <c r="EI211" s="60">
        <f>EE211-AG211</f>
        <v>0</v>
      </c>
      <c r="EJ211" s="60">
        <f t="shared" si="184"/>
        <v>0</v>
      </c>
    </row>
    <row r="212" spans="2:140" ht="12.75" hidden="1" customHeight="1">
      <c r="B212" s="93" t="s">
        <v>566</v>
      </c>
      <c r="C212" s="22" t="s">
        <v>567</v>
      </c>
      <c r="D212" s="22" t="s">
        <v>568</v>
      </c>
      <c r="E212" s="2" t="str">
        <f>VLOOKUP($C212,[1]Detail!$C:$AK,6,0)</f>
        <v>PMT1</v>
      </c>
      <c r="F212" s="2" t="str">
        <f>VLOOKUP($C212,[1]Detail!$C:$AK,7,0)</f>
        <v>TH</v>
      </c>
      <c r="G212" s="2" t="str">
        <f>VLOOKUP($C212,[1]Detail!$C:$AK,5,0)</f>
        <v>D</v>
      </c>
      <c r="J212" s="22" t="s">
        <v>126</v>
      </c>
      <c r="K212" s="23" t="s">
        <v>569</v>
      </c>
      <c r="L212" s="22" t="s">
        <v>100</v>
      </c>
      <c r="M212" s="51" t="str">
        <f t="shared" si="156"/>
        <v>JD8B-F16114-AA</v>
      </c>
      <c r="O212" s="22">
        <v>1</v>
      </c>
      <c r="P212" s="22">
        <v>1</v>
      </c>
      <c r="Q212" s="22">
        <v>1</v>
      </c>
      <c r="R212" s="22">
        <v>1</v>
      </c>
      <c r="S212" s="22">
        <v>1</v>
      </c>
      <c r="T212" s="22">
        <v>1</v>
      </c>
      <c r="U212" s="22">
        <v>1</v>
      </c>
      <c r="V212" s="22">
        <v>1</v>
      </c>
      <c r="W212" s="64">
        <f t="shared" si="157"/>
        <v>1</v>
      </c>
      <c r="Y212" s="8">
        <v>-34.61</v>
      </c>
      <c r="Z212" s="8">
        <v>-0.3</v>
      </c>
      <c r="AA212" s="8">
        <v>-0.6</v>
      </c>
      <c r="AB212" s="8">
        <v>0</v>
      </c>
      <c r="AC212" s="8">
        <v>0</v>
      </c>
      <c r="AD212" s="8">
        <f t="shared" si="161"/>
        <v>-35.51</v>
      </c>
      <c r="AE212" s="2" t="s">
        <v>91</v>
      </c>
      <c r="AG212" s="8">
        <v>-880000</v>
      </c>
      <c r="AH212" s="8">
        <v>-880000</v>
      </c>
      <c r="AI212" s="6"/>
      <c r="AJ212" s="71">
        <v>0</v>
      </c>
      <c r="AK212" s="71">
        <v>0</v>
      </c>
      <c r="AL212" s="72">
        <v>0</v>
      </c>
      <c r="AM212" s="22"/>
      <c r="AO212" s="22" t="s">
        <v>126</v>
      </c>
      <c r="AP212" s="23" t="s">
        <v>569</v>
      </c>
      <c r="AQ212" s="22" t="s">
        <v>100</v>
      </c>
      <c r="AR212" s="51" t="str">
        <f t="shared" si="145"/>
        <v>JD8B-F16114-AA</v>
      </c>
      <c r="AS212" s="3"/>
      <c r="AT212" s="22">
        <v>1</v>
      </c>
      <c r="AU212" s="22">
        <v>1</v>
      </c>
      <c r="AV212" s="22">
        <v>1</v>
      </c>
      <c r="AW212" s="22">
        <v>1</v>
      </c>
      <c r="AX212" s="22">
        <v>1</v>
      </c>
      <c r="AY212" s="22">
        <v>1</v>
      </c>
      <c r="AZ212" s="22">
        <v>1</v>
      </c>
      <c r="BA212" s="22">
        <v>1</v>
      </c>
      <c r="BB212" s="64">
        <f t="shared" si="146"/>
        <v>1</v>
      </c>
      <c r="BD212" s="2">
        <v>-34.61</v>
      </c>
      <c r="BE212" s="2">
        <v>-0.3</v>
      </c>
      <c r="BF212" s="2">
        <v>-0.6</v>
      </c>
      <c r="BG212" s="2">
        <v>0</v>
      </c>
      <c r="BH212" s="2">
        <v>0</v>
      </c>
      <c r="BI212" s="8">
        <f t="shared" si="170"/>
        <v>-35.51</v>
      </c>
      <c r="BJ212" s="2" t="s">
        <v>91</v>
      </c>
      <c r="BL212" s="2">
        <v>-880000</v>
      </c>
      <c r="BM212" s="2">
        <v>-880000</v>
      </c>
      <c r="BO212" s="71">
        <v>0</v>
      </c>
      <c r="BP212" s="71">
        <v>0</v>
      </c>
      <c r="BQ212" s="72">
        <v>0</v>
      </c>
      <c r="BS212" s="61">
        <f t="shared" si="158"/>
        <v>0</v>
      </c>
      <c r="BT212" s="61">
        <f t="shared" si="159"/>
        <v>0</v>
      </c>
      <c r="BU212" s="61">
        <f t="shared" si="160"/>
        <v>0</v>
      </c>
      <c r="BV212" s="61">
        <f t="shared" si="160"/>
        <v>0</v>
      </c>
      <c r="BW212" s="61">
        <f t="shared" si="160"/>
        <v>0</v>
      </c>
      <c r="BX212" s="61">
        <f t="shared" si="155"/>
        <v>0</v>
      </c>
      <c r="BY212" s="61" t="s">
        <v>91</v>
      </c>
      <c r="CA212" s="61">
        <f t="shared" si="164"/>
        <v>0</v>
      </c>
      <c r="CB212" s="61">
        <f t="shared" si="164"/>
        <v>0</v>
      </c>
      <c r="CC212" s="61">
        <f t="shared" si="164"/>
        <v>0</v>
      </c>
      <c r="CD212" s="61">
        <f t="shared" si="164"/>
        <v>0</v>
      </c>
      <c r="CE212" s="61">
        <f t="shared" si="164"/>
        <v>0</v>
      </c>
      <c r="CF212" s="61">
        <f t="shared" si="164"/>
        <v>0</v>
      </c>
      <c r="CG212" s="61">
        <f t="shared" si="164"/>
        <v>0</v>
      </c>
      <c r="CH212" s="61">
        <f t="shared" si="164"/>
        <v>0</v>
      </c>
      <c r="CI212" s="61">
        <f t="shared" si="176"/>
        <v>0</v>
      </c>
      <c r="CJ212" s="61"/>
      <c r="CK212" s="61">
        <f t="shared" si="165"/>
        <v>0</v>
      </c>
      <c r="CL212" s="61">
        <f t="shared" si="165"/>
        <v>0</v>
      </c>
      <c r="CM212" s="61">
        <f t="shared" si="165"/>
        <v>0</v>
      </c>
      <c r="CN212" s="61">
        <f t="shared" si="165"/>
        <v>0</v>
      </c>
      <c r="CO212" s="61">
        <f t="shared" si="165"/>
        <v>0</v>
      </c>
      <c r="CP212" s="61">
        <f t="shared" si="165"/>
        <v>0</v>
      </c>
      <c r="CQ212" s="61">
        <f t="shared" si="165"/>
        <v>0</v>
      </c>
      <c r="CR212" s="61">
        <f t="shared" si="165"/>
        <v>0</v>
      </c>
      <c r="CS212" s="61">
        <f t="shared" si="177"/>
        <v>0</v>
      </c>
      <c r="CT212" s="61">
        <f t="shared" si="178"/>
        <v>0</v>
      </c>
      <c r="CV212" s="61">
        <f t="shared" si="179"/>
        <v>0</v>
      </c>
      <c r="CW212" s="61">
        <f t="shared" si="148"/>
        <v>0</v>
      </c>
      <c r="CX212" s="61"/>
      <c r="CY212" s="61">
        <f t="shared" si="149"/>
        <v>0</v>
      </c>
      <c r="CZ212" s="61">
        <f t="shared" si="163"/>
        <v>0</v>
      </c>
      <c r="DA212" s="61">
        <f t="shared" si="163"/>
        <v>0</v>
      </c>
      <c r="DB212" s="2" t="s">
        <v>85</v>
      </c>
      <c r="DC212" s="2" t="s">
        <v>102</v>
      </c>
      <c r="DD212" s="2" t="s">
        <v>142</v>
      </c>
      <c r="DE212" s="2" t="s">
        <v>181</v>
      </c>
      <c r="DF212" s="3" t="s">
        <v>118</v>
      </c>
      <c r="DG212" s="62">
        <v>42816</v>
      </c>
      <c r="EC212" s="60"/>
      <c r="ED212" s="60"/>
      <c r="EE212" s="60"/>
      <c r="EF212" s="60"/>
    </row>
    <row r="213" spans="2:140" ht="12.75" hidden="1" customHeight="1">
      <c r="B213" s="93" t="s">
        <v>566</v>
      </c>
      <c r="C213" s="22" t="s">
        <v>567</v>
      </c>
      <c r="D213" s="22" t="s">
        <v>568</v>
      </c>
      <c r="E213" s="2" t="str">
        <f>VLOOKUP($C213,[1]Detail!$C:$AK,6,0)</f>
        <v>PMT1</v>
      </c>
      <c r="F213" s="2" t="str">
        <f>VLOOKUP($C213,[1]Detail!$C:$AK,7,0)</f>
        <v>TH</v>
      </c>
      <c r="G213" s="2" t="str">
        <f>VLOOKUP($C213,[1]Detail!$C:$AK,5,0)</f>
        <v>D</v>
      </c>
      <c r="J213" s="22" t="s">
        <v>126</v>
      </c>
      <c r="K213" s="23" t="s">
        <v>570</v>
      </c>
      <c r="L213" s="22" t="s">
        <v>100</v>
      </c>
      <c r="M213" s="51" t="str">
        <f t="shared" si="156"/>
        <v>JD8B-F16115-AA</v>
      </c>
      <c r="O213" s="22">
        <v>1</v>
      </c>
      <c r="P213" s="22">
        <v>1</v>
      </c>
      <c r="Q213" s="22">
        <v>1</v>
      </c>
      <c r="R213" s="22">
        <v>1</v>
      </c>
      <c r="S213" s="22">
        <v>1</v>
      </c>
      <c r="T213" s="22">
        <v>1</v>
      </c>
      <c r="U213" s="22">
        <v>1</v>
      </c>
      <c r="V213" s="22">
        <v>1</v>
      </c>
      <c r="W213" s="64">
        <f t="shared" si="157"/>
        <v>1</v>
      </c>
      <c r="Y213" s="8">
        <v>-34.14</v>
      </c>
      <c r="Z213" s="8">
        <v>-0.3</v>
      </c>
      <c r="AA213" s="8">
        <v>-0.6</v>
      </c>
      <c r="AB213" s="8">
        <v>0</v>
      </c>
      <c r="AC213" s="8">
        <v>0</v>
      </c>
      <c r="AD213" s="8">
        <f t="shared" si="161"/>
        <v>-35.04</v>
      </c>
      <c r="AE213" s="2" t="s">
        <v>91</v>
      </c>
      <c r="AG213" s="8">
        <v>-880000</v>
      </c>
      <c r="AH213" s="8">
        <v>-880000</v>
      </c>
      <c r="AI213" s="6"/>
      <c r="AJ213" s="71">
        <v>0</v>
      </c>
      <c r="AK213" s="71">
        <v>0</v>
      </c>
      <c r="AL213" s="72">
        <v>0</v>
      </c>
      <c r="AM213" s="22"/>
      <c r="AO213" s="22" t="s">
        <v>126</v>
      </c>
      <c r="AP213" s="23" t="s">
        <v>570</v>
      </c>
      <c r="AQ213" s="22" t="s">
        <v>100</v>
      </c>
      <c r="AR213" s="51" t="str">
        <f t="shared" si="145"/>
        <v>JD8B-F16115-AA</v>
      </c>
      <c r="AS213" s="3"/>
      <c r="AT213" s="22">
        <v>1</v>
      </c>
      <c r="AU213" s="22">
        <v>1</v>
      </c>
      <c r="AV213" s="22">
        <v>1</v>
      </c>
      <c r="AW213" s="22">
        <v>1</v>
      </c>
      <c r="AX213" s="22">
        <v>1</v>
      </c>
      <c r="AY213" s="22">
        <v>1</v>
      </c>
      <c r="AZ213" s="22">
        <v>1</v>
      </c>
      <c r="BA213" s="22">
        <v>1</v>
      </c>
      <c r="BB213" s="64">
        <f t="shared" si="146"/>
        <v>1</v>
      </c>
      <c r="BD213" s="2">
        <v>-34.14</v>
      </c>
      <c r="BE213" s="2">
        <v>-0.3</v>
      </c>
      <c r="BF213" s="2">
        <v>-0.6</v>
      </c>
      <c r="BG213" s="2">
        <v>0</v>
      </c>
      <c r="BH213" s="2">
        <v>0</v>
      </c>
      <c r="BI213" s="8">
        <f t="shared" si="170"/>
        <v>-35.04</v>
      </c>
      <c r="BJ213" s="2" t="s">
        <v>91</v>
      </c>
      <c r="BL213" s="2">
        <v>-880000</v>
      </c>
      <c r="BM213" s="2">
        <v>-880000</v>
      </c>
      <c r="BO213" s="71">
        <v>0</v>
      </c>
      <c r="BP213" s="71">
        <v>0</v>
      </c>
      <c r="BQ213" s="72">
        <v>0</v>
      </c>
      <c r="BS213" s="61">
        <f t="shared" si="158"/>
        <v>0</v>
      </c>
      <c r="BT213" s="61">
        <f t="shared" si="159"/>
        <v>0</v>
      </c>
      <c r="BU213" s="61">
        <f t="shared" si="160"/>
        <v>0</v>
      </c>
      <c r="BV213" s="61">
        <f t="shared" si="160"/>
        <v>0</v>
      </c>
      <c r="BW213" s="61">
        <f t="shared" si="160"/>
        <v>0</v>
      </c>
      <c r="BX213" s="61">
        <f t="shared" si="155"/>
        <v>0</v>
      </c>
      <c r="BY213" s="61" t="s">
        <v>91</v>
      </c>
      <c r="CA213" s="61">
        <f t="shared" si="164"/>
        <v>0</v>
      </c>
      <c r="CB213" s="61">
        <f t="shared" si="164"/>
        <v>0</v>
      </c>
      <c r="CC213" s="61">
        <f t="shared" si="164"/>
        <v>0</v>
      </c>
      <c r="CD213" s="61">
        <f t="shared" si="164"/>
        <v>0</v>
      </c>
      <c r="CE213" s="61">
        <f t="shared" si="164"/>
        <v>0</v>
      </c>
      <c r="CF213" s="61">
        <f t="shared" si="164"/>
        <v>0</v>
      </c>
      <c r="CG213" s="61">
        <f t="shared" si="164"/>
        <v>0</v>
      </c>
      <c r="CH213" s="61">
        <f t="shared" si="164"/>
        <v>0</v>
      </c>
      <c r="CI213" s="61">
        <f t="shared" si="176"/>
        <v>0</v>
      </c>
      <c r="CJ213" s="61"/>
      <c r="CK213" s="61">
        <f t="shared" si="165"/>
        <v>0</v>
      </c>
      <c r="CL213" s="61">
        <f t="shared" si="165"/>
        <v>0</v>
      </c>
      <c r="CM213" s="61">
        <f t="shared" si="165"/>
        <v>0</v>
      </c>
      <c r="CN213" s="61">
        <f t="shared" si="165"/>
        <v>0</v>
      </c>
      <c r="CO213" s="61">
        <f t="shared" si="165"/>
        <v>0</v>
      </c>
      <c r="CP213" s="61">
        <f t="shared" si="165"/>
        <v>0</v>
      </c>
      <c r="CQ213" s="61">
        <f t="shared" si="165"/>
        <v>0</v>
      </c>
      <c r="CR213" s="61">
        <f t="shared" si="165"/>
        <v>0</v>
      </c>
      <c r="CS213" s="61">
        <f t="shared" si="177"/>
        <v>0</v>
      </c>
      <c r="CT213" s="61">
        <f t="shared" si="178"/>
        <v>0</v>
      </c>
      <c r="CV213" s="61">
        <f t="shared" si="179"/>
        <v>0</v>
      </c>
      <c r="CW213" s="61">
        <f t="shared" si="148"/>
        <v>0</v>
      </c>
      <c r="CX213" s="61"/>
      <c r="CY213" s="61">
        <f t="shared" si="149"/>
        <v>0</v>
      </c>
      <c r="CZ213" s="61">
        <f t="shared" si="163"/>
        <v>0</v>
      </c>
      <c r="DA213" s="61">
        <f t="shared" si="163"/>
        <v>0</v>
      </c>
      <c r="DB213" s="2" t="s">
        <v>85</v>
      </c>
      <c r="DC213" s="2" t="s">
        <v>102</v>
      </c>
      <c r="DD213" s="2" t="s">
        <v>142</v>
      </c>
      <c r="DE213" s="2" t="s">
        <v>181</v>
      </c>
      <c r="DF213" s="3" t="s">
        <v>118</v>
      </c>
      <c r="DG213" s="62">
        <v>42816</v>
      </c>
      <c r="EC213" s="60"/>
      <c r="ED213" s="60"/>
      <c r="EE213" s="60"/>
      <c r="EF213" s="60"/>
    </row>
    <row r="214" spans="2:140" ht="12.75" hidden="1" customHeight="1">
      <c r="B214" s="93" t="s">
        <v>571</v>
      </c>
      <c r="C214" s="22" t="s">
        <v>567</v>
      </c>
      <c r="D214" s="22" t="s">
        <v>568</v>
      </c>
      <c r="E214" s="2" t="str">
        <f>VLOOKUP($C214,[1]Detail!$C:$AK,6,0)</f>
        <v>PMT1</v>
      </c>
      <c r="F214" s="2" t="str">
        <f>VLOOKUP($C214,[1]Detail!$C:$AK,7,0)</f>
        <v>TH</v>
      </c>
      <c r="G214" s="2" t="str">
        <f>VLOOKUP($C214,[1]Detail!$C:$AK,5,0)</f>
        <v>D</v>
      </c>
      <c r="J214" s="22" t="s">
        <v>126</v>
      </c>
      <c r="K214" s="23" t="s">
        <v>569</v>
      </c>
      <c r="L214" s="22" t="s">
        <v>132</v>
      </c>
      <c r="M214" s="51" t="str">
        <f t="shared" si="156"/>
        <v>JD8B-F16114-AB</v>
      </c>
      <c r="O214" s="22">
        <v>1</v>
      </c>
      <c r="P214" s="22">
        <v>1</v>
      </c>
      <c r="Q214" s="22">
        <v>1</v>
      </c>
      <c r="R214" s="22">
        <v>1</v>
      </c>
      <c r="S214" s="22">
        <v>1</v>
      </c>
      <c r="T214" s="22">
        <v>1</v>
      </c>
      <c r="U214" s="22">
        <v>1</v>
      </c>
      <c r="V214" s="22">
        <v>1</v>
      </c>
      <c r="W214" s="64">
        <f t="shared" si="157"/>
        <v>1</v>
      </c>
      <c r="Y214" s="8">
        <v>-34.61</v>
      </c>
      <c r="Z214" s="8">
        <v>-0.3</v>
      </c>
      <c r="AA214" s="8">
        <v>-0.6</v>
      </c>
      <c r="AB214" s="8">
        <v>0</v>
      </c>
      <c r="AC214" s="8">
        <v>0</v>
      </c>
      <c r="AD214" s="8">
        <f t="shared" si="161"/>
        <v>-35.51</v>
      </c>
      <c r="AE214" s="2" t="s">
        <v>91</v>
      </c>
      <c r="AG214" s="8">
        <v>-880000</v>
      </c>
      <c r="AH214" s="8">
        <v>-880000</v>
      </c>
      <c r="AI214" s="6"/>
      <c r="AJ214" s="71">
        <v>0</v>
      </c>
      <c r="AK214" s="71">
        <v>0</v>
      </c>
      <c r="AL214" s="72">
        <v>0</v>
      </c>
      <c r="AM214" s="22"/>
      <c r="AO214" s="22" t="s">
        <v>126</v>
      </c>
      <c r="AP214" s="23" t="s">
        <v>569</v>
      </c>
      <c r="AQ214" s="22" t="s">
        <v>100</v>
      </c>
      <c r="AR214" s="51" t="str">
        <f t="shared" si="145"/>
        <v>JD8B-F16114-AA</v>
      </c>
      <c r="AS214" s="3"/>
      <c r="AT214" s="22">
        <v>1</v>
      </c>
      <c r="AU214" s="22">
        <v>1</v>
      </c>
      <c r="AV214" s="22">
        <v>1</v>
      </c>
      <c r="AW214" s="22">
        <v>1</v>
      </c>
      <c r="AX214" s="22">
        <v>1</v>
      </c>
      <c r="AY214" s="22">
        <v>1</v>
      </c>
      <c r="AZ214" s="22">
        <v>1</v>
      </c>
      <c r="BA214" s="22">
        <v>1</v>
      </c>
      <c r="BB214" s="64">
        <f t="shared" si="146"/>
        <v>1</v>
      </c>
      <c r="BD214" s="2">
        <v>-34.61</v>
      </c>
      <c r="BE214" s="2">
        <v>-0.3</v>
      </c>
      <c r="BF214" s="2">
        <v>-0.6</v>
      </c>
      <c r="BG214" s="2">
        <v>0</v>
      </c>
      <c r="BH214" s="2">
        <v>0</v>
      </c>
      <c r="BI214" s="8">
        <f t="shared" si="170"/>
        <v>-35.51</v>
      </c>
      <c r="BJ214" s="2" t="s">
        <v>91</v>
      </c>
      <c r="BL214" s="2">
        <v>-880000</v>
      </c>
      <c r="BM214" s="2">
        <v>-880000</v>
      </c>
      <c r="BO214" s="71">
        <v>0</v>
      </c>
      <c r="BP214" s="71">
        <v>0</v>
      </c>
      <c r="BQ214" s="72">
        <v>0</v>
      </c>
      <c r="BS214" s="61">
        <f t="shared" si="158"/>
        <v>0</v>
      </c>
      <c r="BT214" s="61">
        <f t="shared" si="159"/>
        <v>0</v>
      </c>
      <c r="BU214" s="61">
        <f t="shared" si="160"/>
        <v>0</v>
      </c>
      <c r="BV214" s="61">
        <f t="shared" si="160"/>
        <v>0</v>
      </c>
      <c r="BW214" s="61">
        <f t="shared" si="160"/>
        <v>0</v>
      </c>
      <c r="BX214" s="61">
        <f t="shared" si="155"/>
        <v>0</v>
      </c>
      <c r="BY214" s="61" t="s">
        <v>91</v>
      </c>
      <c r="CA214" s="61">
        <f t="shared" si="164"/>
        <v>0</v>
      </c>
      <c r="CB214" s="61">
        <f t="shared" si="164"/>
        <v>0</v>
      </c>
      <c r="CC214" s="61">
        <f t="shared" si="164"/>
        <v>0</v>
      </c>
      <c r="CD214" s="61">
        <f t="shared" si="164"/>
        <v>0</v>
      </c>
      <c r="CE214" s="61">
        <f t="shared" si="164"/>
        <v>0</v>
      </c>
      <c r="CF214" s="61">
        <f t="shared" si="164"/>
        <v>0</v>
      </c>
      <c r="CG214" s="61">
        <f t="shared" si="164"/>
        <v>0</v>
      </c>
      <c r="CH214" s="61">
        <f t="shared" si="164"/>
        <v>0</v>
      </c>
      <c r="CI214" s="61">
        <f t="shared" si="176"/>
        <v>0</v>
      </c>
      <c r="CJ214" s="61"/>
      <c r="CK214" s="61">
        <f t="shared" si="165"/>
        <v>0</v>
      </c>
      <c r="CL214" s="61">
        <f t="shared" si="165"/>
        <v>0</v>
      </c>
      <c r="CM214" s="61">
        <f t="shared" si="165"/>
        <v>0</v>
      </c>
      <c r="CN214" s="61">
        <f t="shared" si="165"/>
        <v>0</v>
      </c>
      <c r="CO214" s="61">
        <f t="shared" si="165"/>
        <v>0</v>
      </c>
      <c r="CP214" s="61">
        <f t="shared" si="165"/>
        <v>0</v>
      </c>
      <c r="CQ214" s="61">
        <f t="shared" si="165"/>
        <v>0</v>
      </c>
      <c r="CR214" s="61">
        <f t="shared" si="165"/>
        <v>0</v>
      </c>
      <c r="CS214" s="61">
        <f t="shared" si="177"/>
        <v>0</v>
      </c>
      <c r="CT214" s="61">
        <f t="shared" si="178"/>
        <v>0</v>
      </c>
      <c r="CV214" s="61">
        <f t="shared" si="179"/>
        <v>0</v>
      </c>
      <c r="CW214" s="61">
        <f t="shared" si="148"/>
        <v>0</v>
      </c>
      <c r="CX214" s="61"/>
      <c r="CY214" s="61">
        <f t="shared" si="149"/>
        <v>0</v>
      </c>
      <c r="CZ214" s="61">
        <f t="shared" si="163"/>
        <v>0</v>
      </c>
      <c r="DA214" s="61">
        <f t="shared" si="163"/>
        <v>0</v>
      </c>
      <c r="DB214" s="2" t="s">
        <v>85</v>
      </c>
      <c r="DC214" s="2" t="s">
        <v>85</v>
      </c>
      <c r="DD214" s="2" t="s">
        <v>142</v>
      </c>
      <c r="DE214" s="2" t="s">
        <v>181</v>
      </c>
      <c r="DG214" s="62"/>
      <c r="DZ214" s="3" t="e">
        <v>#N/A</v>
      </c>
      <c r="EC214" s="60"/>
      <c r="ED214" s="60"/>
      <c r="EE214" s="60"/>
      <c r="EF214" s="60"/>
    </row>
    <row r="215" spans="2:140" ht="12.75" hidden="1" customHeight="1">
      <c r="B215" s="93" t="s">
        <v>571</v>
      </c>
      <c r="C215" s="22" t="s">
        <v>567</v>
      </c>
      <c r="D215" s="22" t="s">
        <v>568</v>
      </c>
      <c r="E215" s="2" t="str">
        <f>VLOOKUP($C215,[1]Detail!$C:$AK,6,0)</f>
        <v>PMT1</v>
      </c>
      <c r="F215" s="2" t="str">
        <f>VLOOKUP($C215,[1]Detail!$C:$AK,7,0)</f>
        <v>TH</v>
      </c>
      <c r="G215" s="2" t="str">
        <f>VLOOKUP($C215,[1]Detail!$C:$AK,5,0)</f>
        <v>D</v>
      </c>
      <c r="J215" s="22" t="s">
        <v>126</v>
      </c>
      <c r="K215" s="23" t="s">
        <v>570</v>
      </c>
      <c r="L215" s="22" t="s">
        <v>132</v>
      </c>
      <c r="M215" s="51" t="str">
        <f t="shared" si="156"/>
        <v>JD8B-F16115-AB</v>
      </c>
      <c r="O215" s="22">
        <v>1</v>
      </c>
      <c r="P215" s="22">
        <v>1</v>
      </c>
      <c r="Q215" s="22">
        <v>1</v>
      </c>
      <c r="R215" s="22">
        <v>1</v>
      </c>
      <c r="S215" s="22">
        <v>1</v>
      </c>
      <c r="T215" s="22">
        <v>1</v>
      </c>
      <c r="U215" s="22">
        <v>1</v>
      </c>
      <c r="V215" s="22">
        <v>1</v>
      </c>
      <c r="W215" s="64">
        <f t="shared" si="157"/>
        <v>1</v>
      </c>
      <c r="Y215" s="8">
        <v>-34.14</v>
      </c>
      <c r="Z215" s="8">
        <v>-0.3</v>
      </c>
      <c r="AA215" s="8">
        <v>-0.6</v>
      </c>
      <c r="AB215" s="8">
        <v>0</v>
      </c>
      <c r="AC215" s="8">
        <v>0</v>
      </c>
      <c r="AD215" s="8">
        <f t="shared" si="161"/>
        <v>-35.04</v>
      </c>
      <c r="AE215" s="2" t="s">
        <v>91</v>
      </c>
      <c r="AG215" s="8">
        <v>-880000</v>
      </c>
      <c r="AH215" s="8">
        <v>-880000</v>
      </c>
      <c r="AI215" s="6"/>
      <c r="AJ215" s="71">
        <v>0</v>
      </c>
      <c r="AK215" s="71">
        <v>0</v>
      </c>
      <c r="AL215" s="72">
        <v>0</v>
      </c>
      <c r="AM215" s="22"/>
      <c r="AO215" s="22" t="s">
        <v>126</v>
      </c>
      <c r="AP215" s="23" t="s">
        <v>570</v>
      </c>
      <c r="AQ215" s="22" t="s">
        <v>100</v>
      </c>
      <c r="AR215" s="51" t="str">
        <f t="shared" si="145"/>
        <v>JD8B-F16115-AA</v>
      </c>
      <c r="AS215" s="3"/>
      <c r="AT215" s="22">
        <v>1</v>
      </c>
      <c r="AU215" s="22">
        <v>1</v>
      </c>
      <c r="AV215" s="22">
        <v>1</v>
      </c>
      <c r="AW215" s="22">
        <v>1</v>
      </c>
      <c r="AX215" s="22">
        <v>1</v>
      </c>
      <c r="AY215" s="22">
        <v>1</v>
      </c>
      <c r="AZ215" s="22">
        <v>1</v>
      </c>
      <c r="BA215" s="22">
        <v>1</v>
      </c>
      <c r="BB215" s="64">
        <f t="shared" si="146"/>
        <v>1</v>
      </c>
      <c r="BD215" s="2">
        <v>-34.14</v>
      </c>
      <c r="BE215" s="2">
        <v>-0.3</v>
      </c>
      <c r="BF215" s="2">
        <v>-0.6</v>
      </c>
      <c r="BG215" s="2">
        <v>0</v>
      </c>
      <c r="BH215" s="2">
        <v>0</v>
      </c>
      <c r="BI215" s="8">
        <f t="shared" si="170"/>
        <v>-35.04</v>
      </c>
      <c r="BJ215" s="2" t="s">
        <v>91</v>
      </c>
      <c r="BL215" s="2">
        <v>-880000</v>
      </c>
      <c r="BM215" s="2">
        <v>-880000</v>
      </c>
      <c r="BO215" s="71">
        <v>0</v>
      </c>
      <c r="BP215" s="71">
        <v>0</v>
      </c>
      <c r="BQ215" s="72">
        <v>0</v>
      </c>
      <c r="BS215" s="61">
        <f t="shared" si="158"/>
        <v>0</v>
      </c>
      <c r="BT215" s="61">
        <f t="shared" si="159"/>
        <v>0</v>
      </c>
      <c r="BU215" s="61">
        <f t="shared" si="160"/>
        <v>0</v>
      </c>
      <c r="BV215" s="61">
        <f t="shared" si="160"/>
        <v>0</v>
      </c>
      <c r="BW215" s="61">
        <f t="shared" si="160"/>
        <v>0</v>
      </c>
      <c r="BX215" s="61">
        <f t="shared" si="155"/>
        <v>0</v>
      </c>
      <c r="BY215" s="61" t="s">
        <v>91</v>
      </c>
      <c r="CA215" s="61">
        <f t="shared" si="164"/>
        <v>0</v>
      </c>
      <c r="CB215" s="61">
        <f t="shared" si="164"/>
        <v>0</v>
      </c>
      <c r="CC215" s="61">
        <f t="shared" si="164"/>
        <v>0</v>
      </c>
      <c r="CD215" s="61">
        <f t="shared" si="164"/>
        <v>0</v>
      </c>
      <c r="CE215" s="61">
        <f t="shared" si="164"/>
        <v>0</v>
      </c>
      <c r="CF215" s="61">
        <f t="shared" si="164"/>
        <v>0</v>
      </c>
      <c r="CG215" s="61">
        <f t="shared" si="164"/>
        <v>0</v>
      </c>
      <c r="CH215" s="61">
        <f t="shared" si="164"/>
        <v>0</v>
      </c>
      <c r="CI215" s="61">
        <f t="shared" si="176"/>
        <v>0</v>
      </c>
      <c r="CJ215" s="61"/>
      <c r="CK215" s="61">
        <f t="shared" si="165"/>
        <v>0</v>
      </c>
      <c r="CL215" s="61">
        <f t="shared" si="165"/>
        <v>0</v>
      </c>
      <c r="CM215" s="61">
        <f t="shared" si="165"/>
        <v>0</v>
      </c>
      <c r="CN215" s="61">
        <f t="shared" si="165"/>
        <v>0</v>
      </c>
      <c r="CO215" s="61">
        <f t="shared" si="165"/>
        <v>0</v>
      </c>
      <c r="CP215" s="61">
        <f t="shared" si="165"/>
        <v>0</v>
      </c>
      <c r="CQ215" s="61">
        <f t="shared" si="165"/>
        <v>0</v>
      </c>
      <c r="CR215" s="61">
        <f t="shared" si="165"/>
        <v>0</v>
      </c>
      <c r="CS215" s="61">
        <f t="shared" si="177"/>
        <v>0</v>
      </c>
      <c r="CT215" s="61">
        <f t="shared" si="178"/>
        <v>0</v>
      </c>
      <c r="CV215" s="61">
        <f t="shared" si="179"/>
        <v>0</v>
      </c>
      <c r="CW215" s="61">
        <f t="shared" si="148"/>
        <v>0</v>
      </c>
      <c r="CX215" s="61"/>
      <c r="CY215" s="61">
        <f t="shared" si="149"/>
        <v>0</v>
      </c>
      <c r="CZ215" s="61">
        <f t="shared" si="163"/>
        <v>0</v>
      </c>
      <c r="DA215" s="61">
        <f t="shared" si="163"/>
        <v>0</v>
      </c>
      <c r="DB215" s="2" t="s">
        <v>85</v>
      </c>
      <c r="DC215" s="2" t="s">
        <v>85</v>
      </c>
      <c r="DD215" s="2" t="s">
        <v>142</v>
      </c>
      <c r="DE215" s="2" t="s">
        <v>181</v>
      </c>
      <c r="DG215" s="62"/>
      <c r="DZ215" s="3" t="e">
        <v>#N/A</v>
      </c>
      <c r="EC215" s="60"/>
      <c r="ED215" s="60"/>
      <c r="EE215" s="60"/>
      <c r="EF215" s="60"/>
    </row>
    <row r="216" spans="2:140" ht="12.75" hidden="1" customHeight="1">
      <c r="B216" s="93" t="s">
        <v>572</v>
      </c>
      <c r="C216" s="22" t="s">
        <v>567</v>
      </c>
      <c r="D216" s="22" t="s">
        <v>568</v>
      </c>
      <c r="E216" s="2" t="str">
        <f>VLOOKUP($C216,[1]Detail!$C:$AK,6,0)</f>
        <v>PMT1</v>
      </c>
      <c r="F216" s="2" t="str">
        <f>VLOOKUP($C216,[1]Detail!$C:$AK,7,0)</f>
        <v>TH</v>
      </c>
      <c r="G216" s="2" t="str">
        <f>VLOOKUP($C216,[1]Detail!$C:$AK,5,0)</f>
        <v>D</v>
      </c>
      <c r="J216" s="22" t="s">
        <v>126</v>
      </c>
      <c r="K216" s="23" t="s">
        <v>569</v>
      </c>
      <c r="L216" s="22" t="s">
        <v>234</v>
      </c>
      <c r="M216" s="51" t="str">
        <f t="shared" si="156"/>
        <v>JD8B-F16114-AC</v>
      </c>
      <c r="O216" s="22">
        <v>1</v>
      </c>
      <c r="P216" s="22">
        <v>1</v>
      </c>
      <c r="Q216" s="22">
        <v>1</v>
      </c>
      <c r="R216" s="22">
        <v>1</v>
      </c>
      <c r="S216" s="22">
        <v>1</v>
      </c>
      <c r="T216" s="22">
        <v>1</v>
      </c>
      <c r="U216" s="22">
        <v>1</v>
      </c>
      <c r="V216" s="22">
        <v>1</v>
      </c>
      <c r="W216" s="64">
        <f t="shared" si="157"/>
        <v>1</v>
      </c>
      <c r="Y216" s="8">
        <f>-34.61*0-34.03</f>
        <v>-34.03</v>
      </c>
      <c r="Z216" s="8">
        <v>-0.3</v>
      </c>
      <c r="AA216" s="8">
        <v>-0.6</v>
      </c>
      <c r="AB216" s="8">
        <v>0</v>
      </c>
      <c r="AC216" s="8">
        <v>0</v>
      </c>
      <c r="AD216" s="8">
        <f t="shared" si="161"/>
        <v>-34.93</v>
      </c>
      <c r="AE216" s="2" t="s">
        <v>91</v>
      </c>
      <c r="AG216" s="8">
        <v>-880000</v>
      </c>
      <c r="AH216" s="8">
        <v>-880000</v>
      </c>
      <c r="AI216" s="6"/>
      <c r="AJ216" s="71">
        <v>0</v>
      </c>
      <c r="AK216" s="71">
        <v>0</v>
      </c>
      <c r="AL216" s="72">
        <v>0</v>
      </c>
      <c r="AM216" s="22"/>
      <c r="AO216" s="22" t="s">
        <v>126</v>
      </c>
      <c r="AP216" s="23" t="s">
        <v>569</v>
      </c>
      <c r="AQ216" s="22" t="s">
        <v>132</v>
      </c>
      <c r="AR216" s="51" t="str">
        <f t="shared" si="145"/>
        <v>JD8B-F16114-AB</v>
      </c>
      <c r="AS216" s="3"/>
      <c r="AT216" s="22">
        <v>1</v>
      </c>
      <c r="AU216" s="22">
        <v>1</v>
      </c>
      <c r="AV216" s="22">
        <v>1</v>
      </c>
      <c r="AW216" s="22">
        <v>1</v>
      </c>
      <c r="AX216" s="22">
        <v>1</v>
      </c>
      <c r="AY216" s="22">
        <v>1</v>
      </c>
      <c r="AZ216" s="22">
        <v>1</v>
      </c>
      <c r="BA216" s="22">
        <v>1</v>
      </c>
      <c r="BB216" s="64">
        <f t="shared" si="146"/>
        <v>1</v>
      </c>
      <c r="BD216" s="2">
        <v>-34.61</v>
      </c>
      <c r="BE216" s="2">
        <v>-0.3</v>
      </c>
      <c r="BF216" s="2">
        <v>-0.6</v>
      </c>
      <c r="BG216" s="2">
        <v>0</v>
      </c>
      <c r="BH216" s="2">
        <v>0</v>
      </c>
      <c r="BI216" s="8">
        <f t="shared" si="170"/>
        <v>-35.51</v>
      </c>
      <c r="BJ216" s="2" t="s">
        <v>91</v>
      </c>
      <c r="BL216" s="2">
        <v>-880000</v>
      </c>
      <c r="BM216" s="2">
        <v>-880000</v>
      </c>
      <c r="BO216" s="71">
        <v>0</v>
      </c>
      <c r="BP216" s="71">
        <v>0</v>
      </c>
      <c r="BQ216" s="72">
        <v>0</v>
      </c>
      <c r="BS216" s="61">
        <f t="shared" si="158"/>
        <v>0.57999999999999829</v>
      </c>
      <c r="BT216" s="61">
        <f t="shared" si="159"/>
        <v>0</v>
      </c>
      <c r="BU216" s="61">
        <f t="shared" si="160"/>
        <v>0</v>
      </c>
      <c r="BV216" s="61">
        <f t="shared" si="160"/>
        <v>0</v>
      </c>
      <c r="BW216" s="61">
        <f t="shared" si="160"/>
        <v>0</v>
      </c>
      <c r="BX216" s="61">
        <f t="shared" si="155"/>
        <v>0.57999999999999829</v>
      </c>
      <c r="BY216" s="61" t="s">
        <v>91</v>
      </c>
      <c r="CA216" s="61">
        <f t="shared" si="164"/>
        <v>8.7257409357604676E-2</v>
      </c>
      <c r="CB216" s="61">
        <f t="shared" si="164"/>
        <v>8.7257409357604676E-2</v>
      </c>
      <c r="CC216" s="61">
        <f t="shared" si="164"/>
        <v>8.7257409357604676E-2</v>
      </c>
      <c r="CD216" s="61">
        <f t="shared" si="164"/>
        <v>8.7257409357604676E-2</v>
      </c>
      <c r="CE216" s="61">
        <f t="shared" si="164"/>
        <v>8.7257409357604676E-2</v>
      </c>
      <c r="CF216" s="61">
        <f t="shared" si="164"/>
        <v>8.7257409357604676E-2</v>
      </c>
      <c r="CG216" s="61">
        <f t="shared" si="164"/>
        <v>8.7257409357604676E-2</v>
      </c>
      <c r="CH216" s="61">
        <f t="shared" si="164"/>
        <v>8.7257409357604676E-2</v>
      </c>
      <c r="CI216" s="61">
        <f t="shared" si="176"/>
        <v>8.7257409357604676E-2</v>
      </c>
      <c r="CJ216" s="61"/>
      <c r="CK216" s="61">
        <f t="shared" si="165"/>
        <v>8.7257409357604676E-2</v>
      </c>
      <c r="CL216" s="61">
        <f t="shared" si="165"/>
        <v>8.7257409357604676E-2</v>
      </c>
      <c r="CM216" s="61">
        <f t="shared" si="165"/>
        <v>8.7257409357604676E-2</v>
      </c>
      <c r="CN216" s="61">
        <f t="shared" si="165"/>
        <v>8.7257409357604676E-2</v>
      </c>
      <c r="CO216" s="61">
        <f t="shared" si="165"/>
        <v>8.7257409357604676E-2</v>
      </c>
      <c r="CP216" s="61">
        <f t="shared" si="165"/>
        <v>8.7257409357604676E-2</v>
      </c>
      <c r="CQ216" s="61">
        <f t="shared" si="165"/>
        <v>8.7257409357604676E-2</v>
      </c>
      <c r="CR216" s="61">
        <f t="shared" si="165"/>
        <v>8.7257409357604676E-2</v>
      </c>
      <c r="CS216" s="61">
        <f t="shared" si="177"/>
        <v>8.7257409357604676E-2</v>
      </c>
      <c r="CT216" s="61">
        <f t="shared" si="178"/>
        <v>0.57999999999999829</v>
      </c>
      <c r="CV216" s="61">
        <f t="shared" si="179"/>
        <v>0</v>
      </c>
      <c r="CW216" s="61">
        <f t="shared" si="148"/>
        <v>0</v>
      </c>
      <c r="CX216" s="61"/>
      <c r="CY216" s="61">
        <f t="shared" si="149"/>
        <v>0</v>
      </c>
      <c r="CZ216" s="61">
        <f t="shared" si="163"/>
        <v>0</v>
      </c>
      <c r="DA216" s="61">
        <f t="shared" si="163"/>
        <v>0</v>
      </c>
      <c r="DB216" s="2" t="s">
        <v>85</v>
      </c>
      <c r="DC216" s="2" t="s">
        <v>85</v>
      </c>
      <c r="DD216" s="2" t="s">
        <v>142</v>
      </c>
      <c r="DE216" s="2" t="s">
        <v>181</v>
      </c>
      <c r="DG216" s="62"/>
      <c r="DZ216" s="3" t="e">
        <v>#N/A</v>
      </c>
      <c r="EC216" s="60"/>
      <c r="ED216" s="60"/>
      <c r="EE216" s="60"/>
      <c r="EF216" s="60"/>
    </row>
    <row r="217" spans="2:140" ht="12.75" hidden="1" customHeight="1">
      <c r="B217" s="93" t="s">
        <v>572</v>
      </c>
      <c r="C217" s="22" t="s">
        <v>567</v>
      </c>
      <c r="D217" s="22" t="s">
        <v>568</v>
      </c>
      <c r="E217" s="2" t="str">
        <f>VLOOKUP($C217,[1]Detail!$C:$AK,6,0)</f>
        <v>PMT1</v>
      </c>
      <c r="F217" s="2" t="str">
        <f>VLOOKUP($C217,[1]Detail!$C:$AK,7,0)</f>
        <v>TH</v>
      </c>
      <c r="G217" s="2" t="str">
        <f>VLOOKUP($C217,[1]Detail!$C:$AK,5,0)</f>
        <v>D</v>
      </c>
      <c r="J217" s="22" t="s">
        <v>126</v>
      </c>
      <c r="K217" s="23" t="s">
        <v>570</v>
      </c>
      <c r="L217" s="22" t="s">
        <v>234</v>
      </c>
      <c r="M217" s="51" t="str">
        <f t="shared" si="156"/>
        <v>JD8B-F16115-AC</v>
      </c>
      <c r="O217" s="22">
        <v>1</v>
      </c>
      <c r="P217" s="22">
        <v>1</v>
      </c>
      <c r="Q217" s="22">
        <v>1</v>
      </c>
      <c r="R217" s="22">
        <v>1</v>
      </c>
      <c r="S217" s="22">
        <v>1</v>
      </c>
      <c r="T217" s="22">
        <v>1</v>
      </c>
      <c r="U217" s="22">
        <v>1</v>
      </c>
      <c r="V217" s="22">
        <v>1</v>
      </c>
      <c r="W217" s="64">
        <f t="shared" si="157"/>
        <v>1</v>
      </c>
      <c r="Y217" s="8">
        <f>-34.14*0-33.56</f>
        <v>-33.56</v>
      </c>
      <c r="Z217" s="8">
        <v>-0.3</v>
      </c>
      <c r="AA217" s="8">
        <v>-0.6</v>
      </c>
      <c r="AB217" s="8">
        <v>0</v>
      </c>
      <c r="AC217" s="8">
        <v>0</v>
      </c>
      <c r="AD217" s="8">
        <f t="shared" si="161"/>
        <v>-34.46</v>
      </c>
      <c r="AE217" s="2" t="s">
        <v>91</v>
      </c>
      <c r="AG217" s="8">
        <v>-880000</v>
      </c>
      <c r="AH217" s="8">
        <v>-880000</v>
      </c>
      <c r="AI217" s="6"/>
      <c r="AJ217" s="71">
        <v>0</v>
      </c>
      <c r="AK217" s="71">
        <v>0</v>
      </c>
      <c r="AL217" s="72">
        <v>0</v>
      </c>
      <c r="AM217" s="22"/>
      <c r="AO217" s="22" t="s">
        <v>126</v>
      </c>
      <c r="AP217" s="23" t="s">
        <v>570</v>
      </c>
      <c r="AQ217" s="22" t="s">
        <v>132</v>
      </c>
      <c r="AR217" s="51" t="str">
        <f t="shared" si="145"/>
        <v>JD8B-F16115-AB</v>
      </c>
      <c r="AS217" s="3"/>
      <c r="AT217" s="22">
        <v>1</v>
      </c>
      <c r="AU217" s="22">
        <v>1</v>
      </c>
      <c r="AV217" s="22">
        <v>1</v>
      </c>
      <c r="AW217" s="22">
        <v>1</v>
      </c>
      <c r="AX217" s="22">
        <v>1</v>
      </c>
      <c r="AY217" s="22">
        <v>1</v>
      </c>
      <c r="AZ217" s="22">
        <v>1</v>
      </c>
      <c r="BA217" s="22">
        <v>1</v>
      </c>
      <c r="BB217" s="64">
        <f t="shared" si="146"/>
        <v>1</v>
      </c>
      <c r="BD217" s="2">
        <v>-34.14</v>
      </c>
      <c r="BE217" s="2">
        <v>-0.3</v>
      </c>
      <c r="BF217" s="2">
        <v>-0.6</v>
      </c>
      <c r="BG217" s="2">
        <v>0</v>
      </c>
      <c r="BH217" s="2">
        <v>0</v>
      </c>
      <c r="BI217" s="8">
        <f t="shared" si="170"/>
        <v>-35.04</v>
      </c>
      <c r="BJ217" s="2" t="s">
        <v>91</v>
      </c>
      <c r="BL217" s="2">
        <v>-880000</v>
      </c>
      <c r="BM217" s="2">
        <v>-880000</v>
      </c>
      <c r="BO217" s="71">
        <v>0</v>
      </c>
      <c r="BP217" s="71">
        <v>0</v>
      </c>
      <c r="BQ217" s="72">
        <v>0</v>
      </c>
      <c r="BS217" s="61">
        <f t="shared" si="158"/>
        <v>0.57999999999999829</v>
      </c>
      <c r="BT217" s="61">
        <f t="shared" si="159"/>
        <v>0</v>
      </c>
      <c r="BU217" s="61">
        <f t="shared" si="160"/>
        <v>0</v>
      </c>
      <c r="BV217" s="61">
        <f t="shared" si="160"/>
        <v>0</v>
      </c>
      <c r="BW217" s="61">
        <f t="shared" si="160"/>
        <v>0</v>
      </c>
      <c r="BX217" s="61">
        <f t="shared" si="155"/>
        <v>0.57999999999999829</v>
      </c>
      <c r="BY217" s="61" t="s">
        <v>91</v>
      </c>
      <c r="CA217" s="61">
        <f t="shared" si="164"/>
        <v>8.7257409357604676E-2</v>
      </c>
      <c r="CB217" s="61">
        <f t="shared" si="164"/>
        <v>8.7257409357604676E-2</v>
      </c>
      <c r="CC217" s="61">
        <f t="shared" si="164"/>
        <v>8.7257409357604676E-2</v>
      </c>
      <c r="CD217" s="61">
        <f t="shared" si="164"/>
        <v>8.7257409357604676E-2</v>
      </c>
      <c r="CE217" s="61">
        <f t="shared" si="164"/>
        <v>8.7257409357604676E-2</v>
      </c>
      <c r="CF217" s="61">
        <f t="shared" si="164"/>
        <v>8.7257409357604676E-2</v>
      </c>
      <c r="CG217" s="61">
        <f t="shared" si="164"/>
        <v>8.7257409357604676E-2</v>
      </c>
      <c r="CH217" s="61">
        <f t="shared" si="164"/>
        <v>8.7257409357604676E-2</v>
      </c>
      <c r="CI217" s="61">
        <f t="shared" si="176"/>
        <v>8.7257409357604676E-2</v>
      </c>
      <c r="CJ217" s="61"/>
      <c r="CK217" s="61">
        <f t="shared" si="165"/>
        <v>8.7257409357604676E-2</v>
      </c>
      <c r="CL217" s="61">
        <f t="shared" si="165"/>
        <v>8.7257409357604676E-2</v>
      </c>
      <c r="CM217" s="61">
        <f t="shared" si="165"/>
        <v>8.7257409357604676E-2</v>
      </c>
      <c r="CN217" s="61">
        <f t="shared" si="165"/>
        <v>8.7257409357604676E-2</v>
      </c>
      <c r="CO217" s="61">
        <f t="shared" si="165"/>
        <v>8.7257409357604676E-2</v>
      </c>
      <c r="CP217" s="61">
        <f t="shared" si="165"/>
        <v>8.7257409357604676E-2</v>
      </c>
      <c r="CQ217" s="61">
        <f t="shared" si="165"/>
        <v>8.7257409357604676E-2</v>
      </c>
      <c r="CR217" s="61">
        <f t="shared" si="165"/>
        <v>8.7257409357604676E-2</v>
      </c>
      <c r="CS217" s="61">
        <f t="shared" si="177"/>
        <v>8.7257409357604676E-2</v>
      </c>
      <c r="CT217" s="61">
        <f t="shared" si="178"/>
        <v>0.57999999999999829</v>
      </c>
      <c r="CV217" s="61">
        <f t="shared" si="179"/>
        <v>0</v>
      </c>
      <c r="CW217" s="61">
        <f t="shared" si="148"/>
        <v>0</v>
      </c>
      <c r="CX217" s="61"/>
      <c r="CY217" s="61">
        <f t="shared" si="149"/>
        <v>0</v>
      </c>
      <c r="CZ217" s="61">
        <f t="shared" si="163"/>
        <v>0</v>
      </c>
      <c r="DA217" s="61">
        <f t="shared" si="163"/>
        <v>0</v>
      </c>
      <c r="DB217" s="2" t="s">
        <v>85</v>
      </c>
      <c r="DC217" s="2" t="s">
        <v>85</v>
      </c>
      <c r="DD217" s="2" t="s">
        <v>142</v>
      </c>
      <c r="DE217" s="2" t="s">
        <v>181</v>
      </c>
      <c r="DG217" s="62"/>
      <c r="DZ217" s="3" t="e">
        <v>#N/A</v>
      </c>
      <c r="EC217" s="60"/>
      <c r="ED217" s="60"/>
      <c r="EE217" s="60"/>
      <c r="EF217" s="60"/>
    </row>
    <row r="218" spans="2:140" ht="12.75" hidden="1" customHeight="1">
      <c r="B218" s="93" t="s">
        <v>573</v>
      </c>
      <c r="C218" s="22" t="s">
        <v>271</v>
      </c>
      <c r="D218" s="22" t="s">
        <v>146</v>
      </c>
      <c r="E218" s="2" t="str">
        <f>VLOOKUP($C218,[1]Detail!$C:$AK,6,0)</f>
        <v>BIW</v>
      </c>
      <c r="F218" s="2" t="s">
        <v>273</v>
      </c>
      <c r="G218" s="2" t="str">
        <f>VLOOKUP($C218,[1]Detail!$C:$AK,5,0)</f>
        <v>D</v>
      </c>
      <c r="J218" s="22" t="s">
        <v>126</v>
      </c>
      <c r="K218" s="23" t="s">
        <v>574</v>
      </c>
      <c r="L218" s="22" t="s">
        <v>100</v>
      </c>
      <c r="M218" s="51" t="str">
        <f t="shared" si="156"/>
        <v>JD8B-6A095 -AA</v>
      </c>
      <c r="O218" s="22">
        <v>0</v>
      </c>
      <c r="P218" s="22">
        <v>1</v>
      </c>
      <c r="Q218" s="22">
        <v>0</v>
      </c>
      <c r="R218" s="22">
        <v>1</v>
      </c>
      <c r="S218" s="22">
        <v>0</v>
      </c>
      <c r="T218" s="22">
        <v>1</v>
      </c>
      <c r="U218" s="22">
        <v>1</v>
      </c>
      <c r="V218" s="22">
        <v>1</v>
      </c>
      <c r="W218" s="64">
        <f t="shared" si="157"/>
        <v>0.63000000000000012</v>
      </c>
      <c r="Y218" s="8">
        <v>-6.39</v>
      </c>
      <c r="Z218" s="8">
        <v>-0.08</v>
      </c>
      <c r="AA218" s="8">
        <v>-0.05</v>
      </c>
      <c r="AB218" s="8">
        <v>0</v>
      </c>
      <c r="AC218" s="8">
        <v>0</v>
      </c>
      <c r="AD218" s="8">
        <f t="shared" si="161"/>
        <v>-6.52</v>
      </c>
      <c r="AE218" s="2" t="s">
        <v>91</v>
      </c>
      <c r="AG218" s="8">
        <v>-486658</v>
      </c>
      <c r="AH218" s="8">
        <v>-486658</v>
      </c>
      <c r="AI218" s="6"/>
      <c r="AJ218" s="71">
        <v>0</v>
      </c>
      <c r="AK218" s="71">
        <v>0</v>
      </c>
      <c r="AL218" s="72">
        <v>0</v>
      </c>
      <c r="AM218" s="22" t="s">
        <v>575</v>
      </c>
      <c r="AO218" s="22" t="s">
        <v>576</v>
      </c>
      <c r="AP218" s="23" t="s">
        <v>574</v>
      </c>
      <c r="AQ218" s="22" t="s">
        <v>162</v>
      </c>
      <c r="AR218" s="51" t="str">
        <f t="shared" si="145"/>
        <v>3M51-6A095 -AD</v>
      </c>
      <c r="AS218" s="3"/>
      <c r="AT218" s="22">
        <v>0</v>
      </c>
      <c r="AU218" s="22">
        <v>1</v>
      </c>
      <c r="AV218" s="22">
        <v>0</v>
      </c>
      <c r="AW218" s="22">
        <v>1</v>
      </c>
      <c r="AX218" s="22">
        <v>0</v>
      </c>
      <c r="AY218" s="22">
        <v>1</v>
      </c>
      <c r="AZ218" s="22">
        <v>1</v>
      </c>
      <c r="BA218" s="22">
        <v>1</v>
      </c>
      <c r="BB218" s="64">
        <f t="shared" si="146"/>
        <v>0.63000000000000012</v>
      </c>
      <c r="BD218" s="60">
        <v>-4.51</v>
      </c>
      <c r="BE218" s="60">
        <v>-0.08</v>
      </c>
      <c r="BF218" s="60">
        <v>-0.05</v>
      </c>
      <c r="BG218" s="60">
        <v>0</v>
      </c>
      <c r="BH218" s="60">
        <v>0</v>
      </c>
      <c r="BI218" s="8">
        <f t="shared" si="170"/>
        <v>-4.6399999999999997</v>
      </c>
      <c r="BJ218" s="2" t="s">
        <v>91</v>
      </c>
      <c r="BL218" s="70">
        <v>0</v>
      </c>
      <c r="BM218" s="70">
        <v>0</v>
      </c>
      <c r="BO218" s="71">
        <v>0</v>
      </c>
      <c r="BP218" s="71">
        <v>0</v>
      </c>
      <c r="BQ218" s="72">
        <v>0</v>
      </c>
      <c r="BS218" s="61">
        <f t="shared" si="158"/>
        <v>-1.88</v>
      </c>
      <c r="BT218" s="61">
        <f t="shared" si="159"/>
        <v>0</v>
      </c>
      <c r="BU218" s="61">
        <f t="shared" si="160"/>
        <v>0</v>
      </c>
      <c r="BV218" s="61">
        <f t="shared" si="160"/>
        <v>0</v>
      </c>
      <c r="BW218" s="61">
        <f t="shared" si="160"/>
        <v>0</v>
      </c>
      <c r="BX218" s="61">
        <f t="shared" si="155"/>
        <v>-1.88</v>
      </c>
      <c r="BY218" s="61" t="s">
        <v>91</v>
      </c>
      <c r="CA218" s="61">
        <f t="shared" si="164"/>
        <v>0</v>
      </c>
      <c r="CB218" s="61">
        <f t="shared" si="164"/>
        <v>-0.28283436136602974</v>
      </c>
      <c r="CC218" s="61">
        <f t="shared" si="164"/>
        <v>0</v>
      </c>
      <c r="CD218" s="61">
        <f t="shared" si="164"/>
        <v>-0.28283436136602974</v>
      </c>
      <c r="CE218" s="61">
        <f t="shared" si="164"/>
        <v>0</v>
      </c>
      <c r="CF218" s="61">
        <f t="shared" si="164"/>
        <v>-0.28283436136602974</v>
      </c>
      <c r="CG218" s="61">
        <f t="shared" si="164"/>
        <v>-0.28283436136602974</v>
      </c>
      <c r="CH218" s="61">
        <f t="shared" si="164"/>
        <v>-0.28283436136602974</v>
      </c>
      <c r="CI218" s="61">
        <f t="shared" si="176"/>
        <v>-0.17818564766059874</v>
      </c>
      <c r="CJ218" s="61"/>
      <c r="CK218" s="61">
        <f t="shared" si="165"/>
        <v>0</v>
      </c>
      <c r="CL218" s="61">
        <f t="shared" si="165"/>
        <v>-0.28283436136602974</v>
      </c>
      <c r="CM218" s="61">
        <f t="shared" si="165"/>
        <v>0</v>
      </c>
      <c r="CN218" s="61">
        <f t="shared" si="165"/>
        <v>-0.28283436136602974</v>
      </c>
      <c r="CO218" s="61">
        <f t="shared" si="165"/>
        <v>0</v>
      </c>
      <c r="CP218" s="61">
        <f t="shared" si="165"/>
        <v>-0.28283436136602974</v>
      </c>
      <c r="CQ218" s="61">
        <f t="shared" si="165"/>
        <v>-0.28283436136602974</v>
      </c>
      <c r="CR218" s="61">
        <f t="shared" si="165"/>
        <v>-0.28283436136602974</v>
      </c>
      <c r="CS218" s="61">
        <f t="shared" si="177"/>
        <v>-0.17818564766059874</v>
      </c>
      <c r="CT218" s="61">
        <f t="shared" si="178"/>
        <v>-1.1843999999999999</v>
      </c>
      <c r="CV218" s="61">
        <f t="shared" si="179"/>
        <v>-486658</v>
      </c>
      <c r="CW218" s="61">
        <f t="shared" si="148"/>
        <v>-486658</v>
      </c>
      <c r="CX218" s="61"/>
      <c r="CY218" s="61">
        <f t="shared" si="149"/>
        <v>0</v>
      </c>
      <c r="CZ218" s="61">
        <f t="shared" si="163"/>
        <v>0</v>
      </c>
      <c r="DA218" s="61">
        <f t="shared" si="163"/>
        <v>0</v>
      </c>
      <c r="DB218" s="2" t="s">
        <v>85</v>
      </c>
      <c r="DC218" s="2" t="s">
        <v>102</v>
      </c>
      <c r="DD218" s="2" t="s">
        <v>142</v>
      </c>
      <c r="DE218" s="2" t="s">
        <v>181</v>
      </c>
      <c r="DF218" s="3" t="s">
        <v>102</v>
      </c>
      <c r="DG218" s="62">
        <v>42823</v>
      </c>
      <c r="EC218" s="60"/>
      <c r="ED218" s="60"/>
      <c r="EE218" s="60"/>
      <c r="EF218" s="60"/>
    </row>
    <row r="219" spans="2:140" ht="12.75" hidden="1" customHeight="1">
      <c r="B219" s="93" t="s">
        <v>573</v>
      </c>
      <c r="C219" s="22" t="s">
        <v>271</v>
      </c>
      <c r="D219" s="22" t="s">
        <v>146</v>
      </c>
      <c r="E219" s="2" t="str">
        <f>VLOOKUP($C219,[1]Detail!$C:$AK,6,0)</f>
        <v>BIW</v>
      </c>
      <c r="F219" s="2" t="s">
        <v>273</v>
      </c>
      <c r="G219" s="2" t="str">
        <f>VLOOKUP($C219,[1]Detail!$C:$AK,5,0)</f>
        <v>D</v>
      </c>
      <c r="J219" s="22" t="s">
        <v>126</v>
      </c>
      <c r="K219" s="23" t="s">
        <v>577</v>
      </c>
      <c r="L219" s="22" t="s">
        <v>100</v>
      </c>
      <c r="M219" s="51" t="str">
        <f t="shared" si="156"/>
        <v>JD8B-R6E042 -AA</v>
      </c>
      <c r="O219" s="22">
        <v>0</v>
      </c>
      <c r="P219" s="22">
        <v>1</v>
      </c>
      <c r="Q219" s="22">
        <v>0</v>
      </c>
      <c r="R219" s="22">
        <v>1</v>
      </c>
      <c r="S219" s="22">
        <v>0</v>
      </c>
      <c r="T219" s="22">
        <v>1</v>
      </c>
      <c r="U219" s="22">
        <v>1</v>
      </c>
      <c r="V219" s="22">
        <v>1</v>
      </c>
      <c r="W219" s="64">
        <f t="shared" si="157"/>
        <v>0.63000000000000012</v>
      </c>
      <c r="Y219" s="8">
        <v>-7.07</v>
      </c>
      <c r="Z219" s="8">
        <v>-0.08</v>
      </c>
      <c r="AA219" s="8">
        <v>-0.05</v>
      </c>
      <c r="AB219" s="8">
        <v>0</v>
      </c>
      <c r="AC219" s="8">
        <v>0</v>
      </c>
      <c r="AD219" s="8">
        <f t="shared" si="161"/>
        <v>-7.2</v>
      </c>
      <c r="AE219" s="2" t="s">
        <v>91</v>
      </c>
      <c r="AG219" s="8">
        <v>-476658</v>
      </c>
      <c r="AH219" s="8">
        <v>-476658</v>
      </c>
      <c r="AI219" s="6"/>
      <c r="AJ219" s="71">
        <v>0</v>
      </c>
      <c r="AK219" s="71">
        <v>0</v>
      </c>
      <c r="AL219" s="72">
        <v>0</v>
      </c>
      <c r="AM219" s="22"/>
      <c r="AO219" s="22" t="s">
        <v>576</v>
      </c>
      <c r="AP219" s="23" t="s">
        <v>577</v>
      </c>
      <c r="AQ219" s="22" t="s">
        <v>578</v>
      </c>
      <c r="AR219" s="51" t="str">
        <f t="shared" si="145"/>
        <v>3M51-R6E042 -AF</v>
      </c>
      <c r="AS219" s="3"/>
      <c r="AT219" s="22">
        <v>0</v>
      </c>
      <c r="AU219" s="22">
        <v>1</v>
      </c>
      <c r="AV219" s="22">
        <v>0</v>
      </c>
      <c r="AW219" s="22">
        <v>1</v>
      </c>
      <c r="AX219" s="22">
        <v>0</v>
      </c>
      <c r="AY219" s="22">
        <v>1</v>
      </c>
      <c r="AZ219" s="22">
        <v>1</v>
      </c>
      <c r="BA219" s="22">
        <v>1</v>
      </c>
      <c r="BB219" s="64">
        <f t="shared" si="146"/>
        <v>0.63000000000000012</v>
      </c>
      <c r="BD219" s="60">
        <v>-4.47</v>
      </c>
      <c r="BE219" s="60">
        <v>-0.08</v>
      </c>
      <c r="BF219" s="60">
        <v>-0.05</v>
      </c>
      <c r="BG219" s="60">
        <v>0</v>
      </c>
      <c r="BH219" s="60">
        <v>0</v>
      </c>
      <c r="BI219" s="8">
        <f t="shared" si="170"/>
        <v>-4.5999999999999996</v>
      </c>
      <c r="BJ219" s="2" t="s">
        <v>91</v>
      </c>
      <c r="BL219" s="70">
        <v>0</v>
      </c>
      <c r="BM219" s="70">
        <v>0</v>
      </c>
      <c r="BO219" s="71">
        <v>0</v>
      </c>
      <c r="BP219" s="71">
        <v>0</v>
      </c>
      <c r="BQ219" s="72">
        <v>0</v>
      </c>
      <c r="BS219" s="61">
        <f t="shared" si="158"/>
        <v>-2.6000000000000005</v>
      </c>
      <c r="BT219" s="61">
        <f t="shared" si="159"/>
        <v>0</v>
      </c>
      <c r="BU219" s="61">
        <f t="shared" si="160"/>
        <v>0</v>
      </c>
      <c r="BV219" s="61">
        <f t="shared" si="160"/>
        <v>0</v>
      </c>
      <c r="BW219" s="61">
        <f t="shared" si="160"/>
        <v>0</v>
      </c>
      <c r="BX219" s="61">
        <f t="shared" si="155"/>
        <v>-2.6000000000000005</v>
      </c>
      <c r="BY219" s="61" t="s">
        <v>91</v>
      </c>
      <c r="CA219" s="61">
        <f t="shared" si="164"/>
        <v>0</v>
      </c>
      <c r="CB219" s="61">
        <f t="shared" si="164"/>
        <v>-0.3911539040168498</v>
      </c>
      <c r="CC219" s="61">
        <f t="shared" si="164"/>
        <v>0</v>
      </c>
      <c r="CD219" s="61">
        <f t="shared" si="164"/>
        <v>-0.3911539040168498</v>
      </c>
      <c r="CE219" s="61">
        <f t="shared" si="164"/>
        <v>0</v>
      </c>
      <c r="CF219" s="61">
        <f t="shared" si="164"/>
        <v>-0.3911539040168498</v>
      </c>
      <c r="CG219" s="61">
        <f t="shared" si="164"/>
        <v>-0.3911539040168498</v>
      </c>
      <c r="CH219" s="61">
        <f t="shared" si="164"/>
        <v>-0.3911539040168498</v>
      </c>
      <c r="CI219" s="61">
        <f t="shared" si="176"/>
        <v>-0.24642695953061539</v>
      </c>
      <c r="CJ219" s="61"/>
      <c r="CK219" s="61">
        <f t="shared" si="165"/>
        <v>0</v>
      </c>
      <c r="CL219" s="61">
        <f t="shared" si="165"/>
        <v>-0.3911539040168498</v>
      </c>
      <c r="CM219" s="61">
        <f t="shared" si="165"/>
        <v>0</v>
      </c>
      <c r="CN219" s="61">
        <f t="shared" si="165"/>
        <v>-0.3911539040168498</v>
      </c>
      <c r="CO219" s="61">
        <f t="shared" si="165"/>
        <v>0</v>
      </c>
      <c r="CP219" s="61">
        <f t="shared" si="165"/>
        <v>-0.3911539040168498</v>
      </c>
      <c r="CQ219" s="61">
        <f t="shared" si="165"/>
        <v>-0.3911539040168498</v>
      </c>
      <c r="CR219" s="61">
        <f t="shared" si="165"/>
        <v>-0.3911539040168498</v>
      </c>
      <c r="CS219" s="61">
        <f t="shared" si="177"/>
        <v>-0.24642695953061539</v>
      </c>
      <c r="CT219" s="61">
        <f t="shared" si="178"/>
        <v>-1.6380000000000006</v>
      </c>
      <c r="CV219" s="61">
        <f t="shared" si="179"/>
        <v>-476658</v>
      </c>
      <c r="CW219" s="61">
        <f t="shared" si="148"/>
        <v>-476658</v>
      </c>
      <c r="CX219" s="61"/>
      <c r="CY219" s="61">
        <f t="shared" si="149"/>
        <v>0</v>
      </c>
      <c r="CZ219" s="61">
        <f t="shared" si="163"/>
        <v>0</v>
      </c>
      <c r="DA219" s="61">
        <f t="shared" si="163"/>
        <v>0</v>
      </c>
      <c r="DB219" s="2" t="s">
        <v>85</v>
      </c>
      <c r="DC219" s="2" t="s">
        <v>102</v>
      </c>
      <c r="DD219" s="2" t="s">
        <v>142</v>
      </c>
      <c r="DE219" s="2" t="s">
        <v>181</v>
      </c>
      <c r="DF219" s="3" t="s">
        <v>102</v>
      </c>
      <c r="DG219" s="62">
        <v>42823</v>
      </c>
      <c r="EC219" s="60"/>
      <c r="ED219" s="60"/>
      <c r="EE219" s="60"/>
      <c r="EF219" s="60"/>
    </row>
    <row r="220" spans="2:140" ht="12.75" hidden="1" customHeight="1">
      <c r="B220" s="93" t="s">
        <v>579</v>
      </c>
      <c r="C220" s="22" t="s">
        <v>271</v>
      </c>
      <c r="D220" s="22" t="s">
        <v>146</v>
      </c>
      <c r="E220" s="2" t="str">
        <f>VLOOKUP($C220,[1]Detail!$C:$AK,6,0)</f>
        <v>BIW</v>
      </c>
      <c r="F220" s="2" t="s">
        <v>273</v>
      </c>
      <c r="G220" s="2" t="str">
        <f>VLOOKUP($C220,[1]Detail!$C:$AK,5,0)</f>
        <v>D</v>
      </c>
      <c r="J220" s="22" t="s">
        <v>126</v>
      </c>
      <c r="K220" s="23" t="s">
        <v>574</v>
      </c>
      <c r="L220" s="22" t="s">
        <v>100</v>
      </c>
      <c r="M220" s="51" t="str">
        <f t="shared" si="156"/>
        <v>JD8B-6A095 -AA</v>
      </c>
      <c r="O220" s="22">
        <v>0</v>
      </c>
      <c r="P220" s="22">
        <v>1</v>
      </c>
      <c r="Q220" s="22">
        <v>0</v>
      </c>
      <c r="R220" s="22">
        <v>1</v>
      </c>
      <c r="S220" s="22">
        <v>0</v>
      </c>
      <c r="T220" s="22">
        <v>1</v>
      </c>
      <c r="U220" s="22">
        <v>1</v>
      </c>
      <c r="V220" s="22">
        <v>1</v>
      </c>
      <c r="W220" s="64">
        <f t="shared" si="157"/>
        <v>0.63000000000000012</v>
      </c>
      <c r="Y220" s="8">
        <v>-6.39</v>
      </c>
      <c r="Z220" s="8">
        <v>-0.08</v>
      </c>
      <c r="AA220" s="8">
        <v>-0.05</v>
      </c>
      <c r="AB220" s="8">
        <v>0</v>
      </c>
      <c r="AC220" s="8">
        <v>0</v>
      </c>
      <c r="AD220" s="8">
        <f t="shared" si="161"/>
        <v>-6.52</v>
      </c>
      <c r="AE220" s="2" t="s">
        <v>91</v>
      </c>
      <c r="AG220" s="8">
        <v>-486658</v>
      </c>
      <c r="AH220" s="8">
        <v>-486658</v>
      </c>
      <c r="AI220" s="6"/>
      <c r="AJ220" s="71">
        <v>0</v>
      </c>
      <c r="AK220" s="71">
        <v>0</v>
      </c>
      <c r="AL220" s="72">
        <v>0</v>
      </c>
      <c r="AM220" s="22"/>
      <c r="AO220" s="22" t="s">
        <v>126</v>
      </c>
      <c r="AP220" s="23" t="s">
        <v>574</v>
      </c>
      <c r="AQ220" s="22" t="s">
        <v>100</v>
      </c>
      <c r="AR220" s="51" t="str">
        <f t="shared" si="145"/>
        <v>JD8B-6A095 -AA</v>
      </c>
      <c r="AS220" s="3"/>
      <c r="AT220" s="22">
        <v>0</v>
      </c>
      <c r="AU220" s="22">
        <v>1</v>
      </c>
      <c r="AV220" s="22">
        <v>0</v>
      </c>
      <c r="AW220" s="22">
        <v>1</v>
      </c>
      <c r="AX220" s="22">
        <v>0</v>
      </c>
      <c r="AY220" s="22">
        <v>1</v>
      </c>
      <c r="AZ220" s="22">
        <v>1</v>
      </c>
      <c r="BA220" s="22">
        <v>1</v>
      </c>
      <c r="BB220" s="64">
        <f t="shared" si="146"/>
        <v>0.63000000000000012</v>
      </c>
      <c r="BD220" s="60">
        <v>-6.39</v>
      </c>
      <c r="BE220" s="60">
        <v>-0.08</v>
      </c>
      <c r="BF220" s="60">
        <v>-0.05</v>
      </c>
      <c r="BG220" s="60">
        <v>0</v>
      </c>
      <c r="BH220" s="60">
        <v>0</v>
      </c>
      <c r="BI220" s="8">
        <f t="shared" si="170"/>
        <v>-6.52</v>
      </c>
      <c r="BJ220" s="2" t="s">
        <v>91</v>
      </c>
      <c r="BL220" s="70">
        <v>-486658</v>
      </c>
      <c r="BM220" s="70">
        <v>-486658</v>
      </c>
      <c r="BO220" s="71">
        <v>0</v>
      </c>
      <c r="BP220" s="71">
        <v>0</v>
      </c>
      <c r="BQ220" s="72">
        <v>0</v>
      </c>
      <c r="BS220" s="61">
        <f t="shared" si="158"/>
        <v>0</v>
      </c>
      <c r="BT220" s="61">
        <f t="shared" si="159"/>
        <v>0</v>
      </c>
      <c r="BU220" s="61">
        <f t="shared" si="160"/>
        <v>0</v>
      </c>
      <c r="BV220" s="61">
        <f t="shared" si="160"/>
        <v>0</v>
      </c>
      <c r="BW220" s="61">
        <f t="shared" si="160"/>
        <v>0</v>
      </c>
      <c r="BX220" s="61">
        <f t="shared" si="155"/>
        <v>0</v>
      </c>
      <c r="BY220" s="61" t="s">
        <v>91</v>
      </c>
      <c r="CA220" s="61">
        <f t="shared" si="164"/>
        <v>0</v>
      </c>
      <c r="CB220" s="61">
        <f t="shared" si="164"/>
        <v>0</v>
      </c>
      <c r="CC220" s="61">
        <f t="shared" si="164"/>
        <v>0</v>
      </c>
      <c r="CD220" s="61">
        <f t="shared" si="164"/>
        <v>0</v>
      </c>
      <c r="CE220" s="61">
        <f t="shared" si="164"/>
        <v>0</v>
      </c>
      <c r="CF220" s="61">
        <f t="shared" si="164"/>
        <v>0</v>
      </c>
      <c r="CG220" s="61">
        <f t="shared" si="164"/>
        <v>0</v>
      </c>
      <c r="CH220" s="61">
        <f t="shared" si="164"/>
        <v>0</v>
      </c>
      <c r="CI220" s="61">
        <f t="shared" si="176"/>
        <v>0</v>
      </c>
      <c r="CJ220" s="61"/>
      <c r="CK220" s="61">
        <f t="shared" si="165"/>
        <v>0</v>
      </c>
      <c r="CL220" s="61">
        <f t="shared" si="165"/>
        <v>0</v>
      </c>
      <c r="CM220" s="61">
        <f t="shared" si="165"/>
        <v>0</v>
      </c>
      <c r="CN220" s="61">
        <f t="shared" si="165"/>
        <v>0</v>
      </c>
      <c r="CO220" s="61">
        <f t="shared" si="165"/>
        <v>0</v>
      </c>
      <c r="CP220" s="61">
        <f t="shared" si="165"/>
        <v>0</v>
      </c>
      <c r="CQ220" s="61">
        <f t="shared" si="165"/>
        <v>0</v>
      </c>
      <c r="CR220" s="61">
        <f t="shared" si="165"/>
        <v>0</v>
      </c>
      <c r="CS220" s="61">
        <f t="shared" si="177"/>
        <v>0</v>
      </c>
      <c r="CT220" s="61">
        <f t="shared" si="178"/>
        <v>0</v>
      </c>
      <c r="CV220" s="61">
        <f t="shared" si="179"/>
        <v>0</v>
      </c>
      <c r="CW220" s="61">
        <f t="shared" si="148"/>
        <v>0</v>
      </c>
      <c r="CX220" s="61"/>
      <c r="CY220" s="61">
        <f t="shared" si="149"/>
        <v>0</v>
      </c>
      <c r="CZ220" s="61">
        <f t="shared" si="163"/>
        <v>0</v>
      </c>
      <c r="DA220" s="61">
        <f t="shared" si="163"/>
        <v>0</v>
      </c>
      <c r="DB220" s="2" t="s">
        <v>102</v>
      </c>
      <c r="DC220" s="2" t="s">
        <v>85</v>
      </c>
      <c r="DD220" s="2" t="s">
        <v>142</v>
      </c>
      <c r="DE220" s="2" t="s">
        <v>181</v>
      </c>
      <c r="DF220" s="3" t="s">
        <v>102</v>
      </c>
      <c r="DG220" s="62">
        <v>42836</v>
      </c>
      <c r="EC220" s="60" t="str">
        <f>VLOOKUP($M220,[1]Detail!$M:$BO,1,0)</f>
        <v>JD8B-6A095 -AA</v>
      </c>
      <c r="ED220" s="60">
        <f>VLOOKUP($M220,[1]Detail!$M:$BO,22,0)</f>
        <v>-6.52</v>
      </c>
      <c r="EE220" s="60">
        <f>VLOOKUP($M220,[1]Detail!$M:$BO,42,0)</f>
        <v>-486658</v>
      </c>
      <c r="EF220" s="60">
        <f>VLOOKUP($M220,[1]Detail!$M:$BO,45,0)</f>
        <v>0</v>
      </c>
      <c r="EH220" s="60">
        <f>ED220-AD220</f>
        <v>0</v>
      </c>
      <c r="EI220" s="60">
        <f>EE220-AG220</f>
        <v>0</v>
      </c>
      <c r="EJ220" s="60">
        <f t="shared" ref="EJ220:EJ221" si="185">EF220-AJ220</f>
        <v>0</v>
      </c>
    </row>
    <row r="221" spans="2:140" ht="12.75" hidden="1" customHeight="1">
      <c r="B221" s="93" t="s">
        <v>579</v>
      </c>
      <c r="C221" s="22" t="s">
        <v>271</v>
      </c>
      <c r="D221" s="22" t="s">
        <v>146</v>
      </c>
      <c r="E221" s="2" t="str">
        <f>VLOOKUP($C221,[1]Detail!$C:$AK,6,0)</f>
        <v>BIW</v>
      </c>
      <c r="F221" s="2" t="s">
        <v>273</v>
      </c>
      <c r="G221" s="2" t="str">
        <f>VLOOKUP($C221,[1]Detail!$C:$AK,5,0)</f>
        <v>D</v>
      </c>
      <c r="J221" s="22" t="s">
        <v>126</v>
      </c>
      <c r="K221" s="23" t="s">
        <v>577</v>
      </c>
      <c r="L221" s="22" t="s">
        <v>100</v>
      </c>
      <c r="M221" s="51" t="str">
        <f t="shared" si="156"/>
        <v>JD8B-R6E042 -AA</v>
      </c>
      <c r="O221" s="22">
        <v>0</v>
      </c>
      <c r="P221" s="22">
        <v>1</v>
      </c>
      <c r="Q221" s="22">
        <v>0</v>
      </c>
      <c r="R221" s="22">
        <v>1</v>
      </c>
      <c r="S221" s="22">
        <v>0</v>
      </c>
      <c r="T221" s="22">
        <v>1</v>
      </c>
      <c r="U221" s="22">
        <v>1</v>
      </c>
      <c r="V221" s="22">
        <v>1</v>
      </c>
      <c r="W221" s="64">
        <f t="shared" si="157"/>
        <v>0.63000000000000012</v>
      </c>
      <c r="Y221" s="8">
        <v>-7.07</v>
      </c>
      <c r="Z221" s="8">
        <v>-0.08</v>
      </c>
      <c r="AA221" s="8">
        <v>-0.05</v>
      </c>
      <c r="AB221" s="8">
        <v>0</v>
      </c>
      <c r="AC221" s="8">
        <v>0</v>
      </c>
      <c r="AD221" s="8">
        <f t="shared" si="161"/>
        <v>-7.2</v>
      </c>
      <c r="AE221" s="2" t="s">
        <v>91</v>
      </c>
      <c r="AG221" s="8">
        <v>-476658</v>
      </c>
      <c r="AH221" s="8">
        <v>-476658</v>
      </c>
      <c r="AI221" s="6"/>
      <c r="AJ221" s="71">
        <v>0</v>
      </c>
      <c r="AK221" s="71">
        <v>0</v>
      </c>
      <c r="AL221" s="72">
        <v>0</v>
      </c>
      <c r="AM221" s="22"/>
      <c r="AO221" s="22" t="s">
        <v>126</v>
      </c>
      <c r="AP221" s="23" t="s">
        <v>577</v>
      </c>
      <c r="AQ221" s="22" t="s">
        <v>100</v>
      </c>
      <c r="AR221" s="51" t="str">
        <f t="shared" si="145"/>
        <v>JD8B-R6E042 -AA</v>
      </c>
      <c r="AS221" s="3"/>
      <c r="AT221" s="22">
        <v>0</v>
      </c>
      <c r="AU221" s="22">
        <v>1</v>
      </c>
      <c r="AV221" s="22">
        <v>0</v>
      </c>
      <c r="AW221" s="22">
        <v>1</v>
      </c>
      <c r="AX221" s="22">
        <v>0</v>
      </c>
      <c r="AY221" s="22">
        <v>1</v>
      </c>
      <c r="AZ221" s="22">
        <v>1</v>
      </c>
      <c r="BA221" s="22">
        <v>1</v>
      </c>
      <c r="BB221" s="64">
        <f t="shared" si="146"/>
        <v>0.63000000000000012</v>
      </c>
      <c r="BD221" s="60">
        <v>-7.07</v>
      </c>
      <c r="BE221" s="60">
        <v>-0.08</v>
      </c>
      <c r="BF221" s="60">
        <v>-0.05</v>
      </c>
      <c r="BG221" s="60">
        <v>0</v>
      </c>
      <c r="BH221" s="60">
        <v>0</v>
      </c>
      <c r="BI221" s="8">
        <f t="shared" si="170"/>
        <v>-7.2</v>
      </c>
      <c r="BJ221" s="2" t="s">
        <v>91</v>
      </c>
      <c r="BL221" s="70">
        <v>-476658</v>
      </c>
      <c r="BM221" s="70">
        <v>-476658</v>
      </c>
      <c r="BO221" s="71">
        <v>0</v>
      </c>
      <c r="BP221" s="71">
        <v>0</v>
      </c>
      <c r="BQ221" s="72">
        <v>0</v>
      </c>
      <c r="BS221" s="61">
        <f t="shared" si="158"/>
        <v>0</v>
      </c>
      <c r="BT221" s="61">
        <f t="shared" si="159"/>
        <v>0</v>
      </c>
      <c r="BU221" s="61">
        <f t="shared" si="160"/>
        <v>0</v>
      </c>
      <c r="BV221" s="61">
        <f t="shared" si="160"/>
        <v>0</v>
      </c>
      <c r="BW221" s="61">
        <f t="shared" si="160"/>
        <v>0</v>
      </c>
      <c r="BX221" s="61">
        <f t="shared" si="155"/>
        <v>0</v>
      </c>
      <c r="BY221" s="61" t="s">
        <v>91</v>
      </c>
      <c r="CA221" s="61">
        <f t="shared" si="164"/>
        <v>0</v>
      </c>
      <c r="CB221" s="61">
        <f t="shared" si="164"/>
        <v>0</v>
      </c>
      <c r="CC221" s="61">
        <f t="shared" si="164"/>
        <v>0</v>
      </c>
      <c r="CD221" s="61">
        <f t="shared" si="164"/>
        <v>0</v>
      </c>
      <c r="CE221" s="61">
        <f t="shared" si="164"/>
        <v>0</v>
      </c>
      <c r="CF221" s="61">
        <f t="shared" si="164"/>
        <v>0</v>
      </c>
      <c r="CG221" s="61">
        <f t="shared" si="164"/>
        <v>0</v>
      </c>
      <c r="CH221" s="61">
        <f t="shared" si="164"/>
        <v>0</v>
      </c>
      <c r="CI221" s="61">
        <f t="shared" si="176"/>
        <v>0</v>
      </c>
      <c r="CJ221" s="61"/>
      <c r="CK221" s="61">
        <f t="shared" si="165"/>
        <v>0</v>
      </c>
      <c r="CL221" s="61">
        <f t="shared" si="165"/>
        <v>0</v>
      </c>
      <c r="CM221" s="61">
        <f t="shared" si="165"/>
        <v>0</v>
      </c>
      <c r="CN221" s="61">
        <f t="shared" si="165"/>
        <v>0</v>
      </c>
      <c r="CO221" s="61">
        <f t="shared" si="165"/>
        <v>0</v>
      </c>
      <c r="CP221" s="61">
        <f t="shared" si="165"/>
        <v>0</v>
      </c>
      <c r="CQ221" s="61">
        <f t="shared" si="165"/>
        <v>0</v>
      </c>
      <c r="CR221" s="61">
        <f t="shared" si="165"/>
        <v>0</v>
      </c>
      <c r="CS221" s="61">
        <f t="shared" si="177"/>
        <v>0</v>
      </c>
      <c r="CT221" s="61">
        <f t="shared" si="178"/>
        <v>0</v>
      </c>
      <c r="CV221" s="61">
        <f t="shared" si="179"/>
        <v>0</v>
      </c>
      <c r="CW221" s="61">
        <f t="shared" si="148"/>
        <v>0</v>
      </c>
      <c r="CX221" s="61"/>
      <c r="CY221" s="61">
        <f t="shared" si="149"/>
        <v>0</v>
      </c>
      <c r="CZ221" s="61">
        <f t="shared" si="163"/>
        <v>0</v>
      </c>
      <c r="DA221" s="61">
        <f t="shared" si="163"/>
        <v>0</v>
      </c>
      <c r="DB221" s="2" t="s">
        <v>102</v>
      </c>
      <c r="DC221" s="2" t="s">
        <v>85</v>
      </c>
      <c r="DD221" s="2" t="s">
        <v>142</v>
      </c>
      <c r="DE221" s="2" t="s">
        <v>181</v>
      </c>
      <c r="DF221" s="3" t="s">
        <v>102</v>
      </c>
      <c r="DG221" s="62">
        <v>42836</v>
      </c>
      <c r="EC221" s="60" t="str">
        <f>VLOOKUP($M221,[1]Detail!$M:$BO,1,0)</f>
        <v>JD8B-R6E042 -AA</v>
      </c>
      <c r="ED221" s="60">
        <f>VLOOKUP($M221,[1]Detail!$M:$BO,22,0)</f>
        <v>-7.2</v>
      </c>
      <c r="EE221" s="60">
        <f>VLOOKUP($M221,[1]Detail!$M:$BO,42,0)</f>
        <v>-476658</v>
      </c>
      <c r="EF221" s="60">
        <f>VLOOKUP($M221,[1]Detail!$M:$BO,45,0)</f>
        <v>0</v>
      </c>
      <c r="EH221" s="60">
        <f>ED221-AD221</f>
        <v>0</v>
      </c>
      <c r="EI221" s="60">
        <f>EE221-AG221</f>
        <v>0</v>
      </c>
      <c r="EJ221" s="60">
        <f t="shared" si="185"/>
        <v>0</v>
      </c>
    </row>
    <row r="222" spans="2:140" ht="12.75" hidden="1" customHeight="1">
      <c r="B222" s="93" t="s">
        <v>580</v>
      </c>
      <c r="C222" s="22" t="s">
        <v>581</v>
      </c>
      <c r="D222" s="22" t="s">
        <v>582</v>
      </c>
      <c r="E222" s="2" t="str">
        <f>VLOOKUP($C222,[1]Detail!$C:$AK,6,0)</f>
        <v>PMT4</v>
      </c>
      <c r="F222" s="2" t="str">
        <f>VLOOKUP($C222,[1]Detail!$C:$AK,7,0)</f>
        <v>PF</v>
      </c>
      <c r="G222" s="2" t="str">
        <f>VLOOKUP($C222,[1]Detail!$C:$AK,5,0)</f>
        <v>B</v>
      </c>
      <c r="J222" s="22" t="s">
        <v>303</v>
      </c>
      <c r="K222" s="23" t="s">
        <v>583</v>
      </c>
      <c r="L222" s="22" t="s">
        <v>306</v>
      </c>
      <c r="M222" s="51" t="str">
        <f t="shared" si="156"/>
        <v>KV61-8C607-FA</v>
      </c>
      <c r="O222" s="22">
        <v>0</v>
      </c>
      <c r="P222" s="22">
        <v>0</v>
      </c>
      <c r="Q222" s="22">
        <v>0</v>
      </c>
      <c r="R222" s="22">
        <v>0</v>
      </c>
      <c r="S222" s="22">
        <v>1</v>
      </c>
      <c r="T222" s="22">
        <v>1</v>
      </c>
      <c r="U222" s="22">
        <v>0</v>
      </c>
      <c r="V222" s="22">
        <v>1</v>
      </c>
      <c r="W222" s="64">
        <f t="shared" si="157"/>
        <v>0.28000000000000003</v>
      </c>
      <c r="Y222" s="8">
        <v>-158.5</v>
      </c>
      <c r="Z222" s="8">
        <v>-4</v>
      </c>
      <c r="AA222" s="8">
        <v>-6</v>
      </c>
      <c r="AB222" s="8">
        <v>0</v>
      </c>
      <c r="AC222" s="8">
        <v>0</v>
      </c>
      <c r="AD222" s="8">
        <f t="shared" si="161"/>
        <v>-168.5</v>
      </c>
      <c r="AE222" s="2" t="s">
        <v>91</v>
      </c>
      <c r="AG222" s="8">
        <v>-570000</v>
      </c>
      <c r="AH222" s="8">
        <f t="shared" ref="AH222:AH229" si="186">AG222</f>
        <v>-570000</v>
      </c>
      <c r="AI222" s="6"/>
      <c r="AJ222" s="71">
        <v>0</v>
      </c>
      <c r="AK222" s="71">
        <v>0</v>
      </c>
      <c r="AL222" s="72">
        <v>0</v>
      </c>
      <c r="AM222" s="22"/>
      <c r="AO222" s="22" t="s">
        <v>303</v>
      </c>
      <c r="AP222" s="23" t="s">
        <v>583</v>
      </c>
      <c r="AQ222" s="22" t="s">
        <v>306</v>
      </c>
      <c r="AR222" s="51" t="str">
        <f t="shared" si="145"/>
        <v>KV61-8C607-FA</v>
      </c>
      <c r="AS222" s="3"/>
      <c r="AT222" s="22">
        <v>0</v>
      </c>
      <c r="AU222" s="22">
        <v>0</v>
      </c>
      <c r="AV222" s="22">
        <v>0</v>
      </c>
      <c r="AW222" s="22">
        <v>0</v>
      </c>
      <c r="AX222" s="22">
        <v>1</v>
      </c>
      <c r="AY222" s="22">
        <v>1</v>
      </c>
      <c r="AZ222" s="22">
        <v>0</v>
      </c>
      <c r="BA222" s="22">
        <v>1</v>
      </c>
      <c r="BB222" s="64">
        <f t="shared" si="146"/>
        <v>0.28000000000000003</v>
      </c>
      <c r="BD222" s="60">
        <v>-158.5</v>
      </c>
      <c r="BE222" s="60">
        <v>-4</v>
      </c>
      <c r="BF222" s="60">
        <v>-6</v>
      </c>
      <c r="BG222" s="60">
        <v>0</v>
      </c>
      <c r="BH222" s="60">
        <v>0</v>
      </c>
      <c r="BI222" s="8">
        <f t="shared" si="170"/>
        <v>-168.5</v>
      </c>
      <c r="BJ222" s="2" t="s">
        <v>91</v>
      </c>
      <c r="BL222" s="70">
        <v>-570000</v>
      </c>
      <c r="BM222" s="70">
        <f>BL222</f>
        <v>-570000</v>
      </c>
      <c r="BO222" s="71">
        <v>0</v>
      </c>
      <c r="BP222" s="71">
        <v>0</v>
      </c>
      <c r="BQ222" s="72">
        <v>0</v>
      </c>
      <c r="BS222" s="61">
        <f t="shared" si="158"/>
        <v>0</v>
      </c>
      <c r="BT222" s="61">
        <f t="shared" si="159"/>
        <v>0</v>
      </c>
      <c r="BU222" s="61">
        <f t="shared" si="160"/>
        <v>0</v>
      </c>
      <c r="BV222" s="61">
        <f t="shared" si="160"/>
        <v>0</v>
      </c>
      <c r="BW222" s="61">
        <f t="shared" si="160"/>
        <v>0</v>
      </c>
      <c r="BX222" s="61">
        <f t="shared" si="155"/>
        <v>0</v>
      </c>
      <c r="BY222" s="61" t="s">
        <v>91</v>
      </c>
      <c r="CA222" s="61">
        <f t="shared" si="164"/>
        <v>0</v>
      </c>
      <c r="CB222" s="61">
        <f t="shared" si="164"/>
        <v>0</v>
      </c>
      <c r="CC222" s="61">
        <f t="shared" si="164"/>
        <v>0</v>
      </c>
      <c r="CD222" s="61">
        <f t="shared" si="164"/>
        <v>0</v>
      </c>
      <c r="CE222" s="61">
        <f t="shared" si="164"/>
        <v>0</v>
      </c>
      <c r="CF222" s="61">
        <f t="shared" si="164"/>
        <v>0</v>
      </c>
      <c r="CG222" s="61">
        <f t="shared" si="164"/>
        <v>0</v>
      </c>
      <c r="CH222" s="61">
        <f t="shared" si="164"/>
        <v>0</v>
      </c>
      <c r="CI222" s="61">
        <f t="shared" si="176"/>
        <v>0</v>
      </c>
      <c r="CJ222" s="61"/>
      <c r="CK222" s="61">
        <f t="shared" si="165"/>
        <v>0</v>
      </c>
      <c r="CL222" s="61">
        <f t="shared" si="165"/>
        <v>0</v>
      </c>
      <c r="CM222" s="61">
        <f t="shared" si="165"/>
        <v>0</v>
      </c>
      <c r="CN222" s="61">
        <f t="shared" si="165"/>
        <v>0</v>
      </c>
      <c r="CO222" s="61">
        <f t="shared" si="165"/>
        <v>0</v>
      </c>
      <c r="CP222" s="61">
        <f t="shared" si="165"/>
        <v>0</v>
      </c>
      <c r="CQ222" s="61">
        <f t="shared" si="165"/>
        <v>0</v>
      </c>
      <c r="CR222" s="61">
        <f t="shared" si="165"/>
        <v>0</v>
      </c>
      <c r="CS222" s="61">
        <f t="shared" si="177"/>
        <v>0</v>
      </c>
      <c r="CT222" s="61">
        <f t="shared" si="178"/>
        <v>0</v>
      </c>
      <c r="CV222" s="61">
        <f t="shared" si="179"/>
        <v>0</v>
      </c>
      <c r="CW222" s="61">
        <f t="shared" si="148"/>
        <v>0</v>
      </c>
      <c r="CX222" s="61"/>
      <c r="CY222" s="61">
        <f t="shared" si="149"/>
        <v>0</v>
      </c>
      <c r="CZ222" s="61">
        <f t="shared" si="163"/>
        <v>0</v>
      </c>
      <c r="DA222" s="61">
        <f t="shared" si="163"/>
        <v>0</v>
      </c>
      <c r="DB222" s="2" t="s">
        <v>85</v>
      </c>
      <c r="DC222" s="2" t="s">
        <v>102</v>
      </c>
      <c r="DD222" s="2" t="s">
        <v>142</v>
      </c>
      <c r="DE222" s="2" t="s">
        <v>181</v>
      </c>
      <c r="DF222" s="3" t="s">
        <v>86</v>
      </c>
      <c r="DG222" s="62">
        <v>42802</v>
      </c>
      <c r="EC222" s="60"/>
      <c r="ED222" s="60"/>
      <c r="EE222" s="60"/>
      <c r="EF222" s="60"/>
    </row>
    <row r="223" spans="2:140" ht="12.75" hidden="1" customHeight="1">
      <c r="B223" s="93" t="s">
        <v>584</v>
      </c>
      <c r="C223" s="22" t="s">
        <v>581</v>
      </c>
      <c r="D223" s="22" t="s">
        <v>582</v>
      </c>
      <c r="E223" s="2" t="str">
        <f>VLOOKUP($C223,[1]Detail!$C:$AK,6,0)</f>
        <v>PMT4</v>
      </c>
      <c r="F223" s="2" t="str">
        <f>VLOOKUP($C223,[1]Detail!$C:$AK,7,0)</f>
        <v>PF</v>
      </c>
      <c r="G223" s="2" t="str">
        <f>VLOOKUP($C223,[1]Detail!$C:$AK,5,0)</f>
        <v>B</v>
      </c>
      <c r="J223" s="22" t="s">
        <v>585</v>
      </c>
      <c r="K223" s="23" t="s">
        <v>583</v>
      </c>
      <c r="L223" s="22" t="s">
        <v>362</v>
      </c>
      <c r="M223" s="51" t="str">
        <f t="shared" si="156"/>
        <v>JD81-8C607-EA</v>
      </c>
      <c r="O223" s="22">
        <v>0</v>
      </c>
      <c r="P223" s="22">
        <v>0</v>
      </c>
      <c r="Q223" s="22">
        <v>0</v>
      </c>
      <c r="R223" s="22">
        <v>0</v>
      </c>
      <c r="S223" s="22">
        <v>1</v>
      </c>
      <c r="T223" s="22">
        <v>1</v>
      </c>
      <c r="U223" s="22">
        <v>0</v>
      </c>
      <c r="V223" s="22">
        <v>1</v>
      </c>
      <c r="W223" s="64">
        <f t="shared" si="157"/>
        <v>0.28000000000000003</v>
      </c>
      <c r="Y223" s="8">
        <v>-158.5</v>
      </c>
      <c r="Z223" s="8">
        <v>-4</v>
      </c>
      <c r="AA223" s="8">
        <v>-6</v>
      </c>
      <c r="AB223" s="8">
        <v>0</v>
      </c>
      <c r="AC223" s="8">
        <v>0</v>
      </c>
      <c r="AD223" s="8">
        <f t="shared" si="161"/>
        <v>-168.5</v>
      </c>
      <c r="AE223" s="2" t="s">
        <v>91</v>
      </c>
      <c r="AG223" s="8">
        <v>-569999</v>
      </c>
      <c r="AH223" s="8">
        <f t="shared" si="186"/>
        <v>-569999</v>
      </c>
      <c r="AI223" s="6"/>
      <c r="AJ223" s="71">
        <v>0</v>
      </c>
      <c r="AK223" s="71">
        <v>0</v>
      </c>
      <c r="AL223" s="72">
        <v>0</v>
      </c>
      <c r="AM223" s="22"/>
      <c r="AO223" s="22" t="s">
        <v>586</v>
      </c>
      <c r="AP223" s="23" t="s">
        <v>587</v>
      </c>
      <c r="AQ223" s="22" t="s">
        <v>306</v>
      </c>
      <c r="AR223" s="51" t="str">
        <f>TRIM(AO223)&amp;"-"&amp;TRIM(AP223)&amp;"-"&amp;TRIM(AQ223)</f>
        <v>KV61-8C607-FA</v>
      </c>
      <c r="AS223" s="3"/>
      <c r="AT223" s="22">
        <v>0</v>
      </c>
      <c r="AU223" s="22">
        <v>0</v>
      </c>
      <c r="AV223" s="22">
        <v>0</v>
      </c>
      <c r="AW223" s="22">
        <v>0</v>
      </c>
      <c r="AX223" s="22">
        <v>1</v>
      </c>
      <c r="AY223" s="22">
        <v>1</v>
      </c>
      <c r="AZ223" s="22">
        <v>0</v>
      </c>
      <c r="BA223" s="22">
        <v>1</v>
      </c>
      <c r="BB223" s="64">
        <f t="shared" si="146"/>
        <v>0.28000000000000003</v>
      </c>
      <c r="BD223" s="85">
        <v>-158.5</v>
      </c>
      <c r="BE223" s="85">
        <v>-4</v>
      </c>
      <c r="BF223" s="85">
        <v>-6</v>
      </c>
      <c r="BG223" s="85">
        <v>0</v>
      </c>
      <c r="BH223" s="85">
        <v>0</v>
      </c>
      <c r="BI223" s="8">
        <f>SUM(BD223:BH223)</f>
        <v>-168.5</v>
      </c>
      <c r="BJ223" s="2" t="s">
        <v>91</v>
      </c>
      <c r="BL223" s="97">
        <v>-570000</v>
      </c>
      <c r="BM223" s="97">
        <f>BL223</f>
        <v>-570000</v>
      </c>
      <c r="BN223" s="73"/>
      <c r="BO223" s="71">
        <v>0</v>
      </c>
      <c r="BP223" s="71">
        <v>0</v>
      </c>
      <c r="BQ223" s="72">
        <v>0</v>
      </c>
      <c r="BS223" s="61">
        <f t="shared" si="158"/>
        <v>0</v>
      </c>
      <c r="BT223" s="61">
        <f t="shared" si="159"/>
        <v>0</v>
      </c>
      <c r="BU223" s="61">
        <f t="shared" si="160"/>
        <v>0</v>
      </c>
      <c r="BV223" s="61">
        <f t="shared" si="160"/>
        <v>0</v>
      </c>
      <c r="BW223" s="61">
        <f t="shared" si="160"/>
        <v>0</v>
      </c>
      <c r="BX223" s="61">
        <f t="shared" si="155"/>
        <v>0</v>
      </c>
      <c r="BY223" s="61" t="s">
        <v>91</v>
      </c>
      <c r="CA223" s="61">
        <f t="shared" si="164"/>
        <v>0</v>
      </c>
      <c r="CB223" s="61">
        <f t="shared" si="164"/>
        <v>0</v>
      </c>
      <c r="CC223" s="61">
        <f t="shared" si="164"/>
        <v>0</v>
      </c>
      <c r="CD223" s="61">
        <f t="shared" si="164"/>
        <v>0</v>
      </c>
      <c r="CE223" s="61">
        <f t="shared" si="164"/>
        <v>0</v>
      </c>
      <c r="CF223" s="61">
        <f t="shared" si="164"/>
        <v>0</v>
      </c>
      <c r="CG223" s="61">
        <f t="shared" si="164"/>
        <v>0</v>
      </c>
      <c r="CH223" s="61">
        <f t="shared" si="164"/>
        <v>0</v>
      </c>
      <c r="CI223" s="61">
        <f t="shared" si="176"/>
        <v>0</v>
      </c>
      <c r="CJ223" s="61"/>
      <c r="CK223" s="61">
        <f t="shared" si="165"/>
        <v>0</v>
      </c>
      <c r="CL223" s="61">
        <f t="shared" si="165"/>
        <v>0</v>
      </c>
      <c r="CM223" s="61">
        <f t="shared" si="165"/>
        <v>0</v>
      </c>
      <c r="CN223" s="61">
        <f t="shared" si="165"/>
        <v>0</v>
      </c>
      <c r="CO223" s="61">
        <f t="shared" si="165"/>
        <v>0</v>
      </c>
      <c r="CP223" s="61">
        <f t="shared" si="165"/>
        <v>0</v>
      </c>
      <c r="CQ223" s="61">
        <f t="shared" si="165"/>
        <v>0</v>
      </c>
      <c r="CR223" s="61">
        <f t="shared" si="165"/>
        <v>0</v>
      </c>
      <c r="CS223" s="61">
        <f t="shared" si="177"/>
        <v>0</v>
      </c>
      <c r="CT223" s="61">
        <f t="shared" si="178"/>
        <v>0</v>
      </c>
      <c r="CV223" s="61">
        <f t="shared" si="179"/>
        <v>1</v>
      </c>
      <c r="CW223" s="61">
        <f t="shared" ref="CW223" si="187">SUM(AH223)-SUM(BM223)</f>
        <v>1</v>
      </c>
      <c r="CX223" s="61"/>
      <c r="CY223" s="61">
        <f t="shared" ref="CY223" si="188">SUM(AJ223)-SUM(BO223)</f>
        <v>0</v>
      </c>
      <c r="CZ223" s="61">
        <f t="shared" si="163"/>
        <v>0</v>
      </c>
      <c r="DA223" s="61">
        <f t="shared" si="163"/>
        <v>0</v>
      </c>
      <c r="DB223" s="2" t="s">
        <v>86</v>
      </c>
      <c r="DC223" s="2" t="s">
        <v>85</v>
      </c>
      <c r="DD223" s="2" t="s">
        <v>142</v>
      </c>
      <c r="DE223" s="2" t="s">
        <v>106</v>
      </c>
      <c r="DF223" s="3" t="s">
        <v>86</v>
      </c>
      <c r="DG223" s="62">
        <v>43164</v>
      </c>
      <c r="EC223" s="60" t="str">
        <f>VLOOKUP($M223,[1]Detail!$M:$BO,1,0)</f>
        <v>JD81-8C607-EA</v>
      </c>
      <c r="ED223" s="60">
        <f>VLOOKUP($M223,[1]Detail!$M:$BO,22,0)</f>
        <v>-168.5</v>
      </c>
      <c r="EE223" s="60">
        <f>VLOOKUP($M223,[1]Detail!$M:$BO,42,0)</f>
        <v>-569999</v>
      </c>
      <c r="EF223" s="60">
        <f>VLOOKUP($M223,[1]Detail!$M:$BO,45,0)</f>
        <v>0</v>
      </c>
      <c r="EH223" s="60">
        <f>ED223-AD223</f>
        <v>0</v>
      </c>
      <c r="EI223" s="60">
        <f>EE223-AG223</f>
        <v>0</v>
      </c>
      <c r="EJ223" s="60">
        <f>EF223-AJ223</f>
        <v>0</v>
      </c>
    </row>
    <row r="224" spans="2:140" ht="12.75" hidden="1" customHeight="1">
      <c r="B224" s="93" t="s">
        <v>588</v>
      </c>
      <c r="C224" s="22" t="s">
        <v>589</v>
      </c>
      <c r="D224" s="22" t="s">
        <v>590</v>
      </c>
      <c r="E224" s="2" t="str">
        <f>VLOOKUP($C224,[1]Detail!$C:$AK,6,0)</f>
        <v>PMT4</v>
      </c>
      <c r="F224" s="2" t="str">
        <f>VLOOKUP($C224,[1]Detail!$C:$AK,7,0)</f>
        <v>PF</v>
      </c>
      <c r="G224" s="2" t="str">
        <f>VLOOKUP($C224,[1]Detail!$C:$AK,5,0)</f>
        <v>B</v>
      </c>
      <c r="J224" s="22" t="s">
        <v>286</v>
      </c>
      <c r="K224" s="23" t="s">
        <v>591</v>
      </c>
      <c r="L224" s="22" t="s">
        <v>111</v>
      </c>
      <c r="M224" s="51" t="str">
        <f t="shared" si="156"/>
        <v>JD8G-6F075-BA</v>
      </c>
      <c r="O224" s="22">
        <v>0</v>
      </c>
      <c r="P224" s="22">
        <v>0</v>
      </c>
      <c r="Q224" s="22">
        <v>0</v>
      </c>
      <c r="R224" s="22">
        <v>0</v>
      </c>
      <c r="S224" s="22">
        <v>1</v>
      </c>
      <c r="T224" s="22">
        <v>1</v>
      </c>
      <c r="U224" s="22">
        <v>0</v>
      </c>
      <c r="V224" s="22">
        <v>1</v>
      </c>
      <c r="W224" s="64">
        <f t="shared" si="157"/>
        <v>0.28000000000000003</v>
      </c>
      <c r="Y224" s="8">
        <v>-158.77000000000001</v>
      </c>
      <c r="Z224" s="8">
        <v>-3.91</v>
      </c>
      <c r="AA224" s="8">
        <v>-0.99</v>
      </c>
      <c r="AB224" s="8">
        <v>0</v>
      </c>
      <c r="AC224" s="8">
        <v>-2.99</v>
      </c>
      <c r="AD224" s="8">
        <f t="shared" si="161"/>
        <v>-166.66000000000003</v>
      </c>
      <c r="AE224" s="2" t="s">
        <v>91</v>
      </c>
      <c r="AG224" s="8">
        <v>-260239</v>
      </c>
      <c r="AH224" s="8">
        <f t="shared" si="186"/>
        <v>-260239</v>
      </c>
      <c r="AI224" s="6"/>
      <c r="AJ224" s="71">
        <v>-480728</v>
      </c>
      <c r="AK224" s="71">
        <v>160972</v>
      </c>
      <c r="AL224" s="72"/>
      <c r="AM224" s="22"/>
      <c r="AO224" s="22" t="s">
        <v>286</v>
      </c>
      <c r="AP224" s="23" t="s">
        <v>591</v>
      </c>
      <c r="AQ224" s="22" t="s">
        <v>111</v>
      </c>
      <c r="AR224" s="51" t="str">
        <f>TRIM(AO224)&amp;"-"&amp;TRIM(AP224)&amp;"-"&amp;TRIM(AQ224)</f>
        <v>JD8G-6F075-BA</v>
      </c>
      <c r="AS224" s="3"/>
      <c r="AT224" s="22">
        <v>0</v>
      </c>
      <c r="AU224" s="22">
        <v>0</v>
      </c>
      <c r="AV224" s="22">
        <v>0</v>
      </c>
      <c r="AW224" s="22">
        <v>0</v>
      </c>
      <c r="AX224" s="22">
        <v>1</v>
      </c>
      <c r="AY224" s="22">
        <v>1</v>
      </c>
      <c r="AZ224" s="22">
        <v>0</v>
      </c>
      <c r="BA224" s="22">
        <v>1</v>
      </c>
      <c r="BB224" s="64">
        <f t="shared" si="146"/>
        <v>0.28000000000000003</v>
      </c>
      <c r="BD224" s="60">
        <v>-158.77000000000001</v>
      </c>
      <c r="BE224" s="60">
        <v>-3.91</v>
      </c>
      <c r="BF224" s="60">
        <v>-0.99</v>
      </c>
      <c r="BG224" s="60">
        <v>0</v>
      </c>
      <c r="BH224" s="60">
        <v>-2.99</v>
      </c>
      <c r="BI224" s="8">
        <f>SUM(BD224:BH224)</f>
        <v>-166.66000000000003</v>
      </c>
      <c r="BJ224" s="2" t="s">
        <v>91</v>
      </c>
      <c r="BL224" s="70">
        <v>-260239</v>
      </c>
      <c r="BM224" s="70">
        <f>BL224</f>
        <v>-260239</v>
      </c>
      <c r="BO224" s="71">
        <v>-480728</v>
      </c>
      <c r="BP224" s="71">
        <v>160972</v>
      </c>
      <c r="BQ224" s="72">
        <v>0</v>
      </c>
      <c r="BS224" s="61">
        <f t="shared" si="158"/>
        <v>0</v>
      </c>
      <c r="BT224" s="61">
        <f t="shared" si="159"/>
        <v>0</v>
      </c>
      <c r="BU224" s="61">
        <f t="shared" si="160"/>
        <v>0</v>
      </c>
      <c r="BV224" s="61">
        <f t="shared" si="160"/>
        <v>0</v>
      </c>
      <c r="BW224" s="61">
        <f t="shared" si="160"/>
        <v>0</v>
      </c>
      <c r="BX224" s="61">
        <f t="shared" si="155"/>
        <v>0</v>
      </c>
      <c r="BY224" s="61" t="s">
        <v>91</v>
      </c>
      <c r="CA224" s="61">
        <f t="shared" si="164"/>
        <v>0</v>
      </c>
      <c r="CB224" s="61">
        <f t="shared" si="164"/>
        <v>0</v>
      </c>
      <c r="CC224" s="61">
        <f t="shared" si="164"/>
        <v>0</v>
      </c>
      <c r="CD224" s="61">
        <f t="shared" ref="CD224:CH287" si="189">($Y224*R224-AW224*$BD224)/$C$2</f>
        <v>0</v>
      </c>
      <c r="CE224" s="61">
        <f t="shared" si="189"/>
        <v>0</v>
      </c>
      <c r="CF224" s="61">
        <f t="shared" si="189"/>
        <v>0</v>
      </c>
      <c r="CG224" s="61">
        <f t="shared" si="189"/>
        <v>0</v>
      </c>
      <c r="CH224" s="61">
        <f t="shared" si="189"/>
        <v>0</v>
      </c>
      <c r="CI224" s="61">
        <f t="shared" si="176"/>
        <v>0</v>
      </c>
      <c r="CJ224" s="61"/>
      <c r="CK224" s="61">
        <f t="shared" si="165"/>
        <v>0</v>
      </c>
      <c r="CL224" s="61">
        <f t="shared" si="165"/>
        <v>0</v>
      </c>
      <c r="CM224" s="61">
        <f t="shared" si="165"/>
        <v>0</v>
      </c>
      <c r="CN224" s="61">
        <f t="shared" ref="CN224:CR287" si="190">(R224*$AD224-AW224*$BI224)/$C$2</f>
        <v>0</v>
      </c>
      <c r="CO224" s="61">
        <f t="shared" si="190"/>
        <v>0</v>
      </c>
      <c r="CP224" s="61">
        <f t="shared" si="190"/>
        <v>0</v>
      </c>
      <c r="CQ224" s="61">
        <f t="shared" si="190"/>
        <v>0</v>
      </c>
      <c r="CR224" s="61">
        <f t="shared" si="190"/>
        <v>0</v>
      </c>
      <c r="CS224" s="61">
        <f t="shared" si="177"/>
        <v>0</v>
      </c>
      <c r="CT224" s="61">
        <f t="shared" si="178"/>
        <v>0</v>
      </c>
      <c r="CV224" s="61">
        <f t="shared" si="179"/>
        <v>0</v>
      </c>
      <c r="CW224" s="61">
        <f>SUM(AH224)-SUM(BM224)</f>
        <v>0</v>
      </c>
      <c r="CX224" s="61"/>
      <c r="CY224" s="61">
        <f>SUM(AJ224)-SUM(BO224)</f>
        <v>0</v>
      </c>
      <c r="CZ224" s="61">
        <f>SUM(AK224)-SUM(BP224)</f>
        <v>0</v>
      </c>
      <c r="DA224" s="61">
        <f>SUM(AL224)-SUM(BQ224)</f>
        <v>0</v>
      </c>
      <c r="DB224" s="2" t="s">
        <v>134</v>
      </c>
      <c r="DC224" s="2" t="s">
        <v>102</v>
      </c>
      <c r="DD224" s="2" t="s">
        <v>142</v>
      </c>
      <c r="DE224" s="2" t="s">
        <v>181</v>
      </c>
      <c r="DF224" s="3" t="s">
        <v>86</v>
      </c>
      <c r="DG224" s="62">
        <v>42833</v>
      </c>
      <c r="EC224" s="60"/>
      <c r="ED224" s="60"/>
      <c r="EE224" s="60"/>
      <c r="EF224" s="60"/>
    </row>
    <row r="225" spans="2:140" ht="12.75" hidden="1" customHeight="1">
      <c r="B225" s="93" t="s">
        <v>588</v>
      </c>
      <c r="C225" s="22" t="s">
        <v>589</v>
      </c>
      <c r="D225" s="22" t="s">
        <v>590</v>
      </c>
      <c r="E225" s="2" t="str">
        <f>VLOOKUP($C225,[1]Detail!$C:$AK,6,0)</f>
        <v>PMT4</v>
      </c>
      <c r="F225" s="2" t="str">
        <f>VLOOKUP($C225,[1]Detail!$C:$AK,7,0)</f>
        <v>PF</v>
      </c>
      <c r="G225" s="2" t="str">
        <f>VLOOKUP($C225,[1]Detail!$C:$AK,5,0)</f>
        <v>B</v>
      </c>
      <c r="J225" s="22" t="s">
        <v>286</v>
      </c>
      <c r="K225" s="23" t="s">
        <v>592</v>
      </c>
      <c r="L225" s="22" t="s">
        <v>100</v>
      </c>
      <c r="M225" s="51" t="str">
        <f t="shared" si="156"/>
        <v>JD8G-6C646-AA</v>
      </c>
      <c r="O225" s="22">
        <v>0</v>
      </c>
      <c r="P225" s="22">
        <v>0</v>
      </c>
      <c r="Q225" s="22">
        <v>0</v>
      </c>
      <c r="R225" s="22">
        <v>0</v>
      </c>
      <c r="S225" s="22">
        <v>1</v>
      </c>
      <c r="T225" s="22">
        <v>1</v>
      </c>
      <c r="U225" s="22">
        <v>0</v>
      </c>
      <c r="V225" s="22">
        <v>1</v>
      </c>
      <c r="W225" s="64">
        <f t="shared" si="157"/>
        <v>0.28000000000000003</v>
      </c>
      <c r="Y225" s="8">
        <v>-256.2</v>
      </c>
      <c r="Z225" s="8">
        <v>-7.73</v>
      </c>
      <c r="AA225" s="8">
        <v>-1.99</v>
      </c>
      <c r="AB225" s="8">
        <v>0</v>
      </c>
      <c r="AC225" s="8">
        <v>-2.99</v>
      </c>
      <c r="AD225" s="8">
        <f t="shared" si="161"/>
        <v>-268.91000000000003</v>
      </c>
      <c r="AE225" s="2" t="s">
        <v>91</v>
      </c>
      <c r="AG225" s="8">
        <v>-446864</v>
      </c>
      <c r="AH225" s="8">
        <f t="shared" si="186"/>
        <v>-446864</v>
      </c>
      <c r="AI225" s="6"/>
      <c r="AJ225" s="71">
        <v>-480728</v>
      </c>
      <c r="AK225" s="71">
        <v>160972</v>
      </c>
      <c r="AL225" s="72"/>
      <c r="AM225" s="22"/>
      <c r="AO225" s="22" t="s">
        <v>286</v>
      </c>
      <c r="AP225" s="23" t="s">
        <v>592</v>
      </c>
      <c r="AQ225" s="22" t="s">
        <v>100</v>
      </c>
      <c r="AR225" s="51" t="str">
        <f t="shared" si="145"/>
        <v>JD8G-6C646-AA</v>
      </c>
      <c r="AS225" s="3"/>
      <c r="AT225" s="22">
        <v>0</v>
      </c>
      <c r="AU225" s="22">
        <v>0</v>
      </c>
      <c r="AV225" s="22">
        <v>0</v>
      </c>
      <c r="AW225" s="22">
        <v>0</v>
      </c>
      <c r="AX225" s="22">
        <v>1</v>
      </c>
      <c r="AY225" s="22">
        <v>1</v>
      </c>
      <c r="AZ225" s="22">
        <v>0</v>
      </c>
      <c r="BA225" s="22">
        <v>1</v>
      </c>
      <c r="BB225" s="64">
        <f t="shared" si="146"/>
        <v>0.28000000000000003</v>
      </c>
      <c r="BD225" s="60">
        <v>-256.2</v>
      </c>
      <c r="BE225" s="60">
        <v>-7.73</v>
      </c>
      <c r="BF225" s="60">
        <v>-1.99</v>
      </c>
      <c r="BG225" s="60">
        <v>0</v>
      </c>
      <c r="BH225" s="60">
        <v>-2.99</v>
      </c>
      <c r="BI225" s="8">
        <f t="shared" si="170"/>
        <v>-268.91000000000003</v>
      </c>
      <c r="BJ225" s="2" t="s">
        <v>91</v>
      </c>
      <c r="BL225" s="70">
        <v>-446864</v>
      </c>
      <c r="BM225" s="70">
        <f>BL225</f>
        <v>-446864</v>
      </c>
      <c r="BO225" s="71">
        <v>-480728</v>
      </c>
      <c r="BP225" s="71">
        <v>160972</v>
      </c>
      <c r="BQ225" s="72">
        <v>0</v>
      </c>
      <c r="BS225" s="61">
        <f t="shared" si="158"/>
        <v>0</v>
      </c>
      <c r="BT225" s="61">
        <f t="shared" si="159"/>
        <v>0</v>
      </c>
      <c r="BU225" s="61">
        <f t="shared" si="160"/>
        <v>0</v>
      </c>
      <c r="BV225" s="61">
        <f t="shared" si="160"/>
        <v>0</v>
      </c>
      <c r="BW225" s="61">
        <f t="shared" si="160"/>
        <v>0</v>
      </c>
      <c r="BX225" s="61">
        <f t="shared" si="155"/>
        <v>0</v>
      </c>
      <c r="BY225" s="61" t="s">
        <v>91</v>
      </c>
      <c r="CA225" s="61">
        <f t="shared" ref="CA225:CH288" si="191">($Y225*O225-AT225*$BD225)/$C$2</f>
        <v>0</v>
      </c>
      <c r="CB225" s="61">
        <f t="shared" si="191"/>
        <v>0</v>
      </c>
      <c r="CC225" s="61">
        <f t="shared" si="191"/>
        <v>0</v>
      </c>
      <c r="CD225" s="61">
        <f t="shared" si="189"/>
        <v>0</v>
      </c>
      <c r="CE225" s="61">
        <f t="shared" si="189"/>
        <v>0</v>
      </c>
      <c r="CF225" s="61">
        <f t="shared" si="189"/>
        <v>0</v>
      </c>
      <c r="CG225" s="61">
        <f t="shared" si="189"/>
        <v>0</v>
      </c>
      <c r="CH225" s="61">
        <f t="shared" si="189"/>
        <v>0</v>
      </c>
      <c r="CI225" s="61">
        <f t="shared" si="176"/>
        <v>0</v>
      </c>
      <c r="CJ225" s="61"/>
      <c r="CK225" s="61">
        <f t="shared" ref="CK225:CR288" si="192">(O225*$AD225-AT225*$BI225)/$C$2</f>
        <v>0</v>
      </c>
      <c r="CL225" s="61">
        <f t="shared" si="192"/>
        <v>0</v>
      </c>
      <c r="CM225" s="61">
        <f t="shared" si="192"/>
        <v>0</v>
      </c>
      <c r="CN225" s="61">
        <f t="shared" si="190"/>
        <v>0</v>
      </c>
      <c r="CO225" s="61">
        <f t="shared" si="190"/>
        <v>0</v>
      </c>
      <c r="CP225" s="61">
        <f t="shared" si="190"/>
        <v>0</v>
      </c>
      <c r="CQ225" s="61">
        <f t="shared" si="190"/>
        <v>0</v>
      </c>
      <c r="CR225" s="61">
        <f t="shared" si="190"/>
        <v>0</v>
      </c>
      <c r="CS225" s="61">
        <f t="shared" si="177"/>
        <v>0</v>
      </c>
      <c r="CT225" s="61">
        <f t="shared" si="178"/>
        <v>0</v>
      </c>
      <c r="CV225" s="61">
        <f t="shared" si="179"/>
        <v>0</v>
      </c>
      <c r="CW225" s="61">
        <f t="shared" si="148"/>
        <v>0</v>
      </c>
      <c r="CX225" s="61"/>
      <c r="CY225" s="61">
        <f t="shared" si="149"/>
        <v>0</v>
      </c>
      <c r="CZ225" s="61">
        <f t="shared" si="163"/>
        <v>0</v>
      </c>
      <c r="DA225" s="61">
        <f t="shared" si="163"/>
        <v>0</v>
      </c>
      <c r="DB225" s="2" t="s">
        <v>85</v>
      </c>
      <c r="DC225" s="2" t="s">
        <v>102</v>
      </c>
      <c r="DD225" s="2" t="s">
        <v>142</v>
      </c>
      <c r="DE225" s="2" t="s">
        <v>181</v>
      </c>
      <c r="DF225" s="3" t="s">
        <v>86</v>
      </c>
      <c r="DG225" s="62">
        <v>42833</v>
      </c>
      <c r="EC225" s="60"/>
      <c r="ED225" s="60"/>
      <c r="EE225" s="60"/>
      <c r="EF225" s="60"/>
    </row>
    <row r="226" spans="2:140" ht="12.75" hidden="1" customHeight="1">
      <c r="B226" s="2" t="s">
        <v>593</v>
      </c>
      <c r="C226" s="22" t="s">
        <v>1</v>
      </c>
      <c r="D226" s="22" t="s">
        <v>594</v>
      </c>
      <c r="E226" s="2" t="str">
        <f>VLOOKUP($C226,[1]Detail!$C:$AK,6,0)</f>
        <v>PMT4</v>
      </c>
      <c r="F226" s="2" t="str">
        <f>VLOOKUP($C226,[1]Detail!$C:$AK,7,0)</f>
        <v>PF</v>
      </c>
      <c r="G226" s="2" t="str">
        <f>VLOOKUP($C226,[1]Detail!$C:$AK,5,0)</f>
        <v>B</v>
      </c>
      <c r="J226" s="22" t="s">
        <v>427</v>
      </c>
      <c r="K226" s="23" t="s">
        <v>595</v>
      </c>
      <c r="L226" s="22" t="s">
        <v>120</v>
      </c>
      <c r="M226" s="51" t="str">
        <f t="shared" si="156"/>
        <v>JD8G-6F075-BB</v>
      </c>
      <c r="O226" s="22">
        <v>0</v>
      </c>
      <c r="P226" s="22">
        <v>0</v>
      </c>
      <c r="Q226" s="22">
        <v>0</v>
      </c>
      <c r="R226" s="22">
        <v>0</v>
      </c>
      <c r="S226" s="22">
        <v>1</v>
      </c>
      <c r="T226" s="22">
        <v>1</v>
      </c>
      <c r="U226" s="22">
        <v>0</v>
      </c>
      <c r="V226" s="22">
        <v>1</v>
      </c>
      <c r="W226" s="64">
        <f t="shared" si="157"/>
        <v>0.28000000000000003</v>
      </c>
      <c r="Y226" s="8">
        <v>-158.77000000000001</v>
      </c>
      <c r="Z226" s="8">
        <v>-3.91</v>
      </c>
      <c r="AA226" s="8">
        <v>-0.99</v>
      </c>
      <c r="AB226" s="8">
        <v>0</v>
      </c>
      <c r="AC226" s="8">
        <v>-2.99</v>
      </c>
      <c r="AD226" s="8">
        <f t="shared" si="161"/>
        <v>-166.66000000000003</v>
      </c>
      <c r="AE226" s="2" t="s">
        <v>91</v>
      </c>
      <c r="AG226" s="8">
        <v>-260239</v>
      </c>
      <c r="AH226" s="8">
        <f t="shared" si="186"/>
        <v>-260239</v>
      </c>
      <c r="AI226" s="6"/>
      <c r="AJ226" s="71">
        <v>-480728</v>
      </c>
      <c r="AK226" s="71">
        <v>160972</v>
      </c>
      <c r="AL226" s="72"/>
      <c r="AM226" s="22"/>
      <c r="AO226" s="22" t="s">
        <v>427</v>
      </c>
      <c r="AP226" s="23" t="s">
        <v>595</v>
      </c>
      <c r="AQ226" s="22" t="s">
        <v>182</v>
      </c>
      <c r="AR226" s="51" t="s">
        <v>596</v>
      </c>
      <c r="AS226" s="3"/>
      <c r="AT226" s="22">
        <v>0</v>
      </c>
      <c r="AU226" s="22">
        <v>0</v>
      </c>
      <c r="AV226" s="22">
        <v>0</v>
      </c>
      <c r="AW226" s="22">
        <v>0</v>
      </c>
      <c r="AX226" s="22">
        <v>1</v>
      </c>
      <c r="AY226" s="22">
        <v>1</v>
      </c>
      <c r="AZ226" s="22">
        <v>0</v>
      </c>
      <c r="BA226" s="22">
        <v>1</v>
      </c>
      <c r="BB226" s="64">
        <v>0.28000000000000003</v>
      </c>
      <c r="BD226" s="60">
        <v>-158.77000000000001</v>
      </c>
      <c r="BE226" s="60">
        <v>-3.91</v>
      </c>
      <c r="BF226" s="60">
        <v>-0.99</v>
      </c>
      <c r="BG226" s="60">
        <v>0</v>
      </c>
      <c r="BH226" s="60">
        <v>-2.99</v>
      </c>
      <c r="BI226" s="8">
        <v>-166.66000000000003</v>
      </c>
      <c r="BJ226" s="2" t="s">
        <v>91</v>
      </c>
      <c r="BL226" s="70">
        <v>-260239</v>
      </c>
      <c r="BM226" s="70">
        <v>-260239</v>
      </c>
      <c r="BO226" s="71">
        <v>-480728</v>
      </c>
      <c r="BP226" s="71">
        <v>160972</v>
      </c>
      <c r="BQ226" s="72"/>
      <c r="BS226" s="61">
        <f t="shared" si="158"/>
        <v>0</v>
      </c>
      <c r="BT226" s="61">
        <f t="shared" si="159"/>
        <v>0</v>
      </c>
      <c r="BU226" s="61">
        <f t="shared" si="160"/>
        <v>0</v>
      </c>
      <c r="BV226" s="61">
        <f t="shared" si="160"/>
        <v>0</v>
      </c>
      <c r="BW226" s="61">
        <f t="shared" si="160"/>
        <v>0</v>
      </c>
      <c r="BX226" s="61">
        <f t="shared" si="155"/>
        <v>0</v>
      </c>
      <c r="BY226" s="61" t="s">
        <v>91</v>
      </c>
      <c r="CA226" s="61">
        <f t="shared" si="191"/>
        <v>0</v>
      </c>
      <c r="CB226" s="61">
        <f t="shared" si="191"/>
        <v>0</v>
      </c>
      <c r="CC226" s="61">
        <f t="shared" si="191"/>
        <v>0</v>
      </c>
      <c r="CD226" s="61">
        <f t="shared" si="189"/>
        <v>0</v>
      </c>
      <c r="CE226" s="61">
        <f t="shared" si="189"/>
        <v>0</v>
      </c>
      <c r="CF226" s="61">
        <f t="shared" si="189"/>
        <v>0</v>
      </c>
      <c r="CG226" s="61">
        <f t="shared" si="189"/>
        <v>0</v>
      </c>
      <c r="CH226" s="61">
        <f t="shared" si="189"/>
        <v>0</v>
      </c>
      <c r="CI226" s="61">
        <f t="shared" si="176"/>
        <v>0</v>
      </c>
      <c r="CJ226" s="61"/>
      <c r="CK226" s="61">
        <f t="shared" si="192"/>
        <v>0</v>
      </c>
      <c r="CL226" s="61">
        <f t="shared" si="192"/>
        <v>0</v>
      </c>
      <c r="CM226" s="61">
        <f t="shared" si="192"/>
        <v>0</v>
      </c>
      <c r="CN226" s="61">
        <f t="shared" si="190"/>
        <v>0</v>
      </c>
      <c r="CO226" s="61">
        <f t="shared" si="190"/>
        <v>0</v>
      </c>
      <c r="CP226" s="61">
        <f t="shared" si="190"/>
        <v>0</v>
      </c>
      <c r="CQ226" s="61">
        <f t="shared" si="190"/>
        <v>0</v>
      </c>
      <c r="CR226" s="61">
        <f t="shared" si="190"/>
        <v>0</v>
      </c>
      <c r="CS226" s="61">
        <f t="shared" si="177"/>
        <v>0</v>
      </c>
      <c r="CT226" s="61">
        <f t="shared" si="178"/>
        <v>0</v>
      </c>
      <c r="CV226" s="61">
        <f t="shared" si="179"/>
        <v>0</v>
      </c>
      <c r="CW226" s="61">
        <f t="shared" si="148"/>
        <v>0</v>
      </c>
      <c r="CX226" s="61"/>
      <c r="CY226" s="61">
        <f t="shared" si="149"/>
        <v>0</v>
      </c>
      <c r="CZ226" s="61">
        <f t="shared" si="163"/>
        <v>0</v>
      </c>
      <c r="DA226" s="61">
        <f t="shared" si="163"/>
        <v>0</v>
      </c>
      <c r="DB226" s="2" t="s">
        <v>85</v>
      </c>
      <c r="DC226" s="2" t="s">
        <v>134</v>
      </c>
      <c r="DD226" s="2" t="s">
        <v>142</v>
      </c>
      <c r="DE226" s="2" t="s">
        <v>257</v>
      </c>
      <c r="DF226" s="3" t="s">
        <v>102</v>
      </c>
      <c r="DG226" s="62">
        <v>42824</v>
      </c>
      <c r="EC226" s="60"/>
      <c r="ED226" s="60"/>
      <c r="EE226" s="60"/>
      <c r="EF226" s="60"/>
    </row>
    <row r="227" spans="2:140" ht="12.75" hidden="1" customHeight="1">
      <c r="B227" s="93" t="s">
        <v>597</v>
      </c>
      <c r="C227" s="22" t="s">
        <v>589</v>
      </c>
      <c r="D227" s="22" t="s">
        <v>590</v>
      </c>
      <c r="E227" s="2" t="str">
        <f>VLOOKUP($C227,[1]Detail!$C:$AK,6,0)</f>
        <v>PMT4</v>
      </c>
      <c r="F227" s="2" t="str">
        <f>VLOOKUP($C227,[1]Detail!$C:$AK,7,0)</f>
        <v>PF</v>
      </c>
      <c r="G227" s="2" t="str">
        <f>VLOOKUP($C227,[1]Detail!$C:$AK,5,0)</f>
        <v>B</v>
      </c>
      <c r="J227" s="22" t="s">
        <v>286</v>
      </c>
      <c r="K227" s="23" t="s">
        <v>592</v>
      </c>
      <c r="L227" s="22" t="s">
        <v>132</v>
      </c>
      <c r="M227" s="51" t="str">
        <f t="shared" si="156"/>
        <v>JD8G-6C646-AB</v>
      </c>
      <c r="O227" s="22">
        <v>0</v>
      </c>
      <c r="P227" s="22">
        <v>0</v>
      </c>
      <c r="Q227" s="22">
        <v>0</v>
      </c>
      <c r="R227" s="22">
        <v>0</v>
      </c>
      <c r="S227" s="22">
        <v>1</v>
      </c>
      <c r="T227" s="22">
        <v>1</v>
      </c>
      <c r="U227" s="22">
        <v>0</v>
      </c>
      <c r="V227" s="22">
        <v>1</v>
      </c>
      <c r="W227" s="64">
        <f t="shared" si="157"/>
        <v>0.28000000000000003</v>
      </c>
      <c r="Y227" s="8">
        <f>-256.2-8.11</f>
        <v>-264.31</v>
      </c>
      <c r="Z227" s="8">
        <v>-7.73</v>
      </c>
      <c r="AA227" s="8">
        <v>-1.99</v>
      </c>
      <c r="AB227" s="8">
        <v>0</v>
      </c>
      <c r="AC227" s="8">
        <v>-2.99</v>
      </c>
      <c r="AD227" s="8">
        <f t="shared" si="161"/>
        <v>-277.02000000000004</v>
      </c>
      <c r="AE227" s="2" t="s">
        <v>91</v>
      </c>
      <c r="AG227" s="8">
        <v>-446864</v>
      </c>
      <c r="AH227" s="8">
        <f t="shared" si="186"/>
        <v>-446864</v>
      </c>
      <c r="AI227" s="6"/>
      <c r="AJ227" s="71">
        <v>-480728</v>
      </c>
      <c r="AK227" s="71">
        <v>160972</v>
      </c>
      <c r="AL227" s="72"/>
      <c r="AM227" s="22"/>
      <c r="AO227" s="22" t="s">
        <v>286</v>
      </c>
      <c r="AP227" s="23" t="s">
        <v>592</v>
      </c>
      <c r="AQ227" s="22" t="s">
        <v>100</v>
      </c>
      <c r="AR227" s="51" t="str">
        <f t="shared" ref="AR227:AR229" si="193">TRIM(AO227)&amp;"-"&amp;TRIM(AP227)&amp;"-"&amp;TRIM(AQ227)</f>
        <v>JD8G-6C646-AA</v>
      </c>
      <c r="AS227" s="3"/>
      <c r="AT227" s="22">
        <v>0</v>
      </c>
      <c r="AU227" s="22">
        <v>0</v>
      </c>
      <c r="AV227" s="22">
        <v>0</v>
      </c>
      <c r="AW227" s="22">
        <v>0</v>
      </c>
      <c r="AX227" s="22">
        <v>1</v>
      </c>
      <c r="AY227" s="22">
        <v>1</v>
      </c>
      <c r="AZ227" s="22">
        <v>0</v>
      </c>
      <c r="BA227" s="22">
        <v>1</v>
      </c>
      <c r="BB227" s="64">
        <f>SUMPRODUCT(AT227:BA227,$O$6:$V$6)</f>
        <v>0.28000000000000003</v>
      </c>
      <c r="BD227" s="8">
        <v>-256.2</v>
      </c>
      <c r="BE227" s="8">
        <v>-7.73</v>
      </c>
      <c r="BF227" s="8">
        <v>-1.99</v>
      </c>
      <c r="BG227" s="8">
        <v>0</v>
      </c>
      <c r="BH227" s="8">
        <v>-2.99</v>
      </c>
      <c r="BI227" s="8">
        <f t="shared" ref="BI227" si="194">SUM(BD227:BH227)</f>
        <v>-268.91000000000003</v>
      </c>
      <c r="BJ227" s="2" t="s">
        <v>91</v>
      </c>
      <c r="BL227" s="8">
        <v>-446864</v>
      </c>
      <c r="BM227" s="8">
        <f>BL227</f>
        <v>-446864</v>
      </c>
      <c r="BN227" s="6"/>
      <c r="BO227" s="71">
        <v>-480728</v>
      </c>
      <c r="BP227" s="71">
        <v>160972</v>
      </c>
      <c r="BQ227" s="72">
        <v>0</v>
      </c>
      <c r="BS227" s="61">
        <f t="shared" si="158"/>
        <v>-8.1100000000000136</v>
      </c>
      <c r="BT227" s="61">
        <f t="shared" si="159"/>
        <v>0</v>
      </c>
      <c r="BU227" s="61">
        <f t="shared" si="160"/>
        <v>0</v>
      </c>
      <c r="BV227" s="61">
        <f t="shared" si="160"/>
        <v>0</v>
      </c>
      <c r="BW227" s="61">
        <f t="shared" si="160"/>
        <v>0</v>
      </c>
      <c r="BX227" s="61">
        <f t="shared" si="155"/>
        <v>-8.1100000000000136</v>
      </c>
      <c r="BY227" s="61" t="s">
        <v>91</v>
      </c>
      <c r="CA227" s="61">
        <f t="shared" si="191"/>
        <v>0</v>
      </c>
      <c r="CB227" s="61">
        <f t="shared" si="191"/>
        <v>0</v>
      </c>
      <c r="CC227" s="61">
        <f t="shared" si="191"/>
        <v>0</v>
      </c>
      <c r="CD227" s="61">
        <f t="shared" si="189"/>
        <v>0</v>
      </c>
      <c r="CE227" s="61">
        <f t="shared" si="189"/>
        <v>-1.2200992929140986</v>
      </c>
      <c r="CF227" s="61">
        <f t="shared" si="189"/>
        <v>-1.2200992929140986</v>
      </c>
      <c r="CG227" s="61">
        <f t="shared" si="189"/>
        <v>0</v>
      </c>
      <c r="CH227" s="61">
        <f t="shared" si="189"/>
        <v>-1.2200992929140986</v>
      </c>
      <c r="CI227" s="61">
        <f t="shared" si="176"/>
        <v>-0.34162780201594761</v>
      </c>
      <c r="CJ227" s="61"/>
      <c r="CK227" s="61">
        <f t="shared" si="192"/>
        <v>0</v>
      </c>
      <c r="CL227" s="61">
        <f t="shared" si="192"/>
        <v>0</v>
      </c>
      <c r="CM227" s="61">
        <f t="shared" si="192"/>
        <v>0</v>
      </c>
      <c r="CN227" s="61">
        <f t="shared" si="190"/>
        <v>0</v>
      </c>
      <c r="CO227" s="61">
        <f t="shared" si="190"/>
        <v>-1.2200992929140986</v>
      </c>
      <c r="CP227" s="61">
        <f t="shared" si="190"/>
        <v>-1.2200992929140986</v>
      </c>
      <c r="CQ227" s="61">
        <f t="shared" si="190"/>
        <v>0</v>
      </c>
      <c r="CR227" s="61">
        <f t="shared" si="190"/>
        <v>-1.2200992929140986</v>
      </c>
      <c r="CS227" s="61">
        <f t="shared" si="177"/>
        <v>-0.34162780201594761</v>
      </c>
      <c r="CT227" s="61">
        <f t="shared" si="178"/>
        <v>-2.2708000000000039</v>
      </c>
      <c r="CV227" s="61">
        <f t="shared" si="179"/>
        <v>0</v>
      </c>
      <c r="CW227" s="61">
        <f t="shared" ref="CW227:CW229" si="195">SUM(AH227)-SUM(BM227)</f>
        <v>0</v>
      </c>
      <c r="CX227" s="61"/>
      <c r="CY227" s="61">
        <f t="shared" ref="CY227:CY229" si="196">SUM(AJ227)-SUM(BO227)</f>
        <v>0</v>
      </c>
      <c r="CZ227" s="61">
        <f t="shared" si="163"/>
        <v>0</v>
      </c>
      <c r="DA227" s="61">
        <f t="shared" si="163"/>
        <v>0</v>
      </c>
      <c r="DB227" s="2" t="s">
        <v>85</v>
      </c>
      <c r="DC227" s="2" t="s">
        <v>102</v>
      </c>
      <c r="DD227" s="2" t="s">
        <v>142</v>
      </c>
      <c r="DE227" s="2" t="s">
        <v>106</v>
      </c>
      <c r="DF227" s="3" t="s">
        <v>118</v>
      </c>
      <c r="DG227" s="62">
        <v>43111</v>
      </c>
      <c r="EC227" s="60"/>
      <c r="ED227" s="60"/>
      <c r="EE227" s="60"/>
      <c r="EF227" s="60"/>
      <c r="EH227" s="60"/>
      <c r="EI227" s="60"/>
      <c r="EJ227" s="60"/>
    </row>
    <row r="228" spans="2:140" ht="12.75" hidden="1" customHeight="1">
      <c r="B228" s="93" t="s">
        <v>598</v>
      </c>
      <c r="C228" s="22" t="s">
        <v>589</v>
      </c>
      <c r="D228" s="22" t="s">
        <v>590</v>
      </c>
      <c r="E228" s="2" t="str">
        <f>VLOOKUP($C228,[1]Detail!$C:$AK,6,0)</f>
        <v>PMT4</v>
      </c>
      <c r="F228" s="2" t="str">
        <f>VLOOKUP($C228,[1]Detail!$C:$AK,7,0)</f>
        <v>PF</v>
      </c>
      <c r="G228" s="2" t="str">
        <f>VLOOKUP($C228,[1]Detail!$C:$AK,5,0)</f>
        <v>B</v>
      </c>
      <c r="J228" s="22" t="s">
        <v>286</v>
      </c>
      <c r="K228" s="23" t="s">
        <v>592</v>
      </c>
      <c r="L228" s="22" t="s">
        <v>234</v>
      </c>
      <c r="M228" s="51" t="str">
        <f t="shared" si="156"/>
        <v>JD8G-6C646-AC</v>
      </c>
      <c r="O228" s="22">
        <v>0</v>
      </c>
      <c r="P228" s="22">
        <v>0</v>
      </c>
      <c r="Q228" s="22">
        <v>0</v>
      </c>
      <c r="R228" s="22">
        <v>0</v>
      </c>
      <c r="S228" s="22">
        <v>1</v>
      </c>
      <c r="T228" s="22">
        <v>1</v>
      </c>
      <c r="U228" s="22">
        <v>0</v>
      </c>
      <c r="V228" s="22">
        <v>1</v>
      </c>
      <c r="W228" s="64">
        <f t="shared" si="157"/>
        <v>0.28000000000000003</v>
      </c>
      <c r="Y228" s="8">
        <f>-256.2-8.11-2.18</f>
        <v>-266.49</v>
      </c>
      <c r="Z228" s="8">
        <v>-7.73</v>
      </c>
      <c r="AA228" s="8">
        <v>-1.99</v>
      </c>
      <c r="AB228" s="8">
        <v>0</v>
      </c>
      <c r="AC228" s="8">
        <v>-2.99</v>
      </c>
      <c r="AD228" s="8">
        <f t="shared" si="161"/>
        <v>-279.20000000000005</v>
      </c>
      <c r="AE228" s="2" t="s">
        <v>91</v>
      </c>
      <c r="AG228" s="8">
        <v>-446864</v>
      </c>
      <c r="AH228" s="8">
        <f t="shared" si="186"/>
        <v>-446864</v>
      </c>
      <c r="AI228" s="6"/>
      <c r="AJ228" s="71">
        <v>-480728</v>
      </c>
      <c r="AK228" s="71">
        <v>160972</v>
      </c>
      <c r="AL228" s="72"/>
      <c r="AM228" s="22"/>
      <c r="AO228" s="22" t="s">
        <v>286</v>
      </c>
      <c r="AP228" s="23" t="s">
        <v>592</v>
      </c>
      <c r="AQ228" s="22" t="s">
        <v>132</v>
      </c>
      <c r="AR228" s="51" t="str">
        <f t="shared" si="193"/>
        <v>JD8G-6C646-AB</v>
      </c>
      <c r="AS228" s="3"/>
      <c r="AT228" s="22">
        <v>0</v>
      </c>
      <c r="AU228" s="22">
        <v>0</v>
      </c>
      <c r="AV228" s="22">
        <v>0</v>
      </c>
      <c r="AW228" s="22">
        <v>0</v>
      </c>
      <c r="AX228" s="22">
        <v>1</v>
      </c>
      <c r="AY228" s="22">
        <v>1</v>
      </c>
      <c r="AZ228" s="22">
        <v>0</v>
      </c>
      <c r="BA228" s="22">
        <v>1</v>
      </c>
      <c r="BB228" s="64">
        <f>SUMPRODUCT(AT228:BA228,$O$6:$V$6)</f>
        <v>0.28000000000000003</v>
      </c>
      <c r="BD228" s="8">
        <f>-256.2-8.11</f>
        <v>-264.31</v>
      </c>
      <c r="BE228" s="8">
        <v>-7.73</v>
      </c>
      <c r="BF228" s="8">
        <v>-1.99</v>
      </c>
      <c r="BG228" s="8">
        <v>0</v>
      </c>
      <c r="BH228" s="8">
        <v>-2.99</v>
      </c>
      <c r="BI228" s="8">
        <f t="shared" ref="BI228" si="197">SUM(BD228:BH228)</f>
        <v>-277.02000000000004</v>
      </c>
      <c r="BJ228" s="2" t="s">
        <v>91</v>
      </c>
      <c r="BL228" s="8">
        <v>-446864</v>
      </c>
      <c r="BM228" s="8">
        <f t="shared" ref="BM228" si="198">BL228</f>
        <v>-446864</v>
      </c>
      <c r="BN228" s="6"/>
      <c r="BO228" s="71">
        <v>-480728</v>
      </c>
      <c r="BP228" s="71">
        <v>160972</v>
      </c>
      <c r="BQ228" s="72">
        <v>0</v>
      </c>
      <c r="BS228" s="61">
        <f t="shared" si="158"/>
        <v>-2.1800000000000068</v>
      </c>
      <c r="BT228" s="61">
        <f t="shared" si="159"/>
        <v>0</v>
      </c>
      <c r="BU228" s="61">
        <f t="shared" si="160"/>
        <v>0</v>
      </c>
      <c r="BV228" s="61">
        <f t="shared" si="160"/>
        <v>0</v>
      </c>
      <c r="BW228" s="61">
        <f t="shared" si="160"/>
        <v>0</v>
      </c>
      <c r="BX228" s="61">
        <f t="shared" si="155"/>
        <v>-2.1800000000000068</v>
      </c>
      <c r="BY228" s="61" t="s">
        <v>91</v>
      </c>
      <c r="CA228" s="61">
        <f t="shared" si="191"/>
        <v>0</v>
      </c>
      <c r="CB228" s="61">
        <f t="shared" si="191"/>
        <v>0</v>
      </c>
      <c r="CC228" s="61">
        <f t="shared" si="191"/>
        <v>0</v>
      </c>
      <c r="CD228" s="61">
        <f t="shared" si="189"/>
        <v>0</v>
      </c>
      <c r="CE228" s="61">
        <f t="shared" si="189"/>
        <v>-0.32796750413720577</v>
      </c>
      <c r="CF228" s="61">
        <f t="shared" si="189"/>
        <v>-0.32796750413720577</v>
      </c>
      <c r="CG228" s="61">
        <f t="shared" si="189"/>
        <v>0</v>
      </c>
      <c r="CH228" s="61">
        <f t="shared" si="189"/>
        <v>-0.32796750413720577</v>
      </c>
      <c r="CI228" s="61">
        <f t="shared" si="176"/>
        <v>-9.1830901158417619E-2</v>
      </c>
      <c r="CJ228" s="61"/>
      <c r="CK228" s="61">
        <f t="shared" si="192"/>
        <v>0</v>
      </c>
      <c r="CL228" s="61">
        <f t="shared" si="192"/>
        <v>0</v>
      </c>
      <c r="CM228" s="61">
        <f t="shared" si="192"/>
        <v>0</v>
      </c>
      <c r="CN228" s="61">
        <f t="shared" si="190"/>
        <v>0</v>
      </c>
      <c r="CO228" s="61">
        <f t="shared" si="190"/>
        <v>-0.32796750413720577</v>
      </c>
      <c r="CP228" s="61">
        <f t="shared" si="190"/>
        <v>-0.32796750413720577</v>
      </c>
      <c r="CQ228" s="61">
        <f t="shared" si="190"/>
        <v>0</v>
      </c>
      <c r="CR228" s="61">
        <f t="shared" si="190"/>
        <v>-0.32796750413720577</v>
      </c>
      <c r="CS228" s="63">
        <f t="shared" si="177"/>
        <v>-9.1830901158417619E-2</v>
      </c>
      <c r="CT228" s="63">
        <f t="shared" si="178"/>
        <v>-0.61040000000000194</v>
      </c>
      <c r="CV228" s="61">
        <f t="shared" si="179"/>
        <v>0</v>
      </c>
      <c r="CW228" s="61">
        <f t="shared" si="195"/>
        <v>0</v>
      </c>
      <c r="CX228" s="61"/>
      <c r="CY228" s="61">
        <f t="shared" si="196"/>
        <v>0</v>
      </c>
      <c r="CZ228" s="61">
        <f t="shared" si="163"/>
        <v>0</v>
      </c>
      <c r="DA228" s="61">
        <f t="shared" si="163"/>
        <v>0</v>
      </c>
      <c r="DB228" s="2" t="s">
        <v>102</v>
      </c>
      <c r="DC228" s="2" t="s">
        <v>289</v>
      </c>
      <c r="DD228" s="2" t="s">
        <v>142</v>
      </c>
      <c r="DE228" s="2" t="s">
        <v>106</v>
      </c>
      <c r="DF228" s="58">
        <v>43098</v>
      </c>
      <c r="DG228" s="62" t="s">
        <v>118</v>
      </c>
      <c r="DZ228" s="3" t="e">
        <v>#N/A</v>
      </c>
      <c r="EC228" s="60" t="str">
        <f>VLOOKUP($M228,[1]Detail!$M:$BO,1,0)</f>
        <v>JD8G-6C646-AC</v>
      </c>
      <c r="ED228" s="60">
        <f>VLOOKUP($M228,[1]Detail!$M:$BO,22,0)</f>
        <v>-279.20000000000005</v>
      </c>
      <c r="EE228" s="60">
        <f>VLOOKUP($M228,[1]Detail!$M:$BO,42,0)</f>
        <v>-446864</v>
      </c>
      <c r="EF228" s="60">
        <f>VLOOKUP($M228,[1]Detail!$M:$BO,45,0)</f>
        <v>-480728</v>
      </c>
      <c r="EH228" s="60">
        <f>ED228-AD228</f>
        <v>0</v>
      </c>
      <c r="EI228" s="60">
        <f>EE228-AG228</f>
        <v>0</v>
      </c>
      <c r="EJ228" s="60">
        <f t="shared" ref="EJ228:EJ230" si="199">EF228-AJ228</f>
        <v>0</v>
      </c>
    </row>
    <row r="229" spans="2:140" ht="12.75" hidden="1" customHeight="1">
      <c r="B229" s="2" t="s">
        <v>597</v>
      </c>
      <c r="C229" s="22" t="s">
        <v>1</v>
      </c>
      <c r="D229" s="22" t="s">
        <v>594</v>
      </c>
      <c r="E229" s="2" t="str">
        <f>VLOOKUP($C229,[1]Detail!$C:$AK,6,0)</f>
        <v>PMT4</v>
      </c>
      <c r="F229" s="2" t="str">
        <f>VLOOKUP($C229,[1]Detail!$C:$AK,7,0)</f>
        <v>PF</v>
      </c>
      <c r="G229" s="2" t="str">
        <f>VLOOKUP($C229,[1]Detail!$C:$AK,5,0)</f>
        <v>B</v>
      </c>
      <c r="J229" s="22" t="s">
        <v>427</v>
      </c>
      <c r="K229" s="23" t="s">
        <v>595</v>
      </c>
      <c r="L229" s="22" t="s">
        <v>599</v>
      </c>
      <c r="M229" s="51" t="str">
        <f t="shared" si="156"/>
        <v>JD8G-6F075-BC</v>
      </c>
      <c r="O229" s="22">
        <v>0</v>
      </c>
      <c r="P229" s="22">
        <v>0</v>
      </c>
      <c r="Q229" s="22">
        <v>0</v>
      </c>
      <c r="R229" s="22">
        <v>0</v>
      </c>
      <c r="S229" s="22">
        <v>1</v>
      </c>
      <c r="T229" s="22">
        <v>1</v>
      </c>
      <c r="U229" s="22">
        <v>0</v>
      </c>
      <c r="V229" s="22">
        <v>1</v>
      </c>
      <c r="W229" s="64">
        <f t="shared" si="157"/>
        <v>0.28000000000000003</v>
      </c>
      <c r="Y229" s="8">
        <v>-158.77000000000001</v>
      </c>
      <c r="Z229" s="8">
        <v>-3.91</v>
      </c>
      <c r="AA229" s="8">
        <v>-0.99</v>
      </c>
      <c r="AB229" s="8">
        <v>0</v>
      </c>
      <c r="AC229" s="8">
        <v>-2.99</v>
      </c>
      <c r="AD229" s="8">
        <f t="shared" si="161"/>
        <v>-166.66000000000003</v>
      </c>
      <c r="AE229" s="2" t="s">
        <v>91</v>
      </c>
      <c r="AG229" s="8">
        <v>-260239</v>
      </c>
      <c r="AH229" s="8">
        <f t="shared" si="186"/>
        <v>-260239</v>
      </c>
      <c r="AI229" s="6"/>
      <c r="AJ229" s="71">
        <v>-480728</v>
      </c>
      <c r="AK229" s="71">
        <v>160972</v>
      </c>
      <c r="AL229" s="72"/>
      <c r="AM229" s="22"/>
      <c r="AO229" s="22" t="s">
        <v>427</v>
      </c>
      <c r="AP229" s="23" t="s">
        <v>595</v>
      </c>
      <c r="AQ229" s="22" t="s">
        <v>120</v>
      </c>
      <c r="AR229" s="51" t="str">
        <f t="shared" si="193"/>
        <v>JD8G-6F075-BB</v>
      </c>
      <c r="AS229" s="3"/>
      <c r="AT229" s="22">
        <v>0</v>
      </c>
      <c r="AU229" s="22">
        <v>0</v>
      </c>
      <c r="AV229" s="22">
        <v>0</v>
      </c>
      <c r="AW229" s="22">
        <v>0</v>
      </c>
      <c r="AX229" s="22">
        <v>1</v>
      </c>
      <c r="AY229" s="22">
        <v>1</v>
      </c>
      <c r="AZ229" s="22">
        <v>0</v>
      </c>
      <c r="BA229" s="22">
        <v>1</v>
      </c>
      <c r="BB229" s="64">
        <f>SUMPRODUCT(AT229:BA229,$O$6:$V$6)</f>
        <v>0.28000000000000003</v>
      </c>
      <c r="BD229" s="8">
        <v>-158.77000000000001</v>
      </c>
      <c r="BE229" s="8">
        <v>-3.91</v>
      </c>
      <c r="BF229" s="8">
        <v>-0.99</v>
      </c>
      <c r="BG229" s="8">
        <v>0</v>
      </c>
      <c r="BH229" s="8">
        <v>-2.99</v>
      </c>
      <c r="BI229" s="8">
        <f t="shared" ref="BI229" si="200">SUM(BD229:BH229)</f>
        <v>-166.66000000000003</v>
      </c>
      <c r="BJ229" s="2" t="s">
        <v>91</v>
      </c>
      <c r="BL229" s="8">
        <v>-260239</v>
      </c>
      <c r="BM229" s="8">
        <f>BL229</f>
        <v>-260239</v>
      </c>
      <c r="BN229" s="6"/>
      <c r="BO229" s="71">
        <v>-480728</v>
      </c>
      <c r="BP229" s="71">
        <v>160972</v>
      </c>
      <c r="BQ229" s="72"/>
      <c r="BS229" s="61">
        <f t="shared" si="158"/>
        <v>0</v>
      </c>
      <c r="BT229" s="61">
        <f t="shared" si="159"/>
        <v>0</v>
      </c>
      <c r="BU229" s="61">
        <f t="shared" si="160"/>
        <v>0</v>
      </c>
      <c r="BV229" s="61">
        <f t="shared" si="160"/>
        <v>0</v>
      </c>
      <c r="BW229" s="61">
        <f t="shared" si="160"/>
        <v>0</v>
      </c>
      <c r="BX229" s="61">
        <f t="shared" si="155"/>
        <v>0</v>
      </c>
      <c r="BY229" s="61" t="s">
        <v>91</v>
      </c>
      <c r="CA229" s="61">
        <f t="shared" si="191"/>
        <v>0</v>
      </c>
      <c r="CB229" s="61">
        <f t="shared" si="191"/>
        <v>0</v>
      </c>
      <c r="CC229" s="61">
        <f t="shared" si="191"/>
        <v>0</v>
      </c>
      <c r="CD229" s="61">
        <f t="shared" si="189"/>
        <v>0</v>
      </c>
      <c r="CE229" s="61">
        <f t="shared" si="189"/>
        <v>0</v>
      </c>
      <c r="CF229" s="61">
        <f t="shared" si="189"/>
        <v>0</v>
      </c>
      <c r="CG229" s="61">
        <f t="shared" si="189"/>
        <v>0</v>
      </c>
      <c r="CH229" s="61">
        <f t="shared" si="189"/>
        <v>0</v>
      </c>
      <c r="CI229" s="61">
        <f t="shared" si="176"/>
        <v>0</v>
      </c>
      <c r="CJ229" s="61"/>
      <c r="CK229" s="61">
        <f t="shared" si="192"/>
        <v>0</v>
      </c>
      <c r="CL229" s="61">
        <f t="shared" si="192"/>
        <v>0</v>
      </c>
      <c r="CM229" s="61">
        <f t="shared" si="192"/>
        <v>0</v>
      </c>
      <c r="CN229" s="61">
        <f t="shared" si="190"/>
        <v>0</v>
      </c>
      <c r="CO229" s="61">
        <f t="shared" si="190"/>
        <v>0</v>
      </c>
      <c r="CP229" s="61">
        <f t="shared" si="190"/>
        <v>0</v>
      </c>
      <c r="CQ229" s="61">
        <f t="shared" si="190"/>
        <v>0</v>
      </c>
      <c r="CR229" s="61">
        <f t="shared" si="190"/>
        <v>0</v>
      </c>
      <c r="CS229" s="61">
        <f t="shared" si="177"/>
        <v>0</v>
      </c>
      <c r="CT229" s="61">
        <f t="shared" si="178"/>
        <v>0</v>
      </c>
      <c r="CV229" s="61">
        <f t="shared" si="179"/>
        <v>0</v>
      </c>
      <c r="CW229" s="61">
        <f t="shared" si="195"/>
        <v>0</v>
      </c>
      <c r="CX229" s="61"/>
      <c r="CY229" s="61">
        <f t="shared" si="196"/>
        <v>0</v>
      </c>
      <c r="CZ229" s="61">
        <f t="shared" si="163"/>
        <v>0</v>
      </c>
      <c r="DA229" s="61">
        <f t="shared" si="163"/>
        <v>0</v>
      </c>
      <c r="DB229" s="2" t="s">
        <v>102</v>
      </c>
      <c r="DC229" s="2" t="s">
        <v>134</v>
      </c>
      <c r="DD229" s="2" t="s">
        <v>142</v>
      </c>
      <c r="DE229" s="2" t="s">
        <v>106</v>
      </c>
      <c r="DF229" s="3" t="s">
        <v>118</v>
      </c>
      <c r="DG229" s="62">
        <v>43111</v>
      </c>
      <c r="EC229" s="60" t="str">
        <f>VLOOKUP($M229,[1]Detail!$M:$BO,1,0)</f>
        <v>JD8G-6F075-BC</v>
      </c>
      <c r="ED229" s="60">
        <f>VLOOKUP($M229,[1]Detail!$M:$BO,22,0)</f>
        <v>-166.66000000000003</v>
      </c>
      <c r="EE229" s="60">
        <f>VLOOKUP($M229,[1]Detail!$M:$BO,42,0)</f>
        <v>-260239</v>
      </c>
      <c r="EF229" s="60">
        <f>VLOOKUP($M229,[1]Detail!$M:$BO,45,0)</f>
        <v>-480728</v>
      </c>
      <c r="EH229" s="60">
        <f>ED229-AD229</f>
        <v>0</v>
      </c>
      <c r="EI229" s="60">
        <f>EE229-AG229</f>
        <v>0</v>
      </c>
      <c r="EJ229" s="60">
        <f t="shared" si="199"/>
        <v>0</v>
      </c>
    </row>
    <row r="230" spans="2:140" ht="12.75" hidden="1" customHeight="1">
      <c r="B230" s="93" t="s">
        <v>588</v>
      </c>
      <c r="C230" s="22" t="s">
        <v>589</v>
      </c>
      <c r="D230" s="22" t="s">
        <v>590</v>
      </c>
      <c r="E230" s="2" t="str">
        <f>VLOOKUP($C230,[1]Detail!$C:$AK,6,0)</f>
        <v>PMT4</v>
      </c>
      <c r="F230" s="2" t="str">
        <f>VLOOKUP($C230,[1]Detail!$C:$AK,7,0)</f>
        <v>PF</v>
      </c>
      <c r="G230" s="2" t="str">
        <f>VLOOKUP($C230,[1]Detail!$C:$AK,5,0)</f>
        <v>B</v>
      </c>
      <c r="J230" s="22" t="s">
        <v>600</v>
      </c>
      <c r="K230" s="23" t="s">
        <v>601</v>
      </c>
      <c r="L230" s="22" t="s">
        <v>113</v>
      </c>
      <c r="M230" s="51" t="str">
        <f t="shared" si="156"/>
        <v>JX61-6F072-CA</v>
      </c>
      <c r="O230" s="22">
        <v>0</v>
      </c>
      <c r="P230" s="22">
        <v>0</v>
      </c>
      <c r="Q230" s="22">
        <v>0</v>
      </c>
      <c r="R230" s="22">
        <v>0</v>
      </c>
      <c r="S230" s="22">
        <v>1</v>
      </c>
      <c r="T230" s="22">
        <v>1</v>
      </c>
      <c r="U230" s="22">
        <v>0</v>
      </c>
      <c r="V230" s="22">
        <v>1</v>
      </c>
      <c r="W230" s="64">
        <f t="shared" si="157"/>
        <v>0.28000000000000003</v>
      </c>
      <c r="Y230" s="8">
        <v>-37.479999999999997</v>
      </c>
      <c r="Z230" s="8">
        <v>-1.07</v>
      </c>
      <c r="AA230" s="8">
        <v>-0.32</v>
      </c>
      <c r="AB230" s="8">
        <v>0</v>
      </c>
      <c r="AC230" s="8">
        <v>0</v>
      </c>
      <c r="AD230" s="8">
        <f t="shared" si="161"/>
        <v>-38.869999999999997</v>
      </c>
      <c r="AE230" s="2" t="s">
        <v>91</v>
      </c>
      <c r="AG230" s="8">
        <v>0</v>
      </c>
      <c r="AH230" s="8">
        <v>0</v>
      </c>
      <c r="AJ230" s="71">
        <v>0</v>
      </c>
      <c r="AK230" s="71">
        <v>0</v>
      </c>
      <c r="AL230" s="72"/>
      <c r="AM230" s="22"/>
      <c r="AO230" s="22" t="s">
        <v>600</v>
      </c>
      <c r="AP230" s="23" t="s">
        <v>601</v>
      </c>
      <c r="AQ230" s="22" t="s">
        <v>113</v>
      </c>
      <c r="AR230" s="51" t="str">
        <f>TRIM(AO230)&amp;"-"&amp;TRIM(AP230)&amp;"-"&amp;TRIM(AQ230)</f>
        <v>JX61-6F072-CA</v>
      </c>
      <c r="AS230" s="3"/>
      <c r="AT230" s="22">
        <v>0</v>
      </c>
      <c r="AU230" s="22">
        <v>0</v>
      </c>
      <c r="AV230" s="22">
        <v>0</v>
      </c>
      <c r="AW230" s="22">
        <v>0</v>
      </c>
      <c r="AX230" s="22">
        <v>1</v>
      </c>
      <c r="AY230" s="22">
        <v>1</v>
      </c>
      <c r="AZ230" s="22">
        <v>0</v>
      </c>
      <c r="BA230" s="22">
        <v>1</v>
      </c>
      <c r="BB230" s="64">
        <f>SUMPRODUCT(AT230:BA230,$O$6:$V$6)</f>
        <v>0.28000000000000003</v>
      </c>
      <c r="BD230" s="60">
        <v>-37.479999999999997</v>
      </c>
      <c r="BE230" s="60">
        <v>-1.07</v>
      </c>
      <c r="BF230" s="60">
        <v>-0.32</v>
      </c>
      <c r="BG230" s="60">
        <v>0</v>
      </c>
      <c r="BH230" s="60">
        <v>0</v>
      </c>
      <c r="BI230" s="8">
        <f>SUM(BD230:BH230)</f>
        <v>-38.869999999999997</v>
      </c>
      <c r="BJ230" s="2" t="s">
        <v>91</v>
      </c>
      <c r="BL230" s="70">
        <v>0</v>
      </c>
      <c r="BM230" s="70">
        <v>0</v>
      </c>
      <c r="BO230" s="71">
        <v>0</v>
      </c>
      <c r="BP230" s="71">
        <v>0</v>
      </c>
      <c r="BQ230" s="72">
        <v>0</v>
      </c>
      <c r="BS230" s="61">
        <f t="shared" si="158"/>
        <v>0</v>
      </c>
      <c r="BT230" s="61">
        <f t="shared" si="159"/>
        <v>0</v>
      </c>
      <c r="BU230" s="61">
        <f t="shared" si="160"/>
        <v>0</v>
      </c>
      <c r="BV230" s="61">
        <f t="shared" si="160"/>
        <v>0</v>
      </c>
      <c r="BW230" s="61">
        <f t="shared" si="160"/>
        <v>0</v>
      </c>
      <c r="BX230" s="61">
        <f t="shared" si="155"/>
        <v>0</v>
      </c>
      <c r="BY230" s="61" t="s">
        <v>91</v>
      </c>
      <c r="CA230" s="61">
        <f t="shared" si="191"/>
        <v>0</v>
      </c>
      <c r="CB230" s="61">
        <f t="shared" si="191"/>
        <v>0</v>
      </c>
      <c r="CC230" s="61">
        <f t="shared" si="191"/>
        <v>0</v>
      </c>
      <c r="CD230" s="61">
        <f t="shared" si="189"/>
        <v>0</v>
      </c>
      <c r="CE230" s="61">
        <f t="shared" si="189"/>
        <v>0</v>
      </c>
      <c r="CF230" s="61">
        <f t="shared" si="189"/>
        <v>0</v>
      </c>
      <c r="CG230" s="61">
        <f t="shared" si="189"/>
        <v>0</v>
      </c>
      <c r="CH230" s="61">
        <f t="shared" si="189"/>
        <v>0</v>
      </c>
      <c r="CI230" s="61">
        <f t="shared" si="176"/>
        <v>0</v>
      </c>
      <c r="CJ230" s="61"/>
      <c r="CK230" s="61">
        <f t="shared" si="192"/>
        <v>0</v>
      </c>
      <c r="CL230" s="61">
        <f t="shared" si="192"/>
        <v>0</v>
      </c>
      <c r="CM230" s="61">
        <f t="shared" si="192"/>
        <v>0</v>
      </c>
      <c r="CN230" s="61">
        <f t="shared" si="190"/>
        <v>0</v>
      </c>
      <c r="CO230" s="61">
        <f t="shared" si="190"/>
        <v>0</v>
      </c>
      <c r="CP230" s="61">
        <f t="shared" si="190"/>
        <v>0</v>
      </c>
      <c r="CQ230" s="61">
        <f t="shared" si="190"/>
        <v>0</v>
      </c>
      <c r="CR230" s="61">
        <f t="shared" si="190"/>
        <v>0</v>
      </c>
      <c r="CS230" s="61">
        <f t="shared" si="177"/>
        <v>0</v>
      </c>
      <c r="CT230" s="61">
        <f t="shared" si="178"/>
        <v>0</v>
      </c>
      <c r="CV230" s="61">
        <f t="shared" si="179"/>
        <v>0</v>
      </c>
      <c r="CW230" s="61">
        <f t="shared" si="148"/>
        <v>0</v>
      </c>
      <c r="CX230" s="61"/>
      <c r="CY230" s="61">
        <f t="shared" si="149"/>
        <v>0</v>
      </c>
      <c r="CZ230" s="61">
        <f t="shared" si="163"/>
        <v>0</v>
      </c>
      <c r="DA230" s="61">
        <f t="shared" si="163"/>
        <v>0</v>
      </c>
      <c r="DB230" s="2" t="s">
        <v>102</v>
      </c>
      <c r="DC230" s="2" t="s">
        <v>102</v>
      </c>
      <c r="DD230" s="2" t="s">
        <v>142</v>
      </c>
      <c r="DE230" s="2" t="s">
        <v>181</v>
      </c>
      <c r="DF230" s="3" t="s">
        <v>86</v>
      </c>
      <c r="DG230" s="62">
        <v>42833</v>
      </c>
      <c r="EC230" s="60" t="str">
        <f>VLOOKUP($M230,[1]Detail!$M:$BO,1,0)</f>
        <v>JX61-6F072-CA</v>
      </c>
      <c r="ED230" s="60">
        <f>VLOOKUP($M230,[1]Detail!$M:$BO,22,0)</f>
        <v>-39.49</v>
      </c>
      <c r="EE230" s="60">
        <f>VLOOKUP($M230,[1]Detail!$M:$BO,42,0)</f>
        <v>0</v>
      </c>
      <c r="EF230" s="60">
        <f>VLOOKUP($M230,[1]Detail!$M:$BO,45,0)</f>
        <v>0</v>
      </c>
      <c r="EH230" s="60">
        <f>ED230-AD230</f>
        <v>-0.62000000000000455</v>
      </c>
      <c r="EI230" s="60">
        <f>EE230-AG230</f>
        <v>0</v>
      </c>
      <c r="EJ230" s="60">
        <f t="shared" si="199"/>
        <v>0</v>
      </c>
    </row>
    <row r="231" spans="2:140" ht="12.75" hidden="1" customHeight="1">
      <c r="B231" s="93" t="s">
        <v>602</v>
      </c>
      <c r="C231" s="22" t="s">
        <v>603</v>
      </c>
      <c r="D231" s="22" t="s">
        <v>604</v>
      </c>
      <c r="E231" s="2" t="str">
        <f>VLOOKUP($C231,[1]Detail!$C:$AK,6,0)</f>
        <v>PMT4</v>
      </c>
      <c r="F231" s="2" t="str">
        <f>VLOOKUP($C231,[1]Detail!$C:$AK,7,0)</f>
        <v>PF</v>
      </c>
      <c r="G231" s="2" t="str">
        <f>VLOOKUP($C231,[1]Detail!$C:$AK,5,0)</f>
        <v>B</v>
      </c>
      <c r="J231" s="22" t="s">
        <v>286</v>
      </c>
      <c r="K231" s="23" t="s">
        <v>605</v>
      </c>
      <c r="L231" s="22" t="s">
        <v>111</v>
      </c>
      <c r="M231" s="51" t="str">
        <f t="shared" si="156"/>
        <v>JD8G-9C623-BA</v>
      </c>
      <c r="O231" s="22">
        <v>0</v>
      </c>
      <c r="P231" s="22">
        <v>0</v>
      </c>
      <c r="Q231" s="22">
        <v>0</v>
      </c>
      <c r="R231" s="22">
        <v>0</v>
      </c>
      <c r="S231" s="22">
        <v>1</v>
      </c>
      <c r="T231" s="22">
        <v>1</v>
      </c>
      <c r="U231" s="22">
        <v>0</v>
      </c>
      <c r="V231" s="22">
        <v>1</v>
      </c>
      <c r="W231" s="64">
        <f t="shared" si="157"/>
        <v>0.28000000000000003</v>
      </c>
      <c r="Y231" s="8">
        <v>-70.27</v>
      </c>
      <c r="Z231" s="8">
        <v>-1.53</v>
      </c>
      <c r="AA231" s="8">
        <v>-0.89</v>
      </c>
      <c r="AB231" s="8">
        <v>0</v>
      </c>
      <c r="AC231" s="8">
        <v>-3.55</v>
      </c>
      <c r="AD231" s="8">
        <f t="shared" si="161"/>
        <v>-76.239999999999995</v>
      </c>
      <c r="AE231" s="2" t="s">
        <v>91</v>
      </c>
      <c r="AG231" s="8">
        <v>-820000</v>
      </c>
      <c r="AH231" s="8">
        <f>AG231</f>
        <v>-820000</v>
      </c>
      <c r="AI231" s="6"/>
      <c r="AJ231" s="71">
        <v>-571954</v>
      </c>
      <c r="AK231" s="71">
        <v>160972</v>
      </c>
      <c r="AL231" s="72"/>
      <c r="AM231" s="22"/>
      <c r="AO231" s="22" t="s">
        <v>286</v>
      </c>
      <c r="AP231" s="23" t="s">
        <v>605</v>
      </c>
      <c r="AQ231" s="22" t="s">
        <v>111</v>
      </c>
      <c r="AR231" s="51" t="str">
        <f>TRIM(AO231)&amp;"-"&amp;TRIM(AP231)&amp;"-"&amp;TRIM(AQ231)</f>
        <v>JD8G-9C623-BA</v>
      </c>
      <c r="AS231" s="3"/>
      <c r="AT231" s="98">
        <v>0</v>
      </c>
      <c r="AU231" s="98">
        <v>0</v>
      </c>
      <c r="AV231" s="98">
        <v>0</v>
      </c>
      <c r="AW231" s="98">
        <v>0</v>
      </c>
      <c r="AX231" s="98">
        <v>1</v>
      </c>
      <c r="AY231" s="98">
        <v>1</v>
      </c>
      <c r="AZ231" s="98">
        <v>0</v>
      </c>
      <c r="BA231" s="98">
        <v>1</v>
      </c>
      <c r="BB231" s="64">
        <f>SUMPRODUCT(AT231:BA231,$O$6:$V$6)</f>
        <v>0.28000000000000003</v>
      </c>
      <c r="BD231" s="60">
        <v>-70.27</v>
      </c>
      <c r="BE231" s="60">
        <v>-1.53</v>
      </c>
      <c r="BF231" s="60">
        <v>-0.89</v>
      </c>
      <c r="BG231" s="60">
        <v>0</v>
      </c>
      <c r="BH231" s="60">
        <v>-3.55</v>
      </c>
      <c r="BI231" s="8">
        <f>SUM(BD231:BH231)</f>
        <v>-76.239999999999995</v>
      </c>
      <c r="BJ231" s="2" t="s">
        <v>91</v>
      </c>
      <c r="BL231" s="70">
        <v>-820000</v>
      </c>
      <c r="BM231" s="70">
        <f>BL231</f>
        <v>-820000</v>
      </c>
      <c r="BO231" s="71">
        <v>-571954</v>
      </c>
      <c r="BP231" s="71">
        <v>160972</v>
      </c>
      <c r="BQ231" s="72"/>
      <c r="BS231" s="61">
        <f t="shared" si="158"/>
        <v>0</v>
      </c>
      <c r="BT231" s="61">
        <f t="shared" si="159"/>
        <v>0</v>
      </c>
      <c r="BU231" s="61">
        <f t="shared" si="160"/>
        <v>0</v>
      </c>
      <c r="BV231" s="61">
        <f t="shared" si="160"/>
        <v>0</v>
      </c>
      <c r="BW231" s="61">
        <f t="shared" si="160"/>
        <v>0</v>
      </c>
      <c r="BX231" s="61">
        <f t="shared" si="155"/>
        <v>0</v>
      </c>
      <c r="BY231" s="61" t="s">
        <v>91</v>
      </c>
      <c r="CA231" s="61">
        <f t="shared" si="191"/>
        <v>0</v>
      </c>
      <c r="CB231" s="61">
        <f t="shared" si="191"/>
        <v>0</v>
      </c>
      <c r="CC231" s="61">
        <f t="shared" si="191"/>
        <v>0</v>
      </c>
      <c r="CD231" s="61">
        <f t="shared" si="189"/>
        <v>0</v>
      </c>
      <c r="CE231" s="61">
        <f t="shared" si="189"/>
        <v>0</v>
      </c>
      <c r="CF231" s="61">
        <f t="shared" si="189"/>
        <v>0</v>
      </c>
      <c r="CG231" s="61">
        <f t="shared" si="189"/>
        <v>0</v>
      </c>
      <c r="CH231" s="61">
        <f t="shared" si="189"/>
        <v>0</v>
      </c>
      <c r="CI231" s="61">
        <f t="shared" si="176"/>
        <v>0</v>
      </c>
      <c r="CJ231" s="61"/>
      <c r="CK231" s="61">
        <f t="shared" si="192"/>
        <v>0</v>
      </c>
      <c r="CL231" s="61">
        <f t="shared" si="192"/>
        <v>0</v>
      </c>
      <c r="CM231" s="61">
        <f t="shared" si="192"/>
        <v>0</v>
      </c>
      <c r="CN231" s="61">
        <f t="shared" si="190"/>
        <v>0</v>
      </c>
      <c r="CO231" s="61">
        <f t="shared" si="190"/>
        <v>0</v>
      </c>
      <c r="CP231" s="61">
        <f t="shared" si="190"/>
        <v>0</v>
      </c>
      <c r="CQ231" s="61">
        <f t="shared" si="190"/>
        <v>0</v>
      </c>
      <c r="CR231" s="61">
        <f t="shared" si="190"/>
        <v>0</v>
      </c>
      <c r="CS231" s="61">
        <f t="shared" si="177"/>
        <v>0</v>
      </c>
      <c r="CT231" s="61">
        <f t="shared" si="178"/>
        <v>0</v>
      </c>
      <c r="CV231" s="61">
        <f t="shared" si="179"/>
        <v>0</v>
      </c>
      <c r="CW231" s="61">
        <f t="shared" si="148"/>
        <v>0</v>
      </c>
      <c r="CX231" s="61"/>
      <c r="CY231" s="61">
        <f t="shared" si="149"/>
        <v>0</v>
      </c>
      <c r="CZ231" s="61">
        <f t="shared" si="163"/>
        <v>0</v>
      </c>
      <c r="DA231" s="61">
        <f t="shared" si="163"/>
        <v>0</v>
      </c>
      <c r="DB231" s="2" t="s">
        <v>85</v>
      </c>
      <c r="DC231" s="2" t="s">
        <v>102</v>
      </c>
      <c r="DD231" s="2" t="s">
        <v>142</v>
      </c>
      <c r="DE231" s="2" t="s">
        <v>181</v>
      </c>
      <c r="DF231" s="3" t="s">
        <v>102</v>
      </c>
      <c r="DG231" s="62">
        <v>42816</v>
      </c>
      <c r="EC231" s="60"/>
      <c r="ED231" s="60"/>
      <c r="EE231" s="60"/>
      <c r="EF231" s="60"/>
    </row>
    <row r="232" spans="2:140" ht="12.75" hidden="1" customHeight="1">
      <c r="B232" s="93" t="s">
        <v>606</v>
      </c>
      <c r="C232" s="22" t="s">
        <v>603</v>
      </c>
      <c r="D232" s="22" t="s">
        <v>604</v>
      </c>
      <c r="E232" s="2" t="str">
        <f>VLOOKUP($C232,[1]Detail!$C:$AK,6,0)</f>
        <v>PMT4</v>
      </c>
      <c r="F232" s="2" t="str">
        <f>VLOOKUP($C232,[1]Detail!$C:$AK,7,0)</f>
        <v>PF</v>
      </c>
      <c r="G232" s="2" t="str">
        <f>VLOOKUP($C232,[1]Detail!$C:$AK,5,0)</f>
        <v>B</v>
      </c>
      <c r="J232" s="22" t="s">
        <v>286</v>
      </c>
      <c r="K232" s="23" t="s">
        <v>605</v>
      </c>
      <c r="L232" s="22" t="s">
        <v>120</v>
      </c>
      <c r="M232" s="51" t="str">
        <f t="shared" si="156"/>
        <v>JD8G-9C623-BB</v>
      </c>
      <c r="O232" s="22">
        <v>0</v>
      </c>
      <c r="P232" s="22">
        <v>0</v>
      </c>
      <c r="Q232" s="22">
        <v>0</v>
      </c>
      <c r="R232" s="22">
        <v>0</v>
      </c>
      <c r="S232" s="22">
        <v>1</v>
      </c>
      <c r="T232" s="22">
        <v>1</v>
      </c>
      <c r="U232" s="22">
        <v>0</v>
      </c>
      <c r="V232" s="22">
        <v>1</v>
      </c>
      <c r="W232" s="64">
        <f t="shared" si="157"/>
        <v>0.28000000000000003</v>
      </c>
      <c r="Y232" s="8">
        <v>-70.27</v>
      </c>
      <c r="Z232" s="8">
        <v>-1.53</v>
      </c>
      <c r="AA232" s="8">
        <v>-0.89</v>
      </c>
      <c r="AB232" s="8">
        <v>0</v>
      </c>
      <c r="AC232" s="8">
        <v>-3.55</v>
      </c>
      <c r="AD232" s="8">
        <v>-76.239999999999995</v>
      </c>
      <c r="AE232" s="2" t="s">
        <v>91</v>
      </c>
      <c r="AG232" s="8">
        <v>-820000</v>
      </c>
      <c r="AH232" s="8">
        <v>-820000</v>
      </c>
      <c r="AI232" s="6"/>
      <c r="AJ232" s="71">
        <v>-571954</v>
      </c>
      <c r="AK232" s="71">
        <v>160972</v>
      </c>
      <c r="AL232" s="72"/>
      <c r="AM232" s="22"/>
      <c r="AO232" s="22" t="s">
        <v>427</v>
      </c>
      <c r="AP232" s="23" t="s">
        <v>607</v>
      </c>
      <c r="AQ232" s="22" t="s">
        <v>182</v>
      </c>
      <c r="AR232" s="51" t="s">
        <v>608</v>
      </c>
      <c r="AS232" s="3"/>
      <c r="AT232" s="98">
        <v>0</v>
      </c>
      <c r="AU232" s="98">
        <v>0</v>
      </c>
      <c r="AV232" s="98">
        <v>0</v>
      </c>
      <c r="AW232" s="98">
        <v>0</v>
      </c>
      <c r="AX232" s="98">
        <v>1</v>
      </c>
      <c r="AY232" s="98">
        <v>1</v>
      </c>
      <c r="AZ232" s="98">
        <v>0</v>
      </c>
      <c r="BA232" s="98">
        <v>1</v>
      </c>
      <c r="BB232" s="64">
        <v>0.28000000000000003</v>
      </c>
      <c r="BD232" s="60">
        <v>-70.27</v>
      </c>
      <c r="BE232" s="60">
        <v>-1.53</v>
      </c>
      <c r="BF232" s="60">
        <v>-0.89</v>
      </c>
      <c r="BG232" s="60">
        <v>0</v>
      </c>
      <c r="BH232" s="60">
        <v>-3.55</v>
      </c>
      <c r="BI232" s="8">
        <v>-76.239999999999995</v>
      </c>
      <c r="BJ232" s="2" t="s">
        <v>91</v>
      </c>
      <c r="BL232" s="70">
        <v>-820000</v>
      </c>
      <c r="BM232" s="70">
        <v>-820000</v>
      </c>
      <c r="BO232" s="71">
        <v>-571954</v>
      </c>
      <c r="BP232" s="71">
        <v>160972</v>
      </c>
      <c r="BQ232" s="72"/>
      <c r="BS232" s="61">
        <f t="shared" si="158"/>
        <v>0</v>
      </c>
      <c r="BT232" s="61">
        <f t="shared" si="159"/>
        <v>0</v>
      </c>
      <c r="BU232" s="61">
        <f t="shared" si="160"/>
        <v>0</v>
      </c>
      <c r="BV232" s="61">
        <f t="shared" si="160"/>
        <v>0</v>
      </c>
      <c r="BW232" s="61">
        <f t="shared" si="160"/>
        <v>0</v>
      </c>
      <c r="BX232" s="61">
        <f t="shared" si="155"/>
        <v>0</v>
      </c>
      <c r="BY232" s="61" t="s">
        <v>91</v>
      </c>
      <c r="CA232" s="61">
        <f t="shared" si="191"/>
        <v>0</v>
      </c>
      <c r="CB232" s="61">
        <f t="shared" si="191"/>
        <v>0</v>
      </c>
      <c r="CC232" s="61">
        <f t="shared" si="191"/>
        <v>0</v>
      </c>
      <c r="CD232" s="61">
        <f t="shared" si="189"/>
        <v>0</v>
      </c>
      <c r="CE232" s="61">
        <f t="shared" si="189"/>
        <v>0</v>
      </c>
      <c r="CF232" s="61">
        <f t="shared" si="189"/>
        <v>0</v>
      </c>
      <c r="CG232" s="61">
        <f t="shared" si="189"/>
        <v>0</v>
      </c>
      <c r="CH232" s="61">
        <f t="shared" si="189"/>
        <v>0</v>
      </c>
      <c r="CI232" s="61">
        <f t="shared" si="176"/>
        <v>0</v>
      </c>
      <c r="CJ232" s="61"/>
      <c r="CK232" s="61">
        <f t="shared" si="192"/>
        <v>0</v>
      </c>
      <c r="CL232" s="61">
        <f t="shared" si="192"/>
        <v>0</v>
      </c>
      <c r="CM232" s="61">
        <f t="shared" si="192"/>
        <v>0</v>
      </c>
      <c r="CN232" s="61">
        <f t="shared" si="190"/>
        <v>0</v>
      </c>
      <c r="CO232" s="61">
        <f t="shared" si="190"/>
        <v>0</v>
      </c>
      <c r="CP232" s="61">
        <f t="shared" si="190"/>
        <v>0</v>
      </c>
      <c r="CQ232" s="61">
        <f t="shared" si="190"/>
        <v>0</v>
      </c>
      <c r="CR232" s="61">
        <f t="shared" si="190"/>
        <v>0</v>
      </c>
      <c r="CS232" s="61">
        <f t="shared" si="177"/>
        <v>0</v>
      </c>
      <c r="CT232" s="61">
        <f t="shared" si="178"/>
        <v>0</v>
      </c>
      <c r="CV232" s="61">
        <f t="shared" si="179"/>
        <v>0</v>
      </c>
      <c r="CW232" s="61">
        <f t="shared" si="148"/>
        <v>0</v>
      </c>
      <c r="CX232" s="61"/>
      <c r="CY232" s="61">
        <f t="shared" si="149"/>
        <v>0</v>
      </c>
      <c r="CZ232" s="61">
        <f t="shared" si="163"/>
        <v>0</v>
      </c>
      <c r="DA232" s="61">
        <f t="shared" si="163"/>
        <v>0</v>
      </c>
      <c r="DB232" s="2" t="s">
        <v>85</v>
      </c>
      <c r="DC232" s="2" t="s">
        <v>85</v>
      </c>
      <c r="DD232" s="2" t="s">
        <v>142</v>
      </c>
      <c r="DE232" s="2" t="s">
        <v>169</v>
      </c>
      <c r="DF232" s="3" t="s">
        <v>102</v>
      </c>
      <c r="DG232" s="62">
        <v>42824</v>
      </c>
      <c r="EC232" s="60"/>
      <c r="ED232" s="60"/>
      <c r="EE232" s="60"/>
      <c r="EF232" s="60"/>
    </row>
    <row r="233" spans="2:140" ht="12.75" hidden="1" customHeight="1">
      <c r="B233" s="93" t="s">
        <v>609</v>
      </c>
      <c r="C233" s="22" t="s">
        <v>603</v>
      </c>
      <c r="D233" s="22" t="s">
        <v>604</v>
      </c>
      <c r="E233" s="2" t="str">
        <f>VLOOKUP($C233,[1]Detail!$C:$AK,6,0)</f>
        <v>PMT4</v>
      </c>
      <c r="F233" s="2" t="str">
        <f>VLOOKUP($C233,[1]Detail!$C:$AK,7,0)</f>
        <v>PF</v>
      </c>
      <c r="G233" s="2" t="str">
        <f>VLOOKUP($C233,[1]Detail!$C:$AK,5,0)</f>
        <v>B</v>
      </c>
      <c r="J233" s="22" t="s">
        <v>286</v>
      </c>
      <c r="K233" s="23" t="s">
        <v>605</v>
      </c>
      <c r="L233" s="22" t="s">
        <v>599</v>
      </c>
      <c r="M233" s="51" t="str">
        <f t="shared" si="156"/>
        <v>JD8G-9C623-BC</v>
      </c>
      <c r="O233" s="22">
        <v>0</v>
      </c>
      <c r="P233" s="22">
        <v>0</v>
      </c>
      <c r="Q233" s="22">
        <v>0</v>
      </c>
      <c r="R233" s="22">
        <v>0</v>
      </c>
      <c r="S233" s="22">
        <v>1</v>
      </c>
      <c r="T233" s="22">
        <v>1</v>
      </c>
      <c r="U233" s="22">
        <v>0</v>
      </c>
      <c r="V233" s="22">
        <v>1</v>
      </c>
      <c r="W233" s="64">
        <f t="shared" si="157"/>
        <v>0.28000000000000003</v>
      </c>
      <c r="Y233" s="8">
        <v>-70.27</v>
      </c>
      <c r="Z233" s="8">
        <v>-1.53</v>
      </c>
      <c r="AA233" s="8">
        <v>-0.89</v>
      </c>
      <c r="AB233" s="8">
        <v>0</v>
      </c>
      <c r="AC233" s="8">
        <v>-3.55</v>
      </c>
      <c r="AD233" s="8">
        <v>-76.239999999999995</v>
      </c>
      <c r="AE233" s="2" t="s">
        <v>91</v>
      </c>
      <c r="AG233" s="8">
        <v>-820000</v>
      </c>
      <c r="AH233" s="8">
        <v>-820000</v>
      </c>
      <c r="AI233" s="6"/>
      <c r="AJ233" s="71">
        <v>-571954</v>
      </c>
      <c r="AK233" s="71">
        <v>160972</v>
      </c>
      <c r="AL233" s="72"/>
      <c r="AM233" s="22"/>
      <c r="AO233" s="22" t="s">
        <v>286</v>
      </c>
      <c r="AP233" s="23" t="s">
        <v>605</v>
      </c>
      <c r="AQ233" s="22" t="s">
        <v>120</v>
      </c>
      <c r="AR233" s="51" t="str">
        <f t="shared" ref="AR233:AR296" si="201">TRIM(AO233)&amp;"-"&amp;TRIM(AP233)&amp;"-"&amp;TRIM(AQ233)</f>
        <v>JD8G-9C623-BB</v>
      </c>
      <c r="AS233" s="3"/>
      <c r="AT233" s="98">
        <v>0</v>
      </c>
      <c r="AU233" s="98">
        <v>0</v>
      </c>
      <c r="AV233" s="98">
        <v>0</v>
      </c>
      <c r="AW233" s="98">
        <v>0</v>
      </c>
      <c r="AX233" s="98">
        <v>1</v>
      </c>
      <c r="AY233" s="98">
        <v>1</v>
      </c>
      <c r="AZ233" s="98">
        <v>0</v>
      </c>
      <c r="BA233" s="98">
        <v>1</v>
      </c>
      <c r="BB233" s="64">
        <f t="shared" ref="BB233:BB296" si="202">SUMPRODUCT(AT233:BA233,$O$6:$V$6)</f>
        <v>0.28000000000000003</v>
      </c>
      <c r="BD233" s="8">
        <v>-70.27</v>
      </c>
      <c r="BE233" s="8">
        <v>-1.53</v>
      </c>
      <c r="BF233" s="8">
        <v>-0.89</v>
      </c>
      <c r="BG233" s="8">
        <v>0</v>
      </c>
      <c r="BH233" s="8">
        <v>-3.55</v>
      </c>
      <c r="BI233" s="8">
        <v>-76.239999999999995</v>
      </c>
      <c r="BJ233" s="2" t="s">
        <v>91</v>
      </c>
      <c r="BL233" s="8">
        <v>-820000</v>
      </c>
      <c r="BM233" s="8">
        <v>-820000</v>
      </c>
      <c r="BO233" s="71">
        <v>-571954</v>
      </c>
      <c r="BP233" s="71">
        <v>160972</v>
      </c>
      <c r="BQ233" s="72"/>
      <c r="BS233" s="61">
        <f t="shared" si="158"/>
        <v>0</v>
      </c>
      <c r="BT233" s="61">
        <f t="shared" si="159"/>
        <v>0</v>
      </c>
      <c r="BU233" s="61">
        <f t="shared" si="160"/>
        <v>0</v>
      </c>
      <c r="BV233" s="61">
        <f t="shared" si="160"/>
        <v>0</v>
      </c>
      <c r="BW233" s="61">
        <f t="shared" si="160"/>
        <v>0</v>
      </c>
      <c r="BX233" s="61">
        <f t="shared" si="155"/>
        <v>0</v>
      </c>
      <c r="BY233" s="61" t="s">
        <v>91</v>
      </c>
      <c r="CA233" s="61">
        <f t="shared" si="191"/>
        <v>0</v>
      </c>
      <c r="CB233" s="61">
        <f t="shared" si="191"/>
        <v>0</v>
      </c>
      <c r="CC233" s="61">
        <f t="shared" si="191"/>
        <v>0</v>
      </c>
      <c r="CD233" s="61">
        <f t="shared" si="189"/>
        <v>0</v>
      </c>
      <c r="CE233" s="61">
        <f t="shared" si="189"/>
        <v>0</v>
      </c>
      <c r="CF233" s="61">
        <f t="shared" si="189"/>
        <v>0</v>
      </c>
      <c r="CG233" s="61">
        <f t="shared" si="189"/>
        <v>0</v>
      </c>
      <c r="CH233" s="61">
        <f t="shared" si="189"/>
        <v>0</v>
      </c>
      <c r="CI233" s="61">
        <f t="shared" si="176"/>
        <v>0</v>
      </c>
      <c r="CJ233" s="61"/>
      <c r="CK233" s="61">
        <f t="shared" si="192"/>
        <v>0</v>
      </c>
      <c r="CL233" s="61">
        <f t="shared" si="192"/>
        <v>0</v>
      </c>
      <c r="CM233" s="61">
        <f t="shared" si="192"/>
        <v>0</v>
      </c>
      <c r="CN233" s="61">
        <f t="shared" si="190"/>
        <v>0</v>
      </c>
      <c r="CO233" s="61">
        <f t="shared" si="190"/>
        <v>0</v>
      </c>
      <c r="CP233" s="61">
        <f t="shared" si="190"/>
        <v>0</v>
      </c>
      <c r="CQ233" s="61">
        <f t="shared" si="190"/>
        <v>0</v>
      </c>
      <c r="CR233" s="61">
        <f t="shared" si="190"/>
        <v>0</v>
      </c>
      <c r="CS233" s="61">
        <f t="shared" si="177"/>
        <v>0</v>
      </c>
      <c r="CT233" s="61">
        <f t="shared" si="178"/>
        <v>0</v>
      </c>
      <c r="CV233" s="61">
        <f t="shared" si="179"/>
        <v>0</v>
      </c>
      <c r="CW233" s="61">
        <f t="shared" ref="CW233" si="203">SUM(AH233)-SUM(BM233)</f>
        <v>0</v>
      </c>
      <c r="CX233" s="61"/>
      <c r="CY233" s="61">
        <f t="shared" ref="CY233" si="204">SUM(AJ233)-SUM(BO233)</f>
        <v>0</v>
      </c>
      <c r="CZ233" s="61">
        <f t="shared" si="163"/>
        <v>0</v>
      </c>
      <c r="DA233" s="61">
        <f t="shared" si="163"/>
        <v>0</v>
      </c>
      <c r="DB233" s="2" t="s">
        <v>102</v>
      </c>
      <c r="DC233" s="2" t="s">
        <v>85</v>
      </c>
      <c r="DD233" s="2" t="s">
        <v>142</v>
      </c>
      <c r="DE233" s="2" t="s">
        <v>106</v>
      </c>
      <c r="DF233" s="3" t="s">
        <v>118</v>
      </c>
      <c r="DG233" s="62">
        <v>43109</v>
      </c>
      <c r="EC233" s="60" t="str">
        <f>VLOOKUP($M233,[1]Detail!$M:$BO,1,0)</f>
        <v>JD8G-9C623-BC</v>
      </c>
      <c r="ED233" s="60">
        <f>VLOOKUP($M233,[1]Detail!$M:$BO,22,0)</f>
        <v>-76.239999999999995</v>
      </c>
      <c r="EE233" s="60">
        <f>VLOOKUP($M233,[1]Detail!$M:$BO,42,0)</f>
        <v>-820000</v>
      </c>
      <c r="EF233" s="60">
        <f>VLOOKUP($M233,[1]Detail!$M:$BO,45,0)</f>
        <v>-571954</v>
      </c>
      <c r="EH233" s="60">
        <f>ED233-AD233</f>
        <v>0</v>
      </c>
      <c r="EI233" s="60">
        <f>EE233-AG233</f>
        <v>0</v>
      </c>
      <c r="EJ233" s="60">
        <f>EF233-AJ233</f>
        <v>0</v>
      </c>
    </row>
    <row r="234" spans="2:140" ht="12.75" hidden="1" customHeight="1">
      <c r="B234" s="93" t="s">
        <v>602</v>
      </c>
      <c r="C234" s="22" t="s">
        <v>603</v>
      </c>
      <c r="D234" s="22" t="s">
        <v>604</v>
      </c>
      <c r="E234" s="2" t="str">
        <f>VLOOKUP($C234,[1]Detail!$C:$AK,6,0)</f>
        <v>PMT4</v>
      </c>
      <c r="F234" s="2" t="str">
        <f>VLOOKUP($C234,[1]Detail!$C:$AK,7,0)</f>
        <v>PF</v>
      </c>
      <c r="G234" s="2" t="str">
        <f>VLOOKUP($C234,[1]Detail!$C:$AK,5,0)</f>
        <v>B</v>
      </c>
      <c r="J234" s="22" t="s">
        <v>600</v>
      </c>
      <c r="K234" s="23" t="s">
        <v>605</v>
      </c>
      <c r="L234" s="22" t="s">
        <v>113</v>
      </c>
      <c r="M234" s="51" t="str">
        <f t="shared" si="156"/>
        <v>JX61-9C623-CA</v>
      </c>
      <c r="O234" s="22">
        <v>0</v>
      </c>
      <c r="P234" s="22">
        <v>0</v>
      </c>
      <c r="Q234" s="22">
        <v>0</v>
      </c>
      <c r="R234" s="22">
        <v>0</v>
      </c>
      <c r="S234" s="22">
        <v>1</v>
      </c>
      <c r="T234" s="22">
        <v>1</v>
      </c>
      <c r="U234" s="22">
        <v>0</v>
      </c>
      <c r="V234" s="22">
        <v>1</v>
      </c>
      <c r="W234" s="64">
        <f t="shared" si="157"/>
        <v>0.28000000000000003</v>
      </c>
      <c r="Y234" s="8">
        <f>-98.54</f>
        <v>-98.54</v>
      </c>
      <c r="Z234" s="8">
        <v>-2.13</v>
      </c>
      <c r="AA234" s="8">
        <v>-2.21</v>
      </c>
      <c r="AB234" s="8">
        <v>0</v>
      </c>
      <c r="AC234" s="8">
        <v>0</v>
      </c>
      <c r="AD234" s="8">
        <f t="shared" ref="AD234:AD265" si="205">SUM(Y234:AC234)</f>
        <v>-102.88</v>
      </c>
      <c r="AE234" s="2" t="s">
        <v>91</v>
      </c>
      <c r="AG234" s="8">
        <v>-3239000</v>
      </c>
      <c r="AH234" s="8">
        <v>-3239000</v>
      </c>
      <c r="AI234" s="6"/>
      <c r="AJ234" s="71">
        <f>-308395*0</f>
        <v>0</v>
      </c>
      <c r="AK234" s="71">
        <f>40793*0</f>
        <v>0</v>
      </c>
      <c r="AL234" s="72"/>
      <c r="AM234" s="22"/>
      <c r="AO234" s="22" t="s">
        <v>600</v>
      </c>
      <c r="AP234" s="23" t="s">
        <v>605</v>
      </c>
      <c r="AQ234" s="22" t="s">
        <v>113</v>
      </c>
      <c r="AR234" s="51" t="str">
        <f t="shared" si="201"/>
        <v>JX61-9C623-CA</v>
      </c>
      <c r="AS234" s="3"/>
      <c r="AT234" s="98">
        <v>0</v>
      </c>
      <c r="AU234" s="98">
        <v>0</v>
      </c>
      <c r="AV234" s="98">
        <v>0</v>
      </c>
      <c r="AW234" s="98">
        <v>0</v>
      </c>
      <c r="AX234" s="98">
        <v>1</v>
      </c>
      <c r="AY234" s="98">
        <v>1</v>
      </c>
      <c r="AZ234" s="98">
        <v>0</v>
      </c>
      <c r="BA234" s="98">
        <v>1</v>
      </c>
      <c r="BB234" s="64">
        <f t="shared" si="202"/>
        <v>0.28000000000000003</v>
      </c>
      <c r="BD234" s="60">
        <f>-98.54</f>
        <v>-98.54</v>
      </c>
      <c r="BE234" s="60">
        <v>-2.13</v>
      </c>
      <c r="BF234" s="60">
        <v>-2.21</v>
      </c>
      <c r="BG234" s="60">
        <v>0</v>
      </c>
      <c r="BH234" s="60">
        <v>0</v>
      </c>
      <c r="BI234" s="8">
        <f t="shared" ref="BI234:BI297" si="206">SUM(BD234:BH234)</f>
        <v>-102.88</v>
      </c>
      <c r="BJ234" s="2" t="s">
        <v>91</v>
      </c>
      <c r="BL234" s="70">
        <v>-3239000</v>
      </c>
      <c r="BM234" s="70">
        <v>-3239000</v>
      </c>
      <c r="BO234" s="71">
        <f>-308395*0</f>
        <v>0</v>
      </c>
      <c r="BP234" s="71">
        <f>40793*0</f>
        <v>0</v>
      </c>
      <c r="BQ234" s="72"/>
      <c r="BS234" s="61">
        <f t="shared" si="158"/>
        <v>0</v>
      </c>
      <c r="BT234" s="61">
        <f t="shared" si="159"/>
        <v>0</v>
      </c>
      <c r="BU234" s="61">
        <f t="shared" si="160"/>
        <v>0</v>
      </c>
      <c r="BV234" s="61">
        <f t="shared" si="160"/>
        <v>0</v>
      </c>
      <c r="BW234" s="61">
        <f t="shared" si="160"/>
        <v>0</v>
      </c>
      <c r="BX234" s="61">
        <f t="shared" si="155"/>
        <v>0</v>
      </c>
      <c r="BY234" s="61" t="s">
        <v>91</v>
      </c>
      <c r="CA234" s="61">
        <f t="shared" si="191"/>
        <v>0</v>
      </c>
      <c r="CB234" s="61">
        <f t="shared" si="191"/>
        <v>0</v>
      </c>
      <c r="CC234" s="61">
        <f t="shared" si="191"/>
        <v>0</v>
      </c>
      <c r="CD234" s="61">
        <f t="shared" si="189"/>
        <v>0</v>
      </c>
      <c r="CE234" s="61">
        <f t="shared" si="189"/>
        <v>0</v>
      </c>
      <c r="CF234" s="61">
        <f t="shared" si="189"/>
        <v>0</v>
      </c>
      <c r="CG234" s="61">
        <f t="shared" si="189"/>
        <v>0</v>
      </c>
      <c r="CH234" s="61">
        <f t="shared" si="189"/>
        <v>0</v>
      </c>
      <c r="CI234" s="61">
        <f t="shared" si="176"/>
        <v>0</v>
      </c>
      <c r="CJ234" s="61"/>
      <c r="CK234" s="61">
        <f t="shared" si="192"/>
        <v>0</v>
      </c>
      <c r="CL234" s="61">
        <f t="shared" si="192"/>
        <v>0</v>
      </c>
      <c r="CM234" s="61">
        <f t="shared" si="192"/>
        <v>0</v>
      </c>
      <c r="CN234" s="61">
        <f t="shared" si="190"/>
        <v>0</v>
      </c>
      <c r="CO234" s="61">
        <f t="shared" si="190"/>
        <v>0</v>
      </c>
      <c r="CP234" s="61">
        <f t="shared" si="190"/>
        <v>0</v>
      </c>
      <c r="CQ234" s="61">
        <f t="shared" si="190"/>
        <v>0</v>
      </c>
      <c r="CR234" s="61">
        <f t="shared" si="190"/>
        <v>0</v>
      </c>
      <c r="CS234" s="61">
        <f t="shared" si="177"/>
        <v>0</v>
      </c>
      <c r="CT234" s="61">
        <f t="shared" si="178"/>
        <v>0</v>
      </c>
      <c r="CV234" s="61">
        <f t="shared" si="179"/>
        <v>0</v>
      </c>
      <c r="CW234" s="61">
        <f t="shared" ref="CW234:CW306" si="207">SUM(AH234)-SUM(BM234)</f>
        <v>0</v>
      </c>
      <c r="CX234" s="61"/>
      <c r="CY234" s="61">
        <f t="shared" ref="CY234:CY306" si="208">SUM(AJ234)-SUM(BO234)</f>
        <v>0</v>
      </c>
      <c r="CZ234" s="61">
        <f t="shared" si="163"/>
        <v>0</v>
      </c>
      <c r="DA234" s="61">
        <f t="shared" si="163"/>
        <v>0</v>
      </c>
      <c r="DB234" s="2" t="s">
        <v>85</v>
      </c>
      <c r="DC234" s="2" t="s">
        <v>102</v>
      </c>
      <c r="DD234" s="2" t="s">
        <v>142</v>
      </c>
      <c r="DE234" s="2" t="s">
        <v>181</v>
      </c>
      <c r="DF234" s="3" t="s">
        <v>102</v>
      </c>
      <c r="DG234" s="62">
        <v>42816</v>
      </c>
      <c r="EC234" s="60"/>
      <c r="ED234" s="60"/>
      <c r="EE234" s="60"/>
      <c r="EF234" s="60"/>
    </row>
    <row r="235" spans="2:140" ht="12.75" hidden="1" customHeight="1">
      <c r="B235" s="93" t="s">
        <v>610</v>
      </c>
      <c r="C235" s="22" t="s">
        <v>611</v>
      </c>
      <c r="D235" s="22" t="s">
        <v>612</v>
      </c>
      <c r="E235" s="2" t="str">
        <f>VLOOKUP($C235,[1]Detail!$C:$AK,6,0)</f>
        <v>PMT4</v>
      </c>
      <c r="F235" s="2" t="str">
        <f>VLOOKUP($C235,[1]Detail!$C:$AK,7,0)</f>
        <v>PF</v>
      </c>
      <c r="G235" s="2" t="str">
        <f>VLOOKUP($C235,[1]Detail!$C:$AK,5,0)</f>
        <v>B</v>
      </c>
      <c r="J235" s="22" t="s">
        <v>286</v>
      </c>
      <c r="K235" s="23" t="s">
        <v>613</v>
      </c>
      <c r="L235" s="22" t="s">
        <v>100</v>
      </c>
      <c r="M235" s="51" t="str">
        <f t="shared" si="156"/>
        <v>JD8G-9F472-AA</v>
      </c>
      <c r="O235" s="22">
        <v>1</v>
      </c>
      <c r="P235" s="22">
        <v>1</v>
      </c>
      <c r="Q235" s="22">
        <v>1</v>
      </c>
      <c r="R235" s="22">
        <v>1</v>
      </c>
      <c r="S235" s="22">
        <v>0</v>
      </c>
      <c r="T235" s="22">
        <v>0</v>
      </c>
      <c r="U235" s="22">
        <v>1</v>
      </c>
      <c r="V235" s="22">
        <v>0</v>
      </c>
      <c r="W235" s="64">
        <f t="shared" si="157"/>
        <v>0.72000000000000008</v>
      </c>
      <c r="Y235" s="8">
        <v>-69.739999999999995</v>
      </c>
      <c r="Z235" s="8">
        <v>-0.6</v>
      </c>
      <c r="AA235" s="8">
        <v>-1.4</v>
      </c>
      <c r="AB235" s="8">
        <v>0</v>
      </c>
      <c r="AC235" s="8">
        <v>0</v>
      </c>
      <c r="AD235" s="8">
        <f t="shared" si="205"/>
        <v>-71.739999999999995</v>
      </c>
      <c r="AE235" s="2" t="s">
        <v>91</v>
      </c>
      <c r="AG235" s="8">
        <v>0</v>
      </c>
      <c r="AH235" s="8">
        <v>0</v>
      </c>
      <c r="AJ235" s="71">
        <v>0</v>
      </c>
      <c r="AK235" s="71">
        <v>0</v>
      </c>
      <c r="AL235" s="72"/>
      <c r="AM235" s="22"/>
      <c r="AO235" s="22" t="s">
        <v>286</v>
      </c>
      <c r="AP235" s="23" t="s">
        <v>613</v>
      </c>
      <c r="AQ235" s="22" t="s">
        <v>100</v>
      </c>
      <c r="AR235" s="51" t="str">
        <f t="shared" si="201"/>
        <v>JD8G-9F472-AA</v>
      </c>
      <c r="AS235" s="3"/>
      <c r="AT235" s="22">
        <v>1</v>
      </c>
      <c r="AU235" s="22">
        <v>1</v>
      </c>
      <c r="AV235" s="22">
        <v>1</v>
      </c>
      <c r="AW235" s="22">
        <v>1</v>
      </c>
      <c r="AX235" s="22">
        <v>0</v>
      </c>
      <c r="AY235" s="22">
        <v>0</v>
      </c>
      <c r="AZ235" s="22">
        <v>1</v>
      </c>
      <c r="BA235" s="22">
        <v>0</v>
      </c>
      <c r="BB235" s="64">
        <f t="shared" si="202"/>
        <v>0.72000000000000008</v>
      </c>
      <c r="BD235" s="60">
        <v>-69.739999999999995</v>
      </c>
      <c r="BE235" s="60">
        <v>-0.6</v>
      </c>
      <c r="BF235" s="60">
        <v>-1.4</v>
      </c>
      <c r="BG235" s="60">
        <v>0</v>
      </c>
      <c r="BH235" s="60">
        <v>0</v>
      </c>
      <c r="BI235" s="8">
        <f t="shared" si="206"/>
        <v>-71.739999999999995</v>
      </c>
      <c r="BJ235" s="2" t="s">
        <v>91</v>
      </c>
      <c r="BL235" s="70">
        <v>0</v>
      </c>
      <c r="BM235" s="70">
        <v>0</v>
      </c>
      <c r="BO235" s="71">
        <v>0</v>
      </c>
      <c r="BP235" s="71">
        <v>0</v>
      </c>
      <c r="BQ235" s="72"/>
      <c r="BS235" s="61">
        <f t="shared" si="158"/>
        <v>0</v>
      </c>
      <c r="BT235" s="61">
        <f t="shared" si="159"/>
        <v>0</v>
      </c>
      <c r="BU235" s="61">
        <f t="shared" si="160"/>
        <v>0</v>
      </c>
      <c r="BV235" s="61">
        <f t="shared" si="160"/>
        <v>0</v>
      </c>
      <c r="BW235" s="61">
        <f t="shared" si="160"/>
        <v>0</v>
      </c>
      <c r="BX235" s="61">
        <f t="shared" si="155"/>
        <v>0</v>
      </c>
      <c r="BY235" s="61" t="s">
        <v>91</v>
      </c>
      <c r="CA235" s="61">
        <f t="shared" si="191"/>
        <v>0</v>
      </c>
      <c r="CB235" s="61">
        <f t="shared" si="191"/>
        <v>0</v>
      </c>
      <c r="CC235" s="61">
        <f t="shared" si="191"/>
        <v>0</v>
      </c>
      <c r="CD235" s="61">
        <f t="shared" si="189"/>
        <v>0</v>
      </c>
      <c r="CE235" s="61">
        <f t="shared" si="189"/>
        <v>0</v>
      </c>
      <c r="CF235" s="61">
        <f t="shared" si="189"/>
        <v>0</v>
      </c>
      <c r="CG235" s="61">
        <f t="shared" si="189"/>
        <v>0</v>
      </c>
      <c r="CH235" s="61">
        <f t="shared" si="189"/>
        <v>0</v>
      </c>
      <c r="CI235" s="61">
        <f t="shared" si="176"/>
        <v>0</v>
      </c>
      <c r="CJ235" s="61"/>
      <c r="CK235" s="61">
        <f t="shared" si="192"/>
        <v>0</v>
      </c>
      <c r="CL235" s="61">
        <f t="shared" si="192"/>
        <v>0</v>
      </c>
      <c r="CM235" s="61">
        <f t="shared" si="192"/>
        <v>0</v>
      </c>
      <c r="CN235" s="61">
        <f t="shared" si="190"/>
        <v>0</v>
      </c>
      <c r="CO235" s="61">
        <f t="shared" si="190"/>
        <v>0</v>
      </c>
      <c r="CP235" s="61">
        <f t="shared" si="190"/>
        <v>0</v>
      </c>
      <c r="CQ235" s="61">
        <f t="shared" si="190"/>
        <v>0</v>
      </c>
      <c r="CR235" s="61">
        <f t="shared" si="190"/>
        <v>0</v>
      </c>
      <c r="CS235" s="61">
        <f t="shared" si="177"/>
        <v>0</v>
      </c>
      <c r="CT235" s="61">
        <f t="shared" si="178"/>
        <v>0</v>
      </c>
      <c r="CV235" s="61">
        <f t="shared" si="179"/>
        <v>0</v>
      </c>
      <c r="CW235" s="61">
        <f t="shared" si="207"/>
        <v>0</v>
      </c>
      <c r="CX235" s="61"/>
      <c r="CY235" s="61">
        <f t="shared" si="208"/>
        <v>0</v>
      </c>
      <c r="CZ235" s="61">
        <f t="shared" si="163"/>
        <v>0</v>
      </c>
      <c r="DA235" s="61">
        <f t="shared" si="163"/>
        <v>0</v>
      </c>
      <c r="DB235" s="2" t="s">
        <v>85</v>
      </c>
      <c r="DC235" s="2" t="s">
        <v>102</v>
      </c>
      <c r="DD235" s="2" t="s">
        <v>142</v>
      </c>
      <c r="DE235" s="2" t="s">
        <v>181</v>
      </c>
      <c r="DF235" s="3" t="s">
        <v>102</v>
      </c>
      <c r="DG235" s="62">
        <v>42816</v>
      </c>
      <c r="EC235" s="60"/>
      <c r="ED235" s="60"/>
      <c r="EE235" s="60"/>
      <c r="EF235" s="60"/>
    </row>
    <row r="236" spans="2:140" ht="12.75" hidden="1" customHeight="1">
      <c r="B236" s="93" t="s">
        <v>610</v>
      </c>
      <c r="C236" s="22" t="s">
        <v>611</v>
      </c>
      <c r="D236" s="22" t="s">
        <v>612</v>
      </c>
      <c r="E236" s="2" t="str">
        <f>VLOOKUP($C236,[1]Detail!$C:$AK,6,0)</f>
        <v>PMT4</v>
      </c>
      <c r="F236" s="2" t="str">
        <f>VLOOKUP($C236,[1]Detail!$C:$AK,7,0)</f>
        <v>PF</v>
      </c>
      <c r="G236" s="2" t="str">
        <f>VLOOKUP($C236,[1]Detail!$C:$AK,5,0)</f>
        <v>B</v>
      </c>
      <c r="J236" s="22" t="s">
        <v>614</v>
      </c>
      <c r="K236" s="23" t="s">
        <v>615</v>
      </c>
      <c r="L236" s="22" t="s">
        <v>599</v>
      </c>
      <c r="M236" s="51" t="str">
        <f t="shared" si="156"/>
        <v>HN1A-9G444-BC</v>
      </c>
      <c r="O236" s="22">
        <v>1</v>
      </c>
      <c r="P236" s="22">
        <v>1</v>
      </c>
      <c r="Q236" s="22">
        <v>1</v>
      </c>
      <c r="R236" s="22">
        <v>1</v>
      </c>
      <c r="S236" s="22">
        <v>0</v>
      </c>
      <c r="T236" s="22">
        <v>0</v>
      </c>
      <c r="U236" s="22">
        <v>1</v>
      </c>
      <c r="V236" s="22">
        <v>0</v>
      </c>
      <c r="W236" s="64">
        <f t="shared" si="157"/>
        <v>0.72000000000000008</v>
      </c>
      <c r="Y236" s="8">
        <v>-71.599999999999994</v>
      </c>
      <c r="Z236" s="8">
        <v>-0.6</v>
      </c>
      <c r="AA236" s="8">
        <v>-1.4</v>
      </c>
      <c r="AB236" s="8">
        <v>0</v>
      </c>
      <c r="AC236" s="8">
        <v>0</v>
      </c>
      <c r="AD236" s="8">
        <f t="shared" si="205"/>
        <v>-73.599999999999994</v>
      </c>
      <c r="AE236" s="2" t="s">
        <v>91</v>
      </c>
      <c r="AG236" s="8">
        <v>0</v>
      </c>
      <c r="AH236" s="8">
        <v>0</v>
      </c>
      <c r="AJ236" s="71">
        <v>0</v>
      </c>
      <c r="AK236" s="71">
        <v>0</v>
      </c>
      <c r="AL236" s="72"/>
      <c r="AM236" s="22"/>
      <c r="AO236" s="22" t="s">
        <v>614</v>
      </c>
      <c r="AP236" s="23" t="s">
        <v>615</v>
      </c>
      <c r="AQ236" s="22" t="s">
        <v>599</v>
      </c>
      <c r="AR236" s="51" t="str">
        <f t="shared" si="201"/>
        <v>HN1A-9G444-BC</v>
      </c>
      <c r="AS236" s="3"/>
      <c r="AT236" s="22">
        <v>1</v>
      </c>
      <c r="AU236" s="22">
        <v>1</v>
      </c>
      <c r="AV236" s="22">
        <v>1</v>
      </c>
      <c r="AW236" s="22">
        <v>1</v>
      </c>
      <c r="AX236" s="22">
        <v>0</v>
      </c>
      <c r="AY236" s="22">
        <v>0</v>
      </c>
      <c r="AZ236" s="22">
        <v>1</v>
      </c>
      <c r="BA236" s="22">
        <v>0</v>
      </c>
      <c r="BB236" s="64">
        <f t="shared" si="202"/>
        <v>0.72000000000000008</v>
      </c>
      <c r="BD236" s="60">
        <v>-71.599999999999994</v>
      </c>
      <c r="BE236" s="60">
        <v>-0.6</v>
      </c>
      <c r="BF236" s="60">
        <v>-1.4</v>
      </c>
      <c r="BG236" s="60">
        <v>0</v>
      </c>
      <c r="BH236" s="60">
        <v>0</v>
      </c>
      <c r="BI236" s="8">
        <f t="shared" si="206"/>
        <v>-73.599999999999994</v>
      </c>
      <c r="BJ236" s="2" t="s">
        <v>91</v>
      </c>
      <c r="BL236" s="70">
        <v>0</v>
      </c>
      <c r="BM236" s="70">
        <v>0</v>
      </c>
      <c r="BO236" s="71">
        <v>0</v>
      </c>
      <c r="BP236" s="71">
        <v>0</v>
      </c>
      <c r="BQ236" s="72"/>
      <c r="BS236" s="61">
        <f t="shared" si="158"/>
        <v>0</v>
      </c>
      <c r="BT236" s="61">
        <f t="shared" si="159"/>
        <v>0</v>
      </c>
      <c r="BU236" s="61">
        <f t="shared" si="160"/>
        <v>0</v>
      </c>
      <c r="BV236" s="61">
        <f t="shared" si="160"/>
        <v>0</v>
      </c>
      <c r="BW236" s="61">
        <f t="shared" si="160"/>
        <v>0</v>
      </c>
      <c r="BX236" s="61">
        <f t="shared" si="155"/>
        <v>0</v>
      </c>
      <c r="BY236" s="61" t="s">
        <v>91</v>
      </c>
      <c r="CA236" s="61">
        <f t="shared" si="191"/>
        <v>0</v>
      </c>
      <c r="CB236" s="61">
        <f t="shared" si="191"/>
        <v>0</v>
      </c>
      <c r="CC236" s="61">
        <f t="shared" si="191"/>
        <v>0</v>
      </c>
      <c r="CD236" s="61">
        <f t="shared" si="189"/>
        <v>0</v>
      </c>
      <c r="CE236" s="61">
        <f t="shared" si="189"/>
        <v>0</v>
      </c>
      <c r="CF236" s="61">
        <f t="shared" si="189"/>
        <v>0</v>
      </c>
      <c r="CG236" s="61">
        <f t="shared" si="189"/>
        <v>0</v>
      </c>
      <c r="CH236" s="61">
        <f t="shared" si="189"/>
        <v>0</v>
      </c>
      <c r="CI236" s="61">
        <f t="shared" si="176"/>
        <v>0</v>
      </c>
      <c r="CJ236" s="61"/>
      <c r="CK236" s="61">
        <f t="shared" si="192"/>
        <v>0</v>
      </c>
      <c r="CL236" s="61">
        <f t="shared" si="192"/>
        <v>0</v>
      </c>
      <c r="CM236" s="61">
        <f t="shared" si="192"/>
        <v>0</v>
      </c>
      <c r="CN236" s="61">
        <f t="shared" si="190"/>
        <v>0</v>
      </c>
      <c r="CO236" s="61">
        <f t="shared" si="190"/>
        <v>0</v>
      </c>
      <c r="CP236" s="61">
        <f t="shared" si="190"/>
        <v>0</v>
      </c>
      <c r="CQ236" s="61">
        <f t="shared" si="190"/>
        <v>0</v>
      </c>
      <c r="CR236" s="61">
        <f t="shared" si="190"/>
        <v>0</v>
      </c>
      <c r="CS236" s="61">
        <f t="shared" si="177"/>
        <v>0</v>
      </c>
      <c r="CT236" s="61">
        <f t="shared" si="178"/>
        <v>0</v>
      </c>
      <c r="CV236" s="61">
        <f t="shared" si="179"/>
        <v>0</v>
      </c>
      <c r="CW236" s="61">
        <f t="shared" si="207"/>
        <v>0</v>
      </c>
      <c r="CX236" s="61"/>
      <c r="CY236" s="61">
        <f t="shared" si="208"/>
        <v>0</v>
      </c>
      <c r="CZ236" s="61">
        <f t="shared" si="163"/>
        <v>0</v>
      </c>
      <c r="DA236" s="61">
        <f t="shared" si="163"/>
        <v>0</v>
      </c>
      <c r="DB236" s="2" t="s">
        <v>85</v>
      </c>
      <c r="DC236" s="2" t="s">
        <v>102</v>
      </c>
      <c r="DD236" s="2" t="s">
        <v>142</v>
      </c>
      <c r="DE236" s="2" t="s">
        <v>181</v>
      </c>
      <c r="DF236" s="3" t="s">
        <v>102</v>
      </c>
      <c r="DG236" s="62">
        <v>42816</v>
      </c>
      <c r="EC236" s="60"/>
      <c r="ED236" s="60"/>
      <c r="EE236" s="60"/>
      <c r="EF236" s="60"/>
    </row>
    <row r="237" spans="2:140" ht="12.75" hidden="1" customHeight="1">
      <c r="B237" s="93" t="s">
        <v>610</v>
      </c>
      <c r="C237" s="22" t="s">
        <v>611</v>
      </c>
      <c r="D237" s="22" t="s">
        <v>612</v>
      </c>
      <c r="E237" s="2" t="str">
        <f>VLOOKUP($C237,[1]Detail!$C:$AK,6,0)</f>
        <v>PMT4</v>
      </c>
      <c r="F237" s="2" t="str">
        <f>VLOOKUP($C237,[1]Detail!$C:$AK,7,0)</f>
        <v>PF</v>
      </c>
      <c r="G237" s="2" t="str">
        <f>VLOOKUP($C237,[1]Detail!$C:$AK,5,0)</f>
        <v>B</v>
      </c>
      <c r="J237" s="22" t="s">
        <v>286</v>
      </c>
      <c r="K237" s="23" t="s">
        <v>616</v>
      </c>
      <c r="L237" s="22" t="s">
        <v>111</v>
      </c>
      <c r="M237" s="51" t="str">
        <f t="shared" si="156"/>
        <v>JD8G-9Y460-BA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64">
        <f t="shared" si="157"/>
        <v>0</v>
      </c>
      <c r="Y237" s="8">
        <v>-114.28</v>
      </c>
      <c r="Z237" s="8">
        <v>-0.6</v>
      </c>
      <c r="AA237" s="8">
        <v>-1.4</v>
      </c>
      <c r="AB237" s="8">
        <v>0</v>
      </c>
      <c r="AC237" s="8">
        <v>0</v>
      </c>
      <c r="AD237" s="8">
        <f t="shared" si="205"/>
        <v>-116.28</v>
      </c>
      <c r="AE237" s="2" t="s">
        <v>91</v>
      </c>
      <c r="AG237" s="8">
        <v>0</v>
      </c>
      <c r="AH237" s="8">
        <v>0</v>
      </c>
      <c r="AJ237" s="71">
        <v>0</v>
      </c>
      <c r="AK237" s="71">
        <v>0</v>
      </c>
      <c r="AL237" s="72"/>
      <c r="AM237" s="22"/>
      <c r="AO237" s="22" t="s">
        <v>286</v>
      </c>
      <c r="AP237" s="23" t="s">
        <v>616</v>
      </c>
      <c r="AQ237" s="22" t="s">
        <v>111</v>
      </c>
      <c r="AR237" s="51" t="str">
        <f t="shared" si="201"/>
        <v>JD8G-9Y460-BA</v>
      </c>
      <c r="AS237" s="3"/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64">
        <f t="shared" si="202"/>
        <v>0</v>
      </c>
      <c r="BD237" s="60">
        <v>-114.28</v>
      </c>
      <c r="BE237" s="60">
        <v>-0.6</v>
      </c>
      <c r="BF237" s="60">
        <v>-1.4</v>
      </c>
      <c r="BG237" s="60">
        <v>0</v>
      </c>
      <c r="BH237" s="60">
        <v>0</v>
      </c>
      <c r="BI237" s="8">
        <f t="shared" si="206"/>
        <v>-116.28</v>
      </c>
      <c r="BJ237" s="2" t="s">
        <v>91</v>
      </c>
      <c r="BL237" s="70">
        <v>0</v>
      </c>
      <c r="BM237" s="70">
        <v>0</v>
      </c>
      <c r="BO237" s="71">
        <v>0</v>
      </c>
      <c r="BP237" s="71">
        <v>0</v>
      </c>
      <c r="BQ237" s="72"/>
      <c r="BS237" s="61">
        <f t="shared" si="158"/>
        <v>0</v>
      </c>
      <c r="BT237" s="61">
        <f t="shared" si="159"/>
        <v>0</v>
      </c>
      <c r="BU237" s="61">
        <f t="shared" si="160"/>
        <v>0</v>
      </c>
      <c r="BV237" s="61">
        <f t="shared" si="160"/>
        <v>0</v>
      </c>
      <c r="BW237" s="61">
        <f t="shared" si="160"/>
        <v>0</v>
      </c>
      <c r="BX237" s="61">
        <f t="shared" si="155"/>
        <v>0</v>
      </c>
      <c r="BY237" s="61" t="s">
        <v>91</v>
      </c>
      <c r="CA237" s="61">
        <f t="shared" si="191"/>
        <v>0</v>
      </c>
      <c r="CB237" s="61">
        <f t="shared" si="191"/>
        <v>0</v>
      </c>
      <c r="CC237" s="61">
        <f t="shared" si="191"/>
        <v>0</v>
      </c>
      <c r="CD237" s="61">
        <f t="shared" si="189"/>
        <v>0</v>
      </c>
      <c r="CE237" s="61">
        <f t="shared" si="189"/>
        <v>0</v>
      </c>
      <c r="CF237" s="61">
        <f t="shared" si="189"/>
        <v>0</v>
      </c>
      <c r="CG237" s="61">
        <f t="shared" si="189"/>
        <v>0</v>
      </c>
      <c r="CH237" s="61">
        <f t="shared" si="189"/>
        <v>0</v>
      </c>
      <c r="CI237" s="61">
        <f t="shared" si="176"/>
        <v>0</v>
      </c>
      <c r="CJ237" s="61"/>
      <c r="CK237" s="61">
        <f t="shared" si="192"/>
        <v>0</v>
      </c>
      <c r="CL237" s="61">
        <f t="shared" si="192"/>
        <v>0</v>
      </c>
      <c r="CM237" s="61">
        <f t="shared" si="192"/>
        <v>0</v>
      </c>
      <c r="CN237" s="61">
        <f t="shared" si="190"/>
        <v>0</v>
      </c>
      <c r="CO237" s="61">
        <f t="shared" si="190"/>
        <v>0</v>
      </c>
      <c r="CP237" s="61">
        <f t="shared" si="190"/>
        <v>0</v>
      </c>
      <c r="CQ237" s="61">
        <f t="shared" si="190"/>
        <v>0</v>
      </c>
      <c r="CR237" s="61">
        <f t="shared" si="190"/>
        <v>0</v>
      </c>
      <c r="CS237" s="61">
        <f t="shared" si="177"/>
        <v>0</v>
      </c>
      <c r="CT237" s="61">
        <f t="shared" si="178"/>
        <v>0</v>
      </c>
      <c r="CV237" s="61">
        <f t="shared" si="179"/>
        <v>0</v>
      </c>
      <c r="CW237" s="61">
        <f t="shared" si="207"/>
        <v>0</v>
      </c>
      <c r="CX237" s="61"/>
      <c r="CY237" s="61">
        <f t="shared" si="208"/>
        <v>0</v>
      </c>
      <c r="CZ237" s="61">
        <f t="shared" si="163"/>
        <v>0</v>
      </c>
      <c r="DA237" s="61">
        <f t="shared" si="163"/>
        <v>0</v>
      </c>
      <c r="DB237" s="2" t="s">
        <v>85</v>
      </c>
      <c r="DC237" s="2" t="s">
        <v>102</v>
      </c>
      <c r="DD237" s="2" t="s">
        <v>142</v>
      </c>
      <c r="DE237" s="2" t="s">
        <v>181</v>
      </c>
      <c r="DF237" s="3" t="s">
        <v>102</v>
      </c>
      <c r="DG237" s="62">
        <v>42816</v>
      </c>
      <c r="EC237" s="60"/>
      <c r="ED237" s="60"/>
      <c r="EE237" s="60"/>
      <c r="EF237" s="60"/>
    </row>
    <row r="238" spans="2:140" ht="12.75" hidden="1" customHeight="1">
      <c r="B238" s="93" t="s">
        <v>617</v>
      </c>
      <c r="C238" s="22" t="s">
        <v>618</v>
      </c>
      <c r="D238" s="22" t="s">
        <v>619</v>
      </c>
      <c r="E238" s="2" t="str">
        <f>VLOOKUP($C238,[1]Detail!$C:$AK,6,0)</f>
        <v>PMT4</v>
      </c>
      <c r="F238" s="2" t="str">
        <f>VLOOKUP($C238,[1]Detail!$C:$AK,7,0)</f>
        <v>PF</v>
      </c>
      <c r="G238" s="2" t="str">
        <f>VLOOKUP($C238,[1]Detail!$C:$AK,5,0)</f>
        <v>B</v>
      </c>
      <c r="J238" s="22" t="s">
        <v>585</v>
      </c>
      <c r="K238" s="23" t="s">
        <v>583</v>
      </c>
      <c r="L238" s="22" t="s">
        <v>111</v>
      </c>
      <c r="M238" s="51" t="str">
        <f t="shared" si="156"/>
        <v>JD81-8C607-BA</v>
      </c>
      <c r="O238" s="22">
        <v>1</v>
      </c>
      <c r="P238" s="22">
        <v>0</v>
      </c>
      <c r="Q238" s="22">
        <v>1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64">
        <f t="shared" si="157"/>
        <v>0.28000000000000003</v>
      </c>
      <c r="Y238" s="8">
        <v>-179</v>
      </c>
      <c r="Z238" s="8">
        <v>-4</v>
      </c>
      <c r="AA238" s="8">
        <v>-5</v>
      </c>
      <c r="AB238" s="8">
        <v>0</v>
      </c>
      <c r="AC238" s="8">
        <v>-2.8</v>
      </c>
      <c r="AD238" s="8">
        <f t="shared" si="205"/>
        <v>-190.8</v>
      </c>
      <c r="AE238" s="2" t="s">
        <v>91</v>
      </c>
      <c r="AG238" s="8">
        <v>-770000</v>
      </c>
      <c r="AH238" s="8">
        <v>-770000</v>
      </c>
      <c r="AI238" s="6"/>
      <c r="AJ238" s="71">
        <v>-450721.6</v>
      </c>
      <c r="AK238" s="71">
        <v>160972</v>
      </c>
      <c r="AL238" s="72"/>
      <c r="AM238" s="22"/>
      <c r="AO238" s="22" t="s">
        <v>585</v>
      </c>
      <c r="AP238" s="23" t="s">
        <v>583</v>
      </c>
      <c r="AQ238" s="22" t="s">
        <v>111</v>
      </c>
      <c r="AR238" s="51" t="str">
        <f t="shared" si="201"/>
        <v>JD81-8C607-BA</v>
      </c>
      <c r="AS238" s="3"/>
      <c r="AT238" s="22">
        <v>1</v>
      </c>
      <c r="AU238" s="22">
        <v>0</v>
      </c>
      <c r="AV238" s="22">
        <v>1</v>
      </c>
      <c r="AW238" s="22">
        <v>0</v>
      </c>
      <c r="AX238" s="22">
        <v>0</v>
      </c>
      <c r="AY238" s="22">
        <v>0</v>
      </c>
      <c r="AZ238" s="22">
        <v>0</v>
      </c>
      <c r="BA238" s="22">
        <v>0</v>
      </c>
      <c r="BB238" s="64">
        <f t="shared" si="202"/>
        <v>0.28000000000000003</v>
      </c>
      <c r="BD238" s="60">
        <v>-179</v>
      </c>
      <c r="BE238" s="60">
        <v>-4</v>
      </c>
      <c r="BF238" s="60">
        <v>-5</v>
      </c>
      <c r="BG238" s="60">
        <v>0</v>
      </c>
      <c r="BH238" s="60">
        <v>-2.8</v>
      </c>
      <c r="BI238" s="8">
        <f t="shared" si="206"/>
        <v>-190.8</v>
      </c>
      <c r="BJ238" s="2" t="s">
        <v>91</v>
      </c>
      <c r="BL238" s="70">
        <v>-770000</v>
      </c>
      <c r="BM238" s="70">
        <v>-770000</v>
      </c>
      <c r="BO238" s="71">
        <v>-450721.6</v>
      </c>
      <c r="BP238" s="71">
        <v>160972</v>
      </c>
      <c r="BQ238" s="72"/>
      <c r="BS238" s="61">
        <f t="shared" si="158"/>
        <v>0</v>
      </c>
      <c r="BT238" s="61">
        <f t="shared" si="159"/>
        <v>0</v>
      </c>
      <c r="BU238" s="61">
        <f t="shared" si="160"/>
        <v>0</v>
      </c>
      <c r="BV238" s="61">
        <f t="shared" si="160"/>
        <v>0</v>
      </c>
      <c r="BW238" s="61">
        <f t="shared" si="160"/>
        <v>0</v>
      </c>
      <c r="BX238" s="61">
        <f t="shared" si="155"/>
        <v>0</v>
      </c>
      <c r="BY238" s="61" t="s">
        <v>91</v>
      </c>
      <c r="CA238" s="61">
        <f t="shared" si="191"/>
        <v>0</v>
      </c>
      <c r="CB238" s="61">
        <f t="shared" si="191"/>
        <v>0</v>
      </c>
      <c r="CC238" s="61">
        <f t="shared" si="191"/>
        <v>0</v>
      </c>
      <c r="CD238" s="61">
        <f t="shared" si="189"/>
        <v>0</v>
      </c>
      <c r="CE238" s="61">
        <f t="shared" si="189"/>
        <v>0</v>
      </c>
      <c r="CF238" s="61">
        <f t="shared" si="189"/>
        <v>0</v>
      </c>
      <c r="CG238" s="61">
        <f t="shared" si="189"/>
        <v>0</v>
      </c>
      <c r="CH238" s="61">
        <f t="shared" si="189"/>
        <v>0</v>
      </c>
      <c r="CI238" s="61">
        <f t="shared" si="176"/>
        <v>0</v>
      </c>
      <c r="CJ238" s="61"/>
      <c r="CK238" s="61">
        <f t="shared" si="192"/>
        <v>0</v>
      </c>
      <c r="CL238" s="61">
        <f t="shared" si="192"/>
        <v>0</v>
      </c>
      <c r="CM238" s="61">
        <f t="shared" si="192"/>
        <v>0</v>
      </c>
      <c r="CN238" s="61">
        <f t="shared" si="190"/>
        <v>0</v>
      </c>
      <c r="CO238" s="61">
        <f t="shared" si="190"/>
        <v>0</v>
      </c>
      <c r="CP238" s="61">
        <f t="shared" si="190"/>
        <v>0</v>
      </c>
      <c r="CQ238" s="61">
        <f t="shared" si="190"/>
        <v>0</v>
      </c>
      <c r="CR238" s="61">
        <f t="shared" si="190"/>
        <v>0</v>
      </c>
      <c r="CS238" s="61">
        <f t="shared" si="177"/>
        <v>0</v>
      </c>
      <c r="CT238" s="61">
        <f t="shared" si="178"/>
        <v>0</v>
      </c>
      <c r="CV238" s="61">
        <f t="shared" si="179"/>
        <v>0</v>
      </c>
      <c r="CW238" s="61">
        <f t="shared" si="207"/>
        <v>0</v>
      </c>
      <c r="CX238" s="61"/>
      <c r="CY238" s="61">
        <f t="shared" si="208"/>
        <v>0</v>
      </c>
      <c r="CZ238" s="61">
        <f t="shared" si="163"/>
        <v>0</v>
      </c>
      <c r="DA238" s="61">
        <f t="shared" si="163"/>
        <v>0</v>
      </c>
      <c r="DB238" s="2" t="s">
        <v>102</v>
      </c>
      <c r="DC238" s="2" t="s">
        <v>102</v>
      </c>
      <c r="DD238" s="2" t="s">
        <v>142</v>
      </c>
      <c r="DE238" s="2" t="s">
        <v>181</v>
      </c>
      <c r="DF238" s="3" t="s">
        <v>86</v>
      </c>
      <c r="DG238" s="62">
        <v>42802</v>
      </c>
      <c r="EC238" s="60" t="str">
        <f>VLOOKUP($M238,[1]Detail!$M:$BO,1,0)</f>
        <v>JD81-8C607-BA</v>
      </c>
      <c r="ED238" s="60">
        <f>VLOOKUP($M238,[1]Detail!$M:$BO,22,0)</f>
        <v>-190.8</v>
      </c>
      <c r="EE238" s="60">
        <f>VLOOKUP($M238,[1]Detail!$M:$BO,42,0)</f>
        <v>-770000</v>
      </c>
      <c r="EF238" s="60">
        <f>VLOOKUP($M238,[1]Detail!$M:$BO,45,0)</f>
        <v>-450721.6</v>
      </c>
      <c r="EH238" s="60">
        <f t="shared" ref="EH238:EH246" si="209">ED238-AD238</f>
        <v>0</v>
      </c>
      <c r="EI238" s="60">
        <f t="shared" ref="EI238:EI246" si="210">EE238-AG238</f>
        <v>0</v>
      </c>
      <c r="EJ238" s="60">
        <f t="shared" ref="EJ238:EJ246" si="211">EF238-AJ238</f>
        <v>0</v>
      </c>
    </row>
    <row r="239" spans="2:140" ht="12.75" hidden="1" customHeight="1">
      <c r="B239" s="93" t="s">
        <v>617</v>
      </c>
      <c r="C239" s="22" t="s">
        <v>618</v>
      </c>
      <c r="D239" s="22" t="s">
        <v>619</v>
      </c>
      <c r="E239" s="2" t="str">
        <f>VLOOKUP($C239,[1]Detail!$C:$AK,6,0)</f>
        <v>PMT4</v>
      </c>
      <c r="F239" s="2" t="str">
        <f>VLOOKUP($C239,[1]Detail!$C:$AK,7,0)</f>
        <v>PF</v>
      </c>
      <c r="G239" s="2" t="str">
        <f>VLOOKUP($C239,[1]Detail!$C:$AK,5,0)</f>
        <v>B</v>
      </c>
      <c r="J239" s="22" t="s">
        <v>585</v>
      </c>
      <c r="K239" s="23" t="s">
        <v>583</v>
      </c>
      <c r="L239" s="22" t="s">
        <v>100</v>
      </c>
      <c r="M239" s="51" t="str">
        <f t="shared" si="156"/>
        <v>JD81-8C607-AA</v>
      </c>
      <c r="O239" s="22">
        <v>0</v>
      </c>
      <c r="P239" s="22">
        <v>1</v>
      </c>
      <c r="Q239" s="22">
        <v>0</v>
      </c>
      <c r="R239" s="22">
        <v>1</v>
      </c>
      <c r="S239" s="22">
        <v>0</v>
      </c>
      <c r="T239" s="22">
        <v>0</v>
      </c>
      <c r="U239" s="22">
        <v>1</v>
      </c>
      <c r="V239" s="22">
        <v>0</v>
      </c>
      <c r="W239" s="64">
        <f t="shared" si="157"/>
        <v>0.44</v>
      </c>
      <c r="Y239" s="8">
        <f>-184*0-182.89</f>
        <v>-182.89</v>
      </c>
      <c r="Z239" s="8">
        <v>-4</v>
      </c>
      <c r="AA239" s="8">
        <v>-5</v>
      </c>
      <c r="AB239" s="8">
        <v>0</v>
      </c>
      <c r="AC239" s="8">
        <v>-2.8</v>
      </c>
      <c r="AD239" s="8">
        <f t="shared" si="205"/>
        <v>-194.69</v>
      </c>
      <c r="AE239" s="2" t="s">
        <v>91</v>
      </c>
      <c r="AG239" s="8">
        <v>-850000</v>
      </c>
      <c r="AH239" s="8">
        <v>-850000</v>
      </c>
      <c r="AI239" s="6"/>
      <c r="AJ239" s="71">
        <v>-708276.8</v>
      </c>
      <c r="AK239" s="71">
        <v>252956</v>
      </c>
      <c r="AL239" s="72"/>
      <c r="AM239" s="22"/>
      <c r="AO239" s="22" t="s">
        <v>585</v>
      </c>
      <c r="AP239" s="23" t="s">
        <v>583</v>
      </c>
      <c r="AQ239" s="22" t="s">
        <v>100</v>
      </c>
      <c r="AR239" s="51" t="str">
        <f t="shared" si="201"/>
        <v>JD81-8C607-AA</v>
      </c>
      <c r="AS239" s="3"/>
      <c r="AT239" s="22">
        <v>0</v>
      </c>
      <c r="AU239" s="22">
        <v>1</v>
      </c>
      <c r="AV239" s="22">
        <v>0</v>
      </c>
      <c r="AW239" s="22">
        <v>1</v>
      </c>
      <c r="AX239" s="22">
        <v>0</v>
      </c>
      <c r="AY239" s="22">
        <v>0</v>
      </c>
      <c r="AZ239" s="22">
        <v>1</v>
      </c>
      <c r="BA239" s="22">
        <v>0</v>
      </c>
      <c r="BB239" s="64">
        <f t="shared" si="202"/>
        <v>0.44</v>
      </c>
      <c r="BD239" s="60">
        <v>-184</v>
      </c>
      <c r="BE239" s="60">
        <v>-4</v>
      </c>
      <c r="BF239" s="60">
        <v>-5</v>
      </c>
      <c r="BG239" s="60">
        <v>0</v>
      </c>
      <c r="BH239" s="60">
        <v>-2.8</v>
      </c>
      <c r="BI239" s="8">
        <f t="shared" si="206"/>
        <v>-195.8</v>
      </c>
      <c r="BJ239" s="2" t="s">
        <v>91</v>
      </c>
      <c r="BL239" s="70">
        <v>-850000</v>
      </c>
      <c r="BM239" s="70">
        <v>-850000</v>
      </c>
      <c r="BO239" s="71">
        <v>-708276.8</v>
      </c>
      <c r="BP239" s="71">
        <v>252956</v>
      </c>
      <c r="BQ239" s="72"/>
      <c r="BS239" s="61">
        <f t="shared" si="158"/>
        <v>1.1100000000000136</v>
      </c>
      <c r="BT239" s="61">
        <f t="shared" si="159"/>
        <v>0</v>
      </c>
      <c r="BU239" s="61">
        <f t="shared" si="160"/>
        <v>0</v>
      </c>
      <c r="BV239" s="61">
        <f t="shared" si="160"/>
        <v>0</v>
      </c>
      <c r="BW239" s="61">
        <f t="shared" si="160"/>
        <v>0</v>
      </c>
      <c r="BX239" s="61">
        <f t="shared" si="155"/>
        <v>1.1100000000000136</v>
      </c>
      <c r="BY239" s="61" t="s">
        <v>91</v>
      </c>
      <c r="CA239" s="61">
        <f t="shared" si="191"/>
        <v>0</v>
      </c>
      <c r="CB239" s="61">
        <f t="shared" si="191"/>
        <v>0.16699262825334943</v>
      </c>
      <c r="CC239" s="61">
        <f t="shared" si="191"/>
        <v>0</v>
      </c>
      <c r="CD239" s="61">
        <f t="shared" si="189"/>
        <v>0.16699262825334943</v>
      </c>
      <c r="CE239" s="61">
        <f t="shared" si="189"/>
        <v>0</v>
      </c>
      <c r="CF239" s="61">
        <f t="shared" si="189"/>
        <v>0</v>
      </c>
      <c r="CG239" s="61">
        <f t="shared" si="189"/>
        <v>0.16699262825334943</v>
      </c>
      <c r="CH239" s="61">
        <f t="shared" si="189"/>
        <v>0</v>
      </c>
      <c r="CI239" s="61">
        <f t="shared" si="176"/>
        <v>7.347675643147375E-2</v>
      </c>
      <c r="CJ239" s="61"/>
      <c r="CK239" s="61">
        <f t="shared" si="192"/>
        <v>0</v>
      </c>
      <c r="CL239" s="61">
        <f t="shared" si="192"/>
        <v>0.16699262825334943</v>
      </c>
      <c r="CM239" s="61">
        <f t="shared" si="192"/>
        <v>0</v>
      </c>
      <c r="CN239" s="61">
        <f t="shared" si="190"/>
        <v>0.16699262825334943</v>
      </c>
      <c r="CO239" s="61">
        <f t="shared" si="190"/>
        <v>0</v>
      </c>
      <c r="CP239" s="61">
        <f t="shared" si="190"/>
        <v>0</v>
      </c>
      <c r="CQ239" s="61">
        <f t="shared" si="190"/>
        <v>0.16699262825334943</v>
      </c>
      <c r="CR239" s="61">
        <f t="shared" si="190"/>
        <v>0</v>
      </c>
      <c r="CS239" s="61">
        <f t="shared" si="177"/>
        <v>7.347675643147375E-2</v>
      </c>
      <c r="CT239" s="61">
        <f t="shared" si="178"/>
        <v>0.48840000000000605</v>
      </c>
      <c r="CV239" s="61">
        <f t="shared" si="179"/>
        <v>0</v>
      </c>
      <c r="CW239" s="61">
        <f t="shared" si="207"/>
        <v>0</v>
      </c>
      <c r="CX239" s="61"/>
      <c r="CY239" s="61">
        <f t="shared" si="208"/>
        <v>0</v>
      </c>
      <c r="CZ239" s="61">
        <f t="shared" si="163"/>
        <v>0</v>
      </c>
      <c r="DA239" s="61">
        <f t="shared" si="163"/>
        <v>0</v>
      </c>
      <c r="DB239" s="2" t="s">
        <v>102</v>
      </c>
      <c r="DC239" s="2" t="s">
        <v>102</v>
      </c>
      <c r="DD239" s="2" t="s">
        <v>142</v>
      </c>
      <c r="DE239" s="2" t="s">
        <v>181</v>
      </c>
      <c r="DF239" s="3" t="s">
        <v>86</v>
      </c>
      <c r="DG239" s="62">
        <v>42802</v>
      </c>
      <c r="EC239" s="60" t="str">
        <f>VLOOKUP($M239,[1]Detail!$M:$BO,1,0)</f>
        <v>JD81-8C607-AA</v>
      </c>
      <c r="ED239" s="60">
        <f>VLOOKUP($M239,[1]Detail!$M:$BO,22,0)</f>
        <v>-194.69</v>
      </c>
      <c r="EE239" s="60">
        <f>VLOOKUP($M239,[1]Detail!$M:$BO,42,0)</f>
        <v>-850000</v>
      </c>
      <c r="EF239" s="60">
        <f>VLOOKUP($M239,[1]Detail!$M:$BO,45,0)</f>
        <v>-708276.8</v>
      </c>
      <c r="EH239" s="60">
        <f t="shared" si="209"/>
        <v>0</v>
      </c>
      <c r="EI239" s="60">
        <f t="shared" si="210"/>
        <v>0</v>
      </c>
      <c r="EJ239" s="60">
        <f t="shared" si="211"/>
        <v>0</v>
      </c>
    </row>
    <row r="240" spans="2:140" ht="12.75" hidden="1" customHeight="1">
      <c r="B240" s="93" t="s">
        <v>617</v>
      </c>
      <c r="C240" s="22" t="s">
        <v>620</v>
      </c>
      <c r="D240" s="22" t="s">
        <v>619</v>
      </c>
      <c r="E240" s="2" t="str">
        <f>VLOOKUP($C240,[1]Detail!$C:$AK,6,0)</f>
        <v>PMT4</v>
      </c>
      <c r="F240" s="2" t="str">
        <f>VLOOKUP($C240,[1]Detail!$C:$AK,7,0)</f>
        <v>PF</v>
      </c>
      <c r="G240" s="2" t="str">
        <f>VLOOKUP($C240,[1]Detail!$C:$AK,5,0)</f>
        <v>B</v>
      </c>
      <c r="J240" s="22" t="s">
        <v>585</v>
      </c>
      <c r="K240" s="23" t="s">
        <v>583</v>
      </c>
      <c r="L240" s="22" t="s">
        <v>113</v>
      </c>
      <c r="M240" s="51" t="str">
        <f t="shared" si="156"/>
        <v>JD81-8C607-CA</v>
      </c>
      <c r="O240" s="22">
        <v>0</v>
      </c>
      <c r="P240" s="22">
        <v>0</v>
      </c>
      <c r="Q240" s="22">
        <v>0</v>
      </c>
      <c r="R240" s="22">
        <v>0</v>
      </c>
      <c r="S240" s="22">
        <v>1</v>
      </c>
      <c r="T240" s="22">
        <v>1</v>
      </c>
      <c r="U240" s="22">
        <v>0</v>
      </c>
      <c r="V240" s="22">
        <v>1</v>
      </c>
      <c r="W240" s="64">
        <f t="shared" si="157"/>
        <v>0.28000000000000003</v>
      </c>
      <c r="Y240" s="8">
        <f>-178</f>
        <v>-178</v>
      </c>
      <c r="Z240" s="8">
        <v>-4</v>
      </c>
      <c r="AA240" s="8">
        <v>-5</v>
      </c>
      <c r="AB240" s="8">
        <v>0</v>
      </c>
      <c r="AC240" s="8">
        <v>-2.8</v>
      </c>
      <c r="AD240" s="8">
        <f t="shared" si="205"/>
        <v>-189.8</v>
      </c>
      <c r="AE240" s="2" t="s">
        <v>91</v>
      </c>
      <c r="AG240" s="8">
        <v>-770000</v>
      </c>
      <c r="AH240" s="8">
        <v>-770000</v>
      </c>
      <c r="AI240" s="6"/>
      <c r="AJ240" s="71">
        <v>-450721.6</v>
      </c>
      <c r="AK240" s="71">
        <v>160972</v>
      </c>
      <c r="AL240" s="72"/>
      <c r="AM240" s="22"/>
      <c r="AO240" s="22" t="s">
        <v>585</v>
      </c>
      <c r="AP240" s="23" t="s">
        <v>583</v>
      </c>
      <c r="AQ240" s="22" t="s">
        <v>113</v>
      </c>
      <c r="AR240" s="51" t="str">
        <f t="shared" si="201"/>
        <v>JD81-8C607-CA</v>
      </c>
      <c r="AS240" s="3"/>
      <c r="AT240" s="22">
        <v>0</v>
      </c>
      <c r="AU240" s="22">
        <v>0</v>
      </c>
      <c r="AV240" s="22">
        <v>0</v>
      </c>
      <c r="AW240" s="22">
        <v>0</v>
      </c>
      <c r="AX240" s="22">
        <v>1</v>
      </c>
      <c r="AY240" s="22">
        <v>1</v>
      </c>
      <c r="AZ240" s="22">
        <v>0</v>
      </c>
      <c r="BA240" s="22">
        <v>1</v>
      </c>
      <c r="BB240" s="64">
        <f t="shared" si="202"/>
        <v>0.28000000000000003</v>
      </c>
      <c r="BD240" s="60">
        <v>-178</v>
      </c>
      <c r="BE240" s="60">
        <v>-4</v>
      </c>
      <c r="BF240" s="60">
        <v>-5</v>
      </c>
      <c r="BG240" s="60">
        <v>0</v>
      </c>
      <c r="BH240" s="60">
        <v>-2.8</v>
      </c>
      <c r="BI240" s="8">
        <f t="shared" si="206"/>
        <v>-189.8</v>
      </c>
      <c r="BJ240" s="2" t="s">
        <v>91</v>
      </c>
      <c r="BL240" s="70">
        <v>-770000</v>
      </c>
      <c r="BM240" s="70">
        <v>-770000</v>
      </c>
      <c r="BO240" s="71">
        <v>-450721.6</v>
      </c>
      <c r="BP240" s="71">
        <v>160972</v>
      </c>
      <c r="BQ240" s="72"/>
      <c r="BS240" s="61">
        <f t="shared" si="158"/>
        <v>0</v>
      </c>
      <c r="BT240" s="61">
        <f t="shared" si="159"/>
        <v>0</v>
      </c>
      <c r="BU240" s="61">
        <f t="shared" si="160"/>
        <v>0</v>
      </c>
      <c r="BV240" s="61">
        <f t="shared" si="160"/>
        <v>0</v>
      </c>
      <c r="BW240" s="61">
        <f t="shared" si="160"/>
        <v>0</v>
      </c>
      <c r="BX240" s="61">
        <f t="shared" si="155"/>
        <v>0</v>
      </c>
      <c r="BY240" s="61" t="s">
        <v>91</v>
      </c>
      <c r="CA240" s="61">
        <f t="shared" si="191"/>
        <v>0</v>
      </c>
      <c r="CB240" s="61">
        <f t="shared" si="191"/>
        <v>0</v>
      </c>
      <c r="CC240" s="61">
        <f t="shared" si="191"/>
        <v>0</v>
      </c>
      <c r="CD240" s="61">
        <f t="shared" si="189"/>
        <v>0</v>
      </c>
      <c r="CE240" s="61">
        <f t="shared" si="189"/>
        <v>0</v>
      </c>
      <c r="CF240" s="61">
        <f t="shared" si="189"/>
        <v>0</v>
      </c>
      <c r="CG240" s="61">
        <f t="shared" si="189"/>
        <v>0</v>
      </c>
      <c r="CH240" s="61">
        <f t="shared" si="189"/>
        <v>0</v>
      </c>
      <c r="CI240" s="61">
        <f t="shared" si="176"/>
        <v>0</v>
      </c>
      <c r="CJ240" s="61"/>
      <c r="CK240" s="61">
        <f t="shared" si="192"/>
        <v>0</v>
      </c>
      <c r="CL240" s="61">
        <f t="shared" si="192"/>
        <v>0</v>
      </c>
      <c r="CM240" s="61">
        <f t="shared" si="192"/>
        <v>0</v>
      </c>
      <c r="CN240" s="61">
        <f t="shared" si="190"/>
        <v>0</v>
      </c>
      <c r="CO240" s="61">
        <f t="shared" si="190"/>
        <v>0</v>
      </c>
      <c r="CP240" s="61">
        <f t="shared" si="190"/>
        <v>0</v>
      </c>
      <c r="CQ240" s="61">
        <f t="shared" si="190"/>
        <v>0</v>
      </c>
      <c r="CR240" s="61">
        <f t="shared" si="190"/>
        <v>0</v>
      </c>
      <c r="CS240" s="61">
        <f t="shared" si="177"/>
        <v>0</v>
      </c>
      <c r="CT240" s="61">
        <f t="shared" si="178"/>
        <v>0</v>
      </c>
      <c r="CV240" s="61">
        <f t="shared" si="179"/>
        <v>0</v>
      </c>
      <c r="CW240" s="61">
        <f t="shared" si="207"/>
        <v>0</v>
      </c>
      <c r="CX240" s="61"/>
      <c r="CY240" s="61">
        <f t="shared" si="208"/>
        <v>0</v>
      </c>
      <c r="CZ240" s="61">
        <f t="shared" si="163"/>
        <v>0</v>
      </c>
      <c r="DA240" s="61">
        <f t="shared" si="163"/>
        <v>0</v>
      </c>
      <c r="DB240" s="2" t="s">
        <v>102</v>
      </c>
      <c r="DC240" s="2" t="s">
        <v>102</v>
      </c>
      <c r="DD240" s="2" t="s">
        <v>142</v>
      </c>
      <c r="DE240" s="2" t="s">
        <v>181</v>
      </c>
      <c r="DF240" s="3" t="s">
        <v>86</v>
      </c>
      <c r="DG240" s="62">
        <v>42802</v>
      </c>
      <c r="EC240" s="60" t="str">
        <f>VLOOKUP($M240,[1]Detail!$M:$BO,1,0)</f>
        <v>JD81-8C607-CA</v>
      </c>
      <c r="ED240" s="60">
        <f>VLOOKUP($M240,[1]Detail!$M:$BO,22,0)</f>
        <v>-189.8</v>
      </c>
      <c r="EE240" s="60">
        <f>VLOOKUP($M240,[1]Detail!$M:$BO,42,0)</f>
        <v>-770000</v>
      </c>
      <c r="EF240" s="60">
        <f>VLOOKUP($M240,[1]Detail!$M:$BO,45,0)</f>
        <v>-450721.6</v>
      </c>
      <c r="EH240" s="60">
        <f t="shared" si="209"/>
        <v>0</v>
      </c>
      <c r="EI240" s="60">
        <f t="shared" si="210"/>
        <v>0</v>
      </c>
      <c r="EJ240" s="60">
        <f t="shared" si="211"/>
        <v>0</v>
      </c>
    </row>
    <row r="241" spans="2:140" ht="12.75" hidden="1" customHeight="1">
      <c r="B241" s="93" t="s">
        <v>621</v>
      </c>
      <c r="C241" s="22" t="s">
        <v>622</v>
      </c>
      <c r="D241" s="22" t="s">
        <v>623</v>
      </c>
      <c r="E241" s="2" t="str">
        <f>VLOOKUP($C241,[1]Detail!$C:$AK,6,0)</f>
        <v>PMT4</v>
      </c>
      <c r="F241" s="2" t="str">
        <f>VLOOKUP($C241,[1]Detail!$C:$AK,7,0)</f>
        <v>PF</v>
      </c>
      <c r="G241" s="2" t="str">
        <f>VLOOKUP($C241,[1]Detail!$C:$AK,5,0)</f>
        <v>B</v>
      </c>
      <c r="J241" s="22" t="s">
        <v>585</v>
      </c>
      <c r="K241" s="23">
        <v>8005</v>
      </c>
      <c r="L241" s="22" t="s">
        <v>100</v>
      </c>
      <c r="M241" s="51" t="str">
        <f t="shared" si="156"/>
        <v>JD81-8005-AA</v>
      </c>
      <c r="O241" s="22">
        <v>1</v>
      </c>
      <c r="P241" s="22">
        <v>1</v>
      </c>
      <c r="Q241" s="22">
        <v>1</v>
      </c>
      <c r="R241" s="22">
        <v>1</v>
      </c>
      <c r="S241" s="22">
        <v>0</v>
      </c>
      <c r="T241" s="22">
        <v>0</v>
      </c>
      <c r="U241" s="22">
        <v>1</v>
      </c>
      <c r="V241" s="22">
        <v>0</v>
      </c>
      <c r="W241" s="64">
        <f t="shared" si="157"/>
        <v>0.72000000000000008</v>
      </c>
      <c r="Y241" s="8">
        <v>-127.44</v>
      </c>
      <c r="Z241" s="8">
        <v>-0.52</v>
      </c>
      <c r="AA241" s="8">
        <v>-1.0900000000000001</v>
      </c>
      <c r="AB241" s="8">
        <v>0</v>
      </c>
      <c r="AC241" s="8">
        <v>-1.91</v>
      </c>
      <c r="AD241" s="8">
        <f t="shared" si="205"/>
        <v>-130.95999999999998</v>
      </c>
      <c r="AE241" s="2" t="s">
        <v>91</v>
      </c>
      <c r="AG241" s="8">
        <v>-2831034</v>
      </c>
      <c r="AH241" s="8">
        <v>-2831034</v>
      </c>
      <c r="AI241" s="6"/>
      <c r="AJ241" s="71">
        <v>-910015</v>
      </c>
      <c r="AK241" s="71">
        <v>476956</v>
      </c>
      <c r="AL241" s="72"/>
      <c r="AM241" s="22"/>
      <c r="AO241" s="22" t="s">
        <v>585</v>
      </c>
      <c r="AP241" s="23">
        <v>8005</v>
      </c>
      <c r="AQ241" s="22" t="s">
        <v>100</v>
      </c>
      <c r="AR241" s="51" t="str">
        <f t="shared" si="201"/>
        <v>JD81-8005-AA</v>
      </c>
      <c r="AS241" s="3"/>
      <c r="AT241" s="22">
        <v>1</v>
      </c>
      <c r="AU241" s="22">
        <v>1</v>
      </c>
      <c r="AV241" s="22">
        <v>1</v>
      </c>
      <c r="AW241" s="22">
        <v>1</v>
      </c>
      <c r="AX241" s="22">
        <v>0</v>
      </c>
      <c r="AY241" s="22">
        <v>0</v>
      </c>
      <c r="AZ241" s="22">
        <v>1</v>
      </c>
      <c r="BA241" s="22">
        <v>0</v>
      </c>
      <c r="BB241" s="64">
        <f t="shared" si="202"/>
        <v>0.72000000000000008</v>
      </c>
      <c r="BD241" s="60">
        <v>-127.44</v>
      </c>
      <c r="BE241" s="60">
        <v>-0.52</v>
      </c>
      <c r="BF241" s="60">
        <v>-1.0900000000000001</v>
      </c>
      <c r="BG241" s="60">
        <v>0</v>
      </c>
      <c r="BH241" s="60">
        <v>-1.91</v>
      </c>
      <c r="BI241" s="8">
        <f t="shared" si="206"/>
        <v>-130.95999999999998</v>
      </c>
      <c r="BJ241" s="2" t="s">
        <v>91</v>
      </c>
      <c r="BL241" s="70">
        <v>-2831034</v>
      </c>
      <c r="BM241" s="70">
        <v>-2831034</v>
      </c>
      <c r="BO241" s="71">
        <v>-910015</v>
      </c>
      <c r="BP241" s="71">
        <v>476956</v>
      </c>
      <c r="BQ241" s="72"/>
      <c r="BS241" s="61">
        <f t="shared" si="158"/>
        <v>0</v>
      </c>
      <c r="BT241" s="61">
        <f t="shared" si="159"/>
        <v>0</v>
      </c>
      <c r="BU241" s="61">
        <f t="shared" si="160"/>
        <v>0</v>
      </c>
      <c r="BV241" s="61">
        <f t="shared" si="160"/>
        <v>0</v>
      </c>
      <c r="BW241" s="61">
        <f t="shared" si="160"/>
        <v>0</v>
      </c>
      <c r="BX241" s="61">
        <f t="shared" si="155"/>
        <v>0</v>
      </c>
      <c r="BY241" s="61" t="s">
        <v>91</v>
      </c>
      <c r="CA241" s="61">
        <f t="shared" si="191"/>
        <v>0</v>
      </c>
      <c r="CB241" s="61">
        <f t="shared" si="191"/>
        <v>0</v>
      </c>
      <c r="CC241" s="61">
        <f t="shared" si="191"/>
        <v>0</v>
      </c>
      <c r="CD241" s="61">
        <f t="shared" si="189"/>
        <v>0</v>
      </c>
      <c r="CE241" s="61">
        <f t="shared" si="189"/>
        <v>0</v>
      </c>
      <c r="CF241" s="61">
        <f t="shared" si="189"/>
        <v>0</v>
      </c>
      <c r="CG241" s="61">
        <f t="shared" si="189"/>
        <v>0</v>
      </c>
      <c r="CH241" s="61">
        <f t="shared" si="189"/>
        <v>0</v>
      </c>
      <c r="CI241" s="61">
        <f t="shared" si="176"/>
        <v>0</v>
      </c>
      <c r="CJ241" s="61"/>
      <c r="CK241" s="61">
        <f t="shared" si="192"/>
        <v>0</v>
      </c>
      <c r="CL241" s="61">
        <f t="shared" si="192"/>
        <v>0</v>
      </c>
      <c r="CM241" s="61">
        <f t="shared" si="192"/>
        <v>0</v>
      </c>
      <c r="CN241" s="61">
        <f t="shared" si="190"/>
        <v>0</v>
      </c>
      <c r="CO241" s="61">
        <f t="shared" si="190"/>
        <v>0</v>
      </c>
      <c r="CP241" s="61">
        <f t="shared" si="190"/>
        <v>0</v>
      </c>
      <c r="CQ241" s="61">
        <f t="shared" si="190"/>
        <v>0</v>
      </c>
      <c r="CR241" s="61">
        <f t="shared" si="190"/>
        <v>0</v>
      </c>
      <c r="CS241" s="61">
        <f t="shared" si="177"/>
        <v>0</v>
      </c>
      <c r="CT241" s="61">
        <f t="shared" si="178"/>
        <v>0</v>
      </c>
      <c r="CV241" s="61">
        <f t="shared" si="179"/>
        <v>0</v>
      </c>
      <c r="CW241" s="61">
        <f t="shared" si="207"/>
        <v>0</v>
      </c>
      <c r="CX241" s="61"/>
      <c r="CY241" s="61">
        <f t="shared" si="208"/>
        <v>0</v>
      </c>
      <c r="CZ241" s="61">
        <f t="shared" si="163"/>
        <v>0</v>
      </c>
      <c r="DA241" s="61">
        <f t="shared" si="163"/>
        <v>0</v>
      </c>
      <c r="DB241" s="2" t="s">
        <v>102</v>
      </c>
      <c r="DC241" s="2" t="s">
        <v>102</v>
      </c>
      <c r="DD241" s="2" t="s">
        <v>142</v>
      </c>
      <c r="DE241" s="2" t="s">
        <v>181</v>
      </c>
      <c r="DF241" s="3" t="s">
        <v>86</v>
      </c>
      <c r="DG241" s="62">
        <v>42802</v>
      </c>
      <c r="EC241" s="60" t="str">
        <f>VLOOKUP($M241,[1]Detail!$M:$BO,1,0)</f>
        <v>JD81-8005-AA</v>
      </c>
      <c r="ED241" s="60">
        <f>VLOOKUP($M241,[1]Detail!$M:$BO,22,0)</f>
        <v>-130.95999999999998</v>
      </c>
      <c r="EE241" s="60">
        <f>VLOOKUP($M241,[1]Detail!$M:$BO,42,0)</f>
        <v>-2831034</v>
      </c>
      <c r="EF241" s="60">
        <f>VLOOKUP($M241,[1]Detail!$M:$BO,45,0)</f>
        <v>-910015</v>
      </c>
      <c r="EH241" s="60">
        <f t="shared" si="209"/>
        <v>0</v>
      </c>
      <c r="EI241" s="60">
        <f t="shared" si="210"/>
        <v>0</v>
      </c>
      <c r="EJ241" s="60">
        <f t="shared" si="211"/>
        <v>0</v>
      </c>
    </row>
    <row r="242" spans="2:140" ht="12.75" hidden="1" customHeight="1">
      <c r="B242" s="93" t="s">
        <v>624</v>
      </c>
      <c r="C242" s="22" t="s">
        <v>625</v>
      </c>
      <c r="D242" s="22" t="s">
        <v>626</v>
      </c>
      <c r="E242" s="2" t="str">
        <f>VLOOKUP($C242,[1]Detail!$C:$AK,6,0)</f>
        <v>PMT4</v>
      </c>
      <c r="F242" s="2" t="str">
        <f>VLOOKUP($C242,[1]Detail!$C:$AK,7,0)</f>
        <v>PF</v>
      </c>
      <c r="G242" s="2" t="str">
        <f>VLOOKUP($C242,[1]Detail!$C:$AK,5,0)</f>
        <v>D</v>
      </c>
      <c r="J242" s="22" t="s">
        <v>585</v>
      </c>
      <c r="K242" s="23" t="s">
        <v>627</v>
      </c>
      <c r="L242" s="22" t="s">
        <v>111</v>
      </c>
      <c r="M242" s="51" t="str">
        <f t="shared" si="156"/>
        <v>JD81-7M125-BA</v>
      </c>
      <c r="O242" s="22">
        <v>1</v>
      </c>
      <c r="P242" s="22">
        <v>0</v>
      </c>
      <c r="Q242" s="22">
        <v>1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64">
        <f t="shared" si="157"/>
        <v>0.28000000000000003</v>
      </c>
      <c r="Y242" s="8">
        <v>-21.35</v>
      </c>
      <c r="Z242" s="8">
        <v>-0.44</v>
      </c>
      <c r="AA242" s="8">
        <v>-0.92500000000000004</v>
      </c>
      <c r="AB242" s="8">
        <v>0</v>
      </c>
      <c r="AC242" s="8">
        <v>0</v>
      </c>
      <c r="AD242" s="8">
        <f t="shared" si="205"/>
        <v>-22.715000000000003</v>
      </c>
      <c r="AE242" s="2" t="s">
        <v>91</v>
      </c>
      <c r="AG242" s="8">
        <v>-176500</v>
      </c>
      <c r="AH242" s="8">
        <v>-176500</v>
      </c>
      <c r="AI242" s="6"/>
      <c r="AJ242" s="71">
        <v>0</v>
      </c>
      <c r="AK242" s="71">
        <v>0</v>
      </c>
      <c r="AL242" s="72"/>
      <c r="AM242" s="22"/>
      <c r="AO242" s="22" t="s">
        <v>585</v>
      </c>
      <c r="AP242" s="23" t="s">
        <v>627</v>
      </c>
      <c r="AQ242" s="22" t="s">
        <v>111</v>
      </c>
      <c r="AR242" s="51" t="str">
        <f t="shared" si="201"/>
        <v>JD81-7M125-BA</v>
      </c>
      <c r="AS242" s="3"/>
      <c r="AT242" s="22">
        <v>1</v>
      </c>
      <c r="AU242" s="22">
        <v>0</v>
      </c>
      <c r="AV242" s="22">
        <v>1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64">
        <f t="shared" si="202"/>
        <v>0.28000000000000003</v>
      </c>
      <c r="BD242" s="60">
        <v>-21.35</v>
      </c>
      <c r="BE242" s="60">
        <v>-0.44</v>
      </c>
      <c r="BF242" s="60">
        <v>-0.92500000000000004</v>
      </c>
      <c r="BG242" s="60">
        <v>0</v>
      </c>
      <c r="BH242" s="60">
        <v>0</v>
      </c>
      <c r="BI242" s="8">
        <f t="shared" si="206"/>
        <v>-22.715000000000003</v>
      </c>
      <c r="BJ242" s="2" t="s">
        <v>91</v>
      </c>
      <c r="BL242" s="70">
        <v>-176500</v>
      </c>
      <c r="BM242" s="70">
        <v>-176500</v>
      </c>
      <c r="BO242" s="71">
        <v>0</v>
      </c>
      <c r="BP242" s="71">
        <v>0</v>
      </c>
      <c r="BQ242" s="72"/>
      <c r="BS242" s="61">
        <f t="shared" si="158"/>
        <v>0</v>
      </c>
      <c r="BT242" s="61">
        <f t="shared" si="159"/>
        <v>0</v>
      </c>
      <c r="BU242" s="61">
        <f t="shared" si="160"/>
        <v>0</v>
      </c>
      <c r="BV242" s="61">
        <f t="shared" si="160"/>
        <v>0</v>
      </c>
      <c r="BW242" s="61">
        <f t="shared" si="160"/>
        <v>0</v>
      </c>
      <c r="BX242" s="61">
        <f t="shared" si="160"/>
        <v>0</v>
      </c>
      <c r="BY242" s="61" t="s">
        <v>91</v>
      </c>
      <c r="CA242" s="61">
        <f t="shared" si="191"/>
        <v>0</v>
      </c>
      <c r="CB242" s="61">
        <f t="shared" si="191"/>
        <v>0</v>
      </c>
      <c r="CC242" s="61">
        <f t="shared" si="191"/>
        <v>0</v>
      </c>
      <c r="CD242" s="61">
        <f t="shared" si="189"/>
        <v>0</v>
      </c>
      <c r="CE242" s="61">
        <f t="shared" si="189"/>
        <v>0</v>
      </c>
      <c r="CF242" s="61">
        <f t="shared" si="189"/>
        <v>0</v>
      </c>
      <c r="CG242" s="61">
        <f t="shared" si="189"/>
        <v>0</v>
      </c>
      <c r="CH242" s="61">
        <f t="shared" si="189"/>
        <v>0</v>
      </c>
      <c r="CI242" s="61">
        <f t="shared" si="176"/>
        <v>0</v>
      </c>
      <c r="CJ242" s="61"/>
      <c r="CK242" s="61">
        <f t="shared" si="192"/>
        <v>0</v>
      </c>
      <c r="CL242" s="61">
        <f t="shared" si="192"/>
        <v>0</v>
      </c>
      <c r="CM242" s="61">
        <f t="shared" si="192"/>
        <v>0</v>
      </c>
      <c r="CN242" s="61">
        <f t="shared" si="190"/>
        <v>0</v>
      </c>
      <c r="CO242" s="61">
        <f t="shared" si="190"/>
        <v>0</v>
      </c>
      <c r="CP242" s="61">
        <f t="shared" si="190"/>
        <v>0</v>
      </c>
      <c r="CQ242" s="61">
        <f t="shared" si="190"/>
        <v>0</v>
      </c>
      <c r="CR242" s="61">
        <f t="shared" si="190"/>
        <v>0</v>
      </c>
      <c r="CS242" s="61">
        <f t="shared" si="177"/>
        <v>0</v>
      </c>
      <c r="CT242" s="61">
        <f t="shared" si="178"/>
        <v>0</v>
      </c>
      <c r="CV242" s="61">
        <f t="shared" si="179"/>
        <v>0</v>
      </c>
      <c r="CW242" s="61">
        <f t="shared" si="207"/>
        <v>0</v>
      </c>
      <c r="CX242" s="61"/>
      <c r="CY242" s="61">
        <f t="shared" si="208"/>
        <v>0</v>
      </c>
      <c r="CZ242" s="61">
        <f t="shared" si="163"/>
        <v>0</v>
      </c>
      <c r="DA242" s="61">
        <f t="shared" si="163"/>
        <v>0</v>
      </c>
      <c r="DB242" s="2" t="s">
        <v>102</v>
      </c>
      <c r="DC242" s="2" t="s">
        <v>102</v>
      </c>
      <c r="DD242" s="2" t="s">
        <v>142</v>
      </c>
      <c r="DE242" s="2" t="s">
        <v>181</v>
      </c>
      <c r="DF242" s="3" t="s">
        <v>86</v>
      </c>
      <c r="DG242" s="62">
        <v>42824</v>
      </c>
      <c r="EC242" s="60" t="str">
        <f>VLOOKUP($M242,[1]Detail!$M:$BO,1,0)</f>
        <v>JD81-7M125-BA</v>
      </c>
      <c r="ED242" s="60">
        <f>VLOOKUP($M242,[1]Detail!$M:$BO,22,0)</f>
        <v>-22.715000000000003</v>
      </c>
      <c r="EE242" s="60">
        <f>VLOOKUP($M242,[1]Detail!$M:$BO,42,0)</f>
        <v>-176500</v>
      </c>
      <c r="EF242" s="60">
        <f>VLOOKUP($M242,[1]Detail!$M:$BO,45,0)</f>
        <v>0</v>
      </c>
      <c r="EH242" s="60">
        <f t="shared" si="209"/>
        <v>0</v>
      </c>
      <c r="EI242" s="60">
        <f t="shared" si="210"/>
        <v>0</v>
      </c>
      <c r="EJ242" s="60">
        <f t="shared" si="211"/>
        <v>0</v>
      </c>
    </row>
    <row r="243" spans="2:140" ht="12.75" hidden="1" customHeight="1">
      <c r="B243" s="93" t="s">
        <v>624</v>
      </c>
      <c r="C243" s="22" t="s">
        <v>625</v>
      </c>
      <c r="D243" s="22" t="s">
        <v>626</v>
      </c>
      <c r="E243" s="2" t="str">
        <f>VLOOKUP($C243,[1]Detail!$C:$AK,6,0)</f>
        <v>PMT4</v>
      </c>
      <c r="F243" s="2" t="str">
        <f>VLOOKUP($C243,[1]Detail!$C:$AK,7,0)</f>
        <v>PF</v>
      </c>
      <c r="G243" s="2" t="str">
        <f>VLOOKUP($C243,[1]Detail!$C:$AK,5,0)</f>
        <v>D</v>
      </c>
      <c r="J243" s="22" t="s">
        <v>585</v>
      </c>
      <c r="K243" s="23" t="s">
        <v>627</v>
      </c>
      <c r="L243" s="22" t="s">
        <v>113</v>
      </c>
      <c r="M243" s="51" t="str">
        <f t="shared" ref="M243:M297" si="212">TRIM(J243)&amp;"-"&amp;TRIM(K243)&amp;"-"&amp;TRIM(L243)</f>
        <v>JD81-7M125-CA</v>
      </c>
      <c r="O243" s="22">
        <v>0</v>
      </c>
      <c r="P243" s="22">
        <v>1</v>
      </c>
      <c r="Q243" s="22">
        <v>0</v>
      </c>
      <c r="R243" s="22">
        <v>1</v>
      </c>
      <c r="S243" s="22">
        <v>0</v>
      </c>
      <c r="T243" s="22">
        <v>0</v>
      </c>
      <c r="U243" s="22">
        <v>1</v>
      </c>
      <c r="V243" s="22">
        <v>0</v>
      </c>
      <c r="W243" s="64">
        <f t="shared" ref="W243:W297" si="213">SUMPRODUCT(O243:V243,$O$6:$V$6)</f>
        <v>0.44</v>
      </c>
      <c r="Y243" s="8">
        <v>-21.32</v>
      </c>
      <c r="Z243" s="8">
        <v>-0.4</v>
      </c>
      <c r="AA243" s="8">
        <v>-0.95</v>
      </c>
      <c r="AB243" s="8">
        <v>0</v>
      </c>
      <c r="AC243" s="8">
        <v>0</v>
      </c>
      <c r="AD243" s="8">
        <f t="shared" si="205"/>
        <v>-22.669999999999998</v>
      </c>
      <c r="AE243" s="2" t="s">
        <v>91</v>
      </c>
      <c r="AG243" s="8">
        <v>-176500</v>
      </c>
      <c r="AH243" s="8">
        <v>-176500</v>
      </c>
      <c r="AI243" s="6"/>
      <c r="AJ243" s="71">
        <v>0</v>
      </c>
      <c r="AK243" s="71">
        <v>0</v>
      </c>
      <c r="AL243" s="72"/>
      <c r="AM243" s="22"/>
      <c r="AO243" s="22" t="s">
        <v>585</v>
      </c>
      <c r="AP243" s="23" t="s">
        <v>627</v>
      </c>
      <c r="AQ243" s="22" t="s">
        <v>113</v>
      </c>
      <c r="AR243" s="51" t="str">
        <f t="shared" si="201"/>
        <v>JD81-7M125-CA</v>
      </c>
      <c r="AS243" s="3"/>
      <c r="AT243" s="22">
        <v>0</v>
      </c>
      <c r="AU243" s="22">
        <v>1</v>
      </c>
      <c r="AV243" s="22">
        <v>0</v>
      </c>
      <c r="AW243" s="22">
        <v>1</v>
      </c>
      <c r="AX243" s="22">
        <v>0</v>
      </c>
      <c r="AY243" s="22">
        <v>0</v>
      </c>
      <c r="AZ243" s="22">
        <v>1</v>
      </c>
      <c r="BA243" s="22">
        <v>0</v>
      </c>
      <c r="BB243" s="64">
        <f t="shared" si="202"/>
        <v>0.44</v>
      </c>
      <c r="BD243" s="60">
        <v>-21.32</v>
      </c>
      <c r="BE243" s="60">
        <v>-0.4</v>
      </c>
      <c r="BF243" s="60">
        <v>-0.95</v>
      </c>
      <c r="BG243" s="60">
        <v>0</v>
      </c>
      <c r="BH243" s="60">
        <v>0</v>
      </c>
      <c r="BI243" s="8">
        <f t="shared" si="206"/>
        <v>-22.669999999999998</v>
      </c>
      <c r="BJ243" s="2" t="s">
        <v>91</v>
      </c>
      <c r="BL243" s="70">
        <v>-176500</v>
      </c>
      <c r="BM243" s="70">
        <v>-176500</v>
      </c>
      <c r="BO243" s="71">
        <v>0</v>
      </c>
      <c r="BP243" s="71">
        <v>0</v>
      </c>
      <c r="BQ243" s="72"/>
      <c r="BS243" s="61">
        <f t="shared" ref="BS243:BS306" si="214">SUM(Y243)-SUM(BD243)</f>
        <v>0</v>
      </c>
      <c r="BT243" s="61">
        <f t="shared" ref="BT243:BT306" si="215">SUM(Z243)-SUM(BE243)</f>
        <v>0</v>
      </c>
      <c r="BU243" s="61">
        <f t="shared" ref="BU243:BX306" si="216">SUM(AA243)-SUM(BF243)</f>
        <v>0</v>
      </c>
      <c r="BV243" s="61">
        <f t="shared" si="216"/>
        <v>0</v>
      </c>
      <c r="BW243" s="61">
        <f t="shared" si="216"/>
        <v>0</v>
      </c>
      <c r="BX243" s="61">
        <f t="shared" si="216"/>
        <v>0</v>
      </c>
      <c r="BY243" s="61" t="s">
        <v>91</v>
      </c>
      <c r="CA243" s="61">
        <f t="shared" si="191"/>
        <v>0</v>
      </c>
      <c r="CB243" s="61">
        <f t="shared" si="191"/>
        <v>0</v>
      </c>
      <c r="CC243" s="61">
        <f t="shared" si="191"/>
        <v>0</v>
      </c>
      <c r="CD243" s="61">
        <f t="shared" si="189"/>
        <v>0</v>
      </c>
      <c r="CE243" s="61">
        <f t="shared" si="189"/>
        <v>0</v>
      </c>
      <c r="CF243" s="61">
        <f t="shared" si="189"/>
        <v>0</v>
      </c>
      <c r="CG243" s="61">
        <f t="shared" si="189"/>
        <v>0</v>
      </c>
      <c r="CH243" s="61">
        <f t="shared" si="189"/>
        <v>0</v>
      </c>
      <c r="CI243" s="61">
        <f t="shared" si="176"/>
        <v>0</v>
      </c>
      <c r="CJ243" s="61"/>
      <c r="CK243" s="61">
        <f t="shared" si="192"/>
        <v>0</v>
      </c>
      <c r="CL243" s="61">
        <f t="shared" si="192"/>
        <v>0</v>
      </c>
      <c r="CM243" s="61">
        <f t="shared" si="192"/>
        <v>0</v>
      </c>
      <c r="CN243" s="61">
        <f t="shared" si="190"/>
        <v>0</v>
      </c>
      <c r="CO243" s="61">
        <f t="shared" si="190"/>
        <v>0</v>
      </c>
      <c r="CP243" s="61">
        <f t="shared" si="190"/>
        <v>0</v>
      </c>
      <c r="CQ243" s="61">
        <f t="shared" si="190"/>
        <v>0</v>
      </c>
      <c r="CR243" s="61">
        <f t="shared" si="190"/>
        <v>0</v>
      </c>
      <c r="CS243" s="61">
        <f t="shared" si="177"/>
        <v>0</v>
      </c>
      <c r="CT243" s="61">
        <f t="shared" si="178"/>
        <v>0</v>
      </c>
      <c r="CV243" s="61">
        <f t="shared" si="179"/>
        <v>0</v>
      </c>
      <c r="CW243" s="61">
        <f t="shared" si="207"/>
        <v>0</v>
      </c>
      <c r="CX243" s="61"/>
      <c r="CY243" s="61">
        <f t="shared" si="208"/>
        <v>0</v>
      </c>
      <c r="CZ243" s="61">
        <f t="shared" si="163"/>
        <v>0</v>
      </c>
      <c r="DA243" s="61">
        <f t="shared" si="163"/>
        <v>0</v>
      </c>
      <c r="DB243" s="2" t="s">
        <v>102</v>
      </c>
      <c r="DC243" s="2" t="s">
        <v>102</v>
      </c>
      <c r="DD243" s="2" t="s">
        <v>142</v>
      </c>
      <c r="DE243" s="2" t="s">
        <v>181</v>
      </c>
      <c r="DF243" s="3" t="s">
        <v>86</v>
      </c>
      <c r="DG243" s="62">
        <v>42824</v>
      </c>
      <c r="EC243" s="60" t="str">
        <f>VLOOKUP($M243,[1]Detail!$M:$BO,1,0)</f>
        <v>JD81-7M125-CA</v>
      </c>
      <c r="ED243" s="60">
        <f>VLOOKUP($M243,[1]Detail!$M:$BO,22,0)</f>
        <v>-22.669999999999998</v>
      </c>
      <c r="EE243" s="60">
        <f>VLOOKUP($M243,[1]Detail!$M:$BO,42,0)</f>
        <v>-176500</v>
      </c>
      <c r="EF243" s="60">
        <f>VLOOKUP($M243,[1]Detail!$M:$BO,45,0)</f>
        <v>0</v>
      </c>
      <c r="EH243" s="60">
        <f t="shared" si="209"/>
        <v>0</v>
      </c>
      <c r="EI243" s="60">
        <f t="shared" si="210"/>
        <v>0</v>
      </c>
      <c r="EJ243" s="60">
        <f t="shared" si="211"/>
        <v>0</v>
      </c>
    </row>
    <row r="244" spans="2:140" ht="12.75" hidden="1" customHeight="1">
      <c r="B244" s="93" t="s">
        <v>624</v>
      </c>
      <c r="C244" s="22" t="s">
        <v>625</v>
      </c>
      <c r="D244" s="22" t="s">
        <v>626</v>
      </c>
      <c r="E244" s="2" t="str">
        <f>VLOOKUP($C244,[1]Detail!$C:$AK,6,0)</f>
        <v>PMT4</v>
      </c>
      <c r="F244" s="2" t="str">
        <f>VLOOKUP($C244,[1]Detail!$C:$AK,7,0)</f>
        <v>PF</v>
      </c>
      <c r="G244" s="2" t="str">
        <f>VLOOKUP($C244,[1]Detail!$C:$AK,5,0)</f>
        <v>D</v>
      </c>
      <c r="J244" s="22" t="s">
        <v>585</v>
      </c>
      <c r="K244" s="23" t="s">
        <v>627</v>
      </c>
      <c r="L244" s="22" t="s">
        <v>115</v>
      </c>
      <c r="M244" s="51" t="str">
        <f t="shared" si="212"/>
        <v>JD81-7M125-DA</v>
      </c>
      <c r="O244" s="22">
        <v>0</v>
      </c>
      <c r="P244" s="22">
        <v>0</v>
      </c>
      <c r="Q244" s="22">
        <v>0</v>
      </c>
      <c r="R244" s="22">
        <v>0</v>
      </c>
      <c r="S244" s="22">
        <v>1</v>
      </c>
      <c r="T244" s="22">
        <v>0</v>
      </c>
      <c r="U244" s="22">
        <v>0</v>
      </c>
      <c r="V244" s="22">
        <v>0</v>
      </c>
      <c r="W244" s="64">
        <f t="shared" si="213"/>
        <v>0.09</v>
      </c>
      <c r="Y244" s="8">
        <v>-19.399999999999999</v>
      </c>
      <c r="Z244" s="8">
        <v>-0.4</v>
      </c>
      <c r="AA244" s="8">
        <v>-0.78</v>
      </c>
      <c r="AB244" s="8">
        <v>0</v>
      </c>
      <c r="AC244" s="8">
        <v>0</v>
      </c>
      <c r="AD244" s="8">
        <f t="shared" si="205"/>
        <v>-20.58</v>
      </c>
      <c r="AE244" s="2" t="s">
        <v>91</v>
      </c>
      <c r="AG244" s="8">
        <v>-176500</v>
      </c>
      <c r="AH244" s="8">
        <v>-176500</v>
      </c>
      <c r="AI244" s="6"/>
      <c r="AJ244" s="71">
        <v>0</v>
      </c>
      <c r="AK244" s="71">
        <v>0</v>
      </c>
      <c r="AL244" s="72"/>
      <c r="AM244" s="22"/>
      <c r="AO244" s="22" t="s">
        <v>585</v>
      </c>
      <c r="AP244" s="23" t="s">
        <v>627</v>
      </c>
      <c r="AQ244" s="22" t="s">
        <v>115</v>
      </c>
      <c r="AR244" s="51" t="str">
        <f t="shared" si="201"/>
        <v>JD81-7M125-DA</v>
      </c>
      <c r="AS244" s="3"/>
      <c r="AT244" s="22">
        <v>0</v>
      </c>
      <c r="AU244" s="22">
        <v>0</v>
      </c>
      <c r="AV244" s="22">
        <v>0</v>
      </c>
      <c r="AW244" s="22">
        <v>0</v>
      </c>
      <c r="AX244" s="22">
        <v>1</v>
      </c>
      <c r="AY244" s="22">
        <v>0</v>
      </c>
      <c r="AZ244" s="22">
        <v>0</v>
      </c>
      <c r="BA244" s="22">
        <v>0</v>
      </c>
      <c r="BB244" s="64">
        <f t="shared" si="202"/>
        <v>0.09</v>
      </c>
      <c r="BD244" s="60">
        <v>-19.399999999999999</v>
      </c>
      <c r="BE244" s="60">
        <v>-0.4</v>
      </c>
      <c r="BF244" s="60">
        <v>-0.78</v>
      </c>
      <c r="BG244" s="60">
        <v>0</v>
      </c>
      <c r="BH244" s="60">
        <v>0</v>
      </c>
      <c r="BI244" s="8">
        <f t="shared" si="206"/>
        <v>-20.58</v>
      </c>
      <c r="BJ244" s="2" t="s">
        <v>91</v>
      </c>
      <c r="BL244" s="70">
        <v>-176500</v>
      </c>
      <c r="BM244" s="70">
        <v>-176500</v>
      </c>
      <c r="BO244" s="71">
        <v>0</v>
      </c>
      <c r="BP244" s="71">
        <v>0</v>
      </c>
      <c r="BQ244" s="72"/>
      <c r="BS244" s="61">
        <f t="shared" si="214"/>
        <v>0</v>
      </c>
      <c r="BT244" s="61">
        <f t="shared" si="215"/>
        <v>0</v>
      </c>
      <c r="BU244" s="61">
        <f t="shared" si="216"/>
        <v>0</v>
      </c>
      <c r="BV244" s="61">
        <f t="shared" si="216"/>
        <v>0</v>
      </c>
      <c r="BW244" s="61">
        <f t="shared" si="216"/>
        <v>0</v>
      </c>
      <c r="BX244" s="61">
        <f t="shared" si="216"/>
        <v>0</v>
      </c>
      <c r="BY244" s="61" t="s">
        <v>91</v>
      </c>
      <c r="CA244" s="61">
        <f t="shared" si="191"/>
        <v>0</v>
      </c>
      <c r="CB244" s="61">
        <f t="shared" si="191"/>
        <v>0</v>
      </c>
      <c r="CC244" s="61">
        <f t="shared" si="191"/>
        <v>0</v>
      </c>
      <c r="CD244" s="61">
        <f t="shared" si="189"/>
        <v>0</v>
      </c>
      <c r="CE244" s="61">
        <f t="shared" si="189"/>
        <v>0</v>
      </c>
      <c r="CF244" s="61">
        <f t="shared" si="189"/>
        <v>0</v>
      </c>
      <c r="CG244" s="61">
        <f t="shared" si="189"/>
        <v>0</v>
      </c>
      <c r="CH244" s="61">
        <f t="shared" si="189"/>
        <v>0</v>
      </c>
      <c r="CI244" s="61">
        <f t="shared" si="176"/>
        <v>0</v>
      </c>
      <c r="CJ244" s="61"/>
      <c r="CK244" s="61">
        <f t="shared" si="192"/>
        <v>0</v>
      </c>
      <c r="CL244" s="61">
        <f t="shared" si="192"/>
        <v>0</v>
      </c>
      <c r="CM244" s="61">
        <f t="shared" si="192"/>
        <v>0</v>
      </c>
      <c r="CN244" s="61">
        <f t="shared" si="190"/>
        <v>0</v>
      </c>
      <c r="CO244" s="61">
        <f t="shared" si="190"/>
        <v>0</v>
      </c>
      <c r="CP244" s="61">
        <f t="shared" si="190"/>
        <v>0</v>
      </c>
      <c r="CQ244" s="61">
        <f t="shared" si="190"/>
        <v>0</v>
      </c>
      <c r="CR244" s="61">
        <f t="shared" si="190"/>
        <v>0</v>
      </c>
      <c r="CS244" s="61">
        <f t="shared" si="177"/>
        <v>0</v>
      </c>
      <c r="CT244" s="61">
        <f t="shared" si="178"/>
        <v>0</v>
      </c>
      <c r="CV244" s="61">
        <f t="shared" si="179"/>
        <v>0</v>
      </c>
      <c r="CW244" s="61">
        <f t="shared" si="207"/>
        <v>0</v>
      </c>
      <c r="CX244" s="61"/>
      <c r="CY244" s="61">
        <f t="shared" si="208"/>
        <v>0</v>
      </c>
      <c r="CZ244" s="61">
        <f t="shared" si="163"/>
        <v>0</v>
      </c>
      <c r="DA244" s="61">
        <f t="shared" si="163"/>
        <v>0</v>
      </c>
      <c r="DB244" s="2" t="s">
        <v>102</v>
      </c>
      <c r="DC244" s="2" t="s">
        <v>102</v>
      </c>
      <c r="DD244" s="2" t="s">
        <v>142</v>
      </c>
      <c r="DE244" s="2" t="s">
        <v>181</v>
      </c>
      <c r="DF244" s="3" t="s">
        <v>86</v>
      </c>
      <c r="DG244" s="62">
        <v>42824</v>
      </c>
      <c r="EC244" s="60" t="str">
        <f>VLOOKUP($M244,[1]Detail!$M:$BO,1,0)</f>
        <v>JD81-7M125-DA</v>
      </c>
      <c r="ED244" s="60">
        <f>VLOOKUP($M244,[1]Detail!$M:$BO,22,0)</f>
        <v>-20.58</v>
      </c>
      <c r="EE244" s="60">
        <f>VLOOKUP($M244,[1]Detail!$M:$BO,42,0)</f>
        <v>-176500</v>
      </c>
      <c r="EF244" s="60">
        <f>VLOOKUP($M244,[1]Detail!$M:$BO,45,0)</f>
        <v>0</v>
      </c>
      <c r="EH244" s="60">
        <f t="shared" si="209"/>
        <v>0</v>
      </c>
      <c r="EI244" s="60">
        <f t="shared" si="210"/>
        <v>0</v>
      </c>
      <c r="EJ244" s="60">
        <f t="shared" si="211"/>
        <v>0</v>
      </c>
    </row>
    <row r="245" spans="2:140" ht="12.75" hidden="1" customHeight="1">
      <c r="B245" s="93" t="s">
        <v>624</v>
      </c>
      <c r="C245" s="22" t="s">
        <v>625</v>
      </c>
      <c r="D245" s="22" t="s">
        <v>626</v>
      </c>
      <c r="E245" s="2" t="str">
        <f>VLOOKUP($C245,[1]Detail!$C:$AK,6,0)</f>
        <v>PMT4</v>
      </c>
      <c r="F245" s="2" t="str">
        <f>VLOOKUP($C245,[1]Detail!$C:$AK,7,0)</f>
        <v>PF</v>
      </c>
      <c r="G245" s="2" t="str">
        <f>VLOOKUP($C245,[1]Detail!$C:$AK,5,0)</f>
        <v>D</v>
      </c>
      <c r="J245" s="22" t="s">
        <v>585</v>
      </c>
      <c r="K245" s="23" t="s">
        <v>628</v>
      </c>
      <c r="L245" s="22" t="s">
        <v>100</v>
      </c>
      <c r="M245" s="51" t="str">
        <f t="shared" si="212"/>
        <v>JD81-7P247-AA</v>
      </c>
      <c r="O245" s="22">
        <v>0</v>
      </c>
      <c r="P245" s="22">
        <v>0</v>
      </c>
      <c r="Q245" s="22">
        <v>0</v>
      </c>
      <c r="R245" s="22">
        <v>0</v>
      </c>
      <c r="S245" s="22">
        <v>1</v>
      </c>
      <c r="T245" s="22">
        <v>0</v>
      </c>
      <c r="U245" s="22">
        <v>0</v>
      </c>
      <c r="V245" s="22">
        <v>0</v>
      </c>
      <c r="W245" s="64">
        <f t="shared" si="213"/>
        <v>0.09</v>
      </c>
      <c r="Y245" s="8">
        <v>-19.940000000000001</v>
      </c>
      <c r="Z245" s="8">
        <v>-0.4</v>
      </c>
      <c r="AA245" s="8">
        <v>-0.86</v>
      </c>
      <c r="AB245" s="8">
        <v>0</v>
      </c>
      <c r="AC245" s="8">
        <v>0</v>
      </c>
      <c r="AD245" s="8">
        <f t="shared" si="205"/>
        <v>-21.2</v>
      </c>
      <c r="AE245" s="2" t="s">
        <v>91</v>
      </c>
      <c r="AG245" s="8">
        <v>-195700</v>
      </c>
      <c r="AH245" s="8">
        <v>-195700</v>
      </c>
      <c r="AI245" s="6"/>
      <c r="AJ245" s="71">
        <v>0</v>
      </c>
      <c r="AK245" s="71">
        <v>0</v>
      </c>
      <c r="AL245" s="72"/>
      <c r="AM245" s="22"/>
      <c r="AO245" s="22" t="s">
        <v>585</v>
      </c>
      <c r="AP245" s="23" t="s">
        <v>628</v>
      </c>
      <c r="AQ245" s="22" t="s">
        <v>100</v>
      </c>
      <c r="AR245" s="51" t="str">
        <f t="shared" si="201"/>
        <v>JD81-7P247-AA</v>
      </c>
      <c r="AS245" s="3"/>
      <c r="AT245" s="22">
        <v>0</v>
      </c>
      <c r="AU245" s="22">
        <v>0</v>
      </c>
      <c r="AV245" s="22">
        <v>0</v>
      </c>
      <c r="AW245" s="22">
        <v>0</v>
      </c>
      <c r="AX245" s="22">
        <v>1</v>
      </c>
      <c r="AY245" s="22">
        <v>0</v>
      </c>
      <c r="AZ245" s="22">
        <v>0</v>
      </c>
      <c r="BA245" s="22">
        <v>0</v>
      </c>
      <c r="BB245" s="64">
        <f t="shared" si="202"/>
        <v>0.09</v>
      </c>
      <c r="BD245" s="60">
        <v>-19.940000000000001</v>
      </c>
      <c r="BE245" s="60">
        <v>-0.4</v>
      </c>
      <c r="BF245" s="60">
        <v>-0.86</v>
      </c>
      <c r="BG245" s="60">
        <v>0</v>
      </c>
      <c r="BH245" s="60">
        <v>0</v>
      </c>
      <c r="BI245" s="8">
        <f t="shared" si="206"/>
        <v>-21.2</v>
      </c>
      <c r="BJ245" s="2" t="s">
        <v>91</v>
      </c>
      <c r="BL245" s="70">
        <v>-195700</v>
      </c>
      <c r="BM245" s="70">
        <v>-195700</v>
      </c>
      <c r="BO245" s="71">
        <v>0</v>
      </c>
      <c r="BP245" s="71">
        <v>0</v>
      </c>
      <c r="BQ245" s="72"/>
      <c r="BS245" s="61">
        <f t="shared" si="214"/>
        <v>0</v>
      </c>
      <c r="BT245" s="61">
        <f t="shared" si="215"/>
        <v>0</v>
      </c>
      <c r="BU245" s="61">
        <f t="shared" si="216"/>
        <v>0</v>
      </c>
      <c r="BV245" s="61">
        <f t="shared" si="216"/>
        <v>0</v>
      </c>
      <c r="BW245" s="61">
        <f t="shared" si="216"/>
        <v>0</v>
      </c>
      <c r="BX245" s="61">
        <f t="shared" si="216"/>
        <v>0</v>
      </c>
      <c r="BY245" s="61" t="s">
        <v>91</v>
      </c>
      <c r="CA245" s="61">
        <f t="shared" si="191"/>
        <v>0</v>
      </c>
      <c r="CB245" s="61">
        <f t="shared" si="191"/>
        <v>0</v>
      </c>
      <c r="CC245" s="61">
        <f t="shared" si="191"/>
        <v>0</v>
      </c>
      <c r="CD245" s="61">
        <f t="shared" si="189"/>
        <v>0</v>
      </c>
      <c r="CE245" s="61">
        <f t="shared" si="189"/>
        <v>0</v>
      </c>
      <c r="CF245" s="61">
        <f t="shared" si="189"/>
        <v>0</v>
      </c>
      <c r="CG245" s="61">
        <f t="shared" si="189"/>
        <v>0</v>
      </c>
      <c r="CH245" s="61">
        <f t="shared" si="189"/>
        <v>0</v>
      </c>
      <c r="CI245" s="61">
        <f t="shared" si="176"/>
        <v>0</v>
      </c>
      <c r="CJ245" s="61"/>
      <c r="CK245" s="61">
        <f t="shared" si="192"/>
        <v>0</v>
      </c>
      <c r="CL245" s="61">
        <f t="shared" si="192"/>
        <v>0</v>
      </c>
      <c r="CM245" s="61">
        <f t="shared" si="192"/>
        <v>0</v>
      </c>
      <c r="CN245" s="61">
        <f t="shared" si="190"/>
        <v>0</v>
      </c>
      <c r="CO245" s="61">
        <f t="shared" si="190"/>
        <v>0</v>
      </c>
      <c r="CP245" s="61">
        <f t="shared" si="190"/>
        <v>0</v>
      </c>
      <c r="CQ245" s="61">
        <f t="shared" si="190"/>
        <v>0</v>
      </c>
      <c r="CR245" s="61">
        <f t="shared" si="190"/>
        <v>0</v>
      </c>
      <c r="CS245" s="61">
        <f t="shared" si="177"/>
        <v>0</v>
      </c>
      <c r="CT245" s="61">
        <f t="shared" si="178"/>
        <v>0</v>
      </c>
      <c r="CV245" s="61">
        <f t="shared" si="179"/>
        <v>0</v>
      </c>
      <c r="CW245" s="61">
        <f t="shared" si="207"/>
        <v>0</v>
      </c>
      <c r="CX245" s="61"/>
      <c r="CY245" s="61">
        <f t="shared" si="208"/>
        <v>0</v>
      </c>
      <c r="CZ245" s="61">
        <f t="shared" si="163"/>
        <v>0</v>
      </c>
      <c r="DA245" s="61">
        <f t="shared" si="163"/>
        <v>0</v>
      </c>
      <c r="DB245" s="2" t="s">
        <v>102</v>
      </c>
      <c r="DC245" s="2" t="s">
        <v>102</v>
      </c>
      <c r="DD245" s="2" t="s">
        <v>142</v>
      </c>
      <c r="DE245" s="2" t="s">
        <v>181</v>
      </c>
      <c r="DF245" s="3" t="s">
        <v>86</v>
      </c>
      <c r="DG245" s="62">
        <v>42824</v>
      </c>
      <c r="EC245" s="60" t="str">
        <f>VLOOKUP($M245,[1]Detail!$M:$BO,1,0)</f>
        <v>JD81-7P247-AA</v>
      </c>
      <c r="ED245" s="60">
        <f>VLOOKUP($M245,[1]Detail!$M:$BO,22,0)</f>
        <v>-21.2</v>
      </c>
      <c r="EE245" s="60">
        <f>VLOOKUP($M245,[1]Detail!$M:$BO,42,0)</f>
        <v>-195700</v>
      </c>
      <c r="EF245" s="60">
        <f>VLOOKUP($M245,[1]Detail!$M:$BO,45,0)</f>
        <v>0</v>
      </c>
      <c r="EH245" s="60">
        <f t="shared" si="209"/>
        <v>0</v>
      </c>
      <c r="EI245" s="60">
        <f t="shared" si="210"/>
        <v>0</v>
      </c>
      <c r="EJ245" s="60">
        <f t="shared" si="211"/>
        <v>0</v>
      </c>
    </row>
    <row r="246" spans="2:140" ht="12.75" hidden="1" customHeight="1">
      <c r="B246" s="93" t="s">
        <v>624</v>
      </c>
      <c r="C246" s="22" t="s">
        <v>625</v>
      </c>
      <c r="D246" s="22" t="s">
        <v>626</v>
      </c>
      <c r="E246" s="2" t="str">
        <f>VLOOKUP($C246,[1]Detail!$C:$AK,6,0)</f>
        <v>PMT4</v>
      </c>
      <c r="F246" s="2" t="str">
        <f>VLOOKUP($C246,[1]Detail!$C:$AK,7,0)</f>
        <v>PF</v>
      </c>
      <c r="G246" s="2" t="str">
        <f>VLOOKUP($C246,[1]Detail!$C:$AK,5,0)</f>
        <v>D</v>
      </c>
      <c r="J246" s="22" t="s">
        <v>585</v>
      </c>
      <c r="K246" s="23" t="s">
        <v>627</v>
      </c>
      <c r="L246" s="22" t="s">
        <v>100</v>
      </c>
      <c r="M246" s="51" t="str">
        <f t="shared" si="212"/>
        <v>JD81-7M125-AA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1</v>
      </c>
      <c r="U246" s="22">
        <v>0</v>
      </c>
      <c r="V246" s="22">
        <v>1</v>
      </c>
      <c r="W246" s="64">
        <f t="shared" si="213"/>
        <v>0.19</v>
      </c>
      <c r="Y246" s="8">
        <v>-21.06</v>
      </c>
      <c r="Z246" s="8">
        <v>-0.4</v>
      </c>
      <c r="AA246" s="8">
        <v>-0.93500000000000005</v>
      </c>
      <c r="AB246" s="8">
        <v>0</v>
      </c>
      <c r="AC246" s="8">
        <v>0</v>
      </c>
      <c r="AD246" s="8">
        <f t="shared" si="205"/>
        <v>-22.394999999999996</v>
      </c>
      <c r="AE246" s="2" t="s">
        <v>91</v>
      </c>
      <c r="AG246" s="8">
        <v>-176500</v>
      </c>
      <c r="AH246" s="8">
        <v>-176500</v>
      </c>
      <c r="AI246" s="6"/>
      <c r="AJ246" s="71">
        <v>0</v>
      </c>
      <c r="AK246" s="71">
        <v>0</v>
      </c>
      <c r="AL246" s="72"/>
      <c r="AM246" s="22"/>
      <c r="AO246" s="22" t="s">
        <v>585</v>
      </c>
      <c r="AP246" s="23" t="s">
        <v>627</v>
      </c>
      <c r="AQ246" s="22" t="s">
        <v>100</v>
      </c>
      <c r="AR246" s="51" t="str">
        <f t="shared" si="201"/>
        <v>JD81-7M125-AA</v>
      </c>
      <c r="AS246" s="3"/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1</v>
      </c>
      <c r="AZ246" s="22">
        <v>0</v>
      </c>
      <c r="BA246" s="22">
        <v>1</v>
      </c>
      <c r="BB246" s="64">
        <f t="shared" si="202"/>
        <v>0.19</v>
      </c>
      <c r="BD246" s="60">
        <v>-21.06</v>
      </c>
      <c r="BE246" s="60">
        <v>-0.4</v>
      </c>
      <c r="BF246" s="60">
        <v>-0.93500000000000005</v>
      </c>
      <c r="BG246" s="60">
        <v>0</v>
      </c>
      <c r="BH246" s="60">
        <v>0</v>
      </c>
      <c r="BI246" s="8">
        <f t="shared" si="206"/>
        <v>-22.394999999999996</v>
      </c>
      <c r="BJ246" s="2" t="s">
        <v>91</v>
      </c>
      <c r="BL246" s="70">
        <v>-176500</v>
      </c>
      <c r="BM246" s="70">
        <v>-176500</v>
      </c>
      <c r="BO246" s="71">
        <v>0</v>
      </c>
      <c r="BP246" s="71">
        <v>0</v>
      </c>
      <c r="BQ246" s="72"/>
      <c r="BS246" s="61">
        <f t="shared" si="214"/>
        <v>0</v>
      </c>
      <c r="BT246" s="61">
        <f t="shared" si="215"/>
        <v>0</v>
      </c>
      <c r="BU246" s="61">
        <f t="shared" si="216"/>
        <v>0</v>
      </c>
      <c r="BV246" s="61">
        <f t="shared" si="216"/>
        <v>0</v>
      </c>
      <c r="BW246" s="61">
        <f t="shared" si="216"/>
        <v>0</v>
      </c>
      <c r="BX246" s="61">
        <f t="shared" si="216"/>
        <v>0</v>
      </c>
      <c r="BY246" s="61" t="s">
        <v>91</v>
      </c>
      <c r="CA246" s="61">
        <f t="shared" si="191"/>
        <v>0</v>
      </c>
      <c r="CB246" s="61">
        <f t="shared" si="191"/>
        <v>0</v>
      </c>
      <c r="CC246" s="61">
        <f t="shared" si="191"/>
        <v>0</v>
      </c>
      <c r="CD246" s="61">
        <f t="shared" si="189"/>
        <v>0</v>
      </c>
      <c r="CE246" s="61">
        <f t="shared" si="189"/>
        <v>0</v>
      </c>
      <c r="CF246" s="61">
        <f t="shared" si="189"/>
        <v>0</v>
      </c>
      <c r="CG246" s="61">
        <f t="shared" si="189"/>
        <v>0</v>
      </c>
      <c r="CH246" s="61">
        <f t="shared" si="189"/>
        <v>0</v>
      </c>
      <c r="CI246" s="61">
        <f t="shared" si="176"/>
        <v>0</v>
      </c>
      <c r="CJ246" s="61"/>
      <c r="CK246" s="61">
        <f t="shared" si="192"/>
        <v>0</v>
      </c>
      <c r="CL246" s="61">
        <f t="shared" si="192"/>
        <v>0</v>
      </c>
      <c r="CM246" s="61">
        <f t="shared" si="192"/>
        <v>0</v>
      </c>
      <c r="CN246" s="61">
        <f t="shared" si="190"/>
        <v>0</v>
      </c>
      <c r="CO246" s="61">
        <f t="shared" si="190"/>
        <v>0</v>
      </c>
      <c r="CP246" s="61">
        <f t="shared" si="190"/>
        <v>0</v>
      </c>
      <c r="CQ246" s="61">
        <f t="shared" si="190"/>
        <v>0</v>
      </c>
      <c r="CR246" s="61">
        <f t="shared" si="190"/>
        <v>0</v>
      </c>
      <c r="CS246" s="61">
        <f t="shared" si="177"/>
        <v>0</v>
      </c>
      <c r="CT246" s="61">
        <f t="shared" si="178"/>
        <v>0</v>
      </c>
      <c r="CV246" s="61">
        <f t="shared" si="179"/>
        <v>0</v>
      </c>
      <c r="CW246" s="61">
        <f t="shared" si="207"/>
        <v>0</v>
      </c>
      <c r="CX246" s="61"/>
      <c r="CY246" s="61">
        <f t="shared" si="208"/>
        <v>0</v>
      </c>
      <c r="CZ246" s="61">
        <f t="shared" si="163"/>
        <v>0</v>
      </c>
      <c r="DA246" s="61">
        <f t="shared" si="163"/>
        <v>0</v>
      </c>
      <c r="DB246" s="2" t="s">
        <v>102</v>
      </c>
      <c r="DC246" s="2" t="s">
        <v>102</v>
      </c>
      <c r="DD246" s="2" t="s">
        <v>142</v>
      </c>
      <c r="DE246" s="2" t="s">
        <v>181</v>
      </c>
      <c r="DF246" s="3" t="s">
        <v>86</v>
      </c>
      <c r="DG246" s="62">
        <v>42824</v>
      </c>
      <c r="EC246" s="60" t="str">
        <f>VLOOKUP($M246,[1]Detail!$M:$BO,1,0)</f>
        <v>JD81-7M125-AA</v>
      </c>
      <c r="ED246" s="60">
        <f>VLOOKUP($M246,[1]Detail!$M:$BO,22,0)</f>
        <v>-22.394999999999996</v>
      </c>
      <c r="EE246" s="60">
        <f>VLOOKUP($M246,[1]Detail!$M:$BO,42,0)</f>
        <v>-176500</v>
      </c>
      <c r="EF246" s="60">
        <f>VLOOKUP($M246,[1]Detail!$M:$BO,45,0)</f>
        <v>0</v>
      </c>
      <c r="EH246" s="60">
        <f t="shared" si="209"/>
        <v>0</v>
      </c>
      <c r="EI246" s="60">
        <f t="shared" si="210"/>
        <v>0</v>
      </c>
      <c r="EJ246" s="60">
        <f t="shared" si="211"/>
        <v>0</v>
      </c>
    </row>
    <row r="247" spans="2:140" ht="12.75" hidden="1" customHeight="1">
      <c r="B247" s="93" t="s">
        <v>629</v>
      </c>
      <c r="C247" s="22" t="s">
        <v>630</v>
      </c>
      <c r="D247" s="22" t="s">
        <v>631</v>
      </c>
      <c r="E247" s="2" t="str">
        <f>VLOOKUP($C247,[1]Detail!$C:$AK,6,0)</f>
        <v>PMT1</v>
      </c>
      <c r="F247" s="2" t="str">
        <f>VLOOKUP($C247,[1]Detail!$C:$AK,7,0)</f>
        <v>TH</v>
      </c>
      <c r="G247" s="2" t="str">
        <f>VLOOKUP($C247,[1]Detail!$C:$AK,5,0)</f>
        <v>B</v>
      </c>
      <c r="J247" s="22" t="s">
        <v>126</v>
      </c>
      <c r="K247" s="23" t="s">
        <v>632</v>
      </c>
      <c r="L247" s="22" t="s">
        <v>100</v>
      </c>
      <c r="M247" s="51" t="str">
        <f t="shared" si="212"/>
        <v>JD8B-13A602-AA</v>
      </c>
      <c r="O247" s="22">
        <v>1</v>
      </c>
      <c r="P247" s="22">
        <v>1</v>
      </c>
      <c r="Q247" s="22">
        <v>1</v>
      </c>
      <c r="R247" s="22">
        <v>1</v>
      </c>
      <c r="S247" s="22">
        <v>1</v>
      </c>
      <c r="T247" s="22">
        <v>1</v>
      </c>
      <c r="U247" s="22">
        <v>1</v>
      </c>
      <c r="V247" s="22">
        <v>1</v>
      </c>
      <c r="W247" s="64">
        <f t="shared" si="213"/>
        <v>1</v>
      </c>
      <c r="Y247" s="8">
        <f>-82.01*0-83.67</f>
        <v>-83.67</v>
      </c>
      <c r="Z247" s="8">
        <v>-1.04</v>
      </c>
      <c r="AA247" s="8">
        <v>-1.32</v>
      </c>
      <c r="AB247" s="8">
        <v>0</v>
      </c>
      <c r="AC247" s="8">
        <v>-1.8</v>
      </c>
      <c r="AD247" s="8">
        <f t="shared" si="205"/>
        <v>-87.83</v>
      </c>
      <c r="AE247" s="2" t="s">
        <v>91</v>
      </c>
      <c r="AG247" s="8">
        <v>-5250000</v>
      </c>
      <c r="AH247" s="8">
        <v>-5250000</v>
      </c>
      <c r="AI247" s="6"/>
      <c r="AJ247" s="71">
        <v>-2066772</v>
      </c>
      <c r="AK247" s="71">
        <f>574899*2</f>
        <v>1149798</v>
      </c>
      <c r="AL247" s="72"/>
      <c r="AM247" s="22"/>
      <c r="AO247" s="22" t="s">
        <v>126</v>
      </c>
      <c r="AP247" s="23" t="s">
        <v>632</v>
      </c>
      <c r="AQ247" s="22" t="s">
        <v>100</v>
      </c>
      <c r="AR247" s="51" t="str">
        <f t="shared" si="201"/>
        <v>JD8B-13A602-AA</v>
      </c>
      <c r="AS247" s="3"/>
      <c r="AT247" s="22">
        <v>1</v>
      </c>
      <c r="AU247" s="22">
        <v>1</v>
      </c>
      <c r="AV247" s="22">
        <v>1</v>
      </c>
      <c r="AW247" s="22">
        <v>1</v>
      </c>
      <c r="AX247" s="22">
        <v>1</v>
      </c>
      <c r="AY247" s="22">
        <v>1</v>
      </c>
      <c r="AZ247" s="22">
        <v>1</v>
      </c>
      <c r="BA247" s="22">
        <v>1</v>
      </c>
      <c r="BB247" s="64">
        <f t="shared" si="202"/>
        <v>1</v>
      </c>
      <c r="BD247" s="60">
        <v>-82.01</v>
      </c>
      <c r="BE247" s="60">
        <v>-1.04</v>
      </c>
      <c r="BF247" s="60">
        <v>-1.32</v>
      </c>
      <c r="BG247" s="60">
        <v>0</v>
      </c>
      <c r="BH247" s="60">
        <v>-1.8</v>
      </c>
      <c r="BI247" s="8">
        <f t="shared" si="206"/>
        <v>-86.17</v>
      </c>
      <c r="BJ247" s="2" t="s">
        <v>91</v>
      </c>
      <c r="BL247" s="70">
        <v>-5250000</v>
      </c>
      <c r="BM247" s="70">
        <v>-5250000</v>
      </c>
      <c r="BO247" s="71">
        <v>-2066772</v>
      </c>
      <c r="BP247" s="71">
        <f>574899*2</f>
        <v>1149798</v>
      </c>
      <c r="BQ247" s="72"/>
      <c r="BS247" s="61">
        <f t="shared" si="214"/>
        <v>-1.6599999999999966</v>
      </c>
      <c r="BT247" s="61">
        <f t="shared" si="215"/>
        <v>0</v>
      </c>
      <c r="BU247" s="61">
        <f t="shared" si="216"/>
        <v>0</v>
      </c>
      <c r="BV247" s="61">
        <f t="shared" si="216"/>
        <v>0</v>
      </c>
      <c r="BW247" s="61">
        <f t="shared" si="216"/>
        <v>0</v>
      </c>
      <c r="BX247" s="61">
        <f t="shared" si="216"/>
        <v>-1.6599999999999966</v>
      </c>
      <c r="BY247" s="61" t="s">
        <v>91</v>
      </c>
      <c r="CA247" s="61">
        <f t="shared" si="191"/>
        <v>-0.24973672333383429</v>
      </c>
      <c r="CB247" s="61">
        <f t="shared" si="191"/>
        <v>-0.24973672333383429</v>
      </c>
      <c r="CC247" s="61">
        <f t="shared" si="191"/>
        <v>-0.24973672333383429</v>
      </c>
      <c r="CD247" s="61">
        <f t="shared" si="189"/>
        <v>-0.24973672333383429</v>
      </c>
      <c r="CE247" s="61">
        <f t="shared" si="189"/>
        <v>-0.24973672333383429</v>
      </c>
      <c r="CF247" s="61">
        <f t="shared" si="189"/>
        <v>-0.24973672333383429</v>
      </c>
      <c r="CG247" s="61">
        <f t="shared" si="189"/>
        <v>-0.24973672333383429</v>
      </c>
      <c r="CH247" s="61">
        <f t="shared" si="189"/>
        <v>-0.24973672333383429</v>
      </c>
      <c r="CI247" s="61">
        <f t="shared" si="176"/>
        <v>-0.24973672333383429</v>
      </c>
      <c r="CJ247" s="61"/>
      <c r="CK247" s="61">
        <f t="shared" si="192"/>
        <v>-0.24973672333383429</v>
      </c>
      <c r="CL247" s="61">
        <f t="shared" si="192"/>
        <v>-0.24973672333383429</v>
      </c>
      <c r="CM247" s="61">
        <f t="shared" si="192"/>
        <v>-0.24973672333383429</v>
      </c>
      <c r="CN247" s="61">
        <f t="shared" si="190"/>
        <v>-0.24973672333383429</v>
      </c>
      <c r="CO247" s="61">
        <f t="shared" si="190"/>
        <v>-0.24973672333383429</v>
      </c>
      <c r="CP247" s="61">
        <f t="shared" si="190"/>
        <v>-0.24973672333383429</v>
      </c>
      <c r="CQ247" s="61">
        <f t="shared" si="190"/>
        <v>-0.24973672333383429</v>
      </c>
      <c r="CR247" s="61">
        <f t="shared" si="190"/>
        <v>-0.24973672333383429</v>
      </c>
      <c r="CS247" s="61">
        <f t="shared" si="177"/>
        <v>-0.24973672333383429</v>
      </c>
      <c r="CT247" s="61">
        <f t="shared" si="178"/>
        <v>-1.6599999999999966</v>
      </c>
      <c r="CV247" s="61">
        <f t="shared" si="179"/>
        <v>0</v>
      </c>
      <c r="CW247" s="61">
        <f t="shared" si="207"/>
        <v>0</v>
      </c>
      <c r="CX247" s="61"/>
      <c r="CY247" s="61">
        <f t="shared" si="208"/>
        <v>0</v>
      </c>
      <c r="CZ247" s="61">
        <f t="shared" si="163"/>
        <v>0</v>
      </c>
      <c r="DA247" s="61">
        <f t="shared" si="163"/>
        <v>0</v>
      </c>
      <c r="DB247" s="2" t="s">
        <v>85</v>
      </c>
      <c r="DC247" s="2" t="s">
        <v>102</v>
      </c>
      <c r="DD247" s="2" t="s">
        <v>142</v>
      </c>
      <c r="DE247" s="2" t="s">
        <v>181</v>
      </c>
      <c r="DF247" s="3" t="s">
        <v>86</v>
      </c>
      <c r="DG247" s="62">
        <v>42796</v>
      </c>
      <c r="EC247" s="60"/>
      <c r="ED247" s="60"/>
      <c r="EE247" s="60"/>
      <c r="EF247" s="60"/>
    </row>
    <row r="248" spans="2:140" ht="12.75" hidden="1" customHeight="1">
      <c r="B248" s="93" t="s">
        <v>629</v>
      </c>
      <c r="C248" s="22" t="s">
        <v>630</v>
      </c>
      <c r="D248" s="22" t="s">
        <v>631</v>
      </c>
      <c r="E248" s="2" t="str">
        <f>VLOOKUP($C248,[1]Detail!$C:$AK,6,0)</f>
        <v>PMT1</v>
      </c>
      <c r="F248" s="2" t="str">
        <f>VLOOKUP($C248,[1]Detail!$C:$AK,7,0)</f>
        <v>TH</v>
      </c>
      <c r="G248" s="2" t="str">
        <f>VLOOKUP($C248,[1]Detail!$C:$AK,5,0)</f>
        <v>B</v>
      </c>
      <c r="J248" s="22" t="s">
        <v>126</v>
      </c>
      <c r="K248" s="23" t="s">
        <v>633</v>
      </c>
      <c r="L248" s="22" t="s">
        <v>100</v>
      </c>
      <c r="M248" s="51" t="str">
        <f t="shared" si="212"/>
        <v>JD8B-13A603-AA</v>
      </c>
      <c r="O248" s="22">
        <v>1</v>
      </c>
      <c r="P248" s="22">
        <v>1</v>
      </c>
      <c r="Q248" s="22">
        <v>1</v>
      </c>
      <c r="R248" s="22">
        <v>1</v>
      </c>
      <c r="S248" s="22">
        <v>1</v>
      </c>
      <c r="T248" s="22">
        <v>1</v>
      </c>
      <c r="U248" s="22">
        <v>1</v>
      </c>
      <c r="V248" s="22">
        <v>1</v>
      </c>
      <c r="W248" s="64">
        <f t="shared" si="213"/>
        <v>1</v>
      </c>
      <c r="Y248" s="8">
        <f>-82.01*0-83.67</f>
        <v>-83.67</v>
      </c>
      <c r="Z248" s="8">
        <v>-1.04</v>
      </c>
      <c r="AA248" s="8">
        <v>-1.32</v>
      </c>
      <c r="AB248" s="8">
        <v>0</v>
      </c>
      <c r="AC248" s="8">
        <v>-1.8</v>
      </c>
      <c r="AD248" s="8">
        <f t="shared" si="205"/>
        <v>-87.83</v>
      </c>
      <c r="AE248" s="2" t="s">
        <v>91</v>
      </c>
      <c r="AG248" s="8">
        <v>0</v>
      </c>
      <c r="AH248" s="8">
        <v>0</v>
      </c>
      <c r="AJ248" s="71" t="s">
        <v>634</v>
      </c>
      <c r="AK248" s="71"/>
      <c r="AL248" s="72"/>
      <c r="AM248" s="22"/>
      <c r="AO248" s="22" t="s">
        <v>126</v>
      </c>
      <c r="AP248" s="23" t="s">
        <v>633</v>
      </c>
      <c r="AQ248" s="22" t="s">
        <v>100</v>
      </c>
      <c r="AR248" s="51" t="str">
        <f t="shared" si="201"/>
        <v>JD8B-13A603-AA</v>
      </c>
      <c r="AS248" s="3"/>
      <c r="AT248" s="22">
        <v>1</v>
      </c>
      <c r="AU248" s="22">
        <v>1</v>
      </c>
      <c r="AV248" s="22">
        <v>1</v>
      </c>
      <c r="AW248" s="22">
        <v>1</v>
      </c>
      <c r="AX248" s="22">
        <v>1</v>
      </c>
      <c r="AY248" s="22">
        <v>1</v>
      </c>
      <c r="AZ248" s="22">
        <v>1</v>
      </c>
      <c r="BA248" s="22">
        <v>1</v>
      </c>
      <c r="BB248" s="64">
        <f t="shared" si="202"/>
        <v>1</v>
      </c>
      <c r="BD248" s="60">
        <v>-82.01</v>
      </c>
      <c r="BE248" s="60">
        <v>-1.04</v>
      </c>
      <c r="BF248" s="60">
        <v>-1.32</v>
      </c>
      <c r="BG248" s="60">
        <v>0</v>
      </c>
      <c r="BH248" s="60">
        <v>-1.8</v>
      </c>
      <c r="BI248" s="8">
        <f t="shared" si="206"/>
        <v>-86.17</v>
      </c>
      <c r="BJ248" s="2" t="s">
        <v>91</v>
      </c>
      <c r="BL248" s="70">
        <v>0</v>
      </c>
      <c r="BM248" s="70">
        <v>0</v>
      </c>
      <c r="BO248" s="71" t="s">
        <v>634</v>
      </c>
      <c r="BP248" s="71"/>
      <c r="BQ248" s="72"/>
      <c r="BS248" s="61">
        <f t="shared" si="214"/>
        <v>-1.6599999999999966</v>
      </c>
      <c r="BT248" s="61">
        <f t="shared" si="215"/>
        <v>0</v>
      </c>
      <c r="BU248" s="61">
        <f t="shared" si="216"/>
        <v>0</v>
      </c>
      <c r="BV248" s="61">
        <f t="shared" si="216"/>
        <v>0</v>
      </c>
      <c r="BW248" s="61">
        <f t="shared" si="216"/>
        <v>0</v>
      </c>
      <c r="BX248" s="61">
        <f t="shared" si="216"/>
        <v>-1.6599999999999966</v>
      </c>
      <c r="BY248" s="61" t="s">
        <v>91</v>
      </c>
      <c r="CA248" s="61">
        <f t="shared" si="191"/>
        <v>-0.24973672333383429</v>
      </c>
      <c r="CB248" s="61">
        <f t="shared" si="191"/>
        <v>-0.24973672333383429</v>
      </c>
      <c r="CC248" s="61">
        <f t="shared" si="191"/>
        <v>-0.24973672333383429</v>
      </c>
      <c r="CD248" s="61">
        <f t="shared" si="189"/>
        <v>-0.24973672333383429</v>
      </c>
      <c r="CE248" s="61">
        <f t="shared" si="189"/>
        <v>-0.24973672333383429</v>
      </c>
      <c r="CF248" s="61">
        <f t="shared" si="189"/>
        <v>-0.24973672333383429</v>
      </c>
      <c r="CG248" s="61">
        <f t="shared" si="189"/>
        <v>-0.24973672333383429</v>
      </c>
      <c r="CH248" s="61">
        <f t="shared" si="189"/>
        <v>-0.24973672333383429</v>
      </c>
      <c r="CI248" s="61">
        <f t="shared" si="176"/>
        <v>-0.24973672333383429</v>
      </c>
      <c r="CJ248" s="61"/>
      <c r="CK248" s="61">
        <f t="shared" si="192"/>
        <v>-0.24973672333383429</v>
      </c>
      <c r="CL248" s="61">
        <f t="shared" si="192"/>
        <v>-0.24973672333383429</v>
      </c>
      <c r="CM248" s="61">
        <f t="shared" si="192"/>
        <v>-0.24973672333383429</v>
      </c>
      <c r="CN248" s="61">
        <f t="shared" si="190"/>
        <v>-0.24973672333383429</v>
      </c>
      <c r="CO248" s="61">
        <f t="shared" si="190"/>
        <v>-0.24973672333383429</v>
      </c>
      <c r="CP248" s="61">
        <f t="shared" si="190"/>
        <v>-0.24973672333383429</v>
      </c>
      <c r="CQ248" s="61">
        <f t="shared" si="190"/>
        <v>-0.24973672333383429</v>
      </c>
      <c r="CR248" s="61">
        <f t="shared" si="190"/>
        <v>-0.24973672333383429</v>
      </c>
      <c r="CS248" s="61">
        <f t="shared" si="177"/>
        <v>-0.24973672333383429</v>
      </c>
      <c r="CT248" s="61">
        <f t="shared" si="178"/>
        <v>-1.6599999999999966</v>
      </c>
      <c r="CV248" s="61">
        <f t="shared" si="179"/>
        <v>0</v>
      </c>
      <c r="CW248" s="61">
        <f t="shared" si="207"/>
        <v>0</v>
      </c>
      <c r="CX248" s="61"/>
      <c r="CY248" s="61">
        <f t="shared" si="208"/>
        <v>0</v>
      </c>
      <c r="CZ248" s="61">
        <f t="shared" si="163"/>
        <v>0</v>
      </c>
      <c r="DA248" s="61">
        <f t="shared" si="163"/>
        <v>0</v>
      </c>
      <c r="DB248" s="2" t="s">
        <v>85</v>
      </c>
      <c r="DC248" s="2" t="s">
        <v>102</v>
      </c>
      <c r="DD248" s="2" t="s">
        <v>142</v>
      </c>
      <c r="DE248" s="2" t="s">
        <v>181</v>
      </c>
      <c r="DF248" s="3" t="s">
        <v>86</v>
      </c>
      <c r="DG248" s="62">
        <v>42796</v>
      </c>
      <c r="EC248" s="60"/>
      <c r="ED248" s="60"/>
      <c r="EE248" s="60"/>
      <c r="EF248" s="60"/>
    </row>
    <row r="249" spans="2:140" ht="12.75" hidden="1" customHeight="1">
      <c r="B249" s="93" t="s">
        <v>629</v>
      </c>
      <c r="C249" s="22" t="s">
        <v>630</v>
      </c>
      <c r="D249" s="22" t="s">
        <v>631</v>
      </c>
      <c r="E249" s="2" t="str">
        <f>VLOOKUP($C249,[1]Detail!$C:$AK,6,0)</f>
        <v>PMT1</v>
      </c>
      <c r="F249" s="2" t="str">
        <f>VLOOKUP($C249,[1]Detail!$C:$AK,7,0)</f>
        <v>TH</v>
      </c>
      <c r="G249" s="2" t="str">
        <f>VLOOKUP($C249,[1]Detail!$C:$AK,5,0)</f>
        <v>B</v>
      </c>
      <c r="J249" s="22" t="s">
        <v>126</v>
      </c>
      <c r="K249" s="23" t="s">
        <v>635</v>
      </c>
      <c r="L249" s="22" t="s">
        <v>100</v>
      </c>
      <c r="M249" s="51" t="str">
        <f t="shared" si="212"/>
        <v>JD8B-13B414-AA</v>
      </c>
      <c r="O249" s="22">
        <v>1</v>
      </c>
      <c r="P249" s="22">
        <v>1</v>
      </c>
      <c r="Q249" s="22">
        <v>1</v>
      </c>
      <c r="R249" s="22">
        <v>1</v>
      </c>
      <c r="S249" s="22">
        <v>1</v>
      </c>
      <c r="T249" s="22">
        <v>1</v>
      </c>
      <c r="U249" s="22">
        <v>1</v>
      </c>
      <c r="V249" s="22">
        <v>1</v>
      </c>
      <c r="W249" s="64">
        <f t="shared" si="213"/>
        <v>1</v>
      </c>
      <c r="Y249" s="8">
        <f>-14.46*0-13.84</f>
        <v>-13.84</v>
      </c>
      <c r="Z249" s="8">
        <v>-1.88</v>
      </c>
      <c r="AA249" s="8">
        <v>-0.22</v>
      </c>
      <c r="AB249" s="8">
        <v>0</v>
      </c>
      <c r="AC249" s="8">
        <v>0</v>
      </c>
      <c r="AD249" s="8">
        <f t="shared" si="205"/>
        <v>-15.94</v>
      </c>
      <c r="AE249" s="2" t="s">
        <v>91</v>
      </c>
      <c r="AG249" s="8">
        <v>-2180000</v>
      </c>
      <c r="AH249" s="8">
        <v>-2180000</v>
      </c>
      <c r="AI249" s="6"/>
      <c r="AJ249" s="71">
        <v>0</v>
      </c>
      <c r="AK249" s="71">
        <v>0</v>
      </c>
      <c r="AL249" s="72"/>
      <c r="AM249" s="22"/>
      <c r="AO249" s="22" t="s">
        <v>126</v>
      </c>
      <c r="AP249" s="23" t="s">
        <v>635</v>
      </c>
      <c r="AQ249" s="22" t="s">
        <v>100</v>
      </c>
      <c r="AR249" s="51" t="str">
        <f t="shared" si="201"/>
        <v>JD8B-13B414-AA</v>
      </c>
      <c r="AS249" s="3"/>
      <c r="AT249" s="22">
        <v>1</v>
      </c>
      <c r="AU249" s="22">
        <v>1</v>
      </c>
      <c r="AV249" s="22">
        <v>1</v>
      </c>
      <c r="AW249" s="22">
        <v>1</v>
      </c>
      <c r="AX249" s="22">
        <v>1</v>
      </c>
      <c r="AY249" s="22">
        <v>1</v>
      </c>
      <c r="AZ249" s="22">
        <v>1</v>
      </c>
      <c r="BA249" s="22">
        <v>1</v>
      </c>
      <c r="BB249" s="64">
        <f t="shared" si="202"/>
        <v>1</v>
      </c>
      <c r="BD249" s="60">
        <v>-14.46</v>
      </c>
      <c r="BE249" s="60">
        <v>-1.88</v>
      </c>
      <c r="BF249" s="60">
        <v>-0.22</v>
      </c>
      <c r="BG249" s="60">
        <v>0</v>
      </c>
      <c r="BH249" s="60">
        <v>0</v>
      </c>
      <c r="BI249" s="8">
        <f t="shared" si="206"/>
        <v>-16.559999999999999</v>
      </c>
      <c r="BJ249" s="2" t="s">
        <v>91</v>
      </c>
      <c r="BL249" s="70">
        <v>-2180000</v>
      </c>
      <c r="BM249" s="70">
        <v>-2180000</v>
      </c>
      <c r="BO249" s="71">
        <v>0</v>
      </c>
      <c r="BP249" s="71">
        <v>0</v>
      </c>
      <c r="BQ249" s="72"/>
      <c r="BS249" s="61">
        <f t="shared" si="214"/>
        <v>0.62000000000000099</v>
      </c>
      <c r="BT249" s="61">
        <f t="shared" si="215"/>
        <v>0</v>
      </c>
      <c r="BU249" s="61">
        <f t="shared" si="216"/>
        <v>0</v>
      </c>
      <c r="BV249" s="61">
        <f t="shared" si="216"/>
        <v>0</v>
      </c>
      <c r="BW249" s="61">
        <f t="shared" si="216"/>
        <v>0</v>
      </c>
      <c r="BX249" s="61">
        <f t="shared" si="216"/>
        <v>0.61999999999999922</v>
      </c>
      <c r="BY249" s="61" t="s">
        <v>91</v>
      </c>
      <c r="CA249" s="61">
        <f t="shared" si="191"/>
        <v>9.3275161727095074E-2</v>
      </c>
      <c r="CB249" s="61">
        <f t="shared" si="191"/>
        <v>9.3275161727095074E-2</v>
      </c>
      <c r="CC249" s="61">
        <f t="shared" si="191"/>
        <v>9.3275161727095074E-2</v>
      </c>
      <c r="CD249" s="61">
        <f t="shared" si="189"/>
        <v>9.3275161727095074E-2</v>
      </c>
      <c r="CE249" s="61">
        <f t="shared" si="189"/>
        <v>9.3275161727095074E-2</v>
      </c>
      <c r="CF249" s="61">
        <f t="shared" si="189"/>
        <v>9.3275161727095074E-2</v>
      </c>
      <c r="CG249" s="61">
        <f t="shared" si="189"/>
        <v>9.3275161727095074E-2</v>
      </c>
      <c r="CH249" s="61">
        <f t="shared" si="189"/>
        <v>9.3275161727095074E-2</v>
      </c>
      <c r="CI249" s="61">
        <f t="shared" si="176"/>
        <v>9.3275161727095074E-2</v>
      </c>
      <c r="CJ249" s="61"/>
      <c r="CK249" s="61">
        <f t="shared" si="192"/>
        <v>9.327516172709481E-2</v>
      </c>
      <c r="CL249" s="61">
        <f t="shared" si="192"/>
        <v>9.327516172709481E-2</v>
      </c>
      <c r="CM249" s="61">
        <f t="shared" si="192"/>
        <v>9.327516172709481E-2</v>
      </c>
      <c r="CN249" s="61">
        <f t="shared" si="190"/>
        <v>9.327516172709481E-2</v>
      </c>
      <c r="CO249" s="61">
        <f t="shared" si="190"/>
        <v>9.327516172709481E-2</v>
      </c>
      <c r="CP249" s="61">
        <f t="shared" si="190"/>
        <v>9.327516172709481E-2</v>
      </c>
      <c r="CQ249" s="61">
        <f t="shared" si="190"/>
        <v>9.327516172709481E-2</v>
      </c>
      <c r="CR249" s="61">
        <f t="shared" si="190"/>
        <v>9.327516172709481E-2</v>
      </c>
      <c r="CS249" s="61">
        <f t="shared" si="177"/>
        <v>9.3275161727094824E-2</v>
      </c>
      <c r="CT249" s="61">
        <f t="shared" si="178"/>
        <v>0.61999999999999933</v>
      </c>
      <c r="CV249" s="61">
        <f t="shared" si="179"/>
        <v>0</v>
      </c>
      <c r="CW249" s="61">
        <f t="shared" si="207"/>
        <v>0</v>
      </c>
      <c r="CX249" s="61"/>
      <c r="CY249" s="61">
        <f t="shared" si="208"/>
        <v>0</v>
      </c>
      <c r="CZ249" s="61">
        <f t="shared" si="163"/>
        <v>0</v>
      </c>
      <c r="DA249" s="61">
        <f t="shared" si="163"/>
        <v>0</v>
      </c>
      <c r="DB249" s="2" t="s">
        <v>85</v>
      </c>
      <c r="DC249" s="2" t="s">
        <v>102</v>
      </c>
      <c r="DD249" s="2" t="s">
        <v>142</v>
      </c>
      <c r="DE249" s="2" t="s">
        <v>181</v>
      </c>
      <c r="DF249" s="3" t="s">
        <v>86</v>
      </c>
      <c r="DG249" s="62">
        <v>42796</v>
      </c>
      <c r="EC249" s="60"/>
      <c r="ED249" s="60"/>
      <c r="EE249" s="60"/>
      <c r="EF249" s="60"/>
    </row>
    <row r="250" spans="2:140" ht="12.75" hidden="1" customHeight="1">
      <c r="B250" s="93" t="s">
        <v>636</v>
      </c>
      <c r="C250" s="22" t="s">
        <v>630</v>
      </c>
      <c r="D250" s="22" t="s">
        <v>631</v>
      </c>
      <c r="E250" s="2" t="str">
        <f>VLOOKUP($C250,[1]Detail!$C:$AK,6,0)</f>
        <v>PMT1</v>
      </c>
      <c r="F250" s="2" t="str">
        <f>VLOOKUP($C250,[1]Detail!$C:$AK,7,0)</f>
        <v>TH</v>
      </c>
      <c r="G250" s="2" t="str">
        <f>VLOOKUP($C250,[1]Detail!$C:$AK,5,0)</f>
        <v>B</v>
      </c>
      <c r="J250" s="22" t="s">
        <v>126</v>
      </c>
      <c r="K250" s="23" t="s">
        <v>635</v>
      </c>
      <c r="L250" s="22" t="s">
        <v>132</v>
      </c>
      <c r="M250" s="51" t="str">
        <f t="shared" si="212"/>
        <v>JD8B-13B414-AB</v>
      </c>
      <c r="O250" s="22">
        <v>1</v>
      </c>
      <c r="P250" s="22">
        <v>1</v>
      </c>
      <c r="Q250" s="22">
        <v>1</v>
      </c>
      <c r="R250" s="22">
        <v>1</v>
      </c>
      <c r="S250" s="22">
        <v>1</v>
      </c>
      <c r="T250" s="22">
        <v>1</v>
      </c>
      <c r="U250" s="22">
        <v>1</v>
      </c>
      <c r="V250" s="22">
        <v>1</v>
      </c>
      <c r="W250" s="64">
        <f t="shared" si="213"/>
        <v>1</v>
      </c>
      <c r="Y250" s="8">
        <f>-14.46*0-13.84</f>
        <v>-13.84</v>
      </c>
      <c r="Z250" s="8">
        <v>-1.88</v>
      </c>
      <c r="AA250" s="8">
        <v>-0.22</v>
      </c>
      <c r="AB250" s="8">
        <v>0</v>
      </c>
      <c r="AC250" s="8">
        <v>0</v>
      </c>
      <c r="AD250" s="8">
        <f t="shared" si="205"/>
        <v>-15.94</v>
      </c>
      <c r="AE250" s="2" t="s">
        <v>91</v>
      </c>
      <c r="AG250" s="8">
        <f>-2180000-40000</f>
        <v>-2220000</v>
      </c>
      <c r="AH250" s="8">
        <f>-2180000-40000</f>
        <v>-2220000</v>
      </c>
      <c r="AI250" s="6"/>
      <c r="AJ250" s="71">
        <v>0</v>
      </c>
      <c r="AK250" s="71">
        <v>0</v>
      </c>
      <c r="AL250" s="72"/>
      <c r="AM250" s="22"/>
      <c r="AO250" s="22" t="s">
        <v>126</v>
      </c>
      <c r="AP250" s="23" t="s">
        <v>635</v>
      </c>
      <c r="AQ250" s="22" t="s">
        <v>100</v>
      </c>
      <c r="AR250" s="51" t="str">
        <f t="shared" si="201"/>
        <v>JD8B-13B414-AA</v>
      </c>
      <c r="AS250" s="3"/>
      <c r="AT250" s="22">
        <v>1</v>
      </c>
      <c r="AU250" s="22">
        <v>1</v>
      </c>
      <c r="AV250" s="22">
        <v>1</v>
      </c>
      <c r="AW250" s="22">
        <v>1</v>
      </c>
      <c r="AX250" s="22">
        <v>1</v>
      </c>
      <c r="AY250" s="22">
        <v>1</v>
      </c>
      <c r="AZ250" s="22">
        <v>1</v>
      </c>
      <c r="BA250" s="22">
        <v>1</v>
      </c>
      <c r="BB250" s="64">
        <f t="shared" si="202"/>
        <v>1</v>
      </c>
      <c r="BD250" s="8">
        <f>-14.46*0-13.84</f>
        <v>-13.84</v>
      </c>
      <c r="BE250" s="8">
        <v>-1.88</v>
      </c>
      <c r="BF250" s="8">
        <v>-0.22</v>
      </c>
      <c r="BG250" s="60">
        <v>0</v>
      </c>
      <c r="BH250" s="60">
        <v>0</v>
      </c>
      <c r="BI250" s="8">
        <f t="shared" ref="BI250" si="217">SUM(BD250:BH250)</f>
        <v>-15.94</v>
      </c>
      <c r="BJ250" s="2" t="s">
        <v>91</v>
      </c>
      <c r="BL250" s="70">
        <v>-2180000</v>
      </c>
      <c r="BM250" s="70">
        <v>-2180000</v>
      </c>
      <c r="BO250" s="71">
        <v>0</v>
      </c>
      <c r="BP250" s="71">
        <v>0</v>
      </c>
      <c r="BQ250" s="72"/>
      <c r="BS250" s="61">
        <f t="shared" si="214"/>
        <v>0</v>
      </c>
      <c r="BT250" s="61">
        <f t="shared" si="215"/>
        <v>0</v>
      </c>
      <c r="BU250" s="61">
        <f t="shared" si="216"/>
        <v>0</v>
      </c>
      <c r="BV250" s="61">
        <f t="shared" si="216"/>
        <v>0</v>
      </c>
      <c r="BW250" s="61">
        <f t="shared" si="216"/>
        <v>0</v>
      </c>
      <c r="BX250" s="61">
        <f t="shared" si="216"/>
        <v>0</v>
      </c>
      <c r="BY250" s="61" t="s">
        <v>91</v>
      </c>
      <c r="CA250" s="61">
        <f t="shared" si="191"/>
        <v>0</v>
      </c>
      <c r="CB250" s="61">
        <f t="shared" si="191"/>
        <v>0</v>
      </c>
      <c r="CC250" s="61">
        <f t="shared" si="191"/>
        <v>0</v>
      </c>
      <c r="CD250" s="61">
        <f t="shared" si="189"/>
        <v>0</v>
      </c>
      <c r="CE250" s="61">
        <f t="shared" si="189"/>
        <v>0</v>
      </c>
      <c r="CF250" s="61">
        <f t="shared" si="189"/>
        <v>0</v>
      </c>
      <c r="CG250" s="61">
        <f t="shared" si="189"/>
        <v>0</v>
      </c>
      <c r="CH250" s="61">
        <f t="shared" si="189"/>
        <v>0</v>
      </c>
      <c r="CI250" s="61">
        <f t="shared" si="176"/>
        <v>0</v>
      </c>
      <c r="CJ250" s="61"/>
      <c r="CK250" s="61">
        <f t="shared" si="192"/>
        <v>0</v>
      </c>
      <c r="CL250" s="61">
        <f t="shared" si="192"/>
        <v>0</v>
      </c>
      <c r="CM250" s="61">
        <f t="shared" si="192"/>
        <v>0</v>
      </c>
      <c r="CN250" s="61">
        <f t="shared" si="190"/>
        <v>0</v>
      </c>
      <c r="CO250" s="61">
        <f t="shared" si="190"/>
        <v>0</v>
      </c>
      <c r="CP250" s="61">
        <f t="shared" si="190"/>
        <v>0</v>
      </c>
      <c r="CQ250" s="61">
        <f t="shared" si="190"/>
        <v>0</v>
      </c>
      <c r="CR250" s="61">
        <f t="shared" si="190"/>
        <v>0</v>
      </c>
      <c r="CS250" s="61">
        <f t="shared" si="177"/>
        <v>0</v>
      </c>
      <c r="CT250" s="61">
        <f t="shared" si="178"/>
        <v>0</v>
      </c>
      <c r="CV250" s="61">
        <f t="shared" si="179"/>
        <v>-40000</v>
      </c>
      <c r="CW250" s="61">
        <f t="shared" ref="CW250" si="218">SUM(AH250)-SUM(BM250)</f>
        <v>-40000</v>
      </c>
      <c r="CX250" s="61"/>
      <c r="CY250" s="61">
        <f t="shared" ref="CY250" si="219">SUM(AJ250)-SUM(BO250)</f>
        <v>0</v>
      </c>
      <c r="CZ250" s="61">
        <f t="shared" si="163"/>
        <v>0</v>
      </c>
      <c r="DA250" s="61">
        <f t="shared" si="163"/>
        <v>0</v>
      </c>
      <c r="DB250" s="2" t="s">
        <v>86</v>
      </c>
      <c r="DC250" s="2" t="s">
        <v>85</v>
      </c>
      <c r="DD250" s="2" t="s">
        <v>142</v>
      </c>
      <c r="DE250" s="2" t="s">
        <v>106</v>
      </c>
      <c r="DF250" s="3" t="s">
        <v>86</v>
      </c>
      <c r="DG250" s="62">
        <v>43097</v>
      </c>
      <c r="EC250" s="60" t="str">
        <f>VLOOKUP($M250,[1]Detail!$M:$BO,1,0)</f>
        <v>JD8B-13B414-AB</v>
      </c>
      <c r="ED250" s="60">
        <f>VLOOKUP($M250,[1]Detail!$M:$BO,22,0)</f>
        <v>-16.04</v>
      </c>
      <c r="EE250" s="60">
        <f>VLOOKUP($M250,[1]Detail!$M:$BO,42,0)</f>
        <v>-2180000</v>
      </c>
      <c r="EF250" s="60">
        <f>VLOOKUP($M250,[1]Detail!$M:$BO,45,0)</f>
        <v>0</v>
      </c>
      <c r="EH250" s="60">
        <f>ED250-AD250</f>
        <v>-9.9999999999999645E-2</v>
      </c>
      <c r="EI250" s="60">
        <f>EE250-AG250</f>
        <v>40000</v>
      </c>
      <c r="EJ250" s="60">
        <f>EF250-AJ250</f>
        <v>0</v>
      </c>
    </row>
    <row r="251" spans="2:140" ht="12.75" hidden="1" customHeight="1">
      <c r="B251" s="93" t="s">
        <v>629</v>
      </c>
      <c r="C251" s="22" t="s">
        <v>630</v>
      </c>
      <c r="D251" s="22" t="s">
        <v>631</v>
      </c>
      <c r="E251" s="2" t="str">
        <f>VLOOKUP($C251,[1]Detail!$C:$AK,6,0)</f>
        <v>PMT1</v>
      </c>
      <c r="F251" s="2" t="str">
        <f>VLOOKUP($C251,[1]Detail!$C:$AK,7,0)</f>
        <v>TH</v>
      </c>
      <c r="G251" s="2" t="str">
        <f>VLOOKUP($C251,[1]Detail!$C:$AK,5,0)</f>
        <v>B</v>
      </c>
      <c r="J251" s="22" t="s">
        <v>126</v>
      </c>
      <c r="K251" s="23" t="s">
        <v>637</v>
      </c>
      <c r="L251" s="22" t="s">
        <v>100</v>
      </c>
      <c r="M251" s="51" t="str">
        <f t="shared" si="212"/>
        <v>JD8B-13B415-AA</v>
      </c>
      <c r="O251" s="22">
        <v>1</v>
      </c>
      <c r="P251" s="22">
        <v>1</v>
      </c>
      <c r="Q251" s="22">
        <v>1</v>
      </c>
      <c r="R251" s="22">
        <v>1</v>
      </c>
      <c r="S251" s="22">
        <v>1</v>
      </c>
      <c r="T251" s="22">
        <v>1</v>
      </c>
      <c r="U251" s="22">
        <v>1</v>
      </c>
      <c r="V251" s="22">
        <v>1</v>
      </c>
      <c r="W251" s="64">
        <f t="shared" si="213"/>
        <v>1</v>
      </c>
      <c r="Y251" s="8">
        <f>-28.75*0-25.58</f>
        <v>-25.58</v>
      </c>
      <c r="Z251" s="8">
        <v>-1.88</v>
      </c>
      <c r="AA251" s="8">
        <v>-0.22</v>
      </c>
      <c r="AB251" s="8">
        <v>0</v>
      </c>
      <c r="AC251" s="8">
        <v>0</v>
      </c>
      <c r="AD251" s="8">
        <f t="shared" si="205"/>
        <v>-27.679999999999996</v>
      </c>
      <c r="AE251" s="2" t="s">
        <v>91</v>
      </c>
      <c r="AG251" s="8">
        <v>-1480000</v>
      </c>
      <c r="AH251" s="8">
        <v>-1480000</v>
      </c>
      <c r="AI251" s="6"/>
      <c r="AJ251" s="71">
        <v>0</v>
      </c>
      <c r="AK251" s="71">
        <v>0</v>
      </c>
      <c r="AL251" s="72"/>
      <c r="AM251" s="22"/>
      <c r="AO251" s="22" t="s">
        <v>126</v>
      </c>
      <c r="AP251" s="23" t="s">
        <v>637</v>
      </c>
      <c r="AQ251" s="22" t="s">
        <v>100</v>
      </c>
      <c r="AR251" s="51" t="str">
        <f t="shared" si="201"/>
        <v>JD8B-13B415-AA</v>
      </c>
      <c r="AS251" s="3"/>
      <c r="AT251" s="22">
        <v>1</v>
      </c>
      <c r="AU251" s="22">
        <v>1</v>
      </c>
      <c r="AV251" s="22">
        <v>1</v>
      </c>
      <c r="AW251" s="22">
        <v>1</v>
      </c>
      <c r="AX251" s="22">
        <v>1</v>
      </c>
      <c r="AY251" s="22">
        <v>1</v>
      </c>
      <c r="AZ251" s="22">
        <v>1</v>
      </c>
      <c r="BA251" s="22">
        <v>1</v>
      </c>
      <c r="BB251" s="64">
        <f t="shared" si="202"/>
        <v>1</v>
      </c>
      <c r="BD251" s="60">
        <v>-28.75</v>
      </c>
      <c r="BE251" s="60">
        <v>-1.88</v>
      </c>
      <c r="BF251" s="60">
        <v>-0.22</v>
      </c>
      <c r="BG251" s="60">
        <v>0</v>
      </c>
      <c r="BH251" s="60">
        <v>0</v>
      </c>
      <c r="BI251" s="8">
        <f t="shared" si="206"/>
        <v>-30.849999999999998</v>
      </c>
      <c r="BJ251" s="2" t="s">
        <v>91</v>
      </c>
      <c r="BL251" s="70">
        <v>-1480000</v>
      </c>
      <c r="BM251" s="70">
        <v>-1480000</v>
      </c>
      <c r="BO251" s="71">
        <v>0</v>
      </c>
      <c r="BP251" s="71">
        <v>0</v>
      </c>
      <c r="BQ251" s="72"/>
      <c r="BS251" s="61">
        <f t="shared" si="214"/>
        <v>3.1700000000000017</v>
      </c>
      <c r="BT251" s="61">
        <f t="shared" si="215"/>
        <v>0</v>
      </c>
      <c r="BU251" s="61">
        <f t="shared" si="216"/>
        <v>0</v>
      </c>
      <c r="BV251" s="61">
        <f t="shared" si="216"/>
        <v>0</v>
      </c>
      <c r="BW251" s="61">
        <f t="shared" si="216"/>
        <v>0</v>
      </c>
      <c r="BX251" s="61">
        <f t="shared" si="216"/>
        <v>3.1700000000000017</v>
      </c>
      <c r="BY251" s="61" t="s">
        <v>91</v>
      </c>
      <c r="CA251" s="61">
        <f t="shared" si="191"/>
        <v>0.47690687528208237</v>
      </c>
      <c r="CB251" s="61">
        <f t="shared" si="191"/>
        <v>0.47690687528208237</v>
      </c>
      <c r="CC251" s="61">
        <f t="shared" si="191"/>
        <v>0.47690687528208237</v>
      </c>
      <c r="CD251" s="61">
        <f t="shared" si="189"/>
        <v>0.47690687528208237</v>
      </c>
      <c r="CE251" s="61">
        <f t="shared" si="189"/>
        <v>0.47690687528208237</v>
      </c>
      <c r="CF251" s="61">
        <f t="shared" si="189"/>
        <v>0.47690687528208237</v>
      </c>
      <c r="CG251" s="61">
        <f t="shared" si="189"/>
        <v>0.47690687528208237</v>
      </c>
      <c r="CH251" s="61">
        <f t="shared" si="189"/>
        <v>0.47690687528208237</v>
      </c>
      <c r="CI251" s="61">
        <f t="shared" si="176"/>
        <v>0.47690687528208242</v>
      </c>
      <c r="CJ251" s="61"/>
      <c r="CK251" s="61">
        <f t="shared" si="192"/>
        <v>0.47690687528208237</v>
      </c>
      <c r="CL251" s="61">
        <f t="shared" si="192"/>
        <v>0.47690687528208237</v>
      </c>
      <c r="CM251" s="61">
        <f t="shared" si="192"/>
        <v>0.47690687528208237</v>
      </c>
      <c r="CN251" s="61">
        <f t="shared" si="190"/>
        <v>0.47690687528208237</v>
      </c>
      <c r="CO251" s="61">
        <f t="shared" si="190"/>
        <v>0.47690687528208237</v>
      </c>
      <c r="CP251" s="61">
        <f t="shared" si="190"/>
        <v>0.47690687528208237</v>
      </c>
      <c r="CQ251" s="61">
        <f t="shared" si="190"/>
        <v>0.47690687528208237</v>
      </c>
      <c r="CR251" s="61">
        <f t="shared" si="190"/>
        <v>0.47690687528208237</v>
      </c>
      <c r="CS251" s="61">
        <f t="shared" si="177"/>
        <v>0.47690687528208242</v>
      </c>
      <c r="CT251" s="61">
        <f t="shared" si="178"/>
        <v>3.1700000000000021</v>
      </c>
      <c r="CV251" s="61">
        <f t="shared" si="179"/>
        <v>0</v>
      </c>
      <c r="CW251" s="61">
        <f t="shared" si="207"/>
        <v>0</v>
      </c>
      <c r="CX251" s="61"/>
      <c r="CY251" s="61">
        <f t="shared" si="208"/>
        <v>0</v>
      </c>
      <c r="CZ251" s="61">
        <f t="shared" si="163"/>
        <v>0</v>
      </c>
      <c r="DA251" s="61">
        <f t="shared" si="163"/>
        <v>0</v>
      </c>
      <c r="DB251" s="2" t="s">
        <v>85</v>
      </c>
      <c r="DC251" s="2" t="s">
        <v>102</v>
      </c>
      <c r="DD251" s="2" t="s">
        <v>142</v>
      </c>
      <c r="DE251" s="2" t="s">
        <v>181</v>
      </c>
      <c r="DF251" s="3" t="s">
        <v>86</v>
      </c>
      <c r="DG251" s="62">
        <v>42796</v>
      </c>
      <c r="EC251" s="60"/>
      <c r="ED251" s="60"/>
      <c r="EE251" s="60"/>
      <c r="EF251" s="60"/>
    </row>
    <row r="252" spans="2:140" ht="12.75" hidden="1" customHeight="1">
      <c r="B252" s="93" t="s">
        <v>638</v>
      </c>
      <c r="C252" s="22" t="s">
        <v>639</v>
      </c>
      <c r="D252" s="22" t="s">
        <v>640</v>
      </c>
      <c r="E252" s="2" t="str">
        <f>VLOOKUP($C252,[1]Detail!$C:$AK,6,0)</f>
        <v>PMT1</v>
      </c>
      <c r="F252" s="2" t="str">
        <f>VLOOKUP($C252,[1]Detail!$C:$AK,7,0)</f>
        <v>TH</v>
      </c>
      <c r="G252" s="2" t="str">
        <f>VLOOKUP($C252,[1]Detail!$C:$AK,5,0)</f>
        <v>B</v>
      </c>
      <c r="J252" s="22" t="s">
        <v>126</v>
      </c>
      <c r="K252" s="23" t="s">
        <v>641</v>
      </c>
      <c r="L252" s="22" t="s">
        <v>100</v>
      </c>
      <c r="M252" s="51" t="str">
        <f t="shared" si="212"/>
        <v>JD8B-13W029-AA</v>
      </c>
      <c r="O252" s="22">
        <v>1</v>
      </c>
      <c r="P252" s="22">
        <v>1</v>
      </c>
      <c r="Q252" s="22">
        <v>1</v>
      </c>
      <c r="R252" s="22">
        <v>1</v>
      </c>
      <c r="S252" s="22">
        <v>1</v>
      </c>
      <c r="T252" s="22">
        <v>1</v>
      </c>
      <c r="U252" s="22">
        <v>0</v>
      </c>
      <c r="V252" s="22">
        <v>0</v>
      </c>
      <c r="W252" s="64">
        <f t="shared" si="213"/>
        <v>0.9</v>
      </c>
      <c r="Y252" s="8">
        <f>-273.6*0-274.63</f>
        <v>-274.63</v>
      </c>
      <c r="Z252" s="8">
        <v>-7.59</v>
      </c>
      <c r="AA252" s="8">
        <v>-2.36</v>
      </c>
      <c r="AB252" s="8">
        <v>0</v>
      </c>
      <c r="AC252" s="8">
        <v>-3.99</v>
      </c>
      <c r="AD252" s="8">
        <f t="shared" si="205"/>
        <v>-288.57</v>
      </c>
      <c r="AE252" s="2" t="s">
        <v>91</v>
      </c>
      <c r="AG252" s="8">
        <f>-12700600*0-12800600</f>
        <v>-12800600</v>
      </c>
      <c r="AH252" s="8">
        <f>-12700600*0-12800600</f>
        <v>-12800600</v>
      </c>
      <c r="AI252" s="6"/>
      <c r="AJ252" s="71">
        <v>-4125440.7</v>
      </c>
      <c r="AK252" s="71">
        <f>517409.1*2</f>
        <v>1034818.2</v>
      </c>
      <c r="AL252" s="72"/>
      <c r="AM252" s="22"/>
      <c r="AO252" s="22" t="s">
        <v>126</v>
      </c>
      <c r="AP252" s="23" t="s">
        <v>641</v>
      </c>
      <c r="AQ252" s="22" t="s">
        <v>100</v>
      </c>
      <c r="AR252" s="51" t="str">
        <f t="shared" si="201"/>
        <v>JD8B-13W029-AA</v>
      </c>
      <c r="AS252" s="3"/>
      <c r="AT252" s="22">
        <v>1</v>
      </c>
      <c r="AU252" s="22">
        <v>1</v>
      </c>
      <c r="AV252" s="22">
        <v>1</v>
      </c>
      <c r="AW252" s="22">
        <v>1</v>
      </c>
      <c r="AX252" s="22">
        <v>1</v>
      </c>
      <c r="AY252" s="22">
        <v>1</v>
      </c>
      <c r="AZ252" s="22">
        <v>0</v>
      </c>
      <c r="BA252" s="22">
        <v>0</v>
      </c>
      <c r="BB252" s="64">
        <f t="shared" si="202"/>
        <v>0.9</v>
      </c>
      <c r="BD252" s="60">
        <v>-273.60000000000002</v>
      </c>
      <c r="BE252" s="60">
        <v>-7.59</v>
      </c>
      <c r="BF252" s="60">
        <v>-2.36</v>
      </c>
      <c r="BG252" s="60">
        <v>0</v>
      </c>
      <c r="BH252" s="60">
        <v>-3.99</v>
      </c>
      <c r="BI252" s="8">
        <f t="shared" si="206"/>
        <v>-287.54000000000002</v>
      </c>
      <c r="BJ252" s="2" t="s">
        <v>91</v>
      </c>
      <c r="BL252" s="70">
        <v>-12700600</v>
      </c>
      <c r="BM252" s="70">
        <v>-12700600</v>
      </c>
      <c r="BO252" s="71">
        <v>-4125440.7</v>
      </c>
      <c r="BP252" s="71">
        <f>517409.1*2</f>
        <v>1034818.2</v>
      </c>
      <c r="BQ252" s="72"/>
      <c r="BS252" s="61">
        <f t="shared" si="214"/>
        <v>-1.0299999999999727</v>
      </c>
      <c r="BT252" s="61">
        <f t="shared" si="215"/>
        <v>0</v>
      </c>
      <c r="BU252" s="61">
        <f t="shared" si="216"/>
        <v>0</v>
      </c>
      <c r="BV252" s="61">
        <f t="shared" si="216"/>
        <v>0</v>
      </c>
      <c r="BW252" s="61">
        <f t="shared" si="216"/>
        <v>0</v>
      </c>
      <c r="BX252" s="61">
        <f t="shared" si="216"/>
        <v>-1.0299999999999727</v>
      </c>
      <c r="BY252" s="61" t="s">
        <v>91</v>
      </c>
      <c r="CA252" s="61">
        <f t="shared" si="191"/>
        <v>-0.15495712351436328</v>
      </c>
      <c r="CB252" s="61">
        <f t="shared" si="191"/>
        <v>-0.15495712351436328</v>
      </c>
      <c r="CC252" s="61">
        <f t="shared" si="191"/>
        <v>-0.15495712351436328</v>
      </c>
      <c r="CD252" s="61">
        <f t="shared" si="189"/>
        <v>-0.15495712351436328</v>
      </c>
      <c r="CE252" s="61">
        <f t="shared" si="189"/>
        <v>-0.15495712351436328</v>
      </c>
      <c r="CF252" s="61">
        <f t="shared" si="189"/>
        <v>-0.15495712351436328</v>
      </c>
      <c r="CG252" s="61">
        <f t="shared" si="189"/>
        <v>0</v>
      </c>
      <c r="CH252" s="61">
        <f t="shared" si="189"/>
        <v>0</v>
      </c>
      <c r="CI252" s="61">
        <f t="shared" si="176"/>
        <v>-0.13946141116292693</v>
      </c>
      <c r="CJ252" s="61"/>
      <c r="CK252" s="61">
        <f t="shared" si="192"/>
        <v>-0.15495712351436328</v>
      </c>
      <c r="CL252" s="61">
        <f t="shared" si="192"/>
        <v>-0.15495712351436328</v>
      </c>
      <c r="CM252" s="61">
        <f t="shared" si="192"/>
        <v>-0.15495712351436328</v>
      </c>
      <c r="CN252" s="61">
        <f t="shared" si="190"/>
        <v>-0.15495712351436328</v>
      </c>
      <c r="CO252" s="61">
        <f t="shared" si="190"/>
        <v>-0.15495712351436328</v>
      </c>
      <c r="CP252" s="61">
        <f t="shared" si="190"/>
        <v>-0.15495712351436328</v>
      </c>
      <c r="CQ252" s="61">
        <f t="shared" si="190"/>
        <v>0</v>
      </c>
      <c r="CR252" s="61">
        <f t="shared" si="190"/>
        <v>0</v>
      </c>
      <c r="CS252" s="61">
        <f t="shared" si="177"/>
        <v>-0.13946141116292693</v>
      </c>
      <c r="CT252" s="61">
        <f t="shared" si="178"/>
        <v>-0.92699999999997529</v>
      </c>
      <c r="CV252" s="61">
        <f t="shared" si="179"/>
        <v>-100000</v>
      </c>
      <c r="CW252" s="61">
        <f t="shared" si="207"/>
        <v>-100000</v>
      </c>
      <c r="CX252" s="61"/>
      <c r="CY252" s="61">
        <f t="shared" si="208"/>
        <v>0</v>
      </c>
      <c r="CZ252" s="61">
        <f t="shared" si="163"/>
        <v>0</v>
      </c>
      <c r="DA252" s="61">
        <f t="shared" si="163"/>
        <v>0</v>
      </c>
      <c r="DB252" s="2" t="s">
        <v>85</v>
      </c>
      <c r="DC252" s="2" t="s">
        <v>102</v>
      </c>
      <c r="DD252" s="2" t="s">
        <v>142</v>
      </c>
      <c r="DE252" s="2" t="s">
        <v>181</v>
      </c>
      <c r="DF252" s="3" t="s">
        <v>86</v>
      </c>
      <c r="DG252" s="62">
        <v>42796</v>
      </c>
      <c r="EC252" s="60"/>
      <c r="ED252" s="60"/>
      <c r="EE252" s="60"/>
      <c r="EF252" s="60"/>
    </row>
    <row r="253" spans="2:140" ht="12.75" hidden="1" customHeight="1">
      <c r="B253" s="93" t="s">
        <v>638</v>
      </c>
      <c r="C253" s="22" t="s">
        <v>639</v>
      </c>
      <c r="D253" s="22" t="s">
        <v>640</v>
      </c>
      <c r="E253" s="2" t="str">
        <f>VLOOKUP($C253,[1]Detail!$C:$AK,6,0)</f>
        <v>PMT1</v>
      </c>
      <c r="F253" s="2" t="str">
        <f>VLOOKUP($C253,[1]Detail!$C:$AK,7,0)</f>
        <v>TH</v>
      </c>
      <c r="G253" s="2" t="str">
        <f>VLOOKUP($C253,[1]Detail!$C:$AK,5,0)</f>
        <v>B</v>
      </c>
      <c r="J253" s="22" t="s">
        <v>126</v>
      </c>
      <c r="K253" s="23" t="s">
        <v>642</v>
      </c>
      <c r="L253" s="22" t="s">
        <v>100</v>
      </c>
      <c r="M253" s="51" t="str">
        <f t="shared" si="212"/>
        <v>JD8B-13W030-AA</v>
      </c>
      <c r="O253" s="22">
        <v>1</v>
      </c>
      <c r="P253" s="22">
        <v>1</v>
      </c>
      <c r="Q253" s="22">
        <v>1</v>
      </c>
      <c r="R253" s="22">
        <v>1</v>
      </c>
      <c r="S253" s="22">
        <v>1</v>
      </c>
      <c r="T253" s="22">
        <v>1</v>
      </c>
      <c r="U253" s="22">
        <v>0</v>
      </c>
      <c r="V253" s="22">
        <v>0</v>
      </c>
      <c r="W253" s="64">
        <f t="shared" si="213"/>
        <v>0.9</v>
      </c>
      <c r="Y253" s="8">
        <f>-273.6*0-274.63</f>
        <v>-274.63</v>
      </c>
      <c r="Z253" s="8">
        <v>-7.59</v>
      </c>
      <c r="AA253" s="8">
        <v>-2.36</v>
      </c>
      <c r="AB253" s="8">
        <v>0</v>
      </c>
      <c r="AC253" s="8">
        <v>-3.99</v>
      </c>
      <c r="AD253" s="8">
        <f t="shared" si="205"/>
        <v>-288.57</v>
      </c>
      <c r="AE253" s="2" t="s">
        <v>91</v>
      </c>
      <c r="AG253" s="8">
        <v>0</v>
      </c>
      <c r="AH253" s="8">
        <v>0</v>
      </c>
      <c r="AJ253" s="71" t="s">
        <v>643</v>
      </c>
      <c r="AK253" s="71"/>
      <c r="AL253" s="72"/>
      <c r="AM253" s="22"/>
      <c r="AO253" s="22" t="s">
        <v>126</v>
      </c>
      <c r="AP253" s="23" t="s">
        <v>642</v>
      </c>
      <c r="AQ253" s="22" t="s">
        <v>100</v>
      </c>
      <c r="AR253" s="51" t="str">
        <f t="shared" si="201"/>
        <v>JD8B-13W030-AA</v>
      </c>
      <c r="AS253" s="3"/>
      <c r="AT253" s="22">
        <v>1</v>
      </c>
      <c r="AU253" s="22">
        <v>1</v>
      </c>
      <c r="AV253" s="22">
        <v>1</v>
      </c>
      <c r="AW253" s="22">
        <v>1</v>
      </c>
      <c r="AX253" s="22">
        <v>1</v>
      </c>
      <c r="AY253" s="22">
        <v>1</v>
      </c>
      <c r="AZ253" s="22">
        <v>0</v>
      </c>
      <c r="BA253" s="22">
        <v>0</v>
      </c>
      <c r="BB253" s="64">
        <f t="shared" si="202"/>
        <v>0.9</v>
      </c>
      <c r="BD253" s="60">
        <v>-273.60000000000002</v>
      </c>
      <c r="BE253" s="60">
        <v>-7.59</v>
      </c>
      <c r="BF253" s="60">
        <v>-2.36</v>
      </c>
      <c r="BG253" s="60">
        <v>0</v>
      </c>
      <c r="BH253" s="60">
        <v>-3.99</v>
      </c>
      <c r="BI253" s="8">
        <f t="shared" si="206"/>
        <v>-287.54000000000002</v>
      </c>
      <c r="BJ253" s="2" t="s">
        <v>91</v>
      </c>
      <c r="BL253" s="70">
        <v>0</v>
      </c>
      <c r="BM253" s="70">
        <v>0</v>
      </c>
      <c r="BO253" s="71" t="s">
        <v>643</v>
      </c>
      <c r="BP253" s="71"/>
      <c r="BQ253" s="72"/>
      <c r="BS253" s="61">
        <f t="shared" si="214"/>
        <v>-1.0299999999999727</v>
      </c>
      <c r="BT253" s="61">
        <f t="shared" si="215"/>
        <v>0</v>
      </c>
      <c r="BU253" s="61">
        <f t="shared" si="216"/>
        <v>0</v>
      </c>
      <c r="BV253" s="61">
        <f t="shared" si="216"/>
        <v>0</v>
      </c>
      <c r="BW253" s="61">
        <f t="shared" si="216"/>
        <v>0</v>
      </c>
      <c r="BX253" s="61">
        <f t="shared" si="216"/>
        <v>-1.0299999999999727</v>
      </c>
      <c r="BY253" s="61" t="s">
        <v>91</v>
      </c>
      <c r="CA253" s="61">
        <f t="shared" si="191"/>
        <v>-0.15495712351436328</v>
      </c>
      <c r="CB253" s="61">
        <f t="shared" si="191"/>
        <v>-0.15495712351436328</v>
      </c>
      <c r="CC253" s="61">
        <f t="shared" si="191"/>
        <v>-0.15495712351436328</v>
      </c>
      <c r="CD253" s="61">
        <f t="shared" si="189"/>
        <v>-0.15495712351436328</v>
      </c>
      <c r="CE253" s="61">
        <f t="shared" si="189"/>
        <v>-0.15495712351436328</v>
      </c>
      <c r="CF253" s="61">
        <f t="shared" si="189"/>
        <v>-0.15495712351436328</v>
      </c>
      <c r="CG253" s="61">
        <f t="shared" si="189"/>
        <v>0</v>
      </c>
      <c r="CH253" s="61">
        <f t="shared" si="189"/>
        <v>0</v>
      </c>
      <c r="CI253" s="61">
        <f t="shared" si="176"/>
        <v>-0.13946141116292693</v>
      </c>
      <c r="CJ253" s="61"/>
      <c r="CK253" s="61">
        <f t="shared" si="192"/>
        <v>-0.15495712351436328</v>
      </c>
      <c r="CL253" s="61">
        <f t="shared" si="192"/>
        <v>-0.15495712351436328</v>
      </c>
      <c r="CM253" s="61">
        <f t="shared" si="192"/>
        <v>-0.15495712351436328</v>
      </c>
      <c r="CN253" s="61">
        <f t="shared" si="190"/>
        <v>-0.15495712351436328</v>
      </c>
      <c r="CO253" s="61">
        <f t="shared" si="190"/>
        <v>-0.15495712351436328</v>
      </c>
      <c r="CP253" s="61">
        <f t="shared" si="190"/>
        <v>-0.15495712351436328</v>
      </c>
      <c r="CQ253" s="61">
        <f t="shared" si="190"/>
        <v>0</v>
      </c>
      <c r="CR253" s="61">
        <f t="shared" si="190"/>
        <v>0</v>
      </c>
      <c r="CS253" s="61">
        <f t="shared" si="177"/>
        <v>-0.13946141116292693</v>
      </c>
      <c r="CT253" s="61">
        <f t="shared" si="178"/>
        <v>-0.92699999999997529</v>
      </c>
      <c r="CV253" s="61">
        <f t="shared" si="179"/>
        <v>0</v>
      </c>
      <c r="CW253" s="61">
        <f t="shared" si="207"/>
        <v>0</v>
      </c>
      <c r="CX253" s="61"/>
      <c r="CY253" s="61">
        <f t="shared" si="208"/>
        <v>0</v>
      </c>
      <c r="CZ253" s="61">
        <f t="shared" si="163"/>
        <v>0</v>
      </c>
      <c r="DA253" s="61">
        <f t="shared" si="163"/>
        <v>0</v>
      </c>
      <c r="DB253" s="2" t="s">
        <v>85</v>
      </c>
      <c r="DC253" s="2" t="s">
        <v>102</v>
      </c>
      <c r="DD253" s="2" t="s">
        <v>142</v>
      </c>
      <c r="DE253" s="2" t="s">
        <v>181</v>
      </c>
      <c r="DF253" s="3" t="s">
        <v>86</v>
      </c>
      <c r="DG253" s="62">
        <v>42796</v>
      </c>
      <c r="EC253" s="60"/>
      <c r="ED253" s="60"/>
      <c r="EE253" s="60"/>
      <c r="EF253" s="60"/>
    </row>
    <row r="254" spans="2:140" ht="12.75" hidden="1" customHeight="1">
      <c r="B254" s="93" t="s">
        <v>638</v>
      </c>
      <c r="C254" s="22" t="s">
        <v>639</v>
      </c>
      <c r="D254" s="22" t="s">
        <v>640</v>
      </c>
      <c r="E254" s="2" t="str">
        <f>VLOOKUP($C254,[1]Detail!$C:$AK,6,0)</f>
        <v>PMT1</v>
      </c>
      <c r="F254" s="2" t="str">
        <f>VLOOKUP($C254,[1]Detail!$C:$AK,7,0)</f>
        <v>TH</v>
      </c>
      <c r="G254" s="2" t="str">
        <f>VLOOKUP($C254,[1]Detail!$C:$AK,5,0)</f>
        <v>B</v>
      </c>
      <c r="J254" s="22" t="s">
        <v>126</v>
      </c>
      <c r="K254" s="23" t="s">
        <v>644</v>
      </c>
      <c r="L254" s="22" t="s">
        <v>100</v>
      </c>
      <c r="M254" s="51" t="str">
        <f t="shared" si="212"/>
        <v>JD8B-13D154-AA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1</v>
      </c>
      <c r="V254" s="22">
        <v>1</v>
      </c>
      <c r="W254" s="64">
        <f t="shared" si="213"/>
        <v>0.1</v>
      </c>
      <c r="Y254" s="8">
        <v>-907.9</v>
      </c>
      <c r="Z254" s="8">
        <v>-7.59</v>
      </c>
      <c r="AA254" s="8">
        <v>-2.36</v>
      </c>
      <c r="AB254" s="8">
        <v>0</v>
      </c>
      <c r="AC254" s="8">
        <v>-3.99</v>
      </c>
      <c r="AD254" s="8">
        <f t="shared" si="205"/>
        <v>-921.84</v>
      </c>
      <c r="AE254" s="2" t="s">
        <v>91</v>
      </c>
      <c r="AG254" s="6">
        <v>-10983400</v>
      </c>
      <c r="AH254" s="6">
        <v>-10983400</v>
      </c>
      <c r="AI254" s="6"/>
      <c r="AJ254" s="71">
        <v>-458382.3</v>
      </c>
      <c r="AK254" s="71">
        <f>57489.9*2</f>
        <v>114979.8</v>
      </c>
      <c r="AL254" s="72"/>
      <c r="AM254" s="22"/>
      <c r="AO254" s="22" t="s">
        <v>126</v>
      </c>
      <c r="AP254" s="23" t="s">
        <v>641</v>
      </c>
      <c r="AQ254" s="22" t="s">
        <v>111</v>
      </c>
      <c r="AR254" s="51" t="str">
        <f t="shared" si="201"/>
        <v>JD8B-13W029-BA</v>
      </c>
      <c r="AS254" s="3"/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1</v>
      </c>
      <c r="BA254" s="22">
        <v>1</v>
      </c>
      <c r="BB254" s="64">
        <f t="shared" si="202"/>
        <v>0.1</v>
      </c>
      <c r="BD254" s="60">
        <v>-907.9</v>
      </c>
      <c r="BE254" s="60">
        <v>-7.59</v>
      </c>
      <c r="BF254" s="60">
        <v>-2.36</v>
      </c>
      <c r="BG254" s="60">
        <v>0</v>
      </c>
      <c r="BH254" s="60">
        <v>-3.99</v>
      </c>
      <c r="BI254" s="8">
        <f t="shared" si="206"/>
        <v>-921.84</v>
      </c>
      <c r="BJ254" s="2" t="s">
        <v>91</v>
      </c>
      <c r="BL254" s="70">
        <v>-10983400</v>
      </c>
      <c r="BM254" s="70">
        <v>-10983400</v>
      </c>
      <c r="BO254" s="71">
        <v>-458382.3</v>
      </c>
      <c r="BP254" s="71">
        <f>57489.9*2</f>
        <v>114979.8</v>
      </c>
      <c r="BQ254" s="72"/>
      <c r="BS254" s="61">
        <f t="shared" si="214"/>
        <v>0</v>
      </c>
      <c r="BT254" s="61">
        <f t="shared" si="215"/>
        <v>0</v>
      </c>
      <c r="BU254" s="61">
        <f t="shared" si="216"/>
        <v>0</v>
      </c>
      <c r="BV254" s="61">
        <f t="shared" si="216"/>
        <v>0</v>
      </c>
      <c r="BW254" s="61">
        <f t="shared" si="216"/>
        <v>0</v>
      </c>
      <c r="BX254" s="61">
        <f t="shared" si="216"/>
        <v>0</v>
      </c>
      <c r="BY254" s="61" t="s">
        <v>91</v>
      </c>
      <c r="CA254" s="61">
        <f t="shared" si="191"/>
        <v>0</v>
      </c>
      <c r="CB254" s="61">
        <f t="shared" si="191"/>
        <v>0</v>
      </c>
      <c r="CC254" s="61">
        <f t="shared" si="191"/>
        <v>0</v>
      </c>
      <c r="CD254" s="61">
        <f t="shared" si="189"/>
        <v>0</v>
      </c>
      <c r="CE254" s="61">
        <f t="shared" si="189"/>
        <v>0</v>
      </c>
      <c r="CF254" s="61">
        <f t="shared" si="189"/>
        <v>0</v>
      </c>
      <c r="CG254" s="61">
        <f t="shared" si="189"/>
        <v>0</v>
      </c>
      <c r="CH254" s="61">
        <f t="shared" si="189"/>
        <v>0</v>
      </c>
      <c r="CI254" s="61">
        <f t="shared" si="176"/>
        <v>0</v>
      </c>
      <c r="CJ254" s="61"/>
      <c r="CK254" s="61">
        <f t="shared" si="192"/>
        <v>0</v>
      </c>
      <c r="CL254" s="61">
        <f t="shared" si="192"/>
        <v>0</v>
      </c>
      <c r="CM254" s="61">
        <f t="shared" si="192"/>
        <v>0</v>
      </c>
      <c r="CN254" s="61">
        <f t="shared" si="190"/>
        <v>0</v>
      </c>
      <c r="CO254" s="61">
        <f t="shared" si="190"/>
        <v>0</v>
      </c>
      <c r="CP254" s="61">
        <f t="shared" si="190"/>
        <v>0</v>
      </c>
      <c r="CQ254" s="61">
        <f t="shared" si="190"/>
        <v>0</v>
      </c>
      <c r="CR254" s="61">
        <f t="shared" si="190"/>
        <v>0</v>
      </c>
      <c r="CS254" s="61">
        <f t="shared" si="177"/>
        <v>0</v>
      </c>
      <c r="CT254" s="61">
        <f t="shared" si="178"/>
        <v>0</v>
      </c>
      <c r="CV254" s="61">
        <f t="shared" si="179"/>
        <v>0</v>
      </c>
      <c r="CW254" s="61">
        <f t="shared" si="207"/>
        <v>0</v>
      </c>
      <c r="CX254" s="61"/>
      <c r="CY254" s="61">
        <f t="shared" si="208"/>
        <v>0</v>
      </c>
      <c r="CZ254" s="61">
        <f t="shared" si="163"/>
        <v>0</v>
      </c>
      <c r="DA254" s="61">
        <f t="shared" si="163"/>
        <v>0</v>
      </c>
      <c r="DB254" s="2" t="s">
        <v>85</v>
      </c>
      <c r="DC254" s="2" t="s">
        <v>102</v>
      </c>
      <c r="DD254" s="2" t="s">
        <v>142</v>
      </c>
      <c r="DE254" s="2" t="s">
        <v>181</v>
      </c>
      <c r="DF254" s="3" t="s">
        <v>86</v>
      </c>
      <c r="DG254" s="62">
        <v>42796</v>
      </c>
      <c r="EC254" s="60"/>
      <c r="ED254" s="60"/>
      <c r="EE254" s="60"/>
      <c r="EF254" s="60"/>
    </row>
    <row r="255" spans="2:140" ht="12.75" hidden="1" customHeight="1">
      <c r="B255" s="93" t="s">
        <v>638</v>
      </c>
      <c r="C255" s="22" t="s">
        <v>639</v>
      </c>
      <c r="D255" s="22" t="s">
        <v>640</v>
      </c>
      <c r="E255" s="2" t="str">
        <f>VLOOKUP($C255,[1]Detail!$C:$AK,6,0)</f>
        <v>PMT1</v>
      </c>
      <c r="F255" s="2" t="str">
        <f>VLOOKUP($C255,[1]Detail!$C:$AK,7,0)</f>
        <v>TH</v>
      </c>
      <c r="G255" s="2" t="str">
        <f>VLOOKUP($C255,[1]Detail!$C:$AK,5,0)</f>
        <v>B</v>
      </c>
      <c r="J255" s="22" t="s">
        <v>126</v>
      </c>
      <c r="K255" s="23" t="s">
        <v>645</v>
      </c>
      <c r="L255" s="22" t="s">
        <v>100</v>
      </c>
      <c r="M255" s="51" t="str">
        <f t="shared" si="212"/>
        <v>JD8B-13D155-AA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1</v>
      </c>
      <c r="V255" s="22">
        <v>1</v>
      </c>
      <c r="W255" s="64">
        <f t="shared" si="213"/>
        <v>0.1</v>
      </c>
      <c r="Y255" s="8">
        <v>-907.9</v>
      </c>
      <c r="Z255" s="8">
        <v>-7.59</v>
      </c>
      <c r="AA255" s="8">
        <v>-2.36</v>
      </c>
      <c r="AB255" s="8">
        <v>0</v>
      </c>
      <c r="AC255" s="8">
        <v>-3.99</v>
      </c>
      <c r="AD255" s="8">
        <f t="shared" si="205"/>
        <v>-921.84</v>
      </c>
      <c r="AE255" s="2" t="s">
        <v>91</v>
      </c>
      <c r="AG255" s="8">
        <v>0</v>
      </c>
      <c r="AH255" s="8">
        <v>0</v>
      </c>
      <c r="AJ255" s="71" t="s">
        <v>643</v>
      </c>
      <c r="AK255" s="71"/>
      <c r="AL255" s="72"/>
      <c r="AM255" s="22"/>
      <c r="AO255" s="22" t="s">
        <v>126</v>
      </c>
      <c r="AP255" s="23" t="s">
        <v>642</v>
      </c>
      <c r="AQ255" s="22" t="s">
        <v>111</v>
      </c>
      <c r="AR255" s="51" t="str">
        <f t="shared" si="201"/>
        <v>JD8B-13W030-BA</v>
      </c>
      <c r="AS255" s="3"/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0</v>
      </c>
      <c r="AZ255" s="22">
        <v>1</v>
      </c>
      <c r="BA255" s="22">
        <v>1</v>
      </c>
      <c r="BB255" s="64">
        <f t="shared" si="202"/>
        <v>0.1</v>
      </c>
      <c r="BD255" s="60">
        <v>-907.9</v>
      </c>
      <c r="BE255" s="60">
        <v>-7.59</v>
      </c>
      <c r="BF255" s="60">
        <v>-2.36</v>
      </c>
      <c r="BG255" s="60">
        <v>0</v>
      </c>
      <c r="BH255" s="60">
        <v>-3.99</v>
      </c>
      <c r="BI255" s="8">
        <f t="shared" si="206"/>
        <v>-921.84</v>
      </c>
      <c r="BJ255" s="2" t="s">
        <v>91</v>
      </c>
      <c r="BL255" s="70">
        <v>0</v>
      </c>
      <c r="BM255" s="70">
        <v>0</v>
      </c>
      <c r="BO255" s="71" t="s">
        <v>643</v>
      </c>
      <c r="BP255" s="71"/>
      <c r="BQ255" s="72"/>
      <c r="BS255" s="61">
        <f t="shared" si="214"/>
        <v>0</v>
      </c>
      <c r="BT255" s="61">
        <f t="shared" si="215"/>
        <v>0</v>
      </c>
      <c r="BU255" s="61">
        <f t="shared" si="216"/>
        <v>0</v>
      </c>
      <c r="BV255" s="61">
        <f t="shared" si="216"/>
        <v>0</v>
      </c>
      <c r="BW255" s="61">
        <f t="shared" si="216"/>
        <v>0</v>
      </c>
      <c r="BX255" s="61">
        <f t="shared" si="216"/>
        <v>0</v>
      </c>
      <c r="BY255" s="61" t="s">
        <v>91</v>
      </c>
      <c r="CA255" s="61">
        <f t="shared" si="191"/>
        <v>0</v>
      </c>
      <c r="CB255" s="61">
        <f t="shared" si="191"/>
        <v>0</v>
      </c>
      <c r="CC255" s="61">
        <f t="shared" si="191"/>
        <v>0</v>
      </c>
      <c r="CD255" s="61">
        <f t="shared" si="189"/>
        <v>0</v>
      </c>
      <c r="CE255" s="61">
        <f t="shared" si="189"/>
        <v>0</v>
      </c>
      <c r="CF255" s="61">
        <f t="shared" si="189"/>
        <v>0</v>
      </c>
      <c r="CG255" s="61">
        <f t="shared" si="189"/>
        <v>0</v>
      </c>
      <c r="CH255" s="61">
        <f t="shared" si="189"/>
        <v>0</v>
      </c>
      <c r="CI255" s="61">
        <f t="shared" si="176"/>
        <v>0</v>
      </c>
      <c r="CJ255" s="61"/>
      <c r="CK255" s="61">
        <f t="shared" si="192"/>
        <v>0</v>
      </c>
      <c r="CL255" s="61">
        <f t="shared" si="192"/>
        <v>0</v>
      </c>
      <c r="CM255" s="61">
        <f t="shared" si="192"/>
        <v>0</v>
      </c>
      <c r="CN255" s="61">
        <f t="shared" si="190"/>
        <v>0</v>
      </c>
      <c r="CO255" s="61">
        <f t="shared" si="190"/>
        <v>0</v>
      </c>
      <c r="CP255" s="61">
        <f t="shared" si="190"/>
        <v>0</v>
      </c>
      <c r="CQ255" s="61">
        <f t="shared" si="190"/>
        <v>0</v>
      </c>
      <c r="CR255" s="61">
        <f t="shared" si="190"/>
        <v>0</v>
      </c>
      <c r="CS255" s="61">
        <f t="shared" si="177"/>
        <v>0</v>
      </c>
      <c r="CT255" s="61">
        <f t="shared" si="178"/>
        <v>0</v>
      </c>
      <c r="CV255" s="61">
        <f t="shared" si="179"/>
        <v>0</v>
      </c>
      <c r="CW255" s="61">
        <f t="shared" si="207"/>
        <v>0</v>
      </c>
      <c r="CX255" s="61"/>
      <c r="CY255" s="61">
        <f t="shared" si="208"/>
        <v>0</v>
      </c>
      <c r="CZ255" s="61">
        <f t="shared" si="163"/>
        <v>0</v>
      </c>
      <c r="DA255" s="61">
        <f t="shared" si="163"/>
        <v>0</v>
      </c>
      <c r="DB255" s="2" t="s">
        <v>85</v>
      </c>
      <c r="DC255" s="2" t="s">
        <v>102</v>
      </c>
      <c r="DD255" s="2" t="s">
        <v>142</v>
      </c>
      <c r="DE255" s="2" t="s">
        <v>181</v>
      </c>
      <c r="DF255" s="3" t="s">
        <v>86</v>
      </c>
      <c r="DG255" s="62">
        <v>42796</v>
      </c>
      <c r="EC255" s="60"/>
      <c r="ED255" s="60"/>
      <c r="EE255" s="60"/>
      <c r="EF255" s="60"/>
    </row>
    <row r="256" spans="2:140" ht="12.75" hidden="1" customHeight="1">
      <c r="B256" s="93" t="s">
        <v>646</v>
      </c>
      <c r="C256" s="22" t="s">
        <v>639</v>
      </c>
      <c r="D256" s="22" t="s">
        <v>640</v>
      </c>
      <c r="E256" s="2" t="str">
        <f>VLOOKUP($C256,[1]Detail!$C:$AK,6,0)</f>
        <v>PMT1</v>
      </c>
      <c r="F256" s="2" t="str">
        <f>VLOOKUP($C256,[1]Detail!$C:$AK,7,0)</f>
        <v>TH</v>
      </c>
      <c r="G256" s="2" t="str">
        <f>VLOOKUP($C256,[1]Detail!$C:$AK,5,0)</f>
        <v>B</v>
      </c>
      <c r="J256" s="22" t="s">
        <v>126</v>
      </c>
      <c r="K256" s="23" t="s">
        <v>641</v>
      </c>
      <c r="L256" s="22" t="s">
        <v>132</v>
      </c>
      <c r="M256" s="51" t="str">
        <f t="shared" si="212"/>
        <v>JD8B-13W029-AB</v>
      </c>
      <c r="O256" s="22">
        <v>1</v>
      </c>
      <c r="P256" s="22">
        <v>1</v>
      </c>
      <c r="Q256" s="22">
        <v>1</v>
      </c>
      <c r="R256" s="22">
        <v>1</v>
      </c>
      <c r="S256" s="22">
        <v>1</v>
      </c>
      <c r="T256" s="22">
        <v>1</v>
      </c>
      <c r="U256" s="22">
        <v>0</v>
      </c>
      <c r="V256" s="22">
        <v>0</v>
      </c>
      <c r="W256" s="64">
        <f t="shared" si="213"/>
        <v>0.9</v>
      </c>
      <c r="Y256" s="8">
        <f>-273.6*0-274.62</f>
        <v>-274.62</v>
      </c>
      <c r="Z256" s="8">
        <v>-7.59</v>
      </c>
      <c r="AA256" s="8">
        <v>-2.36</v>
      </c>
      <c r="AB256" s="8">
        <v>0</v>
      </c>
      <c r="AC256" s="8">
        <v>-3.99</v>
      </c>
      <c r="AD256" s="8">
        <f t="shared" si="205"/>
        <v>-288.56</v>
      </c>
      <c r="AE256" s="2" t="s">
        <v>91</v>
      </c>
      <c r="AG256" s="8">
        <f>-12700600*0-12800600</f>
        <v>-12800600</v>
      </c>
      <c r="AH256" s="8">
        <f>-12700600*0-12800600</f>
        <v>-12800600</v>
      </c>
      <c r="AI256" s="6"/>
      <c r="AJ256" s="71">
        <v>-4125440.7</v>
      </c>
      <c r="AK256" s="71">
        <f>517409.1*2</f>
        <v>1034818.2</v>
      </c>
      <c r="AL256" s="72"/>
      <c r="AM256" s="22"/>
      <c r="AO256" s="22" t="s">
        <v>126</v>
      </c>
      <c r="AP256" s="23" t="s">
        <v>641</v>
      </c>
      <c r="AQ256" s="22" t="s">
        <v>100</v>
      </c>
      <c r="AR256" s="51" t="str">
        <f t="shared" si="201"/>
        <v>JD8B-13W029-AA</v>
      </c>
      <c r="AS256" s="3"/>
      <c r="AT256" s="22">
        <v>1</v>
      </c>
      <c r="AU256" s="22">
        <v>1</v>
      </c>
      <c r="AV256" s="22">
        <v>1</v>
      </c>
      <c r="AW256" s="22">
        <v>1</v>
      </c>
      <c r="AX256" s="22">
        <v>1</v>
      </c>
      <c r="AY256" s="22">
        <v>1</v>
      </c>
      <c r="AZ256" s="22">
        <v>0</v>
      </c>
      <c r="BA256" s="22">
        <v>0</v>
      </c>
      <c r="BB256" s="64">
        <f t="shared" si="202"/>
        <v>0.9</v>
      </c>
      <c r="BD256" s="60">
        <f>-273.6*0-274.63</f>
        <v>-274.63</v>
      </c>
      <c r="BE256" s="60">
        <v>-7.59</v>
      </c>
      <c r="BF256" s="60">
        <v>-2.36</v>
      </c>
      <c r="BG256" s="60">
        <v>0</v>
      </c>
      <c r="BH256" s="60">
        <v>-3.99</v>
      </c>
      <c r="BI256" s="8">
        <f t="shared" si="206"/>
        <v>-288.57</v>
      </c>
      <c r="BJ256" s="2" t="s">
        <v>91</v>
      </c>
      <c r="BL256" s="70">
        <f>-12700600*0-12800600</f>
        <v>-12800600</v>
      </c>
      <c r="BM256" s="70">
        <f>-12700600*0-12800600</f>
        <v>-12800600</v>
      </c>
      <c r="BO256" s="71">
        <v>-4125440.7</v>
      </c>
      <c r="BP256" s="71">
        <f>517409.1*2</f>
        <v>1034818.2</v>
      </c>
      <c r="BQ256" s="72"/>
      <c r="BS256" s="61">
        <f t="shared" si="214"/>
        <v>9.9999999999909051E-3</v>
      </c>
      <c r="BT256" s="61">
        <f t="shared" si="215"/>
        <v>0</v>
      </c>
      <c r="BU256" s="61">
        <f t="shared" si="216"/>
        <v>0</v>
      </c>
      <c r="BV256" s="61">
        <f t="shared" si="216"/>
        <v>0</v>
      </c>
      <c r="BW256" s="61">
        <f t="shared" si="216"/>
        <v>0</v>
      </c>
      <c r="BX256" s="61">
        <f t="shared" si="216"/>
        <v>9.9999999999909051E-3</v>
      </c>
      <c r="BY256" s="61" t="s">
        <v>91</v>
      </c>
      <c r="CA256" s="61">
        <f t="shared" si="191"/>
        <v>1.5044380923711306E-3</v>
      </c>
      <c r="CB256" s="61">
        <f t="shared" si="191"/>
        <v>1.5044380923711306E-3</v>
      </c>
      <c r="CC256" s="61">
        <f t="shared" si="191"/>
        <v>1.5044380923711306E-3</v>
      </c>
      <c r="CD256" s="61">
        <f t="shared" si="189"/>
        <v>1.5044380923711306E-3</v>
      </c>
      <c r="CE256" s="61">
        <f t="shared" si="189"/>
        <v>1.5044380923711306E-3</v>
      </c>
      <c r="CF256" s="61">
        <f t="shared" si="189"/>
        <v>1.5044380923711306E-3</v>
      </c>
      <c r="CG256" s="61">
        <f t="shared" si="189"/>
        <v>0</v>
      </c>
      <c r="CH256" s="61">
        <f t="shared" si="189"/>
        <v>0</v>
      </c>
      <c r="CI256" s="61">
        <f t="shared" si="176"/>
        <v>1.3539942831340174E-3</v>
      </c>
      <c r="CJ256" s="61"/>
      <c r="CK256" s="61">
        <f t="shared" si="192"/>
        <v>1.5044380923711306E-3</v>
      </c>
      <c r="CL256" s="61">
        <f t="shared" si="192"/>
        <v>1.5044380923711306E-3</v>
      </c>
      <c r="CM256" s="61">
        <f t="shared" si="192"/>
        <v>1.5044380923711306E-3</v>
      </c>
      <c r="CN256" s="61">
        <f t="shared" si="190"/>
        <v>1.5044380923711306E-3</v>
      </c>
      <c r="CO256" s="61">
        <f t="shared" si="190"/>
        <v>1.5044380923711306E-3</v>
      </c>
      <c r="CP256" s="61">
        <f t="shared" si="190"/>
        <v>1.5044380923711306E-3</v>
      </c>
      <c r="CQ256" s="61">
        <f t="shared" si="190"/>
        <v>0</v>
      </c>
      <c r="CR256" s="61">
        <f t="shared" si="190"/>
        <v>0</v>
      </c>
      <c r="CS256" s="61">
        <f t="shared" si="177"/>
        <v>1.3539942831340174E-3</v>
      </c>
      <c r="CT256" s="61">
        <f t="shared" si="178"/>
        <v>8.9999999999918132E-3</v>
      </c>
      <c r="CV256" s="61">
        <f t="shared" si="179"/>
        <v>0</v>
      </c>
      <c r="CW256" s="61">
        <f t="shared" si="207"/>
        <v>0</v>
      </c>
      <c r="CX256" s="61"/>
      <c r="CY256" s="61">
        <f t="shared" si="208"/>
        <v>0</v>
      </c>
      <c r="CZ256" s="61">
        <f t="shared" si="163"/>
        <v>0</v>
      </c>
      <c r="DA256" s="61">
        <f t="shared" si="163"/>
        <v>0</v>
      </c>
      <c r="DB256" s="2" t="s">
        <v>85</v>
      </c>
      <c r="DC256" s="2" t="s">
        <v>85</v>
      </c>
      <c r="DD256" s="2" t="s">
        <v>142</v>
      </c>
      <c r="DE256" s="2" t="s">
        <v>181</v>
      </c>
      <c r="DG256" s="62"/>
      <c r="DZ256" s="3" t="e">
        <v>#N/A</v>
      </c>
      <c r="EC256" s="60"/>
      <c r="ED256" s="60"/>
      <c r="EE256" s="60"/>
      <c r="EF256" s="60"/>
    </row>
    <row r="257" spans="2:140" ht="12.75" hidden="1" customHeight="1">
      <c r="B257" s="93" t="s">
        <v>646</v>
      </c>
      <c r="C257" s="22" t="s">
        <v>639</v>
      </c>
      <c r="D257" s="22" t="s">
        <v>640</v>
      </c>
      <c r="E257" s="2" t="str">
        <f>VLOOKUP($C257,[1]Detail!$C:$AK,6,0)</f>
        <v>PMT1</v>
      </c>
      <c r="F257" s="2" t="str">
        <f>VLOOKUP($C257,[1]Detail!$C:$AK,7,0)</f>
        <v>TH</v>
      </c>
      <c r="G257" s="2" t="str">
        <f>VLOOKUP($C257,[1]Detail!$C:$AK,5,0)</f>
        <v>B</v>
      </c>
      <c r="J257" s="22" t="s">
        <v>126</v>
      </c>
      <c r="K257" s="23" t="s">
        <v>642</v>
      </c>
      <c r="L257" s="22" t="s">
        <v>132</v>
      </c>
      <c r="M257" s="51" t="str">
        <f t="shared" si="212"/>
        <v>JD8B-13W030-AB</v>
      </c>
      <c r="O257" s="22">
        <v>1</v>
      </c>
      <c r="P257" s="22">
        <v>1</v>
      </c>
      <c r="Q257" s="22">
        <v>1</v>
      </c>
      <c r="R257" s="22">
        <v>1</v>
      </c>
      <c r="S257" s="22">
        <v>1</v>
      </c>
      <c r="T257" s="22">
        <v>1</v>
      </c>
      <c r="U257" s="22">
        <v>0</v>
      </c>
      <c r="V257" s="22">
        <v>0</v>
      </c>
      <c r="W257" s="64">
        <f t="shared" si="213"/>
        <v>0.9</v>
      </c>
      <c r="Y257" s="8">
        <f>-273.6*0-274.62</f>
        <v>-274.62</v>
      </c>
      <c r="Z257" s="8">
        <v>-7.59</v>
      </c>
      <c r="AA257" s="8">
        <v>-2.36</v>
      </c>
      <c r="AB257" s="8">
        <v>0</v>
      </c>
      <c r="AC257" s="8">
        <v>-3.99</v>
      </c>
      <c r="AD257" s="8">
        <f t="shared" si="205"/>
        <v>-288.56</v>
      </c>
      <c r="AE257" s="2" t="s">
        <v>91</v>
      </c>
      <c r="AG257" s="8">
        <v>0</v>
      </c>
      <c r="AH257" s="8">
        <v>0</v>
      </c>
      <c r="AJ257" s="71" t="s">
        <v>643</v>
      </c>
      <c r="AK257" s="71"/>
      <c r="AL257" s="72"/>
      <c r="AM257" s="22"/>
      <c r="AO257" s="22" t="s">
        <v>126</v>
      </c>
      <c r="AP257" s="23" t="s">
        <v>642</v>
      </c>
      <c r="AQ257" s="22" t="s">
        <v>100</v>
      </c>
      <c r="AR257" s="51" t="str">
        <f t="shared" si="201"/>
        <v>JD8B-13W030-AA</v>
      </c>
      <c r="AS257" s="3"/>
      <c r="AT257" s="22">
        <v>1</v>
      </c>
      <c r="AU257" s="22">
        <v>1</v>
      </c>
      <c r="AV257" s="22">
        <v>1</v>
      </c>
      <c r="AW257" s="22">
        <v>1</v>
      </c>
      <c r="AX257" s="22">
        <v>1</v>
      </c>
      <c r="AY257" s="22">
        <v>1</v>
      </c>
      <c r="AZ257" s="22">
        <v>0</v>
      </c>
      <c r="BA257" s="22">
        <v>0</v>
      </c>
      <c r="BB257" s="64">
        <f t="shared" si="202"/>
        <v>0.9</v>
      </c>
      <c r="BD257" s="60">
        <f>-273.6*0-274.63</f>
        <v>-274.63</v>
      </c>
      <c r="BE257" s="60">
        <v>-7.59</v>
      </c>
      <c r="BF257" s="60">
        <v>-2.36</v>
      </c>
      <c r="BG257" s="60">
        <v>0</v>
      </c>
      <c r="BH257" s="60">
        <v>-3.99</v>
      </c>
      <c r="BI257" s="8">
        <f t="shared" si="206"/>
        <v>-288.57</v>
      </c>
      <c r="BJ257" s="2" t="s">
        <v>91</v>
      </c>
      <c r="BL257" s="70">
        <v>0</v>
      </c>
      <c r="BM257" s="70">
        <v>0</v>
      </c>
      <c r="BO257" s="71" t="s">
        <v>643</v>
      </c>
      <c r="BP257" s="71"/>
      <c r="BQ257" s="72"/>
      <c r="BS257" s="61">
        <f t="shared" si="214"/>
        <v>9.9999999999909051E-3</v>
      </c>
      <c r="BT257" s="61">
        <f t="shared" si="215"/>
        <v>0</v>
      </c>
      <c r="BU257" s="61">
        <f t="shared" si="216"/>
        <v>0</v>
      </c>
      <c r="BV257" s="61">
        <f t="shared" si="216"/>
        <v>0</v>
      </c>
      <c r="BW257" s="61">
        <f t="shared" si="216"/>
        <v>0</v>
      </c>
      <c r="BX257" s="61">
        <f t="shared" si="216"/>
        <v>9.9999999999909051E-3</v>
      </c>
      <c r="BY257" s="61" t="s">
        <v>91</v>
      </c>
      <c r="CA257" s="61">
        <f t="shared" si="191"/>
        <v>1.5044380923711306E-3</v>
      </c>
      <c r="CB257" s="61">
        <f t="shared" si="191"/>
        <v>1.5044380923711306E-3</v>
      </c>
      <c r="CC257" s="61">
        <f t="shared" si="191"/>
        <v>1.5044380923711306E-3</v>
      </c>
      <c r="CD257" s="61">
        <f t="shared" si="189"/>
        <v>1.5044380923711306E-3</v>
      </c>
      <c r="CE257" s="61">
        <f t="shared" si="189"/>
        <v>1.5044380923711306E-3</v>
      </c>
      <c r="CF257" s="61">
        <f t="shared" si="189"/>
        <v>1.5044380923711306E-3</v>
      </c>
      <c r="CG257" s="61">
        <f t="shared" si="189"/>
        <v>0</v>
      </c>
      <c r="CH257" s="61">
        <f t="shared" si="189"/>
        <v>0</v>
      </c>
      <c r="CI257" s="61">
        <f t="shared" si="176"/>
        <v>1.3539942831340174E-3</v>
      </c>
      <c r="CJ257" s="61"/>
      <c r="CK257" s="61">
        <f t="shared" si="192"/>
        <v>1.5044380923711306E-3</v>
      </c>
      <c r="CL257" s="61">
        <f t="shared" si="192"/>
        <v>1.5044380923711306E-3</v>
      </c>
      <c r="CM257" s="61">
        <f t="shared" si="192"/>
        <v>1.5044380923711306E-3</v>
      </c>
      <c r="CN257" s="61">
        <f t="shared" si="190"/>
        <v>1.5044380923711306E-3</v>
      </c>
      <c r="CO257" s="61">
        <f t="shared" si="190"/>
        <v>1.5044380923711306E-3</v>
      </c>
      <c r="CP257" s="61">
        <f t="shared" si="190"/>
        <v>1.5044380923711306E-3</v>
      </c>
      <c r="CQ257" s="61">
        <f t="shared" si="190"/>
        <v>0</v>
      </c>
      <c r="CR257" s="61">
        <f t="shared" si="190"/>
        <v>0</v>
      </c>
      <c r="CS257" s="61">
        <f t="shared" si="177"/>
        <v>1.3539942831340174E-3</v>
      </c>
      <c r="CT257" s="61">
        <f t="shared" si="178"/>
        <v>8.9999999999918132E-3</v>
      </c>
      <c r="CV257" s="61">
        <f t="shared" si="179"/>
        <v>0</v>
      </c>
      <c r="CW257" s="61">
        <f t="shared" si="207"/>
        <v>0</v>
      </c>
      <c r="CX257" s="61"/>
      <c r="CY257" s="61">
        <f t="shared" si="208"/>
        <v>0</v>
      </c>
      <c r="CZ257" s="61">
        <f t="shared" si="163"/>
        <v>0</v>
      </c>
      <c r="DA257" s="61">
        <f t="shared" si="163"/>
        <v>0</v>
      </c>
      <c r="DB257" s="2" t="s">
        <v>85</v>
      </c>
      <c r="DC257" s="2" t="s">
        <v>85</v>
      </c>
      <c r="DD257" s="2" t="s">
        <v>142</v>
      </c>
      <c r="DE257" s="2" t="s">
        <v>181</v>
      </c>
      <c r="DG257" s="62"/>
      <c r="DZ257" s="3" t="e">
        <v>#N/A</v>
      </c>
      <c r="EC257" s="60"/>
      <c r="ED257" s="60"/>
      <c r="EE257" s="60"/>
      <c r="EF257" s="60"/>
    </row>
    <row r="258" spans="2:140" ht="12.75" hidden="1" customHeight="1">
      <c r="B258" s="93" t="s">
        <v>646</v>
      </c>
      <c r="C258" s="22" t="s">
        <v>639</v>
      </c>
      <c r="D258" s="22" t="s">
        <v>640</v>
      </c>
      <c r="E258" s="2" t="str">
        <f>VLOOKUP($C258,[1]Detail!$C:$AK,6,0)</f>
        <v>PMT1</v>
      </c>
      <c r="F258" s="2" t="str">
        <f>VLOOKUP($C258,[1]Detail!$C:$AK,7,0)</f>
        <v>TH</v>
      </c>
      <c r="G258" s="2" t="str">
        <f>VLOOKUP($C258,[1]Detail!$C:$AK,5,0)</f>
        <v>B</v>
      </c>
      <c r="J258" s="22" t="s">
        <v>126</v>
      </c>
      <c r="K258" s="23" t="s">
        <v>644</v>
      </c>
      <c r="L258" s="22" t="s">
        <v>132</v>
      </c>
      <c r="M258" s="51" t="str">
        <f t="shared" si="212"/>
        <v>JD8B-13D154-AB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1</v>
      </c>
      <c r="V258" s="22">
        <v>1</v>
      </c>
      <c r="W258" s="64">
        <f t="shared" si="213"/>
        <v>0.1</v>
      </c>
      <c r="Y258" s="8">
        <v>-909.96</v>
      </c>
      <c r="Z258" s="8">
        <v>-7.59</v>
      </c>
      <c r="AA258" s="8">
        <v>-2.36</v>
      </c>
      <c r="AB258" s="8">
        <v>0</v>
      </c>
      <c r="AC258" s="8">
        <v>-3.99</v>
      </c>
      <c r="AD258" s="8">
        <f t="shared" si="205"/>
        <v>-923.90000000000009</v>
      </c>
      <c r="AE258" s="2" t="s">
        <v>91</v>
      </c>
      <c r="AG258" s="6">
        <f>-10983400*0-11253400</f>
        <v>-11253400</v>
      </c>
      <c r="AH258" s="6">
        <f>-10983400*0-11253400</f>
        <v>-11253400</v>
      </c>
      <c r="AI258" s="6"/>
      <c r="AJ258" s="71">
        <v>-458382.3</v>
      </c>
      <c r="AK258" s="71">
        <f>57489.9*2</f>
        <v>114979.8</v>
      </c>
      <c r="AL258" s="72"/>
      <c r="AM258" s="22"/>
      <c r="AO258" s="22" t="s">
        <v>126</v>
      </c>
      <c r="AP258" s="23" t="s">
        <v>647</v>
      </c>
      <c r="AQ258" s="22" t="s">
        <v>100</v>
      </c>
      <c r="AR258" s="51" t="str">
        <f t="shared" si="201"/>
        <v>JD8B-13D154 -AA</v>
      </c>
      <c r="AS258" s="3"/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1</v>
      </c>
      <c r="BA258" s="22">
        <v>1</v>
      </c>
      <c r="BB258" s="64">
        <f t="shared" si="202"/>
        <v>0.1</v>
      </c>
      <c r="BD258" s="60">
        <v>-907.9</v>
      </c>
      <c r="BE258" s="60">
        <v>-7.59</v>
      </c>
      <c r="BF258" s="60">
        <v>-2.36</v>
      </c>
      <c r="BG258" s="60">
        <v>0</v>
      </c>
      <c r="BH258" s="60">
        <v>-3.99</v>
      </c>
      <c r="BI258" s="8">
        <f t="shared" si="206"/>
        <v>-921.84</v>
      </c>
      <c r="BJ258" s="2" t="s">
        <v>91</v>
      </c>
      <c r="BL258" s="70">
        <v>-10983400</v>
      </c>
      <c r="BM258" s="70">
        <v>-10983400</v>
      </c>
      <c r="BO258" s="71">
        <v>-458382.3</v>
      </c>
      <c r="BP258" s="71">
        <f>57489.9*2</f>
        <v>114979.8</v>
      </c>
      <c r="BQ258" s="72"/>
      <c r="BS258" s="61">
        <f t="shared" si="214"/>
        <v>-2.0600000000000591</v>
      </c>
      <c r="BT258" s="61">
        <f t="shared" si="215"/>
        <v>0</v>
      </c>
      <c r="BU258" s="61">
        <f t="shared" si="216"/>
        <v>0</v>
      </c>
      <c r="BV258" s="61">
        <f t="shared" si="216"/>
        <v>0</v>
      </c>
      <c r="BW258" s="61">
        <f t="shared" si="216"/>
        <v>0</v>
      </c>
      <c r="BX258" s="61">
        <f t="shared" si="216"/>
        <v>-2.0600000000000591</v>
      </c>
      <c r="BY258" s="61" t="s">
        <v>91</v>
      </c>
      <c r="CA258" s="61">
        <f t="shared" si="191"/>
        <v>0</v>
      </c>
      <c r="CB258" s="61">
        <f t="shared" si="191"/>
        <v>0</v>
      </c>
      <c r="CC258" s="61">
        <f t="shared" si="191"/>
        <v>0</v>
      </c>
      <c r="CD258" s="61">
        <f t="shared" si="189"/>
        <v>0</v>
      </c>
      <c r="CE258" s="61">
        <f t="shared" si="189"/>
        <v>0</v>
      </c>
      <c r="CF258" s="61">
        <f t="shared" si="189"/>
        <v>0</v>
      </c>
      <c r="CG258" s="61">
        <f t="shared" si="189"/>
        <v>-0.30991424702874365</v>
      </c>
      <c r="CH258" s="61">
        <f t="shared" si="189"/>
        <v>-0.30991424702874365</v>
      </c>
      <c r="CI258" s="61">
        <f t="shared" si="176"/>
        <v>-3.0991424702874366E-2</v>
      </c>
      <c r="CJ258" s="61"/>
      <c r="CK258" s="61">
        <f t="shared" si="192"/>
        <v>0</v>
      </c>
      <c r="CL258" s="61">
        <f t="shared" si="192"/>
        <v>0</v>
      </c>
      <c r="CM258" s="61">
        <f t="shared" si="192"/>
        <v>0</v>
      </c>
      <c r="CN258" s="61">
        <f t="shared" si="190"/>
        <v>0</v>
      </c>
      <c r="CO258" s="61">
        <f t="shared" si="190"/>
        <v>0</v>
      </c>
      <c r="CP258" s="61">
        <f t="shared" si="190"/>
        <v>0</v>
      </c>
      <c r="CQ258" s="61">
        <f t="shared" si="190"/>
        <v>-0.30991424702874365</v>
      </c>
      <c r="CR258" s="61">
        <f t="shared" si="190"/>
        <v>-0.30991424702874365</v>
      </c>
      <c r="CS258" s="61">
        <f t="shared" si="177"/>
        <v>-3.0991424702874366E-2</v>
      </c>
      <c r="CT258" s="61">
        <f t="shared" si="178"/>
        <v>-0.20600000000000593</v>
      </c>
      <c r="CV258" s="61">
        <f t="shared" si="179"/>
        <v>-270000</v>
      </c>
      <c r="CW258" s="61">
        <f t="shared" si="207"/>
        <v>-270000</v>
      </c>
      <c r="CX258" s="61"/>
      <c r="CY258" s="61">
        <f t="shared" si="208"/>
        <v>0</v>
      </c>
      <c r="CZ258" s="61">
        <f t="shared" si="163"/>
        <v>0</v>
      </c>
      <c r="DA258" s="61">
        <f t="shared" si="163"/>
        <v>0</v>
      </c>
      <c r="DB258" s="2" t="s">
        <v>85</v>
      </c>
      <c r="DC258" s="2" t="s">
        <v>85</v>
      </c>
      <c r="DD258" s="2" t="s">
        <v>142</v>
      </c>
      <c r="DE258" s="2" t="s">
        <v>181</v>
      </c>
      <c r="DG258" s="62"/>
      <c r="DZ258" s="3" t="e">
        <v>#N/A</v>
      </c>
      <c r="EC258" s="60"/>
      <c r="ED258" s="60"/>
      <c r="EE258" s="60"/>
      <c r="EF258" s="60"/>
    </row>
    <row r="259" spans="2:140" ht="12.75" hidden="1" customHeight="1">
      <c r="B259" s="93" t="s">
        <v>646</v>
      </c>
      <c r="C259" s="22" t="s">
        <v>639</v>
      </c>
      <c r="D259" s="22" t="s">
        <v>640</v>
      </c>
      <c r="E259" s="2" t="str">
        <f>VLOOKUP($C259,[1]Detail!$C:$AK,6,0)</f>
        <v>PMT1</v>
      </c>
      <c r="F259" s="2" t="str">
        <f>VLOOKUP($C259,[1]Detail!$C:$AK,7,0)</f>
        <v>TH</v>
      </c>
      <c r="G259" s="2" t="str">
        <f>VLOOKUP($C259,[1]Detail!$C:$AK,5,0)</f>
        <v>B</v>
      </c>
      <c r="J259" s="22" t="s">
        <v>126</v>
      </c>
      <c r="K259" s="23" t="s">
        <v>645</v>
      </c>
      <c r="L259" s="22" t="s">
        <v>132</v>
      </c>
      <c r="M259" s="51" t="str">
        <f t="shared" si="212"/>
        <v>JD8B-13D155-AB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1</v>
      </c>
      <c r="V259" s="22">
        <v>1</v>
      </c>
      <c r="W259" s="64">
        <f t="shared" si="213"/>
        <v>0.1</v>
      </c>
      <c r="Y259" s="8">
        <v>-909.96</v>
      </c>
      <c r="Z259" s="8">
        <v>-7.59</v>
      </c>
      <c r="AA259" s="8">
        <v>-2.36</v>
      </c>
      <c r="AB259" s="8">
        <v>0</v>
      </c>
      <c r="AC259" s="8">
        <v>-3.99</v>
      </c>
      <c r="AD259" s="8">
        <f t="shared" si="205"/>
        <v>-923.90000000000009</v>
      </c>
      <c r="AE259" s="2" t="s">
        <v>91</v>
      </c>
      <c r="AG259" s="8">
        <v>0</v>
      </c>
      <c r="AH259" s="8">
        <v>0</v>
      </c>
      <c r="AJ259" s="71" t="s">
        <v>643</v>
      </c>
      <c r="AK259" s="71"/>
      <c r="AL259" s="72"/>
      <c r="AM259" s="22"/>
      <c r="AO259" s="22" t="s">
        <v>126</v>
      </c>
      <c r="AP259" s="23" t="s">
        <v>648</v>
      </c>
      <c r="AQ259" s="22" t="s">
        <v>100</v>
      </c>
      <c r="AR259" s="51" t="str">
        <f t="shared" si="201"/>
        <v>JD8B-13D155 -AA</v>
      </c>
      <c r="AS259" s="3"/>
      <c r="AT259" s="22">
        <v>0</v>
      </c>
      <c r="AU259" s="22">
        <v>0</v>
      </c>
      <c r="AV259" s="22">
        <v>0</v>
      </c>
      <c r="AW259" s="22">
        <v>0</v>
      </c>
      <c r="AX259" s="22">
        <v>0</v>
      </c>
      <c r="AY259" s="22">
        <v>0</v>
      </c>
      <c r="AZ259" s="22">
        <v>1</v>
      </c>
      <c r="BA259" s="22">
        <v>1</v>
      </c>
      <c r="BB259" s="64">
        <f t="shared" si="202"/>
        <v>0.1</v>
      </c>
      <c r="BD259" s="60">
        <v>-907.9</v>
      </c>
      <c r="BE259" s="60">
        <v>-7.59</v>
      </c>
      <c r="BF259" s="60">
        <v>-2.36</v>
      </c>
      <c r="BG259" s="60">
        <v>0</v>
      </c>
      <c r="BH259" s="60">
        <v>-3.99</v>
      </c>
      <c r="BI259" s="8">
        <f t="shared" si="206"/>
        <v>-921.84</v>
      </c>
      <c r="BJ259" s="2" t="s">
        <v>91</v>
      </c>
      <c r="BL259" s="70">
        <v>0</v>
      </c>
      <c r="BM259" s="70">
        <v>0</v>
      </c>
      <c r="BO259" s="71" t="s">
        <v>643</v>
      </c>
      <c r="BP259" s="71"/>
      <c r="BQ259" s="72"/>
      <c r="BS259" s="61">
        <f t="shared" si="214"/>
        <v>-2.0600000000000591</v>
      </c>
      <c r="BT259" s="61">
        <f t="shared" si="215"/>
        <v>0</v>
      </c>
      <c r="BU259" s="61">
        <f t="shared" si="216"/>
        <v>0</v>
      </c>
      <c r="BV259" s="61">
        <f t="shared" si="216"/>
        <v>0</v>
      </c>
      <c r="BW259" s="61">
        <f t="shared" si="216"/>
        <v>0</v>
      </c>
      <c r="BX259" s="61">
        <f t="shared" si="216"/>
        <v>-2.0600000000000591</v>
      </c>
      <c r="BY259" s="61" t="s">
        <v>91</v>
      </c>
      <c r="CA259" s="61">
        <f t="shared" si="191"/>
        <v>0</v>
      </c>
      <c r="CB259" s="61">
        <f t="shared" si="191"/>
        <v>0</v>
      </c>
      <c r="CC259" s="61">
        <f t="shared" si="191"/>
        <v>0</v>
      </c>
      <c r="CD259" s="61">
        <f t="shared" si="189"/>
        <v>0</v>
      </c>
      <c r="CE259" s="61">
        <f t="shared" si="189"/>
        <v>0</v>
      </c>
      <c r="CF259" s="61">
        <f t="shared" si="189"/>
        <v>0</v>
      </c>
      <c r="CG259" s="61">
        <f t="shared" si="189"/>
        <v>-0.30991424702874365</v>
      </c>
      <c r="CH259" s="61">
        <f t="shared" si="189"/>
        <v>-0.30991424702874365</v>
      </c>
      <c r="CI259" s="61">
        <f t="shared" si="176"/>
        <v>-3.0991424702874366E-2</v>
      </c>
      <c r="CJ259" s="61"/>
      <c r="CK259" s="61">
        <f t="shared" si="192"/>
        <v>0</v>
      </c>
      <c r="CL259" s="61">
        <f t="shared" si="192"/>
        <v>0</v>
      </c>
      <c r="CM259" s="61">
        <f t="shared" si="192"/>
        <v>0</v>
      </c>
      <c r="CN259" s="61">
        <f t="shared" si="190"/>
        <v>0</v>
      </c>
      <c r="CO259" s="61">
        <f t="shared" si="190"/>
        <v>0</v>
      </c>
      <c r="CP259" s="61">
        <f t="shared" si="190"/>
        <v>0</v>
      </c>
      <c r="CQ259" s="61">
        <f t="shared" si="190"/>
        <v>-0.30991424702874365</v>
      </c>
      <c r="CR259" s="61">
        <f t="shared" si="190"/>
        <v>-0.30991424702874365</v>
      </c>
      <c r="CS259" s="61">
        <f t="shared" si="177"/>
        <v>-3.0991424702874366E-2</v>
      </c>
      <c r="CT259" s="61">
        <f t="shared" si="178"/>
        <v>-0.20600000000000593</v>
      </c>
      <c r="CV259" s="61">
        <f t="shared" si="179"/>
        <v>0</v>
      </c>
      <c r="CW259" s="61">
        <f t="shared" si="207"/>
        <v>0</v>
      </c>
      <c r="CX259" s="61"/>
      <c r="CY259" s="61">
        <f t="shared" si="208"/>
        <v>0</v>
      </c>
      <c r="CZ259" s="61">
        <f t="shared" ref="CZ259:DA330" si="220">SUM(AK259)-SUM(BP259)</f>
        <v>0</v>
      </c>
      <c r="DA259" s="61">
        <f t="shared" si="220"/>
        <v>0</v>
      </c>
      <c r="DB259" s="2" t="s">
        <v>85</v>
      </c>
      <c r="DC259" s="2" t="s">
        <v>85</v>
      </c>
      <c r="DD259" s="2" t="s">
        <v>142</v>
      </c>
      <c r="DE259" s="2" t="s">
        <v>181</v>
      </c>
      <c r="DG259" s="62"/>
      <c r="DZ259" s="3" t="e">
        <v>#N/A</v>
      </c>
      <c r="EC259" s="60"/>
      <c r="ED259" s="60"/>
      <c r="EE259" s="60"/>
      <c r="EF259" s="60"/>
    </row>
    <row r="260" spans="2:140" ht="12.75" hidden="1" customHeight="1">
      <c r="B260" s="85" t="s">
        <v>649</v>
      </c>
      <c r="C260" s="22" t="s">
        <v>630</v>
      </c>
      <c r="D260" s="22" t="s">
        <v>631</v>
      </c>
      <c r="E260" s="2" t="str">
        <f>VLOOKUP($C260,[1]Detail!$C:$AK,6,0)</f>
        <v>PMT1</v>
      </c>
      <c r="F260" s="2" t="str">
        <f>VLOOKUP($C260,[1]Detail!$C:$AK,7,0)</f>
        <v>TH</v>
      </c>
      <c r="G260" s="2" t="str">
        <f>VLOOKUP($C260,[1]Detail!$C:$AK,5,0)</f>
        <v>B</v>
      </c>
      <c r="J260" s="22" t="s">
        <v>126</v>
      </c>
      <c r="K260" s="23" t="s">
        <v>632</v>
      </c>
      <c r="L260" s="22" t="s">
        <v>132</v>
      </c>
      <c r="M260" s="51" t="str">
        <f t="shared" si="212"/>
        <v>JD8B-13A602-AB</v>
      </c>
      <c r="O260" s="22">
        <v>1</v>
      </c>
      <c r="P260" s="22">
        <v>1</v>
      </c>
      <c r="Q260" s="22">
        <v>1</v>
      </c>
      <c r="R260" s="22">
        <v>1</v>
      </c>
      <c r="S260" s="22">
        <v>1</v>
      </c>
      <c r="T260" s="22">
        <v>1</v>
      </c>
      <c r="U260" s="22">
        <v>1</v>
      </c>
      <c r="V260" s="22">
        <v>1</v>
      </c>
      <c r="W260" s="64">
        <f t="shared" si="213"/>
        <v>1</v>
      </c>
      <c r="Y260" s="8">
        <f t="shared" ref="Y260:Y265" si="221">-82.01*0-83.67</f>
        <v>-83.67</v>
      </c>
      <c r="Z260" s="8">
        <v>-1.04</v>
      </c>
      <c r="AA260" s="8">
        <v>-1.32</v>
      </c>
      <c r="AB260" s="8">
        <v>0</v>
      </c>
      <c r="AC260" s="8">
        <v>-1.8</v>
      </c>
      <c r="AD260" s="8">
        <f t="shared" si="205"/>
        <v>-87.83</v>
      </c>
      <c r="AE260" s="2" t="s">
        <v>91</v>
      </c>
      <c r="AG260" s="8">
        <v>-5250000</v>
      </c>
      <c r="AH260" s="8">
        <v>-5250000</v>
      </c>
      <c r="AI260" s="6"/>
      <c r="AJ260" s="71">
        <v>-2066772</v>
      </c>
      <c r="AK260" s="71">
        <f>574899*2</f>
        <v>1149798</v>
      </c>
      <c r="AL260" s="72"/>
      <c r="AM260" s="22"/>
      <c r="AO260" s="22" t="s">
        <v>126</v>
      </c>
      <c r="AP260" s="23" t="s">
        <v>632</v>
      </c>
      <c r="AQ260" s="22" t="s">
        <v>100</v>
      </c>
      <c r="AR260" s="51" t="str">
        <f t="shared" si="201"/>
        <v>JD8B-13A602-AA</v>
      </c>
      <c r="AS260" s="3"/>
      <c r="AT260" s="22">
        <v>1</v>
      </c>
      <c r="AU260" s="22">
        <v>1</v>
      </c>
      <c r="AV260" s="22">
        <v>1</v>
      </c>
      <c r="AW260" s="22">
        <v>1</v>
      </c>
      <c r="AX260" s="22">
        <v>1</v>
      </c>
      <c r="AY260" s="22">
        <v>1</v>
      </c>
      <c r="AZ260" s="22">
        <v>1</v>
      </c>
      <c r="BA260" s="22">
        <v>1</v>
      </c>
      <c r="BB260" s="64">
        <f t="shared" si="202"/>
        <v>1</v>
      </c>
      <c r="BD260" s="60">
        <f t="shared" ref="BD260:BD265" si="222">-82.01*0-83.67</f>
        <v>-83.67</v>
      </c>
      <c r="BE260" s="60">
        <v>-1.04</v>
      </c>
      <c r="BF260" s="60">
        <v>-1.32</v>
      </c>
      <c r="BG260" s="60">
        <v>0</v>
      </c>
      <c r="BH260" s="60">
        <v>-1.8</v>
      </c>
      <c r="BI260" s="8">
        <f t="shared" si="206"/>
        <v>-87.83</v>
      </c>
      <c r="BJ260" s="2" t="s">
        <v>91</v>
      </c>
      <c r="BL260" s="70">
        <v>-5250000</v>
      </c>
      <c r="BM260" s="70">
        <v>-5250000</v>
      </c>
      <c r="BO260" s="71">
        <v>-2066772</v>
      </c>
      <c r="BP260" s="71">
        <f>574899*2</f>
        <v>1149798</v>
      </c>
      <c r="BQ260" s="72"/>
      <c r="BS260" s="61">
        <f t="shared" si="214"/>
        <v>0</v>
      </c>
      <c r="BT260" s="61">
        <f t="shared" si="215"/>
        <v>0</v>
      </c>
      <c r="BU260" s="61">
        <f t="shared" si="216"/>
        <v>0</v>
      </c>
      <c r="BV260" s="61">
        <f t="shared" si="216"/>
        <v>0</v>
      </c>
      <c r="BW260" s="61">
        <f t="shared" si="216"/>
        <v>0</v>
      </c>
      <c r="BX260" s="61">
        <f t="shared" si="216"/>
        <v>0</v>
      </c>
      <c r="BY260" s="61" t="s">
        <v>91</v>
      </c>
      <c r="CA260" s="61">
        <f t="shared" si="191"/>
        <v>0</v>
      </c>
      <c r="CB260" s="61">
        <f t="shared" si="191"/>
        <v>0</v>
      </c>
      <c r="CC260" s="61">
        <f t="shared" si="191"/>
        <v>0</v>
      </c>
      <c r="CD260" s="61">
        <f t="shared" si="189"/>
        <v>0</v>
      </c>
      <c r="CE260" s="61">
        <f t="shared" si="189"/>
        <v>0</v>
      </c>
      <c r="CF260" s="61">
        <f t="shared" si="189"/>
        <v>0</v>
      </c>
      <c r="CG260" s="61">
        <f t="shared" si="189"/>
        <v>0</v>
      </c>
      <c r="CH260" s="61">
        <f t="shared" si="189"/>
        <v>0</v>
      </c>
      <c r="CI260" s="61">
        <f t="shared" si="176"/>
        <v>0</v>
      </c>
      <c r="CJ260" s="61"/>
      <c r="CK260" s="61">
        <f t="shared" si="192"/>
        <v>0</v>
      </c>
      <c r="CL260" s="61">
        <f t="shared" si="192"/>
        <v>0</v>
      </c>
      <c r="CM260" s="61">
        <f t="shared" si="192"/>
        <v>0</v>
      </c>
      <c r="CN260" s="61">
        <f t="shared" si="190"/>
        <v>0</v>
      </c>
      <c r="CO260" s="61">
        <f t="shared" si="190"/>
        <v>0</v>
      </c>
      <c r="CP260" s="61">
        <f t="shared" si="190"/>
        <v>0</v>
      </c>
      <c r="CQ260" s="61">
        <f t="shared" si="190"/>
        <v>0</v>
      </c>
      <c r="CR260" s="61">
        <f t="shared" si="190"/>
        <v>0</v>
      </c>
      <c r="CS260" s="61">
        <f t="shared" si="177"/>
        <v>0</v>
      </c>
      <c r="CT260" s="61">
        <f t="shared" si="178"/>
        <v>0</v>
      </c>
      <c r="CV260" s="61">
        <f t="shared" si="179"/>
        <v>0</v>
      </c>
      <c r="CW260" s="61">
        <f t="shared" si="207"/>
        <v>0</v>
      </c>
      <c r="CX260" s="61"/>
      <c r="CY260" s="61">
        <f t="shared" si="208"/>
        <v>0</v>
      </c>
      <c r="CZ260" s="61">
        <f t="shared" si="220"/>
        <v>0</v>
      </c>
      <c r="DA260" s="61">
        <f t="shared" si="220"/>
        <v>0</v>
      </c>
      <c r="DB260" s="2" t="s">
        <v>85</v>
      </c>
      <c r="DC260" s="2" t="s">
        <v>85</v>
      </c>
      <c r="DD260" s="2" t="s">
        <v>142</v>
      </c>
      <c r="DE260" s="2" t="s">
        <v>181</v>
      </c>
      <c r="DF260" s="3" t="s">
        <v>86</v>
      </c>
      <c r="DG260" s="62">
        <v>42796</v>
      </c>
      <c r="EC260" s="60"/>
      <c r="ED260" s="60"/>
      <c r="EE260" s="60"/>
      <c r="EF260" s="60"/>
    </row>
    <row r="261" spans="2:140" ht="12.75" hidden="1" customHeight="1">
      <c r="B261" s="93" t="s">
        <v>649</v>
      </c>
      <c r="C261" s="22" t="s">
        <v>630</v>
      </c>
      <c r="D261" s="22" t="s">
        <v>631</v>
      </c>
      <c r="E261" s="2" t="str">
        <f>VLOOKUP($C261,[1]Detail!$C:$AK,6,0)</f>
        <v>PMT1</v>
      </c>
      <c r="F261" s="2" t="str">
        <f>VLOOKUP($C261,[1]Detail!$C:$AK,7,0)</f>
        <v>TH</v>
      </c>
      <c r="G261" s="2" t="str">
        <f>VLOOKUP($C261,[1]Detail!$C:$AK,5,0)</f>
        <v>B</v>
      </c>
      <c r="J261" s="22" t="s">
        <v>126</v>
      </c>
      <c r="K261" s="23" t="s">
        <v>633</v>
      </c>
      <c r="L261" s="22" t="s">
        <v>132</v>
      </c>
      <c r="M261" s="51" t="str">
        <f t="shared" si="212"/>
        <v>JD8B-13A603-AB</v>
      </c>
      <c r="O261" s="22">
        <v>1</v>
      </c>
      <c r="P261" s="22">
        <v>1</v>
      </c>
      <c r="Q261" s="22">
        <v>1</v>
      </c>
      <c r="R261" s="22">
        <v>1</v>
      </c>
      <c r="S261" s="22">
        <v>1</v>
      </c>
      <c r="T261" s="22">
        <v>1</v>
      </c>
      <c r="U261" s="22">
        <v>1</v>
      </c>
      <c r="V261" s="22">
        <v>1</v>
      </c>
      <c r="W261" s="64">
        <f t="shared" si="213"/>
        <v>1</v>
      </c>
      <c r="Y261" s="8">
        <f t="shared" si="221"/>
        <v>-83.67</v>
      </c>
      <c r="Z261" s="8">
        <v>-1.04</v>
      </c>
      <c r="AA261" s="8">
        <v>-1.32</v>
      </c>
      <c r="AB261" s="8">
        <v>0</v>
      </c>
      <c r="AC261" s="8">
        <v>-1.8</v>
      </c>
      <c r="AD261" s="8">
        <f t="shared" si="205"/>
        <v>-87.83</v>
      </c>
      <c r="AE261" s="2" t="s">
        <v>91</v>
      </c>
      <c r="AG261" s="8">
        <v>0</v>
      </c>
      <c r="AH261" s="8">
        <v>0</v>
      </c>
      <c r="AJ261" s="71" t="s">
        <v>634</v>
      </c>
      <c r="AK261" s="71"/>
      <c r="AL261" s="72"/>
      <c r="AM261" s="22"/>
      <c r="AO261" s="22" t="s">
        <v>126</v>
      </c>
      <c r="AP261" s="23" t="s">
        <v>633</v>
      </c>
      <c r="AQ261" s="22" t="s">
        <v>100</v>
      </c>
      <c r="AR261" s="51" t="str">
        <f t="shared" si="201"/>
        <v>JD8B-13A603-AA</v>
      </c>
      <c r="AS261" s="3"/>
      <c r="AT261" s="22">
        <v>1</v>
      </c>
      <c r="AU261" s="22">
        <v>1</v>
      </c>
      <c r="AV261" s="22">
        <v>1</v>
      </c>
      <c r="AW261" s="22">
        <v>1</v>
      </c>
      <c r="AX261" s="22">
        <v>1</v>
      </c>
      <c r="AY261" s="22">
        <v>1</v>
      </c>
      <c r="AZ261" s="22">
        <v>1</v>
      </c>
      <c r="BA261" s="22">
        <v>1</v>
      </c>
      <c r="BB261" s="64">
        <f t="shared" si="202"/>
        <v>1</v>
      </c>
      <c r="BD261" s="60">
        <f t="shared" si="222"/>
        <v>-83.67</v>
      </c>
      <c r="BE261" s="60">
        <v>-1.04</v>
      </c>
      <c r="BF261" s="60">
        <v>-1.32</v>
      </c>
      <c r="BG261" s="60">
        <v>0</v>
      </c>
      <c r="BH261" s="60">
        <v>-1.8</v>
      </c>
      <c r="BI261" s="8">
        <f t="shared" si="206"/>
        <v>-87.83</v>
      </c>
      <c r="BJ261" s="2" t="s">
        <v>91</v>
      </c>
      <c r="BL261" s="70">
        <v>0</v>
      </c>
      <c r="BM261" s="70">
        <v>0</v>
      </c>
      <c r="BO261" s="71" t="s">
        <v>634</v>
      </c>
      <c r="BP261" s="71"/>
      <c r="BQ261" s="72"/>
      <c r="BS261" s="61">
        <f t="shared" si="214"/>
        <v>0</v>
      </c>
      <c r="BT261" s="61">
        <f t="shared" si="215"/>
        <v>0</v>
      </c>
      <c r="BU261" s="61">
        <f t="shared" si="216"/>
        <v>0</v>
      </c>
      <c r="BV261" s="61">
        <f t="shared" si="216"/>
        <v>0</v>
      </c>
      <c r="BW261" s="61">
        <f t="shared" si="216"/>
        <v>0</v>
      </c>
      <c r="BX261" s="61">
        <f t="shared" si="216"/>
        <v>0</v>
      </c>
      <c r="BY261" s="61" t="s">
        <v>91</v>
      </c>
      <c r="CA261" s="61">
        <f t="shared" si="191"/>
        <v>0</v>
      </c>
      <c r="CB261" s="61">
        <f t="shared" si="191"/>
        <v>0</v>
      </c>
      <c r="CC261" s="61">
        <f t="shared" si="191"/>
        <v>0</v>
      </c>
      <c r="CD261" s="61">
        <f t="shared" si="189"/>
        <v>0</v>
      </c>
      <c r="CE261" s="61">
        <f t="shared" si="189"/>
        <v>0</v>
      </c>
      <c r="CF261" s="61">
        <f t="shared" si="189"/>
        <v>0</v>
      </c>
      <c r="CG261" s="61">
        <f t="shared" si="189"/>
        <v>0</v>
      </c>
      <c r="CH261" s="61">
        <f t="shared" si="189"/>
        <v>0</v>
      </c>
      <c r="CI261" s="61">
        <f t="shared" si="176"/>
        <v>0</v>
      </c>
      <c r="CJ261" s="61"/>
      <c r="CK261" s="61">
        <f t="shared" si="192"/>
        <v>0</v>
      </c>
      <c r="CL261" s="61">
        <f t="shared" si="192"/>
        <v>0</v>
      </c>
      <c r="CM261" s="61">
        <f t="shared" si="192"/>
        <v>0</v>
      </c>
      <c r="CN261" s="61">
        <f t="shared" si="190"/>
        <v>0</v>
      </c>
      <c r="CO261" s="61">
        <f t="shared" si="190"/>
        <v>0</v>
      </c>
      <c r="CP261" s="61">
        <f t="shared" si="190"/>
        <v>0</v>
      </c>
      <c r="CQ261" s="61">
        <f t="shared" si="190"/>
        <v>0</v>
      </c>
      <c r="CR261" s="61">
        <f t="shared" si="190"/>
        <v>0</v>
      </c>
      <c r="CS261" s="61">
        <f t="shared" si="177"/>
        <v>0</v>
      </c>
      <c r="CT261" s="61">
        <f t="shared" si="178"/>
        <v>0</v>
      </c>
      <c r="CV261" s="61">
        <f t="shared" si="179"/>
        <v>0</v>
      </c>
      <c r="CW261" s="61">
        <f t="shared" si="207"/>
        <v>0</v>
      </c>
      <c r="CX261" s="61"/>
      <c r="CY261" s="61">
        <f t="shared" si="208"/>
        <v>0</v>
      </c>
      <c r="CZ261" s="61">
        <f t="shared" si="220"/>
        <v>0</v>
      </c>
      <c r="DA261" s="61">
        <f t="shared" si="220"/>
        <v>0</v>
      </c>
      <c r="DB261" s="2" t="s">
        <v>85</v>
      </c>
      <c r="DC261" s="2" t="s">
        <v>85</v>
      </c>
      <c r="DD261" s="2" t="s">
        <v>142</v>
      </c>
      <c r="DE261" s="2" t="s">
        <v>181</v>
      </c>
      <c r="DF261" s="3" t="s">
        <v>86</v>
      </c>
      <c r="DG261" s="62">
        <v>42796</v>
      </c>
      <c r="EC261" s="60"/>
      <c r="ED261" s="60"/>
      <c r="EE261" s="60"/>
      <c r="EF261" s="60"/>
    </row>
    <row r="262" spans="2:140" ht="12.75" hidden="1" customHeight="1">
      <c r="B262" s="93" t="s">
        <v>650</v>
      </c>
      <c r="C262" s="22" t="s">
        <v>630</v>
      </c>
      <c r="D262" s="22" t="s">
        <v>631</v>
      </c>
      <c r="E262" s="2" t="str">
        <f>VLOOKUP($C262,[1]Detail!$C:$AK,6,0)</f>
        <v>PMT1</v>
      </c>
      <c r="F262" s="2" t="str">
        <f>VLOOKUP($C262,[1]Detail!$C:$AK,7,0)</f>
        <v>TH</v>
      </c>
      <c r="G262" s="2" t="str">
        <f>VLOOKUP($C262,[1]Detail!$C:$AK,5,0)</f>
        <v>B</v>
      </c>
      <c r="J262" s="22" t="s">
        <v>126</v>
      </c>
      <c r="K262" s="23" t="s">
        <v>632</v>
      </c>
      <c r="L262" s="22" t="s">
        <v>162</v>
      </c>
      <c r="M262" s="51" t="str">
        <f t="shared" si="212"/>
        <v>JD8B-13A602-AD</v>
      </c>
      <c r="O262" s="22">
        <v>1</v>
      </c>
      <c r="P262" s="22">
        <v>1</v>
      </c>
      <c r="Q262" s="22">
        <v>1</v>
      </c>
      <c r="R262" s="22">
        <v>1</v>
      </c>
      <c r="S262" s="22">
        <v>1</v>
      </c>
      <c r="T262" s="22">
        <v>1</v>
      </c>
      <c r="U262" s="22">
        <v>1</v>
      </c>
      <c r="V262" s="22">
        <v>1</v>
      </c>
      <c r="W262" s="64">
        <f t="shared" si="213"/>
        <v>1</v>
      </c>
      <c r="Y262" s="8">
        <f t="shared" si="221"/>
        <v>-83.67</v>
      </c>
      <c r="Z262" s="8">
        <v>-1.04</v>
      </c>
      <c r="AA262" s="8">
        <v>-1.32</v>
      </c>
      <c r="AB262" s="8">
        <v>0</v>
      </c>
      <c r="AC262" s="8">
        <v>-1.8</v>
      </c>
      <c r="AD262" s="8">
        <f t="shared" si="205"/>
        <v>-87.83</v>
      </c>
      <c r="AE262" s="2" t="s">
        <v>91</v>
      </c>
      <c r="AG262" s="8">
        <v>-5344241</v>
      </c>
      <c r="AH262" s="8">
        <v>-5344241</v>
      </c>
      <c r="AI262" s="6"/>
      <c r="AJ262" s="71">
        <v>-2066772</v>
      </c>
      <c r="AK262" s="71">
        <f>574899*2</f>
        <v>1149798</v>
      </c>
      <c r="AL262" s="72"/>
      <c r="AM262" s="22"/>
      <c r="AO262" s="22" t="s">
        <v>126</v>
      </c>
      <c r="AP262" s="23" t="s">
        <v>632</v>
      </c>
      <c r="AQ262" s="22" t="s">
        <v>234</v>
      </c>
      <c r="AR262" s="51" t="str">
        <f t="shared" si="201"/>
        <v>JD8B-13A602-AC</v>
      </c>
      <c r="AS262" s="3"/>
      <c r="AT262" s="22">
        <v>1</v>
      </c>
      <c r="AU262" s="22">
        <v>1</v>
      </c>
      <c r="AV262" s="22">
        <v>1</v>
      </c>
      <c r="AW262" s="22">
        <v>1</v>
      </c>
      <c r="AX262" s="22">
        <v>1</v>
      </c>
      <c r="AY262" s="22">
        <v>1</v>
      </c>
      <c r="AZ262" s="22">
        <v>1</v>
      </c>
      <c r="BA262" s="22">
        <v>1</v>
      </c>
      <c r="BB262" s="64">
        <f t="shared" si="202"/>
        <v>1</v>
      </c>
      <c r="BD262" s="8">
        <f t="shared" si="222"/>
        <v>-83.67</v>
      </c>
      <c r="BE262" s="8">
        <v>-1.04</v>
      </c>
      <c r="BF262" s="8">
        <v>-1.32</v>
      </c>
      <c r="BG262" s="8">
        <v>0</v>
      </c>
      <c r="BH262" s="8">
        <v>-1.8</v>
      </c>
      <c r="BI262" s="8">
        <f t="shared" ref="BI262:BI265" si="223">SUM(BD262:BH262)</f>
        <v>-87.83</v>
      </c>
      <c r="BJ262" s="2" t="s">
        <v>91</v>
      </c>
      <c r="BL262" s="8">
        <v>-5344241</v>
      </c>
      <c r="BM262" s="8">
        <v>-5344241</v>
      </c>
      <c r="BO262" s="71">
        <v>-2066772</v>
      </c>
      <c r="BP262" s="71">
        <f>574899*2</f>
        <v>1149798</v>
      </c>
      <c r="BQ262" s="72"/>
      <c r="BS262" s="61">
        <f t="shared" si="214"/>
        <v>0</v>
      </c>
      <c r="BT262" s="61">
        <f t="shared" si="215"/>
        <v>0</v>
      </c>
      <c r="BU262" s="61">
        <f t="shared" si="216"/>
        <v>0</v>
      </c>
      <c r="BV262" s="61">
        <f t="shared" si="216"/>
        <v>0</v>
      </c>
      <c r="BW262" s="61">
        <f t="shared" si="216"/>
        <v>0</v>
      </c>
      <c r="BX262" s="61">
        <f t="shared" si="216"/>
        <v>0</v>
      </c>
      <c r="BY262" s="61" t="s">
        <v>91</v>
      </c>
      <c r="CA262" s="61">
        <f t="shared" si="191"/>
        <v>0</v>
      </c>
      <c r="CB262" s="61">
        <f t="shared" si="191"/>
        <v>0</v>
      </c>
      <c r="CC262" s="61">
        <f t="shared" si="191"/>
        <v>0</v>
      </c>
      <c r="CD262" s="61">
        <f t="shared" si="189"/>
        <v>0</v>
      </c>
      <c r="CE262" s="61">
        <f t="shared" si="189"/>
        <v>0</v>
      </c>
      <c r="CF262" s="61">
        <f t="shared" si="189"/>
        <v>0</v>
      </c>
      <c r="CG262" s="61">
        <f t="shared" si="189"/>
        <v>0</v>
      </c>
      <c r="CH262" s="61">
        <f t="shared" si="189"/>
        <v>0</v>
      </c>
      <c r="CI262" s="61">
        <f t="shared" si="176"/>
        <v>0</v>
      </c>
      <c r="CJ262" s="61"/>
      <c r="CK262" s="61">
        <f t="shared" si="192"/>
        <v>0</v>
      </c>
      <c r="CL262" s="61">
        <f t="shared" si="192"/>
        <v>0</v>
      </c>
      <c r="CM262" s="61">
        <f t="shared" si="192"/>
        <v>0</v>
      </c>
      <c r="CN262" s="61">
        <f t="shared" si="190"/>
        <v>0</v>
      </c>
      <c r="CO262" s="61">
        <f t="shared" si="190"/>
        <v>0</v>
      </c>
      <c r="CP262" s="61">
        <f t="shared" si="190"/>
        <v>0</v>
      </c>
      <c r="CQ262" s="61">
        <f t="shared" si="190"/>
        <v>0</v>
      </c>
      <c r="CR262" s="61">
        <f t="shared" si="190"/>
        <v>0</v>
      </c>
      <c r="CS262" s="61">
        <f t="shared" si="177"/>
        <v>0</v>
      </c>
      <c r="CT262" s="61">
        <f t="shared" si="178"/>
        <v>0</v>
      </c>
      <c r="CV262" s="61">
        <f t="shared" si="179"/>
        <v>0</v>
      </c>
      <c r="CW262" s="61">
        <f t="shared" ref="CW262:CW265" si="224">SUM(AH262)-SUM(BM262)</f>
        <v>0</v>
      </c>
      <c r="CX262" s="61"/>
      <c r="CY262" s="61">
        <f t="shared" si="208"/>
        <v>0</v>
      </c>
      <c r="CZ262" s="61">
        <f t="shared" si="220"/>
        <v>0</v>
      </c>
      <c r="DA262" s="61">
        <f t="shared" si="220"/>
        <v>0</v>
      </c>
      <c r="DB262" s="2" t="s">
        <v>85</v>
      </c>
      <c r="DC262" s="2" t="s">
        <v>85</v>
      </c>
      <c r="DD262" s="2" t="s">
        <v>142</v>
      </c>
      <c r="DE262" s="2" t="s">
        <v>106</v>
      </c>
      <c r="DF262" s="3" t="s">
        <v>102</v>
      </c>
      <c r="DG262" s="62">
        <v>43087</v>
      </c>
      <c r="EC262" s="60"/>
      <c r="ED262" s="60"/>
      <c r="EE262" s="60"/>
      <c r="EF262" s="60"/>
    </row>
    <row r="263" spans="2:140" ht="12.75" hidden="1" customHeight="1">
      <c r="B263" s="93" t="s">
        <v>650</v>
      </c>
      <c r="C263" s="22" t="s">
        <v>630</v>
      </c>
      <c r="D263" s="22" t="s">
        <v>631</v>
      </c>
      <c r="E263" s="2" t="str">
        <f>VLOOKUP($C263,[1]Detail!$C:$AK,6,0)</f>
        <v>PMT1</v>
      </c>
      <c r="F263" s="2" t="str">
        <f>VLOOKUP($C263,[1]Detail!$C:$AK,7,0)</f>
        <v>TH</v>
      </c>
      <c r="G263" s="2" t="str">
        <f>VLOOKUP($C263,[1]Detail!$C:$AK,5,0)</f>
        <v>B</v>
      </c>
      <c r="J263" s="22" t="s">
        <v>126</v>
      </c>
      <c r="K263" s="23" t="s">
        <v>633</v>
      </c>
      <c r="L263" s="22" t="s">
        <v>162</v>
      </c>
      <c r="M263" s="51" t="str">
        <f t="shared" si="212"/>
        <v>JD8B-13A603-AD</v>
      </c>
      <c r="O263" s="22">
        <v>1</v>
      </c>
      <c r="P263" s="22">
        <v>1</v>
      </c>
      <c r="Q263" s="22">
        <v>1</v>
      </c>
      <c r="R263" s="22">
        <v>1</v>
      </c>
      <c r="S263" s="22">
        <v>1</v>
      </c>
      <c r="T263" s="22">
        <v>1</v>
      </c>
      <c r="U263" s="22">
        <v>1</v>
      </c>
      <c r="V263" s="22">
        <v>1</v>
      </c>
      <c r="W263" s="64">
        <f t="shared" si="213"/>
        <v>1</v>
      </c>
      <c r="Y263" s="8">
        <f t="shared" si="221"/>
        <v>-83.67</v>
      </c>
      <c r="Z263" s="8">
        <v>-1.04</v>
      </c>
      <c r="AA263" s="8">
        <v>-1.32</v>
      </c>
      <c r="AB263" s="8">
        <v>0</v>
      </c>
      <c r="AC263" s="8">
        <v>-1.8</v>
      </c>
      <c r="AD263" s="8">
        <f t="shared" si="205"/>
        <v>-87.83</v>
      </c>
      <c r="AE263" s="2" t="s">
        <v>91</v>
      </c>
      <c r="AG263" s="8">
        <v>0</v>
      </c>
      <c r="AH263" s="8">
        <v>0</v>
      </c>
      <c r="AJ263" s="71" t="s">
        <v>634</v>
      </c>
      <c r="AK263" s="71"/>
      <c r="AL263" s="72"/>
      <c r="AM263" s="22"/>
      <c r="AO263" s="22" t="s">
        <v>126</v>
      </c>
      <c r="AP263" s="23" t="s">
        <v>633</v>
      </c>
      <c r="AQ263" s="22" t="s">
        <v>234</v>
      </c>
      <c r="AR263" s="51" t="str">
        <f t="shared" si="201"/>
        <v>JD8B-13A603-AC</v>
      </c>
      <c r="AS263" s="3"/>
      <c r="AT263" s="22">
        <v>1</v>
      </c>
      <c r="AU263" s="22">
        <v>1</v>
      </c>
      <c r="AV263" s="22">
        <v>1</v>
      </c>
      <c r="AW263" s="22">
        <v>1</v>
      </c>
      <c r="AX263" s="22">
        <v>1</v>
      </c>
      <c r="AY263" s="22">
        <v>1</v>
      </c>
      <c r="AZ263" s="22">
        <v>1</v>
      </c>
      <c r="BA263" s="22">
        <v>1</v>
      </c>
      <c r="BB263" s="64">
        <f t="shared" si="202"/>
        <v>1</v>
      </c>
      <c r="BD263" s="8">
        <f t="shared" si="222"/>
        <v>-83.67</v>
      </c>
      <c r="BE263" s="8">
        <v>-1.04</v>
      </c>
      <c r="BF263" s="8">
        <v>-1.32</v>
      </c>
      <c r="BG263" s="8">
        <v>0</v>
      </c>
      <c r="BH263" s="8">
        <v>-1.8</v>
      </c>
      <c r="BI263" s="8">
        <f t="shared" si="223"/>
        <v>-87.83</v>
      </c>
      <c r="BJ263" s="2" t="s">
        <v>91</v>
      </c>
      <c r="BL263" s="70">
        <v>0</v>
      </c>
      <c r="BM263" s="70">
        <v>0</v>
      </c>
      <c r="BO263" s="71" t="s">
        <v>634</v>
      </c>
      <c r="BP263" s="71"/>
      <c r="BQ263" s="72"/>
      <c r="BS263" s="61">
        <f t="shared" si="214"/>
        <v>0</v>
      </c>
      <c r="BT263" s="61">
        <f t="shared" si="215"/>
        <v>0</v>
      </c>
      <c r="BU263" s="61">
        <f t="shared" si="216"/>
        <v>0</v>
      </c>
      <c r="BV263" s="61">
        <f t="shared" si="216"/>
        <v>0</v>
      </c>
      <c r="BW263" s="61">
        <f t="shared" si="216"/>
        <v>0</v>
      </c>
      <c r="BX263" s="61">
        <f t="shared" si="216"/>
        <v>0</v>
      </c>
      <c r="BY263" s="61" t="s">
        <v>91</v>
      </c>
      <c r="CA263" s="61">
        <f t="shared" si="191"/>
        <v>0</v>
      </c>
      <c r="CB263" s="61">
        <f t="shared" si="191"/>
        <v>0</v>
      </c>
      <c r="CC263" s="61">
        <f t="shared" si="191"/>
        <v>0</v>
      </c>
      <c r="CD263" s="61">
        <f t="shared" si="189"/>
        <v>0</v>
      </c>
      <c r="CE263" s="61">
        <f t="shared" si="189"/>
        <v>0</v>
      </c>
      <c r="CF263" s="61">
        <f t="shared" si="189"/>
        <v>0</v>
      </c>
      <c r="CG263" s="61">
        <f t="shared" si="189"/>
        <v>0</v>
      </c>
      <c r="CH263" s="61">
        <f t="shared" si="189"/>
        <v>0</v>
      </c>
      <c r="CI263" s="61">
        <f t="shared" ref="CI263:CI326" si="225">SUMPRODUCT(CA263:CH263,$O$6:$V$6)</f>
        <v>0</v>
      </c>
      <c r="CJ263" s="61"/>
      <c r="CK263" s="61">
        <f t="shared" si="192"/>
        <v>0</v>
      </c>
      <c r="CL263" s="61">
        <f t="shared" si="192"/>
        <v>0</v>
      </c>
      <c r="CM263" s="61">
        <f t="shared" si="192"/>
        <v>0</v>
      </c>
      <c r="CN263" s="61">
        <f t="shared" si="190"/>
        <v>0</v>
      </c>
      <c r="CO263" s="61">
        <f t="shared" si="190"/>
        <v>0</v>
      </c>
      <c r="CP263" s="61">
        <f t="shared" si="190"/>
        <v>0</v>
      </c>
      <c r="CQ263" s="61">
        <f t="shared" si="190"/>
        <v>0</v>
      </c>
      <c r="CR263" s="61">
        <f t="shared" si="190"/>
        <v>0</v>
      </c>
      <c r="CS263" s="61">
        <f t="shared" ref="CS263:CS326" si="226">SUMPRODUCT(CK263:CR263,$O$6:$V$6)</f>
        <v>0</v>
      </c>
      <c r="CT263" s="61">
        <f t="shared" ref="CT263:CT326" si="227">CS263*$C$2</f>
        <v>0</v>
      </c>
      <c r="CV263" s="61">
        <f t="shared" ref="CV263:CV326" si="228">SUM(AG263)-SUM(BL263)</f>
        <v>0</v>
      </c>
      <c r="CW263" s="61">
        <f t="shared" si="224"/>
        <v>0</v>
      </c>
      <c r="CX263" s="61"/>
      <c r="CY263" s="61">
        <f t="shared" si="208"/>
        <v>0</v>
      </c>
      <c r="CZ263" s="61">
        <f t="shared" si="220"/>
        <v>0</v>
      </c>
      <c r="DA263" s="61">
        <f t="shared" si="220"/>
        <v>0</v>
      </c>
      <c r="DB263" s="2" t="s">
        <v>85</v>
      </c>
      <c r="DC263" s="2" t="s">
        <v>85</v>
      </c>
      <c r="DD263" s="2" t="s">
        <v>142</v>
      </c>
      <c r="DE263" s="2" t="s">
        <v>106</v>
      </c>
      <c r="DF263" s="3" t="s">
        <v>102</v>
      </c>
      <c r="DG263" s="62">
        <v>43087</v>
      </c>
      <c r="EC263" s="60"/>
      <c r="ED263" s="60"/>
      <c r="EE263" s="60"/>
      <c r="EF263" s="60"/>
    </row>
    <row r="264" spans="2:140" ht="12.75" hidden="1" customHeight="1">
      <c r="B264" s="93" t="s">
        <v>651</v>
      </c>
      <c r="C264" s="22" t="s">
        <v>630</v>
      </c>
      <c r="D264" s="22" t="s">
        <v>631</v>
      </c>
      <c r="E264" s="2" t="str">
        <f>VLOOKUP($C264,[1]Detail!$C:$AK,6,0)</f>
        <v>PMT1</v>
      </c>
      <c r="F264" s="2" t="str">
        <f>VLOOKUP($C264,[1]Detail!$C:$AK,7,0)</f>
        <v>TH</v>
      </c>
      <c r="G264" s="2" t="str">
        <f>VLOOKUP($C264,[1]Detail!$C:$AK,5,0)</f>
        <v>B</v>
      </c>
      <c r="J264" s="22" t="s">
        <v>126</v>
      </c>
      <c r="K264" s="23" t="s">
        <v>632</v>
      </c>
      <c r="L264" s="22" t="s">
        <v>129</v>
      </c>
      <c r="M264" s="51" t="str">
        <f t="shared" si="212"/>
        <v>JD8B-13A602-AE</v>
      </c>
      <c r="O264" s="22">
        <v>1</v>
      </c>
      <c r="P264" s="22">
        <v>1</v>
      </c>
      <c r="Q264" s="22">
        <v>1</v>
      </c>
      <c r="R264" s="22">
        <v>1</v>
      </c>
      <c r="S264" s="22">
        <v>1</v>
      </c>
      <c r="T264" s="22">
        <v>1</v>
      </c>
      <c r="U264" s="22">
        <v>1</v>
      </c>
      <c r="V264" s="22">
        <v>1</v>
      </c>
      <c r="W264" s="64">
        <f t="shared" si="213"/>
        <v>1</v>
      </c>
      <c r="Y264" s="8">
        <f t="shared" si="221"/>
        <v>-83.67</v>
      </c>
      <c r="Z264" s="8">
        <v>-1.04</v>
      </c>
      <c r="AA264" s="8">
        <v>-1.32</v>
      </c>
      <c r="AB264" s="8">
        <v>0</v>
      </c>
      <c r="AC264" s="8">
        <v>-1.8</v>
      </c>
      <c r="AD264" s="8">
        <f t="shared" si="205"/>
        <v>-87.83</v>
      </c>
      <c r="AE264" s="2" t="s">
        <v>91</v>
      </c>
      <c r="AG264" s="8">
        <f>-157899-5344241</f>
        <v>-5502140</v>
      </c>
      <c r="AH264" s="8">
        <f>-157899-5344241</f>
        <v>-5502140</v>
      </c>
      <c r="AI264" s="6"/>
      <c r="AJ264" s="71">
        <v>-2066772</v>
      </c>
      <c r="AK264" s="71">
        <f>574899*2</f>
        <v>1149798</v>
      </c>
      <c r="AL264" s="72"/>
      <c r="AM264" s="22"/>
      <c r="AO264" s="22" t="s">
        <v>126</v>
      </c>
      <c r="AP264" s="23" t="s">
        <v>632</v>
      </c>
      <c r="AQ264" s="22" t="s">
        <v>162</v>
      </c>
      <c r="AR264" s="51" t="str">
        <f t="shared" si="201"/>
        <v>JD8B-13A602-AD</v>
      </c>
      <c r="AS264" s="3"/>
      <c r="AT264" s="22">
        <v>1</v>
      </c>
      <c r="AU264" s="22">
        <v>1</v>
      </c>
      <c r="AV264" s="22">
        <v>1</v>
      </c>
      <c r="AW264" s="22">
        <v>1</v>
      </c>
      <c r="AX264" s="22">
        <v>1</v>
      </c>
      <c r="AY264" s="22">
        <v>1</v>
      </c>
      <c r="AZ264" s="22">
        <v>1</v>
      </c>
      <c r="BA264" s="22">
        <v>1</v>
      </c>
      <c r="BB264" s="64">
        <f t="shared" si="202"/>
        <v>1</v>
      </c>
      <c r="BD264" s="8">
        <f t="shared" si="222"/>
        <v>-83.67</v>
      </c>
      <c r="BE264" s="8">
        <v>-1.04</v>
      </c>
      <c r="BF264" s="8">
        <v>-1.32</v>
      </c>
      <c r="BG264" s="8">
        <v>0</v>
      </c>
      <c r="BH264" s="8">
        <v>-1.8</v>
      </c>
      <c r="BI264" s="8">
        <f t="shared" si="223"/>
        <v>-87.83</v>
      </c>
      <c r="BJ264" s="2" t="s">
        <v>91</v>
      </c>
      <c r="BL264" s="8">
        <v>-5344241</v>
      </c>
      <c r="BM264" s="8">
        <v>-5344241</v>
      </c>
      <c r="BN264" s="6"/>
      <c r="BO264" s="71">
        <v>-2066772</v>
      </c>
      <c r="BP264" s="71">
        <f>574899*2</f>
        <v>1149798</v>
      </c>
      <c r="BQ264" s="72"/>
      <c r="BS264" s="61">
        <f t="shared" si="214"/>
        <v>0</v>
      </c>
      <c r="BT264" s="61">
        <f t="shared" si="215"/>
        <v>0</v>
      </c>
      <c r="BU264" s="61">
        <f t="shared" si="216"/>
        <v>0</v>
      </c>
      <c r="BV264" s="61">
        <f t="shared" si="216"/>
        <v>0</v>
      </c>
      <c r="BW264" s="61">
        <f t="shared" si="216"/>
        <v>0</v>
      </c>
      <c r="BX264" s="61">
        <f t="shared" si="216"/>
        <v>0</v>
      </c>
      <c r="BY264" s="61" t="s">
        <v>91</v>
      </c>
      <c r="CA264" s="61">
        <f t="shared" si="191"/>
        <v>0</v>
      </c>
      <c r="CB264" s="61">
        <f t="shared" si="191"/>
        <v>0</v>
      </c>
      <c r="CC264" s="61">
        <f t="shared" si="191"/>
        <v>0</v>
      </c>
      <c r="CD264" s="61">
        <f t="shared" si="189"/>
        <v>0</v>
      </c>
      <c r="CE264" s="61">
        <f t="shared" si="189"/>
        <v>0</v>
      </c>
      <c r="CF264" s="61">
        <f t="shared" si="189"/>
        <v>0</v>
      </c>
      <c r="CG264" s="61">
        <f t="shared" si="189"/>
        <v>0</v>
      </c>
      <c r="CH264" s="61">
        <f t="shared" si="189"/>
        <v>0</v>
      </c>
      <c r="CI264" s="61">
        <f t="shared" si="225"/>
        <v>0</v>
      </c>
      <c r="CJ264" s="61"/>
      <c r="CK264" s="61">
        <f t="shared" si="192"/>
        <v>0</v>
      </c>
      <c r="CL264" s="61">
        <f t="shared" si="192"/>
        <v>0</v>
      </c>
      <c r="CM264" s="61">
        <f t="shared" si="192"/>
        <v>0</v>
      </c>
      <c r="CN264" s="61">
        <f t="shared" si="190"/>
        <v>0</v>
      </c>
      <c r="CO264" s="61">
        <f t="shared" si="190"/>
        <v>0</v>
      </c>
      <c r="CP264" s="61">
        <f t="shared" si="190"/>
        <v>0</v>
      </c>
      <c r="CQ264" s="61">
        <f t="shared" si="190"/>
        <v>0</v>
      </c>
      <c r="CR264" s="61">
        <f t="shared" si="190"/>
        <v>0</v>
      </c>
      <c r="CS264" s="61">
        <f t="shared" si="226"/>
        <v>0</v>
      </c>
      <c r="CT264" s="61">
        <f t="shared" si="227"/>
        <v>0</v>
      </c>
      <c r="CV264" s="61">
        <f t="shared" si="228"/>
        <v>-157899</v>
      </c>
      <c r="CW264" s="61">
        <f t="shared" si="224"/>
        <v>-157899</v>
      </c>
      <c r="CX264" s="61"/>
      <c r="CY264" s="61">
        <f t="shared" si="208"/>
        <v>0</v>
      </c>
      <c r="CZ264" s="61">
        <f t="shared" si="220"/>
        <v>0</v>
      </c>
      <c r="DA264" s="61">
        <f t="shared" si="220"/>
        <v>0</v>
      </c>
      <c r="DB264" s="2" t="s">
        <v>86</v>
      </c>
      <c r="DC264" s="2" t="s">
        <v>85</v>
      </c>
      <c r="DD264" s="2" t="s">
        <v>142</v>
      </c>
      <c r="DE264" s="2" t="s">
        <v>106</v>
      </c>
      <c r="DF264" s="3" t="s">
        <v>86</v>
      </c>
      <c r="DG264" s="62">
        <v>43105</v>
      </c>
      <c r="EC264" s="60" t="str">
        <f>VLOOKUP($M264,[1]Detail!$M:$BO,1,0)</f>
        <v>JD8B-13A602-AE</v>
      </c>
      <c r="ED264" s="60">
        <f>VLOOKUP($M264,[1]Detail!$M:$BO,22,0)</f>
        <v>-87.83</v>
      </c>
      <c r="EE264" s="60">
        <f>VLOOKUP($M264,[1]Detail!$M:$BO,42,0)</f>
        <v>-5502140</v>
      </c>
      <c r="EF264" s="60">
        <f>VLOOKUP($M264,[1]Detail!$M:$BO,45,0)</f>
        <v>-2066772</v>
      </c>
      <c r="EH264" s="60">
        <f>ED264-AD264</f>
        <v>0</v>
      </c>
      <c r="EI264" s="60">
        <f>EE264-AG264</f>
        <v>0</v>
      </c>
      <c r="EJ264" s="60">
        <f t="shared" ref="EJ264:EJ265" si="229">EF264-AJ264</f>
        <v>0</v>
      </c>
    </row>
    <row r="265" spans="2:140" ht="12.75" hidden="1" customHeight="1">
      <c r="B265" s="93" t="s">
        <v>651</v>
      </c>
      <c r="C265" s="22" t="s">
        <v>630</v>
      </c>
      <c r="D265" s="22" t="s">
        <v>631</v>
      </c>
      <c r="E265" s="2" t="str">
        <f>VLOOKUP($C265,[1]Detail!$C:$AK,6,0)</f>
        <v>PMT1</v>
      </c>
      <c r="F265" s="2" t="str">
        <f>VLOOKUP($C265,[1]Detail!$C:$AK,7,0)</f>
        <v>TH</v>
      </c>
      <c r="G265" s="2" t="str">
        <f>VLOOKUP($C265,[1]Detail!$C:$AK,5,0)</f>
        <v>B</v>
      </c>
      <c r="J265" s="22" t="s">
        <v>126</v>
      </c>
      <c r="K265" s="23" t="s">
        <v>633</v>
      </c>
      <c r="L265" s="22" t="s">
        <v>129</v>
      </c>
      <c r="M265" s="51" t="str">
        <f t="shared" si="212"/>
        <v>JD8B-13A603-AE</v>
      </c>
      <c r="O265" s="22">
        <v>1</v>
      </c>
      <c r="P265" s="22">
        <v>1</v>
      </c>
      <c r="Q265" s="22">
        <v>1</v>
      </c>
      <c r="R265" s="22">
        <v>1</v>
      </c>
      <c r="S265" s="22">
        <v>1</v>
      </c>
      <c r="T265" s="22">
        <v>1</v>
      </c>
      <c r="U265" s="22">
        <v>1</v>
      </c>
      <c r="V265" s="22">
        <v>1</v>
      </c>
      <c r="W265" s="64">
        <f t="shared" si="213"/>
        <v>1</v>
      </c>
      <c r="Y265" s="8">
        <f t="shared" si="221"/>
        <v>-83.67</v>
      </c>
      <c r="Z265" s="8">
        <v>-1.04</v>
      </c>
      <c r="AA265" s="8">
        <v>-1.32</v>
      </c>
      <c r="AB265" s="8">
        <v>0</v>
      </c>
      <c r="AC265" s="8">
        <v>-1.8</v>
      </c>
      <c r="AD265" s="8">
        <f t="shared" si="205"/>
        <v>-87.83</v>
      </c>
      <c r="AE265" s="2" t="s">
        <v>91</v>
      </c>
      <c r="AG265" s="8">
        <v>0</v>
      </c>
      <c r="AH265" s="8">
        <v>0</v>
      </c>
      <c r="AJ265" s="71" t="s">
        <v>634</v>
      </c>
      <c r="AK265" s="71"/>
      <c r="AL265" s="72"/>
      <c r="AM265" s="22"/>
      <c r="AO265" s="22" t="s">
        <v>126</v>
      </c>
      <c r="AP265" s="23" t="s">
        <v>633</v>
      </c>
      <c r="AQ265" s="22" t="s">
        <v>162</v>
      </c>
      <c r="AR265" s="51" t="str">
        <f t="shared" si="201"/>
        <v>JD8B-13A603-AD</v>
      </c>
      <c r="AS265" s="3"/>
      <c r="AT265" s="22">
        <v>1</v>
      </c>
      <c r="AU265" s="22">
        <v>1</v>
      </c>
      <c r="AV265" s="22">
        <v>1</v>
      </c>
      <c r="AW265" s="22">
        <v>1</v>
      </c>
      <c r="AX265" s="22">
        <v>1</v>
      </c>
      <c r="AY265" s="22">
        <v>1</v>
      </c>
      <c r="AZ265" s="22">
        <v>1</v>
      </c>
      <c r="BA265" s="22">
        <v>1</v>
      </c>
      <c r="BB265" s="64">
        <f t="shared" si="202"/>
        <v>1</v>
      </c>
      <c r="BD265" s="8">
        <f t="shared" si="222"/>
        <v>-83.67</v>
      </c>
      <c r="BE265" s="8">
        <v>-1.04</v>
      </c>
      <c r="BF265" s="8">
        <v>-1.32</v>
      </c>
      <c r="BG265" s="8">
        <v>0</v>
      </c>
      <c r="BH265" s="8">
        <v>-1.8</v>
      </c>
      <c r="BI265" s="8">
        <f t="shared" si="223"/>
        <v>-87.83</v>
      </c>
      <c r="BJ265" s="2" t="s">
        <v>91</v>
      </c>
      <c r="BL265" s="8">
        <v>0</v>
      </c>
      <c r="BM265" s="8">
        <v>0</v>
      </c>
      <c r="BO265" s="71" t="s">
        <v>634</v>
      </c>
      <c r="BP265" s="71"/>
      <c r="BQ265" s="72"/>
      <c r="BS265" s="61">
        <f t="shared" si="214"/>
        <v>0</v>
      </c>
      <c r="BT265" s="61">
        <f t="shared" si="215"/>
        <v>0</v>
      </c>
      <c r="BU265" s="61">
        <f t="shared" si="216"/>
        <v>0</v>
      </c>
      <c r="BV265" s="61">
        <f t="shared" si="216"/>
        <v>0</v>
      </c>
      <c r="BW265" s="61">
        <f t="shared" si="216"/>
        <v>0</v>
      </c>
      <c r="BX265" s="61">
        <f t="shared" si="216"/>
        <v>0</v>
      </c>
      <c r="BY265" s="61" t="s">
        <v>91</v>
      </c>
      <c r="CA265" s="61">
        <f t="shared" si="191"/>
        <v>0</v>
      </c>
      <c r="CB265" s="61">
        <f t="shared" si="191"/>
        <v>0</v>
      </c>
      <c r="CC265" s="61">
        <f t="shared" si="191"/>
        <v>0</v>
      </c>
      <c r="CD265" s="61">
        <f t="shared" si="189"/>
        <v>0</v>
      </c>
      <c r="CE265" s="61">
        <f t="shared" si="189"/>
        <v>0</v>
      </c>
      <c r="CF265" s="61">
        <f t="shared" si="189"/>
        <v>0</v>
      </c>
      <c r="CG265" s="61">
        <f t="shared" si="189"/>
        <v>0</v>
      </c>
      <c r="CH265" s="61">
        <f t="shared" si="189"/>
        <v>0</v>
      </c>
      <c r="CI265" s="61">
        <f t="shared" si="225"/>
        <v>0</v>
      </c>
      <c r="CJ265" s="61"/>
      <c r="CK265" s="61">
        <f t="shared" si="192"/>
        <v>0</v>
      </c>
      <c r="CL265" s="61">
        <f t="shared" si="192"/>
        <v>0</v>
      </c>
      <c r="CM265" s="61">
        <f t="shared" si="192"/>
        <v>0</v>
      </c>
      <c r="CN265" s="61">
        <f t="shared" si="190"/>
        <v>0</v>
      </c>
      <c r="CO265" s="61">
        <f t="shared" si="190"/>
        <v>0</v>
      </c>
      <c r="CP265" s="61">
        <f t="shared" si="190"/>
        <v>0</v>
      </c>
      <c r="CQ265" s="61">
        <f t="shared" si="190"/>
        <v>0</v>
      </c>
      <c r="CR265" s="61">
        <f t="shared" si="190"/>
        <v>0</v>
      </c>
      <c r="CS265" s="61">
        <f t="shared" si="226"/>
        <v>0</v>
      </c>
      <c r="CT265" s="61">
        <f t="shared" si="227"/>
        <v>0</v>
      </c>
      <c r="CV265" s="61">
        <f t="shared" si="228"/>
        <v>0</v>
      </c>
      <c r="CW265" s="61">
        <f t="shared" si="224"/>
        <v>0</v>
      </c>
      <c r="CX265" s="61"/>
      <c r="CY265" s="61">
        <f t="shared" si="208"/>
        <v>0</v>
      </c>
      <c r="CZ265" s="61">
        <f t="shared" si="220"/>
        <v>0</v>
      </c>
      <c r="DA265" s="61">
        <f t="shared" si="220"/>
        <v>0</v>
      </c>
      <c r="DB265" s="2" t="s">
        <v>86</v>
      </c>
      <c r="DC265" s="2" t="s">
        <v>85</v>
      </c>
      <c r="DD265" s="2" t="s">
        <v>142</v>
      </c>
      <c r="DE265" s="2" t="s">
        <v>106</v>
      </c>
      <c r="DF265" s="3" t="s">
        <v>86</v>
      </c>
      <c r="DG265" s="62">
        <v>43105</v>
      </c>
      <c r="EC265" s="60" t="str">
        <f>VLOOKUP($M265,[1]Detail!$M:$BO,1,0)</f>
        <v>JD8B-13A603-AE</v>
      </c>
      <c r="ED265" s="60">
        <f>VLOOKUP($M265,[1]Detail!$M:$BO,22,0)</f>
        <v>-87.83</v>
      </c>
      <c r="EE265" s="60">
        <f>VLOOKUP($M265,[1]Detail!$M:$BO,42,0)</f>
        <v>0</v>
      </c>
      <c r="EF265" s="60" t="str">
        <f>VLOOKUP($M265,[1]Detail!$M:$BO,45,0)</f>
        <v>incl. in above</v>
      </c>
      <c r="EH265" s="60">
        <f>ED265-AD265</f>
        <v>0</v>
      </c>
      <c r="EI265" s="60">
        <f>EE265-AG265</f>
        <v>0</v>
      </c>
      <c r="EJ265" s="60" t="e">
        <f t="shared" si="229"/>
        <v>#VALUE!</v>
      </c>
    </row>
    <row r="266" spans="2:140" ht="12.75" hidden="1" customHeight="1">
      <c r="B266" s="93" t="s">
        <v>649</v>
      </c>
      <c r="C266" s="22" t="s">
        <v>630</v>
      </c>
      <c r="D266" s="22" t="s">
        <v>631</v>
      </c>
      <c r="E266" s="2" t="str">
        <f>VLOOKUP($C266,[1]Detail!$C:$AK,6,0)</f>
        <v>PMT1</v>
      </c>
      <c r="F266" s="2" t="str">
        <f>VLOOKUP($C266,[1]Detail!$C:$AK,7,0)</f>
        <v>TH</v>
      </c>
      <c r="G266" s="2" t="str">
        <f>VLOOKUP($C266,[1]Detail!$C:$AK,5,0)</f>
        <v>B</v>
      </c>
      <c r="J266" s="22" t="s">
        <v>126</v>
      </c>
      <c r="K266" s="23" t="s">
        <v>637</v>
      </c>
      <c r="L266" s="22" t="s">
        <v>132</v>
      </c>
      <c r="M266" s="51" t="str">
        <f t="shared" si="212"/>
        <v>JD8B-13B415-AB</v>
      </c>
      <c r="O266" s="22">
        <v>1</v>
      </c>
      <c r="P266" s="22">
        <v>1</v>
      </c>
      <c r="Q266" s="22">
        <v>1</v>
      </c>
      <c r="R266" s="22">
        <v>1</v>
      </c>
      <c r="S266" s="22">
        <v>1</v>
      </c>
      <c r="T266" s="22">
        <v>1</v>
      </c>
      <c r="U266" s="22">
        <v>1</v>
      </c>
      <c r="V266" s="22">
        <v>1</v>
      </c>
      <c r="W266" s="64">
        <f t="shared" si="213"/>
        <v>1</v>
      </c>
      <c r="Y266" s="8">
        <f>-28.75*0-25.58</f>
        <v>-25.58</v>
      </c>
      <c r="Z266" s="8">
        <v>-1.88</v>
      </c>
      <c r="AA266" s="8">
        <v>-0.22</v>
      </c>
      <c r="AB266" s="8">
        <v>0</v>
      </c>
      <c r="AC266" s="8">
        <v>0</v>
      </c>
      <c r="AD266" s="8">
        <f t="shared" ref="AD266:AD297" si="230">SUM(Y266:AC266)</f>
        <v>-27.679999999999996</v>
      </c>
      <c r="AE266" s="2" t="s">
        <v>91</v>
      </c>
      <c r="AG266" s="8">
        <v>-1480000</v>
      </c>
      <c r="AH266" s="8">
        <v>-1480000</v>
      </c>
      <c r="AI266" s="6"/>
      <c r="AJ266" s="71">
        <v>0</v>
      </c>
      <c r="AK266" s="71">
        <v>0</v>
      </c>
      <c r="AL266" s="72"/>
      <c r="AM266" s="22"/>
      <c r="AO266" s="22" t="s">
        <v>126</v>
      </c>
      <c r="AP266" s="23" t="s">
        <v>637</v>
      </c>
      <c r="AQ266" s="22" t="s">
        <v>100</v>
      </c>
      <c r="AR266" s="51" t="str">
        <f t="shared" si="201"/>
        <v>JD8B-13B415-AA</v>
      </c>
      <c r="AS266" s="3"/>
      <c r="AT266" s="22">
        <v>1</v>
      </c>
      <c r="AU266" s="22">
        <v>1</v>
      </c>
      <c r="AV266" s="22">
        <v>1</v>
      </c>
      <c r="AW266" s="22">
        <v>1</v>
      </c>
      <c r="AX266" s="22">
        <v>1</v>
      </c>
      <c r="AY266" s="22">
        <v>1</v>
      </c>
      <c r="AZ266" s="22">
        <v>1</v>
      </c>
      <c r="BA266" s="22">
        <v>1</v>
      </c>
      <c r="BB266" s="64">
        <f t="shared" si="202"/>
        <v>1</v>
      </c>
      <c r="BD266" s="60">
        <f>-28.75*0-25.58</f>
        <v>-25.58</v>
      </c>
      <c r="BE266" s="60">
        <v>-1.88</v>
      </c>
      <c r="BF266" s="60">
        <v>-0.22</v>
      </c>
      <c r="BG266" s="60">
        <v>0</v>
      </c>
      <c r="BH266" s="60">
        <v>0</v>
      </c>
      <c r="BI266" s="8">
        <f t="shared" si="206"/>
        <v>-27.679999999999996</v>
      </c>
      <c r="BJ266" s="2" t="s">
        <v>91</v>
      </c>
      <c r="BL266" s="70">
        <v>-1480000</v>
      </c>
      <c r="BM266" s="70">
        <v>-1480000</v>
      </c>
      <c r="BO266" s="71">
        <v>0</v>
      </c>
      <c r="BP266" s="71">
        <v>0</v>
      </c>
      <c r="BQ266" s="72"/>
      <c r="BS266" s="61">
        <f t="shared" si="214"/>
        <v>0</v>
      </c>
      <c r="BT266" s="61">
        <f t="shared" si="215"/>
        <v>0</v>
      </c>
      <c r="BU266" s="61">
        <f t="shared" si="216"/>
        <v>0</v>
      </c>
      <c r="BV266" s="61">
        <f t="shared" si="216"/>
        <v>0</v>
      </c>
      <c r="BW266" s="61">
        <f t="shared" si="216"/>
        <v>0</v>
      </c>
      <c r="BX266" s="61">
        <f t="shared" si="216"/>
        <v>0</v>
      </c>
      <c r="BY266" s="61" t="s">
        <v>91</v>
      </c>
      <c r="CA266" s="61">
        <f t="shared" si="191"/>
        <v>0</v>
      </c>
      <c r="CB266" s="61">
        <f t="shared" si="191"/>
        <v>0</v>
      </c>
      <c r="CC266" s="61">
        <f t="shared" si="191"/>
        <v>0</v>
      </c>
      <c r="CD266" s="61">
        <f t="shared" si="189"/>
        <v>0</v>
      </c>
      <c r="CE266" s="61">
        <f t="shared" si="189"/>
        <v>0</v>
      </c>
      <c r="CF266" s="61">
        <f t="shared" si="189"/>
        <v>0</v>
      </c>
      <c r="CG266" s="61">
        <f t="shared" si="189"/>
        <v>0</v>
      </c>
      <c r="CH266" s="61">
        <f t="shared" si="189"/>
        <v>0</v>
      </c>
      <c r="CI266" s="61">
        <f t="shared" si="225"/>
        <v>0</v>
      </c>
      <c r="CJ266" s="61"/>
      <c r="CK266" s="61">
        <f t="shared" si="192"/>
        <v>0</v>
      </c>
      <c r="CL266" s="61">
        <f t="shared" si="192"/>
        <v>0</v>
      </c>
      <c r="CM266" s="61">
        <f t="shared" si="192"/>
        <v>0</v>
      </c>
      <c r="CN266" s="61">
        <f t="shared" si="190"/>
        <v>0</v>
      </c>
      <c r="CO266" s="61">
        <f t="shared" si="190"/>
        <v>0</v>
      </c>
      <c r="CP266" s="61">
        <f t="shared" si="190"/>
        <v>0</v>
      </c>
      <c r="CQ266" s="61">
        <f t="shared" si="190"/>
        <v>0</v>
      </c>
      <c r="CR266" s="61">
        <f t="shared" si="190"/>
        <v>0</v>
      </c>
      <c r="CS266" s="61">
        <f t="shared" si="226"/>
        <v>0</v>
      </c>
      <c r="CT266" s="61">
        <f t="shared" si="227"/>
        <v>0</v>
      </c>
      <c r="CV266" s="61">
        <f t="shared" si="228"/>
        <v>0</v>
      </c>
      <c r="CW266" s="61">
        <f t="shared" si="207"/>
        <v>0</v>
      </c>
      <c r="CX266" s="61"/>
      <c r="CY266" s="61">
        <f t="shared" si="208"/>
        <v>0</v>
      </c>
      <c r="CZ266" s="61">
        <f t="shared" si="220"/>
        <v>0</v>
      </c>
      <c r="DA266" s="61">
        <f t="shared" si="220"/>
        <v>0</v>
      </c>
      <c r="DB266" s="2" t="s">
        <v>85</v>
      </c>
      <c r="DC266" s="2" t="s">
        <v>85</v>
      </c>
      <c r="DD266" s="2" t="s">
        <v>142</v>
      </c>
      <c r="DE266" s="2" t="s">
        <v>181</v>
      </c>
      <c r="DF266" s="3" t="s">
        <v>86</v>
      </c>
      <c r="DG266" s="62">
        <v>42796</v>
      </c>
      <c r="EC266" s="60"/>
      <c r="ED266" s="60"/>
      <c r="EE266" s="60"/>
      <c r="EF266" s="60"/>
    </row>
    <row r="267" spans="2:140" ht="12.75" hidden="1" customHeight="1">
      <c r="B267" s="93" t="s">
        <v>636</v>
      </c>
      <c r="C267" s="22" t="s">
        <v>630</v>
      </c>
      <c r="D267" s="22" t="s">
        <v>631</v>
      </c>
      <c r="E267" s="2" t="str">
        <f>VLOOKUP($C267,[1]Detail!$C:$AK,6,0)</f>
        <v>PMT1</v>
      </c>
      <c r="F267" s="2" t="str">
        <f>VLOOKUP($C267,[1]Detail!$C:$AK,7,0)</f>
        <v>TH</v>
      </c>
      <c r="G267" s="2" t="str">
        <f>VLOOKUP($C267,[1]Detail!$C:$AK,5,0)</f>
        <v>B</v>
      </c>
      <c r="J267" s="22" t="s">
        <v>126</v>
      </c>
      <c r="K267" s="23" t="s">
        <v>637</v>
      </c>
      <c r="L267" s="22" t="s">
        <v>234</v>
      </c>
      <c r="M267" s="51" t="str">
        <f t="shared" si="212"/>
        <v>JD8B-13B415-AC</v>
      </c>
      <c r="O267" s="22">
        <v>1</v>
      </c>
      <c r="P267" s="22">
        <v>1</v>
      </c>
      <c r="Q267" s="22">
        <v>1</v>
      </c>
      <c r="R267" s="22">
        <v>1</v>
      </c>
      <c r="S267" s="22">
        <v>1</v>
      </c>
      <c r="T267" s="22">
        <v>1</v>
      </c>
      <c r="U267" s="22">
        <v>1</v>
      </c>
      <c r="V267" s="22">
        <v>1</v>
      </c>
      <c r="W267" s="64">
        <f t="shared" si="213"/>
        <v>1</v>
      </c>
      <c r="Y267" s="8">
        <f>-28.75*0-25.58</f>
        <v>-25.58</v>
      </c>
      <c r="Z267" s="8">
        <v>-1.88</v>
      </c>
      <c r="AA267" s="8">
        <v>-0.22</v>
      </c>
      <c r="AB267" s="8">
        <v>0</v>
      </c>
      <c r="AC267" s="8">
        <v>0</v>
      </c>
      <c r="AD267" s="8">
        <f t="shared" si="230"/>
        <v>-27.679999999999996</v>
      </c>
      <c r="AE267" s="2" t="s">
        <v>91</v>
      </c>
      <c r="AG267" s="8">
        <v>-1480000</v>
      </c>
      <c r="AH267" s="8">
        <v>-1480000</v>
      </c>
      <c r="AI267" s="6"/>
      <c r="AJ267" s="71">
        <v>0</v>
      </c>
      <c r="AK267" s="71">
        <v>0</v>
      </c>
      <c r="AL267" s="72"/>
      <c r="AM267" s="22"/>
      <c r="AO267" s="22" t="s">
        <v>126</v>
      </c>
      <c r="AP267" s="23" t="s">
        <v>637</v>
      </c>
      <c r="AQ267" s="22" t="s">
        <v>132</v>
      </c>
      <c r="AR267" s="51" t="str">
        <f t="shared" si="201"/>
        <v>JD8B-13B415-AB</v>
      </c>
      <c r="AS267" s="3"/>
      <c r="AT267" s="22">
        <v>1</v>
      </c>
      <c r="AU267" s="22">
        <v>1</v>
      </c>
      <c r="AV267" s="22">
        <v>1</v>
      </c>
      <c r="AW267" s="22">
        <v>1</v>
      </c>
      <c r="AX267" s="22">
        <v>1</v>
      </c>
      <c r="AY267" s="22">
        <v>1</v>
      </c>
      <c r="AZ267" s="22">
        <v>1</v>
      </c>
      <c r="BA267" s="22">
        <v>1</v>
      </c>
      <c r="BB267" s="64">
        <f t="shared" si="202"/>
        <v>1</v>
      </c>
      <c r="BD267" s="8">
        <f>-28.75*0-25.58</f>
        <v>-25.58</v>
      </c>
      <c r="BE267" s="8">
        <v>-1.88</v>
      </c>
      <c r="BF267" s="8">
        <v>-0.22</v>
      </c>
      <c r="BG267" s="8">
        <v>0</v>
      </c>
      <c r="BH267" s="8">
        <v>0</v>
      </c>
      <c r="BI267" s="8">
        <f t="shared" ref="BI267" si="231">SUM(BD267:BH267)</f>
        <v>-27.679999999999996</v>
      </c>
      <c r="BJ267" s="2" t="s">
        <v>91</v>
      </c>
      <c r="BL267" s="70">
        <v>-1480000</v>
      </c>
      <c r="BM267" s="70">
        <v>-1480000</v>
      </c>
      <c r="BO267" s="71">
        <v>0</v>
      </c>
      <c r="BP267" s="71">
        <v>0</v>
      </c>
      <c r="BQ267" s="72"/>
      <c r="BS267" s="61">
        <f t="shared" si="214"/>
        <v>0</v>
      </c>
      <c r="BT267" s="61">
        <f t="shared" si="215"/>
        <v>0</v>
      </c>
      <c r="BU267" s="61">
        <f t="shared" si="216"/>
        <v>0</v>
      </c>
      <c r="BV267" s="61">
        <f t="shared" si="216"/>
        <v>0</v>
      </c>
      <c r="BW267" s="61">
        <f t="shared" si="216"/>
        <v>0</v>
      </c>
      <c r="BX267" s="61">
        <f t="shared" si="216"/>
        <v>0</v>
      </c>
      <c r="BY267" s="61" t="s">
        <v>91</v>
      </c>
      <c r="CA267" s="61">
        <f t="shared" si="191"/>
        <v>0</v>
      </c>
      <c r="CB267" s="61">
        <f t="shared" si="191"/>
        <v>0</v>
      </c>
      <c r="CC267" s="61">
        <f t="shared" si="191"/>
        <v>0</v>
      </c>
      <c r="CD267" s="61">
        <f t="shared" si="189"/>
        <v>0</v>
      </c>
      <c r="CE267" s="61">
        <f t="shared" si="189"/>
        <v>0</v>
      </c>
      <c r="CF267" s="61">
        <f t="shared" si="189"/>
        <v>0</v>
      </c>
      <c r="CG267" s="61">
        <f t="shared" si="189"/>
        <v>0</v>
      </c>
      <c r="CH267" s="61">
        <f t="shared" si="189"/>
        <v>0</v>
      </c>
      <c r="CI267" s="61">
        <f t="shared" si="225"/>
        <v>0</v>
      </c>
      <c r="CJ267" s="61"/>
      <c r="CK267" s="61">
        <f t="shared" si="192"/>
        <v>0</v>
      </c>
      <c r="CL267" s="61">
        <f t="shared" si="192"/>
        <v>0</v>
      </c>
      <c r="CM267" s="61">
        <f t="shared" si="192"/>
        <v>0</v>
      </c>
      <c r="CN267" s="61">
        <f t="shared" si="190"/>
        <v>0</v>
      </c>
      <c r="CO267" s="61">
        <f t="shared" si="190"/>
        <v>0</v>
      </c>
      <c r="CP267" s="61">
        <f t="shared" si="190"/>
        <v>0</v>
      </c>
      <c r="CQ267" s="61">
        <f t="shared" si="190"/>
        <v>0</v>
      </c>
      <c r="CR267" s="61">
        <f t="shared" si="190"/>
        <v>0</v>
      </c>
      <c r="CS267" s="61">
        <f t="shared" si="226"/>
        <v>0</v>
      </c>
      <c r="CT267" s="61">
        <f t="shared" si="227"/>
        <v>0</v>
      </c>
      <c r="CV267" s="61">
        <f t="shared" si="228"/>
        <v>0</v>
      </c>
      <c r="CW267" s="61">
        <f t="shared" ref="CW267" si="232">SUM(AH267)-SUM(BM267)</f>
        <v>0</v>
      </c>
      <c r="CX267" s="61"/>
      <c r="CY267" s="61">
        <f t="shared" ref="CY267" si="233">SUM(AJ267)-SUM(BO267)</f>
        <v>0</v>
      </c>
      <c r="CZ267" s="61">
        <f t="shared" si="220"/>
        <v>0</v>
      </c>
      <c r="DA267" s="61">
        <f t="shared" si="220"/>
        <v>0</v>
      </c>
      <c r="DB267" s="2" t="s">
        <v>102</v>
      </c>
      <c r="DC267" s="2" t="s">
        <v>85</v>
      </c>
      <c r="DD267" s="2" t="s">
        <v>142</v>
      </c>
      <c r="DE267" s="2" t="s">
        <v>106</v>
      </c>
      <c r="DF267" s="3" t="s">
        <v>86</v>
      </c>
      <c r="DG267" s="62">
        <v>43097</v>
      </c>
      <c r="EC267" s="60" t="str">
        <f>VLOOKUP($M267,[1]Detail!$M:$BO,1,0)</f>
        <v>JD8B-13B415-AC</v>
      </c>
      <c r="ED267" s="60">
        <f>VLOOKUP($M267,[1]Detail!$M:$BO,22,0)</f>
        <v>-27.779999999999998</v>
      </c>
      <c r="EE267" s="60">
        <f>VLOOKUP($M267,[1]Detail!$M:$BO,42,0)</f>
        <v>-1480000</v>
      </c>
      <c r="EF267" s="60">
        <f>VLOOKUP($M267,[1]Detail!$M:$BO,45,0)</f>
        <v>0</v>
      </c>
      <c r="EH267" s="60">
        <f>ED267-AD267</f>
        <v>-0.10000000000000142</v>
      </c>
      <c r="EI267" s="60">
        <f>EE267-AG267</f>
        <v>0</v>
      </c>
      <c r="EJ267" s="60">
        <f>EF267-AJ267</f>
        <v>0</v>
      </c>
    </row>
    <row r="268" spans="2:140" ht="12.75" hidden="1" customHeight="1">
      <c r="B268" s="93" t="s">
        <v>652</v>
      </c>
      <c r="C268" s="22" t="s">
        <v>653</v>
      </c>
      <c r="D268" s="22" t="s">
        <v>654</v>
      </c>
      <c r="E268" s="2" t="str">
        <f>VLOOKUP($C268,[1]Detail!$C:$AK,6,0)</f>
        <v>PMT2</v>
      </c>
      <c r="F268" s="2" t="str">
        <f>VLOOKUP($C268,[1]Detail!$C:$AK,7,0)</f>
        <v>TH</v>
      </c>
      <c r="G268" s="2">
        <f>VLOOKUP($C268,[1]Detail!$C:$AK,5,0)</f>
        <v>0</v>
      </c>
      <c r="J268" s="22" t="s">
        <v>128</v>
      </c>
      <c r="K268" s="23" t="s">
        <v>655</v>
      </c>
      <c r="L268" s="22" t="s">
        <v>656</v>
      </c>
      <c r="M268" s="51" t="str">
        <f t="shared" si="212"/>
        <v>ED8B-F23942 -BGW</v>
      </c>
      <c r="O268" s="22">
        <v>0</v>
      </c>
      <c r="P268" s="22">
        <v>0</v>
      </c>
      <c r="Q268" s="22">
        <v>1</v>
      </c>
      <c r="R268" s="22">
        <v>1</v>
      </c>
      <c r="S268" s="22">
        <v>1</v>
      </c>
      <c r="T268" s="22">
        <v>1</v>
      </c>
      <c r="U268" s="22">
        <v>0</v>
      </c>
      <c r="V268" s="22">
        <v>0</v>
      </c>
      <c r="W268" s="64">
        <f t="shared" si="213"/>
        <v>0.6</v>
      </c>
      <c r="Y268" s="8">
        <v>-119.07</v>
      </c>
      <c r="Z268" s="8">
        <v>-0.19</v>
      </c>
      <c r="AA268" s="8">
        <v>-1.67</v>
      </c>
      <c r="AB268" s="8">
        <v>0</v>
      </c>
      <c r="AC268" s="8">
        <v>0</v>
      </c>
      <c r="AD268" s="8">
        <f t="shared" si="230"/>
        <v>-120.92999999999999</v>
      </c>
      <c r="AE268" s="2" t="s">
        <v>91</v>
      </c>
      <c r="AG268" s="8">
        <v>0</v>
      </c>
      <c r="AH268" s="8">
        <v>0</v>
      </c>
      <c r="AJ268" s="71">
        <v>0</v>
      </c>
      <c r="AK268" s="71">
        <v>0</v>
      </c>
      <c r="AL268" s="72">
        <v>0</v>
      </c>
      <c r="AM268" s="22"/>
      <c r="AO268" s="22" t="s">
        <v>128</v>
      </c>
      <c r="AP268" s="23" t="s">
        <v>655</v>
      </c>
      <c r="AQ268" s="22" t="s">
        <v>656</v>
      </c>
      <c r="AR268" s="51" t="str">
        <f t="shared" si="201"/>
        <v>ED8B-F23942 -BGW</v>
      </c>
      <c r="AS268" s="3"/>
      <c r="AT268" s="22">
        <v>0</v>
      </c>
      <c r="AU268" s="22">
        <v>0</v>
      </c>
      <c r="AV268" s="22">
        <v>1</v>
      </c>
      <c r="AW268" s="22">
        <v>1</v>
      </c>
      <c r="AX268" s="22">
        <v>1</v>
      </c>
      <c r="AY268" s="22">
        <v>1</v>
      </c>
      <c r="AZ268" s="22">
        <v>0</v>
      </c>
      <c r="BA268" s="22">
        <v>0</v>
      </c>
      <c r="BB268" s="64">
        <f t="shared" si="202"/>
        <v>0.6</v>
      </c>
      <c r="BD268" s="60">
        <v>-119.07</v>
      </c>
      <c r="BE268" s="60">
        <v>-0.19</v>
      </c>
      <c r="BF268" s="60">
        <v>-1.67</v>
      </c>
      <c r="BG268" s="60">
        <v>0</v>
      </c>
      <c r="BH268" s="60">
        <v>0</v>
      </c>
      <c r="BI268" s="8">
        <f t="shared" si="206"/>
        <v>-120.92999999999999</v>
      </c>
      <c r="BJ268" s="2" t="s">
        <v>91</v>
      </c>
      <c r="BL268" s="70">
        <v>0</v>
      </c>
      <c r="BM268" s="70">
        <v>0</v>
      </c>
      <c r="BO268" s="71">
        <v>0</v>
      </c>
      <c r="BP268" s="71">
        <v>0</v>
      </c>
      <c r="BQ268" s="72">
        <v>0</v>
      </c>
      <c r="BS268" s="61">
        <f t="shared" si="214"/>
        <v>0</v>
      </c>
      <c r="BT268" s="61">
        <f t="shared" si="215"/>
        <v>0</v>
      </c>
      <c r="BU268" s="61">
        <f t="shared" si="216"/>
        <v>0</v>
      </c>
      <c r="BV268" s="61">
        <f t="shared" si="216"/>
        <v>0</v>
      </c>
      <c r="BW268" s="61">
        <f t="shared" si="216"/>
        <v>0</v>
      </c>
      <c r="BX268" s="61">
        <f t="shared" si="216"/>
        <v>0</v>
      </c>
      <c r="BY268" s="61" t="s">
        <v>91</v>
      </c>
      <c r="CA268" s="61">
        <f t="shared" si="191"/>
        <v>0</v>
      </c>
      <c r="CB268" s="61">
        <f t="shared" si="191"/>
        <v>0</v>
      </c>
      <c r="CC268" s="61">
        <f t="shared" si="191"/>
        <v>0</v>
      </c>
      <c r="CD268" s="61">
        <f t="shared" si="189"/>
        <v>0</v>
      </c>
      <c r="CE268" s="61">
        <f t="shared" si="189"/>
        <v>0</v>
      </c>
      <c r="CF268" s="61">
        <f t="shared" si="189"/>
        <v>0</v>
      </c>
      <c r="CG268" s="61">
        <f t="shared" si="189"/>
        <v>0</v>
      </c>
      <c r="CH268" s="61">
        <f t="shared" si="189"/>
        <v>0</v>
      </c>
      <c r="CI268" s="61">
        <f t="shared" si="225"/>
        <v>0</v>
      </c>
      <c r="CJ268" s="61"/>
      <c r="CK268" s="61">
        <f t="shared" si="192"/>
        <v>0</v>
      </c>
      <c r="CL268" s="61">
        <f t="shared" si="192"/>
        <v>0</v>
      </c>
      <c r="CM268" s="61">
        <f t="shared" si="192"/>
        <v>0</v>
      </c>
      <c r="CN268" s="61">
        <f t="shared" si="190"/>
        <v>0</v>
      </c>
      <c r="CO268" s="61">
        <f t="shared" si="190"/>
        <v>0</v>
      </c>
      <c r="CP268" s="61">
        <f t="shared" si="190"/>
        <v>0</v>
      </c>
      <c r="CQ268" s="61">
        <f t="shared" si="190"/>
        <v>0</v>
      </c>
      <c r="CR268" s="61">
        <f t="shared" si="190"/>
        <v>0</v>
      </c>
      <c r="CS268" s="61">
        <f t="shared" si="226"/>
        <v>0</v>
      </c>
      <c r="CT268" s="61">
        <f t="shared" si="227"/>
        <v>0</v>
      </c>
      <c r="CV268" s="61">
        <f t="shared" si="228"/>
        <v>0</v>
      </c>
      <c r="CW268" s="61">
        <f t="shared" si="207"/>
        <v>0</v>
      </c>
      <c r="CX268" s="61"/>
      <c r="CY268" s="61">
        <f t="shared" si="208"/>
        <v>0</v>
      </c>
      <c r="CZ268" s="61">
        <f t="shared" si="220"/>
        <v>0</v>
      </c>
      <c r="DA268" s="61">
        <f t="shared" si="220"/>
        <v>0</v>
      </c>
      <c r="DB268" s="2" t="s">
        <v>134</v>
      </c>
      <c r="DC268" s="2" t="s">
        <v>102</v>
      </c>
      <c r="DD268" s="2" t="s">
        <v>142</v>
      </c>
      <c r="DE268" s="2" t="s">
        <v>181</v>
      </c>
      <c r="DF268" s="3" t="s">
        <v>86</v>
      </c>
      <c r="DG268" s="62">
        <v>42838</v>
      </c>
      <c r="EC268" s="60"/>
      <c r="ED268" s="60"/>
      <c r="EE268" s="60"/>
      <c r="EF268" s="60"/>
    </row>
    <row r="269" spans="2:140" ht="12.75" hidden="1" customHeight="1">
      <c r="B269" s="93" t="s">
        <v>652</v>
      </c>
      <c r="C269" s="22" t="s">
        <v>653</v>
      </c>
      <c r="D269" s="22" t="s">
        <v>654</v>
      </c>
      <c r="E269" s="2" t="str">
        <f>VLOOKUP($C269,[1]Detail!$C:$AK,6,0)</f>
        <v>PMT2</v>
      </c>
      <c r="F269" s="2" t="str">
        <f>VLOOKUP($C269,[1]Detail!$C:$AK,7,0)</f>
        <v>TH</v>
      </c>
      <c r="G269" s="2">
        <f>VLOOKUP($C269,[1]Detail!$C:$AK,5,0)</f>
        <v>0</v>
      </c>
      <c r="J269" s="22" t="s">
        <v>128</v>
      </c>
      <c r="K269" s="23" t="s">
        <v>657</v>
      </c>
      <c r="L269" s="22" t="s">
        <v>656</v>
      </c>
      <c r="M269" s="51" t="str">
        <f t="shared" si="212"/>
        <v>ED8B-F27406 -BGW</v>
      </c>
      <c r="O269" s="22">
        <v>0</v>
      </c>
      <c r="P269" s="22">
        <v>0</v>
      </c>
      <c r="Q269" s="22">
        <v>1</v>
      </c>
      <c r="R269" s="22">
        <v>1</v>
      </c>
      <c r="S269" s="22">
        <v>1</v>
      </c>
      <c r="T269" s="22">
        <v>1</v>
      </c>
      <c r="U269" s="22">
        <v>0</v>
      </c>
      <c r="V269" s="22">
        <v>0</v>
      </c>
      <c r="W269" s="64">
        <f t="shared" si="213"/>
        <v>0.6</v>
      </c>
      <c r="Y269" s="8">
        <v>-112.45</v>
      </c>
      <c r="Z269" s="8">
        <v>-0.19</v>
      </c>
      <c r="AA269" s="8">
        <v>-1.67</v>
      </c>
      <c r="AB269" s="8">
        <v>0</v>
      </c>
      <c r="AC269" s="8">
        <v>0</v>
      </c>
      <c r="AD269" s="8">
        <f t="shared" si="230"/>
        <v>-114.31</v>
      </c>
      <c r="AE269" s="2" t="s">
        <v>91</v>
      </c>
      <c r="AG269" s="8">
        <v>0</v>
      </c>
      <c r="AH269" s="8">
        <v>0</v>
      </c>
      <c r="AJ269" s="71">
        <v>0</v>
      </c>
      <c r="AK269" s="71">
        <v>0</v>
      </c>
      <c r="AL269" s="72">
        <v>0</v>
      </c>
      <c r="AM269" s="22"/>
      <c r="AO269" s="22" t="s">
        <v>128</v>
      </c>
      <c r="AP269" s="23" t="s">
        <v>657</v>
      </c>
      <c r="AQ269" s="22" t="s">
        <v>656</v>
      </c>
      <c r="AR269" s="51" t="str">
        <f t="shared" si="201"/>
        <v>ED8B-F27406 -BGW</v>
      </c>
      <c r="AS269" s="3"/>
      <c r="AT269" s="22">
        <v>0</v>
      </c>
      <c r="AU269" s="22">
        <v>0</v>
      </c>
      <c r="AV269" s="22">
        <v>1</v>
      </c>
      <c r="AW269" s="22">
        <v>1</v>
      </c>
      <c r="AX269" s="22">
        <v>1</v>
      </c>
      <c r="AY269" s="22">
        <v>1</v>
      </c>
      <c r="AZ269" s="22">
        <v>0</v>
      </c>
      <c r="BA269" s="22">
        <v>0</v>
      </c>
      <c r="BB269" s="64">
        <f t="shared" si="202"/>
        <v>0.6</v>
      </c>
      <c r="BD269" s="60">
        <v>-112.45</v>
      </c>
      <c r="BE269" s="60">
        <v>-0.19</v>
      </c>
      <c r="BF269" s="60">
        <v>-1.67</v>
      </c>
      <c r="BG269" s="60">
        <v>0</v>
      </c>
      <c r="BH269" s="60">
        <v>0</v>
      </c>
      <c r="BI269" s="8">
        <f t="shared" si="206"/>
        <v>-114.31</v>
      </c>
      <c r="BJ269" s="2" t="s">
        <v>91</v>
      </c>
      <c r="BL269" s="70">
        <v>0</v>
      </c>
      <c r="BM269" s="70">
        <v>0</v>
      </c>
      <c r="BO269" s="71">
        <v>0</v>
      </c>
      <c r="BP269" s="71">
        <v>0</v>
      </c>
      <c r="BQ269" s="72">
        <v>0</v>
      </c>
      <c r="BS269" s="61">
        <f t="shared" si="214"/>
        <v>0</v>
      </c>
      <c r="BT269" s="61">
        <f t="shared" si="215"/>
        <v>0</v>
      </c>
      <c r="BU269" s="61">
        <f t="shared" si="216"/>
        <v>0</v>
      </c>
      <c r="BV269" s="61">
        <f t="shared" si="216"/>
        <v>0</v>
      </c>
      <c r="BW269" s="61">
        <f t="shared" si="216"/>
        <v>0</v>
      </c>
      <c r="BX269" s="61">
        <f t="shared" si="216"/>
        <v>0</v>
      </c>
      <c r="BY269" s="61" t="s">
        <v>91</v>
      </c>
      <c r="CA269" s="61">
        <f t="shared" si="191"/>
        <v>0</v>
      </c>
      <c r="CB269" s="61">
        <f t="shared" si="191"/>
        <v>0</v>
      </c>
      <c r="CC269" s="61">
        <f t="shared" si="191"/>
        <v>0</v>
      </c>
      <c r="CD269" s="61">
        <f t="shared" si="189"/>
        <v>0</v>
      </c>
      <c r="CE269" s="61">
        <f t="shared" si="189"/>
        <v>0</v>
      </c>
      <c r="CF269" s="61">
        <f t="shared" si="189"/>
        <v>0</v>
      </c>
      <c r="CG269" s="61">
        <f t="shared" si="189"/>
        <v>0</v>
      </c>
      <c r="CH269" s="61">
        <f t="shared" si="189"/>
        <v>0</v>
      </c>
      <c r="CI269" s="61">
        <f t="shared" si="225"/>
        <v>0</v>
      </c>
      <c r="CJ269" s="61"/>
      <c r="CK269" s="61">
        <f t="shared" si="192"/>
        <v>0</v>
      </c>
      <c r="CL269" s="61">
        <f t="shared" si="192"/>
        <v>0</v>
      </c>
      <c r="CM269" s="61">
        <f t="shared" si="192"/>
        <v>0</v>
      </c>
      <c r="CN269" s="61">
        <f t="shared" si="190"/>
        <v>0</v>
      </c>
      <c r="CO269" s="61">
        <f t="shared" si="190"/>
        <v>0</v>
      </c>
      <c r="CP269" s="61">
        <f t="shared" si="190"/>
        <v>0</v>
      </c>
      <c r="CQ269" s="61">
        <f t="shared" si="190"/>
        <v>0</v>
      </c>
      <c r="CR269" s="61">
        <f t="shared" si="190"/>
        <v>0</v>
      </c>
      <c r="CS269" s="61">
        <f t="shared" si="226"/>
        <v>0</v>
      </c>
      <c r="CT269" s="61">
        <f t="shared" si="227"/>
        <v>0</v>
      </c>
      <c r="CV269" s="61">
        <f t="shared" si="228"/>
        <v>0</v>
      </c>
      <c r="CW269" s="61">
        <f t="shared" si="207"/>
        <v>0</v>
      </c>
      <c r="CX269" s="61"/>
      <c r="CY269" s="61">
        <f t="shared" si="208"/>
        <v>0</v>
      </c>
      <c r="CZ269" s="61">
        <f t="shared" si="220"/>
        <v>0</v>
      </c>
      <c r="DA269" s="61">
        <f t="shared" si="220"/>
        <v>0</v>
      </c>
      <c r="DB269" s="2" t="s">
        <v>134</v>
      </c>
      <c r="DC269" s="2" t="s">
        <v>102</v>
      </c>
      <c r="DD269" s="2" t="s">
        <v>142</v>
      </c>
      <c r="DE269" s="2" t="s">
        <v>181</v>
      </c>
      <c r="DF269" s="3" t="s">
        <v>86</v>
      </c>
      <c r="DG269" s="62">
        <v>42838</v>
      </c>
      <c r="EC269" s="60"/>
      <c r="ED269" s="60"/>
      <c r="EE269" s="60"/>
      <c r="EF269" s="60"/>
    </row>
    <row r="270" spans="2:140" ht="12.75" hidden="1" customHeight="1">
      <c r="B270" s="93" t="s">
        <v>652</v>
      </c>
      <c r="C270" s="22" t="s">
        <v>653</v>
      </c>
      <c r="D270" s="22" t="s">
        <v>654</v>
      </c>
      <c r="E270" s="2" t="str">
        <f>VLOOKUP($C270,[1]Detail!$C:$AK,6,0)</f>
        <v>PMT2</v>
      </c>
      <c r="F270" s="2" t="str">
        <f>VLOOKUP($C270,[1]Detail!$C:$AK,7,0)</f>
        <v>TH</v>
      </c>
      <c r="G270" s="2">
        <f>VLOOKUP($C270,[1]Detail!$C:$AK,5,0)</f>
        <v>0</v>
      </c>
      <c r="J270" s="22" t="s">
        <v>128</v>
      </c>
      <c r="K270" s="23" t="s">
        <v>658</v>
      </c>
      <c r="L270" s="22" t="s">
        <v>656</v>
      </c>
      <c r="M270" s="51" t="str">
        <f t="shared" si="212"/>
        <v>ED8B-F27407 -BGW</v>
      </c>
      <c r="O270" s="22">
        <v>0</v>
      </c>
      <c r="P270" s="22">
        <v>0</v>
      </c>
      <c r="Q270" s="22">
        <v>1</v>
      </c>
      <c r="R270" s="22">
        <v>1</v>
      </c>
      <c r="S270" s="22">
        <v>1</v>
      </c>
      <c r="T270" s="22">
        <v>1</v>
      </c>
      <c r="U270" s="22">
        <v>0</v>
      </c>
      <c r="V270" s="22">
        <v>0</v>
      </c>
      <c r="W270" s="64">
        <f t="shared" si="213"/>
        <v>0.6</v>
      </c>
      <c r="Y270" s="8">
        <v>-112.46</v>
      </c>
      <c r="Z270" s="8">
        <v>-0.19</v>
      </c>
      <c r="AA270" s="8">
        <v>-1.67</v>
      </c>
      <c r="AB270" s="8">
        <v>0</v>
      </c>
      <c r="AC270" s="8">
        <v>0</v>
      </c>
      <c r="AD270" s="8">
        <f t="shared" si="230"/>
        <v>-114.32</v>
      </c>
      <c r="AE270" s="2" t="s">
        <v>91</v>
      </c>
      <c r="AG270" s="8">
        <v>0</v>
      </c>
      <c r="AH270" s="8">
        <v>0</v>
      </c>
      <c r="AJ270" s="71">
        <v>0</v>
      </c>
      <c r="AK270" s="71">
        <v>0</v>
      </c>
      <c r="AL270" s="72">
        <v>0</v>
      </c>
      <c r="AM270" s="22"/>
      <c r="AO270" s="22" t="s">
        <v>128</v>
      </c>
      <c r="AP270" s="23" t="s">
        <v>658</v>
      </c>
      <c r="AQ270" s="22" t="s">
        <v>656</v>
      </c>
      <c r="AR270" s="51" t="str">
        <f t="shared" si="201"/>
        <v>ED8B-F27407 -BGW</v>
      </c>
      <c r="AS270" s="3"/>
      <c r="AT270" s="22">
        <v>0</v>
      </c>
      <c r="AU270" s="22">
        <v>0</v>
      </c>
      <c r="AV270" s="22">
        <v>1</v>
      </c>
      <c r="AW270" s="22">
        <v>1</v>
      </c>
      <c r="AX270" s="22">
        <v>1</v>
      </c>
      <c r="AY270" s="22">
        <v>1</v>
      </c>
      <c r="AZ270" s="22">
        <v>0</v>
      </c>
      <c r="BA270" s="22">
        <v>0</v>
      </c>
      <c r="BB270" s="64">
        <f t="shared" si="202"/>
        <v>0.6</v>
      </c>
      <c r="BD270" s="60">
        <v>-112.46</v>
      </c>
      <c r="BE270" s="60">
        <v>-0.19</v>
      </c>
      <c r="BF270" s="60">
        <v>-1.67</v>
      </c>
      <c r="BG270" s="60">
        <v>0</v>
      </c>
      <c r="BH270" s="60">
        <v>0</v>
      </c>
      <c r="BI270" s="8">
        <f t="shared" si="206"/>
        <v>-114.32</v>
      </c>
      <c r="BJ270" s="2" t="s">
        <v>91</v>
      </c>
      <c r="BL270" s="70">
        <v>0</v>
      </c>
      <c r="BM270" s="70">
        <v>0</v>
      </c>
      <c r="BO270" s="71">
        <v>0</v>
      </c>
      <c r="BP270" s="71">
        <v>0</v>
      </c>
      <c r="BQ270" s="72">
        <v>0</v>
      </c>
      <c r="BS270" s="61">
        <f t="shared" si="214"/>
        <v>0</v>
      </c>
      <c r="BT270" s="61">
        <f t="shared" si="215"/>
        <v>0</v>
      </c>
      <c r="BU270" s="61">
        <f t="shared" si="216"/>
        <v>0</v>
      </c>
      <c r="BV270" s="61">
        <f t="shared" si="216"/>
        <v>0</v>
      </c>
      <c r="BW270" s="61">
        <f t="shared" si="216"/>
        <v>0</v>
      </c>
      <c r="BX270" s="61">
        <f t="shared" si="216"/>
        <v>0</v>
      </c>
      <c r="BY270" s="61" t="s">
        <v>91</v>
      </c>
      <c r="CA270" s="61">
        <f t="shared" si="191"/>
        <v>0</v>
      </c>
      <c r="CB270" s="61">
        <f t="shared" si="191"/>
        <v>0</v>
      </c>
      <c r="CC270" s="61">
        <f t="shared" si="191"/>
        <v>0</v>
      </c>
      <c r="CD270" s="61">
        <f t="shared" si="189"/>
        <v>0</v>
      </c>
      <c r="CE270" s="61">
        <f t="shared" si="189"/>
        <v>0</v>
      </c>
      <c r="CF270" s="61">
        <f t="shared" si="189"/>
        <v>0</v>
      </c>
      <c r="CG270" s="61">
        <f t="shared" si="189"/>
        <v>0</v>
      </c>
      <c r="CH270" s="61">
        <f t="shared" si="189"/>
        <v>0</v>
      </c>
      <c r="CI270" s="61">
        <f t="shared" si="225"/>
        <v>0</v>
      </c>
      <c r="CJ270" s="61"/>
      <c r="CK270" s="61">
        <f t="shared" si="192"/>
        <v>0</v>
      </c>
      <c r="CL270" s="61">
        <f t="shared" si="192"/>
        <v>0</v>
      </c>
      <c r="CM270" s="61">
        <f t="shared" si="192"/>
        <v>0</v>
      </c>
      <c r="CN270" s="61">
        <f t="shared" si="190"/>
        <v>0</v>
      </c>
      <c r="CO270" s="61">
        <f t="shared" si="190"/>
        <v>0</v>
      </c>
      <c r="CP270" s="61">
        <f t="shared" si="190"/>
        <v>0</v>
      </c>
      <c r="CQ270" s="61">
        <f t="shared" si="190"/>
        <v>0</v>
      </c>
      <c r="CR270" s="61">
        <f t="shared" si="190"/>
        <v>0</v>
      </c>
      <c r="CS270" s="61">
        <f t="shared" si="226"/>
        <v>0</v>
      </c>
      <c r="CT270" s="61">
        <f t="shared" si="227"/>
        <v>0</v>
      </c>
      <c r="CV270" s="61">
        <f t="shared" si="228"/>
        <v>0</v>
      </c>
      <c r="CW270" s="61">
        <f t="shared" si="207"/>
        <v>0</v>
      </c>
      <c r="CX270" s="61"/>
      <c r="CY270" s="61">
        <f t="shared" si="208"/>
        <v>0</v>
      </c>
      <c r="CZ270" s="61">
        <f t="shared" si="220"/>
        <v>0</v>
      </c>
      <c r="DA270" s="61">
        <f t="shared" si="220"/>
        <v>0</v>
      </c>
      <c r="DB270" s="2" t="s">
        <v>134</v>
      </c>
      <c r="DC270" s="2" t="s">
        <v>102</v>
      </c>
      <c r="DD270" s="2" t="s">
        <v>142</v>
      </c>
      <c r="DE270" s="2" t="s">
        <v>181</v>
      </c>
      <c r="DF270" s="3" t="s">
        <v>102</v>
      </c>
      <c r="DG270" s="62">
        <v>42838</v>
      </c>
      <c r="EC270" s="60"/>
      <c r="ED270" s="60"/>
      <c r="EE270" s="60"/>
      <c r="EF270" s="60"/>
    </row>
    <row r="271" spans="2:140" ht="12.75" hidden="1" customHeight="1">
      <c r="B271" s="93" t="s">
        <v>652</v>
      </c>
      <c r="C271" s="22" t="s">
        <v>653</v>
      </c>
      <c r="D271" s="22" t="s">
        <v>654</v>
      </c>
      <c r="E271" s="2" t="str">
        <f>VLOOKUP($C271,[1]Detail!$C:$AK,6,0)</f>
        <v>PMT2</v>
      </c>
      <c r="F271" s="2" t="str">
        <f>VLOOKUP($C271,[1]Detail!$C:$AK,7,0)</f>
        <v>TH</v>
      </c>
      <c r="G271" s="2">
        <f>VLOOKUP($C271,[1]Detail!$C:$AK,5,0)</f>
        <v>0</v>
      </c>
      <c r="J271" s="22" t="s">
        <v>126</v>
      </c>
      <c r="K271" s="23" t="s">
        <v>655</v>
      </c>
      <c r="L271" s="22" t="s">
        <v>196</v>
      </c>
      <c r="M271" s="51" t="str">
        <f t="shared" si="212"/>
        <v>JD8B-F23942 -AAW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1</v>
      </c>
      <c r="V271" s="22">
        <v>1</v>
      </c>
      <c r="W271" s="64">
        <f t="shared" si="213"/>
        <v>0.1</v>
      </c>
      <c r="Y271" s="8">
        <v>-119.51</v>
      </c>
      <c r="Z271" s="8">
        <v>-0.19</v>
      </c>
      <c r="AA271" s="8">
        <v>-1.67</v>
      </c>
      <c r="AB271" s="8">
        <v>0</v>
      </c>
      <c r="AC271" s="8">
        <v>0</v>
      </c>
      <c r="AD271" s="8">
        <f t="shared" si="230"/>
        <v>-121.37</v>
      </c>
      <c r="AE271" s="2" t="s">
        <v>91</v>
      </c>
      <c r="AG271" s="8">
        <v>0</v>
      </c>
      <c r="AH271" s="8">
        <v>0</v>
      </c>
      <c r="AJ271" s="71">
        <v>0</v>
      </c>
      <c r="AK271" s="71">
        <v>0</v>
      </c>
      <c r="AL271" s="72">
        <v>0</v>
      </c>
      <c r="AM271" s="22"/>
      <c r="AO271" s="22" t="s">
        <v>128</v>
      </c>
      <c r="AP271" s="23" t="s">
        <v>655</v>
      </c>
      <c r="AQ271" s="22" t="s">
        <v>656</v>
      </c>
      <c r="AR271" s="51" t="str">
        <f t="shared" si="201"/>
        <v>ED8B-F23942 -BGW</v>
      </c>
      <c r="AS271" s="3"/>
      <c r="AT271" s="22">
        <v>0</v>
      </c>
      <c r="AU271" s="22">
        <v>0</v>
      </c>
      <c r="AV271" s="22">
        <v>0</v>
      </c>
      <c r="AW271" s="22">
        <v>0</v>
      </c>
      <c r="AX271" s="22">
        <v>0</v>
      </c>
      <c r="AY271" s="22">
        <v>0</v>
      </c>
      <c r="AZ271" s="22">
        <v>1</v>
      </c>
      <c r="BA271" s="22">
        <v>1</v>
      </c>
      <c r="BB271" s="64">
        <f t="shared" si="202"/>
        <v>0.1</v>
      </c>
      <c r="BD271" s="60">
        <v>-119.07</v>
      </c>
      <c r="BE271" s="60">
        <v>-0.19</v>
      </c>
      <c r="BF271" s="60">
        <v>-1.67</v>
      </c>
      <c r="BG271" s="60">
        <v>0</v>
      </c>
      <c r="BH271" s="60">
        <v>0</v>
      </c>
      <c r="BI271" s="8">
        <f t="shared" si="206"/>
        <v>-120.92999999999999</v>
      </c>
      <c r="BJ271" s="2" t="s">
        <v>91</v>
      </c>
      <c r="BL271" s="70">
        <v>0</v>
      </c>
      <c r="BM271" s="70">
        <v>0</v>
      </c>
      <c r="BO271" s="71">
        <v>0</v>
      </c>
      <c r="BP271" s="71">
        <v>0</v>
      </c>
      <c r="BQ271" s="72">
        <v>0</v>
      </c>
      <c r="BS271" s="61">
        <f t="shared" si="214"/>
        <v>-0.44000000000001194</v>
      </c>
      <c r="BT271" s="61">
        <f t="shared" si="215"/>
        <v>0</v>
      </c>
      <c r="BU271" s="61">
        <f t="shared" si="216"/>
        <v>0</v>
      </c>
      <c r="BV271" s="61">
        <f t="shared" si="216"/>
        <v>0</v>
      </c>
      <c r="BW271" s="61">
        <f t="shared" si="216"/>
        <v>0</v>
      </c>
      <c r="BX271" s="61">
        <f t="shared" si="216"/>
        <v>-0.44000000000001194</v>
      </c>
      <c r="BY271" s="61" t="s">
        <v>91</v>
      </c>
      <c r="CA271" s="61">
        <f t="shared" si="191"/>
        <v>0</v>
      </c>
      <c r="CB271" s="61">
        <f t="shared" si="191"/>
        <v>0</v>
      </c>
      <c r="CC271" s="61">
        <f t="shared" si="191"/>
        <v>0</v>
      </c>
      <c r="CD271" s="61">
        <f t="shared" si="189"/>
        <v>0</v>
      </c>
      <c r="CE271" s="61">
        <f t="shared" si="189"/>
        <v>0</v>
      </c>
      <c r="CF271" s="61">
        <f t="shared" si="189"/>
        <v>0</v>
      </c>
      <c r="CG271" s="61">
        <f t="shared" si="189"/>
        <v>-6.6195276064391739E-2</v>
      </c>
      <c r="CH271" s="61">
        <f t="shared" si="189"/>
        <v>-6.6195276064391739E-2</v>
      </c>
      <c r="CI271" s="61">
        <f t="shared" si="225"/>
        <v>-6.6195276064391741E-3</v>
      </c>
      <c r="CJ271" s="61"/>
      <c r="CK271" s="61">
        <f t="shared" si="192"/>
        <v>0</v>
      </c>
      <c r="CL271" s="61">
        <f t="shared" si="192"/>
        <v>0</v>
      </c>
      <c r="CM271" s="61">
        <f t="shared" si="192"/>
        <v>0</v>
      </c>
      <c r="CN271" s="61">
        <f t="shared" si="190"/>
        <v>0</v>
      </c>
      <c r="CO271" s="61">
        <f t="shared" si="190"/>
        <v>0</v>
      </c>
      <c r="CP271" s="61">
        <f t="shared" si="190"/>
        <v>0</v>
      </c>
      <c r="CQ271" s="61">
        <f t="shared" si="190"/>
        <v>-6.6195276064391739E-2</v>
      </c>
      <c r="CR271" s="61">
        <f t="shared" si="190"/>
        <v>-6.6195276064391739E-2</v>
      </c>
      <c r="CS271" s="61">
        <f t="shared" si="226"/>
        <v>-6.6195276064391741E-3</v>
      </c>
      <c r="CT271" s="61">
        <f t="shared" si="227"/>
        <v>-4.4000000000001191E-2</v>
      </c>
      <c r="CV271" s="61">
        <f t="shared" si="228"/>
        <v>0</v>
      </c>
      <c r="CW271" s="61">
        <f t="shared" si="207"/>
        <v>0</v>
      </c>
      <c r="CX271" s="61"/>
      <c r="CY271" s="61">
        <f t="shared" si="208"/>
        <v>0</v>
      </c>
      <c r="CZ271" s="61">
        <f t="shared" si="220"/>
        <v>0</v>
      </c>
      <c r="DA271" s="61">
        <f t="shared" si="220"/>
        <v>0</v>
      </c>
      <c r="DB271" s="2" t="s">
        <v>134</v>
      </c>
      <c r="DC271" s="2" t="s">
        <v>102</v>
      </c>
      <c r="DD271" s="2" t="s">
        <v>142</v>
      </c>
      <c r="DE271" s="2" t="s">
        <v>181</v>
      </c>
      <c r="DF271" s="3" t="s">
        <v>102</v>
      </c>
      <c r="DG271" s="62">
        <v>42838</v>
      </c>
      <c r="EC271" s="60"/>
      <c r="ED271" s="60"/>
      <c r="EE271" s="60"/>
      <c r="EF271" s="60"/>
    </row>
    <row r="272" spans="2:140" ht="12.75" hidden="1" customHeight="1">
      <c r="B272" s="93" t="s">
        <v>652</v>
      </c>
      <c r="C272" s="22" t="s">
        <v>653</v>
      </c>
      <c r="D272" s="22" t="s">
        <v>654</v>
      </c>
      <c r="E272" s="2" t="str">
        <f>VLOOKUP($C272,[1]Detail!$C:$AK,6,0)</f>
        <v>PMT2</v>
      </c>
      <c r="F272" s="2" t="str">
        <f>VLOOKUP($C272,[1]Detail!$C:$AK,7,0)</f>
        <v>TH</v>
      </c>
      <c r="G272" s="2">
        <f>VLOOKUP($C272,[1]Detail!$C:$AK,5,0)</f>
        <v>0</v>
      </c>
      <c r="J272" s="22" t="s">
        <v>126</v>
      </c>
      <c r="K272" s="23" t="s">
        <v>657</v>
      </c>
      <c r="L272" s="22" t="s">
        <v>196</v>
      </c>
      <c r="M272" s="51" t="str">
        <f t="shared" si="212"/>
        <v>JD8B-F27406 -AAW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1</v>
      </c>
      <c r="V272" s="22">
        <v>1</v>
      </c>
      <c r="W272" s="64">
        <f t="shared" si="213"/>
        <v>0.1</v>
      </c>
      <c r="Y272" s="8">
        <v>-112.89</v>
      </c>
      <c r="Z272" s="8">
        <v>-0.19</v>
      </c>
      <c r="AA272" s="8">
        <v>-1.67</v>
      </c>
      <c r="AB272" s="8">
        <v>0</v>
      </c>
      <c r="AC272" s="8">
        <v>0</v>
      </c>
      <c r="AD272" s="8">
        <f t="shared" si="230"/>
        <v>-114.75</v>
      </c>
      <c r="AE272" s="2" t="s">
        <v>91</v>
      </c>
      <c r="AG272" s="8">
        <v>0</v>
      </c>
      <c r="AH272" s="8">
        <v>0</v>
      </c>
      <c r="AJ272" s="71">
        <v>0</v>
      </c>
      <c r="AK272" s="71">
        <v>0</v>
      </c>
      <c r="AL272" s="72">
        <v>0</v>
      </c>
      <c r="AM272" s="22"/>
      <c r="AO272" s="22" t="s">
        <v>128</v>
      </c>
      <c r="AP272" s="23" t="s">
        <v>657</v>
      </c>
      <c r="AQ272" s="22" t="s">
        <v>656</v>
      </c>
      <c r="AR272" s="51" t="str">
        <f t="shared" si="201"/>
        <v>ED8B-F27406 -BGW</v>
      </c>
      <c r="AS272" s="3"/>
      <c r="AT272" s="22">
        <v>0</v>
      </c>
      <c r="AU272" s="22">
        <v>0</v>
      </c>
      <c r="AV272" s="22">
        <v>0</v>
      </c>
      <c r="AW272" s="22">
        <v>0</v>
      </c>
      <c r="AX272" s="22">
        <v>0</v>
      </c>
      <c r="AY272" s="22">
        <v>0</v>
      </c>
      <c r="AZ272" s="22">
        <v>1</v>
      </c>
      <c r="BA272" s="22">
        <v>1</v>
      </c>
      <c r="BB272" s="64">
        <f t="shared" si="202"/>
        <v>0.1</v>
      </c>
      <c r="BD272" s="60">
        <v>-112.45</v>
      </c>
      <c r="BE272" s="60">
        <v>-0.19</v>
      </c>
      <c r="BF272" s="60">
        <v>-1.67</v>
      </c>
      <c r="BG272" s="60">
        <v>0</v>
      </c>
      <c r="BH272" s="60">
        <v>0</v>
      </c>
      <c r="BI272" s="8">
        <f t="shared" si="206"/>
        <v>-114.31</v>
      </c>
      <c r="BJ272" s="2" t="s">
        <v>91</v>
      </c>
      <c r="BL272" s="70">
        <v>0</v>
      </c>
      <c r="BM272" s="70">
        <v>0</v>
      </c>
      <c r="BO272" s="71">
        <v>0</v>
      </c>
      <c r="BP272" s="71">
        <v>0</v>
      </c>
      <c r="BQ272" s="72">
        <v>0</v>
      </c>
      <c r="BS272" s="61">
        <f t="shared" si="214"/>
        <v>-0.43999999999999773</v>
      </c>
      <c r="BT272" s="61">
        <f t="shared" si="215"/>
        <v>0</v>
      </c>
      <c r="BU272" s="61">
        <f t="shared" si="216"/>
        <v>0</v>
      </c>
      <c r="BV272" s="61">
        <f t="shared" si="216"/>
        <v>0</v>
      </c>
      <c r="BW272" s="61">
        <f t="shared" si="216"/>
        <v>0</v>
      </c>
      <c r="BX272" s="61">
        <f t="shared" si="216"/>
        <v>-0.43999999999999773</v>
      </c>
      <c r="BY272" s="61" t="s">
        <v>91</v>
      </c>
      <c r="CA272" s="61">
        <f t="shared" si="191"/>
        <v>0</v>
      </c>
      <c r="CB272" s="61">
        <f t="shared" si="191"/>
        <v>0</v>
      </c>
      <c r="CC272" s="61">
        <f t="shared" si="191"/>
        <v>0</v>
      </c>
      <c r="CD272" s="61">
        <f t="shared" si="189"/>
        <v>0</v>
      </c>
      <c r="CE272" s="61">
        <f t="shared" si="189"/>
        <v>0</v>
      </c>
      <c r="CF272" s="61">
        <f t="shared" si="189"/>
        <v>0</v>
      </c>
      <c r="CG272" s="61">
        <f t="shared" si="189"/>
        <v>-6.6195276064389602E-2</v>
      </c>
      <c r="CH272" s="61">
        <f t="shared" si="189"/>
        <v>-6.6195276064389602E-2</v>
      </c>
      <c r="CI272" s="61">
        <f t="shared" si="225"/>
        <v>-6.6195276064389607E-3</v>
      </c>
      <c r="CJ272" s="61"/>
      <c r="CK272" s="61">
        <f t="shared" si="192"/>
        <v>0</v>
      </c>
      <c r="CL272" s="61">
        <f t="shared" si="192"/>
        <v>0</v>
      </c>
      <c r="CM272" s="61">
        <f t="shared" si="192"/>
        <v>0</v>
      </c>
      <c r="CN272" s="61">
        <f t="shared" si="190"/>
        <v>0</v>
      </c>
      <c r="CO272" s="61">
        <f t="shared" si="190"/>
        <v>0</v>
      </c>
      <c r="CP272" s="61">
        <f t="shared" si="190"/>
        <v>0</v>
      </c>
      <c r="CQ272" s="61">
        <f t="shared" si="190"/>
        <v>-6.6195276064389602E-2</v>
      </c>
      <c r="CR272" s="61">
        <f t="shared" si="190"/>
        <v>-6.6195276064389602E-2</v>
      </c>
      <c r="CS272" s="61">
        <f t="shared" si="226"/>
        <v>-6.6195276064389607E-3</v>
      </c>
      <c r="CT272" s="61">
        <f t="shared" si="227"/>
        <v>-4.3999999999999775E-2</v>
      </c>
      <c r="CV272" s="61">
        <f t="shared" si="228"/>
        <v>0</v>
      </c>
      <c r="CW272" s="61">
        <f t="shared" si="207"/>
        <v>0</v>
      </c>
      <c r="CX272" s="61"/>
      <c r="CY272" s="61">
        <f t="shared" si="208"/>
        <v>0</v>
      </c>
      <c r="CZ272" s="61">
        <f t="shared" si="220"/>
        <v>0</v>
      </c>
      <c r="DA272" s="61">
        <f t="shared" si="220"/>
        <v>0</v>
      </c>
      <c r="DB272" s="2" t="s">
        <v>134</v>
      </c>
      <c r="DC272" s="2" t="s">
        <v>102</v>
      </c>
      <c r="DD272" s="2" t="s">
        <v>142</v>
      </c>
      <c r="DE272" s="2" t="s">
        <v>181</v>
      </c>
      <c r="DF272" s="3" t="s">
        <v>102</v>
      </c>
      <c r="DG272" s="62">
        <v>42838</v>
      </c>
      <c r="EC272" s="60"/>
      <c r="ED272" s="60"/>
      <c r="EE272" s="60"/>
      <c r="EF272" s="60"/>
    </row>
    <row r="273" spans="2:140" ht="12.75" hidden="1" customHeight="1">
      <c r="B273" s="93" t="s">
        <v>652</v>
      </c>
      <c r="C273" s="22" t="s">
        <v>653</v>
      </c>
      <c r="D273" s="22" t="s">
        <v>654</v>
      </c>
      <c r="E273" s="2" t="str">
        <f>VLOOKUP($C273,[1]Detail!$C:$AK,6,0)</f>
        <v>PMT2</v>
      </c>
      <c r="F273" s="2" t="str">
        <f>VLOOKUP($C273,[1]Detail!$C:$AK,7,0)</f>
        <v>TH</v>
      </c>
      <c r="G273" s="2">
        <f>VLOOKUP($C273,[1]Detail!$C:$AK,5,0)</f>
        <v>0</v>
      </c>
      <c r="J273" s="22" t="s">
        <v>126</v>
      </c>
      <c r="K273" s="23" t="s">
        <v>658</v>
      </c>
      <c r="L273" s="22" t="s">
        <v>196</v>
      </c>
      <c r="M273" s="51" t="str">
        <f t="shared" si="212"/>
        <v>JD8B-F27407 -AAW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1</v>
      </c>
      <c r="V273" s="22">
        <v>1</v>
      </c>
      <c r="W273" s="64">
        <f t="shared" si="213"/>
        <v>0.1</v>
      </c>
      <c r="Y273" s="8">
        <v>-112.9</v>
      </c>
      <c r="Z273" s="8">
        <v>-0.19</v>
      </c>
      <c r="AA273" s="8">
        <v>-1.67</v>
      </c>
      <c r="AB273" s="8">
        <v>0</v>
      </c>
      <c r="AC273" s="8">
        <v>0</v>
      </c>
      <c r="AD273" s="8">
        <f t="shared" si="230"/>
        <v>-114.76</v>
      </c>
      <c r="AE273" s="2" t="s">
        <v>91</v>
      </c>
      <c r="AG273" s="8">
        <v>0</v>
      </c>
      <c r="AH273" s="8">
        <v>0</v>
      </c>
      <c r="AJ273" s="71">
        <v>0</v>
      </c>
      <c r="AK273" s="71">
        <v>0</v>
      </c>
      <c r="AL273" s="72">
        <v>0</v>
      </c>
      <c r="AM273" s="22"/>
      <c r="AO273" s="22" t="s">
        <v>128</v>
      </c>
      <c r="AP273" s="23" t="s">
        <v>658</v>
      </c>
      <c r="AQ273" s="22" t="s">
        <v>656</v>
      </c>
      <c r="AR273" s="51" t="str">
        <f t="shared" si="201"/>
        <v>ED8B-F27407 -BGW</v>
      </c>
      <c r="AS273" s="3"/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1</v>
      </c>
      <c r="BA273" s="22">
        <v>1</v>
      </c>
      <c r="BB273" s="64">
        <f t="shared" si="202"/>
        <v>0.1</v>
      </c>
      <c r="BD273" s="60">
        <v>-112.46</v>
      </c>
      <c r="BE273" s="60">
        <v>-0.19</v>
      </c>
      <c r="BF273" s="60">
        <v>-1.67</v>
      </c>
      <c r="BG273" s="60">
        <v>0</v>
      </c>
      <c r="BH273" s="60">
        <v>0</v>
      </c>
      <c r="BI273" s="8">
        <f t="shared" si="206"/>
        <v>-114.32</v>
      </c>
      <c r="BJ273" s="2" t="s">
        <v>91</v>
      </c>
      <c r="BL273" s="70">
        <v>0</v>
      </c>
      <c r="BM273" s="70">
        <v>0</v>
      </c>
      <c r="BO273" s="71">
        <v>0</v>
      </c>
      <c r="BP273" s="71">
        <v>0</v>
      </c>
      <c r="BQ273" s="72">
        <v>0</v>
      </c>
      <c r="BS273" s="61">
        <f t="shared" si="214"/>
        <v>-0.44000000000001194</v>
      </c>
      <c r="BT273" s="61">
        <f t="shared" si="215"/>
        <v>0</v>
      </c>
      <c r="BU273" s="61">
        <f t="shared" si="216"/>
        <v>0</v>
      </c>
      <c r="BV273" s="61">
        <f t="shared" si="216"/>
        <v>0</v>
      </c>
      <c r="BW273" s="61">
        <f t="shared" si="216"/>
        <v>0</v>
      </c>
      <c r="BX273" s="61">
        <f t="shared" si="216"/>
        <v>-0.44000000000001194</v>
      </c>
      <c r="BY273" s="61" t="s">
        <v>91</v>
      </c>
      <c r="CA273" s="61">
        <f t="shared" si="191"/>
        <v>0</v>
      </c>
      <c r="CB273" s="61">
        <f t="shared" si="191"/>
        <v>0</v>
      </c>
      <c r="CC273" s="61">
        <f t="shared" si="191"/>
        <v>0</v>
      </c>
      <c r="CD273" s="61">
        <f t="shared" si="189"/>
        <v>0</v>
      </c>
      <c r="CE273" s="61">
        <f t="shared" si="189"/>
        <v>0</v>
      </c>
      <c r="CF273" s="61">
        <f t="shared" si="189"/>
        <v>0</v>
      </c>
      <c r="CG273" s="61">
        <f t="shared" si="189"/>
        <v>-6.6195276064391739E-2</v>
      </c>
      <c r="CH273" s="61">
        <f t="shared" si="189"/>
        <v>-6.6195276064391739E-2</v>
      </c>
      <c r="CI273" s="61">
        <f t="shared" si="225"/>
        <v>-6.6195276064391741E-3</v>
      </c>
      <c r="CJ273" s="61"/>
      <c r="CK273" s="61">
        <f t="shared" si="192"/>
        <v>0</v>
      </c>
      <c r="CL273" s="61">
        <f t="shared" si="192"/>
        <v>0</v>
      </c>
      <c r="CM273" s="61">
        <f t="shared" si="192"/>
        <v>0</v>
      </c>
      <c r="CN273" s="61">
        <f t="shared" si="190"/>
        <v>0</v>
      </c>
      <c r="CO273" s="61">
        <f t="shared" si="190"/>
        <v>0</v>
      </c>
      <c r="CP273" s="61">
        <f t="shared" si="190"/>
        <v>0</v>
      </c>
      <c r="CQ273" s="61">
        <f t="shared" si="190"/>
        <v>-6.6195276064391739E-2</v>
      </c>
      <c r="CR273" s="61">
        <f t="shared" si="190"/>
        <v>-6.6195276064391739E-2</v>
      </c>
      <c r="CS273" s="61">
        <f t="shared" si="226"/>
        <v>-6.6195276064391741E-3</v>
      </c>
      <c r="CT273" s="61">
        <f t="shared" si="227"/>
        <v>-4.4000000000001191E-2</v>
      </c>
      <c r="CV273" s="61">
        <f t="shared" si="228"/>
        <v>0</v>
      </c>
      <c r="CW273" s="61">
        <f t="shared" si="207"/>
        <v>0</v>
      </c>
      <c r="CX273" s="61"/>
      <c r="CY273" s="61">
        <f t="shared" si="208"/>
        <v>0</v>
      </c>
      <c r="CZ273" s="61">
        <f t="shared" si="220"/>
        <v>0</v>
      </c>
      <c r="DA273" s="61">
        <f t="shared" si="220"/>
        <v>0</v>
      </c>
      <c r="DB273" s="2" t="s">
        <v>134</v>
      </c>
      <c r="DC273" s="2" t="s">
        <v>102</v>
      </c>
      <c r="DD273" s="2" t="s">
        <v>142</v>
      </c>
      <c r="DE273" s="2" t="s">
        <v>181</v>
      </c>
      <c r="DF273" s="3" t="s">
        <v>102</v>
      </c>
      <c r="DG273" s="62">
        <v>42838</v>
      </c>
      <c r="EC273" s="60"/>
      <c r="ED273" s="60"/>
      <c r="EE273" s="60"/>
      <c r="EF273" s="60"/>
    </row>
    <row r="274" spans="2:140" ht="12.75" hidden="1" customHeight="1">
      <c r="B274" s="99" t="s">
        <v>659</v>
      </c>
      <c r="C274" s="22" t="s">
        <v>660</v>
      </c>
      <c r="D274" s="22" t="s">
        <v>661</v>
      </c>
      <c r="E274" s="2" t="str">
        <f>VLOOKUP($C274,[1]Detail!$C:$AK,6,0)</f>
        <v>PMT1</v>
      </c>
      <c r="F274" s="2" t="str">
        <f>VLOOKUP($C274,[1]Detail!$C:$AK,7,0)</f>
        <v>TH</v>
      </c>
      <c r="G274" s="2" t="str">
        <f>VLOOKUP($C274,[1]Detail!$C:$AK,5,0)</f>
        <v>B</v>
      </c>
      <c r="J274" s="22" t="s">
        <v>126</v>
      </c>
      <c r="K274" s="23" t="s">
        <v>662</v>
      </c>
      <c r="L274" s="22" t="s">
        <v>100</v>
      </c>
      <c r="M274" s="51" t="str">
        <f t="shared" si="212"/>
        <v>JD8B-17500-AA</v>
      </c>
      <c r="O274" s="22">
        <v>1</v>
      </c>
      <c r="P274" s="22">
        <v>1</v>
      </c>
      <c r="Q274" s="22">
        <v>1</v>
      </c>
      <c r="R274" s="22">
        <v>1</v>
      </c>
      <c r="S274" s="22">
        <v>1</v>
      </c>
      <c r="T274" s="22">
        <v>1</v>
      </c>
      <c r="U274" s="22">
        <v>1</v>
      </c>
      <c r="V274" s="22">
        <v>1</v>
      </c>
      <c r="W274" s="64">
        <f t="shared" si="213"/>
        <v>1</v>
      </c>
      <c r="Y274" s="8">
        <v>-215</v>
      </c>
      <c r="Z274" s="8">
        <v>-4.13</v>
      </c>
      <c r="AA274" s="8">
        <v>-7.08</v>
      </c>
      <c r="AB274" s="8">
        <v>0</v>
      </c>
      <c r="AC274" s="8">
        <v>-3.5572474469428501</v>
      </c>
      <c r="AD274" s="8">
        <f t="shared" si="230"/>
        <v>-229.76724744694286</v>
      </c>
      <c r="AE274" s="2" t="s">
        <v>91</v>
      </c>
      <c r="AG274" s="8">
        <v>-1100000</v>
      </c>
      <c r="AH274" s="8">
        <v>-1100000</v>
      </c>
      <c r="AI274" s="6"/>
      <c r="AJ274" s="70">
        <v>-2045058</v>
      </c>
      <c r="AK274" s="70">
        <v>574899</v>
      </c>
      <c r="AL274" s="72"/>
      <c r="AM274" s="22"/>
      <c r="AO274" s="22" t="s">
        <v>126</v>
      </c>
      <c r="AP274" s="23" t="s">
        <v>662</v>
      </c>
      <c r="AQ274" s="22" t="s">
        <v>100</v>
      </c>
      <c r="AR274" s="51" t="str">
        <f t="shared" si="201"/>
        <v>JD8B-17500-AA</v>
      </c>
      <c r="AS274" s="3"/>
      <c r="AT274" s="22">
        <v>1</v>
      </c>
      <c r="AU274" s="22">
        <v>1</v>
      </c>
      <c r="AV274" s="22">
        <v>1</v>
      </c>
      <c r="AW274" s="22">
        <v>1</v>
      </c>
      <c r="AX274" s="22">
        <v>1</v>
      </c>
      <c r="AY274" s="22">
        <v>1</v>
      </c>
      <c r="AZ274" s="22">
        <v>1</v>
      </c>
      <c r="BA274" s="22">
        <v>1</v>
      </c>
      <c r="BB274" s="64">
        <f t="shared" si="202"/>
        <v>1</v>
      </c>
      <c r="BD274" s="60">
        <v>-215</v>
      </c>
      <c r="BE274" s="60">
        <v>-4.13</v>
      </c>
      <c r="BF274" s="95">
        <v>-7.08</v>
      </c>
      <c r="BG274" s="95">
        <v>0</v>
      </c>
      <c r="BH274" s="95">
        <v>-3.5572474469428501</v>
      </c>
      <c r="BI274" s="8">
        <f t="shared" si="206"/>
        <v>-229.76724744694286</v>
      </c>
      <c r="BJ274" s="2" t="s">
        <v>91</v>
      </c>
      <c r="BL274" s="70">
        <v>-1100000</v>
      </c>
      <c r="BM274" s="70">
        <v>-1100000</v>
      </c>
      <c r="BO274" s="70">
        <v>-2045058</v>
      </c>
      <c r="BP274" s="70">
        <v>574899</v>
      </c>
      <c r="BQ274" s="72"/>
      <c r="BS274" s="61">
        <f t="shared" si="214"/>
        <v>0</v>
      </c>
      <c r="BT274" s="61">
        <f t="shared" si="215"/>
        <v>0</v>
      </c>
      <c r="BU274" s="61">
        <f t="shared" si="216"/>
        <v>0</v>
      </c>
      <c r="BV274" s="61">
        <f t="shared" si="216"/>
        <v>0</v>
      </c>
      <c r="BW274" s="61">
        <f t="shared" si="216"/>
        <v>0</v>
      </c>
      <c r="BX274" s="61">
        <f t="shared" si="216"/>
        <v>0</v>
      </c>
      <c r="BY274" s="61" t="s">
        <v>91</v>
      </c>
      <c r="CA274" s="61">
        <f t="shared" si="191"/>
        <v>0</v>
      </c>
      <c r="CB274" s="61">
        <f t="shared" si="191"/>
        <v>0</v>
      </c>
      <c r="CC274" s="61">
        <f t="shared" si="191"/>
        <v>0</v>
      </c>
      <c r="CD274" s="61">
        <f t="shared" si="189"/>
        <v>0</v>
      </c>
      <c r="CE274" s="61">
        <f t="shared" si="189"/>
        <v>0</v>
      </c>
      <c r="CF274" s="61">
        <f t="shared" si="189"/>
        <v>0</v>
      </c>
      <c r="CG274" s="61">
        <f t="shared" si="189"/>
        <v>0</v>
      </c>
      <c r="CH274" s="61">
        <f t="shared" si="189"/>
        <v>0</v>
      </c>
      <c r="CI274" s="61">
        <f t="shared" si="225"/>
        <v>0</v>
      </c>
      <c r="CJ274" s="61"/>
      <c r="CK274" s="61">
        <f t="shared" si="192"/>
        <v>0</v>
      </c>
      <c r="CL274" s="61">
        <f t="shared" si="192"/>
        <v>0</v>
      </c>
      <c r="CM274" s="61">
        <f t="shared" si="192"/>
        <v>0</v>
      </c>
      <c r="CN274" s="61">
        <f t="shared" si="190"/>
        <v>0</v>
      </c>
      <c r="CO274" s="61">
        <f t="shared" si="190"/>
        <v>0</v>
      </c>
      <c r="CP274" s="61">
        <f t="shared" si="190"/>
        <v>0</v>
      </c>
      <c r="CQ274" s="61">
        <f t="shared" si="190"/>
        <v>0</v>
      </c>
      <c r="CR274" s="61">
        <f t="shared" si="190"/>
        <v>0</v>
      </c>
      <c r="CS274" s="61">
        <f t="shared" si="226"/>
        <v>0</v>
      </c>
      <c r="CT274" s="61">
        <f t="shared" si="227"/>
        <v>0</v>
      </c>
      <c r="CV274" s="61">
        <f t="shared" si="228"/>
        <v>0</v>
      </c>
      <c r="CW274" s="61">
        <f t="shared" si="207"/>
        <v>0</v>
      </c>
      <c r="CX274" s="61"/>
      <c r="CY274" s="61">
        <f t="shared" si="208"/>
        <v>0</v>
      </c>
      <c r="CZ274" s="61">
        <f t="shared" si="220"/>
        <v>0</v>
      </c>
      <c r="DA274" s="61">
        <f t="shared" si="220"/>
        <v>0</v>
      </c>
      <c r="DB274" s="2" t="s">
        <v>102</v>
      </c>
      <c r="DC274" s="2" t="s">
        <v>102</v>
      </c>
      <c r="DD274" s="2" t="s">
        <v>142</v>
      </c>
      <c r="DE274" s="2" t="s">
        <v>181</v>
      </c>
      <c r="DF274" s="3" t="s">
        <v>86</v>
      </c>
      <c r="DG274" s="62">
        <v>42800</v>
      </c>
      <c r="EC274" s="60" t="str">
        <f>VLOOKUP($M274,[1]Detail!$M:$BO,1,0)</f>
        <v>JD8B-17500-AA</v>
      </c>
      <c r="ED274" s="60">
        <f>VLOOKUP($M274,[1]Detail!$M:$BO,22,0)</f>
        <v>-229.76724744694286</v>
      </c>
      <c r="EE274" s="60">
        <f>VLOOKUP($M274,[1]Detail!$M:$BO,42,0)</f>
        <v>-1100000</v>
      </c>
      <c r="EF274" s="60">
        <f>VLOOKUP($M274,[1]Detail!$M:$BO,45,0)</f>
        <v>-2045058</v>
      </c>
      <c r="EH274" s="60">
        <f>ED274-AD274</f>
        <v>0</v>
      </c>
      <c r="EI274" s="60">
        <f>EE274-AG274</f>
        <v>0</v>
      </c>
      <c r="EJ274" s="60">
        <f>EF274-AJ274</f>
        <v>0</v>
      </c>
    </row>
    <row r="275" spans="2:140" ht="12.75" hidden="1" customHeight="1">
      <c r="B275" s="99" t="s">
        <v>659</v>
      </c>
      <c r="C275" s="22" t="s">
        <v>660</v>
      </c>
      <c r="D275" s="22" t="s">
        <v>661</v>
      </c>
      <c r="E275" s="2" t="str">
        <f>VLOOKUP($C275,[1]Detail!$C:$AK,6,0)</f>
        <v>PMT1</v>
      </c>
      <c r="F275" s="2" t="str">
        <f>VLOOKUP($C275,[1]Detail!$C:$AK,7,0)</f>
        <v>TH</v>
      </c>
      <c r="G275" s="2" t="str">
        <f>VLOOKUP($C275,[1]Detail!$C:$AK,5,0)</f>
        <v>B</v>
      </c>
      <c r="J275" s="22" t="s">
        <v>126</v>
      </c>
      <c r="K275" s="23" t="s">
        <v>663</v>
      </c>
      <c r="L275" s="22" t="s">
        <v>100</v>
      </c>
      <c r="M275" s="51" t="str">
        <f t="shared" si="212"/>
        <v>JD8B-17B589-AA</v>
      </c>
      <c r="O275" s="22">
        <v>1</v>
      </c>
      <c r="P275" s="22">
        <v>1</v>
      </c>
      <c r="Q275" s="22">
        <v>1</v>
      </c>
      <c r="R275" s="22">
        <v>1</v>
      </c>
      <c r="S275" s="22">
        <v>1</v>
      </c>
      <c r="T275" s="22">
        <v>1</v>
      </c>
      <c r="U275" s="22">
        <v>1</v>
      </c>
      <c r="V275" s="22">
        <v>1</v>
      </c>
      <c r="W275" s="64">
        <f t="shared" si="213"/>
        <v>1</v>
      </c>
      <c r="Y275" s="8">
        <v>-39.9</v>
      </c>
      <c r="Z275" s="8">
        <v>-0.6</v>
      </c>
      <c r="AA275" s="8">
        <v>-1.5</v>
      </c>
      <c r="AB275" s="8">
        <v>0</v>
      </c>
      <c r="AC275" s="8">
        <v>0</v>
      </c>
      <c r="AD275" s="8">
        <f t="shared" si="230"/>
        <v>-42</v>
      </c>
      <c r="AE275" s="2" t="s">
        <v>91</v>
      </c>
      <c r="AG275" s="8">
        <v>-225000</v>
      </c>
      <c r="AH275" s="8">
        <v>-225000</v>
      </c>
      <c r="AI275" s="6"/>
      <c r="AJ275" s="70">
        <v>0</v>
      </c>
      <c r="AK275" s="70">
        <v>0</v>
      </c>
      <c r="AL275" s="72"/>
      <c r="AM275" s="22"/>
      <c r="AO275" s="22" t="s">
        <v>126</v>
      </c>
      <c r="AP275" s="23" t="s">
        <v>663</v>
      </c>
      <c r="AQ275" s="22" t="s">
        <v>100</v>
      </c>
      <c r="AR275" s="51" t="str">
        <f t="shared" si="201"/>
        <v>JD8B-17B589-AA</v>
      </c>
      <c r="AS275" s="3"/>
      <c r="AT275" s="22">
        <v>1</v>
      </c>
      <c r="AU275" s="22">
        <v>1</v>
      </c>
      <c r="AV275" s="22">
        <v>1</v>
      </c>
      <c r="AW275" s="22">
        <v>1</v>
      </c>
      <c r="AX275" s="22">
        <v>1</v>
      </c>
      <c r="AY275" s="22">
        <v>1</v>
      </c>
      <c r="AZ275" s="22">
        <v>1</v>
      </c>
      <c r="BA275" s="22">
        <v>1</v>
      </c>
      <c r="BB275" s="64">
        <f t="shared" si="202"/>
        <v>1</v>
      </c>
      <c r="BD275" s="60">
        <v>-39.9</v>
      </c>
      <c r="BE275" s="60">
        <v>-0.6</v>
      </c>
      <c r="BF275" s="60">
        <v>-1.5</v>
      </c>
      <c r="BG275" s="60">
        <v>0</v>
      </c>
      <c r="BH275" s="60">
        <v>0</v>
      </c>
      <c r="BI275" s="8">
        <f t="shared" si="206"/>
        <v>-42</v>
      </c>
      <c r="BJ275" s="2" t="s">
        <v>91</v>
      </c>
      <c r="BL275" s="8">
        <v>-225000</v>
      </c>
      <c r="BM275" s="8">
        <v>-225000</v>
      </c>
      <c r="BO275" s="70">
        <v>0</v>
      </c>
      <c r="BP275" s="70">
        <v>0</v>
      </c>
      <c r="BQ275" s="72"/>
      <c r="BS275" s="61">
        <f t="shared" si="214"/>
        <v>0</v>
      </c>
      <c r="BT275" s="61">
        <f t="shared" si="215"/>
        <v>0</v>
      </c>
      <c r="BU275" s="61">
        <f t="shared" si="216"/>
        <v>0</v>
      </c>
      <c r="BV275" s="61">
        <f t="shared" si="216"/>
        <v>0</v>
      </c>
      <c r="BW275" s="61">
        <f t="shared" si="216"/>
        <v>0</v>
      </c>
      <c r="BX275" s="61">
        <f t="shared" si="216"/>
        <v>0</v>
      </c>
      <c r="BY275" s="61" t="s">
        <v>91</v>
      </c>
      <c r="CA275" s="61">
        <f t="shared" si="191"/>
        <v>0</v>
      </c>
      <c r="CB275" s="61">
        <f t="shared" si="191"/>
        <v>0</v>
      </c>
      <c r="CC275" s="61">
        <f t="shared" si="191"/>
        <v>0</v>
      </c>
      <c r="CD275" s="61">
        <f t="shared" si="191"/>
        <v>0</v>
      </c>
      <c r="CE275" s="61">
        <f t="shared" si="191"/>
        <v>0</v>
      </c>
      <c r="CF275" s="61">
        <f t="shared" si="191"/>
        <v>0</v>
      </c>
      <c r="CG275" s="61">
        <f t="shared" si="191"/>
        <v>0</v>
      </c>
      <c r="CH275" s="61">
        <f t="shared" si="191"/>
        <v>0</v>
      </c>
      <c r="CI275" s="61">
        <f t="shared" si="225"/>
        <v>0</v>
      </c>
      <c r="CJ275" s="61"/>
      <c r="CK275" s="61">
        <f t="shared" si="192"/>
        <v>0</v>
      </c>
      <c r="CL275" s="61">
        <f t="shared" si="192"/>
        <v>0</v>
      </c>
      <c r="CM275" s="61">
        <f t="shared" si="192"/>
        <v>0</v>
      </c>
      <c r="CN275" s="61">
        <f t="shared" si="192"/>
        <v>0</v>
      </c>
      <c r="CO275" s="61">
        <f t="shared" si="192"/>
        <v>0</v>
      </c>
      <c r="CP275" s="61">
        <f t="shared" si="192"/>
        <v>0</v>
      </c>
      <c r="CQ275" s="61">
        <f t="shared" si="192"/>
        <v>0</v>
      </c>
      <c r="CR275" s="61">
        <f t="shared" si="192"/>
        <v>0</v>
      </c>
      <c r="CS275" s="61">
        <f t="shared" si="226"/>
        <v>0</v>
      </c>
      <c r="CT275" s="61">
        <f t="shared" si="227"/>
        <v>0</v>
      </c>
      <c r="CV275" s="61">
        <f t="shared" si="228"/>
        <v>0</v>
      </c>
      <c r="CW275" s="61">
        <f t="shared" si="207"/>
        <v>0</v>
      </c>
      <c r="CX275" s="61"/>
      <c r="CY275" s="61">
        <f t="shared" si="208"/>
        <v>0</v>
      </c>
      <c r="CZ275" s="61">
        <f t="shared" si="220"/>
        <v>0</v>
      </c>
      <c r="DA275" s="61">
        <f t="shared" si="220"/>
        <v>0</v>
      </c>
      <c r="DB275" s="2" t="s">
        <v>85</v>
      </c>
      <c r="DC275" s="2" t="s">
        <v>102</v>
      </c>
      <c r="DD275" s="2" t="s">
        <v>142</v>
      </c>
      <c r="DE275" s="2" t="s">
        <v>181</v>
      </c>
      <c r="DF275" s="3" t="s">
        <v>86</v>
      </c>
      <c r="DG275" s="62">
        <v>42800</v>
      </c>
      <c r="EC275" s="60"/>
      <c r="ED275" s="60"/>
      <c r="EE275" s="60"/>
      <c r="EF275" s="60"/>
    </row>
    <row r="276" spans="2:140" ht="12.75" hidden="1" customHeight="1">
      <c r="B276" s="99" t="s">
        <v>659</v>
      </c>
      <c r="C276" s="22" t="s">
        <v>660</v>
      </c>
      <c r="D276" s="22" t="s">
        <v>661</v>
      </c>
      <c r="E276" s="2" t="str">
        <f>VLOOKUP($C276,[1]Detail!$C:$AK,6,0)</f>
        <v>PMT1</v>
      </c>
      <c r="F276" s="2" t="str">
        <f>VLOOKUP($C276,[1]Detail!$C:$AK,7,0)</f>
        <v>TH</v>
      </c>
      <c r="G276" s="2" t="str">
        <f>VLOOKUP($C276,[1]Detail!$C:$AK,5,0)</f>
        <v>B</v>
      </c>
      <c r="J276" s="22" t="s">
        <v>126</v>
      </c>
      <c r="K276" s="23" t="s">
        <v>664</v>
      </c>
      <c r="L276" s="22" t="s">
        <v>100</v>
      </c>
      <c r="M276" s="51" t="str">
        <f t="shared" si="212"/>
        <v>JD8B-17C495-AA</v>
      </c>
      <c r="O276" s="22">
        <v>1</v>
      </c>
      <c r="P276" s="22">
        <v>1</v>
      </c>
      <c r="Q276" s="22">
        <v>1</v>
      </c>
      <c r="R276" s="22">
        <v>1</v>
      </c>
      <c r="S276" s="22">
        <v>1</v>
      </c>
      <c r="T276" s="22">
        <v>1</v>
      </c>
      <c r="U276" s="22">
        <v>1</v>
      </c>
      <c r="V276" s="22">
        <v>1</v>
      </c>
      <c r="W276" s="64">
        <f t="shared" si="213"/>
        <v>1</v>
      </c>
      <c r="Y276" s="8">
        <v>-39.9</v>
      </c>
      <c r="Z276" s="8">
        <v>-0.6</v>
      </c>
      <c r="AA276" s="8">
        <v>-1.5</v>
      </c>
      <c r="AB276" s="8">
        <v>0</v>
      </c>
      <c r="AC276" s="8">
        <v>0</v>
      </c>
      <c r="AD276" s="8">
        <f t="shared" si="230"/>
        <v>-42</v>
      </c>
      <c r="AE276" s="2" t="s">
        <v>91</v>
      </c>
      <c r="AG276" s="8">
        <v>-225000</v>
      </c>
      <c r="AH276" s="8">
        <v>-225000</v>
      </c>
      <c r="AI276" s="6"/>
      <c r="AJ276" s="70">
        <v>0</v>
      </c>
      <c r="AK276" s="70">
        <v>0</v>
      </c>
      <c r="AL276" s="72"/>
      <c r="AM276" s="22"/>
      <c r="AO276" s="22" t="s">
        <v>126</v>
      </c>
      <c r="AP276" s="23" t="s">
        <v>664</v>
      </c>
      <c r="AQ276" s="22" t="s">
        <v>100</v>
      </c>
      <c r="AR276" s="51" t="str">
        <f t="shared" si="201"/>
        <v>JD8B-17C495-AA</v>
      </c>
      <c r="AS276" s="3"/>
      <c r="AT276" s="22">
        <v>1</v>
      </c>
      <c r="AU276" s="22">
        <v>1</v>
      </c>
      <c r="AV276" s="22">
        <v>1</v>
      </c>
      <c r="AW276" s="22">
        <v>1</v>
      </c>
      <c r="AX276" s="22">
        <v>1</v>
      </c>
      <c r="AY276" s="22">
        <v>1</v>
      </c>
      <c r="AZ276" s="22">
        <v>1</v>
      </c>
      <c r="BA276" s="22">
        <v>1</v>
      </c>
      <c r="BB276" s="64">
        <f t="shared" si="202"/>
        <v>1</v>
      </c>
      <c r="BD276" s="60">
        <v>-39.9</v>
      </c>
      <c r="BE276" s="60">
        <v>-0.6</v>
      </c>
      <c r="BF276" s="60">
        <v>-1.5</v>
      </c>
      <c r="BG276" s="60">
        <v>0</v>
      </c>
      <c r="BH276" s="60">
        <v>0</v>
      </c>
      <c r="BI276" s="8">
        <f t="shared" si="206"/>
        <v>-42</v>
      </c>
      <c r="BJ276" s="2" t="s">
        <v>91</v>
      </c>
      <c r="BL276" s="8">
        <v>-225000</v>
      </c>
      <c r="BM276" s="8">
        <v>-225000</v>
      </c>
      <c r="BO276" s="70">
        <v>0</v>
      </c>
      <c r="BP276" s="70">
        <v>0</v>
      </c>
      <c r="BQ276" s="72"/>
      <c r="BS276" s="61">
        <f t="shared" si="214"/>
        <v>0</v>
      </c>
      <c r="BT276" s="61">
        <f t="shared" si="215"/>
        <v>0</v>
      </c>
      <c r="BU276" s="61">
        <f t="shared" si="216"/>
        <v>0</v>
      </c>
      <c r="BV276" s="61">
        <f t="shared" si="216"/>
        <v>0</v>
      </c>
      <c r="BW276" s="61">
        <f t="shared" si="216"/>
        <v>0</v>
      </c>
      <c r="BX276" s="61">
        <f t="shared" si="216"/>
        <v>0</v>
      </c>
      <c r="BY276" s="61" t="s">
        <v>91</v>
      </c>
      <c r="CA276" s="61">
        <f t="shared" si="191"/>
        <v>0</v>
      </c>
      <c r="CB276" s="61">
        <f t="shared" si="191"/>
        <v>0</v>
      </c>
      <c r="CC276" s="61">
        <f t="shared" si="191"/>
        <v>0</v>
      </c>
      <c r="CD276" s="61">
        <f t="shared" si="191"/>
        <v>0</v>
      </c>
      <c r="CE276" s="61">
        <f t="shared" si="191"/>
        <v>0</v>
      </c>
      <c r="CF276" s="61">
        <f t="shared" si="191"/>
        <v>0</v>
      </c>
      <c r="CG276" s="61">
        <f t="shared" si="191"/>
        <v>0</v>
      </c>
      <c r="CH276" s="61">
        <f t="shared" si="191"/>
        <v>0</v>
      </c>
      <c r="CI276" s="61">
        <f t="shared" si="225"/>
        <v>0</v>
      </c>
      <c r="CJ276" s="61"/>
      <c r="CK276" s="61">
        <f t="shared" si="192"/>
        <v>0</v>
      </c>
      <c r="CL276" s="61">
        <f t="shared" si="192"/>
        <v>0</v>
      </c>
      <c r="CM276" s="61">
        <f t="shared" si="192"/>
        <v>0</v>
      </c>
      <c r="CN276" s="61">
        <f t="shared" si="192"/>
        <v>0</v>
      </c>
      <c r="CO276" s="61">
        <f t="shared" si="192"/>
        <v>0</v>
      </c>
      <c r="CP276" s="61">
        <f t="shared" si="192"/>
        <v>0</v>
      </c>
      <c r="CQ276" s="61">
        <f t="shared" si="192"/>
        <v>0</v>
      </c>
      <c r="CR276" s="61">
        <f t="shared" si="192"/>
        <v>0</v>
      </c>
      <c r="CS276" s="61">
        <f t="shared" si="226"/>
        <v>0</v>
      </c>
      <c r="CT276" s="61">
        <f t="shared" si="227"/>
        <v>0</v>
      </c>
      <c r="CV276" s="61">
        <f t="shared" si="228"/>
        <v>0</v>
      </c>
      <c r="CW276" s="61">
        <f t="shared" si="207"/>
        <v>0</v>
      </c>
      <c r="CX276" s="61"/>
      <c r="CY276" s="61">
        <f t="shared" si="208"/>
        <v>0</v>
      </c>
      <c r="CZ276" s="61">
        <f t="shared" si="220"/>
        <v>0</v>
      </c>
      <c r="DA276" s="61">
        <f t="shared" si="220"/>
        <v>0</v>
      </c>
      <c r="DB276" s="2" t="s">
        <v>85</v>
      </c>
      <c r="DC276" s="2" t="s">
        <v>102</v>
      </c>
      <c r="DD276" s="2" t="s">
        <v>142</v>
      </c>
      <c r="DE276" s="2" t="s">
        <v>181</v>
      </c>
      <c r="DF276" s="3" t="s">
        <v>86</v>
      </c>
      <c r="DG276" s="62">
        <v>42800</v>
      </c>
      <c r="EC276" s="60"/>
      <c r="ED276" s="60"/>
      <c r="EE276" s="60"/>
      <c r="EF276" s="60"/>
    </row>
    <row r="277" spans="2:140" ht="12.75" hidden="1" customHeight="1">
      <c r="B277" s="99" t="s">
        <v>665</v>
      </c>
      <c r="C277" s="22" t="s">
        <v>666</v>
      </c>
      <c r="D277" s="22" t="s">
        <v>667</v>
      </c>
      <c r="E277" s="2" t="str">
        <f>VLOOKUP($C277,[1]Detail!$C:$AK,6,0)</f>
        <v>PMT4</v>
      </c>
      <c r="F277" s="2" t="str">
        <f>VLOOKUP($C277,[1]Detail!$C:$AK,7,0)</f>
        <v>PF</v>
      </c>
      <c r="G277" s="2" t="str">
        <f>VLOOKUP($C277,[1]Detail!$C:$AK,5,0)</f>
        <v>B</v>
      </c>
      <c r="J277" s="22" t="s">
        <v>295</v>
      </c>
      <c r="K277" s="23" t="s">
        <v>668</v>
      </c>
      <c r="L277" s="22" t="s">
        <v>198</v>
      </c>
      <c r="M277" s="51" t="str">
        <f t="shared" si="212"/>
        <v>JD8P-7K004-BAW</v>
      </c>
      <c r="O277" s="22">
        <v>0</v>
      </c>
      <c r="P277" s="22">
        <v>1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64">
        <f t="shared" si="213"/>
        <v>0.16</v>
      </c>
      <c r="Y277" s="8">
        <v>-214.49</v>
      </c>
      <c r="Z277" s="8">
        <v>-7.18</v>
      </c>
      <c r="AA277" s="8">
        <v>-12.88</v>
      </c>
      <c r="AB277" s="8">
        <v>0</v>
      </c>
      <c r="AC277" s="8">
        <v>0</v>
      </c>
      <c r="AD277" s="8">
        <f t="shared" si="230"/>
        <v>-234.55</v>
      </c>
      <c r="AE277" s="2" t="s">
        <v>91</v>
      </c>
      <c r="AG277" s="8">
        <v>-39440</v>
      </c>
      <c r="AH277" s="8">
        <v>-39440</v>
      </c>
      <c r="AI277" s="6"/>
      <c r="AJ277" s="70">
        <v>0</v>
      </c>
      <c r="AK277" s="70">
        <v>0</v>
      </c>
      <c r="AL277" s="72">
        <v>0</v>
      </c>
      <c r="AM277" s="22"/>
      <c r="AO277" s="22" t="s">
        <v>669</v>
      </c>
      <c r="AP277" s="23" t="s">
        <v>668</v>
      </c>
      <c r="AQ277" s="22" t="s">
        <v>267</v>
      </c>
      <c r="AR277" s="51" t="str">
        <f t="shared" si="201"/>
        <v>ED8P-7K004-ADW</v>
      </c>
      <c r="AS277" s="3"/>
      <c r="AT277" s="22">
        <v>0</v>
      </c>
      <c r="AU277" s="22">
        <v>1</v>
      </c>
      <c r="AV277" s="22">
        <v>0</v>
      </c>
      <c r="AW277" s="22">
        <v>0</v>
      </c>
      <c r="AX277" s="22">
        <v>0</v>
      </c>
      <c r="AY277" s="22">
        <v>0</v>
      </c>
      <c r="AZ277" s="22">
        <v>0</v>
      </c>
      <c r="BA277" s="22">
        <v>0</v>
      </c>
      <c r="BB277" s="64">
        <f t="shared" si="202"/>
        <v>0.16</v>
      </c>
      <c r="BD277" s="60">
        <v>-214.49</v>
      </c>
      <c r="BE277" s="60">
        <v>-7.18</v>
      </c>
      <c r="BF277" s="95">
        <v>-12.88</v>
      </c>
      <c r="BG277" s="95">
        <v>0</v>
      </c>
      <c r="BH277" s="95">
        <v>0</v>
      </c>
      <c r="BI277" s="8">
        <f t="shared" si="206"/>
        <v>-234.55</v>
      </c>
      <c r="BJ277" s="2" t="s">
        <v>91</v>
      </c>
      <c r="BL277" s="70">
        <v>0</v>
      </c>
      <c r="BM277" s="70">
        <v>0</v>
      </c>
      <c r="BO277" s="70">
        <v>0</v>
      </c>
      <c r="BP277" s="70">
        <v>0</v>
      </c>
      <c r="BQ277" s="72">
        <v>0</v>
      </c>
      <c r="BS277" s="61">
        <f t="shared" si="214"/>
        <v>0</v>
      </c>
      <c r="BT277" s="61">
        <f t="shared" si="215"/>
        <v>0</v>
      </c>
      <c r="BU277" s="61">
        <f t="shared" si="216"/>
        <v>0</v>
      </c>
      <c r="BV277" s="61">
        <f t="shared" si="216"/>
        <v>0</v>
      </c>
      <c r="BW277" s="61">
        <f t="shared" si="216"/>
        <v>0</v>
      </c>
      <c r="BX277" s="61">
        <f t="shared" si="216"/>
        <v>0</v>
      </c>
      <c r="BY277" s="61" t="s">
        <v>91</v>
      </c>
      <c r="CA277" s="61">
        <f t="shared" si="191"/>
        <v>0</v>
      </c>
      <c r="CB277" s="61">
        <f t="shared" si="191"/>
        <v>0</v>
      </c>
      <c r="CC277" s="61">
        <f t="shared" si="191"/>
        <v>0</v>
      </c>
      <c r="CD277" s="61">
        <f t="shared" si="191"/>
        <v>0</v>
      </c>
      <c r="CE277" s="61">
        <f t="shared" si="191"/>
        <v>0</v>
      </c>
      <c r="CF277" s="61">
        <f t="shared" si="191"/>
        <v>0</v>
      </c>
      <c r="CG277" s="61">
        <f t="shared" si="191"/>
        <v>0</v>
      </c>
      <c r="CH277" s="61">
        <f t="shared" si="191"/>
        <v>0</v>
      </c>
      <c r="CI277" s="61">
        <f t="shared" si="225"/>
        <v>0</v>
      </c>
      <c r="CJ277" s="61"/>
      <c r="CK277" s="61">
        <f t="shared" si="192"/>
        <v>0</v>
      </c>
      <c r="CL277" s="61">
        <f t="shared" si="192"/>
        <v>0</v>
      </c>
      <c r="CM277" s="61">
        <f t="shared" si="192"/>
        <v>0</v>
      </c>
      <c r="CN277" s="61">
        <f t="shared" si="192"/>
        <v>0</v>
      </c>
      <c r="CO277" s="61">
        <f t="shared" si="192"/>
        <v>0</v>
      </c>
      <c r="CP277" s="61">
        <f t="shared" si="192"/>
        <v>0</v>
      </c>
      <c r="CQ277" s="61">
        <f t="shared" si="192"/>
        <v>0</v>
      </c>
      <c r="CR277" s="61">
        <f t="shared" si="192"/>
        <v>0</v>
      </c>
      <c r="CS277" s="61">
        <f t="shared" si="226"/>
        <v>0</v>
      </c>
      <c r="CT277" s="61">
        <f t="shared" si="227"/>
        <v>0</v>
      </c>
      <c r="CV277" s="61">
        <f t="shared" si="228"/>
        <v>-39440</v>
      </c>
      <c r="CW277" s="61">
        <f t="shared" si="207"/>
        <v>-39440</v>
      </c>
      <c r="CX277" s="61"/>
      <c r="CY277" s="61">
        <f t="shared" si="208"/>
        <v>0</v>
      </c>
      <c r="CZ277" s="61">
        <f t="shared" si="220"/>
        <v>0</v>
      </c>
      <c r="DA277" s="61">
        <f t="shared" si="220"/>
        <v>0</v>
      </c>
      <c r="DB277" s="2" t="s">
        <v>102</v>
      </c>
      <c r="DC277" s="2" t="s">
        <v>102</v>
      </c>
      <c r="DD277" s="2" t="s">
        <v>142</v>
      </c>
      <c r="DE277" s="2" t="s">
        <v>181</v>
      </c>
      <c r="DF277" s="3" t="s">
        <v>86</v>
      </c>
      <c r="DG277" s="62">
        <v>42802</v>
      </c>
      <c r="EC277" s="60" t="str">
        <f>VLOOKUP($M277,[1]Detail!$M:$BO,1,0)</f>
        <v>JD8P-7K004-BAW</v>
      </c>
      <c r="ED277" s="60">
        <f>VLOOKUP($M277,[1]Detail!$M:$BO,22,0)</f>
        <v>-234.55</v>
      </c>
      <c r="EE277" s="60">
        <f>VLOOKUP($M277,[1]Detail!$M:$BO,42,0)</f>
        <v>-39440</v>
      </c>
      <c r="EF277" s="60">
        <f>VLOOKUP($M277,[1]Detail!$M:$BO,45,0)</f>
        <v>0</v>
      </c>
      <c r="EH277" s="60">
        <f>ED277-AD277</f>
        <v>0</v>
      </c>
      <c r="EI277" s="60">
        <f>EE277-AG277</f>
        <v>0</v>
      </c>
      <c r="EJ277" s="60">
        <f t="shared" ref="EJ277:EJ278" si="234">EF277-AJ277</f>
        <v>0</v>
      </c>
    </row>
    <row r="278" spans="2:140" ht="12.75" hidden="1" customHeight="1">
      <c r="B278" s="99" t="s">
        <v>665</v>
      </c>
      <c r="C278" s="22" t="s">
        <v>666</v>
      </c>
      <c r="D278" s="22" t="s">
        <v>667</v>
      </c>
      <c r="E278" s="2" t="str">
        <f>VLOOKUP($C278,[1]Detail!$C:$AK,6,0)</f>
        <v>PMT4</v>
      </c>
      <c r="F278" s="2" t="str">
        <f>VLOOKUP($C278,[1]Detail!$C:$AK,7,0)</f>
        <v>PF</v>
      </c>
      <c r="G278" s="2" t="str">
        <f>VLOOKUP($C278,[1]Detail!$C:$AK,5,0)</f>
        <v>B</v>
      </c>
      <c r="J278" s="22" t="s">
        <v>295</v>
      </c>
      <c r="K278" s="23" t="s">
        <v>668</v>
      </c>
      <c r="L278" s="22" t="s">
        <v>269</v>
      </c>
      <c r="M278" s="51" t="str">
        <f t="shared" si="212"/>
        <v>JD8P-7K004-CAW</v>
      </c>
      <c r="O278" s="22">
        <v>0</v>
      </c>
      <c r="P278" s="22">
        <v>0</v>
      </c>
      <c r="Q278" s="22">
        <v>0</v>
      </c>
      <c r="R278" s="22">
        <v>1</v>
      </c>
      <c r="S278" s="22">
        <v>0</v>
      </c>
      <c r="T278" s="22">
        <v>1</v>
      </c>
      <c r="U278" s="22">
        <v>0</v>
      </c>
      <c r="V278" s="22">
        <v>0</v>
      </c>
      <c r="W278" s="64">
        <f t="shared" si="213"/>
        <v>0.37</v>
      </c>
      <c r="Y278" s="8">
        <v>-256.5</v>
      </c>
      <c r="Z278" s="8">
        <v>-7.18</v>
      </c>
      <c r="AA278" s="8">
        <v>-12.88</v>
      </c>
      <c r="AB278" s="8">
        <v>-1.1499999999999999</v>
      </c>
      <c r="AC278" s="8">
        <v>0</v>
      </c>
      <c r="AD278" s="8">
        <f t="shared" si="230"/>
        <v>-277.70999999999998</v>
      </c>
      <c r="AE278" s="2" t="s">
        <v>91</v>
      </c>
      <c r="AG278" s="8">
        <v>-76160</v>
      </c>
      <c r="AH278" s="8">
        <v>-76160</v>
      </c>
      <c r="AI278" s="6"/>
      <c r="AJ278" s="70">
        <v>0</v>
      </c>
      <c r="AK278" s="70">
        <v>0</v>
      </c>
      <c r="AL278" s="72">
        <v>0</v>
      </c>
      <c r="AM278" s="22"/>
      <c r="AO278" s="22" t="s">
        <v>669</v>
      </c>
      <c r="AP278" s="23" t="s">
        <v>668</v>
      </c>
      <c r="AQ278" s="22" t="s">
        <v>670</v>
      </c>
      <c r="AR278" s="51" t="str">
        <f t="shared" si="201"/>
        <v>ED8P-7K004-BDW</v>
      </c>
      <c r="AS278" s="3"/>
      <c r="AT278" s="22">
        <v>0</v>
      </c>
      <c r="AU278" s="22">
        <v>0</v>
      </c>
      <c r="AV278" s="22">
        <v>0</v>
      </c>
      <c r="AW278" s="22">
        <v>1</v>
      </c>
      <c r="AX278" s="22">
        <v>0</v>
      </c>
      <c r="AY278" s="22">
        <v>1</v>
      </c>
      <c r="AZ278" s="22">
        <v>0</v>
      </c>
      <c r="BA278" s="22">
        <v>0</v>
      </c>
      <c r="BB278" s="64">
        <f t="shared" si="202"/>
        <v>0.37</v>
      </c>
      <c r="BD278" s="60">
        <v>-256.5</v>
      </c>
      <c r="BE278" s="60">
        <v>-7.18</v>
      </c>
      <c r="BF278" s="95">
        <v>-12.88</v>
      </c>
      <c r="BG278" s="95">
        <v>-1.1499999999999999</v>
      </c>
      <c r="BH278" s="95">
        <v>0</v>
      </c>
      <c r="BI278" s="8">
        <f t="shared" si="206"/>
        <v>-277.70999999999998</v>
      </c>
      <c r="BJ278" s="2" t="s">
        <v>91</v>
      </c>
      <c r="BL278" s="70">
        <v>0</v>
      </c>
      <c r="BM278" s="70">
        <v>0</v>
      </c>
      <c r="BO278" s="70">
        <v>0</v>
      </c>
      <c r="BP278" s="70">
        <v>0</v>
      </c>
      <c r="BQ278" s="72">
        <v>0</v>
      </c>
      <c r="BS278" s="61">
        <f t="shared" si="214"/>
        <v>0</v>
      </c>
      <c r="BT278" s="61">
        <f t="shared" si="215"/>
        <v>0</v>
      </c>
      <c r="BU278" s="61">
        <f t="shared" si="216"/>
        <v>0</v>
      </c>
      <c r="BV278" s="61">
        <f t="shared" si="216"/>
        <v>0</v>
      </c>
      <c r="BW278" s="61">
        <f t="shared" si="216"/>
        <v>0</v>
      </c>
      <c r="BX278" s="61">
        <f t="shared" si="216"/>
        <v>0</v>
      </c>
      <c r="BY278" s="61" t="s">
        <v>91</v>
      </c>
      <c r="CA278" s="61">
        <f t="shared" si="191"/>
        <v>0</v>
      </c>
      <c r="CB278" s="61">
        <f t="shared" si="191"/>
        <v>0</v>
      </c>
      <c r="CC278" s="61">
        <f t="shared" si="191"/>
        <v>0</v>
      </c>
      <c r="CD278" s="61">
        <f t="shared" si="191"/>
        <v>0</v>
      </c>
      <c r="CE278" s="61">
        <f t="shared" si="191"/>
        <v>0</v>
      </c>
      <c r="CF278" s="61">
        <f t="shared" si="191"/>
        <v>0</v>
      </c>
      <c r="CG278" s="61">
        <f t="shared" si="191"/>
        <v>0</v>
      </c>
      <c r="CH278" s="61">
        <f t="shared" si="191"/>
        <v>0</v>
      </c>
      <c r="CI278" s="61">
        <f t="shared" si="225"/>
        <v>0</v>
      </c>
      <c r="CJ278" s="61"/>
      <c r="CK278" s="61">
        <f t="shared" si="192"/>
        <v>0</v>
      </c>
      <c r="CL278" s="61">
        <f t="shared" si="192"/>
        <v>0</v>
      </c>
      <c r="CM278" s="61">
        <f t="shared" si="192"/>
        <v>0</v>
      </c>
      <c r="CN278" s="61">
        <f t="shared" si="192"/>
        <v>0</v>
      </c>
      <c r="CO278" s="61">
        <f t="shared" si="192"/>
        <v>0</v>
      </c>
      <c r="CP278" s="61">
        <f t="shared" si="192"/>
        <v>0</v>
      </c>
      <c r="CQ278" s="61">
        <f t="shared" si="192"/>
        <v>0</v>
      </c>
      <c r="CR278" s="61">
        <f t="shared" si="192"/>
        <v>0</v>
      </c>
      <c r="CS278" s="61">
        <f t="shared" si="226"/>
        <v>0</v>
      </c>
      <c r="CT278" s="61">
        <f t="shared" si="227"/>
        <v>0</v>
      </c>
      <c r="CV278" s="61">
        <f t="shared" si="228"/>
        <v>-76160</v>
      </c>
      <c r="CW278" s="61">
        <f t="shared" si="207"/>
        <v>-76160</v>
      </c>
      <c r="CX278" s="61"/>
      <c r="CY278" s="61">
        <f t="shared" si="208"/>
        <v>0</v>
      </c>
      <c r="CZ278" s="61">
        <f t="shared" si="220"/>
        <v>0</v>
      </c>
      <c r="DA278" s="61">
        <f t="shared" si="220"/>
        <v>0</v>
      </c>
      <c r="DB278" s="2" t="s">
        <v>102</v>
      </c>
      <c r="DC278" s="2" t="s">
        <v>102</v>
      </c>
      <c r="DD278" s="2" t="s">
        <v>142</v>
      </c>
      <c r="DE278" s="2" t="s">
        <v>181</v>
      </c>
      <c r="DF278" s="3" t="s">
        <v>86</v>
      </c>
      <c r="DG278" s="62">
        <v>42802</v>
      </c>
      <c r="EC278" s="60" t="str">
        <f>VLOOKUP($M278,[1]Detail!$M:$BO,1,0)</f>
        <v>JD8P-7K004-CAW</v>
      </c>
      <c r="ED278" s="60">
        <f>VLOOKUP($M278,[1]Detail!$M:$BO,22,0)</f>
        <v>-277.70999999999998</v>
      </c>
      <c r="EE278" s="60">
        <f>VLOOKUP($M278,[1]Detail!$M:$BO,42,0)</f>
        <v>-76160</v>
      </c>
      <c r="EF278" s="60">
        <f>VLOOKUP($M278,[1]Detail!$M:$BO,45,0)</f>
        <v>0</v>
      </c>
      <c r="EH278" s="60">
        <f>ED278-AD278</f>
        <v>0</v>
      </c>
      <c r="EI278" s="60">
        <f>EE278-AG278</f>
        <v>0</v>
      </c>
      <c r="EJ278" s="60">
        <f t="shared" si="234"/>
        <v>0</v>
      </c>
    </row>
    <row r="279" spans="2:140" ht="12.75" hidden="1" customHeight="1">
      <c r="B279" s="99" t="s">
        <v>665</v>
      </c>
      <c r="C279" s="22" t="s">
        <v>666</v>
      </c>
      <c r="D279" s="22" t="s">
        <v>667</v>
      </c>
      <c r="E279" s="2" t="str">
        <f>VLOOKUP($C279,[1]Detail!$C:$AK,6,0)</f>
        <v>PMT4</v>
      </c>
      <c r="F279" s="2" t="str">
        <f>VLOOKUP($C279,[1]Detail!$C:$AK,7,0)</f>
        <v>PF</v>
      </c>
      <c r="G279" s="2" t="str">
        <f>VLOOKUP($C279,[1]Detail!$C:$AK,5,0)</f>
        <v>B</v>
      </c>
      <c r="J279" s="22" t="s">
        <v>295</v>
      </c>
      <c r="K279" s="23" t="s">
        <v>668</v>
      </c>
      <c r="L279" s="22" t="s">
        <v>671</v>
      </c>
      <c r="M279" s="51" t="str">
        <f t="shared" si="212"/>
        <v>JD8P-7K004-DAW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1</v>
      </c>
      <c r="V279" s="22">
        <v>1</v>
      </c>
      <c r="W279" s="64">
        <f t="shared" si="213"/>
        <v>0.1</v>
      </c>
      <c r="Y279" s="8">
        <v>-257.41000000000003</v>
      </c>
      <c r="Z279" s="8">
        <v>-7.18</v>
      </c>
      <c r="AA279" s="8">
        <v>-12.88</v>
      </c>
      <c r="AB279" s="8">
        <v>-1.1499999999999999</v>
      </c>
      <c r="AC279" s="8">
        <v>0</v>
      </c>
      <c r="AD279" s="8">
        <f t="shared" si="230"/>
        <v>-278.62</v>
      </c>
      <c r="AE279" s="2" t="s">
        <v>91</v>
      </c>
      <c r="AG279" s="8">
        <v>-20400</v>
      </c>
      <c r="AH279" s="8">
        <v>-20400</v>
      </c>
      <c r="AI279" s="6"/>
      <c r="AJ279" s="70">
        <v>0</v>
      </c>
      <c r="AK279" s="70">
        <v>0</v>
      </c>
      <c r="AL279" s="72">
        <v>0</v>
      </c>
      <c r="AM279" s="22"/>
      <c r="AO279" s="22" t="s">
        <v>669</v>
      </c>
      <c r="AP279" s="23" t="s">
        <v>668</v>
      </c>
      <c r="AQ279" s="22" t="s">
        <v>670</v>
      </c>
      <c r="AR279" s="51" t="str">
        <f t="shared" si="201"/>
        <v>ED8P-7K004-BDW</v>
      </c>
      <c r="AS279" s="3"/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1</v>
      </c>
      <c r="BA279" s="22">
        <v>1</v>
      </c>
      <c r="BB279" s="64">
        <f t="shared" si="202"/>
        <v>0.1</v>
      </c>
      <c r="BD279" s="60">
        <v>-256.5</v>
      </c>
      <c r="BE279" s="60">
        <v>-7.18</v>
      </c>
      <c r="BF279" s="95">
        <v>-12.88</v>
      </c>
      <c r="BG279" s="95">
        <v>-1.1499999999999999</v>
      </c>
      <c r="BH279" s="95">
        <v>0</v>
      </c>
      <c r="BI279" s="8">
        <f t="shared" si="206"/>
        <v>-277.70999999999998</v>
      </c>
      <c r="BJ279" s="2" t="s">
        <v>91</v>
      </c>
      <c r="BL279" s="70">
        <v>0</v>
      </c>
      <c r="BM279" s="70">
        <v>0</v>
      </c>
      <c r="BO279" s="70">
        <v>0</v>
      </c>
      <c r="BP279" s="70">
        <v>0</v>
      </c>
      <c r="BQ279" s="72">
        <v>0</v>
      </c>
      <c r="BS279" s="61">
        <f t="shared" si="214"/>
        <v>-0.91000000000002501</v>
      </c>
      <c r="BT279" s="61">
        <f t="shared" si="215"/>
        <v>0</v>
      </c>
      <c r="BU279" s="61">
        <f t="shared" si="216"/>
        <v>0</v>
      </c>
      <c r="BV279" s="61">
        <f t="shared" si="216"/>
        <v>0</v>
      </c>
      <c r="BW279" s="61">
        <f t="shared" si="216"/>
        <v>0</v>
      </c>
      <c r="BX279" s="61">
        <f t="shared" si="216"/>
        <v>-0.91000000000002501</v>
      </c>
      <c r="BY279" s="61" t="s">
        <v>91</v>
      </c>
      <c r="CA279" s="61">
        <f t="shared" si="191"/>
        <v>0</v>
      </c>
      <c r="CB279" s="61">
        <f t="shared" si="191"/>
        <v>0</v>
      </c>
      <c r="CC279" s="61">
        <f t="shared" si="191"/>
        <v>0</v>
      </c>
      <c r="CD279" s="61">
        <f t="shared" si="191"/>
        <v>0</v>
      </c>
      <c r="CE279" s="61">
        <f t="shared" si="191"/>
        <v>0</v>
      </c>
      <c r="CF279" s="61">
        <f t="shared" si="191"/>
        <v>0</v>
      </c>
      <c r="CG279" s="61">
        <f t="shared" si="191"/>
        <v>-0.13690386640590116</v>
      </c>
      <c r="CH279" s="61">
        <f t="shared" si="191"/>
        <v>-0.13690386640590116</v>
      </c>
      <c r="CI279" s="61">
        <f t="shared" si="225"/>
        <v>-1.3690386640590116E-2</v>
      </c>
      <c r="CJ279" s="61"/>
      <c r="CK279" s="61">
        <f t="shared" si="192"/>
        <v>0</v>
      </c>
      <c r="CL279" s="61">
        <f t="shared" si="192"/>
        <v>0</v>
      </c>
      <c r="CM279" s="61">
        <f t="shared" si="192"/>
        <v>0</v>
      </c>
      <c r="CN279" s="61">
        <f t="shared" si="192"/>
        <v>0</v>
      </c>
      <c r="CO279" s="61">
        <f t="shared" si="192"/>
        <v>0</v>
      </c>
      <c r="CP279" s="61">
        <f t="shared" si="192"/>
        <v>0</v>
      </c>
      <c r="CQ279" s="61">
        <f t="shared" si="192"/>
        <v>-0.13690386640590116</v>
      </c>
      <c r="CR279" s="61">
        <f t="shared" si="192"/>
        <v>-0.13690386640590116</v>
      </c>
      <c r="CS279" s="61">
        <f t="shared" si="226"/>
        <v>-1.3690386640590116E-2</v>
      </c>
      <c r="CT279" s="61">
        <f t="shared" si="227"/>
        <v>-9.1000000000002509E-2</v>
      </c>
      <c r="CV279" s="61">
        <f t="shared" si="228"/>
        <v>-20400</v>
      </c>
      <c r="CW279" s="61">
        <f t="shared" si="207"/>
        <v>-20400</v>
      </c>
      <c r="CX279" s="61"/>
      <c r="CY279" s="61">
        <f t="shared" si="208"/>
        <v>0</v>
      </c>
      <c r="CZ279" s="61">
        <f t="shared" si="220"/>
        <v>0</v>
      </c>
      <c r="DA279" s="61">
        <f t="shared" si="220"/>
        <v>0</v>
      </c>
      <c r="DB279" s="2" t="s">
        <v>85</v>
      </c>
      <c r="DC279" s="2" t="s">
        <v>102</v>
      </c>
      <c r="DD279" s="2" t="s">
        <v>142</v>
      </c>
      <c r="DE279" s="2" t="s">
        <v>181</v>
      </c>
      <c r="DF279" s="3" t="s">
        <v>86</v>
      </c>
      <c r="DG279" s="62">
        <v>42802</v>
      </c>
      <c r="EC279" s="60"/>
      <c r="ED279" s="60"/>
      <c r="EE279" s="60"/>
      <c r="EF279" s="60"/>
    </row>
    <row r="280" spans="2:140" ht="12.75" hidden="1" customHeight="1">
      <c r="B280" s="99" t="s">
        <v>672</v>
      </c>
      <c r="C280" s="22" t="s">
        <v>666</v>
      </c>
      <c r="D280" s="22" t="s">
        <v>667</v>
      </c>
      <c r="E280" s="2" t="str">
        <f>VLOOKUP($C280,[1]Detail!$C:$AK,6,0)</f>
        <v>PMT4</v>
      </c>
      <c r="F280" s="2" t="str">
        <f>VLOOKUP($C280,[1]Detail!$C:$AK,7,0)</f>
        <v>PF</v>
      </c>
      <c r="G280" s="2" t="str">
        <f>VLOOKUP($C280,[1]Detail!$C:$AK,5,0)</f>
        <v>B</v>
      </c>
      <c r="J280" s="22" t="s">
        <v>295</v>
      </c>
      <c r="K280" s="23" t="s">
        <v>668</v>
      </c>
      <c r="L280" s="22" t="s">
        <v>212</v>
      </c>
      <c r="M280" s="51" t="str">
        <f t="shared" si="212"/>
        <v>JD8P-7K004-DBW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1</v>
      </c>
      <c r="V280" s="22">
        <v>1</v>
      </c>
      <c r="W280" s="64">
        <f t="shared" si="213"/>
        <v>0.1</v>
      </c>
      <c r="Y280" s="8">
        <f>-257.41-3.69</f>
        <v>-261.10000000000002</v>
      </c>
      <c r="Z280" s="8">
        <v>-7.18</v>
      </c>
      <c r="AA280" s="8">
        <v>-12.88</v>
      </c>
      <c r="AB280" s="8">
        <v>-1.1499999999999999</v>
      </c>
      <c r="AC280" s="8">
        <v>0</v>
      </c>
      <c r="AD280" s="8">
        <f t="shared" si="230"/>
        <v>-282.31</v>
      </c>
      <c r="AE280" s="2" t="s">
        <v>91</v>
      </c>
      <c r="AG280" s="8">
        <v>-20400</v>
      </c>
      <c r="AH280" s="8">
        <v>-20400</v>
      </c>
      <c r="AI280" s="6"/>
      <c r="AJ280" s="70">
        <v>0</v>
      </c>
      <c r="AK280" s="70">
        <v>0</v>
      </c>
      <c r="AL280" s="72">
        <v>0</v>
      </c>
      <c r="AM280" s="22"/>
      <c r="AO280" s="22" t="s">
        <v>295</v>
      </c>
      <c r="AP280" s="23" t="s">
        <v>668</v>
      </c>
      <c r="AQ280" s="22" t="s">
        <v>671</v>
      </c>
      <c r="AR280" s="51" t="str">
        <f t="shared" si="201"/>
        <v>JD8P-7K004-DAW</v>
      </c>
      <c r="AS280" s="3"/>
      <c r="AT280" s="22">
        <v>0</v>
      </c>
      <c r="AU280" s="22">
        <v>0</v>
      </c>
      <c r="AV280" s="22">
        <v>0</v>
      </c>
      <c r="AW280" s="22">
        <v>0</v>
      </c>
      <c r="AX280" s="22">
        <v>0</v>
      </c>
      <c r="AY280" s="22">
        <v>0</v>
      </c>
      <c r="AZ280" s="22">
        <v>1</v>
      </c>
      <c r="BA280" s="22">
        <v>1</v>
      </c>
      <c r="BB280" s="64">
        <f t="shared" si="202"/>
        <v>0.1</v>
      </c>
      <c r="BD280" s="8">
        <v>-257.41000000000003</v>
      </c>
      <c r="BE280" s="8">
        <v>-7.18</v>
      </c>
      <c r="BF280" s="8">
        <v>-12.88</v>
      </c>
      <c r="BG280" s="8">
        <v>-1.1499999999999999</v>
      </c>
      <c r="BH280" s="8">
        <v>0</v>
      </c>
      <c r="BI280" s="8">
        <f t="shared" ref="BI280" si="235">SUM(BD280:BH280)</f>
        <v>-278.62</v>
      </c>
      <c r="BJ280" s="2" t="s">
        <v>91</v>
      </c>
      <c r="BL280" s="8">
        <v>-20400</v>
      </c>
      <c r="BM280" s="8">
        <v>-20400</v>
      </c>
      <c r="BO280" s="70">
        <v>0</v>
      </c>
      <c r="BP280" s="70">
        <v>0</v>
      </c>
      <c r="BQ280" s="72">
        <v>0</v>
      </c>
      <c r="BS280" s="61">
        <f t="shared" si="214"/>
        <v>-3.6899999999999977</v>
      </c>
      <c r="BT280" s="61">
        <f t="shared" si="215"/>
        <v>0</v>
      </c>
      <c r="BU280" s="61">
        <f t="shared" si="216"/>
        <v>0</v>
      </c>
      <c r="BV280" s="61">
        <f t="shared" si="216"/>
        <v>0</v>
      </c>
      <c r="BW280" s="61">
        <f t="shared" si="216"/>
        <v>0</v>
      </c>
      <c r="BX280" s="61">
        <f t="shared" si="216"/>
        <v>-3.6899999999999977</v>
      </c>
      <c r="BY280" s="61" t="s">
        <v>91</v>
      </c>
      <c r="CA280" s="61">
        <f t="shared" si="191"/>
        <v>0</v>
      </c>
      <c r="CB280" s="61">
        <f t="shared" si="191"/>
        <v>0</v>
      </c>
      <c r="CC280" s="61">
        <f t="shared" si="191"/>
        <v>0</v>
      </c>
      <c r="CD280" s="61">
        <f t="shared" si="191"/>
        <v>0</v>
      </c>
      <c r="CE280" s="61">
        <f t="shared" si="191"/>
        <v>0</v>
      </c>
      <c r="CF280" s="61">
        <f t="shared" si="191"/>
        <v>0</v>
      </c>
      <c r="CG280" s="61">
        <f t="shared" si="191"/>
        <v>-0.55513765608545174</v>
      </c>
      <c r="CH280" s="61">
        <f t="shared" si="191"/>
        <v>-0.55513765608545174</v>
      </c>
      <c r="CI280" s="61">
        <f t="shared" si="225"/>
        <v>-5.5513765608545179E-2</v>
      </c>
      <c r="CJ280" s="61"/>
      <c r="CK280" s="61">
        <f t="shared" si="192"/>
        <v>0</v>
      </c>
      <c r="CL280" s="61">
        <f t="shared" si="192"/>
        <v>0</v>
      </c>
      <c r="CM280" s="61">
        <f t="shared" si="192"/>
        <v>0</v>
      </c>
      <c r="CN280" s="61">
        <f t="shared" si="192"/>
        <v>0</v>
      </c>
      <c r="CO280" s="61">
        <f t="shared" si="192"/>
        <v>0</v>
      </c>
      <c r="CP280" s="61">
        <f t="shared" si="192"/>
        <v>0</v>
      </c>
      <c r="CQ280" s="61">
        <f t="shared" si="192"/>
        <v>-0.55513765608545174</v>
      </c>
      <c r="CR280" s="61">
        <f t="shared" si="192"/>
        <v>-0.55513765608545174</v>
      </c>
      <c r="CS280" s="61">
        <f t="shared" si="226"/>
        <v>-5.5513765608545179E-2</v>
      </c>
      <c r="CT280" s="61">
        <f t="shared" si="227"/>
        <v>-0.36899999999999983</v>
      </c>
      <c r="CV280" s="61">
        <f t="shared" si="228"/>
        <v>0</v>
      </c>
      <c r="CW280" s="61">
        <f t="shared" ref="CW280" si="236">SUM(AH280)-SUM(BM280)</f>
        <v>0</v>
      </c>
      <c r="CX280" s="61"/>
      <c r="CY280" s="61">
        <f t="shared" ref="CY280" si="237">SUM(AJ280)-SUM(BO280)</f>
        <v>0</v>
      </c>
      <c r="CZ280" s="61">
        <f t="shared" si="220"/>
        <v>0</v>
      </c>
      <c r="DA280" s="61">
        <f t="shared" si="220"/>
        <v>0</v>
      </c>
      <c r="DB280" s="2" t="s">
        <v>102</v>
      </c>
      <c r="DC280" s="2" t="s">
        <v>85</v>
      </c>
      <c r="DD280" s="2" t="s">
        <v>142</v>
      </c>
      <c r="DE280" s="2" t="s">
        <v>181</v>
      </c>
      <c r="DF280" s="3" t="s">
        <v>118</v>
      </c>
      <c r="DG280" s="62">
        <v>43111</v>
      </c>
      <c r="EC280" s="60" t="str">
        <f>VLOOKUP($M280,[1]Detail!$M:$BO,1,0)</f>
        <v>JD8P-7K004-DBW</v>
      </c>
      <c r="ED280" s="60">
        <f>VLOOKUP($M280,[1]Detail!$M:$BO,22,0)</f>
        <v>-282.31</v>
      </c>
      <c r="EE280" s="60">
        <f>VLOOKUP($M280,[1]Detail!$M:$BO,42,0)</f>
        <v>-20400</v>
      </c>
      <c r="EF280" s="60">
        <f>VLOOKUP($M280,[1]Detail!$M:$BO,45,0)</f>
        <v>0</v>
      </c>
      <c r="EH280" s="60">
        <f>ED280-AD280</f>
        <v>0</v>
      </c>
      <c r="EI280" s="60">
        <f>EE280-AG280</f>
        <v>0</v>
      </c>
      <c r="EJ280" s="60">
        <f t="shared" ref="EJ280:EJ281" si="238">EF280-AJ280</f>
        <v>0</v>
      </c>
    </row>
    <row r="281" spans="2:140" ht="12.75" hidden="1" customHeight="1">
      <c r="B281" s="99" t="s">
        <v>673</v>
      </c>
      <c r="C281" s="22" t="s">
        <v>674</v>
      </c>
      <c r="D281" s="22" t="s">
        <v>675</v>
      </c>
      <c r="E281" s="2" t="str">
        <f>VLOOKUP($C281,[1]Detail!$C:$AK,6,0)</f>
        <v>PMT4</v>
      </c>
      <c r="F281" s="2" t="str">
        <f>VLOOKUP($C281,[1]Detail!$C:$AK,7,0)</f>
        <v>PF</v>
      </c>
      <c r="G281" s="2" t="str">
        <f>VLOOKUP($C281,[1]Detail!$C:$AK,5,0)</f>
        <v>na</v>
      </c>
      <c r="J281" s="22" t="s">
        <v>676</v>
      </c>
      <c r="K281" s="23" t="s">
        <v>677</v>
      </c>
      <c r="L281" s="22" t="s">
        <v>100</v>
      </c>
      <c r="M281" s="51" t="str">
        <f t="shared" si="212"/>
        <v>GN1G -6C301 -AA</v>
      </c>
      <c r="O281" s="22">
        <v>1</v>
      </c>
      <c r="P281" s="22">
        <v>1</v>
      </c>
      <c r="Q281" s="22">
        <v>1</v>
      </c>
      <c r="R281" s="22">
        <v>1</v>
      </c>
      <c r="S281" s="22">
        <v>0</v>
      </c>
      <c r="T281" s="22">
        <v>0</v>
      </c>
      <c r="U281" s="22">
        <v>1</v>
      </c>
      <c r="V281" s="22">
        <v>0</v>
      </c>
      <c r="W281" s="64">
        <f t="shared" si="213"/>
        <v>0.72000000000000008</v>
      </c>
      <c r="Y281" s="8">
        <v>-25.6</v>
      </c>
      <c r="Z281" s="8">
        <v>-7.0000000000000007E-2</v>
      </c>
      <c r="AA281" s="8">
        <v>-0.2</v>
      </c>
      <c r="AB281" s="8">
        <v>-0.4</v>
      </c>
      <c r="AC281" s="8">
        <v>0</v>
      </c>
      <c r="AD281" s="8">
        <f t="shared" si="230"/>
        <v>-26.27</v>
      </c>
      <c r="AE281" s="2" t="s">
        <v>91</v>
      </c>
      <c r="AG281" s="8">
        <v>-175000</v>
      </c>
      <c r="AH281" s="8">
        <v>-175000</v>
      </c>
      <c r="AI281" s="6"/>
      <c r="AJ281" s="70">
        <v>-70127</v>
      </c>
      <c r="AK281" s="70">
        <v>176263</v>
      </c>
      <c r="AL281" s="72">
        <v>0</v>
      </c>
      <c r="AM281" s="22"/>
      <c r="AO281" s="22" t="s">
        <v>676</v>
      </c>
      <c r="AP281" s="23" t="s">
        <v>677</v>
      </c>
      <c r="AQ281" s="22" t="s">
        <v>100</v>
      </c>
      <c r="AR281" s="51" t="str">
        <f t="shared" si="201"/>
        <v>GN1G -6C301 -AA</v>
      </c>
      <c r="AS281" s="3"/>
      <c r="AT281" s="22">
        <v>1</v>
      </c>
      <c r="AU281" s="22">
        <v>1</v>
      </c>
      <c r="AV281" s="22">
        <v>1</v>
      </c>
      <c r="AW281" s="22">
        <v>1</v>
      </c>
      <c r="AX281" s="22">
        <v>0</v>
      </c>
      <c r="AY281" s="22">
        <v>0</v>
      </c>
      <c r="AZ281" s="22">
        <v>1</v>
      </c>
      <c r="BA281" s="22">
        <v>0</v>
      </c>
      <c r="BB281" s="64">
        <f t="shared" si="202"/>
        <v>0.72000000000000008</v>
      </c>
      <c r="BD281" s="60">
        <v>-25.6</v>
      </c>
      <c r="BE281" s="60">
        <v>-7.0000000000000007E-2</v>
      </c>
      <c r="BF281" s="95">
        <v>-0.2</v>
      </c>
      <c r="BG281" s="95">
        <v>-0.4</v>
      </c>
      <c r="BH281" s="95">
        <v>0</v>
      </c>
      <c r="BI281" s="8">
        <f t="shared" si="206"/>
        <v>-26.27</v>
      </c>
      <c r="BJ281" s="2" t="s">
        <v>91</v>
      </c>
      <c r="BL281" s="70">
        <v>-175000</v>
      </c>
      <c r="BM281" s="70">
        <v>-175000</v>
      </c>
      <c r="BO281" s="70">
        <v>-70127</v>
      </c>
      <c r="BP281" s="70">
        <v>176263</v>
      </c>
      <c r="BQ281" s="72">
        <v>0</v>
      </c>
      <c r="BS281" s="61">
        <f t="shared" si="214"/>
        <v>0</v>
      </c>
      <c r="BT281" s="61">
        <f t="shared" si="215"/>
        <v>0</v>
      </c>
      <c r="BU281" s="61">
        <f t="shared" si="216"/>
        <v>0</v>
      </c>
      <c r="BV281" s="61">
        <f t="shared" si="216"/>
        <v>0</v>
      </c>
      <c r="BW281" s="61">
        <f t="shared" si="216"/>
        <v>0</v>
      </c>
      <c r="BX281" s="61">
        <f t="shared" si="216"/>
        <v>0</v>
      </c>
      <c r="BY281" s="61" t="s">
        <v>91</v>
      </c>
      <c r="CA281" s="61">
        <f t="shared" si="191"/>
        <v>0</v>
      </c>
      <c r="CB281" s="61">
        <f t="shared" si="191"/>
        <v>0</v>
      </c>
      <c r="CC281" s="61">
        <f t="shared" si="191"/>
        <v>0</v>
      </c>
      <c r="CD281" s="61">
        <f t="shared" si="191"/>
        <v>0</v>
      </c>
      <c r="CE281" s="61">
        <f t="shared" si="191"/>
        <v>0</v>
      </c>
      <c r="CF281" s="61">
        <f t="shared" si="191"/>
        <v>0</v>
      </c>
      <c r="CG281" s="61">
        <f t="shared" si="191"/>
        <v>0</v>
      </c>
      <c r="CH281" s="61">
        <f t="shared" si="191"/>
        <v>0</v>
      </c>
      <c r="CI281" s="61">
        <f t="shared" si="225"/>
        <v>0</v>
      </c>
      <c r="CJ281" s="61"/>
      <c r="CK281" s="61">
        <f t="shared" si="192"/>
        <v>0</v>
      </c>
      <c r="CL281" s="61">
        <f t="shared" si="192"/>
        <v>0</v>
      </c>
      <c r="CM281" s="61">
        <f t="shared" si="192"/>
        <v>0</v>
      </c>
      <c r="CN281" s="61">
        <f t="shared" si="192"/>
        <v>0</v>
      </c>
      <c r="CO281" s="61">
        <f t="shared" si="192"/>
        <v>0</v>
      </c>
      <c r="CP281" s="61">
        <f t="shared" si="192"/>
        <v>0</v>
      </c>
      <c r="CQ281" s="61">
        <f t="shared" si="192"/>
        <v>0</v>
      </c>
      <c r="CR281" s="61">
        <f t="shared" si="192"/>
        <v>0</v>
      </c>
      <c r="CS281" s="61">
        <f t="shared" si="226"/>
        <v>0</v>
      </c>
      <c r="CT281" s="61">
        <f t="shared" si="227"/>
        <v>0</v>
      </c>
      <c r="CV281" s="61">
        <f t="shared" si="228"/>
        <v>0</v>
      </c>
      <c r="CW281" s="61">
        <f t="shared" si="207"/>
        <v>0</v>
      </c>
      <c r="CX281" s="61"/>
      <c r="CY281" s="61">
        <f t="shared" si="208"/>
        <v>0</v>
      </c>
      <c r="CZ281" s="61">
        <f t="shared" si="220"/>
        <v>0</v>
      </c>
      <c r="DA281" s="61">
        <f t="shared" si="220"/>
        <v>0</v>
      </c>
      <c r="DB281" s="2" t="s">
        <v>102</v>
      </c>
      <c r="DC281" s="2" t="s">
        <v>102</v>
      </c>
      <c r="DD281" s="2" t="s">
        <v>142</v>
      </c>
      <c r="DE281" s="2" t="s">
        <v>181</v>
      </c>
      <c r="DF281" s="3" t="s">
        <v>86</v>
      </c>
      <c r="DG281" s="62">
        <v>42802</v>
      </c>
      <c r="EC281" s="60" t="str">
        <f>VLOOKUP($M281,[1]Detail!$M:$BO,1,0)</f>
        <v>GN1G -6C301 -AA</v>
      </c>
      <c r="ED281" s="60">
        <f>VLOOKUP($M281,[1]Detail!$M:$BO,22,0)</f>
        <v>-26.27</v>
      </c>
      <c r="EE281" s="60">
        <f>VLOOKUP($M281,[1]Detail!$M:$BO,42,0)</f>
        <v>-175000</v>
      </c>
      <c r="EF281" s="60">
        <f>VLOOKUP($M281,[1]Detail!$M:$BO,45,0)</f>
        <v>-70127</v>
      </c>
      <c r="EH281" s="60">
        <f>ED281-AD281</f>
        <v>0</v>
      </c>
      <c r="EI281" s="60">
        <f>EE281-AG281</f>
        <v>0</v>
      </c>
      <c r="EJ281" s="60">
        <f t="shared" si="238"/>
        <v>0</v>
      </c>
    </row>
    <row r="282" spans="2:140" ht="12.75" hidden="1" customHeight="1">
      <c r="B282" s="99" t="s">
        <v>678</v>
      </c>
      <c r="C282" s="22" t="s">
        <v>679</v>
      </c>
      <c r="D282" s="22" t="s">
        <v>680</v>
      </c>
      <c r="E282" s="2" t="str">
        <f>VLOOKUP($C282,[1]Detail!$C:$AK,6,0)</f>
        <v>PMT1</v>
      </c>
      <c r="F282" s="2" t="str">
        <f>VLOOKUP($C282,[1]Detail!$C:$AK,7,0)</f>
        <v>TH</v>
      </c>
      <c r="G282" s="2" t="str">
        <f>VLOOKUP($C282,[1]Detail!$C:$AK,5,0)</f>
        <v>B</v>
      </c>
      <c r="J282" s="22" t="s">
        <v>126</v>
      </c>
      <c r="K282" s="23" t="s">
        <v>681</v>
      </c>
      <c r="L282" s="22" t="s">
        <v>100</v>
      </c>
      <c r="M282" s="51" t="str">
        <f t="shared" si="212"/>
        <v>JD8B-F02824 -AA</v>
      </c>
      <c r="O282" s="22">
        <v>1</v>
      </c>
      <c r="P282" s="22">
        <v>1</v>
      </c>
      <c r="Q282" s="22">
        <v>1</v>
      </c>
      <c r="R282" s="22">
        <v>1</v>
      </c>
      <c r="S282" s="22">
        <v>1</v>
      </c>
      <c r="T282" s="22">
        <v>1</v>
      </c>
      <c r="U282" s="22">
        <v>1</v>
      </c>
      <c r="V282" s="22">
        <v>1</v>
      </c>
      <c r="W282" s="64">
        <f t="shared" si="213"/>
        <v>1</v>
      </c>
      <c r="Y282" s="8">
        <v>-5.73</v>
      </c>
      <c r="Z282" s="8">
        <v>-0.25</v>
      </c>
      <c r="AA282" s="8">
        <v>-0.24</v>
      </c>
      <c r="AB282" s="8">
        <v>-0.02</v>
      </c>
      <c r="AC282" s="8">
        <v>0</v>
      </c>
      <c r="AD282" s="8">
        <f t="shared" si="230"/>
        <v>-6.24</v>
      </c>
      <c r="AE282" s="2" t="s">
        <v>91</v>
      </c>
      <c r="AG282" s="8">
        <v>-60000</v>
      </c>
      <c r="AH282" s="8">
        <v>-60000</v>
      </c>
      <c r="AJ282" s="70">
        <v>0</v>
      </c>
      <c r="AK282" s="70">
        <v>0</v>
      </c>
      <c r="AL282" s="72">
        <v>0</v>
      </c>
      <c r="AM282" s="22" t="s">
        <v>682</v>
      </c>
      <c r="AO282" s="22" t="s">
        <v>128</v>
      </c>
      <c r="AP282" s="23" t="s">
        <v>681</v>
      </c>
      <c r="AQ282" s="22" t="s">
        <v>162</v>
      </c>
      <c r="AR282" s="51" t="str">
        <f t="shared" si="201"/>
        <v>ED8B-F02824 -AD</v>
      </c>
      <c r="AS282" s="3"/>
      <c r="AT282" s="22">
        <v>1</v>
      </c>
      <c r="AU282" s="22">
        <v>1</v>
      </c>
      <c r="AV282" s="22">
        <v>1</v>
      </c>
      <c r="AW282" s="22">
        <v>1</v>
      </c>
      <c r="AX282" s="22">
        <v>1</v>
      </c>
      <c r="AY282" s="22">
        <v>1</v>
      </c>
      <c r="AZ282" s="22">
        <v>1</v>
      </c>
      <c r="BA282" s="22">
        <v>1</v>
      </c>
      <c r="BB282" s="64">
        <f t="shared" si="202"/>
        <v>1</v>
      </c>
      <c r="BD282" s="60">
        <v>-5.24</v>
      </c>
      <c r="BE282" s="60">
        <v>-0.25</v>
      </c>
      <c r="BF282" s="95">
        <v>-0.24</v>
      </c>
      <c r="BG282" s="95">
        <v>-0.02</v>
      </c>
      <c r="BH282" s="95">
        <v>0</v>
      </c>
      <c r="BI282" s="8">
        <f t="shared" si="206"/>
        <v>-5.75</v>
      </c>
      <c r="BJ282" s="2" t="s">
        <v>91</v>
      </c>
      <c r="BL282" s="8">
        <v>-60000</v>
      </c>
      <c r="BM282" s="8">
        <v>-60000</v>
      </c>
      <c r="BO282" s="70">
        <v>0</v>
      </c>
      <c r="BP282" s="70">
        <v>0</v>
      </c>
      <c r="BQ282" s="72">
        <v>0</v>
      </c>
      <c r="BS282" s="61">
        <f t="shared" si="214"/>
        <v>-0.49000000000000021</v>
      </c>
      <c r="BT282" s="61">
        <f t="shared" si="215"/>
        <v>0</v>
      </c>
      <c r="BU282" s="61">
        <f t="shared" si="216"/>
        <v>0</v>
      </c>
      <c r="BV282" s="61">
        <f t="shared" si="216"/>
        <v>0</v>
      </c>
      <c r="BW282" s="61">
        <f t="shared" si="216"/>
        <v>0</v>
      </c>
      <c r="BX282" s="61">
        <f t="shared" si="216"/>
        <v>-0.49000000000000021</v>
      </c>
      <c r="BY282" s="61" t="s">
        <v>91</v>
      </c>
      <c r="CA282" s="61">
        <f t="shared" si="191"/>
        <v>-7.3717466526252468E-2</v>
      </c>
      <c r="CB282" s="61">
        <f t="shared" si="191"/>
        <v>-7.3717466526252468E-2</v>
      </c>
      <c r="CC282" s="61">
        <f t="shared" si="191"/>
        <v>-7.3717466526252468E-2</v>
      </c>
      <c r="CD282" s="61">
        <f t="shared" si="191"/>
        <v>-7.3717466526252468E-2</v>
      </c>
      <c r="CE282" s="61">
        <f t="shared" si="191"/>
        <v>-7.3717466526252468E-2</v>
      </c>
      <c r="CF282" s="61">
        <f t="shared" si="191"/>
        <v>-7.3717466526252468E-2</v>
      </c>
      <c r="CG282" s="61">
        <f t="shared" si="191"/>
        <v>-7.3717466526252468E-2</v>
      </c>
      <c r="CH282" s="61">
        <f t="shared" si="191"/>
        <v>-7.3717466526252468E-2</v>
      </c>
      <c r="CI282" s="61">
        <f t="shared" si="225"/>
        <v>-7.3717466526252481E-2</v>
      </c>
      <c r="CJ282" s="61"/>
      <c r="CK282" s="61">
        <f t="shared" si="192"/>
        <v>-7.3717466526252468E-2</v>
      </c>
      <c r="CL282" s="61">
        <f t="shared" si="192"/>
        <v>-7.3717466526252468E-2</v>
      </c>
      <c r="CM282" s="61">
        <f t="shared" si="192"/>
        <v>-7.3717466526252468E-2</v>
      </c>
      <c r="CN282" s="61">
        <f t="shared" si="192"/>
        <v>-7.3717466526252468E-2</v>
      </c>
      <c r="CO282" s="61">
        <f t="shared" si="192"/>
        <v>-7.3717466526252468E-2</v>
      </c>
      <c r="CP282" s="61">
        <f t="shared" si="192"/>
        <v>-7.3717466526252468E-2</v>
      </c>
      <c r="CQ282" s="61">
        <f t="shared" si="192"/>
        <v>-7.3717466526252468E-2</v>
      </c>
      <c r="CR282" s="61">
        <f t="shared" si="192"/>
        <v>-7.3717466526252468E-2</v>
      </c>
      <c r="CS282" s="61">
        <f t="shared" si="226"/>
        <v>-7.3717466526252481E-2</v>
      </c>
      <c r="CT282" s="61">
        <f t="shared" si="227"/>
        <v>-0.49000000000000027</v>
      </c>
      <c r="CV282" s="61">
        <f t="shared" si="228"/>
        <v>0</v>
      </c>
      <c r="CW282" s="61">
        <f t="shared" si="207"/>
        <v>0</v>
      </c>
      <c r="CX282" s="61"/>
      <c r="CY282" s="61">
        <f t="shared" si="208"/>
        <v>0</v>
      </c>
      <c r="CZ282" s="61">
        <f t="shared" si="220"/>
        <v>0</v>
      </c>
      <c r="DA282" s="61">
        <f t="shared" si="220"/>
        <v>0</v>
      </c>
      <c r="DB282" s="2" t="s">
        <v>85</v>
      </c>
      <c r="DC282" s="2" t="s">
        <v>102</v>
      </c>
      <c r="DD282" s="2" t="s">
        <v>142</v>
      </c>
      <c r="DE282" s="2" t="s">
        <v>181</v>
      </c>
      <c r="DF282" s="3" t="s">
        <v>86</v>
      </c>
      <c r="DG282" s="62">
        <v>42800</v>
      </c>
      <c r="EC282" s="60"/>
      <c r="ED282" s="60"/>
      <c r="EE282" s="60"/>
      <c r="EF282" s="60"/>
    </row>
    <row r="283" spans="2:140" ht="12.75" hidden="1" customHeight="1">
      <c r="B283" s="99" t="s">
        <v>683</v>
      </c>
      <c r="C283" s="22" t="s">
        <v>684</v>
      </c>
      <c r="D283" s="22" t="s">
        <v>685</v>
      </c>
      <c r="E283" s="2" t="str">
        <f>VLOOKUP($C283,[1]Detail!$C:$AK,6,0)</f>
        <v>BIW</v>
      </c>
      <c r="F283" s="2" t="str">
        <f>VLOOKUP($C283,[1]Detail!$C:$AK,7,0)</f>
        <v>TH</v>
      </c>
      <c r="G283" s="2" t="str">
        <f>VLOOKUP($C283,[1]Detail!$C:$AK,5,0)</f>
        <v>D</v>
      </c>
      <c r="J283" s="22" t="s">
        <v>126</v>
      </c>
      <c r="K283" s="23" t="s">
        <v>686</v>
      </c>
      <c r="L283" s="22" t="s">
        <v>100</v>
      </c>
      <c r="M283" s="51" t="str">
        <f t="shared" si="212"/>
        <v>JD8B-F16E060-AA</v>
      </c>
      <c r="O283" s="22">
        <v>1</v>
      </c>
      <c r="P283" s="22">
        <v>1</v>
      </c>
      <c r="Q283" s="22">
        <v>1</v>
      </c>
      <c r="R283" s="22">
        <v>1</v>
      </c>
      <c r="S283" s="22">
        <v>1</v>
      </c>
      <c r="T283" s="22">
        <v>1</v>
      </c>
      <c r="U283" s="22">
        <v>1</v>
      </c>
      <c r="V283" s="22">
        <v>1</v>
      </c>
      <c r="W283" s="64">
        <f t="shared" si="213"/>
        <v>1</v>
      </c>
      <c r="Y283" s="8">
        <v>-6.86</v>
      </c>
      <c r="Z283" s="8">
        <v>-0.1</v>
      </c>
      <c r="AA283" s="8">
        <v>-0.09</v>
      </c>
      <c r="AB283" s="8">
        <v>0</v>
      </c>
      <c r="AC283" s="8">
        <v>0</v>
      </c>
      <c r="AD283" s="8">
        <f t="shared" si="230"/>
        <v>-7.05</v>
      </c>
      <c r="AE283" s="2" t="s">
        <v>91</v>
      </c>
      <c r="AG283" s="8">
        <v>-253927</v>
      </c>
      <c r="AH283" s="8">
        <v>-253927</v>
      </c>
      <c r="AI283" s="6"/>
      <c r="AJ283" s="70">
        <v>0</v>
      </c>
      <c r="AK283" s="70">
        <v>0</v>
      </c>
      <c r="AL283" s="72">
        <v>0</v>
      </c>
      <c r="AM283" s="22"/>
      <c r="AO283" s="22" t="s">
        <v>128</v>
      </c>
      <c r="AP283" s="23" t="s">
        <v>686</v>
      </c>
      <c r="AQ283" s="22" t="s">
        <v>132</v>
      </c>
      <c r="AR283" s="51" t="str">
        <f t="shared" si="201"/>
        <v>ED8B-F16E060-AB</v>
      </c>
      <c r="AS283" s="3"/>
      <c r="AT283" s="22">
        <v>1</v>
      </c>
      <c r="AU283" s="22">
        <v>1</v>
      </c>
      <c r="AV283" s="22">
        <v>1</v>
      </c>
      <c r="AW283" s="22">
        <v>1</v>
      </c>
      <c r="AX283" s="22">
        <v>1</v>
      </c>
      <c r="AY283" s="22">
        <v>1</v>
      </c>
      <c r="AZ283" s="22">
        <v>1</v>
      </c>
      <c r="BA283" s="22">
        <v>1</v>
      </c>
      <c r="BB283" s="64">
        <f t="shared" si="202"/>
        <v>1</v>
      </c>
      <c r="BD283" s="60">
        <v>-7.54</v>
      </c>
      <c r="BE283" s="60">
        <v>-0.1</v>
      </c>
      <c r="BF283" s="95">
        <v>-0.09</v>
      </c>
      <c r="BG283" s="95">
        <v>0</v>
      </c>
      <c r="BH283" s="95">
        <v>0</v>
      </c>
      <c r="BI283" s="8">
        <f t="shared" si="206"/>
        <v>-7.7299999999999995</v>
      </c>
      <c r="BJ283" s="2" t="s">
        <v>91</v>
      </c>
      <c r="BL283" s="70">
        <v>0</v>
      </c>
      <c r="BM283" s="70">
        <v>0</v>
      </c>
      <c r="BO283" s="70">
        <v>0</v>
      </c>
      <c r="BP283" s="70">
        <v>0</v>
      </c>
      <c r="BQ283" s="72">
        <v>0</v>
      </c>
      <c r="BS283" s="61">
        <f t="shared" si="214"/>
        <v>0.67999999999999972</v>
      </c>
      <c r="BT283" s="61">
        <f t="shared" si="215"/>
        <v>0</v>
      </c>
      <c r="BU283" s="61">
        <f t="shared" si="216"/>
        <v>0</v>
      </c>
      <c r="BV283" s="61">
        <f t="shared" si="216"/>
        <v>0</v>
      </c>
      <c r="BW283" s="61">
        <f t="shared" si="216"/>
        <v>0</v>
      </c>
      <c r="BX283" s="61">
        <f t="shared" si="216"/>
        <v>0.67999999999999972</v>
      </c>
      <c r="BY283" s="61" t="s">
        <v>91</v>
      </c>
      <c r="CA283" s="61">
        <f t="shared" si="191"/>
        <v>0.10230179028132988</v>
      </c>
      <c r="CB283" s="61">
        <f t="shared" si="191"/>
        <v>0.10230179028132988</v>
      </c>
      <c r="CC283" s="61">
        <f t="shared" si="191"/>
        <v>0.10230179028132988</v>
      </c>
      <c r="CD283" s="61">
        <f t="shared" si="191"/>
        <v>0.10230179028132988</v>
      </c>
      <c r="CE283" s="61">
        <f t="shared" si="191"/>
        <v>0.10230179028132988</v>
      </c>
      <c r="CF283" s="61">
        <f t="shared" si="191"/>
        <v>0.10230179028132988</v>
      </c>
      <c r="CG283" s="61">
        <f t="shared" si="191"/>
        <v>0.10230179028132988</v>
      </c>
      <c r="CH283" s="61">
        <f t="shared" si="191"/>
        <v>0.10230179028132988</v>
      </c>
      <c r="CI283" s="61">
        <f t="shared" si="225"/>
        <v>0.10230179028132991</v>
      </c>
      <c r="CJ283" s="61"/>
      <c r="CK283" s="61">
        <f t="shared" si="192"/>
        <v>0.10230179028132988</v>
      </c>
      <c r="CL283" s="61">
        <f t="shared" si="192"/>
        <v>0.10230179028132988</v>
      </c>
      <c r="CM283" s="61">
        <f t="shared" si="192"/>
        <v>0.10230179028132988</v>
      </c>
      <c r="CN283" s="61">
        <f t="shared" si="192"/>
        <v>0.10230179028132988</v>
      </c>
      <c r="CO283" s="61">
        <f t="shared" si="192"/>
        <v>0.10230179028132988</v>
      </c>
      <c r="CP283" s="61">
        <f t="shared" si="192"/>
        <v>0.10230179028132988</v>
      </c>
      <c r="CQ283" s="61">
        <f t="shared" si="192"/>
        <v>0.10230179028132988</v>
      </c>
      <c r="CR283" s="61">
        <f t="shared" si="192"/>
        <v>0.10230179028132988</v>
      </c>
      <c r="CS283" s="61">
        <f t="shared" si="226"/>
        <v>0.10230179028132991</v>
      </c>
      <c r="CT283" s="61">
        <f t="shared" si="227"/>
        <v>0.67999999999999994</v>
      </c>
      <c r="CV283" s="61">
        <f t="shared" si="228"/>
        <v>-253927</v>
      </c>
      <c r="CW283" s="61">
        <f t="shared" si="207"/>
        <v>-253927</v>
      </c>
      <c r="CX283" s="61"/>
      <c r="CY283" s="61">
        <f t="shared" si="208"/>
        <v>0</v>
      </c>
      <c r="CZ283" s="61">
        <f t="shared" si="220"/>
        <v>0</v>
      </c>
      <c r="DA283" s="61">
        <f t="shared" si="220"/>
        <v>0</v>
      </c>
      <c r="DB283" s="2" t="s">
        <v>102</v>
      </c>
      <c r="DC283" s="2" t="s">
        <v>102</v>
      </c>
      <c r="DD283" s="2" t="s">
        <v>142</v>
      </c>
      <c r="DE283" s="2" t="s">
        <v>181</v>
      </c>
      <c r="DF283" s="3" t="s">
        <v>86</v>
      </c>
      <c r="DG283" s="62">
        <v>42807</v>
      </c>
      <c r="EC283" s="60" t="str">
        <f>VLOOKUP($M283,[1]Detail!$M:$BO,1,0)</f>
        <v>JD8B-F16E060-AA</v>
      </c>
      <c r="ED283" s="60">
        <f>VLOOKUP($M283,[1]Detail!$M:$BO,22,0)</f>
        <v>-7.05</v>
      </c>
      <c r="EE283" s="60">
        <f>VLOOKUP($M283,[1]Detail!$M:$BO,42,0)</f>
        <v>-253927</v>
      </c>
      <c r="EF283" s="60">
        <f>VLOOKUP($M283,[1]Detail!$M:$BO,45,0)</f>
        <v>0</v>
      </c>
      <c r="EH283" s="60">
        <f>ED283-AD283</f>
        <v>0</v>
      </c>
      <c r="EI283" s="60">
        <f>EE283-AG283</f>
        <v>0</v>
      </c>
      <c r="EJ283" s="60">
        <f t="shared" ref="EJ283:EJ284" si="239">EF283-AJ283</f>
        <v>0</v>
      </c>
    </row>
    <row r="284" spans="2:140" ht="12.75" hidden="1" customHeight="1">
      <c r="B284" s="99" t="s">
        <v>683</v>
      </c>
      <c r="C284" s="22" t="s">
        <v>684</v>
      </c>
      <c r="D284" s="22" t="s">
        <v>685</v>
      </c>
      <c r="E284" s="2" t="str">
        <f>VLOOKUP($C284,[1]Detail!$C:$AK,6,0)</f>
        <v>BIW</v>
      </c>
      <c r="F284" s="2" t="str">
        <f>VLOOKUP($C284,[1]Detail!$C:$AK,7,0)</f>
        <v>TH</v>
      </c>
      <c r="G284" s="2" t="str">
        <f>VLOOKUP($C284,[1]Detail!$C:$AK,5,0)</f>
        <v>D</v>
      </c>
      <c r="J284" s="22" t="s">
        <v>126</v>
      </c>
      <c r="K284" s="23" t="s">
        <v>687</v>
      </c>
      <c r="L284" s="22" t="s">
        <v>100</v>
      </c>
      <c r="M284" s="51" t="str">
        <f t="shared" si="212"/>
        <v>JD8B-F16E061-AA</v>
      </c>
      <c r="O284" s="22">
        <v>1</v>
      </c>
      <c r="P284" s="22">
        <v>1</v>
      </c>
      <c r="Q284" s="22">
        <v>1</v>
      </c>
      <c r="R284" s="22">
        <v>1</v>
      </c>
      <c r="S284" s="22">
        <v>1</v>
      </c>
      <c r="T284" s="22">
        <v>1</v>
      </c>
      <c r="U284" s="22">
        <v>1</v>
      </c>
      <c r="V284" s="22">
        <v>1</v>
      </c>
      <c r="W284" s="64">
        <f t="shared" si="213"/>
        <v>1</v>
      </c>
      <c r="Y284" s="8">
        <v>-6.86</v>
      </c>
      <c r="Z284" s="8">
        <v>-0.1</v>
      </c>
      <c r="AA284" s="8">
        <v>-0.09</v>
      </c>
      <c r="AB284" s="8">
        <v>0</v>
      </c>
      <c r="AC284" s="8">
        <v>0</v>
      </c>
      <c r="AD284" s="8">
        <f t="shared" si="230"/>
        <v>-7.05</v>
      </c>
      <c r="AE284" s="2" t="s">
        <v>91</v>
      </c>
      <c r="AG284" s="8">
        <v>-253927</v>
      </c>
      <c r="AH284" s="8">
        <v>-253927</v>
      </c>
      <c r="AI284" s="6"/>
      <c r="AJ284" s="70">
        <v>0</v>
      </c>
      <c r="AK284" s="70">
        <v>0</v>
      </c>
      <c r="AL284" s="72">
        <v>0</v>
      </c>
      <c r="AM284" s="22"/>
      <c r="AO284" s="22" t="s">
        <v>128</v>
      </c>
      <c r="AP284" s="23" t="s">
        <v>687</v>
      </c>
      <c r="AQ284" s="22" t="s">
        <v>132</v>
      </c>
      <c r="AR284" s="51" t="str">
        <f t="shared" si="201"/>
        <v>ED8B-F16E061-AB</v>
      </c>
      <c r="AS284" s="3"/>
      <c r="AT284" s="22">
        <v>1</v>
      </c>
      <c r="AU284" s="22">
        <v>1</v>
      </c>
      <c r="AV284" s="22">
        <v>1</v>
      </c>
      <c r="AW284" s="22">
        <v>1</v>
      </c>
      <c r="AX284" s="22">
        <v>1</v>
      </c>
      <c r="AY284" s="22">
        <v>1</v>
      </c>
      <c r="AZ284" s="22">
        <v>1</v>
      </c>
      <c r="BA284" s="22">
        <v>1</v>
      </c>
      <c r="BB284" s="64">
        <f t="shared" si="202"/>
        <v>1</v>
      </c>
      <c r="BD284" s="60">
        <v>-7.54</v>
      </c>
      <c r="BE284" s="60">
        <v>-0.1</v>
      </c>
      <c r="BF284" s="95">
        <v>-0.09</v>
      </c>
      <c r="BG284" s="95">
        <v>0</v>
      </c>
      <c r="BH284" s="95">
        <v>0</v>
      </c>
      <c r="BI284" s="8">
        <f t="shared" si="206"/>
        <v>-7.7299999999999995</v>
      </c>
      <c r="BJ284" s="2" t="s">
        <v>91</v>
      </c>
      <c r="BL284" s="70">
        <v>0</v>
      </c>
      <c r="BM284" s="70">
        <v>0</v>
      </c>
      <c r="BO284" s="70">
        <v>0</v>
      </c>
      <c r="BP284" s="70">
        <v>0</v>
      </c>
      <c r="BQ284" s="72">
        <v>0</v>
      </c>
      <c r="BS284" s="61">
        <f t="shared" si="214"/>
        <v>0.67999999999999972</v>
      </c>
      <c r="BT284" s="61">
        <f t="shared" si="215"/>
        <v>0</v>
      </c>
      <c r="BU284" s="61">
        <f t="shared" si="216"/>
        <v>0</v>
      </c>
      <c r="BV284" s="61">
        <f t="shared" si="216"/>
        <v>0</v>
      </c>
      <c r="BW284" s="61">
        <f t="shared" si="216"/>
        <v>0</v>
      </c>
      <c r="BX284" s="61">
        <f t="shared" si="216"/>
        <v>0.67999999999999972</v>
      </c>
      <c r="BY284" s="61" t="s">
        <v>91</v>
      </c>
      <c r="CA284" s="61">
        <f t="shared" si="191"/>
        <v>0.10230179028132988</v>
      </c>
      <c r="CB284" s="61">
        <f t="shared" si="191"/>
        <v>0.10230179028132988</v>
      </c>
      <c r="CC284" s="61">
        <f t="shared" si="191"/>
        <v>0.10230179028132988</v>
      </c>
      <c r="CD284" s="61">
        <f t="shared" si="191"/>
        <v>0.10230179028132988</v>
      </c>
      <c r="CE284" s="61">
        <f t="shared" si="191"/>
        <v>0.10230179028132988</v>
      </c>
      <c r="CF284" s="61">
        <f t="shared" si="191"/>
        <v>0.10230179028132988</v>
      </c>
      <c r="CG284" s="61">
        <f t="shared" si="191"/>
        <v>0.10230179028132988</v>
      </c>
      <c r="CH284" s="61">
        <f t="shared" si="191"/>
        <v>0.10230179028132988</v>
      </c>
      <c r="CI284" s="61">
        <f t="shared" si="225"/>
        <v>0.10230179028132991</v>
      </c>
      <c r="CJ284" s="61"/>
      <c r="CK284" s="61">
        <f t="shared" si="192"/>
        <v>0.10230179028132988</v>
      </c>
      <c r="CL284" s="61">
        <f t="shared" si="192"/>
        <v>0.10230179028132988</v>
      </c>
      <c r="CM284" s="61">
        <f t="shared" si="192"/>
        <v>0.10230179028132988</v>
      </c>
      <c r="CN284" s="61">
        <f t="shared" si="192"/>
        <v>0.10230179028132988</v>
      </c>
      <c r="CO284" s="61">
        <f t="shared" si="192"/>
        <v>0.10230179028132988</v>
      </c>
      <c r="CP284" s="61">
        <f t="shared" si="192"/>
        <v>0.10230179028132988</v>
      </c>
      <c r="CQ284" s="61">
        <f t="shared" si="192"/>
        <v>0.10230179028132988</v>
      </c>
      <c r="CR284" s="61">
        <f t="shared" si="192"/>
        <v>0.10230179028132988</v>
      </c>
      <c r="CS284" s="61">
        <f t="shared" si="226"/>
        <v>0.10230179028132991</v>
      </c>
      <c r="CT284" s="61">
        <f t="shared" si="227"/>
        <v>0.67999999999999994</v>
      </c>
      <c r="CV284" s="61">
        <f t="shared" si="228"/>
        <v>-253927</v>
      </c>
      <c r="CW284" s="61">
        <f t="shared" si="207"/>
        <v>-253927</v>
      </c>
      <c r="CX284" s="61"/>
      <c r="CY284" s="61">
        <f t="shared" si="208"/>
        <v>0</v>
      </c>
      <c r="CZ284" s="61">
        <f t="shared" si="220"/>
        <v>0</v>
      </c>
      <c r="DA284" s="61">
        <f t="shared" si="220"/>
        <v>0</v>
      </c>
      <c r="DB284" s="2" t="s">
        <v>102</v>
      </c>
      <c r="DC284" s="2" t="s">
        <v>102</v>
      </c>
      <c r="DD284" s="2" t="s">
        <v>142</v>
      </c>
      <c r="DE284" s="2" t="s">
        <v>181</v>
      </c>
      <c r="DF284" s="3" t="s">
        <v>86</v>
      </c>
      <c r="DG284" s="62">
        <v>42807</v>
      </c>
      <c r="EC284" s="60" t="str">
        <f>VLOOKUP($M284,[1]Detail!$M:$BO,1,0)</f>
        <v>JD8B-F16E061-AA</v>
      </c>
      <c r="ED284" s="60">
        <f>VLOOKUP($M284,[1]Detail!$M:$BO,22,0)</f>
        <v>-7.05</v>
      </c>
      <c r="EE284" s="60">
        <f>VLOOKUP($M284,[1]Detail!$M:$BO,42,0)</f>
        <v>-253927</v>
      </c>
      <c r="EF284" s="60">
        <f>VLOOKUP($M284,[1]Detail!$M:$BO,45,0)</f>
        <v>0</v>
      </c>
      <c r="EH284" s="60">
        <f>ED284-AD284</f>
        <v>0</v>
      </c>
      <c r="EI284" s="60">
        <f>EE284-AG284</f>
        <v>0</v>
      </c>
      <c r="EJ284" s="60">
        <f t="shared" si="239"/>
        <v>0</v>
      </c>
    </row>
    <row r="285" spans="2:140" ht="12.75" hidden="1" customHeight="1">
      <c r="B285" s="99" t="s">
        <v>688</v>
      </c>
      <c r="C285" s="22" t="s">
        <v>271</v>
      </c>
      <c r="D285" s="22" t="s">
        <v>689</v>
      </c>
      <c r="E285" s="2" t="str">
        <f>VLOOKUP($C285,[1]Detail!$C:$AK,6,0)</f>
        <v>BIW</v>
      </c>
      <c r="F285" s="2" t="str">
        <f>VLOOKUP($C285,[1]Detail!$C:$AK,7,0)</f>
        <v>PF</v>
      </c>
      <c r="G285" s="2" t="str">
        <f>VLOOKUP($C285,[1]Detail!$C:$AK,5,0)</f>
        <v>D</v>
      </c>
      <c r="J285" s="22" t="s">
        <v>126</v>
      </c>
      <c r="K285" s="23" t="s">
        <v>690</v>
      </c>
      <c r="L285" s="22" t="s">
        <v>100</v>
      </c>
      <c r="M285" s="51" t="str">
        <f t="shared" si="212"/>
        <v>JD8B-F422B64 -AA</v>
      </c>
      <c r="O285" s="22">
        <v>1</v>
      </c>
      <c r="P285" s="22">
        <v>1</v>
      </c>
      <c r="Q285" s="22">
        <v>1</v>
      </c>
      <c r="R285" s="22">
        <v>1</v>
      </c>
      <c r="S285" s="22">
        <v>1</v>
      </c>
      <c r="T285" s="22">
        <v>1</v>
      </c>
      <c r="U285" s="22">
        <v>1</v>
      </c>
      <c r="V285" s="22">
        <v>1</v>
      </c>
      <c r="W285" s="64">
        <f t="shared" si="213"/>
        <v>1</v>
      </c>
      <c r="Y285" s="8">
        <v>-40.707999999999998</v>
      </c>
      <c r="Z285" s="8">
        <v>-0.37</v>
      </c>
      <c r="AA285" s="8">
        <v>-0.46</v>
      </c>
      <c r="AB285" s="8">
        <v>0</v>
      </c>
      <c r="AC285" s="8">
        <v>0</v>
      </c>
      <c r="AD285" s="8">
        <f t="shared" si="230"/>
        <v>-41.537999999999997</v>
      </c>
      <c r="AE285" s="2" t="s">
        <v>91</v>
      </c>
      <c r="AG285" s="8">
        <v>0</v>
      </c>
      <c r="AH285" s="8">
        <v>0</v>
      </c>
      <c r="AJ285" s="70">
        <v>0</v>
      </c>
      <c r="AK285" s="70">
        <v>0</v>
      </c>
      <c r="AL285" s="72"/>
      <c r="AM285" s="22"/>
      <c r="AO285" s="22" t="s">
        <v>128</v>
      </c>
      <c r="AP285" s="23" t="s">
        <v>690</v>
      </c>
      <c r="AQ285" s="22" t="s">
        <v>578</v>
      </c>
      <c r="AR285" s="51" t="str">
        <f t="shared" si="201"/>
        <v>ED8B-F422B64 -AF</v>
      </c>
      <c r="AS285" s="3"/>
      <c r="AT285" s="22">
        <v>1</v>
      </c>
      <c r="AU285" s="22">
        <v>1</v>
      </c>
      <c r="AV285" s="22">
        <v>1</v>
      </c>
      <c r="AW285" s="22">
        <v>1</v>
      </c>
      <c r="AX285" s="22">
        <v>1</v>
      </c>
      <c r="AY285" s="22">
        <v>1</v>
      </c>
      <c r="AZ285" s="22">
        <v>1</v>
      </c>
      <c r="BA285" s="22">
        <v>1</v>
      </c>
      <c r="BB285" s="64">
        <f t="shared" si="202"/>
        <v>1</v>
      </c>
      <c r="BD285" s="60">
        <v>-40.707999999999998</v>
      </c>
      <c r="BE285" s="60">
        <v>-0.37</v>
      </c>
      <c r="BF285" s="95">
        <v>-0.46</v>
      </c>
      <c r="BG285" s="95">
        <v>0</v>
      </c>
      <c r="BH285" s="95">
        <v>0</v>
      </c>
      <c r="BI285" s="8">
        <f t="shared" si="206"/>
        <v>-41.537999999999997</v>
      </c>
      <c r="BJ285" s="2" t="s">
        <v>91</v>
      </c>
      <c r="BL285" s="70">
        <v>0</v>
      </c>
      <c r="BM285" s="70">
        <v>0</v>
      </c>
      <c r="BO285" s="70">
        <v>0</v>
      </c>
      <c r="BP285" s="70">
        <v>0</v>
      </c>
      <c r="BQ285" s="72"/>
      <c r="BS285" s="61">
        <f t="shared" si="214"/>
        <v>0</v>
      </c>
      <c r="BT285" s="61">
        <f t="shared" si="215"/>
        <v>0</v>
      </c>
      <c r="BU285" s="61">
        <f t="shared" si="216"/>
        <v>0</v>
      </c>
      <c r="BV285" s="61">
        <f t="shared" si="216"/>
        <v>0</v>
      </c>
      <c r="BW285" s="61">
        <f t="shared" si="216"/>
        <v>0</v>
      </c>
      <c r="BX285" s="61">
        <f t="shared" si="216"/>
        <v>0</v>
      </c>
      <c r="BY285" s="61" t="s">
        <v>91</v>
      </c>
      <c r="CA285" s="61">
        <f t="shared" si="191"/>
        <v>0</v>
      </c>
      <c r="CB285" s="61">
        <f t="shared" si="191"/>
        <v>0</v>
      </c>
      <c r="CC285" s="61">
        <f t="shared" si="191"/>
        <v>0</v>
      </c>
      <c r="CD285" s="61">
        <f t="shared" si="191"/>
        <v>0</v>
      </c>
      <c r="CE285" s="61">
        <f t="shared" si="191"/>
        <v>0</v>
      </c>
      <c r="CF285" s="61">
        <f t="shared" si="191"/>
        <v>0</v>
      </c>
      <c r="CG285" s="61">
        <f t="shared" si="191"/>
        <v>0</v>
      </c>
      <c r="CH285" s="61">
        <f t="shared" si="191"/>
        <v>0</v>
      </c>
      <c r="CI285" s="61">
        <f t="shared" si="225"/>
        <v>0</v>
      </c>
      <c r="CJ285" s="61"/>
      <c r="CK285" s="61">
        <f t="shared" si="192"/>
        <v>0</v>
      </c>
      <c r="CL285" s="61">
        <f t="shared" si="192"/>
        <v>0</v>
      </c>
      <c r="CM285" s="61">
        <f t="shared" si="192"/>
        <v>0</v>
      </c>
      <c r="CN285" s="61">
        <f t="shared" si="192"/>
        <v>0</v>
      </c>
      <c r="CO285" s="61">
        <f t="shared" si="192"/>
        <v>0</v>
      </c>
      <c r="CP285" s="61">
        <f t="shared" si="192"/>
        <v>0</v>
      </c>
      <c r="CQ285" s="61">
        <f t="shared" si="192"/>
        <v>0</v>
      </c>
      <c r="CR285" s="61">
        <f t="shared" si="192"/>
        <v>0</v>
      </c>
      <c r="CS285" s="61">
        <f t="shared" si="226"/>
        <v>0</v>
      </c>
      <c r="CT285" s="61">
        <f t="shared" si="227"/>
        <v>0</v>
      </c>
      <c r="CV285" s="61">
        <f t="shared" si="228"/>
        <v>0</v>
      </c>
      <c r="CW285" s="61">
        <f t="shared" si="207"/>
        <v>0</v>
      </c>
      <c r="CX285" s="61"/>
      <c r="CY285" s="61">
        <f t="shared" si="208"/>
        <v>0</v>
      </c>
      <c r="CZ285" s="61">
        <f t="shared" si="220"/>
        <v>0</v>
      </c>
      <c r="DA285" s="61">
        <f t="shared" si="220"/>
        <v>0</v>
      </c>
      <c r="DB285" s="2" t="s">
        <v>85</v>
      </c>
      <c r="DC285" s="2" t="s">
        <v>102</v>
      </c>
      <c r="DD285" s="2" t="s">
        <v>142</v>
      </c>
      <c r="DE285" s="2" t="s">
        <v>181</v>
      </c>
      <c r="DF285" s="3" t="s">
        <v>86</v>
      </c>
      <c r="DG285" s="62">
        <v>42816</v>
      </c>
      <c r="EC285" s="60"/>
      <c r="ED285" s="60"/>
      <c r="EE285" s="60"/>
      <c r="EF285" s="60"/>
    </row>
    <row r="286" spans="2:140" ht="12.75" hidden="1" customHeight="1">
      <c r="B286" s="99" t="s">
        <v>691</v>
      </c>
      <c r="C286" s="22" t="s">
        <v>271</v>
      </c>
      <c r="D286" s="22" t="s">
        <v>689</v>
      </c>
      <c r="E286" s="2" t="str">
        <f>VLOOKUP($C286,[1]Detail!$C:$AK,6,0)</f>
        <v>BIW</v>
      </c>
      <c r="F286" s="2" t="str">
        <f>VLOOKUP($C286,[1]Detail!$C:$AK,7,0)</f>
        <v>PF</v>
      </c>
      <c r="G286" s="2" t="str">
        <f>VLOOKUP($C286,[1]Detail!$C:$AK,5,0)</f>
        <v>D</v>
      </c>
      <c r="J286" s="22" t="s">
        <v>128</v>
      </c>
      <c r="K286" s="23" t="s">
        <v>690</v>
      </c>
      <c r="L286" s="22" t="s">
        <v>578</v>
      </c>
      <c r="M286" s="51" t="str">
        <f t="shared" si="212"/>
        <v>ED8B-F422B64 -AF</v>
      </c>
      <c r="O286" s="22">
        <v>1</v>
      </c>
      <c r="P286" s="22">
        <v>1</v>
      </c>
      <c r="Q286" s="22">
        <v>1</v>
      </c>
      <c r="R286" s="22">
        <v>1</v>
      </c>
      <c r="S286" s="22">
        <v>1</v>
      </c>
      <c r="T286" s="22">
        <v>1</v>
      </c>
      <c r="U286" s="22">
        <v>1</v>
      </c>
      <c r="V286" s="22">
        <v>1</v>
      </c>
      <c r="W286" s="64">
        <f t="shared" si="213"/>
        <v>1</v>
      </c>
      <c r="Y286" s="8">
        <v>-40.707999999999998</v>
      </c>
      <c r="Z286" s="8">
        <v>-0.37</v>
      </c>
      <c r="AA286" s="8">
        <v>-0.46</v>
      </c>
      <c r="AB286" s="8">
        <v>0</v>
      </c>
      <c r="AC286" s="8">
        <v>0</v>
      </c>
      <c r="AD286" s="8">
        <f t="shared" si="230"/>
        <v>-41.537999999999997</v>
      </c>
      <c r="AE286" s="2" t="s">
        <v>91</v>
      </c>
      <c r="AG286" s="8">
        <v>0</v>
      </c>
      <c r="AH286" s="8">
        <v>0</v>
      </c>
      <c r="AJ286" s="70">
        <v>0</v>
      </c>
      <c r="AK286" s="70">
        <v>0</v>
      </c>
      <c r="AL286" s="72"/>
      <c r="AM286" s="22"/>
      <c r="AO286" s="22" t="s">
        <v>126</v>
      </c>
      <c r="AP286" s="23" t="s">
        <v>690</v>
      </c>
      <c r="AQ286" s="22" t="s">
        <v>100</v>
      </c>
      <c r="AR286" s="51" t="str">
        <f t="shared" si="201"/>
        <v>JD8B-F422B64 -AA</v>
      </c>
      <c r="AS286" s="3"/>
      <c r="AT286" s="22">
        <v>1</v>
      </c>
      <c r="AU286" s="22">
        <v>1</v>
      </c>
      <c r="AV286" s="22">
        <v>1</v>
      </c>
      <c r="AW286" s="22">
        <v>1</v>
      </c>
      <c r="AX286" s="22">
        <v>1</v>
      </c>
      <c r="AY286" s="22">
        <v>1</v>
      </c>
      <c r="AZ286" s="22">
        <v>1</v>
      </c>
      <c r="BA286" s="22">
        <v>1</v>
      </c>
      <c r="BB286" s="64">
        <f t="shared" si="202"/>
        <v>1</v>
      </c>
      <c r="BD286" s="60">
        <v>-40.707999999999998</v>
      </c>
      <c r="BE286" s="60">
        <v>-0.37</v>
      </c>
      <c r="BF286" s="95">
        <v>-0.46</v>
      </c>
      <c r="BG286" s="95">
        <v>0</v>
      </c>
      <c r="BH286" s="95">
        <v>0</v>
      </c>
      <c r="BI286" s="8">
        <f t="shared" si="206"/>
        <v>-41.537999999999997</v>
      </c>
      <c r="BJ286" s="2" t="s">
        <v>91</v>
      </c>
      <c r="BL286" s="70">
        <v>0</v>
      </c>
      <c r="BM286" s="70">
        <v>0</v>
      </c>
      <c r="BO286" s="70">
        <v>0</v>
      </c>
      <c r="BP286" s="70">
        <v>0</v>
      </c>
      <c r="BQ286" s="72"/>
      <c r="BS286" s="61">
        <f t="shared" si="214"/>
        <v>0</v>
      </c>
      <c r="BT286" s="61">
        <f t="shared" si="215"/>
        <v>0</v>
      </c>
      <c r="BU286" s="61">
        <f t="shared" si="216"/>
        <v>0</v>
      </c>
      <c r="BV286" s="61">
        <f t="shared" si="216"/>
        <v>0</v>
      </c>
      <c r="BW286" s="61">
        <f t="shared" si="216"/>
        <v>0</v>
      </c>
      <c r="BX286" s="61">
        <f t="shared" si="216"/>
        <v>0</v>
      </c>
      <c r="BY286" s="61" t="s">
        <v>91</v>
      </c>
      <c r="CA286" s="61">
        <f t="shared" si="191"/>
        <v>0</v>
      </c>
      <c r="CB286" s="61">
        <f t="shared" si="191"/>
        <v>0</v>
      </c>
      <c r="CC286" s="61">
        <f t="shared" si="191"/>
        <v>0</v>
      </c>
      <c r="CD286" s="61">
        <f t="shared" si="191"/>
        <v>0</v>
      </c>
      <c r="CE286" s="61">
        <f t="shared" si="191"/>
        <v>0</v>
      </c>
      <c r="CF286" s="61">
        <f t="shared" si="191"/>
        <v>0</v>
      </c>
      <c r="CG286" s="61">
        <f t="shared" si="191"/>
        <v>0</v>
      </c>
      <c r="CH286" s="61">
        <f t="shared" si="191"/>
        <v>0</v>
      </c>
      <c r="CI286" s="61">
        <f t="shared" si="225"/>
        <v>0</v>
      </c>
      <c r="CJ286" s="61"/>
      <c r="CK286" s="61">
        <f t="shared" si="192"/>
        <v>0</v>
      </c>
      <c r="CL286" s="61">
        <f t="shared" si="192"/>
        <v>0</v>
      </c>
      <c r="CM286" s="61">
        <f t="shared" si="192"/>
        <v>0</v>
      </c>
      <c r="CN286" s="61">
        <f t="shared" si="192"/>
        <v>0</v>
      </c>
      <c r="CO286" s="61">
        <f t="shared" si="192"/>
        <v>0</v>
      </c>
      <c r="CP286" s="61">
        <f t="shared" si="192"/>
        <v>0</v>
      </c>
      <c r="CQ286" s="61">
        <f t="shared" si="192"/>
        <v>0</v>
      </c>
      <c r="CR286" s="61">
        <f t="shared" si="192"/>
        <v>0</v>
      </c>
      <c r="CS286" s="61">
        <f t="shared" si="226"/>
        <v>0</v>
      </c>
      <c r="CT286" s="61">
        <f t="shared" si="227"/>
        <v>0</v>
      </c>
      <c r="CV286" s="61">
        <f t="shared" si="228"/>
        <v>0</v>
      </c>
      <c r="CW286" s="61">
        <f t="shared" si="207"/>
        <v>0</v>
      </c>
      <c r="CX286" s="61"/>
      <c r="CY286" s="61">
        <f t="shared" si="208"/>
        <v>0</v>
      </c>
      <c r="CZ286" s="61">
        <f t="shared" si="220"/>
        <v>0</v>
      </c>
      <c r="DA286" s="61">
        <f t="shared" si="220"/>
        <v>0</v>
      </c>
      <c r="DB286" s="2" t="s">
        <v>102</v>
      </c>
      <c r="DC286" s="2" t="s">
        <v>85</v>
      </c>
      <c r="DD286" s="2" t="s">
        <v>142</v>
      </c>
      <c r="DE286" s="2" t="s">
        <v>181</v>
      </c>
      <c r="DG286" s="62"/>
      <c r="DZ286" s="3" t="e">
        <v>#N/A</v>
      </c>
      <c r="EC286" s="60" t="str">
        <f>VLOOKUP($M286,[1]Detail!$M:$BO,1,0)</f>
        <v>ED8B-F422B64 -AF</v>
      </c>
      <c r="ED286" s="60">
        <f>VLOOKUP($M286,[1]Detail!$M:$BO,22,0)</f>
        <v>-41.537999999999997</v>
      </c>
      <c r="EE286" s="60">
        <f>VLOOKUP($M286,[1]Detail!$M:$BO,42,0)</f>
        <v>0</v>
      </c>
      <c r="EF286" s="60">
        <f>VLOOKUP($M286,[1]Detail!$M:$BO,45,0)</f>
        <v>0</v>
      </c>
      <c r="EH286" s="60">
        <f>ED286-AD286</f>
        <v>0</v>
      </c>
      <c r="EI286" s="60">
        <f>EE286-AG286</f>
        <v>0</v>
      </c>
      <c r="EJ286" s="60">
        <f>EF286-AJ286</f>
        <v>0</v>
      </c>
    </row>
    <row r="287" spans="2:140" ht="12.75" hidden="1" customHeight="1">
      <c r="B287" s="99" t="s">
        <v>692</v>
      </c>
      <c r="C287" s="22" t="s">
        <v>145</v>
      </c>
      <c r="D287" s="22" t="s">
        <v>276</v>
      </c>
      <c r="E287" s="2" t="str">
        <f>VLOOKUP($C287,[1]Detail!$C:$AK,6,0)</f>
        <v>BIW</v>
      </c>
      <c r="F287" s="2" t="str">
        <f>VLOOKUP($C287,[1]Detail!$C:$AK,7,0)</f>
        <v>TH</v>
      </c>
      <c r="G287" s="2" t="str">
        <f>VLOOKUP($C287,[1]Detail!$C:$AK,5,0)</f>
        <v>D</v>
      </c>
      <c r="J287" s="22" t="s">
        <v>126</v>
      </c>
      <c r="K287" s="23" t="s">
        <v>693</v>
      </c>
      <c r="L287" s="22" t="s">
        <v>100</v>
      </c>
      <c r="M287" s="51" t="str">
        <f t="shared" si="212"/>
        <v>JD8B-F02010-AA</v>
      </c>
      <c r="O287" s="22">
        <v>1</v>
      </c>
      <c r="P287" s="22">
        <v>1</v>
      </c>
      <c r="Q287" s="22">
        <v>1</v>
      </c>
      <c r="R287" s="22">
        <v>1</v>
      </c>
      <c r="S287" s="22">
        <v>1</v>
      </c>
      <c r="T287" s="22">
        <v>1</v>
      </c>
      <c r="U287" s="22">
        <v>1</v>
      </c>
      <c r="V287" s="22">
        <v>1</v>
      </c>
      <c r="W287" s="64">
        <f t="shared" si="213"/>
        <v>1</v>
      </c>
      <c r="Y287" s="8">
        <v>-30.4</v>
      </c>
      <c r="Z287" s="8">
        <v>-0.69</v>
      </c>
      <c r="AA287" s="8">
        <v>-0.86</v>
      </c>
      <c r="AB287" s="8">
        <v>0</v>
      </c>
      <c r="AC287" s="8">
        <v>0</v>
      </c>
      <c r="AD287" s="8">
        <f t="shared" si="230"/>
        <v>-31.95</v>
      </c>
      <c r="AE287" s="2" t="s">
        <v>91</v>
      </c>
      <c r="AG287" s="8">
        <v>-97254</v>
      </c>
      <c r="AH287" s="8">
        <v>-97254</v>
      </c>
      <c r="AI287" s="6"/>
      <c r="AJ287" s="70">
        <v>0</v>
      </c>
      <c r="AK287" s="70">
        <v>0</v>
      </c>
      <c r="AL287" s="72">
        <v>0</v>
      </c>
      <c r="AM287" s="22"/>
      <c r="AO287" s="22" t="s">
        <v>126</v>
      </c>
      <c r="AP287" s="23" t="s">
        <v>693</v>
      </c>
      <c r="AQ287" s="22" t="s">
        <v>100</v>
      </c>
      <c r="AR287" s="51" t="str">
        <f t="shared" si="201"/>
        <v>JD8B-F02010-AA</v>
      </c>
      <c r="AS287" s="3"/>
      <c r="AT287" s="22">
        <v>1</v>
      </c>
      <c r="AU287" s="22">
        <v>1</v>
      </c>
      <c r="AV287" s="22">
        <v>1</v>
      </c>
      <c r="AW287" s="22">
        <v>1</v>
      </c>
      <c r="AX287" s="22">
        <v>1</v>
      </c>
      <c r="AY287" s="22">
        <v>1</v>
      </c>
      <c r="AZ287" s="22">
        <v>1</v>
      </c>
      <c r="BA287" s="22">
        <v>1</v>
      </c>
      <c r="BB287" s="64">
        <f t="shared" si="202"/>
        <v>1</v>
      </c>
      <c r="BD287" s="60">
        <v>-30.4</v>
      </c>
      <c r="BE287" s="60">
        <v>-0.69</v>
      </c>
      <c r="BF287" s="95">
        <v>-0.86</v>
      </c>
      <c r="BG287" s="95">
        <v>0</v>
      </c>
      <c r="BH287" s="95">
        <v>0</v>
      </c>
      <c r="BI287" s="8">
        <f t="shared" si="206"/>
        <v>-31.95</v>
      </c>
      <c r="BJ287" s="2" t="s">
        <v>91</v>
      </c>
      <c r="BL287" s="70">
        <v>-97254</v>
      </c>
      <c r="BM287" s="70">
        <v>-97254</v>
      </c>
      <c r="BO287" s="70">
        <v>0</v>
      </c>
      <c r="BP287" s="70">
        <v>0</v>
      </c>
      <c r="BQ287" s="72">
        <v>0</v>
      </c>
      <c r="BS287" s="61">
        <f t="shared" si="214"/>
        <v>0</v>
      </c>
      <c r="BT287" s="61">
        <f t="shared" si="215"/>
        <v>0</v>
      </c>
      <c r="BU287" s="61">
        <f t="shared" si="216"/>
        <v>0</v>
      </c>
      <c r="BV287" s="61">
        <f t="shared" si="216"/>
        <v>0</v>
      </c>
      <c r="BW287" s="61">
        <f t="shared" si="216"/>
        <v>0</v>
      </c>
      <c r="BX287" s="61">
        <f t="shared" si="216"/>
        <v>0</v>
      </c>
      <c r="BY287" s="61" t="s">
        <v>91</v>
      </c>
      <c r="CA287" s="61">
        <f t="shared" si="191"/>
        <v>0</v>
      </c>
      <c r="CB287" s="61">
        <f t="shared" si="191"/>
        <v>0</v>
      </c>
      <c r="CC287" s="61">
        <f t="shared" si="191"/>
        <v>0</v>
      </c>
      <c r="CD287" s="61">
        <f t="shared" si="191"/>
        <v>0</v>
      </c>
      <c r="CE287" s="61">
        <f t="shared" si="191"/>
        <v>0</v>
      </c>
      <c r="CF287" s="61">
        <f t="shared" si="191"/>
        <v>0</v>
      </c>
      <c r="CG287" s="61">
        <f t="shared" si="191"/>
        <v>0</v>
      </c>
      <c r="CH287" s="61">
        <f t="shared" si="191"/>
        <v>0</v>
      </c>
      <c r="CI287" s="61">
        <f t="shared" si="225"/>
        <v>0</v>
      </c>
      <c r="CJ287" s="61"/>
      <c r="CK287" s="61">
        <f t="shared" si="192"/>
        <v>0</v>
      </c>
      <c r="CL287" s="61">
        <f t="shared" si="192"/>
        <v>0</v>
      </c>
      <c r="CM287" s="61">
        <f t="shared" si="192"/>
        <v>0</v>
      </c>
      <c r="CN287" s="61">
        <f t="shared" si="192"/>
        <v>0</v>
      </c>
      <c r="CO287" s="61">
        <f t="shared" si="192"/>
        <v>0</v>
      </c>
      <c r="CP287" s="61">
        <f t="shared" si="192"/>
        <v>0</v>
      </c>
      <c r="CQ287" s="61">
        <f t="shared" si="192"/>
        <v>0</v>
      </c>
      <c r="CR287" s="61">
        <f t="shared" si="192"/>
        <v>0</v>
      </c>
      <c r="CS287" s="61">
        <f t="shared" si="226"/>
        <v>0</v>
      </c>
      <c r="CT287" s="61">
        <f t="shared" si="227"/>
        <v>0</v>
      </c>
      <c r="CV287" s="61">
        <f t="shared" si="228"/>
        <v>0</v>
      </c>
      <c r="CW287" s="61">
        <f t="shared" si="207"/>
        <v>0</v>
      </c>
      <c r="CX287" s="61"/>
      <c r="CY287" s="61">
        <f t="shared" si="208"/>
        <v>0</v>
      </c>
      <c r="CZ287" s="61">
        <f t="shared" si="220"/>
        <v>0</v>
      </c>
      <c r="DA287" s="61">
        <f t="shared" si="220"/>
        <v>0</v>
      </c>
      <c r="DB287" s="2" t="s">
        <v>85</v>
      </c>
      <c r="DC287" s="2" t="s">
        <v>289</v>
      </c>
      <c r="DD287" s="2" t="s">
        <v>142</v>
      </c>
      <c r="DE287" s="2" t="s">
        <v>181</v>
      </c>
      <c r="DF287" s="3" t="s">
        <v>86</v>
      </c>
      <c r="DG287" s="62">
        <v>42833</v>
      </c>
      <c r="EC287" s="60"/>
      <c r="ED287" s="60"/>
      <c r="EE287" s="60"/>
      <c r="EF287" s="60"/>
    </row>
    <row r="288" spans="2:140" ht="12.75" hidden="1" customHeight="1">
      <c r="B288" s="99" t="s">
        <v>692</v>
      </c>
      <c r="C288" s="22" t="s">
        <v>308</v>
      </c>
      <c r="D288" s="22" t="s">
        <v>309</v>
      </c>
      <c r="E288" s="2" t="str">
        <f>VLOOKUP($C288,[1]Detail!$C:$AK,6,0)</f>
        <v>BIW</v>
      </c>
      <c r="F288" s="2" t="str">
        <f>VLOOKUP($C288,[1]Detail!$C:$AK,7,0)</f>
        <v>PF</v>
      </c>
      <c r="G288" s="2" t="str">
        <f>VLOOKUP($C288,[1]Detail!$C:$AK,5,0)</f>
        <v>B</v>
      </c>
      <c r="J288" s="22" t="s">
        <v>126</v>
      </c>
      <c r="K288" s="23" t="s">
        <v>694</v>
      </c>
      <c r="L288" s="22" t="s">
        <v>100</v>
      </c>
      <c r="M288" s="51" t="str">
        <f t="shared" si="212"/>
        <v>JD8B-F422C30-AA</v>
      </c>
      <c r="O288" s="22">
        <v>1</v>
      </c>
      <c r="P288" s="22">
        <v>1</v>
      </c>
      <c r="Q288" s="22">
        <v>1</v>
      </c>
      <c r="R288" s="22">
        <v>1</v>
      </c>
      <c r="S288" s="22">
        <v>1</v>
      </c>
      <c r="T288" s="22">
        <v>1</v>
      </c>
      <c r="U288" s="22">
        <v>1</v>
      </c>
      <c r="V288" s="22">
        <v>1</v>
      </c>
      <c r="W288" s="64">
        <f t="shared" si="213"/>
        <v>1</v>
      </c>
      <c r="Y288" s="8">
        <v>-30.46</v>
      </c>
      <c r="Z288" s="8">
        <v>-1.57</v>
      </c>
      <c r="AA288" s="8" t="s">
        <v>311</v>
      </c>
      <c r="AB288" s="8">
        <v>0</v>
      </c>
      <c r="AC288" s="8">
        <v>0</v>
      </c>
      <c r="AD288" s="8">
        <f t="shared" si="230"/>
        <v>-32.03</v>
      </c>
      <c r="AE288" s="2" t="s">
        <v>91</v>
      </c>
      <c r="AG288" s="8">
        <v>-612000</v>
      </c>
      <c r="AH288" s="8">
        <v>-612000</v>
      </c>
      <c r="AI288" s="6"/>
      <c r="AJ288" s="70">
        <v>0</v>
      </c>
      <c r="AK288" s="70">
        <v>0</v>
      </c>
      <c r="AL288" s="72">
        <v>0</v>
      </c>
      <c r="AM288" s="22"/>
      <c r="AO288" s="22" t="s">
        <v>126</v>
      </c>
      <c r="AP288" s="23" t="s">
        <v>694</v>
      </c>
      <c r="AQ288" s="22" t="s">
        <v>100</v>
      </c>
      <c r="AR288" s="51" t="str">
        <f t="shared" si="201"/>
        <v>JD8B-F422C30-AA</v>
      </c>
      <c r="AS288" s="3"/>
      <c r="AT288" s="22">
        <v>1</v>
      </c>
      <c r="AU288" s="22">
        <v>1</v>
      </c>
      <c r="AV288" s="22">
        <v>1</v>
      </c>
      <c r="AW288" s="22">
        <v>1</v>
      </c>
      <c r="AX288" s="22">
        <v>1</v>
      </c>
      <c r="AY288" s="22">
        <v>1</v>
      </c>
      <c r="AZ288" s="22">
        <v>1</v>
      </c>
      <c r="BA288" s="22">
        <v>1</v>
      </c>
      <c r="BB288" s="64">
        <f t="shared" si="202"/>
        <v>1</v>
      </c>
      <c r="BD288" s="60">
        <v>-30.46</v>
      </c>
      <c r="BE288" s="60">
        <v>-1.57</v>
      </c>
      <c r="BF288" s="95" t="s">
        <v>311</v>
      </c>
      <c r="BG288" s="95">
        <v>0</v>
      </c>
      <c r="BH288" s="95">
        <v>0</v>
      </c>
      <c r="BI288" s="8">
        <f t="shared" si="206"/>
        <v>-32.03</v>
      </c>
      <c r="BJ288" s="2" t="s">
        <v>91</v>
      </c>
      <c r="BL288" s="70">
        <v>-612000</v>
      </c>
      <c r="BM288" s="70">
        <v>-612000</v>
      </c>
      <c r="BO288" s="70">
        <v>0</v>
      </c>
      <c r="BP288" s="70">
        <v>0</v>
      </c>
      <c r="BQ288" s="72">
        <v>0</v>
      </c>
      <c r="BS288" s="61">
        <f t="shared" si="214"/>
        <v>0</v>
      </c>
      <c r="BT288" s="61">
        <f t="shared" si="215"/>
        <v>0</v>
      </c>
      <c r="BU288" s="61">
        <f t="shared" si="216"/>
        <v>0</v>
      </c>
      <c r="BV288" s="61">
        <f t="shared" si="216"/>
        <v>0</v>
      </c>
      <c r="BW288" s="61">
        <f t="shared" si="216"/>
        <v>0</v>
      </c>
      <c r="BX288" s="61">
        <f t="shared" si="216"/>
        <v>0</v>
      </c>
      <c r="BY288" s="61" t="s">
        <v>91</v>
      </c>
      <c r="CA288" s="61">
        <f t="shared" si="191"/>
        <v>0</v>
      </c>
      <c r="CB288" s="61">
        <f t="shared" ref="CB288:CH351" si="240">($Y288*P288-AU288*$BD288)/$C$2</f>
        <v>0</v>
      </c>
      <c r="CC288" s="61">
        <f t="shared" si="240"/>
        <v>0</v>
      </c>
      <c r="CD288" s="61">
        <f t="shared" si="240"/>
        <v>0</v>
      </c>
      <c r="CE288" s="61">
        <f t="shared" si="240"/>
        <v>0</v>
      </c>
      <c r="CF288" s="61">
        <f t="shared" si="240"/>
        <v>0</v>
      </c>
      <c r="CG288" s="61">
        <f t="shared" si="240"/>
        <v>0</v>
      </c>
      <c r="CH288" s="61">
        <f t="shared" si="240"/>
        <v>0</v>
      </c>
      <c r="CI288" s="61">
        <f t="shared" si="225"/>
        <v>0</v>
      </c>
      <c r="CJ288" s="61"/>
      <c r="CK288" s="61">
        <f t="shared" si="192"/>
        <v>0</v>
      </c>
      <c r="CL288" s="61">
        <f t="shared" ref="CL288:CR351" si="241">(P288*$AD288-AU288*$BI288)/$C$2</f>
        <v>0</v>
      </c>
      <c r="CM288" s="61">
        <f t="shared" si="241"/>
        <v>0</v>
      </c>
      <c r="CN288" s="61">
        <f t="shared" si="241"/>
        <v>0</v>
      </c>
      <c r="CO288" s="61">
        <f t="shared" si="241"/>
        <v>0</v>
      </c>
      <c r="CP288" s="61">
        <f t="shared" si="241"/>
        <v>0</v>
      </c>
      <c r="CQ288" s="61">
        <f t="shared" si="241"/>
        <v>0</v>
      </c>
      <c r="CR288" s="61">
        <f t="shared" si="241"/>
        <v>0</v>
      </c>
      <c r="CS288" s="61">
        <f t="shared" si="226"/>
        <v>0</v>
      </c>
      <c r="CT288" s="61">
        <f t="shared" si="227"/>
        <v>0</v>
      </c>
      <c r="CV288" s="61">
        <f t="shared" si="228"/>
        <v>0</v>
      </c>
      <c r="CW288" s="61">
        <f t="shared" si="207"/>
        <v>0</v>
      </c>
      <c r="CX288" s="61"/>
      <c r="CY288" s="61">
        <f t="shared" si="208"/>
        <v>0</v>
      </c>
      <c r="CZ288" s="61">
        <f t="shared" si="220"/>
        <v>0</v>
      </c>
      <c r="DA288" s="61">
        <f t="shared" si="220"/>
        <v>0</v>
      </c>
      <c r="DB288" s="2" t="s">
        <v>118</v>
      </c>
      <c r="DC288" s="2" t="s">
        <v>289</v>
      </c>
      <c r="DD288" s="2" t="s">
        <v>142</v>
      </c>
      <c r="DE288" s="2" t="s">
        <v>181</v>
      </c>
      <c r="DF288" s="3" t="s">
        <v>86</v>
      </c>
      <c r="DG288" s="62">
        <v>42833</v>
      </c>
      <c r="EC288" s="60" t="str">
        <f>VLOOKUP($M288,[1]Detail!$M:$BO,1,0)</f>
        <v>JD8B-F422C30-AA</v>
      </c>
      <c r="ED288" s="60">
        <f>VLOOKUP($M288,[1]Detail!$M:$BO,22,0)</f>
        <v>-32.03</v>
      </c>
      <c r="EE288" s="60">
        <f>VLOOKUP($M288,[1]Detail!$M:$BO,42,0)</f>
        <v>-612000</v>
      </c>
      <c r="EF288" s="60">
        <f>VLOOKUP($M288,[1]Detail!$M:$BO,45,0)</f>
        <v>0</v>
      </c>
      <c r="EH288" s="60">
        <f>ED288-AD288</f>
        <v>0</v>
      </c>
      <c r="EI288" s="60">
        <f>EE288-AG288</f>
        <v>0</v>
      </c>
      <c r="EJ288" s="60">
        <f t="shared" ref="EJ288:EJ290" si="242">EF288-AJ288</f>
        <v>0</v>
      </c>
    </row>
    <row r="289" spans="2:140" ht="12.75" hidden="1" customHeight="1">
      <c r="B289" s="99" t="s">
        <v>695</v>
      </c>
      <c r="C289" s="22" t="s">
        <v>696</v>
      </c>
      <c r="D289" s="22" t="s">
        <v>697</v>
      </c>
      <c r="E289" s="2" t="str">
        <f>VLOOKUP($C289,[1]Detail!$C:$AK,6,0)</f>
        <v>PMT2</v>
      </c>
      <c r="F289" s="2" t="str">
        <f>VLOOKUP($C289,[1]Detail!$C:$AK,7,0)</f>
        <v>TH</v>
      </c>
      <c r="G289" s="2" t="str">
        <f>VLOOKUP($C289,[1]Detail!$C:$AK,5,0)</f>
        <v>B</v>
      </c>
      <c r="J289" s="22" t="s">
        <v>128</v>
      </c>
      <c r="K289" s="23" t="s">
        <v>698</v>
      </c>
      <c r="L289" s="22" t="s">
        <v>565</v>
      </c>
      <c r="M289" s="51" t="str">
        <f t="shared" si="212"/>
        <v>ED8B-61208-ACW</v>
      </c>
      <c r="O289" s="22">
        <v>1</v>
      </c>
      <c r="P289" s="22">
        <v>1</v>
      </c>
      <c r="Q289" s="22">
        <v>1</v>
      </c>
      <c r="R289" s="22">
        <v>1</v>
      </c>
      <c r="S289" s="22">
        <v>1</v>
      </c>
      <c r="T289" s="22">
        <v>1</v>
      </c>
      <c r="U289" s="22">
        <v>1</v>
      </c>
      <c r="V289" s="22">
        <v>1</v>
      </c>
      <c r="W289" s="64">
        <f t="shared" si="213"/>
        <v>1</v>
      </c>
      <c r="Y289" s="8">
        <v>-32.32</v>
      </c>
      <c r="Z289" s="8">
        <v>-0.15</v>
      </c>
      <c r="AA289" s="8" t="s">
        <v>311</v>
      </c>
      <c r="AB289" s="8">
        <v>0</v>
      </c>
      <c r="AC289" s="8">
        <v>-0.23</v>
      </c>
      <c r="AD289" s="8">
        <f t="shared" si="230"/>
        <v>-32.699999999999996</v>
      </c>
      <c r="AE289" s="2" t="s">
        <v>91</v>
      </c>
      <c r="AG289" s="8">
        <v>0</v>
      </c>
      <c r="AH289" s="8">
        <v>0</v>
      </c>
      <c r="AJ289" s="70" t="s">
        <v>699</v>
      </c>
      <c r="AK289" s="70"/>
      <c r="AL289" s="72">
        <v>0</v>
      </c>
      <c r="AM289" s="22"/>
      <c r="AO289" s="22" t="s">
        <v>128</v>
      </c>
      <c r="AP289" s="23" t="s">
        <v>698</v>
      </c>
      <c r="AQ289" s="22" t="s">
        <v>565</v>
      </c>
      <c r="AR289" s="51" t="str">
        <f t="shared" si="201"/>
        <v>ED8B-61208-ACW</v>
      </c>
      <c r="AS289" s="3"/>
      <c r="AT289" s="22">
        <v>1</v>
      </c>
      <c r="AU289" s="22">
        <v>1</v>
      </c>
      <c r="AV289" s="22">
        <v>1</v>
      </c>
      <c r="AW289" s="22">
        <v>1</v>
      </c>
      <c r="AX289" s="22">
        <v>1</v>
      </c>
      <c r="AY289" s="22">
        <v>1</v>
      </c>
      <c r="AZ289" s="22">
        <v>1</v>
      </c>
      <c r="BA289" s="22">
        <v>1</v>
      </c>
      <c r="BB289" s="64">
        <f t="shared" si="202"/>
        <v>1</v>
      </c>
      <c r="BD289" s="60">
        <v>-32.32</v>
      </c>
      <c r="BE289" s="60">
        <v>-0.15</v>
      </c>
      <c r="BF289" s="95" t="s">
        <v>311</v>
      </c>
      <c r="BG289" s="95">
        <v>0</v>
      </c>
      <c r="BH289" s="95">
        <v>0</v>
      </c>
      <c r="BI289" s="8">
        <f t="shared" si="206"/>
        <v>-32.47</v>
      </c>
      <c r="BJ289" s="2" t="s">
        <v>91</v>
      </c>
      <c r="BL289" s="70">
        <v>0</v>
      </c>
      <c r="BM289" s="70">
        <v>0</v>
      </c>
      <c r="BO289" s="70">
        <v>0</v>
      </c>
      <c r="BP289" s="70">
        <v>0</v>
      </c>
      <c r="BQ289" s="72">
        <v>0</v>
      </c>
      <c r="BS289" s="61">
        <f t="shared" si="214"/>
        <v>0</v>
      </c>
      <c r="BT289" s="61">
        <f t="shared" si="215"/>
        <v>0</v>
      </c>
      <c r="BU289" s="61">
        <f t="shared" si="216"/>
        <v>0</v>
      </c>
      <c r="BV289" s="61">
        <f t="shared" si="216"/>
        <v>0</v>
      </c>
      <c r="BW289" s="61">
        <f t="shared" si="216"/>
        <v>-0.23</v>
      </c>
      <c r="BX289" s="61">
        <f t="shared" si="216"/>
        <v>-0.22999999999999687</v>
      </c>
      <c r="BY289" s="61" t="s">
        <v>91</v>
      </c>
      <c r="CA289" s="61">
        <f t="shared" ref="CA289:CD352" si="243">($Y289*O289-AT289*$BD289)/$C$2</f>
        <v>0</v>
      </c>
      <c r="CB289" s="61">
        <f t="shared" si="240"/>
        <v>0</v>
      </c>
      <c r="CC289" s="61">
        <f t="shared" si="240"/>
        <v>0</v>
      </c>
      <c r="CD289" s="61">
        <f t="shared" si="240"/>
        <v>0</v>
      </c>
      <c r="CE289" s="61">
        <f t="shared" si="240"/>
        <v>0</v>
      </c>
      <c r="CF289" s="61">
        <f t="shared" si="240"/>
        <v>0</v>
      </c>
      <c r="CG289" s="61">
        <f t="shared" si="240"/>
        <v>0</v>
      </c>
      <c r="CH289" s="61">
        <f t="shared" si="240"/>
        <v>0</v>
      </c>
      <c r="CI289" s="61">
        <f t="shared" si="225"/>
        <v>0</v>
      </c>
      <c r="CJ289" s="61"/>
      <c r="CK289" s="61">
        <f t="shared" ref="CK289:CN352" si="244">(O289*$AD289-AT289*$BI289)/$C$2</f>
        <v>-3.4602076124567005E-2</v>
      </c>
      <c r="CL289" s="61">
        <f t="shared" si="241"/>
        <v>-3.4602076124567005E-2</v>
      </c>
      <c r="CM289" s="61">
        <f t="shared" si="241"/>
        <v>-3.4602076124567005E-2</v>
      </c>
      <c r="CN289" s="61">
        <f t="shared" si="241"/>
        <v>-3.4602076124567005E-2</v>
      </c>
      <c r="CO289" s="61">
        <f t="shared" si="241"/>
        <v>-3.4602076124567005E-2</v>
      </c>
      <c r="CP289" s="61">
        <f t="shared" si="241"/>
        <v>-3.4602076124567005E-2</v>
      </c>
      <c r="CQ289" s="61">
        <f t="shared" si="241"/>
        <v>-3.4602076124567005E-2</v>
      </c>
      <c r="CR289" s="61">
        <f t="shared" si="241"/>
        <v>-3.4602076124567005E-2</v>
      </c>
      <c r="CS289" s="61">
        <f t="shared" si="226"/>
        <v>-3.4602076124567012E-2</v>
      </c>
      <c r="CT289" s="61">
        <f t="shared" si="227"/>
        <v>-0.22999999999999693</v>
      </c>
      <c r="CV289" s="61">
        <f t="shared" si="228"/>
        <v>0</v>
      </c>
      <c r="CW289" s="61">
        <f t="shared" si="207"/>
        <v>0</v>
      </c>
      <c r="CX289" s="61"/>
      <c r="CY289" s="61">
        <f t="shared" si="208"/>
        <v>0</v>
      </c>
      <c r="CZ289" s="61">
        <f t="shared" si="220"/>
        <v>0</v>
      </c>
      <c r="DA289" s="61">
        <f t="shared" si="220"/>
        <v>0</v>
      </c>
      <c r="DB289" s="2" t="s">
        <v>102</v>
      </c>
      <c r="DC289" s="2" t="s">
        <v>102</v>
      </c>
      <c r="DD289" s="2" t="s">
        <v>142</v>
      </c>
      <c r="DE289" s="2" t="s">
        <v>181</v>
      </c>
      <c r="DF289" s="3" t="s">
        <v>86</v>
      </c>
      <c r="DG289" s="62">
        <v>42838</v>
      </c>
      <c r="EC289" s="60" t="str">
        <f>VLOOKUP($M289,[1]Detail!$M:$BO,1,0)</f>
        <v>ED8B-61208-ACW</v>
      </c>
      <c r="ED289" s="60">
        <f>VLOOKUP($M289,[1]Detail!$M:$BO,22,0)</f>
        <v>-32.699999999999996</v>
      </c>
      <c r="EE289" s="60">
        <f>VLOOKUP($M289,[1]Detail!$M:$BO,42,0)</f>
        <v>0</v>
      </c>
      <c r="EF289" s="60" t="str">
        <f>VLOOKUP($M289,[1]Detail!$M:$BO,45,0)</f>
        <v>share with 61294</v>
      </c>
      <c r="EH289" s="60">
        <f>ED289-AD289</f>
        <v>0</v>
      </c>
      <c r="EI289" s="60">
        <f>EE289-AG289</f>
        <v>0</v>
      </c>
      <c r="EJ289" s="60" t="e">
        <f t="shared" si="242"/>
        <v>#VALUE!</v>
      </c>
    </row>
    <row r="290" spans="2:140" ht="12.75" hidden="1" customHeight="1">
      <c r="B290" s="99" t="s">
        <v>695</v>
      </c>
      <c r="C290" s="22" t="s">
        <v>696</v>
      </c>
      <c r="D290" s="22" t="s">
        <v>697</v>
      </c>
      <c r="E290" s="2" t="str">
        <f>VLOOKUP($C290,[1]Detail!$C:$AK,6,0)</f>
        <v>PMT2</v>
      </c>
      <c r="F290" s="2" t="str">
        <f>VLOOKUP($C290,[1]Detail!$C:$AK,7,0)</f>
        <v>TH</v>
      </c>
      <c r="G290" s="2" t="str">
        <f>VLOOKUP($C290,[1]Detail!$C:$AK,5,0)</f>
        <v>B</v>
      </c>
      <c r="J290" s="22" t="s">
        <v>128</v>
      </c>
      <c r="K290" s="23" t="s">
        <v>700</v>
      </c>
      <c r="L290" s="22" t="s">
        <v>565</v>
      </c>
      <c r="M290" s="51" t="str">
        <f t="shared" si="212"/>
        <v>ED8B-61209-ACW</v>
      </c>
      <c r="O290" s="22">
        <v>1</v>
      </c>
      <c r="P290" s="22">
        <v>1</v>
      </c>
      <c r="Q290" s="22">
        <v>1</v>
      </c>
      <c r="R290" s="22">
        <v>1</v>
      </c>
      <c r="S290" s="22">
        <v>1</v>
      </c>
      <c r="T290" s="22">
        <v>1</v>
      </c>
      <c r="U290" s="22">
        <v>1</v>
      </c>
      <c r="V290" s="22">
        <v>1</v>
      </c>
      <c r="W290" s="64">
        <f t="shared" si="213"/>
        <v>1</v>
      </c>
      <c r="Y290" s="8">
        <v>-34.369999999999997</v>
      </c>
      <c r="Z290" s="8">
        <v>-0.15</v>
      </c>
      <c r="AA290" s="8" t="s">
        <v>311</v>
      </c>
      <c r="AB290" s="8">
        <v>0</v>
      </c>
      <c r="AC290" s="8">
        <v>-0.23</v>
      </c>
      <c r="AD290" s="8">
        <f t="shared" si="230"/>
        <v>-34.749999999999993</v>
      </c>
      <c r="AE290" s="2" t="s">
        <v>91</v>
      </c>
      <c r="AG290" s="8">
        <v>0</v>
      </c>
      <c r="AH290" s="8">
        <v>0</v>
      </c>
      <c r="AJ290" s="70" t="s">
        <v>699</v>
      </c>
      <c r="AK290" s="70"/>
      <c r="AL290" s="72">
        <v>0</v>
      </c>
      <c r="AM290" s="22"/>
      <c r="AO290" s="22" t="s">
        <v>128</v>
      </c>
      <c r="AP290" s="23" t="s">
        <v>700</v>
      </c>
      <c r="AQ290" s="22" t="s">
        <v>565</v>
      </c>
      <c r="AR290" s="51" t="str">
        <f t="shared" si="201"/>
        <v>ED8B-61209-ACW</v>
      </c>
      <c r="AS290" s="3"/>
      <c r="AT290" s="22">
        <v>1</v>
      </c>
      <c r="AU290" s="22">
        <v>1</v>
      </c>
      <c r="AV290" s="22">
        <v>1</v>
      </c>
      <c r="AW290" s="22">
        <v>1</v>
      </c>
      <c r="AX290" s="22">
        <v>1</v>
      </c>
      <c r="AY290" s="22">
        <v>1</v>
      </c>
      <c r="AZ290" s="22">
        <v>1</v>
      </c>
      <c r="BA290" s="22">
        <v>1</v>
      </c>
      <c r="BB290" s="64">
        <f t="shared" si="202"/>
        <v>1</v>
      </c>
      <c r="BD290" s="60">
        <v>-34.369999999999997</v>
      </c>
      <c r="BE290" s="60">
        <v>-0.15</v>
      </c>
      <c r="BF290" s="95" t="s">
        <v>311</v>
      </c>
      <c r="BG290" s="95">
        <v>0</v>
      </c>
      <c r="BH290" s="95">
        <v>0</v>
      </c>
      <c r="BI290" s="8">
        <f t="shared" si="206"/>
        <v>-34.519999999999996</v>
      </c>
      <c r="BJ290" s="2" t="s">
        <v>91</v>
      </c>
      <c r="BL290" s="70">
        <v>0</v>
      </c>
      <c r="BM290" s="70">
        <v>0</v>
      </c>
      <c r="BO290" s="70">
        <v>0</v>
      </c>
      <c r="BP290" s="70">
        <v>0</v>
      </c>
      <c r="BQ290" s="72">
        <v>0</v>
      </c>
      <c r="BS290" s="61">
        <f t="shared" si="214"/>
        <v>0</v>
      </c>
      <c r="BT290" s="61">
        <f t="shared" si="215"/>
        <v>0</v>
      </c>
      <c r="BU290" s="61">
        <f t="shared" si="216"/>
        <v>0</v>
      </c>
      <c r="BV290" s="61">
        <f t="shared" si="216"/>
        <v>0</v>
      </c>
      <c r="BW290" s="61">
        <f t="shared" si="216"/>
        <v>-0.23</v>
      </c>
      <c r="BX290" s="61">
        <f t="shared" si="216"/>
        <v>-0.22999999999999687</v>
      </c>
      <c r="BY290" s="61" t="s">
        <v>91</v>
      </c>
      <c r="CA290" s="61">
        <f t="shared" si="243"/>
        <v>0</v>
      </c>
      <c r="CB290" s="61">
        <f t="shared" si="240"/>
        <v>0</v>
      </c>
      <c r="CC290" s="61">
        <f t="shared" si="240"/>
        <v>0</v>
      </c>
      <c r="CD290" s="61">
        <f t="shared" si="240"/>
        <v>0</v>
      </c>
      <c r="CE290" s="61">
        <f t="shared" si="240"/>
        <v>0</v>
      </c>
      <c r="CF290" s="61">
        <f t="shared" si="240"/>
        <v>0</v>
      </c>
      <c r="CG290" s="61">
        <f t="shared" si="240"/>
        <v>0</v>
      </c>
      <c r="CH290" s="61">
        <f t="shared" si="240"/>
        <v>0</v>
      </c>
      <c r="CI290" s="61">
        <f t="shared" si="225"/>
        <v>0</v>
      </c>
      <c r="CJ290" s="61"/>
      <c r="CK290" s="61">
        <f t="shared" si="244"/>
        <v>-3.4602076124567005E-2</v>
      </c>
      <c r="CL290" s="61">
        <f t="shared" si="241"/>
        <v>-3.4602076124567005E-2</v>
      </c>
      <c r="CM290" s="61">
        <f t="shared" si="241"/>
        <v>-3.4602076124567005E-2</v>
      </c>
      <c r="CN290" s="61">
        <f t="shared" si="241"/>
        <v>-3.4602076124567005E-2</v>
      </c>
      <c r="CO290" s="61">
        <f t="shared" si="241"/>
        <v>-3.4602076124567005E-2</v>
      </c>
      <c r="CP290" s="61">
        <f t="shared" si="241"/>
        <v>-3.4602076124567005E-2</v>
      </c>
      <c r="CQ290" s="61">
        <f t="shared" si="241"/>
        <v>-3.4602076124567005E-2</v>
      </c>
      <c r="CR290" s="61">
        <f t="shared" si="241"/>
        <v>-3.4602076124567005E-2</v>
      </c>
      <c r="CS290" s="61">
        <f t="shared" si="226"/>
        <v>-3.4602076124567012E-2</v>
      </c>
      <c r="CT290" s="61">
        <f t="shared" si="227"/>
        <v>-0.22999999999999693</v>
      </c>
      <c r="CV290" s="61">
        <f t="shared" si="228"/>
        <v>0</v>
      </c>
      <c r="CW290" s="61">
        <f t="shared" si="207"/>
        <v>0</v>
      </c>
      <c r="CX290" s="61"/>
      <c r="CY290" s="61">
        <f t="shared" si="208"/>
        <v>0</v>
      </c>
      <c r="CZ290" s="61">
        <f t="shared" si="220"/>
        <v>0</v>
      </c>
      <c r="DA290" s="61">
        <f t="shared" si="220"/>
        <v>0</v>
      </c>
      <c r="DB290" s="2" t="s">
        <v>102</v>
      </c>
      <c r="DC290" s="2" t="s">
        <v>102</v>
      </c>
      <c r="DD290" s="2" t="s">
        <v>142</v>
      </c>
      <c r="DE290" s="2" t="s">
        <v>181</v>
      </c>
      <c r="DF290" s="3" t="s">
        <v>102</v>
      </c>
      <c r="DG290" s="62">
        <v>42838</v>
      </c>
      <c r="EC290" s="60" t="str">
        <f>VLOOKUP($M290,[1]Detail!$M:$BO,1,0)</f>
        <v>ED8B-61209-ACW</v>
      </c>
      <c r="ED290" s="60">
        <f>VLOOKUP($M290,[1]Detail!$M:$BO,22,0)</f>
        <v>-34.749999999999993</v>
      </c>
      <c r="EE290" s="60">
        <f>VLOOKUP($M290,[1]Detail!$M:$BO,42,0)</f>
        <v>0</v>
      </c>
      <c r="EF290" s="60" t="str">
        <f>VLOOKUP($M290,[1]Detail!$M:$BO,45,0)</f>
        <v>share with 61294</v>
      </c>
      <c r="EH290" s="60">
        <f>ED290-AD290</f>
        <v>0</v>
      </c>
      <c r="EI290" s="60">
        <f>EE290-AG290</f>
        <v>0</v>
      </c>
      <c r="EJ290" s="60" t="e">
        <f t="shared" si="242"/>
        <v>#VALUE!</v>
      </c>
    </row>
    <row r="291" spans="2:140" ht="12.75" hidden="1" customHeight="1">
      <c r="B291" s="99" t="s">
        <v>695</v>
      </c>
      <c r="C291" s="22" t="s">
        <v>696</v>
      </c>
      <c r="D291" s="22" t="s">
        <v>697</v>
      </c>
      <c r="E291" s="2" t="str">
        <f>VLOOKUP($C291,[1]Detail!$C:$AK,6,0)</f>
        <v>PMT2</v>
      </c>
      <c r="F291" s="2" t="str">
        <f>VLOOKUP($C291,[1]Detail!$C:$AK,7,0)</f>
        <v>TH</v>
      </c>
      <c r="G291" s="2" t="str">
        <f>VLOOKUP($C291,[1]Detail!$C:$AK,5,0)</f>
        <v>B</v>
      </c>
      <c r="J291" s="22" t="s">
        <v>128</v>
      </c>
      <c r="K291" s="23" t="s">
        <v>701</v>
      </c>
      <c r="L291" s="22" t="s">
        <v>93</v>
      </c>
      <c r="M291" s="51" t="str">
        <f t="shared" si="212"/>
        <v>ED8B-61294-ABW</v>
      </c>
      <c r="O291" s="22">
        <v>1</v>
      </c>
      <c r="P291" s="22">
        <v>1</v>
      </c>
      <c r="Q291" s="22">
        <v>1</v>
      </c>
      <c r="R291" s="22">
        <v>1</v>
      </c>
      <c r="S291" s="22">
        <v>1</v>
      </c>
      <c r="T291" s="22">
        <v>1</v>
      </c>
      <c r="U291" s="22">
        <v>1</v>
      </c>
      <c r="V291" s="22">
        <v>1</v>
      </c>
      <c r="W291" s="64">
        <f t="shared" si="213"/>
        <v>1</v>
      </c>
      <c r="Y291" s="8">
        <v>-105.31</v>
      </c>
      <c r="Z291" s="8">
        <v>-1.01</v>
      </c>
      <c r="AA291" s="8" t="s">
        <v>311</v>
      </c>
      <c r="AB291" s="8">
        <v>-0.56000000000000005</v>
      </c>
      <c r="AC291" s="8">
        <v>-0.23</v>
      </c>
      <c r="AD291" s="8">
        <f t="shared" si="230"/>
        <v>-107.11000000000001</v>
      </c>
      <c r="AE291" s="2" t="s">
        <v>91</v>
      </c>
      <c r="AG291" s="8">
        <v>0</v>
      </c>
      <c r="AH291" s="8">
        <v>0</v>
      </c>
      <c r="AJ291" s="70">
        <v>-529998</v>
      </c>
      <c r="AK291" s="70">
        <v>2299556</v>
      </c>
      <c r="AL291" s="72">
        <v>0</v>
      </c>
      <c r="AM291" s="22"/>
      <c r="AO291" s="22" t="s">
        <v>128</v>
      </c>
      <c r="AP291" s="23" t="s">
        <v>701</v>
      </c>
      <c r="AQ291" s="22" t="s">
        <v>93</v>
      </c>
      <c r="AR291" s="51" t="str">
        <f t="shared" si="201"/>
        <v>ED8B-61294-ABW</v>
      </c>
      <c r="AS291" s="3"/>
      <c r="AT291" s="22">
        <v>1</v>
      </c>
      <c r="AU291" s="22">
        <v>1</v>
      </c>
      <c r="AV291" s="22">
        <v>1</v>
      </c>
      <c r="AW291" s="22">
        <v>1</v>
      </c>
      <c r="AX291" s="22">
        <v>1</v>
      </c>
      <c r="AY291" s="22">
        <v>1</v>
      </c>
      <c r="AZ291" s="22">
        <v>1</v>
      </c>
      <c r="BA291" s="22">
        <v>1</v>
      </c>
      <c r="BB291" s="64">
        <f t="shared" si="202"/>
        <v>1</v>
      </c>
      <c r="BD291" s="60">
        <v>-105.31</v>
      </c>
      <c r="BE291" s="60">
        <v>-1.01</v>
      </c>
      <c r="BF291" s="95" t="s">
        <v>311</v>
      </c>
      <c r="BG291" s="95">
        <v>-0.56000000000000005</v>
      </c>
      <c r="BH291" s="95">
        <v>0</v>
      </c>
      <c r="BI291" s="8">
        <f t="shared" si="206"/>
        <v>-106.88000000000001</v>
      </c>
      <c r="BJ291" s="2" t="s">
        <v>91</v>
      </c>
      <c r="BL291" s="70">
        <v>0</v>
      </c>
      <c r="BM291" s="70">
        <v>0</v>
      </c>
      <c r="BO291" s="70">
        <v>0</v>
      </c>
      <c r="BP291" s="70">
        <v>0</v>
      </c>
      <c r="BQ291" s="72">
        <v>0</v>
      </c>
      <c r="BS291" s="61">
        <f t="shared" si="214"/>
        <v>0</v>
      </c>
      <c r="BT291" s="61">
        <f t="shared" si="215"/>
        <v>0</v>
      </c>
      <c r="BU291" s="61">
        <f t="shared" si="216"/>
        <v>0</v>
      </c>
      <c r="BV291" s="61">
        <f t="shared" si="216"/>
        <v>0</v>
      </c>
      <c r="BW291" s="61">
        <f t="shared" si="216"/>
        <v>-0.23</v>
      </c>
      <c r="BX291" s="61">
        <f t="shared" si="216"/>
        <v>-0.23000000000000398</v>
      </c>
      <c r="BY291" s="61" t="s">
        <v>91</v>
      </c>
      <c r="CA291" s="61">
        <f t="shared" si="243"/>
        <v>0</v>
      </c>
      <c r="CB291" s="61">
        <f t="shared" si="240"/>
        <v>0</v>
      </c>
      <c r="CC291" s="61">
        <f t="shared" si="240"/>
        <v>0</v>
      </c>
      <c r="CD291" s="61">
        <f t="shared" si="240"/>
        <v>0</v>
      </c>
      <c r="CE291" s="61">
        <f t="shared" si="240"/>
        <v>0</v>
      </c>
      <c r="CF291" s="61">
        <f t="shared" si="240"/>
        <v>0</v>
      </c>
      <c r="CG291" s="61">
        <f t="shared" si="240"/>
        <v>0</v>
      </c>
      <c r="CH291" s="61">
        <f t="shared" si="240"/>
        <v>0</v>
      </c>
      <c r="CI291" s="61">
        <f t="shared" si="225"/>
        <v>0</v>
      </c>
      <c r="CJ291" s="61"/>
      <c r="CK291" s="61">
        <f t="shared" si="244"/>
        <v>-3.4602076124568074E-2</v>
      </c>
      <c r="CL291" s="61">
        <f t="shared" si="241"/>
        <v>-3.4602076124568074E-2</v>
      </c>
      <c r="CM291" s="61">
        <f t="shared" si="241"/>
        <v>-3.4602076124568074E-2</v>
      </c>
      <c r="CN291" s="61">
        <f t="shared" si="241"/>
        <v>-3.4602076124568074E-2</v>
      </c>
      <c r="CO291" s="61">
        <f t="shared" si="241"/>
        <v>-3.4602076124568074E-2</v>
      </c>
      <c r="CP291" s="61">
        <f t="shared" si="241"/>
        <v>-3.4602076124568074E-2</v>
      </c>
      <c r="CQ291" s="61">
        <f t="shared" si="241"/>
        <v>-3.4602076124568074E-2</v>
      </c>
      <c r="CR291" s="61">
        <f t="shared" si="241"/>
        <v>-3.4602076124568074E-2</v>
      </c>
      <c r="CS291" s="61">
        <f t="shared" si="226"/>
        <v>-3.4602076124568074E-2</v>
      </c>
      <c r="CT291" s="61">
        <f t="shared" si="227"/>
        <v>-0.23000000000000401</v>
      </c>
      <c r="CV291" s="61">
        <f t="shared" si="228"/>
        <v>0</v>
      </c>
      <c r="CW291" s="61">
        <f t="shared" si="207"/>
        <v>0</v>
      </c>
      <c r="CX291" s="61"/>
      <c r="CY291" s="61">
        <f t="shared" si="208"/>
        <v>-529998</v>
      </c>
      <c r="CZ291" s="61">
        <f t="shared" si="220"/>
        <v>2299556</v>
      </c>
      <c r="DA291" s="61">
        <f t="shared" si="220"/>
        <v>0</v>
      </c>
      <c r="DB291" s="2" t="s">
        <v>85</v>
      </c>
      <c r="DC291" s="2" t="s">
        <v>102</v>
      </c>
      <c r="DD291" s="2" t="s">
        <v>142</v>
      </c>
      <c r="DE291" s="2" t="s">
        <v>181</v>
      </c>
      <c r="DF291" s="3" t="s">
        <v>102</v>
      </c>
      <c r="DG291" s="62">
        <v>42838</v>
      </c>
      <c r="EC291" s="60"/>
      <c r="ED291" s="60"/>
      <c r="EE291" s="60"/>
      <c r="EF291" s="60"/>
    </row>
    <row r="292" spans="2:140" ht="12.75" hidden="1" customHeight="1">
      <c r="B292" s="99" t="s">
        <v>695</v>
      </c>
      <c r="C292" s="22" t="s">
        <v>696</v>
      </c>
      <c r="D292" s="22" t="s">
        <v>697</v>
      </c>
      <c r="E292" s="2" t="str">
        <f>VLOOKUP($C292,[1]Detail!$C:$AK,6,0)</f>
        <v>PMT2</v>
      </c>
      <c r="F292" s="2" t="str">
        <f>VLOOKUP($C292,[1]Detail!$C:$AK,7,0)</f>
        <v>TH</v>
      </c>
      <c r="G292" s="2" t="str">
        <f>VLOOKUP($C292,[1]Detail!$C:$AK,5,0)</f>
        <v>B</v>
      </c>
      <c r="J292" s="22" t="s">
        <v>128</v>
      </c>
      <c r="K292" s="23" t="s">
        <v>702</v>
      </c>
      <c r="L292" s="22" t="s">
        <v>93</v>
      </c>
      <c r="M292" s="51" t="str">
        <f t="shared" si="212"/>
        <v>ED8B-61295-ABW</v>
      </c>
      <c r="O292" s="22">
        <v>1</v>
      </c>
      <c r="P292" s="22">
        <v>1</v>
      </c>
      <c r="Q292" s="22">
        <v>1</v>
      </c>
      <c r="R292" s="22">
        <v>1</v>
      </c>
      <c r="S292" s="22">
        <v>1</v>
      </c>
      <c r="T292" s="22">
        <v>1</v>
      </c>
      <c r="U292" s="22">
        <v>1</v>
      </c>
      <c r="V292" s="22">
        <v>1</v>
      </c>
      <c r="W292" s="64">
        <f t="shared" si="213"/>
        <v>1</v>
      </c>
      <c r="Y292" s="8">
        <v>-105.31</v>
      </c>
      <c r="Z292" s="8">
        <v>-1.01</v>
      </c>
      <c r="AA292" s="8" t="s">
        <v>311</v>
      </c>
      <c r="AB292" s="8">
        <v>-0.56000000000000005</v>
      </c>
      <c r="AC292" s="8">
        <v>-0.23</v>
      </c>
      <c r="AD292" s="8">
        <f t="shared" si="230"/>
        <v>-107.11000000000001</v>
      </c>
      <c r="AE292" s="2" t="s">
        <v>91</v>
      </c>
      <c r="AG292" s="8">
        <v>0</v>
      </c>
      <c r="AH292" s="8">
        <v>0</v>
      </c>
      <c r="AJ292" s="70" t="s">
        <v>699</v>
      </c>
      <c r="AK292" s="70"/>
      <c r="AL292" s="72">
        <v>0</v>
      </c>
      <c r="AM292" s="22"/>
      <c r="AO292" s="22" t="s">
        <v>128</v>
      </c>
      <c r="AP292" s="23" t="s">
        <v>702</v>
      </c>
      <c r="AQ292" s="22" t="s">
        <v>93</v>
      </c>
      <c r="AR292" s="51" t="str">
        <f t="shared" si="201"/>
        <v>ED8B-61295-ABW</v>
      </c>
      <c r="AS292" s="3"/>
      <c r="AT292" s="22">
        <v>1</v>
      </c>
      <c r="AU292" s="22">
        <v>1</v>
      </c>
      <c r="AV292" s="22">
        <v>1</v>
      </c>
      <c r="AW292" s="22">
        <v>1</v>
      </c>
      <c r="AX292" s="22">
        <v>1</v>
      </c>
      <c r="AY292" s="22">
        <v>1</v>
      </c>
      <c r="AZ292" s="22">
        <v>1</v>
      </c>
      <c r="BA292" s="22">
        <v>1</v>
      </c>
      <c r="BB292" s="64">
        <f t="shared" si="202"/>
        <v>1</v>
      </c>
      <c r="BD292" s="60">
        <v>-105.31</v>
      </c>
      <c r="BE292" s="60">
        <v>-1.01</v>
      </c>
      <c r="BF292" s="95" t="s">
        <v>311</v>
      </c>
      <c r="BG292" s="95">
        <v>-0.56000000000000005</v>
      </c>
      <c r="BH292" s="95">
        <v>0</v>
      </c>
      <c r="BI292" s="8">
        <f t="shared" si="206"/>
        <v>-106.88000000000001</v>
      </c>
      <c r="BJ292" s="2" t="s">
        <v>91</v>
      </c>
      <c r="BL292" s="70">
        <v>0</v>
      </c>
      <c r="BM292" s="70">
        <v>0</v>
      </c>
      <c r="BO292" s="70">
        <v>0</v>
      </c>
      <c r="BP292" s="70">
        <v>0</v>
      </c>
      <c r="BQ292" s="72">
        <v>0</v>
      </c>
      <c r="BS292" s="61">
        <f t="shared" si="214"/>
        <v>0</v>
      </c>
      <c r="BT292" s="61">
        <f t="shared" si="215"/>
        <v>0</v>
      </c>
      <c r="BU292" s="61">
        <f t="shared" si="216"/>
        <v>0</v>
      </c>
      <c r="BV292" s="61">
        <f t="shared" si="216"/>
        <v>0</v>
      </c>
      <c r="BW292" s="61">
        <f t="shared" si="216"/>
        <v>-0.23</v>
      </c>
      <c r="BX292" s="61">
        <f t="shared" si="216"/>
        <v>-0.23000000000000398</v>
      </c>
      <c r="BY292" s="61" t="s">
        <v>91</v>
      </c>
      <c r="CA292" s="61">
        <f t="shared" si="243"/>
        <v>0</v>
      </c>
      <c r="CB292" s="61">
        <f t="shared" si="240"/>
        <v>0</v>
      </c>
      <c r="CC292" s="61">
        <f t="shared" si="240"/>
        <v>0</v>
      </c>
      <c r="CD292" s="61">
        <f t="shared" si="240"/>
        <v>0</v>
      </c>
      <c r="CE292" s="61">
        <f t="shared" si="240"/>
        <v>0</v>
      </c>
      <c r="CF292" s="61">
        <f t="shared" si="240"/>
        <v>0</v>
      </c>
      <c r="CG292" s="61">
        <f t="shared" si="240"/>
        <v>0</v>
      </c>
      <c r="CH292" s="61">
        <f t="shared" si="240"/>
        <v>0</v>
      </c>
      <c r="CI292" s="61">
        <f t="shared" si="225"/>
        <v>0</v>
      </c>
      <c r="CJ292" s="61"/>
      <c r="CK292" s="61">
        <f t="shared" si="244"/>
        <v>-3.4602076124568074E-2</v>
      </c>
      <c r="CL292" s="61">
        <f t="shared" si="241"/>
        <v>-3.4602076124568074E-2</v>
      </c>
      <c r="CM292" s="61">
        <f t="shared" si="241"/>
        <v>-3.4602076124568074E-2</v>
      </c>
      <c r="CN292" s="61">
        <f t="shared" si="241"/>
        <v>-3.4602076124568074E-2</v>
      </c>
      <c r="CO292" s="61">
        <f t="shared" si="241"/>
        <v>-3.4602076124568074E-2</v>
      </c>
      <c r="CP292" s="61">
        <f t="shared" si="241"/>
        <v>-3.4602076124568074E-2</v>
      </c>
      <c r="CQ292" s="61">
        <f t="shared" si="241"/>
        <v>-3.4602076124568074E-2</v>
      </c>
      <c r="CR292" s="61">
        <f t="shared" si="241"/>
        <v>-3.4602076124568074E-2</v>
      </c>
      <c r="CS292" s="61">
        <f t="shared" si="226"/>
        <v>-3.4602076124568074E-2</v>
      </c>
      <c r="CT292" s="61">
        <f t="shared" si="227"/>
        <v>-0.23000000000000401</v>
      </c>
      <c r="CV292" s="61">
        <f t="shared" si="228"/>
        <v>0</v>
      </c>
      <c r="CW292" s="61">
        <f t="shared" si="207"/>
        <v>0</v>
      </c>
      <c r="CX292" s="61"/>
      <c r="CY292" s="61">
        <f t="shared" si="208"/>
        <v>0</v>
      </c>
      <c r="CZ292" s="61">
        <f t="shared" si="220"/>
        <v>0</v>
      </c>
      <c r="DA292" s="61">
        <f t="shared" si="220"/>
        <v>0</v>
      </c>
      <c r="DB292" s="2" t="s">
        <v>85</v>
      </c>
      <c r="DC292" s="2" t="s">
        <v>102</v>
      </c>
      <c r="DD292" s="2" t="s">
        <v>142</v>
      </c>
      <c r="DE292" s="2" t="s">
        <v>181</v>
      </c>
      <c r="DF292" s="3" t="s">
        <v>102</v>
      </c>
      <c r="DG292" s="62">
        <v>42838</v>
      </c>
      <c r="EC292" s="60"/>
      <c r="ED292" s="60"/>
      <c r="EE292" s="60"/>
      <c r="EF292" s="60"/>
    </row>
    <row r="293" spans="2:140" ht="12.75" hidden="1" customHeight="1">
      <c r="B293" s="99" t="s">
        <v>703</v>
      </c>
      <c r="C293" s="22" t="s">
        <v>696</v>
      </c>
      <c r="D293" s="22" t="s">
        <v>697</v>
      </c>
      <c r="E293" s="2" t="str">
        <f>VLOOKUP($C293,[1]Detail!$C:$AK,6,0)</f>
        <v>PMT2</v>
      </c>
      <c r="F293" s="2" t="str">
        <f>VLOOKUP($C293,[1]Detail!$C:$AK,7,0)</f>
        <v>TH</v>
      </c>
      <c r="G293" s="2" t="str">
        <f>VLOOKUP($C293,[1]Detail!$C:$AK,5,0)</f>
        <v>B</v>
      </c>
      <c r="J293" s="22" t="s">
        <v>128</v>
      </c>
      <c r="K293" s="23" t="s">
        <v>701</v>
      </c>
      <c r="L293" s="22" t="s">
        <v>93</v>
      </c>
      <c r="M293" s="51" t="str">
        <f t="shared" si="212"/>
        <v>ED8B-61294-ABW</v>
      </c>
      <c r="O293" s="22">
        <v>1</v>
      </c>
      <c r="P293" s="22">
        <v>1</v>
      </c>
      <c r="Q293" s="22">
        <v>1</v>
      </c>
      <c r="R293" s="22">
        <v>1</v>
      </c>
      <c r="S293" s="22">
        <v>1</v>
      </c>
      <c r="T293" s="22">
        <v>1</v>
      </c>
      <c r="U293" s="22">
        <v>1</v>
      </c>
      <c r="V293" s="22">
        <v>1</v>
      </c>
      <c r="W293" s="64">
        <f t="shared" si="213"/>
        <v>1</v>
      </c>
      <c r="Y293" s="8">
        <v>-103.2</v>
      </c>
      <c r="Z293" s="8">
        <v>-1.01</v>
      </c>
      <c r="AA293" s="8" t="s">
        <v>311</v>
      </c>
      <c r="AB293" s="8">
        <v>-0.56000000000000005</v>
      </c>
      <c r="AC293" s="8">
        <v>-0.23</v>
      </c>
      <c r="AD293" s="8">
        <f t="shared" si="230"/>
        <v>-105.00000000000001</v>
      </c>
      <c r="AE293" s="2" t="s">
        <v>91</v>
      </c>
      <c r="AG293" s="8">
        <v>0</v>
      </c>
      <c r="AH293" s="8">
        <v>0</v>
      </c>
      <c r="AJ293" s="70">
        <v>-529998</v>
      </c>
      <c r="AK293" s="70">
        <v>2299556</v>
      </c>
      <c r="AL293" s="72">
        <v>0</v>
      </c>
      <c r="AM293" s="22"/>
      <c r="AO293" s="22" t="s">
        <v>128</v>
      </c>
      <c r="AP293" s="23" t="s">
        <v>701</v>
      </c>
      <c r="AQ293" s="22" t="s">
        <v>93</v>
      </c>
      <c r="AR293" s="51" t="str">
        <f t="shared" si="201"/>
        <v>ED8B-61294-ABW</v>
      </c>
      <c r="AS293" s="3"/>
      <c r="AT293" s="22">
        <v>1</v>
      </c>
      <c r="AU293" s="22">
        <v>1</v>
      </c>
      <c r="AV293" s="22">
        <v>1</v>
      </c>
      <c r="AW293" s="22">
        <v>1</v>
      </c>
      <c r="AX293" s="22">
        <v>1</v>
      </c>
      <c r="AY293" s="22">
        <v>1</v>
      </c>
      <c r="AZ293" s="22">
        <v>1</v>
      </c>
      <c r="BA293" s="22">
        <v>1</v>
      </c>
      <c r="BB293" s="64">
        <f t="shared" si="202"/>
        <v>1</v>
      </c>
      <c r="BD293" s="8">
        <v>-105.31</v>
      </c>
      <c r="BE293" s="8">
        <v>-1.01</v>
      </c>
      <c r="BF293" s="8" t="s">
        <v>311</v>
      </c>
      <c r="BG293" s="8">
        <v>-0.56000000000000005</v>
      </c>
      <c r="BH293" s="8">
        <v>-0.23</v>
      </c>
      <c r="BI293" s="8">
        <f t="shared" si="206"/>
        <v>-107.11000000000001</v>
      </c>
      <c r="BJ293" s="2" t="s">
        <v>91</v>
      </c>
      <c r="BL293" s="70">
        <v>0</v>
      </c>
      <c r="BM293" s="70">
        <v>0</v>
      </c>
      <c r="BO293" s="70">
        <v>0</v>
      </c>
      <c r="BP293" s="70">
        <v>0</v>
      </c>
      <c r="BQ293" s="72">
        <v>0</v>
      </c>
      <c r="BS293" s="61">
        <f t="shared" si="214"/>
        <v>2.1099999999999994</v>
      </c>
      <c r="BT293" s="61">
        <f t="shared" si="215"/>
        <v>0</v>
      </c>
      <c r="BU293" s="61">
        <f t="shared" si="216"/>
        <v>0</v>
      </c>
      <c r="BV293" s="61">
        <f t="shared" si="216"/>
        <v>0</v>
      </c>
      <c r="BW293" s="61">
        <f t="shared" si="216"/>
        <v>0</v>
      </c>
      <c r="BX293" s="61">
        <f t="shared" si="216"/>
        <v>2.1099999999999994</v>
      </c>
      <c r="BY293" s="61" t="s">
        <v>91</v>
      </c>
      <c r="CA293" s="61">
        <f t="shared" si="243"/>
        <v>0.31743643749059719</v>
      </c>
      <c r="CB293" s="61">
        <f t="shared" si="240"/>
        <v>0.31743643749059719</v>
      </c>
      <c r="CC293" s="61">
        <f t="shared" si="240"/>
        <v>0.31743643749059719</v>
      </c>
      <c r="CD293" s="61">
        <f t="shared" si="240"/>
        <v>0.31743643749059719</v>
      </c>
      <c r="CE293" s="61">
        <f t="shared" si="240"/>
        <v>0.31743643749059719</v>
      </c>
      <c r="CF293" s="61">
        <f t="shared" si="240"/>
        <v>0.31743643749059719</v>
      </c>
      <c r="CG293" s="61">
        <f t="shared" si="240"/>
        <v>0.31743643749059719</v>
      </c>
      <c r="CH293" s="61">
        <f t="shared" si="240"/>
        <v>0.31743643749059719</v>
      </c>
      <c r="CI293" s="61">
        <f t="shared" si="225"/>
        <v>0.31743643749059713</v>
      </c>
      <c r="CJ293" s="61"/>
      <c r="CK293" s="61">
        <f t="shared" si="244"/>
        <v>0.31743643749059719</v>
      </c>
      <c r="CL293" s="61">
        <f t="shared" si="241"/>
        <v>0.31743643749059719</v>
      </c>
      <c r="CM293" s="61">
        <f t="shared" si="241"/>
        <v>0.31743643749059719</v>
      </c>
      <c r="CN293" s="61">
        <f t="shared" si="241"/>
        <v>0.31743643749059719</v>
      </c>
      <c r="CO293" s="61">
        <f t="shared" si="241"/>
        <v>0.31743643749059719</v>
      </c>
      <c r="CP293" s="61">
        <f t="shared" si="241"/>
        <v>0.31743643749059719</v>
      </c>
      <c r="CQ293" s="61">
        <f t="shared" si="241"/>
        <v>0.31743643749059719</v>
      </c>
      <c r="CR293" s="61">
        <f t="shared" si="241"/>
        <v>0.31743643749059719</v>
      </c>
      <c r="CS293" s="61">
        <f t="shared" si="226"/>
        <v>0.31743643749059713</v>
      </c>
      <c r="CT293" s="61">
        <f t="shared" si="227"/>
        <v>2.1099999999999994</v>
      </c>
      <c r="CV293" s="61">
        <f t="shared" si="228"/>
        <v>0</v>
      </c>
      <c r="CW293" s="61">
        <f t="shared" ref="CW293:CW294" si="245">SUM(AH293)-SUM(BM293)</f>
        <v>0</v>
      </c>
      <c r="CX293" s="61"/>
      <c r="CY293" s="61">
        <f t="shared" ref="CY293:CY294" si="246">SUM(AJ293)-SUM(BO293)</f>
        <v>-529998</v>
      </c>
      <c r="CZ293" s="61">
        <f t="shared" si="220"/>
        <v>2299556</v>
      </c>
      <c r="DA293" s="61">
        <f t="shared" si="220"/>
        <v>0</v>
      </c>
      <c r="DB293" s="2" t="s">
        <v>85</v>
      </c>
      <c r="DC293" s="2" t="s">
        <v>85</v>
      </c>
      <c r="DD293" s="2" t="s">
        <v>142</v>
      </c>
      <c r="DE293" s="2" t="s">
        <v>106</v>
      </c>
      <c r="DG293" s="62"/>
      <c r="DZ293" s="3" t="e">
        <v>#N/A</v>
      </c>
      <c r="EC293" s="60"/>
      <c r="ED293" s="60"/>
      <c r="EE293" s="60"/>
      <c r="EF293" s="60"/>
    </row>
    <row r="294" spans="2:140" ht="12.75" hidden="1" customHeight="1">
      <c r="B294" s="99" t="s">
        <v>703</v>
      </c>
      <c r="C294" s="22" t="s">
        <v>696</v>
      </c>
      <c r="D294" s="22" t="s">
        <v>697</v>
      </c>
      <c r="E294" s="2" t="str">
        <f>VLOOKUP($C294,[1]Detail!$C:$AK,6,0)</f>
        <v>PMT2</v>
      </c>
      <c r="F294" s="2" t="str">
        <f>VLOOKUP($C294,[1]Detail!$C:$AK,7,0)</f>
        <v>TH</v>
      </c>
      <c r="G294" s="2" t="str">
        <f>VLOOKUP($C294,[1]Detail!$C:$AK,5,0)</f>
        <v>B</v>
      </c>
      <c r="J294" s="22" t="s">
        <v>128</v>
      </c>
      <c r="K294" s="23" t="s">
        <v>702</v>
      </c>
      <c r="L294" s="22" t="s">
        <v>93</v>
      </c>
      <c r="M294" s="51" t="str">
        <f t="shared" si="212"/>
        <v>ED8B-61295-ABW</v>
      </c>
      <c r="O294" s="22">
        <v>1</v>
      </c>
      <c r="P294" s="22">
        <v>1</v>
      </c>
      <c r="Q294" s="22">
        <v>1</v>
      </c>
      <c r="R294" s="22">
        <v>1</v>
      </c>
      <c r="S294" s="22">
        <v>1</v>
      </c>
      <c r="T294" s="22">
        <v>1</v>
      </c>
      <c r="U294" s="22">
        <v>1</v>
      </c>
      <c r="V294" s="22">
        <v>1</v>
      </c>
      <c r="W294" s="64">
        <f t="shared" si="213"/>
        <v>1</v>
      </c>
      <c r="Y294" s="8">
        <v>-103.2</v>
      </c>
      <c r="Z294" s="8">
        <v>-1.01</v>
      </c>
      <c r="AA294" s="8" t="s">
        <v>311</v>
      </c>
      <c r="AB294" s="8">
        <v>-0.56000000000000005</v>
      </c>
      <c r="AC294" s="8">
        <v>-0.23</v>
      </c>
      <c r="AD294" s="8">
        <f t="shared" si="230"/>
        <v>-105.00000000000001</v>
      </c>
      <c r="AE294" s="2" t="s">
        <v>91</v>
      </c>
      <c r="AG294" s="8">
        <v>0</v>
      </c>
      <c r="AH294" s="8">
        <v>0</v>
      </c>
      <c r="AJ294" s="70" t="s">
        <v>699</v>
      </c>
      <c r="AK294" s="70"/>
      <c r="AL294" s="72">
        <v>0</v>
      </c>
      <c r="AM294" s="22"/>
      <c r="AO294" s="22" t="s">
        <v>128</v>
      </c>
      <c r="AP294" s="23" t="s">
        <v>702</v>
      </c>
      <c r="AQ294" s="22" t="s">
        <v>93</v>
      </c>
      <c r="AR294" s="51" t="str">
        <f t="shared" si="201"/>
        <v>ED8B-61295-ABW</v>
      </c>
      <c r="AS294" s="3"/>
      <c r="AT294" s="22">
        <v>1</v>
      </c>
      <c r="AU294" s="22">
        <v>1</v>
      </c>
      <c r="AV294" s="22">
        <v>1</v>
      </c>
      <c r="AW294" s="22">
        <v>1</v>
      </c>
      <c r="AX294" s="22">
        <v>1</v>
      </c>
      <c r="AY294" s="22">
        <v>1</v>
      </c>
      <c r="AZ294" s="22">
        <v>1</v>
      </c>
      <c r="BA294" s="22">
        <v>1</v>
      </c>
      <c r="BB294" s="64">
        <f t="shared" si="202"/>
        <v>1</v>
      </c>
      <c r="BD294" s="8">
        <v>-105.31</v>
      </c>
      <c r="BE294" s="8">
        <v>-1.01</v>
      </c>
      <c r="BF294" s="8" t="s">
        <v>311</v>
      </c>
      <c r="BG294" s="8">
        <v>-0.56000000000000005</v>
      </c>
      <c r="BH294" s="8">
        <v>-0.23</v>
      </c>
      <c r="BI294" s="8">
        <f t="shared" si="206"/>
        <v>-107.11000000000001</v>
      </c>
      <c r="BJ294" s="2" t="s">
        <v>91</v>
      </c>
      <c r="BL294" s="70">
        <v>0</v>
      </c>
      <c r="BM294" s="70">
        <v>0</v>
      </c>
      <c r="BO294" s="70">
        <v>0</v>
      </c>
      <c r="BP294" s="70">
        <v>0</v>
      </c>
      <c r="BQ294" s="72">
        <v>0</v>
      </c>
      <c r="BS294" s="61">
        <f t="shared" si="214"/>
        <v>2.1099999999999994</v>
      </c>
      <c r="BT294" s="61">
        <f t="shared" si="215"/>
        <v>0</v>
      </c>
      <c r="BU294" s="61">
        <f t="shared" si="216"/>
        <v>0</v>
      </c>
      <c r="BV294" s="61">
        <f t="shared" si="216"/>
        <v>0</v>
      </c>
      <c r="BW294" s="61">
        <f t="shared" si="216"/>
        <v>0</v>
      </c>
      <c r="BX294" s="61">
        <f t="shared" si="216"/>
        <v>2.1099999999999994</v>
      </c>
      <c r="BY294" s="61" t="s">
        <v>91</v>
      </c>
      <c r="CA294" s="61">
        <f t="shared" si="243"/>
        <v>0.31743643749059719</v>
      </c>
      <c r="CB294" s="61">
        <f t="shared" si="240"/>
        <v>0.31743643749059719</v>
      </c>
      <c r="CC294" s="61">
        <f t="shared" si="240"/>
        <v>0.31743643749059719</v>
      </c>
      <c r="CD294" s="61">
        <f t="shared" si="240"/>
        <v>0.31743643749059719</v>
      </c>
      <c r="CE294" s="61">
        <f t="shared" si="240"/>
        <v>0.31743643749059719</v>
      </c>
      <c r="CF294" s="61">
        <f t="shared" si="240"/>
        <v>0.31743643749059719</v>
      </c>
      <c r="CG294" s="61">
        <f t="shared" si="240"/>
        <v>0.31743643749059719</v>
      </c>
      <c r="CH294" s="61">
        <f t="shared" si="240"/>
        <v>0.31743643749059719</v>
      </c>
      <c r="CI294" s="61">
        <f t="shared" si="225"/>
        <v>0.31743643749059713</v>
      </c>
      <c r="CJ294" s="61"/>
      <c r="CK294" s="61">
        <f t="shared" si="244"/>
        <v>0.31743643749059719</v>
      </c>
      <c r="CL294" s="61">
        <f t="shared" si="241"/>
        <v>0.31743643749059719</v>
      </c>
      <c r="CM294" s="61">
        <f t="shared" si="241"/>
        <v>0.31743643749059719</v>
      </c>
      <c r="CN294" s="61">
        <f t="shared" si="241"/>
        <v>0.31743643749059719</v>
      </c>
      <c r="CO294" s="61">
        <f t="shared" si="241"/>
        <v>0.31743643749059719</v>
      </c>
      <c r="CP294" s="61">
        <f t="shared" si="241"/>
        <v>0.31743643749059719</v>
      </c>
      <c r="CQ294" s="61">
        <f t="shared" si="241"/>
        <v>0.31743643749059719</v>
      </c>
      <c r="CR294" s="61">
        <f t="shared" si="241"/>
        <v>0.31743643749059719</v>
      </c>
      <c r="CS294" s="61">
        <f t="shared" si="226"/>
        <v>0.31743643749059713</v>
      </c>
      <c r="CT294" s="61">
        <f t="shared" si="227"/>
        <v>2.1099999999999994</v>
      </c>
      <c r="CV294" s="61">
        <f t="shared" si="228"/>
        <v>0</v>
      </c>
      <c r="CW294" s="61">
        <f t="shared" si="245"/>
        <v>0</v>
      </c>
      <c r="CX294" s="61"/>
      <c r="CY294" s="61">
        <f t="shared" si="246"/>
        <v>0</v>
      </c>
      <c r="CZ294" s="61">
        <f t="shared" si="220"/>
        <v>0</v>
      </c>
      <c r="DA294" s="61">
        <f t="shared" si="220"/>
        <v>0</v>
      </c>
      <c r="DB294" s="2" t="s">
        <v>85</v>
      </c>
      <c r="DC294" s="2" t="s">
        <v>85</v>
      </c>
      <c r="DD294" s="2" t="s">
        <v>142</v>
      </c>
      <c r="DE294" s="2" t="s">
        <v>106</v>
      </c>
      <c r="DG294" s="62"/>
      <c r="DZ294" s="3" t="e">
        <v>#N/A</v>
      </c>
      <c r="EC294" s="60"/>
      <c r="ED294" s="60"/>
      <c r="EE294" s="60"/>
      <c r="EF294" s="60"/>
    </row>
    <row r="295" spans="2:140" ht="12.75" hidden="1" customHeight="1">
      <c r="B295" s="99" t="s">
        <v>704</v>
      </c>
      <c r="C295" s="22" t="s">
        <v>696</v>
      </c>
      <c r="D295" s="22" t="s">
        <v>697</v>
      </c>
      <c r="E295" s="2" t="str">
        <f>VLOOKUP($C295,[1]Detail!$C:$AK,6,0)</f>
        <v>PMT2</v>
      </c>
      <c r="F295" s="2" t="str">
        <f>VLOOKUP($C295,[1]Detail!$C:$AK,7,0)</f>
        <v>TH</v>
      </c>
      <c r="G295" s="2" t="str">
        <f>VLOOKUP($C295,[1]Detail!$C:$AK,5,0)</f>
        <v>B</v>
      </c>
      <c r="J295" s="22" t="s">
        <v>128</v>
      </c>
      <c r="K295" s="23" t="s">
        <v>701</v>
      </c>
      <c r="L295" s="22" t="s">
        <v>565</v>
      </c>
      <c r="M295" s="51" t="str">
        <f t="shared" si="212"/>
        <v>ED8B-61294-ACW</v>
      </c>
      <c r="O295" s="22">
        <v>1</v>
      </c>
      <c r="P295" s="22">
        <v>1</v>
      </c>
      <c r="Q295" s="22">
        <v>1</v>
      </c>
      <c r="R295" s="22">
        <v>1</v>
      </c>
      <c r="S295" s="22">
        <v>1</v>
      </c>
      <c r="T295" s="22">
        <v>1</v>
      </c>
      <c r="U295" s="22">
        <v>1</v>
      </c>
      <c r="V295" s="22">
        <v>1</v>
      </c>
      <c r="W295" s="64">
        <f t="shared" si="213"/>
        <v>1</v>
      </c>
      <c r="Y295" s="8">
        <v>-103.2</v>
      </c>
      <c r="Z295" s="8">
        <v>-1.01</v>
      </c>
      <c r="AA295" s="8" t="s">
        <v>311</v>
      </c>
      <c r="AB295" s="8">
        <v>-0.56000000000000005</v>
      </c>
      <c r="AC295" s="8">
        <v>-0.23</v>
      </c>
      <c r="AD295" s="8">
        <f t="shared" si="230"/>
        <v>-105.00000000000001</v>
      </c>
      <c r="AE295" s="2" t="s">
        <v>91</v>
      </c>
      <c r="AG295" s="8">
        <v>0</v>
      </c>
      <c r="AH295" s="8">
        <v>0</v>
      </c>
      <c r="AJ295" s="70">
        <v>-529998</v>
      </c>
      <c r="AK295" s="70">
        <v>2299556</v>
      </c>
      <c r="AL295" s="72">
        <v>0</v>
      </c>
      <c r="AM295" s="22"/>
      <c r="AO295" s="22" t="s">
        <v>128</v>
      </c>
      <c r="AP295" s="23" t="s">
        <v>701</v>
      </c>
      <c r="AQ295" s="22" t="s">
        <v>93</v>
      </c>
      <c r="AR295" s="51" t="str">
        <f t="shared" si="201"/>
        <v>ED8B-61294-ABW</v>
      </c>
      <c r="AS295" s="3"/>
      <c r="AT295" s="22">
        <v>1</v>
      </c>
      <c r="AU295" s="22">
        <v>1</v>
      </c>
      <c r="AV295" s="22">
        <v>1</v>
      </c>
      <c r="AW295" s="22">
        <v>1</v>
      </c>
      <c r="AX295" s="22">
        <v>1</v>
      </c>
      <c r="AY295" s="22">
        <v>1</v>
      </c>
      <c r="AZ295" s="22">
        <v>1</v>
      </c>
      <c r="BA295" s="22">
        <v>1</v>
      </c>
      <c r="BB295" s="64">
        <f t="shared" si="202"/>
        <v>1</v>
      </c>
      <c r="BD295" s="8">
        <v>-103.2</v>
      </c>
      <c r="BE295" s="8">
        <v>-1.01</v>
      </c>
      <c r="BF295" s="8" t="s">
        <v>311</v>
      </c>
      <c r="BG295" s="8">
        <v>-0.56000000000000005</v>
      </c>
      <c r="BH295" s="8">
        <v>-0.23</v>
      </c>
      <c r="BI295" s="8">
        <f t="shared" si="206"/>
        <v>-105.00000000000001</v>
      </c>
      <c r="BJ295" s="2" t="s">
        <v>91</v>
      </c>
      <c r="BL295" s="70">
        <v>0</v>
      </c>
      <c r="BM295" s="70">
        <v>0</v>
      </c>
      <c r="BO295" s="70">
        <v>0</v>
      </c>
      <c r="BP295" s="70">
        <v>0</v>
      </c>
      <c r="BQ295" s="72">
        <v>0</v>
      </c>
      <c r="BS295" s="61">
        <f t="shared" si="214"/>
        <v>0</v>
      </c>
      <c r="BT295" s="61">
        <f t="shared" si="215"/>
        <v>0</v>
      </c>
      <c r="BU295" s="61">
        <f t="shared" si="216"/>
        <v>0</v>
      </c>
      <c r="BV295" s="61">
        <f t="shared" si="216"/>
        <v>0</v>
      </c>
      <c r="BW295" s="61">
        <f t="shared" si="216"/>
        <v>0</v>
      </c>
      <c r="BX295" s="61">
        <f t="shared" si="216"/>
        <v>0</v>
      </c>
      <c r="BY295" s="61" t="s">
        <v>91</v>
      </c>
      <c r="CA295" s="61">
        <f t="shared" si="243"/>
        <v>0</v>
      </c>
      <c r="CB295" s="61">
        <f t="shared" si="240"/>
        <v>0</v>
      </c>
      <c r="CC295" s="61">
        <f t="shared" si="240"/>
        <v>0</v>
      </c>
      <c r="CD295" s="61">
        <f t="shared" si="240"/>
        <v>0</v>
      </c>
      <c r="CE295" s="61">
        <f t="shared" si="240"/>
        <v>0</v>
      </c>
      <c r="CF295" s="61">
        <f t="shared" si="240"/>
        <v>0</v>
      </c>
      <c r="CG295" s="61">
        <f t="shared" si="240"/>
        <v>0</v>
      </c>
      <c r="CH295" s="61">
        <f t="shared" si="240"/>
        <v>0</v>
      </c>
      <c r="CI295" s="61">
        <f t="shared" si="225"/>
        <v>0</v>
      </c>
      <c r="CJ295" s="61"/>
      <c r="CK295" s="61">
        <f t="shared" si="244"/>
        <v>0</v>
      </c>
      <c r="CL295" s="61">
        <f t="shared" si="241"/>
        <v>0</v>
      </c>
      <c r="CM295" s="61">
        <f t="shared" si="241"/>
        <v>0</v>
      </c>
      <c r="CN295" s="61">
        <f t="shared" si="241"/>
        <v>0</v>
      </c>
      <c r="CO295" s="61">
        <f t="shared" si="241"/>
        <v>0</v>
      </c>
      <c r="CP295" s="61">
        <f t="shared" si="241"/>
        <v>0</v>
      </c>
      <c r="CQ295" s="61">
        <f t="shared" si="241"/>
        <v>0</v>
      </c>
      <c r="CR295" s="61">
        <f t="shared" si="241"/>
        <v>0</v>
      </c>
      <c r="CS295" s="61">
        <f t="shared" si="226"/>
        <v>0</v>
      </c>
      <c r="CT295" s="61">
        <f t="shared" si="227"/>
        <v>0</v>
      </c>
      <c r="CV295" s="61">
        <f t="shared" si="228"/>
        <v>0</v>
      </c>
      <c r="CW295" s="61">
        <f t="shared" ref="CW295:CW296" si="247">SUM(AH295)-SUM(BM295)</f>
        <v>0</v>
      </c>
      <c r="CX295" s="61"/>
      <c r="CY295" s="61">
        <f t="shared" ref="CY295:CY296" si="248">SUM(AJ295)-SUM(BO295)</f>
        <v>-529998</v>
      </c>
      <c r="CZ295" s="61">
        <f t="shared" si="220"/>
        <v>2299556</v>
      </c>
      <c r="DA295" s="61">
        <f t="shared" si="220"/>
        <v>0</v>
      </c>
      <c r="DB295" s="2" t="s">
        <v>102</v>
      </c>
      <c r="DC295" s="2" t="s">
        <v>85</v>
      </c>
      <c r="DD295" s="2" t="s">
        <v>142</v>
      </c>
      <c r="DE295" s="2" t="s">
        <v>106</v>
      </c>
      <c r="DF295" s="3" t="s">
        <v>86</v>
      </c>
      <c r="DG295" s="62">
        <v>43172</v>
      </c>
      <c r="EC295" s="60" t="str">
        <f>VLOOKUP($M295,[1]Detail!$M:$BO,1,0)</f>
        <v>ED8B-61294-ACW</v>
      </c>
      <c r="ED295" s="60">
        <f>VLOOKUP($M295,[1]Detail!$M:$BO,22,0)</f>
        <v>-105.00000000000001</v>
      </c>
      <c r="EE295" s="60">
        <f>VLOOKUP($M295,[1]Detail!$M:$BO,42,0)</f>
        <v>0</v>
      </c>
      <c r="EF295" s="60">
        <f>VLOOKUP($M295,[1]Detail!$M:$BO,45,0)</f>
        <v>-529998</v>
      </c>
      <c r="EH295" s="60">
        <f>ED295-AD295</f>
        <v>0</v>
      </c>
      <c r="EI295" s="60">
        <f>EE295-AG295</f>
        <v>0</v>
      </c>
      <c r="EJ295" s="60">
        <f t="shared" ref="EJ295:EJ298" si="249">EF295-AJ295</f>
        <v>0</v>
      </c>
    </row>
    <row r="296" spans="2:140" ht="12.75" hidden="1" customHeight="1">
      <c r="B296" s="99" t="s">
        <v>704</v>
      </c>
      <c r="C296" s="22" t="s">
        <v>696</v>
      </c>
      <c r="D296" s="22" t="s">
        <v>697</v>
      </c>
      <c r="E296" s="2" t="str">
        <f>VLOOKUP($C296,[1]Detail!$C:$AK,6,0)</f>
        <v>PMT2</v>
      </c>
      <c r="F296" s="2" t="str">
        <f>VLOOKUP($C296,[1]Detail!$C:$AK,7,0)</f>
        <v>TH</v>
      </c>
      <c r="G296" s="2" t="str">
        <f>VLOOKUP($C296,[1]Detail!$C:$AK,5,0)</f>
        <v>B</v>
      </c>
      <c r="J296" s="22" t="s">
        <v>128</v>
      </c>
      <c r="K296" s="23" t="s">
        <v>702</v>
      </c>
      <c r="L296" s="22" t="s">
        <v>565</v>
      </c>
      <c r="M296" s="51" t="str">
        <f t="shared" si="212"/>
        <v>ED8B-61295-ACW</v>
      </c>
      <c r="O296" s="22">
        <v>1</v>
      </c>
      <c r="P296" s="22">
        <v>1</v>
      </c>
      <c r="Q296" s="22">
        <v>1</v>
      </c>
      <c r="R296" s="22">
        <v>1</v>
      </c>
      <c r="S296" s="22">
        <v>1</v>
      </c>
      <c r="T296" s="22">
        <v>1</v>
      </c>
      <c r="U296" s="22">
        <v>1</v>
      </c>
      <c r="V296" s="22">
        <v>1</v>
      </c>
      <c r="W296" s="64">
        <f t="shared" si="213"/>
        <v>1</v>
      </c>
      <c r="Y296" s="8">
        <v>-103.2</v>
      </c>
      <c r="Z296" s="8">
        <v>-1.01</v>
      </c>
      <c r="AA296" s="8" t="s">
        <v>311</v>
      </c>
      <c r="AB296" s="8">
        <v>-0.56000000000000005</v>
      </c>
      <c r="AC296" s="8">
        <v>-0.23</v>
      </c>
      <c r="AD296" s="8">
        <f t="shared" si="230"/>
        <v>-105.00000000000001</v>
      </c>
      <c r="AE296" s="2" t="s">
        <v>91</v>
      </c>
      <c r="AG296" s="8">
        <v>0</v>
      </c>
      <c r="AH296" s="8">
        <v>0</v>
      </c>
      <c r="AJ296" s="70" t="s">
        <v>699</v>
      </c>
      <c r="AK296" s="70"/>
      <c r="AL296" s="72">
        <v>0</v>
      </c>
      <c r="AM296" s="22"/>
      <c r="AO296" s="22" t="s">
        <v>128</v>
      </c>
      <c r="AP296" s="23" t="s">
        <v>702</v>
      </c>
      <c r="AQ296" s="22" t="s">
        <v>93</v>
      </c>
      <c r="AR296" s="51" t="str">
        <f t="shared" si="201"/>
        <v>ED8B-61295-ABW</v>
      </c>
      <c r="AS296" s="3"/>
      <c r="AT296" s="22">
        <v>1</v>
      </c>
      <c r="AU296" s="22">
        <v>1</v>
      </c>
      <c r="AV296" s="22">
        <v>1</v>
      </c>
      <c r="AW296" s="22">
        <v>1</v>
      </c>
      <c r="AX296" s="22">
        <v>1</v>
      </c>
      <c r="AY296" s="22">
        <v>1</v>
      </c>
      <c r="AZ296" s="22">
        <v>1</v>
      </c>
      <c r="BA296" s="22">
        <v>1</v>
      </c>
      <c r="BB296" s="64">
        <f t="shared" si="202"/>
        <v>1</v>
      </c>
      <c r="BD296" s="8">
        <v>-103.2</v>
      </c>
      <c r="BE296" s="8">
        <v>-1.01</v>
      </c>
      <c r="BF296" s="8" t="s">
        <v>311</v>
      </c>
      <c r="BG296" s="8">
        <v>-0.56000000000000005</v>
      </c>
      <c r="BH296" s="8">
        <v>-0.23</v>
      </c>
      <c r="BI296" s="8">
        <f t="shared" si="206"/>
        <v>-105.00000000000001</v>
      </c>
      <c r="BJ296" s="2" t="s">
        <v>91</v>
      </c>
      <c r="BL296" s="70">
        <v>0</v>
      </c>
      <c r="BM296" s="70">
        <v>0</v>
      </c>
      <c r="BO296" s="70">
        <v>0</v>
      </c>
      <c r="BP296" s="70">
        <v>0</v>
      </c>
      <c r="BQ296" s="72">
        <v>0</v>
      </c>
      <c r="BS296" s="61">
        <f t="shared" si="214"/>
        <v>0</v>
      </c>
      <c r="BT296" s="61">
        <f t="shared" si="215"/>
        <v>0</v>
      </c>
      <c r="BU296" s="61">
        <f t="shared" si="216"/>
        <v>0</v>
      </c>
      <c r="BV296" s="61">
        <f t="shared" si="216"/>
        <v>0</v>
      </c>
      <c r="BW296" s="61">
        <f t="shared" si="216"/>
        <v>0</v>
      </c>
      <c r="BX296" s="61">
        <f t="shared" si="216"/>
        <v>0</v>
      </c>
      <c r="BY296" s="61" t="s">
        <v>91</v>
      </c>
      <c r="CA296" s="61">
        <f t="shared" si="243"/>
        <v>0</v>
      </c>
      <c r="CB296" s="61">
        <f t="shared" si="240"/>
        <v>0</v>
      </c>
      <c r="CC296" s="61">
        <f t="shared" si="240"/>
        <v>0</v>
      </c>
      <c r="CD296" s="61">
        <f t="shared" si="240"/>
        <v>0</v>
      </c>
      <c r="CE296" s="61">
        <f t="shared" si="240"/>
        <v>0</v>
      </c>
      <c r="CF296" s="61">
        <f t="shared" si="240"/>
        <v>0</v>
      </c>
      <c r="CG296" s="61">
        <f t="shared" si="240"/>
        <v>0</v>
      </c>
      <c r="CH296" s="61">
        <f t="shared" si="240"/>
        <v>0</v>
      </c>
      <c r="CI296" s="61">
        <f t="shared" si="225"/>
        <v>0</v>
      </c>
      <c r="CJ296" s="61"/>
      <c r="CK296" s="61">
        <f t="shared" si="244"/>
        <v>0</v>
      </c>
      <c r="CL296" s="61">
        <f t="shared" si="241"/>
        <v>0</v>
      </c>
      <c r="CM296" s="61">
        <f t="shared" si="241"/>
        <v>0</v>
      </c>
      <c r="CN296" s="61">
        <f t="shared" si="241"/>
        <v>0</v>
      </c>
      <c r="CO296" s="61">
        <f t="shared" si="241"/>
        <v>0</v>
      </c>
      <c r="CP296" s="61">
        <f t="shared" si="241"/>
        <v>0</v>
      </c>
      <c r="CQ296" s="61">
        <f t="shared" si="241"/>
        <v>0</v>
      </c>
      <c r="CR296" s="61">
        <f t="shared" si="241"/>
        <v>0</v>
      </c>
      <c r="CS296" s="61">
        <f t="shared" si="226"/>
        <v>0</v>
      </c>
      <c r="CT296" s="61">
        <f t="shared" si="227"/>
        <v>0</v>
      </c>
      <c r="CV296" s="61">
        <f t="shared" si="228"/>
        <v>0</v>
      </c>
      <c r="CW296" s="61">
        <f t="shared" si="247"/>
        <v>0</v>
      </c>
      <c r="CX296" s="61"/>
      <c r="CY296" s="61">
        <f t="shared" si="248"/>
        <v>0</v>
      </c>
      <c r="CZ296" s="61">
        <f t="shared" si="220"/>
        <v>0</v>
      </c>
      <c r="DA296" s="61">
        <f t="shared" si="220"/>
        <v>0</v>
      </c>
      <c r="DB296" s="2" t="s">
        <v>102</v>
      </c>
      <c r="DC296" s="2" t="s">
        <v>85</v>
      </c>
      <c r="DD296" s="2" t="s">
        <v>142</v>
      </c>
      <c r="DE296" s="2" t="s">
        <v>106</v>
      </c>
      <c r="DF296" s="3" t="s">
        <v>86</v>
      </c>
      <c r="DG296" s="62">
        <v>43172</v>
      </c>
      <c r="EC296" s="60" t="str">
        <f>VLOOKUP($M296,[1]Detail!$M:$BO,1,0)</f>
        <v>ED8B-61295-ACW</v>
      </c>
      <c r="ED296" s="60">
        <f>VLOOKUP($M296,[1]Detail!$M:$BO,22,0)</f>
        <v>-105.00000000000001</v>
      </c>
      <c r="EE296" s="60">
        <f>VLOOKUP($M296,[1]Detail!$M:$BO,42,0)</f>
        <v>0</v>
      </c>
      <c r="EF296" s="60" t="str">
        <f>VLOOKUP($M296,[1]Detail!$M:$BO,45,0)</f>
        <v>share with 61294</v>
      </c>
      <c r="EH296" s="60">
        <f>ED296-AD296</f>
        <v>0</v>
      </c>
      <c r="EI296" s="60">
        <f>EE296-AG296</f>
        <v>0</v>
      </c>
      <c r="EJ296" s="60" t="e">
        <f t="shared" si="249"/>
        <v>#VALUE!</v>
      </c>
    </row>
    <row r="297" spans="2:140" ht="12.75" hidden="1" customHeight="1">
      <c r="B297" s="93" t="s">
        <v>705</v>
      </c>
      <c r="C297" s="22" t="s">
        <v>145</v>
      </c>
      <c r="D297" s="22" t="s">
        <v>276</v>
      </c>
      <c r="E297" s="2" t="str">
        <f>VLOOKUP($C297,[1]Detail!$C:$AK,6,0)</f>
        <v>BIW</v>
      </c>
      <c r="F297" s="2" t="str">
        <f>VLOOKUP($C297,[1]Detail!$C:$AK,7,0)</f>
        <v>TH</v>
      </c>
      <c r="G297" s="2" t="str">
        <f>VLOOKUP($C297,[1]Detail!$C:$AK,5,0)</f>
        <v>D</v>
      </c>
      <c r="J297" s="22" t="s">
        <v>126</v>
      </c>
      <c r="K297" s="23" t="s">
        <v>693</v>
      </c>
      <c r="L297" s="22" t="s">
        <v>100</v>
      </c>
      <c r="M297" s="51" t="str">
        <f t="shared" si="212"/>
        <v>JD8B-F02010-AA</v>
      </c>
      <c r="O297" s="22">
        <v>1</v>
      </c>
      <c r="P297" s="22">
        <v>1</v>
      </c>
      <c r="Q297" s="22">
        <v>1</v>
      </c>
      <c r="R297" s="22">
        <v>1</v>
      </c>
      <c r="S297" s="22">
        <v>1</v>
      </c>
      <c r="T297" s="22">
        <v>1</v>
      </c>
      <c r="U297" s="22">
        <v>1</v>
      </c>
      <c r="V297" s="22">
        <v>1</v>
      </c>
      <c r="W297" s="64">
        <f t="shared" si="213"/>
        <v>1</v>
      </c>
      <c r="Y297" s="8">
        <v>-30.4</v>
      </c>
      <c r="Z297" s="8">
        <v>-0.69</v>
      </c>
      <c r="AA297" s="8">
        <v>-0.86</v>
      </c>
      <c r="AB297" s="8">
        <v>0</v>
      </c>
      <c r="AC297" s="8">
        <v>0</v>
      </c>
      <c r="AD297" s="8">
        <f t="shared" si="230"/>
        <v>-31.95</v>
      </c>
      <c r="AE297" s="2" t="s">
        <v>91</v>
      </c>
      <c r="AG297" s="8">
        <v>-97254</v>
      </c>
      <c r="AH297" s="8">
        <v>-97254</v>
      </c>
      <c r="AI297" s="6"/>
      <c r="AJ297" s="70">
        <v>0</v>
      </c>
      <c r="AK297" s="70">
        <v>0</v>
      </c>
      <c r="AL297" s="72">
        <v>0</v>
      </c>
      <c r="AM297" s="22"/>
      <c r="AO297" s="22" t="s">
        <v>126</v>
      </c>
      <c r="AP297" s="23" t="s">
        <v>693</v>
      </c>
      <c r="AQ297" s="22" t="s">
        <v>100</v>
      </c>
      <c r="AR297" s="51" t="str">
        <f t="shared" ref="AR297:AR360" si="250">TRIM(AO297)&amp;"-"&amp;TRIM(AP297)&amp;"-"&amp;TRIM(AQ297)</f>
        <v>JD8B-F02010-AA</v>
      </c>
      <c r="AS297" s="3"/>
      <c r="AT297" s="22">
        <v>1</v>
      </c>
      <c r="AU297" s="22">
        <v>1</v>
      </c>
      <c r="AV297" s="22">
        <v>1</v>
      </c>
      <c r="AW297" s="22">
        <v>1</v>
      </c>
      <c r="AX297" s="22">
        <v>1</v>
      </c>
      <c r="AY297" s="22">
        <v>1</v>
      </c>
      <c r="AZ297" s="22">
        <v>1</v>
      </c>
      <c r="BA297" s="22">
        <v>1</v>
      </c>
      <c r="BB297" s="64">
        <f t="shared" ref="BB297:BB360" si="251">SUMPRODUCT(AT297:BA297,$O$6:$V$6)</f>
        <v>1</v>
      </c>
      <c r="BD297" s="60">
        <v>-30.4</v>
      </c>
      <c r="BE297" s="60">
        <v>-0.69</v>
      </c>
      <c r="BF297" s="95">
        <v>-0.86</v>
      </c>
      <c r="BG297" s="95">
        <v>0</v>
      </c>
      <c r="BH297" s="95">
        <v>0</v>
      </c>
      <c r="BI297" s="8">
        <f t="shared" si="206"/>
        <v>-31.95</v>
      </c>
      <c r="BJ297" s="2" t="s">
        <v>91</v>
      </c>
      <c r="BL297" s="70">
        <v>-97254</v>
      </c>
      <c r="BM297" s="70">
        <v>-97254</v>
      </c>
      <c r="BO297" s="70">
        <v>0</v>
      </c>
      <c r="BP297" s="70">
        <v>0</v>
      </c>
      <c r="BQ297" s="72">
        <v>0</v>
      </c>
      <c r="BS297" s="61">
        <f t="shared" si="214"/>
        <v>0</v>
      </c>
      <c r="BT297" s="61">
        <f t="shared" si="215"/>
        <v>0</v>
      </c>
      <c r="BU297" s="61">
        <f t="shared" si="216"/>
        <v>0</v>
      </c>
      <c r="BV297" s="61">
        <f t="shared" si="216"/>
        <v>0</v>
      </c>
      <c r="BW297" s="61">
        <f t="shared" si="216"/>
        <v>0</v>
      </c>
      <c r="BX297" s="61">
        <f t="shared" si="216"/>
        <v>0</v>
      </c>
      <c r="BY297" s="61" t="s">
        <v>91</v>
      </c>
      <c r="CA297" s="61">
        <f t="shared" si="243"/>
        <v>0</v>
      </c>
      <c r="CB297" s="61">
        <f t="shared" si="240"/>
        <v>0</v>
      </c>
      <c r="CC297" s="61">
        <f t="shared" si="240"/>
        <v>0</v>
      </c>
      <c r="CD297" s="61">
        <f t="shared" si="240"/>
        <v>0</v>
      </c>
      <c r="CE297" s="61">
        <f t="shared" si="240"/>
        <v>0</v>
      </c>
      <c r="CF297" s="61">
        <f t="shared" si="240"/>
        <v>0</v>
      </c>
      <c r="CG297" s="61">
        <f t="shared" si="240"/>
        <v>0</v>
      </c>
      <c r="CH297" s="61">
        <f t="shared" si="240"/>
        <v>0</v>
      </c>
      <c r="CI297" s="61">
        <f t="shared" si="225"/>
        <v>0</v>
      </c>
      <c r="CJ297" s="61"/>
      <c r="CK297" s="61">
        <f t="shared" si="244"/>
        <v>0</v>
      </c>
      <c r="CL297" s="61">
        <f t="shared" si="241"/>
        <v>0</v>
      </c>
      <c r="CM297" s="61">
        <f t="shared" si="241"/>
        <v>0</v>
      </c>
      <c r="CN297" s="61">
        <f t="shared" si="241"/>
        <v>0</v>
      </c>
      <c r="CO297" s="61">
        <f t="shared" si="241"/>
        <v>0</v>
      </c>
      <c r="CP297" s="61">
        <f t="shared" si="241"/>
        <v>0</v>
      </c>
      <c r="CQ297" s="61">
        <f t="shared" si="241"/>
        <v>0</v>
      </c>
      <c r="CR297" s="61">
        <f t="shared" si="241"/>
        <v>0</v>
      </c>
      <c r="CS297" s="61">
        <f t="shared" si="226"/>
        <v>0</v>
      </c>
      <c r="CT297" s="61">
        <f t="shared" si="227"/>
        <v>0</v>
      </c>
      <c r="CV297" s="61">
        <f t="shared" si="228"/>
        <v>0</v>
      </c>
      <c r="CW297" s="61">
        <f t="shared" si="207"/>
        <v>0</v>
      </c>
      <c r="CX297" s="61"/>
      <c r="CY297" s="61">
        <f t="shared" si="208"/>
        <v>0</v>
      </c>
      <c r="CZ297" s="61">
        <f t="shared" si="220"/>
        <v>0</v>
      </c>
      <c r="DA297" s="61">
        <f t="shared" si="220"/>
        <v>0</v>
      </c>
      <c r="DB297" s="2" t="s">
        <v>102</v>
      </c>
      <c r="DC297" s="2" t="s">
        <v>289</v>
      </c>
      <c r="DD297" s="2" t="s">
        <v>142</v>
      </c>
      <c r="DE297" s="2" t="s">
        <v>181</v>
      </c>
      <c r="DF297" s="3" t="s">
        <v>86</v>
      </c>
      <c r="DG297" s="62">
        <v>42879</v>
      </c>
      <c r="EC297" s="60" t="str">
        <f>VLOOKUP($M297,[1]Detail!$M:$BO,1,0)</f>
        <v>JD8B-F02010-AA</v>
      </c>
      <c r="ED297" s="60">
        <f>VLOOKUP($M297,[1]Detail!$M:$BO,22,0)</f>
        <v>-31.95</v>
      </c>
      <c r="EE297" s="60">
        <f>VLOOKUP($M297,[1]Detail!$M:$BO,42,0)</f>
        <v>-97254</v>
      </c>
      <c r="EF297" s="60">
        <f>VLOOKUP($M297,[1]Detail!$M:$BO,45,0)</f>
        <v>0</v>
      </c>
      <c r="EH297" s="60">
        <f>ED297-AD297</f>
        <v>0</v>
      </c>
      <c r="EI297" s="60">
        <f>EE297-AG297</f>
        <v>0</v>
      </c>
      <c r="EJ297" s="60">
        <f t="shared" si="249"/>
        <v>0</v>
      </c>
    </row>
    <row r="298" spans="2:140" ht="13.5" hidden="1" customHeight="1">
      <c r="B298" s="93" t="s">
        <v>705</v>
      </c>
      <c r="C298" s="22" t="s">
        <v>145</v>
      </c>
      <c r="D298" s="22" t="s">
        <v>518</v>
      </c>
      <c r="E298" s="2" t="str">
        <f>VLOOKUP($C298,[1]Detail!$C:$AK,6,0)</f>
        <v>BIW</v>
      </c>
      <c r="F298" s="2" t="str">
        <f>VLOOKUP($C298,[1]Detail!$C:$AK,7,0)</f>
        <v>TH</v>
      </c>
      <c r="G298" s="2" t="str">
        <f>VLOOKUP($C298,[1]Detail!$C:$AK,5,0)</f>
        <v>D</v>
      </c>
      <c r="J298" s="22"/>
      <c r="K298" s="23"/>
      <c r="L298" s="22"/>
      <c r="M298" s="51"/>
      <c r="O298" s="22"/>
      <c r="P298" s="22"/>
      <c r="Q298" s="22"/>
      <c r="R298" s="22"/>
      <c r="S298" s="22"/>
      <c r="T298" s="22"/>
      <c r="U298" s="22"/>
      <c r="V298" s="22"/>
      <c r="W298" s="64"/>
      <c r="Y298" s="8"/>
      <c r="Z298" s="8"/>
      <c r="AA298" s="8"/>
      <c r="AB298" s="8"/>
      <c r="AC298" s="8"/>
      <c r="AD298" s="8"/>
      <c r="AG298" s="8"/>
      <c r="AH298" s="8"/>
      <c r="AJ298" s="70">
        <v>0</v>
      </c>
      <c r="AK298" s="70">
        <v>0</v>
      </c>
      <c r="AL298" s="72">
        <v>0</v>
      </c>
      <c r="AM298" s="22"/>
      <c r="AO298" s="22"/>
      <c r="AP298" s="66" t="s">
        <v>706</v>
      </c>
      <c r="AQ298" s="100" t="s">
        <v>707</v>
      </c>
      <c r="AR298" s="51" t="str">
        <f t="shared" si="250"/>
        <v>-W520201 -S442 </v>
      </c>
      <c r="AS298" s="3"/>
      <c r="AT298" s="22">
        <v>8</v>
      </c>
      <c r="AU298" s="22">
        <v>8</v>
      </c>
      <c r="AV298" s="22">
        <v>8</v>
      </c>
      <c r="AW298" s="22">
        <v>8</v>
      </c>
      <c r="AX298" s="22">
        <v>8</v>
      </c>
      <c r="AY298" s="22">
        <v>8</v>
      </c>
      <c r="AZ298" s="22">
        <v>8</v>
      </c>
      <c r="BA298" s="22">
        <v>8</v>
      </c>
      <c r="BB298" s="64">
        <f t="shared" si="251"/>
        <v>8</v>
      </c>
      <c r="BD298" s="60">
        <v>-0.21</v>
      </c>
      <c r="BE298" s="60">
        <v>0</v>
      </c>
      <c r="BF298" s="95">
        <v>0</v>
      </c>
      <c r="BG298" s="95">
        <v>0</v>
      </c>
      <c r="BH298" s="95">
        <v>0</v>
      </c>
      <c r="BI298" s="8">
        <f t="shared" ref="BI298:BI334" si="252">SUM(BD298:BH298)</f>
        <v>-0.21</v>
      </c>
      <c r="BJ298" s="2" t="s">
        <v>91</v>
      </c>
      <c r="BL298" s="70">
        <v>0</v>
      </c>
      <c r="BM298" s="70">
        <v>0</v>
      </c>
      <c r="BO298" s="70">
        <v>0</v>
      </c>
      <c r="BP298" s="70">
        <v>0</v>
      </c>
      <c r="BQ298" s="72">
        <v>0</v>
      </c>
      <c r="BS298" s="61">
        <f t="shared" si="214"/>
        <v>0.21</v>
      </c>
      <c r="BT298" s="61">
        <f t="shared" si="215"/>
        <v>0</v>
      </c>
      <c r="BU298" s="61">
        <f t="shared" si="216"/>
        <v>0</v>
      </c>
      <c r="BV298" s="61">
        <f t="shared" si="216"/>
        <v>0</v>
      </c>
      <c r="BW298" s="61">
        <f t="shared" si="216"/>
        <v>0</v>
      </c>
      <c r="BX298" s="61">
        <f t="shared" si="216"/>
        <v>0.21</v>
      </c>
      <c r="BY298" s="61" t="s">
        <v>91</v>
      </c>
      <c r="CA298" s="61">
        <f t="shared" si="243"/>
        <v>0.25274559951857978</v>
      </c>
      <c r="CB298" s="61">
        <f t="shared" si="240"/>
        <v>0.25274559951857978</v>
      </c>
      <c r="CC298" s="61">
        <f t="shared" si="240"/>
        <v>0.25274559951857978</v>
      </c>
      <c r="CD298" s="61">
        <f t="shared" si="240"/>
        <v>0.25274559951857978</v>
      </c>
      <c r="CE298" s="61">
        <f t="shared" si="240"/>
        <v>0.25274559951857978</v>
      </c>
      <c r="CF298" s="61">
        <f t="shared" si="240"/>
        <v>0.25274559951857978</v>
      </c>
      <c r="CG298" s="61">
        <f t="shared" si="240"/>
        <v>0.25274559951857978</v>
      </c>
      <c r="CH298" s="61">
        <f t="shared" si="240"/>
        <v>0.25274559951857978</v>
      </c>
      <c r="CI298" s="61">
        <f t="shared" si="225"/>
        <v>0.25274559951857983</v>
      </c>
      <c r="CJ298" s="61"/>
      <c r="CK298" s="61">
        <f t="shared" si="244"/>
        <v>0.25274559951857978</v>
      </c>
      <c r="CL298" s="61">
        <f t="shared" si="241"/>
        <v>0.25274559951857978</v>
      </c>
      <c r="CM298" s="61">
        <f t="shared" si="241"/>
        <v>0.25274559951857978</v>
      </c>
      <c r="CN298" s="61">
        <f t="shared" si="241"/>
        <v>0.25274559951857978</v>
      </c>
      <c r="CO298" s="61">
        <f t="shared" si="241"/>
        <v>0.25274559951857978</v>
      </c>
      <c r="CP298" s="61">
        <f t="shared" si="241"/>
        <v>0.25274559951857978</v>
      </c>
      <c r="CQ298" s="61">
        <f t="shared" si="241"/>
        <v>0.25274559951857978</v>
      </c>
      <c r="CR298" s="61">
        <f t="shared" si="241"/>
        <v>0.25274559951857978</v>
      </c>
      <c r="CS298" s="61">
        <f t="shared" si="226"/>
        <v>0.25274559951857983</v>
      </c>
      <c r="CT298" s="61">
        <f t="shared" si="227"/>
        <v>1.6800000000000002</v>
      </c>
      <c r="CV298" s="61">
        <f t="shared" si="228"/>
        <v>0</v>
      </c>
      <c r="CW298" s="61">
        <f t="shared" si="207"/>
        <v>0</v>
      </c>
      <c r="CX298" s="61"/>
      <c r="CY298" s="61">
        <f t="shared" si="208"/>
        <v>0</v>
      </c>
      <c r="CZ298" s="61">
        <f t="shared" si="220"/>
        <v>0</v>
      </c>
      <c r="DA298" s="61">
        <f t="shared" si="220"/>
        <v>0</v>
      </c>
      <c r="DB298" s="2" t="s">
        <v>102</v>
      </c>
      <c r="DC298" s="2" t="s">
        <v>289</v>
      </c>
      <c r="DD298" s="2" t="s">
        <v>142</v>
      </c>
      <c r="DE298" s="2" t="s">
        <v>181</v>
      </c>
      <c r="DF298" s="3" t="s">
        <v>86</v>
      </c>
      <c r="DG298" s="62">
        <v>42879</v>
      </c>
      <c r="EC298" s="60" t="e">
        <f>VLOOKUP($M298,[1]Detail!$M:$BO,1,0)</f>
        <v>#N/A</v>
      </c>
      <c r="ED298" s="60" t="e">
        <f>VLOOKUP($M298,[1]Detail!$M:$BO,22,0)</f>
        <v>#N/A</v>
      </c>
      <c r="EE298" s="60" t="e">
        <f>VLOOKUP($M298,[1]Detail!$M:$BO,42,0)</f>
        <v>#N/A</v>
      </c>
      <c r="EF298" s="60" t="e">
        <f>VLOOKUP($M298,[1]Detail!$M:$BO,45,0)</f>
        <v>#N/A</v>
      </c>
      <c r="EH298" s="60" t="e">
        <f>ED298-AD298</f>
        <v>#N/A</v>
      </c>
      <c r="EI298" s="60" t="e">
        <f>EE298-AG298</f>
        <v>#N/A</v>
      </c>
      <c r="EJ298" s="60" t="e">
        <f t="shared" si="249"/>
        <v>#N/A</v>
      </c>
    </row>
    <row r="299" spans="2:140" ht="12.75" hidden="1" customHeight="1">
      <c r="B299" s="99" t="s">
        <v>708</v>
      </c>
      <c r="C299" s="22" t="s">
        <v>709</v>
      </c>
      <c r="D299" s="22" t="s">
        <v>710</v>
      </c>
      <c r="E299" s="2" t="str">
        <f>VLOOKUP($C299,[1]Detail!$C:$AK,6,0)</f>
        <v>PMT1</v>
      </c>
      <c r="F299" s="2" t="str">
        <f>VLOOKUP($C299,[1]Detail!$C:$AK,7,0)</f>
        <v>TH</v>
      </c>
      <c r="G299" s="2" t="str">
        <f>VLOOKUP($C299,[1]Detail!$C:$AK,5,0)</f>
        <v>D</v>
      </c>
      <c r="J299" s="22" t="s">
        <v>126</v>
      </c>
      <c r="K299" s="23"/>
      <c r="L299" s="22" t="s">
        <v>196</v>
      </c>
      <c r="M299" s="51" t="str">
        <f t="shared" ref="M299:M362" si="253">TRIM(J299)&amp;"-"&amp;TRIM(K299)&amp;"-"&amp;TRIM(L299)</f>
        <v>JD8B--AAW</v>
      </c>
      <c r="O299" s="22">
        <v>1</v>
      </c>
      <c r="P299" s="22">
        <v>1</v>
      </c>
      <c r="Q299" s="22">
        <v>1</v>
      </c>
      <c r="R299" s="22">
        <v>1</v>
      </c>
      <c r="S299" s="22">
        <v>1</v>
      </c>
      <c r="T299" s="22">
        <v>1</v>
      </c>
      <c r="U299" s="22">
        <v>0</v>
      </c>
      <c r="V299" s="22">
        <v>0</v>
      </c>
      <c r="W299" s="64">
        <f t="shared" ref="W299:W362" si="254">SUMPRODUCT(O299:V299,$O$6:$V$6)</f>
        <v>0.9</v>
      </c>
      <c r="Y299" s="8">
        <f>-251.56*0-246.39</f>
        <v>-246.39</v>
      </c>
      <c r="Z299" s="8">
        <v>-2.5499999999999998</v>
      </c>
      <c r="AA299" s="8">
        <v>-5.71</v>
      </c>
      <c r="AB299" s="8">
        <v>0</v>
      </c>
      <c r="AC299" s="8">
        <v>0</v>
      </c>
      <c r="AD299" s="8">
        <f t="shared" ref="AD299:AD330" si="255">SUM(Y299:AC299)</f>
        <v>-254.65</v>
      </c>
      <c r="AE299" s="2" t="s">
        <v>91</v>
      </c>
      <c r="AG299" s="8">
        <f>-7873500*0-7737000</f>
        <v>-7737000</v>
      </c>
      <c r="AH299" s="8">
        <f>-7873500*0-7737000</f>
        <v>-7737000</v>
      </c>
      <c r="AI299" s="6"/>
      <c r="AJ299" s="70">
        <v>0</v>
      </c>
      <c r="AK299" s="70">
        <v>0</v>
      </c>
      <c r="AL299" s="72">
        <v>0</v>
      </c>
      <c r="AM299" s="22"/>
      <c r="AO299" s="22" t="s">
        <v>126</v>
      </c>
      <c r="AP299" s="23" t="s">
        <v>711</v>
      </c>
      <c r="AQ299" s="22" t="s">
        <v>196</v>
      </c>
      <c r="AR299" s="51" t="str">
        <f t="shared" si="250"/>
        <v>JD8B-17K823-AAW</v>
      </c>
      <c r="AS299" s="3"/>
      <c r="AT299" s="22">
        <v>1</v>
      </c>
      <c r="AU299" s="22">
        <v>1</v>
      </c>
      <c r="AV299" s="22">
        <v>1</v>
      </c>
      <c r="AW299" s="22">
        <v>1</v>
      </c>
      <c r="AX299" s="22">
        <v>1</v>
      </c>
      <c r="AY299" s="22">
        <v>1</v>
      </c>
      <c r="AZ299" s="22">
        <v>0</v>
      </c>
      <c r="BA299" s="22">
        <v>0</v>
      </c>
      <c r="BB299" s="64">
        <f t="shared" si="251"/>
        <v>0.9</v>
      </c>
      <c r="BD299" s="60">
        <v>-251.56</v>
      </c>
      <c r="BE299" s="60">
        <v>-2.5499999999999998</v>
      </c>
      <c r="BF299" s="95">
        <v>-5.71</v>
      </c>
      <c r="BG299" s="95">
        <v>0</v>
      </c>
      <c r="BH299" s="95">
        <v>0</v>
      </c>
      <c r="BI299" s="8">
        <f t="shared" si="252"/>
        <v>-259.82</v>
      </c>
      <c r="BJ299" s="2" t="s">
        <v>91</v>
      </c>
      <c r="BL299" s="70">
        <v>-7873500</v>
      </c>
      <c r="BM299" s="70">
        <v>-7873500</v>
      </c>
      <c r="BO299" s="70">
        <v>0</v>
      </c>
      <c r="BP299" s="70">
        <v>0</v>
      </c>
      <c r="BQ299" s="72">
        <v>0</v>
      </c>
      <c r="BS299" s="61">
        <f t="shared" si="214"/>
        <v>5.1700000000000159</v>
      </c>
      <c r="BT299" s="61">
        <f t="shared" si="215"/>
        <v>0</v>
      </c>
      <c r="BU299" s="61">
        <f t="shared" si="216"/>
        <v>0</v>
      </c>
      <c r="BV299" s="61">
        <f t="shared" si="216"/>
        <v>0</v>
      </c>
      <c r="BW299" s="61">
        <f t="shared" si="216"/>
        <v>0</v>
      </c>
      <c r="BX299" s="61">
        <f t="shared" si="216"/>
        <v>5.1699999999999875</v>
      </c>
      <c r="BY299" s="61" t="s">
        <v>91</v>
      </c>
      <c r="CA299" s="61">
        <f t="shared" si="243"/>
        <v>0.77779449375658427</v>
      </c>
      <c r="CB299" s="61">
        <f t="shared" si="240"/>
        <v>0.77779449375658427</v>
      </c>
      <c r="CC299" s="61">
        <f t="shared" si="240"/>
        <v>0.77779449375658427</v>
      </c>
      <c r="CD299" s="61">
        <f t="shared" si="240"/>
        <v>0.77779449375658427</v>
      </c>
      <c r="CE299" s="61">
        <f t="shared" si="240"/>
        <v>0.77779449375658427</v>
      </c>
      <c r="CF299" s="61">
        <f t="shared" si="240"/>
        <v>0.77779449375658427</v>
      </c>
      <c r="CG299" s="61">
        <f t="shared" si="240"/>
        <v>0</v>
      </c>
      <c r="CH299" s="61">
        <f t="shared" si="240"/>
        <v>0</v>
      </c>
      <c r="CI299" s="61">
        <f t="shared" si="225"/>
        <v>0.70001504438092588</v>
      </c>
      <c r="CJ299" s="61"/>
      <c r="CK299" s="61">
        <f t="shared" si="244"/>
        <v>0.77779449375658005</v>
      </c>
      <c r="CL299" s="61">
        <f t="shared" si="241"/>
        <v>0.77779449375658005</v>
      </c>
      <c r="CM299" s="61">
        <f t="shared" si="241"/>
        <v>0.77779449375658005</v>
      </c>
      <c r="CN299" s="61">
        <f t="shared" si="241"/>
        <v>0.77779449375658005</v>
      </c>
      <c r="CO299" s="61">
        <f t="shared" si="241"/>
        <v>0.77779449375658005</v>
      </c>
      <c r="CP299" s="61">
        <f t="shared" si="241"/>
        <v>0.77779449375658005</v>
      </c>
      <c r="CQ299" s="61">
        <f t="shared" si="241"/>
        <v>0</v>
      </c>
      <c r="CR299" s="61">
        <f t="shared" si="241"/>
        <v>0</v>
      </c>
      <c r="CS299" s="61">
        <f t="shared" si="226"/>
        <v>0.7000150443809221</v>
      </c>
      <c r="CT299" s="61">
        <f t="shared" si="227"/>
        <v>4.6529999999999898</v>
      </c>
      <c r="CV299" s="61">
        <f t="shared" si="228"/>
        <v>136500</v>
      </c>
      <c r="CW299" s="61">
        <f t="shared" si="207"/>
        <v>136500</v>
      </c>
      <c r="CX299" s="61"/>
      <c r="CY299" s="61">
        <f t="shared" si="208"/>
        <v>0</v>
      </c>
      <c r="CZ299" s="61">
        <f t="shared" si="220"/>
        <v>0</v>
      </c>
      <c r="DA299" s="61">
        <f t="shared" si="220"/>
        <v>0</v>
      </c>
      <c r="DB299" s="2" t="s">
        <v>85</v>
      </c>
      <c r="DC299" s="2" t="s">
        <v>102</v>
      </c>
      <c r="DD299" s="2" t="s">
        <v>142</v>
      </c>
      <c r="DE299" s="2" t="s">
        <v>181</v>
      </c>
      <c r="DF299" s="3" t="s">
        <v>86</v>
      </c>
      <c r="DG299" s="62">
        <v>42879</v>
      </c>
      <c r="EC299" s="60"/>
      <c r="ED299" s="60"/>
      <c r="EE299" s="60"/>
      <c r="EF299" s="60"/>
    </row>
    <row r="300" spans="2:140" ht="12.75" hidden="1" customHeight="1">
      <c r="B300" s="99" t="s">
        <v>708</v>
      </c>
      <c r="C300" s="22" t="s">
        <v>709</v>
      </c>
      <c r="D300" s="22" t="s">
        <v>710</v>
      </c>
      <c r="E300" s="2" t="str">
        <f>VLOOKUP($C300,[1]Detail!$C:$AK,6,0)</f>
        <v>PMT1</v>
      </c>
      <c r="F300" s="2" t="str">
        <f>VLOOKUP($C300,[1]Detail!$C:$AK,7,0)</f>
        <v>TH</v>
      </c>
      <c r="G300" s="2" t="str">
        <f>VLOOKUP($C300,[1]Detail!$C:$AK,5,0)</f>
        <v>D</v>
      </c>
      <c r="J300" s="22" t="s">
        <v>126</v>
      </c>
      <c r="K300" s="23" t="s">
        <v>711</v>
      </c>
      <c r="L300" s="22" t="s">
        <v>198</v>
      </c>
      <c r="M300" s="51" t="str">
        <f t="shared" si="253"/>
        <v>JD8B-17K823-BAW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1</v>
      </c>
      <c r="V300" s="22">
        <v>1</v>
      </c>
      <c r="W300" s="64">
        <f t="shared" si="254"/>
        <v>0.1</v>
      </c>
      <c r="Y300" s="8">
        <f>-333.31*0-326.98</f>
        <v>-326.98</v>
      </c>
      <c r="Z300" s="8">
        <v>-2.5499999999999998</v>
      </c>
      <c r="AA300" s="8">
        <v>-5.71</v>
      </c>
      <c r="AB300" s="8">
        <v>0</v>
      </c>
      <c r="AC300" s="8">
        <v>0</v>
      </c>
      <c r="AD300" s="8">
        <f t="shared" si="255"/>
        <v>-335.24</v>
      </c>
      <c r="AE300" s="2" t="s">
        <v>91</v>
      </c>
      <c r="AG300" s="8">
        <v>0</v>
      </c>
      <c r="AH300" s="8">
        <v>0</v>
      </c>
      <c r="AJ300" s="70">
        <v>0</v>
      </c>
      <c r="AK300" s="70">
        <v>0</v>
      </c>
      <c r="AL300" s="72">
        <v>0</v>
      </c>
      <c r="AM300" s="22"/>
      <c r="AO300" s="22" t="s">
        <v>126</v>
      </c>
      <c r="AP300" s="23" t="s">
        <v>711</v>
      </c>
      <c r="AQ300" s="22" t="s">
        <v>198</v>
      </c>
      <c r="AR300" s="51" t="str">
        <f t="shared" si="250"/>
        <v>JD8B-17K823-BAW</v>
      </c>
      <c r="AS300" s="3"/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1</v>
      </c>
      <c r="BA300" s="22">
        <v>1</v>
      </c>
      <c r="BB300" s="64">
        <f t="shared" si="251"/>
        <v>0.1</v>
      </c>
      <c r="BD300" s="60">
        <v>-333.31</v>
      </c>
      <c r="BE300" s="60">
        <v>-2.5499999999999998</v>
      </c>
      <c r="BF300" s="95">
        <v>-5.71</v>
      </c>
      <c r="BG300" s="95">
        <v>0</v>
      </c>
      <c r="BH300" s="95">
        <v>0</v>
      </c>
      <c r="BI300" s="8">
        <f t="shared" si="252"/>
        <v>-341.57</v>
      </c>
      <c r="BJ300" s="2" t="s">
        <v>91</v>
      </c>
      <c r="BL300" s="70">
        <v>0</v>
      </c>
      <c r="BM300" s="70">
        <v>0</v>
      </c>
      <c r="BO300" s="70">
        <v>0</v>
      </c>
      <c r="BP300" s="70">
        <v>0</v>
      </c>
      <c r="BQ300" s="72">
        <v>0</v>
      </c>
      <c r="BS300" s="61">
        <f t="shared" si="214"/>
        <v>6.3299999999999841</v>
      </c>
      <c r="BT300" s="61">
        <f t="shared" si="215"/>
        <v>0</v>
      </c>
      <c r="BU300" s="61">
        <f t="shared" si="216"/>
        <v>0</v>
      </c>
      <c r="BV300" s="61">
        <f t="shared" si="216"/>
        <v>0</v>
      </c>
      <c r="BW300" s="61">
        <f t="shared" si="216"/>
        <v>0</v>
      </c>
      <c r="BX300" s="61">
        <f t="shared" si="216"/>
        <v>6.3299999999999841</v>
      </c>
      <c r="BY300" s="61" t="s">
        <v>91</v>
      </c>
      <c r="CA300" s="61">
        <f t="shared" si="243"/>
        <v>0</v>
      </c>
      <c r="CB300" s="61">
        <f t="shared" si="240"/>
        <v>0</v>
      </c>
      <c r="CC300" s="61">
        <f t="shared" si="240"/>
        <v>0</v>
      </c>
      <c r="CD300" s="61">
        <f t="shared" si="240"/>
        <v>0</v>
      </c>
      <c r="CE300" s="61">
        <f t="shared" si="240"/>
        <v>0</v>
      </c>
      <c r="CF300" s="61">
        <f t="shared" si="240"/>
        <v>0</v>
      </c>
      <c r="CG300" s="61">
        <f t="shared" si="240"/>
        <v>0.9523093124717894</v>
      </c>
      <c r="CH300" s="61">
        <f t="shared" si="240"/>
        <v>0.9523093124717894</v>
      </c>
      <c r="CI300" s="61">
        <f t="shared" si="225"/>
        <v>9.5230931247178949E-2</v>
      </c>
      <c r="CJ300" s="61"/>
      <c r="CK300" s="61">
        <f t="shared" si="244"/>
        <v>0</v>
      </c>
      <c r="CL300" s="61">
        <f t="shared" si="241"/>
        <v>0</v>
      </c>
      <c r="CM300" s="61">
        <f t="shared" si="241"/>
        <v>0</v>
      </c>
      <c r="CN300" s="61">
        <f t="shared" si="241"/>
        <v>0</v>
      </c>
      <c r="CO300" s="61">
        <f t="shared" si="241"/>
        <v>0</v>
      </c>
      <c r="CP300" s="61">
        <f t="shared" si="241"/>
        <v>0</v>
      </c>
      <c r="CQ300" s="61">
        <f t="shared" si="241"/>
        <v>0.9523093124717894</v>
      </c>
      <c r="CR300" s="61">
        <f t="shared" si="241"/>
        <v>0.9523093124717894</v>
      </c>
      <c r="CS300" s="61">
        <f t="shared" si="226"/>
        <v>9.5230931247178949E-2</v>
      </c>
      <c r="CT300" s="61">
        <f t="shared" si="227"/>
        <v>0.63299999999999845</v>
      </c>
      <c r="CV300" s="61">
        <f t="shared" si="228"/>
        <v>0</v>
      </c>
      <c r="CW300" s="61">
        <f t="shared" si="207"/>
        <v>0</v>
      </c>
      <c r="CX300" s="61"/>
      <c r="CY300" s="61">
        <f t="shared" si="208"/>
        <v>0</v>
      </c>
      <c r="CZ300" s="61">
        <f t="shared" si="220"/>
        <v>0</v>
      </c>
      <c r="DA300" s="61">
        <f t="shared" si="220"/>
        <v>0</v>
      </c>
      <c r="DB300" s="2" t="s">
        <v>85</v>
      </c>
      <c r="DC300" s="2" t="s">
        <v>102</v>
      </c>
      <c r="DD300" s="2" t="s">
        <v>142</v>
      </c>
      <c r="DE300" s="2" t="s">
        <v>181</v>
      </c>
      <c r="DF300" s="3" t="s">
        <v>86</v>
      </c>
      <c r="DG300" s="62">
        <v>42879</v>
      </c>
      <c r="EC300" s="60"/>
      <c r="ED300" s="60"/>
      <c r="EE300" s="60"/>
      <c r="EF300" s="60"/>
    </row>
    <row r="301" spans="2:140" ht="12.75" hidden="1" customHeight="1">
      <c r="B301" s="99" t="s">
        <v>708</v>
      </c>
      <c r="C301" s="22" t="s">
        <v>709</v>
      </c>
      <c r="D301" s="22" t="s">
        <v>710</v>
      </c>
      <c r="E301" s="2" t="str">
        <f>VLOOKUP($C301,[1]Detail!$C:$AK,6,0)</f>
        <v>PMT1</v>
      </c>
      <c r="F301" s="2" t="str">
        <f>VLOOKUP($C301,[1]Detail!$C:$AK,7,0)</f>
        <v>TH</v>
      </c>
      <c r="G301" s="2" t="str">
        <f>VLOOKUP($C301,[1]Detail!$C:$AK,5,0)</f>
        <v>D</v>
      </c>
      <c r="J301" s="22" t="s">
        <v>126</v>
      </c>
      <c r="K301" s="23" t="s">
        <v>712</v>
      </c>
      <c r="L301" s="22" t="s">
        <v>100</v>
      </c>
      <c r="M301" s="51" t="str">
        <f t="shared" si="253"/>
        <v>JD8B-17A881-AA</v>
      </c>
      <c r="O301" s="22">
        <v>1</v>
      </c>
      <c r="P301" s="22">
        <v>1</v>
      </c>
      <c r="Q301" s="22">
        <v>1</v>
      </c>
      <c r="R301" s="22">
        <v>1</v>
      </c>
      <c r="S301" s="22">
        <v>1</v>
      </c>
      <c r="T301" s="22">
        <v>1</v>
      </c>
      <c r="U301" s="22">
        <v>1</v>
      </c>
      <c r="V301" s="22">
        <v>1</v>
      </c>
      <c r="W301" s="64">
        <f t="shared" si="254"/>
        <v>1</v>
      </c>
      <c r="Y301" s="8">
        <f>-10.82*0-14.32</f>
        <v>-14.32</v>
      </c>
      <c r="Z301" s="8">
        <v>-0.14000000000000001</v>
      </c>
      <c r="AA301" s="8">
        <v>-0.1</v>
      </c>
      <c r="AB301" s="8">
        <v>0</v>
      </c>
      <c r="AC301" s="8">
        <v>0</v>
      </c>
      <c r="AD301" s="8">
        <f t="shared" si="255"/>
        <v>-14.56</v>
      </c>
      <c r="AE301" s="2" t="s">
        <v>91</v>
      </c>
      <c r="AG301" s="8">
        <f>-292500*0-360750</f>
        <v>-360750</v>
      </c>
      <c r="AH301" s="8">
        <f>-292500*0-360750</f>
        <v>-360750</v>
      </c>
      <c r="AI301" s="6"/>
      <c r="AJ301" s="70">
        <v>0</v>
      </c>
      <c r="AK301" s="70">
        <v>0</v>
      </c>
      <c r="AL301" s="72">
        <v>0</v>
      </c>
      <c r="AM301" s="22"/>
      <c r="AO301" s="22" t="s">
        <v>126</v>
      </c>
      <c r="AP301" s="23" t="s">
        <v>712</v>
      </c>
      <c r="AQ301" s="22" t="s">
        <v>100</v>
      </c>
      <c r="AR301" s="51" t="str">
        <f t="shared" si="250"/>
        <v>JD8B-17A881-AA</v>
      </c>
      <c r="AS301" s="3"/>
      <c r="AT301" s="22">
        <v>1</v>
      </c>
      <c r="AU301" s="22">
        <v>1</v>
      </c>
      <c r="AV301" s="22">
        <v>1</v>
      </c>
      <c r="AW301" s="22">
        <v>1</v>
      </c>
      <c r="AX301" s="22">
        <v>1</v>
      </c>
      <c r="AY301" s="22">
        <v>1</v>
      </c>
      <c r="AZ301" s="22">
        <v>1</v>
      </c>
      <c r="BA301" s="22">
        <v>1</v>
      </c>
      <c r="BB301" s="64">
        <f t="shared" si="251"/>
        <v>1</v>
      </c>
      <c r="BD301" s="60">
        <v>-10.82</v>
      </c>
      <c r="BE301" s="60">
        <v>-0.14000000000000001</v>
      </c>
      <c r="BF301" s="95">
        <v>-0.1</v>
      </c>
      <c r="BG301" s="95">
        <v>0</v>
      </c>
      <c r="BH301" s="95">
        <v>0</v>
      </c>
      <c r="BI301" s="8">
        <f t="shared" si="252"/>
        <v>-11.06</v>
      </c>
      <c r="BJ301" s="2" t="s">
        <v>91</v>
      </c>
      <c r="BL301" s="70">
        <v>-292500</v>
      </c>
      <c r="BM301" s="70">
        <v>-292500</v>
      </c>
      <c r="BO301" s="70">
        <v>0</v>
      </c>
      <c r="BP301" s="70">
        <v>0</v>
      </c>
      <c r="BQ301" s="72">
        <v>0</v>
      </c>
      <c r="BS301" s="61">
        <f t="shared" si="214"/>
        <v>-3.5</v>
      </c>
      <c r="BT301" s="61">
        <f t="shared" si="215"/>
        <v>0</v>
      </c>
      <c r="BU301" s="61">
        <f t="shared" si="216"/>
        <v>0</v>
      </c>
      <c r="BV301" s="61">
        <f t="shared" si="216"/>
        <v>0</v>
      </c>
      <c r="BW301" s="61">
        <f t="shared" si="216"/>
        <v>0</v>
      </c>
      <c r="BX301" s="61">
        <f t="shared" si="216"/>
        <v>-3.5</v>
      </c>
      <c r="BY301" s="61" t="s">
        <v>91</v>
      </c>
      <c r="CA301" s="61">
        <f t="shared" si="243"/>
        <v>-0.5265533323303746</v>
      </c>
      <c r="CB301" s="61">
        <f t="shared" si="240"/>
        <v>-0.5265533323303746</v>
      </c>
      <c r="CC301" s="61">
        <f t="shared" si="240"/>
        <v>-0.5265533323303746</v>
      </c>
      <c r="CD301" s="61">
        <f t="shared" si="240"/>
        <v>-0.5265533323303746</v>
      </c>
      <c r="CE301" s="61">
        <f t="shared" si="240"/>
        <v>-0.5265533323303746</v>
      </c>
      <c r="CF301" s="61">
        <f t="shared" si="240"/>
        <v>-0.5265533323303746</v>
      </c>
      <c r="CG301" s="61">
        <f t="shared" si="240"/>
        <v>-0.5265533323303746</v>
      </c>
      <c r="CH301" s="61">
        <f t="shared" si="240"/>
        <v>-0.5265533323303746</v>
      </c>
      <c r="CI301" s="61">
        <f t="shared" si="225"/>
        <v>-0.52655333233037471</v>
      </c>
      <c r="CJ301" s="61"/>
      <c r="CK301" s="61">
        <f t="shared" si="244"/>
        <v>-0.5265533323303746</v>
      </c>
      <c r="CL301" s="61">
        <f t="shared" si="241"/>
        <v>-0.5265533323303746</v>
      </c>
      <c r="CM301" s="61">
        <f t="shared" si="241"/>
        <v>-0.5265533323303746</v>
      </c>
      <c r="CN301" s="61">
        <f t="shared" si="241"/>
        <v>-0.5265533323303746</v>
      </c>
      <c r="CO301" s="61">
        <f t="shared" si="241"/>
        <v>-0.5265533323303746</v>
      </c>
      <c r="CP301" s="61">
        <f t="shared" si="241"/>
        <v>-0.5265533323303746</v>
      </c>
      <c r="CQ301" s="61">
        <f t="shared" si="241"/>
        <v>-0.5265533323303746</v>
      </c>
      <c r="CR301" s="61">
        <f t="shared" si="241"/>
        <v>-0.5265533323303746</v>
      </c>
      <c r="CS301" s="61">
        <f t="shared" si="226"/>
        <v>-0.52655333233037471</v>
      </c>
      <c r="CT301" s="61">
        <f t="shared" si="227"/>
        <v>-3.5000000000000009</v>
      </c>
      <c r="CV301" s="61">
        <f t="shared" si="228"/>
        <v>-68250</v>
      </c>
      <c r="CW301" s="61">
        <f t="shared" si="207"/>
        <v>-68250</v>
      </c>
      <c r="CX301" s="61"/>
      <c r="CY301" s="61">
        <f t="shared" si="208"/>
        <v>0</v>
      </c>
      <c r="CZ301" s="61">
        <f t="shared" si="220"/>
        <v>0</v>
      </c>
      <c r="DA301" s="61">
        <f t="shared" si="220"/>
        <v>0</v>
      </c>
      <c r="DB301" s="2" t="s">
        <v>85</v>
      </c>
      <c r="DC301" s="2" t="s">
        <v>102</v>
      </c>
      <c r="DD301" s="2" t="s">
        <v>142</v>
      </c>
      <c r="DE301" s="2" t="s">
        <v>181</v>
      </c>
      <c r="DF301" s="3" t="s">
        <v>86</v>
      </c>
      <c r="DG301" s="62">
        <v>42879</v>
      </c>
      <c r="EC301" s="60"/>
      <c r="ED301" s="60"/>
      <c r="EE301" s="60"/>
      <c r="EF301" s="60"/>
    </row>
    <row r="302" spans="2:140" ht="12.75" hidden="1" customHeight="1">
      <c r="B302" s="99" t="s">
        <v>708</v>
      </c>
      <c r="C302" s="22" t="s">
        <v>709</v>
      </c>
      <c r="D302" s="22" t="s">
        <v>710</v>
      </c>
      <c r="E302" s="2" t="str">
        <f>VLOOKUP($C302,[1]Detail!$C:$AK,6,0)</f>
        <v>PMT1</v>
      </c>
      <c r="F302" s="2" t="str">
        <f>VLOOKUP($C302,[1]Detail!$C:$AK,7,0)</f>
        <v>TH</v>
      </c>
      <c r="G302" s="2" t="str">
        <f>VLOOKUP($C302,[1]Detail!$C:$AK,5,0)</f>
        <v>D</v>
      </c>
      <c r="J302" s="22" t="s">
        <v>126</v>
      </c>
      <c r="K302" s="23" t="s">
        <v>713</v>
      </c>
      <c r="L302" s="22" t="s">
        <v>100</v>
      </c>
      <c r="M302" s="51" t="str">
        <f t="shared" si="253"/>
        <v>JD8B-17A882-AA</v>
      </c>
      <c r="O302" s="22">
        <v>1</v>
      </c>
      <c r="P302" s="22">
        <v>1</v>
      </c>
      <c r="Q302" s="22">
        <v>1</v>
      </c>
      <c r="R302" s="22">
        <v>1</v>
      </c>
      <c r="S302" s="22">
        <v>1</v>
      </c>
      <c r="T302" s="22">
        <v>1</v>
      </c>
      <c r="U302" s="22">
        <v>1</v>
      </c>
      <c r="V302" s="22">
        <v>1</v>
      </c>
      <c r="W302" s="64">
        <f t="shared" si="254"/>
        <v>1</v>
      </c>
      <c r="Y302" s="8">
        <f>-10.82*0-14.32</f>
        <v>-14.32</v>
      </c>
      <c r="Z302" s="8">
        <v>-0.14000000000000001</v>
      </c>
      <c r="AA302" s="8">
        <v>-0.1</v>
      </c>
      <c r="AB302" s="8">
        <v>0</v>
      </c>
      <c r="AC302" s="8">
        <v>0</v>
      </c>
      <c r="AD302" s="8">
        <f t="shared" si="255"/>
        <v>-14.56</v>
      </c>
      <c r="AE302" s="2" t="s">
        <v>91</v>
      </c>
      <c r="AG302" s="8">
        <f>-292500*0-360750</f>
        <v>-360750</v>
      </c>
      <c r="AH302" s="8">
        <f>-292500*0-360750</f>
        <v>-360750</v>
      </c>
      <c r="AI302" s="6"/>
      <c r="AJ302" s="70">
        <v>0</v>
      </c>
      <c r="AK302" s="70">
        <v>0</v>
      </c>
      <c r="AL302" s="72">
        <v>0</v>
      </c>
      <c r="AM302" s="22"/>
      <c r="AO302" s="22" t="s">
        <v>126</v>
      </c>
      <c r="AP302" s="23" t="s">
        <v>713</v>
      </c>
      <c r="AQ302" s="22" t="s">
        <v>100</v>
      </c>
      <c r="AR302" s="51" t="str">
        <f t="shared" si="250"/>
        <v>JD8B-17A882-AA</v>
      </c>
      <c r="AS302" s="3"/>
      <c r="AT302" s="22">
        <v>1</v>
      </c>
      <c r="AU302" s="22">
        <v>1</v>
      </c>
      <c r="AV302" s="22">
        <v>1</v>
      </c>
      <c r="AW302" s="22">
        <v>1</v>
      </c>
      <c r="AX302" s="22">
        <v>1</v>
      </c>
      <c r="AY302" s="22">
        <v>1</v>
      </c>
      <c r="AZ302" s="22">
        <v>1</v>
      </c>
      <c r="BA302" s="22">
        <v>1</v>
      </c>
      <c r="BB302" s="64">
        <f t="shared" si="251"/>
        <v>1</v>
      </c>
      <c r="BD302" s="60">
        <v>-10.82</v>
      </c>
      <c r="BE302" s="60">
        <v>-0.14000000000000001</v>
      </c>
      <c r="BF302" s="95">
        <v>-0.1</v>
      </c>
      <c r="BG302" s="95">
        <v>0</v>
      </c>
      <c r="BH302" s="95">
        <v>0</v>
      </c>
      <c r="BI302" s="8">
        <f t="shared" si="252"/>
        <v>-11.06</v>
      </c>
      <c r="BJ302" s="2" t="s">
        <v>91</v>
      </c>
      <c r="BL302" s="70">
        <v>-292500</v>
      </c>
      <c r="BM302" s="70">
        <v>-292500</v>
      </c>
      <c r="BO302" s="70">
        <v>0</v>
      </c>
      <c r="BP302" s="70">
        <v>0</v>
      </c>
      <c r="BQ302" s="72">
        <v>0</v>
      </c>
      <c r="BS302" s="61">
        <f t="shared" si="214"/>
        <v>-3.5</v>
      </c>
      <c r="BT302" s="61">
        <f t="shared" si="215"/>
        <v>0</v>
      </c>
      <c r="BU302" s="61">
        <f t="shared" si="216"/>
        <v>0</v>
      </c>
      <c r="BV302" s="61">
        <f t="shared" si="216"/>
        <v>0</v>
      </c>
      <c r="BW302" s="61">
        <f t="shared" si="216"/>
        <v>0</v>
      </c>
      <c r="BX302" s="61">
        <f t="shared" si="216"/>
        <v>-3.5</v>
      </c>
      <c r="BY302" s="61" t="s">
        <v>91</v>
      </c>
      <c r="CA302" s="61">
        <f t="shared" si="243"/>
        <v>-0.5265533323303746</v>
      </c>
      <c r="CB302" s="61">
        <f t="shared" si="240"/>
        <v>-0.5265533323303746</v>
      </c>
      <c r="CC302" s="61">
        <f t="shared" si="240"/>
        <v>-0.5265533323303746</v>
      </c>
      <c r="CD302" s="61">
        <f t="shared" si="240"/>
        <v>-0.5265533323303746</v>
      </c>
      <c r="CE302" s="61">
        <f t="shared" si="240"/>
        <v>-0.5265533323303746</v>
      </c>
      <c r="CF302" s="61">
        <f t="shared" si="240"/>
        <v>-0.5265533323303746</v>
      </c>
      <c r="CG302" s="61">
        <f t="shared" si="240"/>
        <v>-0.5265533323303746</v>
      </c>
      <c r="CH302" s="61">
        <f t="shared" si="240"/>
        <v>-0.5265533323303746</v>
      </c>
      <c r="CI302" s="61">
        <f t="shared" si="225"/>
        <v>-0.52655333233037471</v>
      </c>
      <c r="CJ302" s="61"/>
      <c r="CK302" s="61">
        <f t="shared" si="244"/>
        <v>-0.5265533323303746</v>
      </c>
      <c r="CL302" s="61">
        <f t="shared" si="241"/>
        <v>-0.5265533323303746</v>
      </c>
      <c r="CM302" s="61">
        <f t="shared" si="241"/>
        <v>-0.5265533323303746</v>
      </c>
      <c r="CN302" s="61">
        <f t="shared" si="241"/>
        <v>-0.5265533323303746</v>
      </c>
      <c r="CO302" s="61">
        <f t="shared" si="241"/>
        <v>-0.5265533323303746</v>
      </c>
      <c r="CP302" s="61">
        <f t="shared" si="241"/>
        <v>-0.5265533323303746</v>
      </c>
      <c r="CQ302" s="61">
        <f t="shared" si="241"/>
        <v>-0.5265533323303746</v>
      </c>
      <c r="CR302" s="61">
        <f t="shared" si="241"/>
        <v>-0.5265533323303746</v>
      </c>
      <c r="CS302" s="61">
        <f t="shared" si="226"/>
        <v>-0.52655333233037471</v>
      </c>
      <c r="CT302" s="61">
        <f t="shared" si="227"/>
        <v>-3.5000000000000009</v>
      </c>
      <c r="CV302" s="61">
        <f t="shared" si="228"/>
        <v>-68250</v>
      </c>
      <c r="CW302" s="61">
        <f t="shared" si="207"/>
        <v>-68250</v>
      </c>
      <c r="CX302" s="61"/>
      <c r="CY302" s="61">
        <f t="shared" si="208"/>
        <v>0</v>
      </c>
      <c r="CZ302" s="61">
        <f t="shared" si="220"/>
        <v>0</v>
      </c>
      <c r="DA302" s="61">
        <f t="shared" si="220"/>
        <v>0</v>
      </c>
      <c r="DB302" s="2" t="s">
        <v>85</v>
      </c>
      <c r="DC302" s="2" t="s">
        <v>102</v>
      </c>
      <c r="DD302" s="2" t="s">
        <v>142</v>
      </c>
      <c r="DE302" s="2" t="s">
        <v>181</v>
      </c>
      <c r="DF302" s="3" t="s">
        <v>86</v>
      </c>
      <c r="DG302" s="62">
        <v>42879</v>
      </c>
      <c r="EC302" s="60"/>
      <c r="ED302" s="60"/>
      <c r="EE302" s="60"/>
      <c r="EF302" s="60"/>
    </row>
    <row r="303" spans="2:140" ht="12.75" hidden="1" customHeight="1">
      <c r="B303" s="99" t="s">
        <v>708</v>
      </c>
      <c r="C303" s="22" t="s">
        <v>709</v>
      </c>
      <c r="D303" s="22" t="s">
        <v>710</v>
      </c>
      <c r="E303" s="2" t="str">
        <f>VLOOKUP($C303,[1]Detail!$C:$AK,6,0)</f>
        <v>PMT1</v>
      </c>
      <c r="F303" s="2" t="str">
        <f>VLOOKUP($C303,[1]Detail!$C:$AK,7,0)</f>
        <v>TH</v>
      </c>
      <c r="G303" s="2" t="str">
        <f>VLOOKUP($C303,[1]Detail!$C:$AK,5,0)</f>
        <v>D</v>
      </c>
      <c r="J303" s="22" t="s">
        <v>126</v>
      </c>
      <c r="K303" s="23" t="s">
        <v>714</v>
      </c>
      <c r="L303" s="22" t="s">
        <v>100</v>
      </c>
      <c r="M303" s="51" t="str">
        <f t="shared" si="253"/>
        <v>JD8B-17B861-AA</v>
      </c>
      <c r="O303" s="22">
        <v>1</v>
      </c>
      <c r="P303" s="22">
        <v>1</v>
      </c>
      <c r="Q303" s="22">
        <v>1</v>
      </c>
      <c r="R303" s="22">
        <v>1</v>
      </c>
      <c r="S303" s="22">
        <v>1</v>
      </c>
      <c r="T303" s="22">
        <v>1</v>
      </c>
      <c r="U303" s="22">
        <v>1</v>
      </c>
      <c r="V303" s="22">
        <v>1</v>
      </c>
      <c r="W303" s="64">
        <f t="shared" si="254"/>
        <v>1</v>
      </c>
      <c r="Y303" s="8">
        <v>-13.94</v>
      </c>
      <c r="Z303" s="8">
        <v>-0.24</v>
      </c>
      <c r="AA303" s="8">
        <v>-0.17</v>
      </c>
      <c r="AB303" s="8">
        <v>0</v>
      </c>
      <c r="AC303" s="8">
        <v>0</v>
      </c>
      <c r="AD303" s="8">
        <f t="shared" si="255"/>
        <v>-14.35</v>
      </c>
      <c r="AE303" s="2" t="s">
        <v>91</v>
      </c>
      <c r="AG303" s="8">
        <v>-501500</v>
      </c>
      <c r="AH303" s="8">
        <v>-501500</v>
      </c>
      <c r="AI303" s="6"/>
      <c r="AJ303" s="70">
        <v>0</v>
      </c>
      <c r="AK303" s="70">
        <v>0</v>
      </c>
      <c r="AL303" s="72">
        <v>0</v>
      </c>
      <c r="AM303" s="22"/>
      <c r="AO303" s="22" t="s">
        <v>126</v>
      </c>
      <c r="AP303" s="23" t="s">
        <v>714</v>
      </c>
      <c r="AQ303" s="22" t="s">
        <v>100</v>
      </c>
      <c r="AR303" s="51" t="str">
        <f t="shared" si="250"/>
        <v>JD8B-17B861-AA</v>
      </c>
      <c r="AS303" s="3"/>
      <c r="AT303" s="22">
        <v>1</v>
      </c>
      <c r="AU303" s="22">
        <v>1</v>
      </c>
      <c r="AV303" s="22">
        <v>1</v>
      </c>
      <c r="AW303" s="22">
        <v>1</v>
      </c>
      <c r="AX303" s="22">
        <v>1</v>
      </c>
      <c r="AY303" s="22">
        <v>1</v>
      </c>
      <c r="AZ303" s="22">
        <v>1</v>
      </c>
      <c r="BA303" s="22">
        <v>1</v>
      </c>
      <c r="BB303" s="64">
        <f t="shared" si="251"/>
        <v>1</v>
      </c>
      <c r="BD303" s="60">
        <v>-13.94</v>
      </c>
      <c r="BE303" s="60">
        <v>-0.24</v>
      </c>
      <c r="BF303" s="95">
        <v>-0.17</v>
      </c>
      <c r="BG303" s="95">
        <v>0</v>
      </c>
      <c r="BH303" s="95">
        <v>0</v>
      </c>
      <c r="BI303" s="8">
        <f t="shared" si="252"/>
        <v>-14.35</v>
      </c>
      <c r="BJ303" s="2" t="s">
        <v>91</v>
      </c>
      <c r="BL303" s="70">
        <v>-501500</v>
      </c>
      <c r="BM303" s="70">
        <v>-501500</v>
      </c>
      <c r="BO303" s="70">
        <v>0</v>
      </c>
      <c r="BP303" s="70">
        <v>0</v>
      </c>
      <c r="BQ303" s="72">
        <v>0</v>
      </c>
      <c r="BS303" s="61">
        <f t="shared" si="214"/>
        <v>0</v>
      </c>
      <c r="BT303" s="61">
        <f t="shared" si="215"/>
        <v>0</v>
      </c>
      <c r="BU303" s="61">
        <f t="shared" si="216"/>
        <v>0</v>
      </c>
      <c r="BV303" s="61">
        <f t="shared" si="216"/>
        <v>0</v>
      </c>
      <c r="BW303" s="61">
        <f t="shared" si="216"/>
        <v>0</v>
      </c>
      <c r="BX303" s="61">
        <f t="shared" si="216"/>
        <v>0</v>
      </c>
      <c r="BY303" s="61" t="s">
        <v>91</v>
      </c>
      <c r="CA303" s="61">
        <f t="shared" si="243"/>
        <v>0</v>
      </c>
      <c r="CB303" s="61">
        <f t="shared" si="240"/>
        <v>0</v>
      </c>
      <c r="CC303" s="61">
        <f t="shared" si="240"/>
        <v>0</v>
      </c>
      <c r="CD303" s="61">
        <f t="shared" si="240"/>
        <v>0</v>
      </c>
      <c r="CE303" s="61">
        <f t="shared" si="240"/>
        <v>0</v>
      </c>
      <c r="CF303" s="61">
        <f t="shared" si="240"/>
        <v>0</v>
      </c>
      <c r="CG303" s="61">
        <f t="shared" si="240"/>
        <v>0</v>
      </c>
      <c r="CH303" s="61">
        <f t="shared" si="240"/>
        <v>0</v>
      </c>
      <c r="CI303" s="61">
        <f t="shared" si="225"/>
        <v>0</v>
      </c>
      <c r="CJ303" s="61"/>
      <c r="CK303" s="61">
        <f t="shared" si="244"/>
        <v>0</v>
      </c>
      <c r="CL303" s="61">
        <f t="shared" si="241"/>
        <v>0</v>
      </c>
      <c r="CM303" s="61">
        <f t="shared" si="241"/>
        <v>0</v>
      </c>
      <c r="CN303" s="61">
        <f t="shared" si="241"/>
        <v>0</v>
      </c>
      <c r="CO303" s="61">
        <f t="shared" si="241"/>
        <v>0</v>
      </c>
      <c r="CP303" s="61">
        <f t="shared" si="241"/>
        <v>0</v>
      </c>
      <c r="CQ303" s="61">
        <f t="shared" si="241"/>
        <v>0</v>
      </c>
      <c r="CR303" s="61">
        <f t="shared" si="241"/>
        <v>0</v>
      </c>
      <c r="CS303" s="61">
        <f t="shared" si="226"/>
        <v>0</v>
      </c>
      <c r="CT303" s="61">
        <f t="shared" si="227"/>
        <v>0</v>
      </c>
      <c r="CV303" s="61">
        <f t="shared" si="228"/>
        <v>0</v>
      </c>
      <c r="CW303" s="61">
        <f t="shared" si="207"/>
        <v>0</v>
      </c>
      <c r="CX303" s="61"/>
      <c r="CY303" s="61">
        <f t="shared" si="208"/>
        <v>0</v>
      </c>
      <c r="CZ303" s="61">
        <f t="shared" si="220"/>
        <v>0</v>
      </c>
      <c r="DA303" s="61">
        <f t="shared" si="220"/>
        <v>0</v>
      </c>
      <c r="DB303" s="2" t="s">
        <v>102</v>
      </c>
      <c r="DC303" s="2" t="s">
        <v>102</v>
      </c>
      <c r="DD303" s="2" t="s">
        <v>142</v>
      </c>
      <c r="DE303" s="2" t="s">
        <v>181</v>
      </c>
      <c r="DF303" s="3" t="s">
        <v>86</v>
      </c>
      <c r="DG303" s="62">
        <v>42879</v>
      </c>
      <c r="EC303" s="60" t="str">
        <f>VLOOKUP($M303,[1]Detail!$M:$BO,1,0)</f>
        <v>JD8B-17B861-AA</v>
      </c>
      <c r="ED303" s="60">
        <f>VLOOKUP($M303,[1]Detail!$M:$BO,22,0)</f>
        <v>-14.35</v>
      </c>
      <c r="EE303" s="60">
        <f>VLOOKUP($M303,[1]Detail!$M:$BO,42,0)</f>
        <v>-501500</v>
      </c>
      <c r="EF303" s="60">
        <f>VLOOKUP($M303,[1]Detail!$M:$BO,45,0)</f>
        <v>0</v>
      </c>
      <c r="EH303" s="60">
        <f>ED303-AD303</f>
        <v>0</v>
      </c>
      <c r="EI303" s="60">
        <f>EE303-AG303</f>
        <v>0</v>
      </c>
      <c r="EJ303" s="60">
        <f t="shared" ref="EJ303:EJ306" si="256">EF303-AJ303</f>
        <v>0</v>
      </c>
    </row>
    <row r="304" spans="2:140" ht="12.75" hidden="1" customHeight="1">
      <c r="B304" s="99" t="s">
        <v>708</v>
      </c>
      <c r="C304" s="22" t="s">
        <v>709</v>
      </c>
      <c r="D304" s="22" t="s">
        <v>710</v>
      </c>
      <c r="E304" s="2" t="str">
        <f>VLOOKUP($C304,[1]Detail!$C:$AK,6,0)</f>
        <v>PMT1</v>
      </c>
      <c r="F304" s="2" t="str">
        <f>VLOOKUP($C304,[1]Detail!$C:$AK,7,0)</f>
        <v>TH</v>
      </c>
      <c r="G304" s="2" t="str">
        <f>VLOOKUP($C304,[1]Detail!$C:$AK,5,0)</f>
        <v>D</v>
      </c>
      <c r="J304" s="22" t="s">
        <v>126</v>
      </c>
      <c r="K304" s="23" t="s">
        <v>715</v>
      </c>
      <c r="L304" s="22" t="s">
        <v>100</v>
      </c>
      <c r="M304" s="51" t="str">
        <f t="shared" si="253"/>
        <v>JD8B-17E850-AA</v>
      </c>
      <c r="O304" s="22">
        <v>1</v>
      </c>
      <c r="P304" s="22">
        <v>1</v>
      </c>
      <c r="Q304" s="22">
        <v>1</v>
      </c>
      <c r="R304" s="22">
        <v>1</v>
      </c>
      <c r="S304" s="22">
        <v>1</v>
      </c>
      <c r="T304" s="22">
        <v>1</v>
      </c>
      <c r="U304" s="22">
        <v>1</v>
      </c>
      <c r="V304" s="22">
        <v>1</v>
      </c>
      <c r="W304" s="64">
        <f t="shared" si="254"/>
        <v>1</v>
      </c>
      <c r="Y304" s="8">
        <f>-7.63*0-7.75</f>
        <v>-7.75</v>
      </c>
      <c r="Z304" s="8">
        <v>-0.14000000000000001</v>
      </c>
      <c r="AA304" s="8">
        <v>-0.1</v>
      </c>
      <c r="AB304" s="8">
        <v>0</v>
      </c>
      <c r="AC304" s="8">
        <v>0</v>
      </c>
      <c r="AD304" s="8">
        <f t="shared" si="255"/>
        <v>-7.9899999999999993</v>
      </c>
      <c r="AE304" s="2" t="s">
        <v>91</v>
      </c>
      <c r="AG304" s="8">
        <v>-187500</v>
      </c>
      <c r="AH304" s="8">
        <v>-187500</v>
      </c>
      <c r="AI304" s="6"/>
      <c r="AJ304" s="70">
        <v>0</v>
      </c>
      <c r="AK304" s="70">
        <v>0</v>
      </c>
      <c r="AL304" s="72">
        <v>0</v>
      </c>
      <c r="AM304" s="22"/>
      <c r="AO304" s="22" t="s">
        <v>126</v>
      </c>
      <c r="AP304" s="23" t="s">
        <v>715</v>
      </c>
      <c r="AQ304" s="22" t="s">
        <v>100</v>
      </c>
      <c r="AR304" s="51" t="str">
        <f t="shared" si="250"/>
        <v>JD8B-17E850-AA</v>
      </c>
      <c r="AS304" s="3"/>
      <c r="AT304" s="22">
        <v>1</v>
      </c>
      <c r="AU304" s="22">
        <v>1</v>
      </c>
      <c r="AV304" s="22">
        <v>1</v>
      </c>
      <c r="AW304" s="22">
        <v>1</v>
      </c>
      <c r="AX304" s="22">
        <v>1</v>
      </c>
      <c r="AY304" s="22">
        <v>1</v>
      </c>
      <c r="AZ304" s="22">
        <v>1</v>
      </c>
      <c r="BA304" s="22">
        <v>1</v>
      </c>
      <c r="BB304" s="64">
        <f t="shared" si="251"/>
        <v>1</v>
      </c>
      <c r="BD304" s="60">
        <v>-7.63</v>
      </c>
      <c r="BE304" s="60">
        <v>-0.14000000000000001</v>
      </c>
      <c r="BF304" s="95">
        <v>-0.1</v>
      </c>
      <c r="BG304" s="95">
        <v>0</v>
      </c>
      <c r="BH304" s="95">
        <v>0</v>
      </c>
      <c r="BI304" s="8">
        <f t="shared" si="252"/>
        <v>-7.8699999999999992</v>
      </c>
      <c r="BJ304" s="2" t="s">
        <v>91</v>
      </c>
      <c r="BL304" s="70">
        <v>-187500</v>
      </c>
      <c r="BM304" s="70">
        <v>-187500</v>
      </c>
      <c r="BO304" s="70">
        <v>0</v>
      </c>
      <c r="BP304" s="70">
        <v>0</v>
      </c>
      <c r="BQ304" s="72">
        <v>0</v>
      </c>
      <c r="BS304" s="61">
        <f t="shared" si="214"/>
        <v>-0.12000000000000011</v>
      </c>
      <c r="BT304" s="61">
        <f t="shared" si="215"/>
        <v>0</v>
      </c>
      <c r="BU304" s="61">
        <f t="shared" si="216"/>
        <v>0</v>
      </c>
      <c r="BV304" s="61">
        <f t="shared" si="216"/>
        <v>0</v>
      </c>
      <c r="BW304" s="61">
        <f t="shared" si="216"/>
        <v>0</v>
      </c>
      <c r="BX304" s="61">
        <f t="shared" si="216"/>
        <v>-0.12000000000000011</v>
      </c>
      <c r="BY304" s="61" t="s">
        <v>91</v>
      </c>
      <c r="CA304" s="61">
        <f t="shared" si="243"/>
        <v>-1.8053257108470003E-2</v>
      </c>
      <c r="CB304" s="61">
        <f t="shared" si="240"/>
        <v>-1.8053257108470003E-2</v>
      </c>
      <c r="CC304" s="61">
        <f t="shared" si="240"/>
        <v>-1.8053257108470003E-2</v>
      </c>
      <c r="CD304" s="61">
        <f t="shared" si="240"/>
        <v>-1.8053257108470003E-2</v>
      </c>
      <c r="CE304" s="61">
        <f t="shared" si="240"/>
        <v>-1.8053257108470003E-2</v>
      </c>
      <c r="CF304" s="61">
        <f t="shared" si="240"/>
        <v>-1.8053257108470003E-2</v>
      </c>
      <c r="CG304" s="61">
        <f t="shared" si="240"/>
        <v>-1.8053257108470003E-2</v>
      </c>
      <c r="CH304" s="61">
        <f t="shared" si="240"/>
        <v>-1.8053257108470003E-2</v>
      </c>
      <c r="CI304" s="61">
        <f t="shared" si="225"/>
        <v>-1.8053257108470007E-2</v>
      </c>
      <c r="CJ304" s="61"/>
      <c r="CK304" s="61">
        <f t="shared" si="244"/>
        <v>-1.8053257108470003E-2</v>
      </c>
      <c r="CL304" s="61">
        <f t="shared" si="241"/>
        <v>-1.8053257108470003E-2</v>
      </c>
      <c r="CM304" s="61">
        <f t="shared" si="241"/>
        <v>-1.8053257108470003E-2</v>
      </c>
      <c r="CN304" s="61">
        <f t="shared" si="241"/>
        <v>-1.8053257108470003E-2</v>
      </c>
      <c r="CO304" s="61">
        <f t="shared" si="241"/>
        <v>-1.8053257108470003E-2</v>
      </c>
      <c r="CP304" s="61">
        <f t="shared" si="241"/>
        <v>-1.8053257108470003E-2</v>
      </c>
      <c r="CQ304" s="61">
        <f t="shared" si="241"/>
        <v>-1.8053257108470003E-2</v>
      </c>
      <c r="CR304" s="61">
        <f t="shared" si="241"/>
        <v>-1.8053257108470003E-2</v>
      </c>
      <c r="CS304" s="61">
        <f t="shared" si="226"/>
        <v>-1.8053257108470007E-2</v>
      </c>
      <c r="CT304" s="61">
        <f t="shared" si="227"/>
        <v>-0.12000000000000013</v>
      </c>
      <c r="CV304" s="61">
        <f t="shared" si="228"/>
        <v>0</v>
      </c>
      <c r="CW304" s="61">
        <f t="shared" si="207"/>
        <v>0</v>
      </c>
      <c r="CX304" s="61"/>
      <c r="CY304" s="61">
        <f t="shared" si="208"/>
        <v>0</v>
      </c>
      <c r="CZ304" s="61">
        <f t="shared" si="220"/>
        <v>0</v>
      </c>
      <c r="DA304" s="61">
        <f t="shared" si="220"/>
        <v>0</v>
      </c>
      <c r="DB304" s="2" t="s">
        <v>102</v>
      </c>
      <c r="DC304" s="2" t="s">
        <v>102</v>
      </c>
      <c r="DD304" s="2" t="s">
        <v>142</v>
      </c>
      <c r="DE304" s="2" t="s">
        <v>181</v>
      </c>
      <c r="DF304" s="3" t="s">
        <v>86</v>
      </c>
      <c r="DG304" s="62">
        <v>42879</v>
      </c>
      <c r="EC304" s="60" t="str">
        <f>VLOOKUP($M304,[1]Detail!$M:$BO,1,0)</f>
        <v>JD8B-17E850-AA</v>
      </c>
      <c r="ED304" s="60">
        <f>VLOOKUP($M304,[1]Detail!$M:$BO,22,0)</f>
        <v>-7.9899999999999993</v>
      </c>
      <c r="EE304" s="60">
        <f>VLOOKUP($M304,[1]Detail!$M:$BO,42,0)</f>
        <v>-187500</v>
      </c>
      <c r="EF304" s="60">
        <f>VLOOKUP($M304,[1]Detail!$M:$BO,45,0)</f>
        <v>0</v>
      </c>
      <c r="EH304" s="60">
        <f>ED304-AD304</f>
        <v>0</v>
      </c>
      <c r="EI304" s="60">
        <f>EE304-AG304</f>
        <v>0</v>
      </c>
      <c r="EJ304" s="60">
        <f t="shared" si="256"/>
        <v>0</v>
      </c>
    </row>
    <row r="305" spans="2:140" ht="12.75" hidden="1" customHeight="1">
      <c r="B305" s="99" t="s">
        <v>708</v>
      </c>
      <c r="C305" s="22" t="s">
        <v>709</v>
      </c>
      <c r="D305" s="22" t="s">
        <v>710</v>
      </c>
      <c r="E305" s="2" t="str">
        <f>VLOOKUP($C305,[1]Detail!$C:$AK,6,0)</f>
        <v>PMT1</v>
      </c>
      <c r="F305" s="2" t="str">
        <f>VLOOKUP($C305,[1]Detail!$C:$AK,7,0)</f>
        <v>TH</v>
      </c>
      <c r="G305" s="2" t="str">
        <f>VLOOKUP($C305,[1]Detail!$C:$AK,5,0)</f>
        <v>D</v>
      </c>
      <c r="J305" s="22" t="s">
        <v>126</v>
      </c>
      <c r="K305" s="23" t="s">
        <v>716</v>
      </c>
      <c r="L305" s="22" t="s">
        <v>100</v>
      </c>
      <c r="M305" s="51" t="str">
        <f t="shared" si="253"/>
        <v>JD8B-17E851-AA</v>
      </c>
      <c r="O305" s="22">
        <v>1</v>
      </c>
      <c r="P305" s="22">
        <v>1</v>
      </c>
      <c r="Q305" s="22">
        <v>1</v>
      </c>
      <c r="R305" s="22">
        <v>1</v>
      </c>
      <c r="S305" s="22">
        <v>1</v>
      </c>
      <c r="T305" s="22">
        <v>1</v>
      </c>
      <c r="U305" s="22">
        <v>1</v>
      </c>
      <c r="V305" s="22">
        <v>1</v>
      </c>
      <c r="W305" s="64">
        <f t="shared" si="254"/>
        <v>1</v>
      </c>
      <c r="Y305" s="8">
        <f>-7.63*0-7.75</f>
        <v>-7.75</v>
      </c>
      <c r="Z305" s="8">
        <v>-0.14000000000000001</v>
      </c>
      <c r="AA305" s="8">
        <v>-0.1</v>
      </c>
      <c r="AB305" s="8">
        <v>0</v>
      </c>
      <c r="AC305" s="8">
        <v>0</v>
      </c>
      <c r="AD305" s="8">
        <f t="shared" si="255"/>
        <v>-7.9899999999999993</v>
      </c>
      <c r="AE305" s="2" t="s">
        <v>91</v>
      </c>
      <c r="AG305" s="8">
        <v>-187500</v>
      </c>
      <c r="AH305" s="8">
        <v>-187500</v>
      </c>
      <c r="AI305" s="6"/>
      <c r="AJ305" s="70">
        <v>0</v>
      </c>
      <c r="AK305" s="70">
        <v>0</v>
      </c>
      <c r="AL305" s="72">
        <v>0</v>
      </c>
      <c r="AM305" s="22"/>
      <c r="AO305" s="22" t="s">
        <v>126</v>
      </c>
      <c r="AP305" s="23" t="s">
        <v>716</v>
      </c>
      <c r="AQ305" s="22" t="s">
        <v>100</v>
      </c>
      <c r="AR305" s="51" t="str">
        <f t="shared" si="250"/>
        <v>JD8B-17E851-AA</v>
      </c>
      <c r="AS305" s="3"/>
      <c r="AT305" s="22">
        <v>1</v>
      </c>
      <c r="AU305" s="22">
        <v>1</v>
      </c>
      <c r="AV305" s="22">
        <v>1</v>
      </c>
      <c r="AW305" s="22">
        <v>1</v>
      </c>
      <c r="AX305" s="22">
        <v>1</v>
      </c>
      <c r="AY305" s="22">
        <v>1</v>
      </c>
      <c r="AZ305" s="22">
        <v>1</v>
      </c>
      <c r="BA305" s="22">
        <v>1</v>
      </c>
      <c r="BB305" s="64">
        <f t="shared" si="251"/>
        <v>1</v>
      </c>
      <c r="BD305" s="60">
        <v>-7.63</v>
      </c>
      <c r="BE305" s="60">
        <v>-0.14000000000000001</v>
      </c>
      <c r="BF305" s="95">
        <v>-0.1</v>
      </c>
      <c r="BG305" s="95">
        <v>0</v>
      </c>
      <c r="BH305" s="95">
        <v>0</v>
      </c>
      <c r="BI305" s="8">
        <f t="shared" si="252"/>
        <v>-7.8699999999999992</v>
      </c>
      <c r="BJ305" s="2" t="s">
        <v>91</v>
      </c>
      <c r="BL305" s="70">
        <v>-187500</v>
      </c>
      <c r="BM305" s="70">
        <v>-187500</v>
      </c>
      <c r="BO305" s="70">
        <v>0</v>
      </c>
      <c r="BP305" s="70">
        <v>0</v>
      </c>
      <c r="BQ305" s="72">
        <v>0</v>
      </c>
      <c r="BS305" s="61">
        <f t="shared" si="214"/>
        <v>-0.12000000000000011</v>
      </c>
      <c r="BT305" s="61">
        <f t="shared" si="215"/>
        <v>0</v>
      </c>
      <c r="BU305" s="61">
        <f t="shared" si="216"/>
        <v>0</v>
      </c>
      <c r="BV305" s="61">
        <f t="shared" si="216"/>
        <v>0</v>
      </c>
      <c r="BW305" s="61">
        <f t="shared" si="216"/>
        <v>0</v>
      </c>
      <c r="BX305" s="61">
        <f t="shared" si="216"/>
        <v>-0.12000000000000011</v>
      </c>
      <c r="BY305" s="61" t="s">
        <v>91</v>
      </c>
      <c r="CA305" s="61">
        <f t="shared" si="243"/>
        <v>-1.8053257108470003E-2</v>
      </c>
      <c r="CB305" s="61">
        <f t="shared" si="240"/>
        <v>-1.8053257108470003E-2</v>
      </c>
      <c r="CC305" s="61">
        <f t="shared" si="240"/>
        <v>-1.8053257108470003E-2</v>
      </c>
      <c r="CD305" s="61">
        <f t="shared" si="240"/>
        <v>-1.8053257108470003E-2</v>
      </c>
      <c r="CE305" s="61">
        <f t="shared" si="240"/>
        <v>-1.8053257108470003E-2</v>
      </c>
      <c r="CF305" s="61">
        <f t="shared" si="240"/>
        <v>-1.8053257108470003E-2</v>
      </c>
      <c r="CG305" s="61">
        <f t="shared" si="240"/>
        <v>-1.8053257108470003E-2</v>
      </c>
      <c r="CH305" s="61">
        <f t="shared" si="240"/>
        <v>-1.8053257108470003E-2</v>
      </c>
      <c r="CI305" s="61">
        <f t="shared" si="225"/>
        <v>-1.8053257108470007E-2</v>
      </c>
      <c r="CJ305" s="61"/>
      <c r="CK305" s="61">
        <f t="shared" si="244"/>
        <v>-1.8053257108470003E-2</v>
      </c>
      <c r="CL305" s="61">
        <f t="shared" si="241"/>
        <v>-1.8053257108470003E-2</v>
      </c>
      <c r="CM305" s="61">
        <f t="shared" si="241"/>
        <v>-1.8053257108470003E-2</v>
      </c>
      <c r="CN305" s="61">
        <f t="shared" si="241"/>
        <v>-1.8053257108470003E-2</v>
      </c>
      <c r="CO305" s="61">
        <f t="shared" si="241"/>
        <v>-1.8053257108470003E-2</v>
      </c>
      <c r="CP305" s="61">
        <f t="shared" si="241"/>
        <v>-1.8053257108470003E-2</v>
      </c>
      <c r="CQ305" s="61">
        <f t="shared" si="241"/>
        <v>-1.8053257108470003E-2</v>
      </c>
      <c r="CR305" s="61">
        <f t="shared" si="241"/>
        <v>-1.8053257108470003E-2</v>
      </c>
      <c r="CS305" s="61">
        <f t="shared" si="226"/>
        <v>-1.8053257108470007E-2</v>
      </c>
      <c r="CT305" s="61">
        <f t="shared" si="227"/>
        <v>-0.12000000000000013</v>
      </c>
      <c r="CV305" s="61">
        <f t="shared" si="228"/>
        <v>0</v>
      </c>
      <c r="CW305" s="61">
        <f t="shared" si="207"/>
        <v>0</v>
      </c>
      <c r="CX305" s="61"/>
      <c r="CY305" s="61">
        <f t="shared" si="208"/>
        <v>0</v>
      </c>
      <c r="CZ305" s="61">
        <f t="shared" si="220"/>
        <v>0</v>
      </c>
      <c r="DA305" s="61">
        <f t="shared" si="220"/>
        <v>0</v>
      </c>
      <c r="DB305" s="2" t="s">
        <v>102</v>
      </c>
      <c r="DC305" s="2" t="s">
        <v>102</v>
      </c>
      <c r="DD305" s="2" t="s">
        <v>142</v>
      </c>
      <c r="DE305" s="2" t="s">
        <v>181</v>
      </c>
      <c r="DF305" s="3" t="s">
        <v>86</v>
      </c>
      <c r="DG305" s="62">
        <v>42879</v>
      </c>
      <c r="EC305" s="60" t="str">
        <f>VLOOKUP($M305,[1]Detail!$M:$BO,1,0)</f>
        <v>JD8B-17E851-AA</v>
      </c>
      <c r="ED305" s="60">
        <f>VLOOKUP($M305,[1]Detail!$M:$BO,22,0)</f>
        <v>-7.9899999999999993</v>
      </c>
      <c r="EE305" s="60">
        <f>VLOOKUP($M305,[1]Detail!$M:$BO,42,0)</f>
        <v>-187500</v>
      </c>
      <c r="EF305" s="60">
        <f>VLOOKUP($M305,[1]Detail!$M:$BO,45,0)</f>
        <v>0</v>
      </c>
      <c r="EH305" s="60">
        <f>ED305-AD305</f>
        <v>0</v>
      </c>
      <c r="EI305" s="60">
        <f>EE305-AG305</f>
        <v>0</v>
      </c>
      <c r="EJ305" s="60">
        <f t="shared" si="256"/>
        <v>0</v>
      </c>
    </row>
    <row r="306" spans="2:140" ht="12.75" hidden="1" customHeight="1">
      <c r="B306" s="99" t="s">
        <v>708</v>
      </c>
      <c r="C306" s="22" t="s">
        <v>709</v>
      </c>
      <c r="D306" s="22" t="s">
        <v>710</v>
      </c>
      <c r="E306" s="2" t="str">
        <f>VLOOKUP($C306,[1]Detail!$C:$AK,6,0)</f>
        <v>PMT1</v>
      </c>
      <c r="F306" s="2" t="str">
        <f>VLOOKUP($C306,[1]Detail!$C:$AK,7,0)</f>
        <v>TH</v>
      </c>
      <c r="G306" s="2" t="str">
        <f>VLOOKUP($C306,[1]Detail!$C:$AK,5,0)</f>
        <v>D</v>
      </c>
      <c r="J306" s="22" t="s">
        <v>126</v>
      </c>
      <c r="K306" s="23" t="s">
        <v>717</v>
      </c>
      <c r="L306" s="22" t="s">
        <v>100</v>
      </c>
      <c r="M306" s="51" t="str">
        <f t="shared" si="253"/>
        <v>JD8B-17B918-AA</v>
      </c>
      <c r="O306" s="22">
        <v>2</v>
      </c>
      <c r="P306" s="22">
        <v>2</v>
      </c>
      <c r="Q306" s="22">
        <v>2</v>
      </c>
      <c r="R306" s="22">
        <v>2</v>
      </c>
      <c r="S306" s="22">
        <v>2</v>
      </c>
      <c r="T306" s="22">
        <v>2</v>
      </c>
      <c r="U306" s="22">
        <v>2</v>
      </c>
      <c r="V306" s="22">
        <v>2</v>
      </c>
      <c r="W306" s="64">
        <f t="shared" si="254"/>
        <v>2</v>
      </c>
      <c r="Y306" s="8">
        <v>-3.97</v>
      </c>
      <c r="Z306" s="8">
        <v>-7.0000000000000007E-2</v>
      </c>
      <c r="AA306" s="8">
        <v>-0.05</v>
      </c>
      <c r="AB306" s="8">
        <v>0</v>
      </c>
      <c r="AC306" s="8">
        <v>0</v>
      </c>
      <c r="AD306" s="8">
        <f t="shared" si="255"/>
        <v>-4.09</v>
      </c>
      <c r="AE306" s="2" t="s">
        <v>91</v>
      </c>
      <c r="AG306" s="8">
        <v>-166000</v>
      </c>
      <c r="AH306" s="8">
        <v>-166000</v>
      </c>
      <c r="AI306" s="6"/>
      <c r="AJ306" s="70">
        <v>0</v>
      </c>
      <c r="AK306" s="70">
        <v>0</v>
      </c>
      <c r="AL306" s="72">
        <v>0</v>
      </c>
      <c r="AM306" s="22"/>
      <c r="AO306" s="22" t="s">
        <v>126</v>
      </c>
      <c r="AP306" s="23" t="s">
        <v>717</v>
      </c>
      <c r="AQ306" s="22" t="s">
        <v>100</v>
      </c>
      <c r="AR306" s="51" t="str">
        <f t="shared" si="250"/>
        <v>JD8B-17B918-AA</v>
      </c>
      <c r="AS306" s="3"/>
      <c r="AT306" s="22">
        <v>2</v>
      </c>
      <c r="AU306" s="22">
        <v>2</v>
      </c>
      <c r="AV306" s="22">
        <v>2</v>
      </c>
      <c r="AW306" s="22">
        <v>2</v>
      </c>
      <c r="AX306" s="22">
        <v>2</v>
      </c>
      <c r="AY306" s="22">
        <v>2</v>
      </c>
      <c r="AZ306" s="22">
        <v>2</v>
      </c>
      <c r="BA306" s="22">
        <v>2</v>
      </c>
      <c r="BB306" s="64">
        <f t="shared" si="251"/>
        <v>2</v>
      </c>
      <c r="BD306" s="60">
        <v>-3.97</v>
      </c>
      <c r="BE306" s="60">
        <v>-7.0000000000000007E-2</v>
      </c>
      <c r="BF306" s="95">
        <v>-0.05</v>
      </c>
      <c r="BG306" s="95">
        <v>0</v>
      </c>
      <c r="BH306" s="95">
        <v>0</v>
      </c>
      <c r="BI306" s="8">
        <f t="shared" si="252"/>
        <v>-4.09</v>
      </c>
      <c r="BJ306" s="2" t="s">
        <v>91</v>
      </c>
      <c r="BL306" s="70">
        <v>-166000</v>
      </c>
      <c r="BM306" s="70">
        <v>-166000</v>
      </c>
      <c r="BO306" s="70">
        <v>0</v>
      </c>
      <c r="BP306" s="70">
        <v>0</v>
      </c>
      <c r="BQ306" s="72">
        <v>0</v>
      </c>
      <c r="BS306" s="61">
        <f t="shared" si="214"/>
        <v>0</v>
      </c>
      <c r="BT306" s="61">
        <f t="shared" si="215"/>
        <v>0</v>
      </c>
      <c r="BU306" s="61">
        <f t="shared" si="216"/>
        <v>0</v>
      </c>
      <c r="BV306" s="61">
        <f t="shared" si="216"/>
        <v>0</v>
      </c>
      <c r="BW306" s="61">
        <f t="shared" si="216"/>
        <v>0</v>
      </c>
      <c r="BX306" s="61">
        <f t="shared" ref="BX306:BX369" si="257">SUM(AD306)-SUM(BI306)</f>
        <v>0</v>
      </c>
      <c r="BY306" s="61" t="s">
        <v>91</v>
      </c>
      <c r="CA306" s="61">
        <f t="shared" si="243"/>
        <v>0</v>
      </c>
      <c r="CB306" s="61">
        <f t="shared" si="240"/>
        <v>0</v>
      </c>
      <c r="CC306" s="61">
        <f t="shared" si="240"/>
        <v>0</v>
      </c>
      <c r="CD306" s="61">
        <f t="shared" si="240"/>
        <v>0</v>
      </c>
      <c r="CE306" s="61">
        <f t="shared" si="240"/>
        <v>0</v>
      </c>
      <c r="CF306" s="61">
        <f t="shared" si="240"/>
        <v>0</v>
      </c>
      <c r="CG306" s="61">
        <f t="shared" si="240"/>
        <v>0</v>
      </c>
      <c r="CH306" s="61">
        <f t="shared" si="240"/>
        <v>0</v>
      </c>
      <c r="CI306" s="61">
        <f t="shared" si="225"/>
        <v>0</v>
      </c>
      <c r="CJ306" s="61"/>
      <c r="CK306" s="61">
        <f t="shared" si="244"/>
        <v>0</v>
      </c>
      <c r="CL306" s="61">
        <f t="shared" si="241"/>
        <v>0</v>
      </c>
      <c r="CM306" s="61">
        <f t="shared" si="241"/>
        <v>0</v>
      </c>
      <c r="CN306" s="61">
        <f t="shared" si="241"/>
        <v>0</v>
      </c>
      <c r="CO306" s="61">
        <f t="shared" si="241"/>
        <v>0</v>
      </c>
      <c r="CP306" s="61">
        <f t="shared" si="241"/>
        <v>0</v>
      </c>
      <c r="CQ306" s="61">
        <f t="shared" si="241"/>
        <v>0</v>
      </c>
      <c r="CR306" s="61">
        <f t="shared" si="241"/>
        <v>0</v>
      </c>
      <c r="CS306" s="61">
        <f t="shared" si="226"/>
        <v>0</v>
      </c>
      <c r="CT306" s="61">
        <f t="shared" si="227"/>
        <v>0</v>
      </c>
      <c r="CV306" s="61">
        <f t="shared" si="228"/>
        <v>0</v>
      </c>
      <c r="CW306" s="61">
        <f t="shared" si="207"/>
        <v>0</v>
      </c>
      <c r="CX306" s="61"/>
      <c r="CY306" s="61">
        <f t="shared" si="208"/>
        <v>0</v>
      </c>
      <c r="CZ306" s="61">
        <f t="shared" si="220"/>
        <v>0</v>
      </c>
      <c r="DA306" s="61">
        <f t="shared" si="220"/>
        <v>0</v>
      </c>
      <c r="DB306" s="2" t="s">
        <v>102</v>
      </c>
      <c r="DC306" s="2" t="s">
        <v>102</v>
      </c>
      <c r="DD306" s="2" t="s">
        <v>142</v>
      </c>
      <c r="DE306" s="2" t="s">
        <v>181</v>
      </c>
      <c r="DF306" s="3" t="s">
        <v>86</v>
      </c>
      <c r="DG306" s="62">
        <v>42879</v>
      </c>
      <c r="EC306" s="60" t="str">
        <f>VLOOKUP($M306,[1]Detail!$M:$BO,1,0)</f>
        <v>JD8B-17B918-AA</v>
      </c>
      <c r="ED306" s="60">
        <f>VLOOKUP($M306,[1]Detail!$M:$BO,22,0)</f>
        <v>-4.09</v>
      </c>
      <c r="EE306" s="60">
        <f>VLOOKUP($M306,[1]Detail!$M:$BO,42,0)</f>
        <v>-166000</v>
      </c>
      <c r="EF306" s="60">
        <f>VLOOKUP($M306,[1]Detail!$M:$BO,45,0)</f>
        <v>0</v>
      </c>
      <c r="EH306" s="60">
        <f>ED306-AD306</f>
        <v>0</v>
      </c>
      <c r="EI306" s="60">
        <f>EE306-AG306</f>
        <v>0</v>
      </c>
      <c r="EJ306" s="60">
        <f t="shared" si="256"/>
        <v>0</v>
      </c>
    </row>
    <row r="307" spans="2:140" ht="12.75" hidden="1" customHeight="1">
      <c r="B307" s="99" t="s">
        <v>649</v>
      </c>
      <c r="C307" s="22" t="s">
        <v>709</v>
      </c>
      <c r="D307" s="22" t="s">
        <v>710</v>
      </c>
      <c r="E307" s="2" t="str">
        <f>VLOOKUP($C307,[1]Detail!$C:$AK,6,0)</f>
        <v>PMT1</v>
      </c>
      <c r="F307" s="2" t="str">
        <f>VLOOKUP($C307,[1]Detail!$C:$AK,7,0)</f>
        <v>TH</v>
      </c>
      <c r="G307" s="2" t="str">
        <f>VLOOKUP($C307,[1]Detail!$C:$AK,5,0)</f>
        <v>D</v>
      </c>
      <c r="J307" s="22" t="s">
        <v>126</v>
      </c>
      <c r="K307" s="23" t="s">
        <v>711</v>
      </c>
      <c r="L307" s="22" t="s">
        <v>93</v>
      </c>
      <c r="M307" s="51" t="str">
        <f t="shared" si="253"/>
        <v>JD8B-17K823-ABW</v>
      </c>
      <c r="O307" s="22">
        <v>1</v>
      </c>
      <c r="P307" s="22">
        <v>1</v>
      </c>
      <c r="Q307" s="22">
        <v>1</v>
      </c>
      <c r="R307" s="22">
        <v>1</v>
      </c>
      <c r="S307" s="22">
        <v>1</v>
      </c>
      <c r="T307" s="22">
        <v>1</v>
      </c>
      <c r="U307" s="22">
        <v>0</v>
      </c>
      <c r="V307" s="22">
        <v>0</v>
      </c>
      <c r="W307" s="64">
        <f t="shared" si="254"/>
        <v>0.9</v>
      </c>
      <c r="Y307" s="8">
        <f>-251.56*0-246.39</f>
        <v>-246.39</v>
      </c>
      <c r="Z307" s="8">
        <v>-2.5499999999999998</v>
      </c>
      <c r="AA307" s="8">
        <v>-5.71</v>
      </c>
      <c r="AB307" s="8">
        <v>0</v>
      </c>
      <c r="AC307" s="8">
        <v>0</v>
      </c>
      <c r="AD307" s="8">
        <f t="shared" si="255"/>
        <v>-254.65</v>
      </c>
      <c r="AE307" s="2" t="s">
        <v>91</v>
      </c>
      <c r="AG307" s="8">
        <f>-7873500*0-7737000</f>
        <v>-7737000</v>
      </c>
      <c r="AH307" s="8">
        <f>-7873500*0-7737000</f>
        <v>-7737000</v>
      </c>
      <c r="AI307" s="6"/>
      <c r="AJ307" s="70">
        <v>0</v>
      </c>
      <c r="AK307" s="70">
        <v>0</v>
      </c>
      <c r="AL307" s="72">
        <v>0</v>
      </c>
      <c r="AM307" s="22"/>
      <c r="AO307" s="22" t="s">
        <v>126</v>
      </c>
      <c r="AP307" s="23" t="s">
        <v>711</v>
      </c>
      <c r="AQ307" s="22" t="s">
        <v>196</v>
      </c>
      <c r="AR307" s="51" t="str">
        <f t="shared" si="250"/>
        <v>JD8B-17K823-AAW</v>
      </c>
      <c r="AS307" s="3"/>
      <c r="AT307" s="22">
        <v>1</v>
      </c>
      <c r="AU307" s="22">
        <v>1</v>
      </c>
      <c r="AV307" s="22">
        <v>1</v>
      </c>
      <c r="AW307" s="22">
        <v>1</v>
      </c>
      <c r="AX307" s="22">
        <v>1</v>
      </c>
      <c r="AY307" s="22">
        <v>1</v>
      </c>
      <c r="AZ307" s="22">
        <v>0</v>
      </c>
      <c r="BA307" s="22">
        <v>0</v>
      </c>
      <c r="BB307" s="64">
        <f t="shared" si="251"/>
        <v>0.9</v>
      </c>
      <c r="BD307" s="60">
        <f>-251.56*0-246.39</f>
        <v>-246.39</v>
      </c>
      <c r="BE307" s="60">
        <v>-2.5499999999999998</v>
      </c>
      <c r="BF307" s="95">
        <v>-5.71</v>
      </c>
      <c r="BG307" s="95">
        <v>0</v>
      </c>
      <c r="BH307" s="95">
        <v>0</v>
      </c>
      <c r="BI307" s="8">
        <f t="shared" si="252"/>
        <v>-254.65</v>
      </c>
      <c r="BJ307" s="2" t="s">
        <v>91</v>
      </c>
      <c r="BL307" s="70">
        <f>-7873500*0-7737000</f>
        <v>-7737000</v>
      </c>
      <c r="BM307" s="70">
        <f>-7873500*0-7737000</f>
        <v>-7737000</v>
      </c>
      <c r="BO307" s="70">
        <v>0</v>
      </c>
      <c r="BP307" s="70">
        <v>0</v>
      </c>
      <c r="BQ307" s="72">
        <v>0</v>
      </c>
      <c r="BS307" s="61">
        <f t="shared" ref="BS307:BS358" si="258">SUM(Y307)-SUM(BD307)</f>
        <v>0</v>
      </c>
      <c r="BT307" s="61">
        <f t="shared" ref="BT307:BT358" si="259">SUM(Z307)-SUM(BE307)</f>
        <v>0</v>
      </c>
      <c r="BU307" s="61">
        <f t="shared" ref="BU307:BW358" si="260">SUM(AA307)-SUM(BF307)</f>
        <v>0</v>
      </c>
      <c r="BV307" s="61">
        <f t="shared" si="260"/>
        <v>0</v>
      </c>
      <c r="BW307" s="61">
        <f t="shared" si="260"/>
        <v>0</v>
      </c>
      <c r="BX307" s="61">
        <f t="shared" si="257"/>
        <v>0</v>
      </c>
      <c r="BY307" s="61" t="s">
        <v>91</v>
      </c>
      <c r="CA307" s="61">
        <f t="shared" si="243"/>
        <v>0</v>
      </c>
      <c r="CB307" s="61">
        <f t="shared" si="240"/>
        <v>0</v>
      </c>
      <c r="CC307" s="61">
        <f t="shared" si="240"/>
        <v>0</v>
      </c>
      <c r="CD307" s="61">
        <f t="shared" si="240"/>
        <v>0</v>
      </c>
      <c r="CE307" s="61">
        <f t="shared" si="240"/>
        <v>0</v>
      </c>
      <c r="CF307" s="61">
        <f t="shared" si="240"/>
        <v>0</v>
      </c>
      <c r="CG307" s="61">
        <f t="shared" si="240"/>
        <v>0</v>
      </c>
      <c r="CH307" s="61">
        <f t="shared" si="240"/>
        <v>0</v>
      </c>
      <c r="CI307" s="61">
        <f t="shared" si="225"/>
        <v>0</v>
      </c>
      <c r="CJ307" s="61"/>
      <c r="CK307" s="61">
        <f t="shared" si="244"/>
        <v>0</v>
      </c>
      <c r="CL307" s="61">
        <f t="shared" si="241"/>
        <v>0</v>
      </c>
      <c r="CM307" s="61">
        <f t="shared" si="241"/>
        <v>0</v>
      </c>
      <c r="CN307" s="61">
        <f t="shared" si="241"/>
        <v>0</v>
      </c>
      <c r="CO307" s="61">
        <f t="shared" si="241"/>
        <v>0</v>
      </c>
      <c r="CP307" s="61">
        <f t="shared" si="241"/>
        <v>0</v>
      </c>
      <c r="CQ307" s="61">
        <f t="shared" si="241"/>
        <v>0</v>
      </c>
      <c r="CR307" s="61">
        <f t="shared" si="241"/>
        <v>0</v>
      </c>
      <c r="CS307" s="61">
        <f t="shared" si="226"/>
        <v>0</v>
      </c>
      <c r="CT307" s="61">
        <f t="shared" si="227"/>
        <v>0</v>
      </c>
      <c r="CV307" s="61">
        <f t="shared" si="228"/>
        <v>0</v>
      </c>
      <c r="CW307" s="61">
        <f t="shared" ref="CW307:CW378" si="261">SUM(AH307)-SUM(BM307)</f>
        <v>0</v>
      </c>
      <c r="CX307" s="61"/>
      <c r="CY307" s="61">
        <f t="shared" ref="CY307:CY378" si="262">SUM(AJ307)-SUM(BO307)</f>
        <v>0</v>
      </c>
      <c r="CZ307" s="61">
        <f t="shared" si="220"/>
        <v>0</v>
      </c>
      <c r="DA307" s="61">
        <f t="shared" si="220"/>
        <v>0</v>
      </c>
      <c r="DB307" s="2" t="s">
        <v>85</v>
      </c>
      <c r="DC307" s="2" t="s">
        <v>85</v>
      </c>
      <c r="DD307" s="2" t="s">
        <v>142</v>
      </c>
      <c r="DE307" s="2" t="s">
        <v>181</v>
      </c>
      <c r="DF307" s="3" t="s">
        <v>86</v>
      </c>
      <c r="DG307" s="62">
        <v>42879</v>
      </c>
      <c r="EC307" s="60"/>
      <c r="ED307" s="60"/>
      <c r="EE307" s="60"/>
      <c r="EF307" s="60"/>
    </row>
    <row r="308" spans="2:140" ht="12.75" hidden="1" customHeight="1">
      <c r="B308" s="99" t="s">
        <v>649</v>
      </c>
      <c r="C308" s="22" t="s">
        <v>709</v>
      </c>
      <c r="D308" s="22" t="s">
        <v>710</v>
      </c>
      <c r="E308" s="2" t="str">
        <f>VLOOKUP($C308,[1]Detail!$C:$AK,6,0)</f>
        <v>PMT1</v>
      </c>
      <c r="F308" s="2" t="str">
        <f>VLOOKUP($C308,[1]Detail!$C:$AK,7,0)</f>
        <v>TH</v>
      </c>
      <c r="G308" s="2" t="str">
        <f>VLOOKUP($C308,[1]Detail!$C:$AK,5,0)</f>
        <v>D</v>
      </c>
      <c r="J308" s="22" t="s">
        <v>126</v>
      </c>
      <c r="K308" s="23" t="s">
        <v>711</v>
      </c>
      <c r="L308" s="22" t="s">
        <v>210</v>
      </c>
      <c r="M308" s="51" t="str">
        <f t="shared" si="253"/>
        <v>JD8B-17K823-BBW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1</v>
      </c>
      <c r="V308" s="22">
        <v>1</v>
      </c>
      <c r="W308" s="64">
        <f t="shared" si="254"/>
        <v>0.1</v>
      </c>
      <c r="Y308" s="8">
        <f>-333.31*0-326.98</f>
        <v>-326.98</v>
      </c>
      <c r="Z308" s="8">
        <v>-2.5499999999999998</v>
      </c>
      <c r="AA308" s="8">
        <v>-5.71</v>
      </c>
      <c r="AB308" s="8">
        <v>0</v>
      </c>
      <c r="AC308" s="8">
        <v>0</v>
      </c>
      <c r="AD308" s="8">
        <f t="shared" si="255"/>
        <v>-335.24</v>
      </c>
      <c r="AE308" s="2" t="s">
        <v>91</v>
      </c>
      <c r="AG308" s="8">
        <v>0</v>
      </c>
      <c r="AH308" s="8">
        <v>0</v>
      </c>
      <c r="AJ308" s="70">
        <v>0</v>
      </c>
      <c r="AK308" s="70">
        <v>0</v>
      </c>
      <c r="AL308" s="72">
        <v>0</v>
      </c>
      <c r="AM308" s="22"/>
      <c r="AO308" s="22" t="s">
        <v>126</v>
      </c>
      <c r="AP308" s="23" t="s">
        <v>711</v>
      </c>
      <c r="AQ308" s="22" t="s">
        <v>198</v>
      </c>
      <c r="AR308" s="51" t="str">
        <f t="shared" si="250"/>
        <v>JD8B-17K823-BAW</v>
      </c>
      <c r="AS308" s="3"/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1</v>
      </c>
      <c r="BA308" s="22">
        <v>1</v>
      </c>
      <c r="BB308" s="64">
        <f t="shared" si="251"/>
        <v>0.1</v>
      </c>
      <c r="BD308" s="60">
        <f>-333.31*0-326.98</f>
        <v>-326.98</v>
      </c>
      <c r="BE308" s="60">
        <v>-2.5499999999999998</v>
      </c>
      <c r="BF308" s="95">
        <v>-5.71</v>
      </c>
      <c r="BG308" s="95">
        <v>0</v>
      </c>
      <c r="BH308" s="95">
        <v>0</v>
      </c>
      <c r="BI308" s="8">
        <f t="shared" si="252"/>
        <v>-335.24</v>
      </c>
      <c r="BJ308" s="2" t="s">
        <v>91</v>
      </c>
      <c r="BL308" s="70">
        <v>0</v>
      </c>
      <c r="BM308" s="70">
        <v>0</v>
      </c>
      <c r="BO308" s="70">
        <v>0</v>
      </c>
      <c r="BP308" s="70">
        <v>0</v>
      </c>
      <c r="BQ308" s="72">
        <v>0</v>
      </c>
      <c r="BS308" s="61">
        <f t="shared" si="258"/>
        <v>0</v>
      </c>
      <c r="BT308" s="61">
        <f t="shared" si="259"/>
        <v>0</v>
      </c>
      <c r="BU308" s="61">
        <f t="shared" si="260"/>
        <v>0</v>
      </c>
      <c r="BV308" s="61">
        <f t="shared" si="260"/>
        <v>0</v>
      </c>
      <c r="BW308" s="61">
        <f t="shared" si="260"/>
        <v>0</v>
      </c>
      <c r="BX308" s="61">
        <f t="shared" si="257"/>
        <v>0</v>
      </c>
      <c r="BY308" s="61" t="s">
        <v>91</v>
      </c>
      <c r="CA308" s="61">
        <f t="shared" si="243"/>
        <v>0</v>
      </c>
      <c r="CB308" s="61">
        <f t="shared" si="240"/>
        <v>0</v>
      </c>
      <c r="CC308" s="61">
        <f t="shared" si="240"/>
        <v>0</v>
      </c>
      <c r="CD308" s="61">
        <f t="shared" si="240"/>
        <v>0</v>
      </c>
      <c r="CE308" s="61">
        <f t="shared" si="240"/>
        <v>0</v>
      </c>
      <c r="CF308" s="61">
        <f t="shared" si="240"/>
        <v>0</v>
      </c>
      <c r="CG308" s="61">
        <f t="shared" si="240"/>
        <v>0</v>
      </c>
      <c r="CH308" s="61">
        <f t="shared" si="240"/>
        <v>0</v>
      </c>
      <c r="CI308" s="61">
        <f t="shared" si="225"/>
        <v>0</v>
      </c>
      <c r="CJ308" s="61"/>
      <c r="CK308" s="61">
        <f t="shared" si="244"/>
        <v>0</v>
      </c>
      <c r="CL308" s="61">
        <f t="shared" si="241"/>
        <v>0</v>
      </c>
      <c r="CM308" s="61">
        <f t="shared" si="241"/>
        <v>0</v>
      </c>
      <c r="CN308" s="61">
        <f t="shared" si="241"/>
        <v>0</v>
      </c>
      <c r="CO308" s="61">
        <f t="shared" si="241"/>
        <v>0</v>
      </c>
      <c r="CP308" s="61">
        <f t="shared" si="241"/>
        <v>0</v>
      </c>
      <c r="CQ308" s="61">
        <f t="shared" si="241"/>
        <v>0</v>
      </c>
      <c r="CR308" s="61">
        <f t="shared" si="241"/>
        <v>0</v>
      </c>
      <c r="CS308" s="61">
        <f t="shared" si="226"/>
        <v>0</v>
      </c>
      <c r="CT308" s="61">
        <f t="shared" si="227"/>
        <v>0</v>
      </c>
      <c r="CV308" s="61">
        <f t="shared" si="228"/>
        <v>0</v>
      </c>
      <c r="CW308" s="61">
        <f t="shared" si="261"/>
        <v>0</v>
      </c>
      <c r="CX308" s="61"/>
      <c r="CY308" s="61">
        <f t="shared" si="262"/>
        <v>0</v>
      </c>
      <c r="CZ308" s="61">
        <f t="shared" si="220"/>
        <v>0</v>
      </c>
      <c r="DA308" s="61">
        <f t="shared" si="220"/>
        <v>0</v>
      </c>
      <c r="DB308" s="2" t="s">
        <v>85</v>
      </c>
      <c r="DC308" s="2" t="s">
        <v>85</v>
      </c>
      <c r="DD308" s="2" t="s">
        <v>142</v>
      </c>
      <c r="DE308" s="2" t="s">
        <v>181</v>
      </c>
      <c r="DF308" s="3" t="s">
        <v>86</v>
      </c>
      <c r="DG308" s="62">
        <v>42879</v>
      </c>
      <c r="EC308" s="60"/>
      <c r="ED308" s="60"/>
      <c r="EE308" s="60"/>
      <c r="EF308" s="60"/>
    </row>
    <row r="309" spans="2:140" ht="12.75" hidden="1" customHeight="1">
      <c r="B309" s="99" t="s">
        <v>718</v>
      </c>
      <c r="C309" s="22" t="s">
        <v>709</v>
      </c>
      <c r="D309" s="22" t="s">
        <v>710</v>
      </c>
      <c r="E309" s="2" t="str">
        <f>VLOOKUP($C309,[1]Detail!$C:$AK,6,0)</f>
        <v>PMT1</v>
      </c>
      <c r="F309" s="2" t="str">
        <f>VLOOKUP($C309,[1]Detail!$C:$AK,7,0)</f>
        <v>TH</v>
      </c>
      <c r="G309" s="2" t="str">
        <f>VLOOKUP($C309,[1]Detail!$C:$AK,5,0)</f>
        <v>D</v>
      </c>
      <c r="J309" s="22" t="s">
        <v>126</v>
      </c>
      <c r="K309" s="23" t="s">
        <v>711</v>
      </c>
      <c r="L309" s="22" t="s">
        <v>565</v>
      </c>
      <c r="M309" s="51" t="str">
        <f t="shared" si="253"/>
        <v>JD8B-17K823-ACW</v>
      </c>
      <c r="O309" s="22">
        <v>1</v>
      </c>
      <c r="P309" s="22">
        <v>1</v>
      </c>
      <c r="Q309" s="22">
        <v>1</v>
      </c>
      <c r="R309" s="22">
        <v>1</v>
      </c>
      <c r="S309" s="22">
        <v>1</v>
      </c>
      <c r="T309" s="22">
        <v>1</v>
      </c>
      <c r="U309" s="22">
        <v>0</v>
      </c>
      <c r="V309" s="22">
        <v>0</v>
      </c>
      <c r="W309" s="64">
        <f t="shared" si="254"/>
        <v>0.9</v>
      </c>
      <c r="Y309" s="8">
        <f>-251.56*0-246.39</f>
        <v>-246.39</v>
      </c>
      <c r="Z309" s="8">
        <v>-2.5499999999999998</v>
      </c>
      <c r="AA309" s="8">
        <v>-5.71</v>
      </c>
      <c r="AB309" s="8">
        <v>0</v>
      </c>
      <c r="AC309" s="8">
        <v>0</v>
      </c>
      <c r="AD309" s="8">
        <f t="shared" si="255"/>
        <v>-254.65</v>
      </c>
      <c r="AE309" s="2" t="s">
        <v>91</v>
      </c>
      <c r="AG309" s="8">
        <f>-7873500*0-7737000</f>
        <v>-7737000</v>
      </c>
      <c r="AH309" s="8">
        <f>-7873500*0-7737000</f>
        <v>-7737000</v>
      </c>
      <c r="AI309" s="6"/>
      <c r="AJ309" s="70">
        <v>0</v>
      </c>
      <c r="AK309" s="70">
        <v>0</v>
      </c>
      <c r="AL309" s="72">
        <v>0</v>
      </c>
      <c r="AM309" s="22"/>
      <c r="AO309" s="22" t="s">
        <v>126</v>
      </c>
      <c r="AP309" s="23" t="s">
        <v>711</v>
      </c>
      <c r="AQ309" s="22" t="s">
        <v>93</v>
      </c>
      <c r="AR309" s="51" t="str">
        <f t="shared" si="250"/>
        <v>JD8B-17K823-ABW</v>
      </c>
      <c r="AS309" s="3"/>
      <c r="AT309" s="22">
        <v>1</v>
      </c>
      <c r="AU309" s="22">
        <v>1</v>
      </c>
      <c r="AV309" s="22">
        <v>1</v>
      </c>
      <c r="AW309" s="22">
        <v>1</v>
      </c>
      <c r="AX309" s="22">
        <v>1</v>
      </c>
      <c r="AY309" s="22">
        <v>1</v>
      </c>
      <c r="AZ309" s="22">
        <v>0</v>
      </c>
      <c r="BA309" s="22">
        <v>0</v>
      </c>
      <c r="BB309" s="64">
        <f t="shared" si="251"/>
        <v>0.9</v>
      </c>
      <c r="BD309" s="60">
        <f>-251.56*0-246.39</f>
        <v>-246.39</v>
      </c>
      <c r="BE309" s="60">
        <v>-2.5499999999999998</v>
      </c>
      <c r="BF309" s="95">
        <v>-5.71</v>
      </c>
      <c r="BG309" s="95">
        <v>0</v>
      </c>
      <c r="BH309" s="95">
        <v>0</v>
      </c>
      <c r="BI309" s="8">
        <f t="shared" ref="BI309:BI337" si="263">SUM(BD309:BH309)</f>
        <v>-254.65</v>
      </c>
      <c r="BJ309" s="2" t="s">
        <v>91</v>
      </c>
      <c r="BL309" s="70">
        <f>-7873500*0-7737000</f>
        <v>-7737000</v>
      </c>
      <c r="BM309" s="70">
        <f>-7873500*0-7737000</f>
        <v>-7737000</v>
      </c>
      <c r="BO309" s="70">
        <v>0</v>
      </c>
      <c r="BP309" s="70">
        <v>0</v>
      </c>
      <c r="BQ309" s="72">
        <v>0</v>
      </c>
      <c r="BS309" s="61">
        <f t="shared" si="258"/>
        <v>0</v>
      </c>
      <c r="BT309" s="61">
        <f t="shared" si="259"/>
        <v>0</v>
      </c>
      <c r="BU309" s="61">
        <f t="shared" si="260"/>
        <v>0</v>
      </c>
      <c r="BV309" s="61">
        <f t="shared" si="260"/>
        <v>0</v>
      </c>
      <c r="BW309" s="61">
        <f t="shared" si="260"/>
        <v>0</v>
      </c>
      <c r="BX309" s="61">
        <f t="shared" si="257"/>
        <v>0</v>
      </c>
      <c r="BY309" s="61" t="s">
        <v>91</v>
      </c>
      <c r="CA309" s="61">
        <f t="shared" si="243"/>
        <v>0</v>
      </c>
      <c r="CB309" s="61">
        <f t="shared" si="240"/>
        <v>0</v>
      </c>
      <c r="CC309" s="61">
        <f t="shared" si="240"/>
        <v>0</v>
      </c>
      <c r="CD309" s="61">
        <f t="shared" si="240"/>
        <v>0</v>
      </c>
      <c r="CE309" s="61">
        <f t="shared" si="240"/>
        <v>0</v>
      </c>
      <c r="CF309" s="61">
        <f t="shared" si="240"/>
        <v>0</v>
      </c>
      <c r="CG309" s="61">
        <f t="shared" si="240"/>
        <v>0</v>
      </c>
      <c r="CH309" s="61">
        <f t="shared" si="240"/>
        <v>0</v>
      </c>
      <c r="CI309" s="61">
        <f t="shared" si="225"/>
        <v>0</v>
      </c>
      <c r="CJ309" s="61"/>
      <c r="CK309" s="61">
        <f t="shared" si="244"/>
        <v>0</v>
      </c>
      <c r="CL309" s="61">
        <f t="shared" si="241"/>
        <v>0</v>
      </c>
      <c r="CM309" s="61">
        <f t="shared" si="241"/>
        <v>0</v>
      </c>
      <c r="CN309" s="61">
        <f t="shared" si="241"/>
        <v>0</v>
      </c>
      <c r="CO309" s="61">
        <f t="shared" si="241"/>
        <v>0</v>
      </c>
      <c r="CP309" s="61">
        <f t="shared" si="241"/>
        <v>0</v>
      </c>
      <c r="CQ309" s="61">
        <f t="shared" si="241"/>
        <v>0</v>
      </c>
      <c r="CR309" s="61">
        <f t="shared" si="241"/>
        <v>0</v>
      </c>
      <c r="CS309" s="61">
        <f t="shared" si="226"/>
        <v>0</v>
      </c>
      <c r="CT309" s="61">
        <f t="shared" si="227"/>
        <v>0</v>
      </c>
      <c r="CV309" s="61">
        <f t="shared" si="228"/>
        <v>0</v>
      </c>
      <c r="CW309" s="61">
        <f t="shared" si="261"/>
        <v>0</v>
      </c>
      <c r="CX309" s="61"/>
      <c r="CY309" s="61">
        <f t="shared" si="262"/>
        <v>0</v>
      </c>
      <c r="CZ309" s="61">
        <f t="shared" si="220"/>
        <v>0</v>
      </c>
      <c r="DA309" s="61">
        <f t="shared" si="220"/>
        <v>0</v>
      </c>
      <c r="DB309" s="2" t="s">
        <v>85</v>
      </c>
      <c r="DC309" s="2" t="s">
        <v>85</v>
      </c>
      <c r="DD309" s="2" t="s">
        <v>142</v>
      </c>
      <c r="DE309" s="2" t="s">
        <v>181</v>
      </c>
      <c r="DG309" s="62"/>
      <c r="DZ309" s="3" t="e">
        <v>#N/A</v>
      </c>
      <c r="EC309" s="60"/>
      <c r="ED309" s="60"/>
      <c r="EE309" s="60"/>
      <c r="EF309" s="60"/>
    </row>
    <row r="310" spans="2:140" ht="12.75" hidden="1" customHeight="1">
      <c r="B310" s="99" t="s">
        <v>718</v>
      </c>
      <c r="C310" s="22" t="s">
        <v>709</v>
      </c>
      <c r="D310" s="22" t="s">
        <v>710</v>
      </c>
      <c r="E310" s="2" t="str">
        <f>VLOOKUP($C310,[1]Detail!$C:$AK,6,0)</f>
        <v>PMT1</v>
      </c>
      <c r="F310" s="2" t="str">
        <f>VLOOKUP($C310,[1]Detail!$C:$AK,7,0)</f>
        <v>TH</v>
      </c>
      <c r="G310" s="2" t="str">
        <f>VLOOKUP($C310,[1]Detail!$C:$AK,5,0)</f>
        <v>D</v>
      </c>
      <c r="J310" s="22" t="s">
        <v>126</v>
      </c>
      <c r="K310" s="23" t="s">
        <v>711</v>
      </c>
      <c r="L310" s="22" t="s">
        <v>215</v>
      </c>
      <c r="M310" s="51" t="str">
        <f t="shared" si="253"/>
        <v>JD8B-17K823-BCW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1</v>
      </c>
      <c r="V310" s="22">
        <v>1</v>
      </c>
      <c r="W310" s="64">
        <f t="shared" si="254"/>
        <v>0.1</v>
      </c>
      <c r="Y310" s="8">
        <f>-333.31*0-326.98</f>
        <v>-326.98</v>
      </c>
      <c r="Z310" s="8">
        <v>-2.5499999999999998</v>
      </c>
      <c r="AA310" s="8">
        <v>-5.71</v>
      </c>
      <c r="AB310" s="8">
        <v>0</v>
      </c>
      <c r="AC310" s="8">
        <v>0</v>
      </c>
      <c r="AD310" s="8">
        <f t="shared" si="255"/>
        <v>-335.24</v>
      </c>
      <c r="AE310" s="2" t="s">
        <v>91</v>
      </c>
      <c r="AG310" s="8">
        <v>0</v>
      </c>
      <c r="AH310" s="8">
        <v>0</v>
      </c>
      <c r="AJ310" s="70">
        <v>0</v>
      </c>
      <c r="AK310" s="70">
        <v>0</v>
      </c>
      <c r="AL310" s="72">
        <v>0</v>
      </c>
      <c r="AM310" s="22"/>
      <c r="AO310" s="22" t="s">
        <v>126</v>
      </c>
      <c r="AP310" s="23" t="s">
        <v>711</v>
      </c>
      <c r="AQ310" s="22" t="s">
        <v>210</v>
      </c>
      <c r="AR310" s="51" t="str">
        <f t="shared" si="250"/>
        <v>JD8B-17K823-BBW</v>
      </c>
      <c r="AS310" s="3"/>
      <c r="AT310" s="22">
        <v>0</v>
      </c>
      <c r="AU310" s="22">
        <v>0</v>
      </c>
      <c r="AV310" s="22">
        <v>0</v>
      </c>
      <c r="AW310" s="22">
        <v>0</v>
      </c>
      <c r="AX310" s="22">
        <v>0</v>
      </c>
      <c r="AY310" s="22">
        <v>0</v>
      </c>
      <c r="AZ310" s="22">
        <v>1</v>
      </c>
      <c r="BA310" s="22">
        <v>1</v>
      </c>
      <c r="BB310" s="64">
        <f t="shared" si="251"/>
        <v>0.1</v>
      </c>
      <c r="BD310" s="60">
        <f>-333.31*0-326.98</f>
        <v>-326.98</v>
      </c>
      <c r="BE310" s="60">
        <v>-2.5499999999999998</v>
      </c>
      <c r="BF310" s="95">
        <v>-5.71</v>
      </c>
      <c r="BG310" s="95">
        <v>0</v>
      </c>
      <c r="BH310" s="95">
        <v>0</v>
      </c>
      <c r="BI310" s="8">
        <f t="shared" si="263"/>
        <v>-335.24</v>
      </c>
      <c r="BJ310" s="2" t="s">
        <v>91</v>
      </c>
      <c r="BL310" s="70">
        <v>0</v>
      </c>
      <c r="BM310" s="70">
        <v>0</v>
      </c>
      <c r="BO310" s="70">
        <v>0</v>
      </c>
      <c r="BP310" s="70">
        <v>0</v>
      </c>
      <c r="BQ310" s="72">
        <v>0</v>
      </c>
      <c r="BS310" s="61">
        <f t="shared" si="258"/>
        <v>0</v>
      </c>
      <c r="BT310" s="61">
        <f t="shared" si="259"/>
        <v>0</v>
      </c>
      <c r="BU310" s="61">
        <f t="shared" si="260"/>
        <v>0</v>
      </c>
      <c r="BV310" s="61">
        <f t="shared" si="260"/>
        <v>0</v>
      </c>
      <c r="BW310" s="61">
        <f t="shared" si="260"/>
        <v>0</v>
      </c>
      <c r="BX310" s="61">
        <f t="shared" si="257"/>
        <v>0</v>
      </c>
      <c r="BY310" s="61" t="s">
        <v>91</v>
      </c>
      <c r="CA310" s="61">
        <f t="shared" si="243"/>
        <v>0</v>
      </c>
      <c r="CB310" s="61">
        <f t="shared" si="240"/>
        <v>0</v>
      </c>
      <c r="CC310" s="61">
        <f t="shared" si="240"/>
        <v>0</v>
      </c>
      <c r="CD310" s="61">
        <f t="shared" si="240"/>
        <v>0</v>
      </c>
      <c r="CE310" s="61">
        <f t="shared" si="240"/>
        <v>0</v>
      </c>
      <c r="CF310" s="61">
        <f t="shared" si="240"/>
        <v>0</v>
      </c>
      <c r="CG310" s="61">
        <f t="shared" si="240"/>
        <v>0</v>
      </c>
      <c r="CH310" s="61">
        <f t="shared" si="240"/>
        <v>0</v>
      </c>
      <c r="CI310" s="61">
        <f t="shared" si="225"/>
        <v>0</v>
      </c>
      <c r="CJ310" s="61"/>
      <c r="CK310" s="61">
        <f t="shared" si="244"/>
        <v>0</v>
      </c>
      <c r="CL310" s="61">
        <f t="shared" si="241"/>
        <v>0</v>
      </c>
      <c r="CM310" s="61">
        <f t="shared" si="241"/>
        <v>0</v>
      </c>
      <c r="CN310" s="61">
        <f t="shared" si="241"/>
        <v>0</v>
      </c>
      <c r="CO310" s="61">
        <f t="shared" si="241"/>
        <v>0</v>
      </c>
      <c r="CP310" s="61">
        <f t="shared" si="241"/>
        <v>0</v>
      </c>
      <c r="CQ310" s="61">
        <f t="shared" si="241"/>
        <v>0</v>
      </c>
      <c r="CR310" s="61">
        <f t="shared" si="241"/>
        <v>0</v>
      </c>
      <c r="CS310" s="61">
        <f t="shared" si="226"/>
        <v>0</v>
      </c>
      <c r="CT310" s="61">
        <f t="shared" si="227"/>
        <v>0</v>
      </c>
      <c r="CV310" s="61">
        <f t="shared" si="228"/>
        <v>0</v>
      </c>
      <c r="CW310" s="61">
        <f t="shared" si="261"/>
        <v>0</v>
      </c>
      <c r="CX310" s="61"/>
      <c r="CY310" s="61">
        <f t="shared" si="262"/>
        <v>0</v>
      </c>
      <c r="CZ310" s="61">
        <f t="shared" si="220"/>
        <v>0</v>
      </c>
      <c r="DA310" s="61">
        <f t="shared" si="220"/>
        <v>0</v>
      </c>
      <c r="DB310" s="2" t="s">
        <v>85</v>
      </c>
      <c r="DC310" s="2" t="s">
        <v>85</v>
      </c>
      <c r="DD310" s="2" t="s">
        <v>142</v>
      </c>
      <c r="DE310" s="2" t="s">
        <v>181</v>
      </c>
      <c r="DG310" s="62"/>
      <c r="DZ310" s="3" t="e">
        <v>#N/A</v>
      </c>
      <c r="EC310" s="60"/>
      <c r="ED310" s="60"/>
      <c r="EE310" s="60"/>
      <c r="EF310" s="60"/>
    </row>
    <row r="311" spans="2:140" ht="12.75" hidden="1" customHeight="1">
      <c r="B311" s="99" t="s">
        <v>719</v>
      </c>
      <c r="C311" s="22" t="s">
        <v>720</v>
      </c>
      <c r="D311" s="22" t="s">
        <v>721</v>
      </c>
      <c r="E311" s="2" t="str">
        <f>VLOOKUP($C311,[1]Detail!$C:$AK,6,0)</f>
        <v>PMT2</v>
      </c>
      <c r="F311" s="2" t="str">
        <f>VLOOKUP($C311,[1]Detail!$C:$AK,7,0)</f>
        <v>TH</v>
      </c>
      <c r="G311" s="2" t="str">
        <f>VLOOKUP($C311,[1]Detail!$C:$AK,5,0)</f>
        <v>D</v>
      </c>
      <c r="J311" s="22" t="s">
        <v>126</v>
      </c>
      <c r="K311" s="23" t="s">
        <v>722</v>
      </c>
      <c r="L311" s="22" t="s">
        <v>100</v>
      </c>
      <c r="M311" s="51" t="str">
        <f t="shared" si="253"/>
        <v>JD8B-13E720-AA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4</v>
      </c>
      <c r="V311" s="22">
        <v>4</v>
      </c>
      <c r="W311" s="64">
        <f t="shared" si="254"/>
        <v>0.4</v>
      </c>
      <c r="Y311" s="8">
        <v>-10.119999999999999</v>
      </c>
      <c r="Z311" s="8">
        <v>-0.1</v>
      </c>
      <c r="AA311" s="8">
        <v>-0.52</v>
      </c>
      <c r="AB311" s="8">
        <v>0</v>
      </c>
      <c r="AC311" s="8">
        <v>0</v>
      </c>
      <c r="AD311" s="8">
        <f t="shared" si="255"/>
        <v>-10.739999999999998</v>
      </c>
      <c r="AE311" s="2" t="s">
        <v>91</v>
      </c>
      <c r="AG311" s="8">
        <v>-199098</v>
      </c>
      <c r="AH311" s="8">
        <v>-199098</v>
      </c>
      <c r="AI311" s="6"/>
      <c r="AJ311" s="70">
        <v>0</v>
      </c>
      <c r="AK311" s="70">
        <v>0</v>
      </c>
      <c r="AL311" s="72">
        <v>0</v>
      </c>
      <c r="AM311" s="22"/>
      <c r="AO311" s="22" t="s">
        <v>126</v>
      </c>
      <c r="AP311" s="23" t="s">
        <v>722</v>
      </c>
      <c r="AQ311" s="22" t="s">
        <v>100</v>
      </c>
      <c r="AR311" s="51" t="str">
        <f t="shared" si="250"/>
        <v>JD8B-13E720-AA</v>
      </c>
      <c r="AS311" s="3"/>
      <c r="AT311" s="22">
        <v>0</v>
      </c>
      <c r="AU311" s="22">
        <v>0</v>
      </c>
      <c r="AV311" s="22">
        <v>0</v>
      </c>
      <c r="AW311" s="22">
        <v>0</v>
      </c>
      <c r="AX311" s="22">
        <v>0</v>
      </c>
      <c r="AY311" s="22">
        <v>0</v>
      </c>
      <c r="AZ311" s="22">
        <v>1</v>
      </c>
      <c r="BA311" s="22">
        <v>1</v>
      </c>
      <c r="BB311" s="64">
        <f t="shared" si="251"/>
        <v>0.1</v>
      </c>
      <c r="BD311" s="60">
        <v>-10.119999999999999</v>
      </c>
      <c r="BE311" s="60">
        <v>-0.1</v>
      </c>
      <c r="BF311" s="95">
        <v>-0.52</v>
      </c>
      <c r="BG311" s="95">
        <v>0</v>
      </c>
      <c r="BH311" s="95">
        <v>0</v>
      </c>
      <c r="BI311" s="8">
        <f t="shared" si="263"/>
        <v>-10.739999999999998</v>
      </c>
      <c r="BJ311" s="2" t="s">
        <v>91</v>
      </c>
      <c r="BL311" s="70">
        <v>-601258</v>
      </c>
      <c r="BM311" s="70">
        <v>-601258</v>
      </c>
      <c r="BO311" s="70">
        <v>0</v>
      </c>
      <c r="BP311" s="70">
        <v>0</v>
      </c>
      <c r="BQ311" s="72">
        <v>0</v>
      </c>
      <c r="BS311" s="61">
        <f t="shared" si="258"/>
        <v>0</v>
      </c>
      <c r="BT311" s="61">
        <f t="shared" si="259"/>
        <v>0</v>
      </c>
      <c r="BU311" s="61">
        <f t="shared" si="260"/>
        <v>0</v>
      </c>
      <c r="BV311" s="61">
        <f t="shared" si="260"/>
        <v>0</v>
      </c>
      <c r="BW311" s="61">
        <f t="shared" si="260"/>
        <v>0</v>
      </c>
      <c r="BX311" s="61">
        <f t="shared" si="257"/>
        <v>0</v>
      </c>
      <c r="BY311" s="61" t="s">
        <v>91</v>
      </c>
      <c r="CA311" s="61">
        <f t="shared" si="243"/>
        <v>0</v>
      </c>
      <c r="CB311" s="61">
        <f t="shared" si="240"/>
        <v>0</v>
      </c>
      <c r="CC311" s="61">
        <f t="shared" si="240"/>
        <v>0</v>
      </c>
      <c r="CD311" s="61">
        <f t="shared" si="240"/>
        <v>0</v>
      </c>
      <c r="CE311" s="61">
        <f t="shared" si="240"/>
        <v>0</v>
      </c>
      <c r="CF311" s="61">
        <f t="shared" si="240"/>
        <v>0</v>
      </c>
      <c r="CG311" s="61">
        <f t="shared" si="240"/>
        <v>-4.5674740484429064</v>
      </c>
      <c r="CH311" s="61">
        <f t="shared" si="240"/>
        <v>-4.5674740484429064</v>
      </c>
      <c r="CI311" s="61">
        <f t="shared" si="225"/>
        <v>-0.45674740484429066</v>
      </c>
      <c r="CJ311" s="61"/>
      <c r="CK311" s="61">
        <f t="shared" si="244"/>
        <v>0</v>
      </c>
      <c r="CL311" s="61">
        <f t="shared" si="241"/>
        <v>0</v>
      </c>
      <c r="CM311" s="61">
        <f t="shared" si="241"/>
        <v>0</v>
      </c>
      <c r="CN311" s="61">
        <f t="shared" si="241"/>
        <v>0</v>
      </c>
      <c r="CO311" s="61">
        <f t="shared" si="241"/>
        <v>0</v>
      </c>
      <c r="CP311" s="61">
        <f t="shared" si="241"/>
        <v>0</v>
      </c>
      <c r="CQ311" s="61">
        <f t="shared" si="241"/>
        <v>-4.8472995336241906</v>
      </c>
      <c r="CR311" s="61">
        <f t="shared" si="241"/>
        <v>-4.8472995336241906</v>
      </c>
      <c r="CS311" s="61">
        <f t="shared" si="226"/>
        <v>-0.48472995336241909</v>
      </c>
      <c r="CT311" s="61">
        <f t="shared" si="227"/>
        <v>-3.222</v>
      </c>
      <c r="CV311" s="61">
        <f t="shared" si="228"/>
        <v>402160</v>
      </c>
      <c r="CW311" s="61">
        <f t="shared" si="261"/>
        <v>402160</v>
      </c>
      <c r="CX311" s="61"/>
      <c r="CY311" s="61">
        <f t="shared" si="262"/>
        <v>0</v>
      </c>
      <c r="CZ311" s="61">
        <f t="shared" si="220"/>
        <v>0</v>
      </c>
      <c r="DA311" s="61">
        <f t="shared" si="220"/>
        <v>0</v>
      </c>
      <c r="DB311" s="2" t="s">
        <v>102</v>
      </c>
      <c r="DC311" s="2" t="s">
        <v>102</v>
      </c>
      <c r="DD311" s="2" t="s">
        <v>142</v>
      </c>
      <c r="DE311" s="2" t="s">
        <v>181</v>
      </c>
      <c r="DF311" s="3" t="s">
        <v>86</v>
      </c>
      <c r="DG311" s="62">
        <v>42821</v>
      </c>
      <c r="EC311" s="60" t="str">
        <f>VLOOKUP($M311,[1]Detail!$M:$BO,1,0)</f>
        <v>JD8B-13E720-AA</v>
      </c>
      <c r="ED311" s="60">
        <f>VLOOKUP($M311,[1]Detail!$M:$BO,22,0)</f>
        <v>-10.739999999999998</v>
      </c>
      <c r="EE311" s="60">
        <f>VLOOKUP($M311,[1]Detail!$M:$BO,42,0)</f>
        <v>-199098</v>
      </c>
      <c r="EF311" s="60">
        <f>VLOOKUP($M311,[1]Detail!$M:$BO,45,0)</f>
        <v>0</v>
      </c>
      <c r="EH311" s="60">
        <f>ED311-AD311</f>
        <v>0</v>
      </c>
      <c r="EI311" s="60">
        <f>EE311-AG311</f>
        <v>0</v>
      </c>
      <c r="EJ311" s="60">
        <f>EF311-AJ311</f>
        <v>0</v>
      </c>
    </row>
    <row r="312" spans="2:140" ht="12.75" hidden="1" customHeight="1">
      <c r="B312" s="99" t="s">
        <v>719</v>
      </c>
      <c r="C312" s="22" t="s">
        <v>720</v>
      </c>
      <c r="D312" s="22" t="s">
        <v>721</v>
      </c>
      <c r="E312" s="2" t="str">
        <f>VLOOKUP($C312,[1]Detail!$C:$AK,6,0)</f>
        <v>PMT2</v>
      </c>
      <c r="F312" s="2" t="str">
        <f>VLOOKUP($C312,[1]Detail!$C:$AK,7,0)</f>
        <v>TH</v>
      </c>
      <c r="G312" s="2" t="str">
        <f>VLOOKUP($C312,[1]Detail!$C:$AK,5,0)</f>
        <v>D</v>
      </c>
      <c r="J312" s="22" t="s">
        <v>126</v>
      </c>
      <c r="K312" s="23" t="s">
        <v>723</v>
      </c>
      <c r="L312" s="22" t="s">
        <v>100</v>
      </c>
      <c r="M312" s="51" t="str">
        <f t="shared" si="253"/>
        <v>JD8B-14E078-AA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1</v>
      </c>
      <c r="V312" s="22">
        <v>1</v>
      </c>
      <c r="W312" s="64">
        <f t="shared" si="254"/>
        <v>0.1</v>
      </c>
      <c r="Y312" s="8">
        <v>-36.020000000000003</v>
      </c>
      <c r="Z312" s="8">
        <v>-0.88</v>
      </c>
      <c r="AA312" s="8">
        <v>-3.24</v>
      </c>
      <c r="AB312" s="8">
        <v>0</v>
      </c>
      <c r="AC312" s="8">
        <v>0</v>
      </c>
      <c r="AD312" s="8">
        <f t="shared" si="255"/>
        <v>-40.140000000000008</v>
      </c>
      <c r="AE312" s="2" t="s">
        <v>91</v>
      </c>
      <c r="AG312" s="8">
        <v>-402160</v>
      </c>
      <c r="AH312" s="8">
        <v>-402160</v>
      </c>
      <c r="AI312" s="6"/>
      <c r="AJ312" s="70">
        <v>0</v>
      </c>
      <c r="AK312" s="70">
        <v>0</v>
      </c>
      <c r="AL312" s="72">
        <v>0</v>
      </c>
      <c r="AM312" s="22"/>
      <c r="AO312" s="22" t="s">
        <v>126</v>
      </c>
      <c r="AP312" s="23" t="s">
        <v>723</v>
      </c>
      <c r="AQ312" s="22" t="s">
        <v>100</v>
      </c>
      <c r="AR312" s="51" t="str">
        <f t="shared" si="250"/>
        <v>JD8B-14E078-AA</v>
      </c>
      <c r="AS312" s="3"/>
      <c r="AT312" s="22">
        <v>0</v>
      </c>
      <c r="AU312" s="22">
        <v>0</v>
      </c>
      <c r="AV312" s="22">
        <v>0</v>
      </c>
      <c r="AW312" s="22">
        <v>0</v>
      </c>
      <c r="AX312" s="22">
        <v>0</v>
      </c>
      <c r="AY312" s="22">
        <v>0</v>
      </c>
      <c r="AZ312" s="22">
        <v>1</v>
      </c>
      <c r="BA312" s="22">
        <v>1</v>
      </c>
      <c r="BB312" s="64">
        <f t="shared" si="251"/>
        <v>0.1</v>
      </c>
      <c r="BD312" s="60">
        <v>-36.020000000000003</v>
      </c>
      <c r="BE312" s="60">
        <v>-0.88</v>
      </c>
      <c r="BF312" s="95">
        <v>-3.24</v>
      </c>
      <c r="BG312" s="95">
        <v>0</v>
      </c>
      <c r="BH312" s="95">
        <v>0</v>
      </c>
      <c r="BI312" s="8">
        <f t="shared" si="263"/>
        <v>-40.140000000000008</v>
      </c>
      <c r="BJ312" s="2" t="s">
        <v>91</v>
      </c>
      <c r="BL312" s="70">
        <v>0</v>
      </c>
      <c r="BM312" s="70">
        <v>0</v>
      </c>
      <c r="BO312" s="70">
        <v>0</v>
      </c>
      <c r="BP312" s="70">
        <v>0</v>
      </c>
      <c r="BQ312" s="72">
        <v>0</v>
      </c>
      <c r="BS312" s="61">
        <f t="shared" si="258"/>
        <v>0</v>
      </c>
      <c r="BT312" s="61">
        <f t="shared" si="259"/>
        <v>0</v>
      </c>
      <c r="BU312" s="61">
        <f t="shared" si="260"/>
        <v>0</v>
      </c>
      <c r="BV312" s="61">
        <f t="shared" si="260"/>
        <v>0</v>
      </c>
      <c r="BW312" s="61">
        <f t="shared" si="260"/>
        <v>0</v>
      </c>
      <c r="BX312" s="61">
        <f t="shared" si="257"/>
        <v>0</v>
      </c>
      <c r="BY312" s="61" t="s">
        <v>91</v>
      </c>
      <c r="CA312" s="61">
        <f t="shared" si="243"/>
        <v>0</v>
      </c>
      <c r="CB312" s="61">
        <f t="shared" si="240"/>
        <v>0</v>
      </c>
      <c r="CC312" s="61">
        <f t="shared" si="240"/>
        <v>0</v>
      </c>
      <c r="CD312" s="61">
        <f t="shared" si="240"/>
        <v>0</v>
      </c>
      <c r="CE312" s="61">
        <f t="shared" si="240"/>
        <v>0</v>
      </c>
      <c r="CF312" s="61">
        <f t="shared" si="240"/>
        <v>0</v>
      </c>
      <c r="CG312" s="61">
        <f t="shared" si="240"/>
        <v>0</v>
      </c>
      <c r="CH312" s="61">
        <f t="shared" si="240"/>
        <v>0</v>
      </c>
      <c r="CI312" s="61">
        <f t="shared" si="225"/>
        <v>0</v>
      </c>
      <c r="CJ312" s="61"/>
      <c r="CK312" s="61">
        <f t="shared" si="244"/>
        <v>0</v>
      </c>
      <c r="CL312" s="61">
        <f t="shared" si="241"/>
        <v>0</v>
      </c>
      <c r="CM312" s="61">
        <f t="shared" si="241"/>
        <v>0</v>
      </c>
      <c r="CN312" s="61">
        <f t="shared" si="241"/>
        <v>0</v>
      </c>
      <c r="CO312" s="61">
        <f t="shared" si="241"/>
        <v>0</v>
      </c>
      <c r="CP312" s="61">
        <f t="shared" si="241"/>
        <v>0</v>
      </c>
      <c r="CQ312" s="61">
        <f t="shared" si="241"/>
        <v>0</v>
      </c>
      <c r="CR312" s="61">
        <f t="shared" si="241"/>
        <v>0</v>
      </c>
      <c r="CS312" s="61">
        <f t="shared" si="226"/>
        <v>0</v>
      </c>
      <c r="CT312" s="61">
        <f t="shared" si="227"/>
        <v>0</v>
      </c>
      <c r="CV312" s="61">
        <f t="shared" si="228"/>
        <v>-402160</v>
      </c>
      <c r="CW312" s="61">
        <f t="shared" si="261"/>
        <v>-402160</v>
      </c>
      <c r="CX312" s="61"/>
      <c r="CY312" s="61">
        <f t="shared" si="262"/>
        <v>0</v>
      </c>
      <c r="CZ312" s="61">
        <f t="shared" si="220"/>
        <v>0</v>
      </c>
      <c r="DA312" s="61">
        <f t="shared" si="220"/>
        <v>0</v>
      </c>
      <c r="DB312" s="2" t="s">
        <v>85</v>
      </c>
      <c r="DC312" s="2" t="s">
        <v>102</v>
      </c>
      <c r="DD312" s="2" t="s">
        <v>142</v>
      </c>
      <c r="DE312" s="2" t="s">
        <v>181</v>
      </c>
      <c r="DF312" s="3" t="s">
        <v>86</v>
      </c>
      <c r="DG312" s="62">
        <v>42821</v>
      </c>
      <c r="EC312" s="60"/>
      <c r="ED312" s="60"/>
      <c r="EE312" s="60"/>
      <c r="EF312" s="60"/>
    </row>
    <row r="313" spans="2:140" ht="12.75" hidden="1" customHeight="1">
      <c r="B313" s="99" t="s">
        <v>724</v>
      </c>
      <c r="C313" s="22" t="s">
        <v>720</v>
      </c>
      <c r="D313" s="22" t="s">
        <v>721</v>
      </c>
      <c r="E313" s="2" t="str">
        <f>VLOOKUP($C313,[1]Detail!$C:$AK,6,0)</f>
        <v>PMT2</v>
      </c>
      <c r="F313" s="2" t="str">
        <f>VLOOKUP($C313,[1]Detail!$C:$AK,7,0)</f>
        <v>TH</v>
      </c>
      <c r="G313" s="2" t="str">
        <f>VLOOKUP($C313,[1]Detail!$C:$AK,5,0)</f>
        <v>D</v>
      </c>
      <c r="J313" s="22" t="s">
        <v>126</v>
      </c>
      <c r="K313" s="23" t="s">
        <v>723</v>
      </c>
      <c r="L313" s="22" t="s">
        <v>132</v>
      </c>
      <c r="M313" s="51" t="str">
        <f t="shared" si="253"/>
        <v>JD8B-14E078-AB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1</v>
      </c>
      <c r="V313" s="22">
        <v>1</v>
      </c>
      <c r="W313" s="64">
        <f t="shared" si="254"/>
        <v>0.1</v>
      </c>
      <c r="Y313" s="8">
        <v>-36.020000000000003</v>
      </c>
      <c r="Z313" s="8">
        <v>-0.88</v>
      </c>
      <c r="AA313" s="8">
        <v>-3.24</v>
      </c>
      <c r="AB313" s="8">
        <v>0</v>
      </c>
      <c r="AC313" s="8">
        <v>0</v>
      </c>
      <c r="AD313" s="8">
        <f t="shared" si="255"/>
        <v>-40.140000000000008</v>
      </c>
      <c r="AE313" s="2" t="s">
        <v>91</v>
      </c>
      <c r="AG313" s="8">
        <v>-402160</v>
      </c>
      <c r="AH313" s="8">
        <v>-402160</v>
      </c>
      <c r="AI313" s="6"/>
      <c r="AJ313" s="70">
        <v>0</v>
      </c>
      <c r="AK313" s="70">
        <v>0</v>
      </c>
      <c r="AL313" s="72">
        <v>0</v>
      </c>
      <c r="AM313" s="22"/>
      <c r="AO313" s="22" t="s">
        <v>126</v>
      </c>
      <c r="AP313" s="23" t="s">
        <v>723</v>
      </c>
      <c r="AQ313" s="22" t="s">
        <v>100</v>
      </c>
      <c r="AR313" s="51" t="str">
        <f t="shared" si="250"/>
        <v>JD8B-14E078-AA</v>
      </c>
      <c r="AS313" s="3"/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1</v>
      </c>
      <c r="BA313" s="22">
        <v>1</v>
      </c>
      <c r="BB313" s="64">
        <f t="shared" si="251"/>
        <v>0.1</v>
      </c>
      <c r="BD313" s="60">
        <v>-36.020000000000003</v>
      </c>
      <c r="BE313" s="60">
        <v>-0.88</v>
      </c>
      <c r="BF313" s="95">
        <v>-3.24</v>
      </c>
      <c r="BG313" s="95">
        <v>0</v>
      </c>
      <c r="BH313" s="95">
        <v>0</v>
      </c>
      <c r="BI313" s="8">
        <f t="shared" si="263"/>
        <v>-40.140000000000008</v>
      </c>
      <c r="BJ313" s="2" t="s">
        <v>91</v>
      </c>
      <c r="BL313" s="70">
        <v>-402160</v>
      </c>
      <c r="BM313" s="70">
        <v>-402160</v>
      </c>
      <c r="BO313" s="70">
        <v>0</v>
      </c>
      <c r="BP313" s="70">
        <v>0</v>
      </c>
      <c r="BQ313" s="72">
        <v>0</v>
      </c>
      <c r="BS313" s="61">
        <f t="shared" si="258"/>
        <v>0</v>
      </c>
      <c r="BT313" s="61">
        <f t="shared" si="259"/>
        <v>0</v>
      </c>
      <c r="BU313" s="61">
        <f t="shared" si="260"/>
        <v>0</v>
      </c>
      <c r="BV313" s="61">
        <f t="shared" si="260"/>
        <v>0</v>
      </c>
      <c r="BW313" s="61">
        <f t="shared" si="260"/>
        <v>0</v>
      </c>
      <c r="BX313" s="61">
        <f t="shared" si="257"/>
        <v>0</v>
      </c>
      <c r="BY313" s="61" t="s">
        <v>91</v>
      </c>
      <c r="CA313" s="61">
        <f t="shared" si="243"/>
        <v>0</v>
      </c>
      <c r="CB313" s="61">
        <f t="shared" si="240"/>
        <v>0</v>
      </c>
      <c r="CC313" s="61">
        <f t="shared" si="240"/>
        <v>0</v>
      </c>
      <c r="CD313" s="61">
        <f t="shared" si="240"/>
        <v>0</v>
      </c>
      <c r="CE313" s="61">
        <f t="shared" si="240"/>
        <v>0</v>
      </c>
      <c r="CF313" s="61">
        <f t="shared" si="240"/>
        <v>0</v>
      </c>
      <c r="CG313" s="61">
        <f t="shared" si="240"/>
        <v>0</v>
      </c>
      <c r="CH313" s="61">
        <f t="shared" si="240"/>
        <v>0</v>
      </c>
      <c r="CI313" s="61">
        <f t="shared" si="225"/>
        <v>0</v>
      </c>
      <c r="CJ313" s="61"/>
      <c r="CK313" s="61">
        <f t="shared" si="244"/>
        <v>0</v>
      </c>
      <c r="CL313" s="61">
        <f t="shared" si="241"/>
        <v>0</v>
      </c>
      <c r="CM313" s="61">
        <f t="shared" si="241"/>
        <v>0</v>
      </c>
      <c r="CN313" s="61">
        <f t="shared" si="241"/>
        <v>0</v>
      </c>
      <c r="CO313" s="61">
        <f t="shared" si="241"/>
        <v>0</v>
      </c>
      <c r="CP313" s="61">
        <f t="shared" si="241"/>
        <v>0</v>
      </c>
      <c r="CQ313" s="61">
        <f t="shared" si="241"/>
        <v>0</v>
      </c>
      <c r="CR313" s="61">
        <f t="shared" si="241"/>
        <v>0</v>
      </c>
      <c r="CS313" s="61">
        <f t="shared" si="226"/>
        <v>0</v>
      </c>
      <c r="CT313" s="61">
        <f t="shared" si="227"/>
        <v>0</v>
      </c>
      <c r="CV313" s="61">
        <f t="shared" si="228"/>
        <v>0</v>
      </c>
      <c r="CW313" s="61">
        <f t="shared" si="261"/>
        <v>0</v>
      </c>
      <c r="CX313" s="61"/>
      <c r="CY313" s="61">
        <f t="shared" si="262"/>
        <v>0</v>
      </c>
      <c r="CZ313" s="61">
        <f t="shared" si="220"/>
        <v>0</v>
      </c>
      <c r="DA313" s="61">
        <f t="shared" si="220"/>
        <v>0</v>
      </c>
      <c r="DB313" s="2" t="s">
        <v>102</v>
      </c>
      <c r="DC313" s="2" t="s">
        <v>85</v>
      </c>
      <c r="DD313" s="2" t="s">
        <v>142</v>
      </c>
      <c r="DE313" s="2" t="s">
        <v>181</v>
      </c>
      <c r="DF313" s="3" t="s">
        <v>86</v>
      </c>
      <c r="DG313" s="62">
        <v>42839</v>
      </c>
      <c r="EC313" s="60" t="str">
        <f>VLOOKUP($M313,[1]Detail!$M:$BO,1,0)</f>
        <v>JD8B-14E078-AB</v>
      </c>
      <c r="ED313" s="60">
        <f>VLOOKUP($M313,[1]Detail!$M:$BO,22,0)</f>
        <v>-40.140000000000008</v>
      </c>
      <c r="EE313" s="60">
        <f>VLOOKUP($M313,[1]Detail!$M:$BO,42,0)</f>
        <v>-402160</v>
      </c>
      <c r="EF313" s="60">
        <f>VLOOKUP($M313,[1]Detail!$M:$BO,45,0)</f>
        <v>0</v>
      </c>
      <c r="EH313" s="60">
        <f>ED313-AD313</f>
        <v>0</v>
      </c>
      <c r="EI313" s="60">
        <f>EE313-AG313</f>
        <v>0</v>
      </c>
      <c r="EJ313" s="60">
        <f>EF313-AJ313</f>
        <v>0</v>
      </c>
    </row>
    <row r="314" spans="2:140" ht="12.75" hidden="1" customHeight="1">
      <c r="B314" s="99" t="s">
        <v>725</v>
      </c>
      <c r="C314" s="22" t="s">
        <v>726</v>
      </c>
      <c r="D314" s="22" t="s">
        <v>727</v>
      </c>
      <c r="E314" s="2" t="str">
        <f>VLOOKUP($C314,[1]Detail!$C:$AK,6,0)</f>
        <v>PMT2</v>
      </c>
      <c r="F314" s="2" t="str">
        <f>VLOOKUP($C314,[1]Detail!$C:$AK,7,0)</f>
        <v>TH</v>
      </c>
      <c r="G314" s="2" t="str">
        <f>VLOOKUP($C314,[1]Detail!$C:$AK,5,0)</f>
        <v>B</v>
      </c>
      <c r="J314" s="22" t="s">
        <v>728</v>
      </c>
      <c r="K314" s="23" t="s">
        <v>729</v>
      </c>
      <c r="L314" s="22" t="s">
        <v>196</v>
      </c>
      <c r="M314" s="51" t="str">
        <f t="shared" si="253"/>
        <v>MJD8B -LBBA-AAW</v>
      </c>
      <c r="O314" s="22">
        <v>1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64">
        <f t="shared" si="254"/>
        <v>0.14000000000000001</v>
      </c>
      <c r="Y314" s="8">
        <v>-746.42</v>
      </c>
      <c r="Z314" s="8">
        <v>0</v>
      </c>
      <c r="AA314" s="8">
        <v>-8.44</v>
      </c>
      <c r="AB314" s="8">
        <v>-2.12</v>
      </c>
      <c r="AC314" s="8">
        <v>0</v>
      </c>
      <c r="AD314" s="8">
        <f t="shared" si="255"/>
        <v>-756.98</v>
      </c>
      <c r="AE314" s="2" t="s">
        <v>91</v>
      </c>
      <c r="AG314" s="8">
        <v>-6643600</v>
      </c>
      <c r="AH314" s="8">
        <v>-6643600</v>
      </c>
      <c r="AI314" s="6"/>
      <c r="AJ314" s="70">
        <v>0</v>
      </c>
      <c r="AK314" s="70">
        <v>0</v>
      </c>
      <c r="AL314" s="72">
        <v>0</v>
      </c>
      <c r="AM314" s="22"/>
      <c r="AO314" s="22" t="s">
        <v>126</v>
      </c>
      <c r="AP314" s="23" t="s">
        <v>729</v>
      </c>
      <c r="AQ314" s="22" t="s">
        <v>196</v>
      </c>
      <c r="AR314" s="51" t="str">
        <f t="shared" si="250"/>
        <v>JD8B-LBBA-AAW</v>
      </c>
      <c r="AS314" s="3"/>
      <c r="AT314" s="22">
        <v>1</v>
      </c>
      <c r="AU314" s="22">
        <v>0</v>
      </c>
      <c r="AV314" s="22">
        <v>0</v>
      </c>
      <c r="AW314" s="22">
        <v>0</v>
      </c>
      <c r="AX314" s="22">
        <v>0</v>
      </c>
      <c r="AY314" s="22">
        <v>0</v>
      </c>
      <c r="AZ314" s="22">
        <v>0</v>
      </c>
      <c r="BA314" s="22">
        <v>0</v>
      </c>
      <c r="BB314" s="64">
        <f t="shared" si="251"/>
        <v>0.14000000000000001</v>
      </c>
      <c r="BD314" s="60">
        <v>-741.58</v>
      </c>
      <c r="BE314" s="60">
        <v>0</v>
      </c>
      <c r="BF314" s="60">
        <v>-8.44</v>
      </c>
      <c r="BG314" s="95">
        <v>-2.12</v>
      </c>
      <c r="BH314" s="95">
        <v>0</v>
      </c>
      <c r="BI314" s="8">
        <f t="shared" si="263"/>
        <v>-752.1400000000001</v>
      </c>
      <c r="BJ314" s="2" t="s">
        <v>91</v>
      </c>
      <c r="BL314" s="70">
        <v>-6219600</v>
      </c>
      <c r="BM314" s="70">
        <v>-6219600</v>
      </c>
      <c r="BO314" s="70">
        <v>0</v>
      </c>
      <c r="BP314" s="70">
        <v>0</v>
      </c>
      <c r="BQ314" s="72">
        <v>0</v>
      </c>
      <c r="BS314" s="61">
        <f t="shared" si="258"/>
        <v>-4.8399999999999181</v>
      </c>
      <c r="BT314" s="61">
        <f t="shared" si="259"/>
        <v>0</v>
      </c>
      <c r="BU314" s="61">
        <f t="shared" si="260"/>
        <v>0</v>
      </c>
      <c r="BV314" s="61">
        <f t="shared" si="260"/>
        <v>0</v>
      </c>
      <c r="BW314" s="61">
        <f t="shared" si="260"/>
        <v>0</v>
      </c>
      <c r="BX314" s="61">
        <f t="shared" si="257"/>
        <v>-4.8399999999999181</v>
      </c>
      <c r="BY314" s="61" t="s">
        <v>91</v>
      </c>
      <c r="CA314" s="61">
        <f t="shared" si="243"/>
        <v>-0.7281480367082771</v>
      </c>
      <c r="CB314" s="61">
        <f t="shared" si="240"/>
        <v>0</v>
      </c>
      <c r="CC314" s="61">
        <f t="shared" si="240"/>
        <v>0</v>
      </c>
      <c r="CD314" s="61">
        <f t="shared" si="240"/>
        <v>0</v>
      </c>
      <c r="CE314" s="61">
        <f t="shared" si="240"/>
        <v>0</v>
      </c>
      <c r="CF314" s="61">
        <f t="shared" si="240"/>
        <v>0</v>
      </c>
      <c r="CG314" s="61">
        <f t="shared" si="240"/>
        <v>0</v>
      </c>
      <c r="CH314" s="61">
        <f t="shared" si="240"/>
        <v>0</v>
      </c>
      <c r="CI314" s="61">
        <f t="shared" si="225"/>
        <v>-0.10194072513915881</v>
      </c>
      <c r="CJ314" s="61"/>
      <c r="CK314" s="61">
        <f t="shared" si="244"/>
        <v>-0.7281480367082771</v>
      </c>
      <c r="CL314" s="61">
        <f t="shared" si="241"/>
        <v>0</v>
      </c>
      <c r="CM314" s="61">
        <f t="shared" si="241"/>
        <v>0</v>
      </c>
      <c r="CN314" s="61">
        <f t="shared" si="241"/>
        <v>0</v>
      </c>
      <c r="CO314" s="61">
        <f t="shared" si="241"/>
        <v>0</v>
      </c>
      <c r="CP314" s="61">
        <f t="shared" si="241"/>
        <v>0</v>
      </c>
      <c r="CQ314" s="61">
        <f t="shared" si="241"/>
        <v>0</v>
      </c>
      <c r="CR314" s="61">
        <f t="shared" si="241"/>
        <v>0</v>
      </c>
      <c r="CS314" s="61">
        <f t="shared" si="226"/>
        <v>-0.10194072513915881</v>
      </c>
      <c r="CT314" s="61">
        <f t="shared" si="227"/>
        <v>-0.67759999999998866</v>
      </c>
      <c r="CV314" s="61">
        <f t="shared" si="228"/>
        <v>-424000</v>
      </c>
      <c r="CW314" s="61">
        <f t="shared" si="261"/>
        <v>-424000</v>
      </c>
      <c r="CX314" s="61"/>
      <c r="CY314" s="61">
        <f t="shared" si="262"/>
        <v>0</v>
      </c>
      <c r="CZ314" s="61">
        <f t="shared" si="220"/>
        <v>0</v>
      </c>
      <c r="DA314" s="61">
        <f t="shared" si="220"/>
        <v>0</v>
      </c>
      <c r="DB314" s="2" t="s">
        <v>85</v>
      </c>
      <c r="DC314" s="2" t="s">
        <v>102</v>
      </c>
      <c r="DD314" s="2" t="s">
        <v>142</v>
      </c>
      <c r="DE314" s="2" t="s">
        <v>181</v>
      </c>
      <c r="DF314" s="3" t="s">
        <v>86</v>
      </c>
      <c r="DG314" s="62">
        <v>42850</v>
      </c>
      <c r="EC314" s="60"/>
      <c r="ED314" s="60"/>
      <c r="EE314" s="60"/>
      <c r="EF314" s="60"/>
    </row>
    <row r="315" spans="2:140" ht="12.75" hidden="1" customHeight="1">
      <c r="B315" s="99" t="s">
        <v>725</v>
      </c>
      <c r="C315" s="22" t="s">
        <v>726</v>
      </c>
      <c r="D315" s="22" t="s">
        <v>727</v>
      </c>
      <c r="E315" s="2" t="str">
        <f>VLOOKUP($C315,[1]Detail!$C:$AK,6,0)</f>
        <v>PMT2</v>
      </c>
      <c r="F315" s="2" t="str">
        <f>VLOOKUP($C315,[1]Detail!$C:$AK,7,0)</f>
        <v>TH</v>
      </c>
      <c r="G315" s="2" t="str">
        <f>VLOOKUP($C315,[1]Detail!$C:$AK,5,0)</f>
        <v>B</v>
      </c>
      <c r="J315" s="22" t="s">
        <v>728</v>
      </c>
      <c r="K315" s="23" t="s">
        <v>729</v>
      </c>
      <c r="L315" s="22" t="s">
        <v>198</v>
      </c>
      <c r="M315" s="51" t="str">
        <f t="shared" si="253"/>
        <v>MJD8B -LBBA-BAW</v>
      </c>
      <c r="O315" s="22">
        <v>0</v>
      </c>
      <c r="P315" s="22">
        <v>1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64">
        <f t="shared" si="254"/>
        <v>0.16</v>
      </c>
      <c r="Y315" s="8">
        <v>-746.42</v>
      </c>
      <c r="Z315" s="8">
        <v>0</v>
      </c>
      <c r="AA315" s="8">
        <v>-8.44</v>
      </c>
      <c r="AB315" s="8">
        <v>-2.12</v>
      </c>
      <c r="AC315" s="8">
        <v>0</v>
      </c>
      <c r="AD315" s="8">
        <f t="shared" si="255"/>
        <v>-756.98</v>
      </c>
      <c r="AE315" s="2" t="s">
        <v>91</v>
      </c>
      <c r="AG315" s="8">
        <v>0</v>
      </c>
      <c r="AH315" s="8">
        <v>0</v>
      </c>
      <c r="AJ315" s="70">
        <v>0</v>
      </c>
      <c r="AK315" s="70">
        <v>0</v>
      </c>
      <c r="AL315" s="72">
        <v>0</v>
      </c>
      <c r="AM315" s="22"/>
      <c r="AO315" s="22" t="s">
        <v>126</v>
      </c>
      <c r="AP315" s="23" t="s">
        <v>729</v>
      </c>
      <c r="AQ315" s="22" t="s">
        <v>198</v>
      </c>
      <c r="AR315" s="51" t="str">
        <f t="shared" si="250"/>
        <v>JD8B-LBBA-BAW</v>
      </c>
      <c r="AS315" s="3"/>
      <c r="AT315" s="22">
        <v>0</v>
      </c>
      <c r="AU315" s="22">
        <v>1</v>
      </c>
      <c r="AV315" s="22">
        <v>0</v>
      </c>
      <c r="AW315" s="22">
        <v>0</v>
      </c>
      <c r="AX315" s="22">
        <v>0</v>
      </c>
      <c r="AY315" s="22">
        <v>0</v>
      </c>
      <c r="AZ315" s="22">
        <v>0</v>
      </c>
      <c r="BA315" s="22">
        <v>0</v>
      </c>
      <c r="BB315" s="64">
        <f t="shared" si="251"/>
        <v>0.16</v>
      </c>
      <c r="BD315" s="60">
        <v>-741.58</v>
      </c>
      <c r="BE315" s="60">
        <v>0</v>
      </c>
      <c r="BF315" s="60">
        <v>-8.44</v>
      </c>
      <c r="BG315" s="95">
        <v>-2.12</v>
      </c>
      <c r="BH315" s="95">
        <v>0</v>
      </c>
      <c r="BI315" s="8">
        <f t="shared" si="263"/>
        <v>-752.1400000000001</v>
      </c>
      <c r="BJ315" s="2" t="s">
        <v>91</v>
      </c>
      <c r="BL315" s="70">
        <v>0</v>
      </c>
      <c r="BM315" s="70">
        <v>0</v>
      </c>
      <c r="BO315" s="70">
        <v>0</v>
      </c>
      <c r="BP315" s="70">
        <v>0</v>
      </c>
      <c r="BQ315" s="72">
        <v>0</v>
      </c>
      <c r="BS315" s="61">
        <f t="shared" si="258"/>
        <v>-4.8399999999999181</v>
      </c>
      <c r="BT315" s="61">
        <f t="shared" si="259"/>
        <v>0</v>
      </c>
      <c r="BU315" s="61">
        <f t="shared" si="260"/>
        <v>0</v>
      </c>
      <c r="BV315" s="61">
        <f t="shared" si="260"/>
        <v>0</v>
      </c>
      <c r="BW315" s="61">
        <f t="shared" si="260"/>
        <v>0</v>
      </c>
      <c r="BX315" s="61">
        <f t="shared" si="257"/>
        <v>-4.8399999999999181</v>
      </c>
      <c r="BY315" s="61" t="s">
        <v>91</v>
      </c>
      <c r="CA315" s="61">
        <f t="shared" si="243"/>
        <v>0</v>
      </c>
      <c r="CB315" s="61">
        <f t="shared" si="240"/>
        <v>-0.7281480367082771</v>
      </c>
      <c r="CC315" s="61">
        <f t="shared" si="240"/>
        <v>0</v>
      </c>
      <c r="CD315" s="61">
        <f t="shared" si="240"/>
        <v>0</v>
      </c>
      <c r="CE315" s="61">
        <f t="shared" si="240"/>
        <v>0</v>
      </c>
      <c r="CF315" s="61">
        <f t="shared" si="240"/>
        <v>0</v>
      </c>
      <c r="CG315" s="61">
        <f t="shared" si="240"/>
        <v>0</v>
      </c>
      <c r="CH315" s="61">
        <f t="shared" si="240"/>
        <v>0</v>
      </c>
      <c r="CI315" s="61">
        <f t="shared" si="225"/>
        <v>-0.11650368587332434</v>
      </c>
      <c r="CJ315" s="61"/>
      <c r="CK315" s="61">
        <f t="shared" si="244"/>
        <v>0</v>
      </c>
      <c r="CL315" s="61">
        <f t="shared" si="241"/>
        <v>-0.7281480367082771</v>
      </c>
      <c r="CM315" s="61">
        <f t="shared" si="241"/>
        <v>0</v>
      </c>
      <c r="CN315" s="61">
        <f t="shared" si="241"/>
        <v>0</v>
      </c>
      <c r="CO315" s="61">
        <f t="shared" si="241"/>
        <v>0</v>
      </c>
      <c r="CP315" s="61">
        <f t="shared" si="241"/>
        <v>0</v>
      </c>
      <c r="CQ315" s="61">
        <f t="shared" si="241"/>
        <v>0</v>
      </c>
      <c r="CR315" s="61">
        <f t="shared" si="241"/>
        <v>0</v>
      </c>
      <c r="CS315" s="61">
        <f t="shared" si="226"/>
        <v>-0.11650368587332434</v>
      </c>
      <c r="CT315" s="61">
        <f t="shared" si="227"/>
        <v>-0.77439999999998688</v>
      </c>
      <c r="CV315" s="61">
        <f t="shared" si="228"/>
        <v>0</v>
      </c>
      <c r="CW315" s="61">
        <f t="shared" si="261"/>
        <v>0</v>
      </c>
      <c r="CX315" s="61"/>
      <c r="CY315" s="61">
        <f t="shared" si="262"/>
        <v>0</v>
      </c>
      <c r="CZ315" s="61">
        <f t="shared" si="220"/>
        <v>0</v>
      </c>
      <c r="DA315" s="61">
        <f t="shared" si="220"/>
        <v>0</v>
      </c>
      <c r="DB315" s="2" t="s">
        <v>85</v>
      </c>
      <c r="DC315" s="2" t="s">
        <v>102</v>
      </c>
      <c r="DD315" s="2" t="s">
        <v>142</v>
      </c>
      <c r="DE315" s="2" t="s">
        <v>181</v>
      </c>
      <c r="DF315" s="3" t="s">
        <v>86</v>
      </c>
      <c r="DG315" s="62">
        <v>42850</v>
      </c>
      <c r="EC315" s="60"/>
      <c r="ED315" s="60"/>
      <c r="EE315" s="60"/>
      <c r="EF315" s="60"/>
    </row>
    <row r="316" spans="2:140" ht="12.75" hidden="1" customHeight="1">
      <c r="B316" s="99" t="s">
        <v>725</v>
      </c>
      <c r="C316" s="22" t="s">
        <v>726</v>
      </c>
      <c r="D316" s="22" t="s">
        <v>727</v>
      </c>
      <c r="E316" s="2" t="str">
        <f>VLOOKUP($C316,[1]Detail!$C:$AK,6,0)</f>
        <v>PMT2</v>
      </c>
      <c r="F316" s="2" t="str">
        <f>VLOOKUP($C316,[1]Detail!$C:$AK,7,0)</f>
        <v>TH</v>
      </c>
      <c r="G316" s="2" t="str">
        <f>VLOOKUP($C316,[1]Detail!$C:$AK,5,0)</f>
        <v>B</v>
      </c>
      <c r="J316" s="22" t="s">
        <v>728</v>
      </c>
      <c r="K316" s="23" t="s">
        <v>729</v>
      </c>
      <c r="L316" s="22" t="s">
        <v>269</v>
      </c>
      <c r="M316" s="51" t="str">
        <f t="shared" si="253"/>
        <v>MJD8B -LBBA-CAW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64">
        <f t="shared" si="254"/>
        <v>0</v>
      </c>
      <c r="Y316" s="8">
        <v>-730.88</v>
      </c>
      <c r="Z316" s="8">
        <v>0</v>
      </c>
      <c r="AA316" s="8">
        <v>-8.44</v>
      </c>
      <c r="AB316" s="8">
        <v>-2.12</v>
      </c>
      <c r="AC316" s="8">
        <v>0</v>
      </c>
      <c r="AD316" s="8">
        <f t="shared" si="255"/>
        <v>-741.44</v>
      </c>
      <c r="AE316" s="2" t="s">
        <v>91</v>
      </c>
      <c r="AG316" s="8">
        <v>0</v>
      </c>
      <c r="AH316" s="8">
        <v>0</v>
      </c>
      <c r="AJ316" s="70">
        <v>0</v>
      </c>
      <c r="AK316" s="70">
        <v>0</v>
      </c>
      <c r="AL316" s="72">
        <v>0</v>
      </c>
      <c r="AM316" s="22"/>
      <c r="AO316" s="22" t="s">
        <v>126</v>
      </c>
      <c r="AP316" s="23" t="s">
        <v>729</v>
      </c>
      <c r="AQ316" s="22" t="s">
        <v>269</v>
      </c>
      <c r="AR316" s="51" t="str">
        <f t="shared" si="250"/>
        <v>JD8B-LBBA-CAW</v>
      </c>
      <c r="AS316" s="3"/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2">
        <v>0</v>
      </c>
      <c r="BA316" s="22">
        <v>0</v>
      </c>
      <c r="BB316" s="64">
        <f t="shared" si="251"/>
        <v>0</v>
      </c>
      <c r="BD316" s="60">
        <v>-726.04</v>
      </c>
      <c r="BE316" s="60">
        <v>0</v>
      </c>
      <c r="BF316" s="60">
        <v>-8.44</v>
      </c>
      <c r="BG316" s="95">
        <v>-2.12</v>
      </c>
      <c r="BH316" s="95">
        <v>0</v>
      </c>
      <c r="BI316" s="8">
        <f t="shared" si="263"/>
        <v>-736.6</v>
      </c>
      <c r="BJ316" s="2" t="s">
        <v>91</v>
      </c>
      <c r="BL316" s="70">
        <v>0</v>
      </c>
      <c r="BM316" s="70">
        <v>0</v>
      </c>
      <c r="BO316" s="70">
        <v>0</v>
      </c>
      <c r="BP316" s="70">
        <v>0</v>
      </c>
      <c r="BQ316" s="72">
        <v>0</v>
      </c>
      <c r="BS316" s="61">
        <f t="shared" si="258"/>
        <v>-4.8400000000000318</v>
      </c>
      <c r="BT316" s="61">
        <f t="shared" si="259"/>
        <v>0</v>
      </c>
      <c r="BU316" s="61">
        <f t="shared" si="260"/>
        <v>0</v>
      </c>
      <c r="BV316" s="61">
        <f t="shared" si="260"/>
        <v>0</v>
      </c>
      <c r="BW316" s="61">
        <f t="shared" si="260"/>
        <v>0</v>
      </c>
      <c r="BX316" s="61">
        <f t="shared" si="257"/>
        <v>-4.8400000000000318</v>
      </c>
      <c r="BY316" s="61" t="s">
        <v>91</v>
      </c>
      <c r="CA316" s="61">
        <f t="shared" si="243"/>
        <v>0</v>
      </c>
      <c r="CB316" s="61">
        <f t="shared" si="240"/>
        <v>0</v>
      </c>
      <c r="CC316" s="61">
        <f t="shared" si="240"/>
        <v>0</v>
      </c>
      <c r="CD316" s="61">
        <f t="shared" si="240"/>
        <v>0</v>
      </c>
      <c r="CE316" s="61">
        <f t="shared" si="240"/>
        <v>0</v>
      </c>
      <c r="CF316" s="61">
        <f t="shared" si="240"/>
        <v>0</v>
      </c>
      <c r="CG316" s="61">
        <f t="shared" si="240"/>
        <v>0</v>
      </c>
      <c r="CH316" s="61">
        <f t="shared" si="240"/>
        <v>0</v>
      </c>
      <c r="CI316" s="61">
        <f t="shared" si="225"/>
        <v>0</v>
      </c>
      <c r="CJ316" s="61"/>
      <c r="CK316" s="61">
        <f t="shared" si="244"/>
        <v>0</v>
      </c>
      <c r="CL316" s="61">
        <f t="shared" si="241"/>
        <v>0</v>
      </c>
      <c r="CM316" s="61">
        <f t="shared" si="241"/>
        <v>0</v>
      </c>
      <c r="CN316" s="61">
        <f t="shared" si="241"/>
        <v>0</v>
      </c>
      <c r="CO316" s="61">
        <f t="shared" si="241"/>
        <v>0</v>
      </c>
      <c r="CP316" s="61">
        <f t="shared" si="241"/>
        <v>0</v>
      </c>
      <c r="CQ316" s="61">
        <f t="shared" si="241"/>
        <v>0</v>
      </c>
      <c r="CR316" s="61">
        <f t="shared" si="241"/>
        <v>0</v>
      </c>
      <c r="CS316" s="61">
        <f t="shared" si="226"/>
        <v>0</v>
      </c>
      <c r="CT316" s="61">
        <f t="shared" si="227"/>
        <v>0</v>
      </c>
      <c r="CV316" s="61">
        <f t="shared" si="228"/>
        <v>0</v>
      </c>
      <c r="CW316" s="61">
        <f t="shared" si="261"/>
        <v>0</v>
      </c>
      <c r="CX316" s="61"/>
      <c r="CY316" s="61">
        <f t="shared" si="262"/>
        <v>0</v>
      </c>
      <c r="CZ316" s="61">
        <f t="shared" si="220"/>
        <v>0</v>
      </c>
      <c r="DA316" s="61">
        <f t="shared" si="220"/>
        <v>0</v>
      </c>
      <c r="DB316" s="2" t="s">
        <v>85</v>
      </c>
      <c r="DC316" s="2" t="s">
        <v>102</v>
      </c>
      <c r="DD316" s="2" t="s">
        <v>142</v>
      </c>
      <c r="DE316" s="2" t="s">
        <v>181</v>
      </c>
      <c r="DF316" s="3" t="s">
        <v>86</v>
      </c>
      <c r="DG316" s="62">
        <v>42850</v>
      </c>
      <c r="EC316" s="60"/>
      <c r="ED316" s="60"/>
      <c r="EE316" s="60"/>
      <c r="EF316" s="60"/>
    </row>
    <row r="317" spans="2:140" ht="12.75" hidden="1" customHeight="1">
      <c r="B317" s="99" t="s">
        <v>725</v>
      </c>
      <c r="C317" s="22" t="s">
        <v>726</v>
      </c>
      <c r="D317" s="22" t="s">
        <v>727</v>
      </c>
      <c r="E317" s="2" t="str">
        <f>VLOOKUP($C317,[1]Detail!$C:$AK,6,0)</f>
        <v>PMT2</v>
      </c>
      <c r="F317" s="2" t="str">
        <f>VLOOKUP($C317,[1]Detail!$C:$AK,7,0)</f>
        <v>TH</v>
      </c>
      <c r="G317" s="2" t="str">
        <f>VLOOKUP($C317,[1]Detail!$C:$AK,5,0)</f>
        <v>B</v>
      </c>
      <c r="J317" s="22" t="s">
        <v>728</v>
      </c>
      <c r="K317" s="23" t="s">
        <v>729</v>
      </c>
      <c r="L317" s="22" t="s">
        <v>671</v>
      </c>
      <c r="M317" s="51" t="str">
        <f t="shared" si="253"/>
        <v>MJD8B -LBBA-DAW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64">
        <f t="shared" si="254"/>
        <v>0</v>
      </c>
      <c r="Y317" s="8">
        <v>-730.88</v>
      </c>
      <c r="Z317" s="8">
        <v>0</v>
      </c>
      <c r="AA317" s="8">
        <v>-8.44</v>
      </c>
      <c r="AB317" s="8">
        <v>-2.12</v>
      </c>
      <c r="AC317" s="8">
        <v>0</v>
      </c>
      <c r="AD317" s="8">
        <f t="shared" si="255"/>
        <v>-741.44</v>
      </c>
      <c r="AE317" s="2" t="s">
        <v>91</v>
      </c>
      <c r="AG317" s="8">
        <v>0</v>
      </c>
      <c r="AH317" s="8">
        <v>0</v>
      </c>
      <c r="AJ317" s="70">
        <v>0</v>
      </c>
      <c r="AK317" s="70">
        <v>0</v>
      </c>
      <c r="AL317" s="72">
        <v>0</v>
      </c>
      <c r="AM317" s="22"/>
      <c r="AO317" s="22" t="s">
        <v>126</v>
      </c>
      <c r="AP317" s="23" t="s">
        <v>729</v>
      </c>
      <c r="AQ317" s="22" t="s">
        <v>671</v>
      </c>
      <c r="AR317" s="51" t="str">
        <f t="shared" si="250"/>
        <v>JD8B-LBBA-DAW</v>
      </c>
      <c r="AS317" s="3"/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0</v>
      </c>
      <c r="BA317" s="22">
        <v>0</v>
      </c>
      <c r="BB317" s="64">
        <f t="shared" si="251"/>
        <v>0</v>
      </c>
      <c r="BD317" s="60">
        <v>-726.04</v>
      </c>
      <c r="BE317" s="60">
        <v>0</v>
      </c>
      <c r="BF317" s="60">
        <v>-8.44</v>
      </c>
      <c r="BG317" s="95">
        <v>-2.12</v>
      </c>
      <c r="BH317" s="95">
        <v>0</v>
      </c>
      <c r="BI317" s="8">
        <f t="shared" si="263"/>
        <v>-736.6</v>
      </c>
      <c r="BJ317" s="2" t="s">
        <v>91</v>
      </c>
      <c r="BL317" s="70">
        <v>0</v>
      </c>
      <c r="BM317" s="70">
        <v>0</v>
      </c>
      <c r="BO317" s="70">
        <v>0</v>
      </c>
      <c r="BP317" s="70">
        <v>0</v>
      </c>
      <c r="BQ317" s="72">
        <v>0</v>
      </c>
      <c r="BS317" s="61">
        <f t="shared" si="258"/>
        <v>-4.8400000000000318</v>
      </c>
      <c r="BT317" s="61">
        <f t="shared" si="259"/>
        <v>0</v>
      </c>
      <c r="BU317" s="61">
        <f t="shared" si="260"/>
        <v>0</v>
      </c>
      <c r="BV317" s="61">
        <f t="shared" si="260"/>
        <v>0</v>
      </c>
      <c r="BW317" s="61">
        <f t="shared" si="260"/>
        <v>0</v>
      </c>
      <c r="BX317" s="61">
        <f t="shared" si="257"/>
        <v>-4.8400000000000318</v>
      </c>
      <c r="BY317" s="61" t="s">
        <v>91</v>
      </c>
      <c r="CA317" s="61">
        <f t="shared" si="243"/>
        <v>0</v>
      </c>
      <c r="CB317" s="61">
        <f t="shared" si="240"/>
        <v>0</v>
      </c>
      <c r="CC317" s="61">
        <f t="shared" si="240"/>
        <v>0</v>
      </c>
      <c r="CD317" s="61">
        <f t="shared" si="240"/>
        <v>0</v>
      </c>
      <c r="CE317" s="61">
        <f t="shared" si="240"/>
        <v>0</v>
      </c>
      <c r="CF317" s="61">
        <f t="shared" si="240"/>
        <v>0</v>
      </c>
      <c r="CG317" s="61">
        <f t="shared" si="240"/>
        <v>0</v>
      </c>
      <c r="CH317" s="61">
        <f t="shared" si="240"/>
        <v>0</v>
      </c>
      <c r="CI317" s="61">
        <f t="shared" si="225"/>
        <v>0</v>
      </c>
      <c r="CJ317" s="61"/>
      <c r="CK317" s="61">
        <f t="shared" si="244"/>
        <v>0</v>
      </c>
      <c r="CL317" s="61">
        <f t="shared" si="241"/>
        <v>0</v>
      </c>
      <c r="CM317" s="61">
        <f t="shared" si="241"/>
        <v>0</v>
      </c>
      <c r="CN317" s="61">
        <f t="shared" si="241"/>
        <v>0</v>
      </c>
      <c r="CO317" s="61">
        <f t="shared" si="241"/>
        <v>0</v>
      </c>
      <c r="CP317" s="61">
        <f t="shared" si="241"/>
        <v>0</v>
      </c>
      <c r="CQ317" s="61">
        <f t="shared" si="241"/>
        <v>0</v>
      </c>
      <c r="CR317" s="61">
        <f t="shared" si="241"/>
        <v>0</v>
      </c>
      <c r="CS317" s="61">
        <f t="shared" si="226"/>
        <v>0</v>
      </c>
      <c r="CT317" s="61">
        <f t="shared" si="227"/>
        <v>0</v>
      </c>
      <c r="CV317" s="61">
        <f t="shared" si="228"/>
        <v>0</v>
      </c>
      <c r="CW317" s="61">
        <f t="shared" si="261"/>
        <v>0</v>
      </c>
      <c r="CX317" s="61"/>
      <c r="CY317" s="61">
        <f t="shared" si="262"/>
        <v>0</v>
      </c>
      <c r="CZ317" s="61">
        <f t="shared" si="220"/>
        <v>0</v>
      </c>
      <c r="DA317" s="61">
        <f t="shared" si="220"/>
        <v>0</v>
      </c>
      <c r="DB317" s="2" t="s">
        <v>85</v>
      </c>
      <c r="DC317" s="2" t="s">
        <v>102</v>
      </c>
      <c r="DD317" s="2" t="s">
        <v>142</v>
      </c>
      <c r="DE317" s="2" t="s">
        <v>181</v>
      </c>
      <c r="DF317" s="3" t="s">
        <v>86</v>
      </c>
      <c r="DG317" s="62">
        <v>42850</v>
      </c>
      <c r="EC317" s="60"/>
      <c r="ED317" s="60"/>
      <c r="EE317" s="60"/>
      <c r="EF317" s="60"/>
    </row>
    <row r="318" spans="2:140" ht="12.75" hidden="1" customHeight="1">
      <c r="B318" s="99" t="s">
        <v>725</v>
      </c>
      <c r="C318" s="22" t="s">
        <v>726</v>
      </c>
      <c r="D318" s="22" t="s">
        <v>727</v>
      </c>
      <c r="E318" s="2" t="str">
        <f>VLOOKUP($C318,[1]Detail!$C:$AK,6,0)</f>
        <v>PMT2</v>
      </c>
      <c r="F318" s="2" t="str">
        <f>VLOOKUP($C318,[1]Detail!$C:$AK,7,0)</f>
        <v>TH</v>
      </c>
      <c r="G318" s="2" t="str">
        <f>VLOOKUP($C318,[1]Detail!$C:$AK,5,0)</f>
        <v>B</v>
      </c>
      <c r="J318" s="22" t="s">
        <v>728</v>
      </c>
      <c r="K318" s="23" t="s">
        <v>729</v>
      </c>
      <c r="L318" s="22" t="s">
        <v>730</v>
      </c>
      <c r="M318" s="51" t="str">
        <f t="shared" si="253"/>
        <v>MJD8B -LBBA-EAW</v>
      </c>
      <c r="O318" s="22">
        <v>0</v>
      </c>
      <c r="P318" s="22">
        <v>0</v>
      </c>
      <c r="Q318" s="22">
        <v>1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64">
        <f t="shared" si="254"/>
        <v>0.14000000000000001</v>
      </c>
      <c r="Y318" s="8">
        <v>-1036.49</v>
      </c>
      <c r="Z318" s="8">
        <v>0</v>
      </c>
      <c r="AA318" s="8">
        <v>-8.4600000000000009</v>
      </c>
      <c r="AB318" s="8">
        <v>-2.12</v>
      </c>
      <c r="AC318" s="8">
        <v>0</v>
      </c>
      <c r="AD318" s="8">
        <f t="shared" si="255"/>
        <v>-1047.07</v>
      </c>
      <c r="AE318" s="2" t="s">
        <v>91</v>
      </c>
      <c r="AG318" s="8">
        <v>0</v>
      </c>
      <c r="AH318" s="8">
        <v>0</v>
      </c>
      <c r="AJ318" s="70">
        <v>0</v>
      </c>
      <c r="AK318" s="70">
        <v>0</v>
      </c>
      <c r="AL318" s="72">
        <v>0</v>
      </c>
      <c r="AM318" s="22"/>
      <c r="AO318" s="22" t="s">
        <v>126</v>
      </c>
      <c r="AP318" s="23" t="s">
        <v>729</v>
      </c>
      <c r="AQ318" s="22" t="s">
        <v>730</v>
      </c>
      <c r="AR318" s="51" t="str">
        <f t="shared" si="250"/>
        <v>JD8B-LBBA-EAW</v>
      </c>
      <c r="AS318" s="3"/>
      <c r="AT318" s="22">
        <v>0</v>
      </c>
      <c r="AU318" s="22">
        <v>0</v>
      </c>
      <c r="AV318" s="22">
        <v>1</v>
      </c>
      <c r="AW318" s="22">
        <v>0</v>
      </c>
      <c r="AX318" s="22">
        <v>0</v>
      </c>
      <c r="AY318" s="22">
        <v>0</v>
      </c>
      <c r="AZ318" s="22">
        <v>0</v>
      </c>
      <c r="BA318" s="22">
        <v>0</v>
      </c>
      <c r="BB318" s="64">
        <f t="shared" si="251"/>
        <v>0.14000000000000001</v>
      </c>
      <c r="BD318" s="60">
        <v>-1031.6500000000001</v>
      </c>
      <c r="BE318" s="60">
        <v>0</v>
      </c>
      <c r="BF318" s="60">
        <v>-8.4600000000000009</v>
      </c>
      <c r="BG318" s="95">
        <v>-2.12</v>
      </c>
      <c r="BH318" s="95">
        <v>0</v>
      </c>
      <c r="BI318" s="8">
        <f t="shared" si="263"/>
        <v>-1042.23</v>
      </c>
      <c r="BJ318" s="2" t="s">
        <v>91</v>
      </c>
      <c r="BL318" s="70">
        <v>0</v>
      </c>
      <c r="BM318" s="70">
        <v>0</v>
      </c>
      <c r="BO318" s="70">
        <v>0</v>
      </c>
      <c r="BP318" s="70">
        <v>0</v>
      </c>
      <c r="BQ318" s="72">
        <v>0</v>
      </c>
      <c r="BS318" s="61">
        <f t="shared" si="258"/>
        <v>-4.8399999999999181</v>
      </c>
      <c r="BT318" s="61">
        <f t="shared" si="259"/>
        <v>0</v>
      </c>
      <c r="BU318" s="61">
        <f t="shared" si="260"/>
        <v>0</v>
      </c>
      <c r="BV318" s="61">
        <f t="shared" si="260"/>
        <v>0</v>
      </c>
      <c r="BW318" s="61">
        <f t="shared" si="260"/>
        <v>0</v>
      </c>
      <c r="BX318" s="61">
        <f t="shared" si="257"/>
        <v>-4.8399999999999181</v>
      </c>
      <c r="BY318" s="61" t="s">
        <v>91</v>
      </c>
      <c r="CA318" s="61">
        <f t="shared" si="243"/>
        <v>0</v>
      </c>
      <c r="CB318" s="61">
        <f t="shared" si="240"/>
        <v>0</v>
      </c>
      <c r="CC318" s="61">
        <f t="shared" si="240"/>
        <v>-0.7281480367082771</v>
      </c>
      <c r="CD318" s="61">
        <f t="shared" si="240"/>
        <v>0</v>
      </c>
      <c r="CE318" s="61">
        <f t="shared" si="240"/>
        <v>0</v>
      </c>
      <c r="CF318" s="61">
        <f t="shared" si="240"/>
        <v>0</v>
      </c>
      <c r="CG318" s="61">
        <f t="shared" si="240"/>
        <v>0</v>
      </c>
      <c r="CH318" s="61">
        <f t="shared" si="240"/>
        <v>0</v>
      </c>
      <c r="CI318" s="61">
        <f t="shared" si="225"/>
        <v>-0.10194072513915881</v>
      </c>
      <c r="CJ318" s="61"/>
      <c r="CK318" s="61">
        <f t="shared" si="244"/>
        <v>0</v>
      </c>
      <c r="CL318" s="61">
        <f t="shared" si="241"/>
        <v>0</v>
      </c>
      <c r="CM318" s="61">
        <f t="shared" si="241"/>
        <v>-0.7281480367082771</v>
      </c>
      <c r="CN318" s="61">
        <f t="shared" si="241"/>
        <v>0</v>
      </c>
      <c r="CO318" s="61">
        <f t="shared" si="241"/>
        <v>0</v>
      </c>
      <c r="CP318" s="61">
        <f t="shared" si="241"/>
        <v>0</v>
      </c>
      <c r="CQ318" s="61">
        <f t="shared" si="241"/>
        <v>0</v>
      </c>
      <c r="CR318" s="61">
        <f t="shared" si="241"/>
        <v>0</v>
      </c>
      <c r="CS318" s="61">
        <f t="shared" si="226"/>
        <v>-0.10194072513915881</v>
      </c>
      <c r="CT318" s="61">
        <f t="shared" si="227"/>
        <v>-0.67759999999998866</v>
      </c>
      <c r="CV318" s="61">
        <f t="shared" si="228"/>
        <v>0</v>
      </c>
      <c r="CW318" s="61">
        <f t="shared" si="261"/>
        <v>0</v>
      </c>
      <c r="CX318" s="61"/>
      <c r="CY318" s="61">
        <f t="shared" si="262"/>
        <v>0</v>
      </c>
      <c r="CZ318" s="61">
        <f t="shared" si="220"/>
        <v>0</v>
      </c>
      <c r="DA318" s="61">
        <f t="shared" si="220"/>
        <v>0</v>
      </c>
      <c r="DB318" s="2" t="s">
        <v>85</v>
      </c>
      <c r="DC318" s="2" t="s">
        <v>102</v>
      </c>
      <c r="DD318" s="2" t="s">
        <v>142</v>
      </c>
      <c r="DE318" s="2" t="s">
        <v>181</v>
      </c>
      <c r="DF318" s="3" t="s">
        <v>86</v>
      </c>
      <c r="DG318" s="62">
        <v>42850</v>
      </c>
      <c r="EC318" s="60"/>
      <c r="ED318" s="60"/>
      <c r="EE318" s="60"/>
      <c r="EF318" s="60"/>
    </row>
    <row r="319" spans="2:140" ht="12.75" hidden="1" customHeight="1">
      <c r="B319" s="99" t="s">
        <v>725</v>
      </c>
      <c r="C319" s="22" t="s">
        <v>726</v>
      </c>
      <c r="D319" s="22" t="s">
        <v>727</v>
      </c>
      <c r="E319" s="2" t="str">
        <f>VLOOKUP($C319,[1]Detail!$C:$AK,6,0)</f>
        <v>PMT2</v>
      </c>
      <c r="F319" s="2" t="str">
        <f>VLOOKUP($C319,[1]Detail!$C:$AK,7,0)</f>
        <v>TH</v>
      </c>
      <c r="G319" s="2" t="str">
        <f>VLOOKUP($C319,[1]Detail!$C:$AK,5,0)</f>
        <v>B</v>
      </c>
      <c r="J319" s="22" t="s">
        <v>728</v>
      </c>
      <c r="K319" s="23" t="s">
        <v>729</v>
      </c>
      <c r="L319" s="22" t="s">
        <v>731</v>
      </c>
      <c r="M319" s="51" t="str">
        <f t="shared" si="253"/>
        <v>MJD8B -LBBA-FAW</v>
      </c>
      <c r="O319" s="22">
        <v>0</v>
      </c>
      <c r="P319" s="22">
        <v>0</v>
      </c>
      <c r="Q319" s="22">
        <v>0</v>
      </c>
      <c r="R319" s="22">
        <v>1</v>
      </c>
      <c r="S319" s="22">
        <v>0</v>
      </c>
      <c r="T319" s="22">
        <v>0</v>
      </c>
      <c r="U319" s="22">
        <v>0</v>
      </c>
      <c r="V319" s="22">
        <v>0</v>
      </c>
      <c r="W319" s="64">
        <f t="shared" si="254"/>
        <v>0.23</v>
      </c>
      <c r="Y319" s="8">
        <v>-1036.49</v>
      </c>
      <c r="Z319" s="8">
        <v>0</v>
      </c>
      <c r="AA319" s="8">
        <v>-8.4600000000000009</v>
      </c>
      <c r="AB319" s="8">
        <v>-2.12</v>
      </c>
      <c r="AC319" s="8">
        <v>0</v>
      </c>
      <c r="AD319" s="8">
        <f t="shared" si="255"/>
        <v>-1047.07</v>
      </c>
      <c r="AE319" s="2" t="s">
        <v>91</v>
      </c>
      <c r="AG319" s="8">
        <v>0</v>
      </c>
      <c r="AH319" s="8">
        <v>0</v>
      </c>
      <c r="AJ319" s="70">
        <v>0</v>
      </c>
      <c r="AK319" s="70">
        <v>0</v>
      </c>
      <c r="AL319" s="72">
        <v>0</v>
      </c>
      <c r="AM319" s="22"/>
      <c r="AO319" s="22" t="s">
        <v>126</v>
      </c>
      <c r="AP319" s="23" t="s">
        <v>729</v>
      </c>
      <c r="AQ319" s="22" t="s">
        <v>731</v>
      </c>
      <c r="AR319" s="51" t="str">
        <f t="shared" si="250"/>
        <v>JD8B-LBBA-FAW</v>
      </c>
      <c r="AS319" s="3"/>
      <c r="AT319" s="22">
        <v>0</v>
      </c>
      <c r="AU319" s="22">
        <v>0</v>
      </c>
      <c r="AV319" s="22">
        <v>0</v>
      </c>
      <c r="AW319" s="22">
        <v>1</v>
      </c>
      <c r="AX319" s="22">
        <v>0</v>
      </c>
      <c r="AY319" s="22">
        <v>0</v>
      </c>
      <c r="AZ319" s="22">
        <v>0</v>
      </c>
      <c r="BA319" s="22">
        <v>0</v>
      </c>
      <c r="BB319" s="64">
        <f t="shared" si="251"/>
        <v>0.23</v>
      </c>
      <c r="BD319" s="60">
        <v>-1031.6500000000001</v>
      </c>
      <c r="BE319" s="60">
        <v>0</v>
      </c>
      <c r="BF319" s="60">
        <v>-8.4600000000000009</v>
      </c>
      <c r="BG319" s="95">
        <v>-2.12</v>
      </c>
      <c r="BH319" s="95">
        <v>0</v>
      </c>
      <c r="BI319" s="8">
        <f t="shared" si="263"/>
        <v>-1042.23</v>
      </c>
      <c r="BJ319" s="2" t="s">
        <v>91</v>
      </c>
      <c r="BL319" s="70">
        <v>0</v>
      </c>
      <c r="BM319" s="70">
        <v>0</v>
      </c>
      <c r="BO319" s="70">
        <v>0</v>
      </c>
      <c r="BP319" s="70">
        <v>0</v>
      </c>
      <c r="BQ319" s="72">
        <v>0</v>
      </c>
      <c r="BS319" s="61">
        <f t="shared" si="258"/>
        <v>-4.8399999999999181</v>
      </c>
      <c r="BT319" s="61">
        <f t="shared" si="259"/>
        <v>0</v>
      </c>
      <c r="BU319" s="61">
        <f t="shared" si="260"/>
        <v>0</v>
      </c>
      <c r="BV319" s="61">
        <f t="shared" si="260"/>
        <v>0</v>
      </c>
      <c r="BW319" s="61">
        <f t="shared" si="260"/>
        <v>0</v>
      </c>
      <c r="BX319" s="61">
        <f t="shared" si="257"/>
        <v>-4.8399999999999181</v>
      </c>
      <c r="BY319" s="61" t="s">
        <v>91</v>
      </c>
      <c r="CA319" s="61">
        <f t="shared" si="243"/>
        <v>0</v>
      </c>
      <c r="CB319" s="61">
        <f t="shared" si="240"/>
        <v>0</v>
      </c>
      <c r="CC319" s="61">
        <f t="shared" si="240"/>
        <v>0</v>
      </c>
      <c r="CD319" s="61">
        <f t="shared" si="240"/>
        <v>-0.7281480367082771</v>
      </c>
      <c r="CE319" s="61">
        <f t="shared" si="240"/>
        <v>0</v>
      </c>
      <c r="CF319" s="61">
        <f t="shared" si="240"/>
        <v>0</v>
      </c>
      <c r="CG319" s="61">
        <f t="shared" si="240"/>
        <v>0</v>
      </c>
      <c r="CH319" s="61">
        <f t="shared" si="240"/>
        <v>0</v>
      </c>
      <c r="CI319" s="61">
        <f t="shared" si="225"/>
        <v>-0.16747404844290373</v>
      </c>
      <c r="CJ319" s="61"/>
      <c r="CK319" s="61">
        <f t="shared" si="244"/>
        <v>0</v>
      </c>
      <c r="CL319" s="61">
        <f t="shared" si="241"/>
        <v>0</v>
      </c>
      <c r="CM319" s="61">
        <f t="shared" si="241"/>
        <v>0</v>
      </c>
      <c r="CN319" s="61">
        <f t="shared" si="241"/>
        <v>-0.7281480367082771</v>
      </c>
      <c r="CO319" s="61">
        <f t="shared" si="241"/>
        <v>0</v>
      </c>
      <c r="CP319" s="61">
        <f t="shared" si="241"/>
        <v>0</v>
      </c>
      <c r="CQ319" s="61">
        <f t="shared" si="241"/>
        <v>0</v>
      </c>
      <c r="CR319" s="61">
        <f t="shared" si="241"/>
        <v>0</v>
      </c>
      <c r="CS319" s="61">
        <f t="shared" si="226"/>
        <v>-0.16747404844290373</v>
      </c>
      <c r="CT319" s="61">
        <f t="shared" si="227"/>
        <v>-1.1131999999999811</v>
      </c>
      <c r="CV319" s="61">
        <f t="shared" si="228"/>
        <v>0</v>
      </c>
      <c r="CW319" s="61">
        <f t="shared" si="261"/>
        <v>0</v>
      </c>
      <c r="CX319" s="61"/>
      <c r="CY319" s="61">
        <f t="shared" si="262"/>
        <v>0</v>
      </c>
      <c r="CZ319" s="61">
        <f t="shared" si="220"/>
        <v>0</v>
      </c>
      <c r="DA319" s="61">
        <f t="shared" si="220"/>
        <v>0</v>
      </c>
      <c r="DB319" s="2" t="s">
        <v>85</v>
      </c>
      <c r="DC319" s="2" t="s">
        <v>102</v>
      </c>
      <c r="DD319" s="2" t="s">
        <v>142</v>
      </c>
      <c r="DE319" s="2" t="s">
        <v>181</v>
      </c>
      <c r="DF319" s="3" t="s">
        <v>86</v>
      </c>
      <c r="DG319" s="62">
        <v>42850</v>
      </c>
      <c r="EC319" s="60"/>
      <c r="ED319" s="60"/>
      <c r="EE319" s="60"/>
      <c r="EF319" s="60"/>
    </row>
    <row r="320" spans="2:140" ht="12.75" hidden="1" customHeight="1">
      <c r="B320" s="99" t="s">
        <v>725</v>
      </c>
      <c r="C320" s="22" t="s">
        <v>726</v>
      </c>
      <c r="D320" s="22" t="s">
        <v>727</v>
      </c>
      <c r="E320" s="2" t="str">
        <f>VLOOKUP($C320,[1]Detail!$C:$AK,6,0)</f>
        <v>PMT2</v>
      </c>
      <c r="F320" s="2" t="str">
        <f>VLOOKUP($C320,[1]Detail!$C:$AK,7,0)</f>
        <v>TH</v>
      </c>
      <c r="G320" s="2" t="str">
        <f>VLOOKUP($C320,[1]Detail!$C:$AK,5,0)</f>
        <v>B</v>
      </c>
      <c r="J320" s="22" t="s">
        <v>728</v>
      </c>
      <c r="K320" s="23" t="s">
        <v>729</v>
      </c>
      <c r="L320" s="22" t="s">
        <v>732</v>
      </c>
      <c r="M320" s="51" t="str">
        <f t="shared" si="253"/>
        <v>MJD8B -LBBA-GAW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64">
        <f t="shared" si="254"/>
        <v>0</v>
      </c>
      <c r="Y320" s="8">
        <v>-1020.95</v>
      </c>
      <c r="Z320" s="8">
        <v>0</v>
      </c>
      <c r="AA320" s="8">
        <v>-8.4600000000000009</v>
      </c>
      <c r="AB320" s="8">
        <v>-2.12</v>
      </c>
      <c r="AC320" s="8">
        <v>0</v>
      </c>
      <c r="AD320" s="8">
        <f t="shared" si="255"/>
        <v>-1031.53</v>
      </c>
      <c r="AE320" s="2" t="s">
        <v>91</v>
      </c>
      <c r="AG320" s="8">
        <v>0</v>
      </c>
      <c r="AH320" s="8">
        <v>0</v>
      </c>
      <c r="AJ320" s="70">
        <v>0</v>
      </c>
      <c r="AK320" s="70">
        <v>0</v>
      </c>
      <c r="AL320" s="72">
        <v>0</v>
      </c>
      <c r="AM320" s="22"/>
      <c r="AO320" s="22" t="s">
        <v>126</v>
      </c>
      <c r="AP320" s="23" t="s">
        <v>729</v>
      </c>
      <c r="AQ320" s="22" t="s">
        <v>732</v>
      </c>
      <c r="AR320" s="51" t="str">
        <f t="shared" si="250"/>
        <v>JD8B-LBBA-GAW</v>
      </c>
      <c r="AS320" s="3"/>
      <c r="AT320" s="22">
        <v>0</v>
      </c>
      <c r="AU320" s="22">
        <v>0</v>
      </c>
      <c r="AV320" s="22">
        <v>0</v>
      </c>
      <c r="AW320" s="22">
        <v>0</v>
      </c>
      <c r="AX320" s="22">
        <v>0</v>
      </c>
      <c r="AY320" s="22">
        <v>0</v>
      </c>
      <c r="AZ320" s="22">
        <v>0</v>
      </c>
      <c r="BA320" s="22">
        <v>0</v>
      </c>
      <c r="BB320" s="64">
        <f t="shared" si="251"/>
        <v>0</v>
      </c>
      <c r="BD320" s="60">
        <v>-1016.11</v>
      </c>
      <c r="BE320" s="60">
        <v>0</v>
      </c>
      <c r="BF320" s="60">
        <v>-8.4600000000000009</v>
      </c>
      <c r="BG320" s="95">
        <v>-2.12</v>
      </c>
      <c r="BH320" s="95">
        <v>0</v>
      </c>
      <c r="BI320" s="8">
        <f t="shared" si="263"/>
        <v>-1026.6899999999998</v>
      </c>
      <c r="BJ320" s="2" t="s">
        <v>91</v>
      </c>
      <c r="BL320" s="70">
        <v>0</v>
      </c>
      <c r="BM320" s="70">
        <v>0</v>
      </c>
      <c r="BO320" s="70">
        <v>0</v>
      </c>
      <c r="BP320" s="70">
        <v>0</v>
      </c>
      <c r="BQ320" s="72">
        <v>0</v>
      </c>
      <c r="BS320" s="61">
        <f t="shared" si="258"/>
        <v>-4.8400000000000318</v>
      </c>
      <c r="BT320" s="61">
        <f t="shared" si="259"/>
        <v>0</v>
      </c>
      <c r="BU320" s="61">
        <f t="shared" si="260"/>
        <v>0</v>
      </c>
      <c r="BV320" s="61">
        <f t="shared" si="260"/>
        <v>0</v>
      </c>
      <c r="BW320" s="61">
        <f t="shared" si="260"/>
        <v>0</v>
      </c>
      <c r="BX320" s="61">
        <f t="shared" si="257"/>
        <v>-4.8400000000001455</v>
      </c>
      <c r="BY320" s="61" t="s">
        <v>91</v>
      </c>
      <c r="CA320" s="61">
        <f t="shared" si="243"/>
        <v>0</v>
      </c>
      <c r="CB320" s="61">
        <f t="shared" si="240"/>
        <v>0</v>
      </c>
      <c r="CC320" s="61">
        <f t="shared" si="240"/>
        <v>0</v>
      </c>
      <c r="CD320" s="61">
        <f t="shared" si="240"/>
        <v>0</v>
      </c>
      <c r="CE320" s="61">
        <f t="shared" si="240"/>
        <v>0</v>
      </c>
      <c r="CF320" s="61">
        <f t="shared" si="240"/>
        <v>0</v>
      </c>
      <c r="CG320" s="61">
        <f t="shared" si="240"/>
        <v>0</v>
      </c>
      <c r="CH320" s="61">
        <f t="shared" si="240"/>
        <v>0</v>
      </c>
      <c r="CI320" s="61">
        <f t="shared" si="225"/>
        <v>0</v>
      </c>
      <c r="CJ320" s="61"/>
      <c r="CK320" s="61">
        <f t="shared" si="244"/>
        <v>0</v>
      </c>
      <c r="CL320" s="61">
        <f t="shared" si="241"/>
        <v>0</v>
      </c>
      <c r="CM320" s="61">
        <f t="shared" si="241"/>
        <v>0</v>
      </c>
      <c r="CN320" s="61">
        <f t="shared" si="241"/>
        <v>0</v>
      </c>
      <c r="CO320" s="61">
        <f t="shared" si="241"/>
        <v>0</v>
      </c>
      <c r="CP320" s="61">
        <f t="shared" si="241"/>
        <v>0</v>
      </c>
      <c r="CQ320" s="61">
        <f t="shared" si="241"/>
        <v>0</v>
      </c>
      <c r="CR320" s="61">
        <f t="shared" si="241"/>
        <v>0</v>
      </c>
      <c r="CS320" s="61">
        <f t="shared" si="226"/>
        <v>0</v>
      </c>
      <c r="CT320" s="61">
        <f t="shared" si="227"/>
        <v>0</v>
      </c>
      <c r="CV320" s="61">
        <f t="shared" si="228"/>
        <v>0</v>
      </c>
      <c r="CW320" s="61">
        <f t="shared" si="261"/>
        <v>0</v>
      </c>
      <c r="CX320" s="61"/>
      <c r="CY320" s="61">
        <f t="shared" si="262"/>
        <v>0</v>
      </c>
      <c r="CZ320" s="61">
        <f t="shared" si="220"/>
        <v>0</v>
      </c>
      <c r="DA320" s="61">
        <f t="shared" si="220"/>
        <v>0</v>
      </c>
      <c r="DB320" s="2" t="s">
        <v>85</v>
      </c>
      <c r="DC320" s="2" t="s">
        <v>102</v>
      </c>
      <c r="DD320" s="2" t="s">
        <v>142</v>
      </c>
      <c r="DE320" s="2" t="s">
        <v>181</v>
      </c>
      <c r="DF320" s="3" t="s">
        <v>86</v>
      </c>
      <c r="DG320" s="62">
        <v>42850</v>
      </c>
      <c r="EC320" s="60"/>
      <c r="ED320" s="60"/>
      <c r="EE320" s="60"/>
      <c r="EF320" s="60"/>
    </row>
    <row r="321" spans="2:136" ht="12.75" hidden="1" customHeight="1">
      <c r="B321" s="99" t="s">
        <v>725</v>
      </c>
      <c r="C321" s="22" t="s">
        <v>726</v>
      </c>
      <c r="D321" s="22" t="s">
        <v>727</v>
      </c>
      <c r="E321" s="2" t="str">
        <f>VLOOKUP($C321,[1]Detail!$C:$AK,6,0)</f>
        <v>PMT2</v>
      </c>
      <c r="F321" s="2" t="str">
        <f>VLOOKUP($C321,[1]Detail!$C:$AK,7,0)</f>
        <v>TH</v>
      </c>
      <c r="G321" s="2" t="str">
        <f>VLOOKUP($C321,[1]Detail!$C:$AK,5,0)</f>
        <v>B</v>
      </c>
      <c r="J321" s="22" t="s">
        <v>728</v>
      </c>
      <c r="K321" s="23" t="s">
        <v>729</v>
      </c>
      <c r="L321" s="22" t="s">
        <v>733</v>
      </c>
      <c r="M321" s="51" t="str">
        <f t="shared" si="253"/>
        <v>MJD8B -LBBA-HAW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64">
        <f t="shared" si="254"/>
        <v>0</v>
      </c>
      <c r="Y321" s="8">
        <v>-1020.95</v>
      </c>
      <c r="Z321" s="8">
        <v>0</v>
      </c>
      <c r="AA321" s="8">
        <v>-8.4600000000000009</v>
      </c>
      <c r="AB321" s="8">
        <v>-2.12</v>
      </c>
      <c r="AC321" s="8">
        <v>0</v>
      </c>
      <c r="AD321" s="8">
        <f t="shared" si="255"/>
        <v>-1031.53</v>
      </c>
      <c r="AE321" s="2" t="s">
        <v>91</v>
      </c>
      <c r="AG321" s="8">
        <v>0</v>
      </c>
      <c r="AH321" s="8">
        <v>0</v>
      </c>
      <c r="AJ321" s="70">
        <v>0</v>
      </c>
      <c r="AK321" s="70">
        <v>0</v>
      </c>
      <c r="AL321" s="72">
        <v>0</v>
      </c>
      <c r="AM321" s="22"/>
      <c r="AO321" s="22" t="s">
        <v>126</v>
      </c>
      <c r="AP321" s="23" t="s">
        <v>729</v>
      </c>
      <c r="AQ321" s="22" t="s">
        <v>733</v>
      </c>
      <c r="AR321" s="51" t="str">
        <f t="shared" si="250"/>
        <v>JD8B-LBBA-HAW</v>
      </c>
      <c r="AS321" s="3"/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0</v>
      </c>
      <c r="AZ321" s="22">
        <v>0</v>
      </c>
      <c r="BA321" s="22">
        <v>0</v>
      </c>
      <c r="BB321" s="64">
        <f t="shared" si="251"/>
        <v>0</v>
      </c>
      <c r="BD321" s="60">
        <v>-1016.11</v>
      </c>
      <c r="BE321" s="60">
        <v>0</v>
      </c>
      <c r="BF321" s="60">
        <v>-8.4600000000000009</v>
      </c>
      <c r="BG321" s="95">
        <v>-2.12</v>
      </c>
      <c r="BH321" s="95">
        <v>0</v>
      </c>
      <c r="BI321" s="8">
        <f t="shared" si="263"/>
        <v>-1026.6899999999998</v>
      </c>
      <c r="BJ321" s="2" t="s">
        <v>91</v>
      </c>
      <c r="BL321" s="70">
        <v>0</v>
      </c>
      <c r="BM321" s="70">
        <v>0</v>
      </c>
      <c r="BO321" s="70">
        <v>0</v>
      </c>
      <c r="BP321" s="70">
        <v>0</v>
      </c>
      <c r="BQ321" s="72">
        <v>0</v>
      </c>
      <c r="BS321" s="61">
        <f t="shared" si="258"/>
        <v>-4.8400000000000318</v>
      </c>
      <c r="BT321" s="61">
        <f t="shared" si="259"/>
        <v>0</v>
      </c>
      <c r="BU321" s="61">
        <f t="shared" si="260"/>
        <v>0</v>
      </c>
      <c r="BV321" s="61">
        <f t="shared" si="260"/>
        <v>0</v>
      </c>
      <c r="BW321" s="61">
        <f t="shared" si="260"/>
        <v>0</v>
      </c>
      <c r="BX321" s="61">
        <f t="shared" si="257"/>
        <v>-4.8400000000001455</v>
      </c>
      <c r="BY321" s="61" t="s">
        <v>91</v>
      </c>
      <c r="CA321" s="61">
        <f t="shared" si="243"/>
        <v>0</v>
      </c>
      <c r="CB321" s="61">
        <f t="shared" si="240"/>
        <v>0</v>
      </c>
      <c r="CC321" s="61">
        <f t="shared" si="240"/>
        <v>0</v>
      </c>
      <c r="CD321" s="61">
        <f t="shared" si="240"/>
        <v>0</v>
      </c>
      <c r="CE321" s="61">
        <f t="shared" si="240"/>
        <v>0</v>
      </c>
      <c r="CF321" s="61">
        <f t="shared" si="240"/>
        <v>0</v>
      </c>
      <c r="CG321" s="61">
        <f t="shared" si="240"/>
        <v>0</v>
      </c>
      <c r="CH321" s="61">
        <f t="shared" si="240"/>
        <v>0</v>
      </c>
      <c r="CI321" s="61">
        <f t="shared" si="225"/>
        <v>0</v>
      </c>
      <c r="CJ321" s="61"/>
      <c r="CK321" s="61">
        <f t="shared" si="244"/>
        <v>0</v>
      </c>
      <c r="CL321" s="61">
        <f t="shared" si="241"/>
        <v>0</v>
      </c>
      <c r="CM321" s="61">
        <f t="shared" si="241"/>
        <v>0</v>
      </c>
      <c r="CN321" s="61">
        <f t="shared" si="241"/>
        <v>0</v>
      </c>
      <c r="CO321" s="61">
        <f t="shared" si="241"/>
        <v>0</v>
      </c>
      <c r="CP321" s="61">
        <f t="shared" si="241"/>
        <v>0</v>
      </c>
      <c r="CQ321" s="61">
        <f t="shared" si="241"/>
        <v>0</v>
      </c>
      <c r="CR321" s="61">
        <f t="shared" si="241"/>
        <v>0</v>
      </c>
      <c r="CS321" s="61">
        <f t="shared" si="226"/>
        <v>0</v>
      </c>
      <c r="CT321" s="61">
        <f t="shared" si="227"/>
        <v>0</v>
      </c>
      <c r="CV321" s="61">
        <f t="shared" si="228"/>
        <v>0</v>
      </c>
      <c r="CW321" s="61">
        <f t="shared" si="261"/>
        <v>0</v>
      </c>
      <c r="CX321" s="61"/>
      <c r="CY321" s="61">
        <f t="shared" si="262"/>
        <v>0</v>
      </c>
      <c r="CZ321" s="61">
        <f t="shared" si="220"/>
        <v>0</v>
      </c>
      <c r="DA321" s="61">
        <f t="shared" si="220"/>
        <v>0</v>
      </c>
      <c r="DB321" s="2" t="s">
        <v>85</v>
      </c>
      <c r="DC321" s="2" t="s">
        <v>102</v>
      </c>
      <c r="DD321" s="2" t="s">
        <v>142</v>
      </c>
      <c r="DE321" s="2" t="s">
        <v>181</v>
      </c>
      <c r="DF321" s="3" t="s">
        <v>86</v>
      </c>
      <c r="DG321" s="62">
        <v>42850</v>
      </c>
      <c r="EC321" s="60"/>
      <c r="ED321" s="60"/>
      <c r="EE321" s="60"/>
      <c r="EF321" s="60"/>
    </row>
    <row r="322" spans="2:136" ht="12.75" hidden="1" customHeight="1">
      <c r="B322" s="99" t="s">
        <v>725</v>
      </c>
      <c r="C322" s="22" t="s">
        <v>726</v>
      </c>
      <c r="D322" s="22" t="s">
        <v>727</v>
      </c>
      <c r="E322" s="2" t="str">
        <f>VLOOKUP($C322,[1]Detail!$C:$AK,6,0)</f>
        <v>PMT2</v>
      </c>
      <c r="F322" s="2" t="str">
        <f>VLOOKUP($C322,[1]Detail!$C:$AK,7,0)</f>
        <v>TH</v>
      </c>
      <c r="G322" s="2" t="str">
        <f>VLOOKUP($C322,[1]Detail!$C:$AK,5,0)</f>
        <v>B</v>
      </c>
      <c r="J322" s="22" t="s">
        <v>728</v>
      </c>
      <c r="K322" s="23" t="s">
        <v>729</v>
      </c>
      <c r="L322" s="22" t="s">
        <v>734</v>
      </c>
      <c r="M322" s="51" t="str">
        <f t="shared" si="253"/>
        <v>MJD8B -LBBA-JAW</v>
      </c>
      <c r="O322" s="22">
        <v>0</v>
      </c>
      <c r="P322" s="22">
        <v>0</v>
      </c>
      <c r="Q322" s="22">
        <v>0</v>
      </c>
      <c r="R322" s="22">
        <v>0</v>
      </c>
      <c r="S322" s="22">
        <v>1</v>
      </c>
      <c r="T322" s="22">
        <v>0</v>
      </c>
      <c r="U322" s="22">
        <v>0</v>
      </c>
      <c r="V322" s="22">
        <v>0</v>
      </c>
      <c r="W322" s="64">
        <f t="shared" si="254"/>
        <v>0.09</v>
      </c>
      <c r="Y322" s="8">
        <v>-1022.3</v>
      </c>
      <c r="Z322" s="8">
        <v>0</v>
      </c>
      <c r="AA322" s="8">
        <v>-8.4600000000000009</v>
      </c>
      <c r="AB322" s="8">
        <v>-2.12</v>
      </c>
      <c r="AC322" s="8">
        <v>0</v>
      </c>
      <c r="AD322" s="8">
        <f t="shared" si="255"/>
        <v>-1032.8799999999999</v>
      </c>
      <c r="AE322" s="2" t="s">
        <v>91</v>
      </c>
      <c r="AG322" s="8">
        <v>0</v>
      </c>
      <c r="AH322" s="8">
        <v>0</v>
      </c>
      <c r="AJ322" s="70">
        <v>0</v>
      </c>
      <c r="AK322" s="70">
        <v>0</v>
      </c>
      <c r="AL322" s="72">
        <v>0</v>
      </c>
      <c r="AM322" s="22"/>
      <c r="AO322" s="22" t="s">
        <v>126</v>
      </c>
      <c r="AP322" s="23" t="s">
        <v>729</v>
      </c>
      <c r="AQ322" s="22" t="s">
        <v>734</v>
      </c>
      <c r="AR322" s="51" t="str">
        <f t="shared" si="250"/>
        <v>JD8B-LBBA-JAW</v>
      </c>
      <c r="AS322" s="3"/>
      <c r="AT322" s="22">
        <v>0</v>
      </c>
      <c r="AU322" s="22">
        <v>0</v>
      </c>
      <c r="AV322" s="22">
        <v>0</v>
      </c>
      <c r="AW322" s="22">
        <v>0</v>
      </c>
      <c r="AX322" s="22">
        <v>1</v>
      </c>
      <c r="AY322" s="22">
        <v>0</v>
      </c>
      <c r="AZ322" s="22">
        <v>0</v>
      </c>
      <c r="BA322" s="22">
        <v>0</v>
      </c>
      <c r="BB322" s="64">
        <f t="shared" si="251"/>
        <v>0.09</v>
      </c>
      <c r="BD322" s="60">
        <v>-1016.57</v>
      </c>
      <c r="BE322" s="60">
        <v>0</v>
      </c>
      <c r="BF322" s="60">
        <v>-8.4600000000000009</v>
      </c>
      <c r="BG322" s="95">
        <v>-2.12</v>
      </c>
      <c r="BH322" s="95">
        <v>0</v>
      </c>
      <c r="BI322" s="8">
        <f t="shared" si="263"/>
        <v>-1027.1499999999999</v>
      </c>
      <c r="BJ322" s="2" t="s">
        <v>91</v>
      </c>
      <c r="BL322" s="70">
        <v>0</v>
      </c>
      <c r="BM322" s="70">
        <v>0</v>
      </c>
      <c r="BO322" s="70">
        <v>0</v>
      </c>
      <c r="BP322" s="70">
        <v>0</v>
      </c>
      <c r="BQ322" s="72">
        <v>0</v>
      </c>
      <c r="BS322" s="61">
        <f t="shared" si="258"/>
        <v>-5.7299999999999045</v>
      </c>
      <c r="BT322" s="61">
        <f t="shared" si="259"/>
        <v>0</v>
      </c>
      <c r="BU322" s="61">
        <f t="shared" si="260"/>
        <v>0</v>
      </c>
      <c r="BV322" s="61">
        <f t="shared" si="260"/>
        <v>0</v>
      </c>
      <c r="BW322" s="61">
        <f t="shared" si="260"/>
        <v>0</v>
      </c>
      <c r="BX322" s="61">
        <f t="shared" si="257"/>
        <v>-5.7300000000000182</v>
      </c>
      <c r="BY322" s="61" t="s">
        <v>91</v>
      </c>
      <c r="CA322" s="61">
        <f t="shared" si="243"/>
        <v>0</v>
      </c>
      <c r="CB322" s="61">
        <f t="shared" si="240"/>
        <v>0</v>
      </c>
      <c r="CC322" s="61">
        <f t="shared" si="240"/>
        <v>0</v>
      </c>
      <c r="CD322" s="61">
        <f t="shared" si="240"/>
        <v>0</v>
      </c>
      <c r="CE322" s="61">
        <f t="shared" si="240"/>
        <v>-0.86204302692942747</v>
      </c>
      <c r="CF322" s="61">
        <f t="shared" si="240"/>
        <v>0</v>
      </c>
      <c r="CG322" s="61">
        <f t="shared" si="240"/>
        <v>0</v>
      </c>
      <c r="CH322" s="61">
        <f t="shared" si="240"/>
        <v>0</v>
      </c>
      <c r="CI322" s="61">
        <f t="shared" si="225"/>
        <v>-7.7583872423648476E-2</v>
      </c>
      <c r="CJ322" s="61"/>
      <c r="CK322" s="61">
        <f t="shared" si="244"/>
        <v>0</v>
      </c>
      <c r="CL322" s="61">
        <f t="shared" si="241"/>
        <v>0</v>
      </c>
      <c r="CM322" s="61">
        <f t="shared" si="241"/>
        <v>0</v>
      </c>
      <c r="CN322" s="61">
        <f t="shared" si="241"/>
        <v>0</v>
      </c>
      <c r="CO322" s="61">
        <f t="shared" si="241"/>
        <v>-0.86204302692944457</v>
      </c>
      <c r="CP322" s="61">
        <f t="shared" si="241"/>
        <v>0</v>
      </c>
      <c r="CQ322" s="61">
        <f t="shared" si="241"/>
        <v>0</v>
      </c>
      <c r="CR322" s="61">
        <f t="shared" si="241"/>
        <v>0</v>
      </c>
      <c r="CS322" s="61">
        <f t="shared" si="226"/>
        <v>-7.7583872423650002E-2</v>
      </c>
      <c r="CT322" s="61">
        <f t="shared" si="227"/>
        <v>-0.5157000000000016</v>
      </c>
      <c r="CV322" s="61">
        <f t="shared" si="228"/>
        <v>0</v>
      </c>
      <c r="CW322" s="61">
        <f t="shared" si="261"/>
        <v>0</v>
      </c>
      <c r="CX322" s="61"/>
      <c r="CY322" s="61">
        <f t="shared" si="262"/>
        <v>0</v>
      </c>
      <c r="CZ322" s="61">
        <f t="shared" si="220"/>
        <v>0</v>
      </c>
      <c r="DA322" s="61">
        <f t="shared" si="220"/>
        <v>0</v>
      </c>
      <c r="DB322" s="2" t="s">
        <v>85</v>
      </c>
      <c r="DC322" s="2" t="s">
        <v>102</v>
      </c>
      <c r="DD322" s="2" t="s">
        <v>142</v>
      </c>
      <c r="DE322" s="2" t="s">
        <v>181</v>
      </c>
      <c r="DF322" s="3" t="s">
        <v>86</v>
      </c>
      <c r="DG322" s="62">
        <v>42850</v>
      </c>
      <c r="EC322" s="60"/>
      <c r="ED322" s="60"/>
      <c r="EE322" s="60"/>
      <c r="EF322" s="60"/>
    </row>
    <row r="323" spans="2:136" ht="12.75" hidden="1" customHeight="1">
      <c r="B323" s="99" t="s">
        <v>725</v>
      </c>
      <c r="C323" s="22" t="s">
        <v>726</v>
      </c>
      <c r="D323" s="22" t="s">
        <v>727</v>
      </c>
      <c r="E323" s="2" t="str">
        <f>VLOOKUP($C323,[1]Detail!$C:$AK,6,0)</f>
        <v>PMT2</v>
      </c>
      <c r="F323" s="2" t="str">
        <f>VLOOKUP($C323,[1]Detail!$C:$AK,7,0)</f>
        <v>TH</v>
      </c>
      <c r="G323" s="2" t="str">
        <f>VLOOKUP($C323,[1]Detail!$C:$AK,5,0)</f>
        <v>B</v>
      </c>
      <c r="J323" s="22" t="s">
        <v>728</v>
      </c>
      <c r="K323" s="23" t="s">
        <v>729</v>
      </c>
      <c r="L323" s="22" t="s">
        <v>735</v>
      </c>
      <c r="M323" s="51" t="str">
        <f t="shared" si="253"/>
        <v>MJD8B -LBBA-KAW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1</v>
      </c>
      <c r="U323" s="22">
        <v>0</v>
      </c>
      <c r="V323" s="22">
        <v>0</v>
      </c>
      <c r="W323" s="64">
        <f t="shared" si="254"/>
        <v>0.14000000000000001</v>
      </c>
      <c r="Y323" s="8">
        <v>-1022.3</v>
      </c>
      <c r="Z323" s="8">
        <v>0</v>
      </c>
      <c r="AA323" s="8">
        <v>-8.4600000000000009</v>
      </c>
      <c r="AB323" s="8">
        <v>-2.12</v>
      </c>
      <c r="AC323" s="8">
        <v>0</v>
      </c>
      <c r="AD323" s="8">
        <f t="shared" si="255"/>
        <v>-1032.8799999999999</v>
      </c>
      <c r="AE323" s="2" t="s">
        <v>91</v>
      </c>
      <c r="AG323" s="8">
        <v>0</v>
      </c>
      <c r="AH323" s="8">
        <v>0</v>
      </c>
      <c r="AJ323" s="70">
        <v>0</v>
      </c>
      <c r="AK323" s="70">
        <v>0</v>
      </c>
      <c r="AL323" s="72">
        <v>0</v>
      </c>
      <c r="AM323" s="22"/>
      <c r="AO323" s="22" t="s">
        <v>126</v>
      </c>
      <c r="AP323" s="23" t="s">
        <v>729</v>
      </c>
      <c r="AQ323" s="22" t="s">
        <v>735</v>
      </c>
      <c r="AR323" s="51" t="str">
        <f t="shared" si="250"/>
        <v>JD8B-LBBA-KAW</v>
      </c>
      <c r="AS323" s="3"/>
      <c r="AT323" s="22">
        <v>0</v>
      </c>
      <c r="AU323" s="22">
        <v>0</v>
      </c>
      <c r="AV323" s="22">
        <v>0</v>
      </c>
      <c r="AW323" s="22">
        <v>0</v>
      </c>
      <c r="AX323" s="22">
        <v>0</v>
      </c>
      <c r="AY323" s="22">
        <v>1</v>
      </c>
      <c r="AZ323" s="22">
        <v>0</v>
      </c>
      <c r="BA323" s="22">
        <v>0</v>
      </c>
      <c r="BB323" s="64">
        <f t="shared" si="251"/>
        <v>0.14000000000000001</v>
      </c>
      <c r="BD323" s="60">
        <v>-1016.57</v>
      </c>
      <c r="BE323" s="60">
        <v>0</v>
      </c>
      <c r="BF323" s="60">
        <v>-8.4600000000000009</v>
      </c>
      <c r="BG323" s="95">
        <v>-2.12</v>
      </c>
      <c r="BH323" s="95">
        <v>0</v>
      </c>
      <c r="BI323" s="8">
        <f t="shared" si="263"/>
        <v>-1027.1499999999999</v>
      </c>
      <c r="BJ323" s="2" t="s">
        <v>91</v>
      </c>
      <c r="BL323" s="70">
        <v>0</v>
      </c>
      <c r="BM323" s="70">
        <v>0</v>
      </c>
      <c r="BO323" s="70">
        <v>0</v>
      </c>
      <c r="BP323" s="70">
        <v>0</v>
      </c>
      <c r="BQ323" s="72">
        <v>0</v>
      </c>
      <c r="BS323" s="61">
        <f t="shared" si="258"/>
        <v>-5.7299999999999045</v>
      </c>
      <c r="BT323" s="61">
        <f t="shared" si="259"/>
        <v>0</v>
      </c>
      <c r="BU323" s="61">
        <f t="shared" si="260"/>
        <v>0</v>
      </c>
      <c r="BV323" s="61">
        <f t="shared" si="260"/>
        <v>0</v>
      </c>
      <c r="BW323" s="61">
        <f t="shared" si="260"/>
        <v>0</v>
      </c>
      <c r="BX323" s="61">
        <f t="shared" si="257"/>
        <v>-5.7300000000000182</v>
      </c>
      <c r="BY323" s="61" t="s">
        <v>91</v>
      </c>
      <c r="CA323" s="61">
        <f t="shared" si="243"/>
        <v>0</v>
      </c>
      <c r="CB323" s="61">
        <f t="shared" si="240"/>
        <v>0</v>
      </c>
      <c r="CC323" s="61">
        <f t="shared" si="240"/>
        <v>0</v>
      </c>
      <c r="CD323" s="61">
        <f t="shared" si="240"/>
        <v>0</v>
      </c>
      <c r="CE323" s="61">
        <f t="shared" si="240"/>
        <v>0</v>
      </c>
      <c r="CF323" s="61">
        <f t="shared" si="240"/>
        <v>-0.86204302692942747</v>
      </c>
      <c r="CG323" s="61">
        <f t="shared" si="240"/>
        <v>0</v>
      </c>
      <c r="CH323" s="61">
        <f t="shared" si="240"/>
        <v>0</v>
      </c>
      <c r="CI323" s="61">
        <f t="shared" si="225"/>
        <v>-0.12068602377011986</v>
      </c>
      <c r="CJ323" s="61"/>
      <c r="CK323" s="61">
        <f t="shared" si="244"/>
        <v>0</v>
      </c>
      <c r="CL323" s="61">
        <f t="shared" si="241"/>
        <v>0</v>
      </c>
      <c r="CM323" s="61">
        <f t="shared" si="241"/>
        <v>0</v>
      </c>
      <c r="CN323" s="61">
        <f t="shared" si="241"/>
        <v>0</v>
      </c>
      <c r="CO323" s="61">
        <f t="shared" si="241"/>
        <v>0</v>
      </c>
      <c r="CP323" s="61">
        <f t="shared" si="241"/>
        <v>-0.86204302692944457</v>
      </c>
      <c r="CQ323" s="61">
        <f t="shared" si="241"/>
        <v>0</v>
      </c>
      <c r="CR323" s="61">
        <f t="shared" si="241"/>
        <v>0</v>
      </c>
      <c r="CS323" s="61">
        <f t="shared" si="226"/>
        <v>-0.12068602377012225</v>
      </c>
      <c r="CT323" s="61">
        <f t="shared" si="227"/>
        <v>-0.80220000000000258</v>
      </c>
      <c r="CV323" s="61">
        <f t="shared" si="228"/>
        <v>0</v>
      </c>
      <c r="CW323" s="61">
        <f t="shared" si="261"/>
        <v>0</v>
      </c>
      <c r="CX323" s="61"/>
      <c r="CY323" s="61">
        <f t="shared" si="262"/>
        <v>0</v>
      </c>
      <c r="CZ323" s="61">
        <f t="shared" si="220"/>
        <v>0</v>
      </c>
      <c r="DA323" s="61">
        <f t="shared" si="220"/>
        <v>0</v>
      </c>
      <c r="DB323" s="2" t="s">
        <v>85</v>
      </c>
      <c r="DC323" s="2" t="s">
        <v>102</v>
      </c>
      <c r="DD323" s="2" t="s">
        <v>142</v>
      </c>
      <c r="DE323" s="2" t="s">
        <v>181</v>
      </c>
      <c r="DF323" s="3" t="s">
        <v>86</v>
      </c>
      <c r="DG323" s="62">
        <v>42850</v>
      </c>
      <c r="EC323" s="60"/>
      <c r="ED323" s="60"/>
      <c r="EE323" s="60"/>
      <c r="EF323" s="60"/>
    </row>
    <row r="324" spans="2:136" ht="12.75" hidden="1" customHeight="1">
      <c r="B324" s="99" t="s">
        <v>725</v>
      </c>
      <c r="C324" s="22" t="s">
        <v>726</v>
      </c>
      <c r="D324" s="22" t="s">
        <v>727</v>
      </c>
      <c r="E324" s="2" t="str">
        <f>VLOOKUP($C324,[1]Detail!$C:$AK,6,0)</f>
        <v>PMT2</v>
      </c>
      <c r="F324" s="2" t="str">
        <f>VLOOKUP($C324,[1]Detail!$C:$AK,7,0)</f>
        <v>TH</v>
      </c>
      <c r="G324" s="2" t="str">
        <f>VLOOKUP($C324,[1]Detail!$C:$AK,5,0)</f>
        <v>B</v>
      </c>
      <c r="J324" s="22" t="s">
        <v>728</v>
      </c>
      <c r="K324" s="23" t="s">
        <v>729</v>
      </c>
      <c r="L324" s="22" t="s">
        <v>736</v>
      </c>
      <c r="M324" s="51" t="str">
        <f t="shared" si="253"/>
        <v>MJD8B -LBBA-LAW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1</v>
      </c>
      <c r="V324" s="22">
        <v>0</v>
      </c>
      <c r="W324" s="64">
        <f t="shared" si="254"/>
        <v>0.05</v>
      </c>
      <c r="Y324" s="8">
        <v>-1048.6400000000001</v>
      </c>
      <c r="Z324" s="8">
        <v>0</v>
      </c>
      <c r="AA324" s="8">
        <v>-8.4600000000000009</v>
      </c>
      <c r="AB324" s="8">
        <v>-2.12</v>
      </c>
      <c r="AC324" s="8">
        <v>0</v>
      </c>
      <c r="AD324" s="8">
        <f t="shared" si="255"/>
        <v>-1059.22</v>
      </c>
      <c r="AE324" s="2" t="s">
        <v>91</v>
      </c>
      <c r="AG324" s="8">
        <v>0</v>
      </c>
      <c r="AH324" s="8">
        <v>0</v>
      </c>
      <c r="AJ324" s="70">
        <v>0</v>
      </c>
      <c r="AK324" s="70">
        <v>0</v>
      </c>
      <c r="AL324" s="72">
        <v>0</v>
      </c>
      <c r="AM324" s="22"/>
      <c r="AO324" s="22" t="s">
        <v>126</v>
      </c>
      <c r="AP324" s="23" t="s">
        <v>729</v>
      </c>
      <c r="AQ324" s="22" t="s">
        <v>736</v>
      </c>
      <c r="AR324" s="51" t="str">
        <f t="shared" si="250"/>
        <v>JD8B-LBBA-LAW</v>
      </c>
      <c r="AS324" s="3"/>
      <c r="AT324" s="22">
        <v>0</v>
      </c>
      <c r="AU324" s="22">
        <v>0</v>
      </c>
      <c r="AV324" s="22">
        <v>0</v>
      </c>
      <c r="AW324" s="22">
        <v>0</v>
      </c>
      <c r="AX324" s="22">
        <v>0</v>
      </c>
      <c r="AY324" s="22">
        <v>0</v>
      </c>
      <c r="AZ324" s="22">
        <v>1</v>
      </c>
      <c r="BA324" s="22">
        <v>0</v>
      </c>
      <c r="BB324" s="64">
        <f t="shared" si="251"/>
        <v>0.05</v>
      </c>
      <c r="BD324" s="60">
        <v>-1042.1500000000001</v>
      </c>
      <c r="BE324" s="60">
        <v>0</v>
      </c>
      <c r="BF324" s="60">
        <v>-8.4600000000000009</v>
      </c>
      <c r="BG324" s="95">
        <v>-2.12</v>
      </c>
      <c r="BH324" s="95">
        <v>0</v>
      </c>
      <c r="BI324" s="8">
        <f t="shared" si="263"/>
        <v>-1052.73</v>
      </c>
      <c r="BJ324" s="2" t="s">
        <v>91</v>
      </c>
      <c r="BL324" s="70">
        <v>0</v>
      </c>
      <c r="BM324" s="70">
        <v>0</v>
      </c>
      <c r="BO324" s="70">
        <v>0</v>
      </c>
      <c r="BP324" s="70">
        <v>0</v>
      </c>
      <c r="BQ324" s="72">
        <v>0</v>
      </c>
      <c r="BS324" s="61">
        <f t="shared" si="258"/>
        <v>-6.4900000000000091</v>
      </c>
      <c r="BT324" s="61">
        <f t="shared" si="259"/>
        <v>0</v>
      </c>
      <c r="BU324" s="61">
        <f t="shared" si="260"/>
        <v>0</v>
      </c>
      <c r="BV324" s="61">
        <f t="shared" si="260"/>
        <v>0</v>
      </c>
      <c r="BW324" s="61">
        <f t="shared" si="260"/>
        <v>0</v>
      </c>
      <c r="BX324" s="61">
        <f t="shared" si="257"/>
        <v>-6.4900000000000091</v>
      </c>
      <c r="BY324" s="61" t="s">
        <v>91</v>
      </c>
      <c r="CA324" s="61">
        <f t="shared" si="243"/>
        <v>0</v>
      </c>
      <c r="CB324" s="61">
        <f t="shared" si="240"/>
        <v>0</v>
      </c>
      <c r="CC324" s="61">
        <f t="shared" si="240"/>
        <v>0</v>
      </c>
      <c r="CD324" s="61">
        <f t="shared" si="240"/>
        <v>0</v>
      </c>
      <c r="CE324" s="61">
        <f t="shared" ref="CE324:CH387" si="264">($Y324*S324-AX324*$BD324)/$C$2</f>
        <v>0</v>
      </c>
      <c r="CF324" s="61">
        <f t="shared" si="264"/>
        <v>0</v>
      </c>
      <c r="CG324" s="61">
        <f t="shared" si="264"/>
        <v>-0.9763803219497531</v>
      </c>
      <c r="CH324" s="61">
        <f t="shared" si="264"/>
        <v>0</v>
      </c>
      <c r="CI324" s="61">
        <f t="shared" si="225"/>
        <v>-4.8819016097487657E-2</v>
      </c>
      <c r="CJ324" s="61"/>
      <c r="CK324" s="61">
        <f t="shared" si="244"/>
        <v>0</v>
      </c>
      <c r="CL324" s="61">
        <f t="shared" si="241"/>
        <v>0</v>
      </c>
      <c r="CM324" s="61">
        <f t="shared" si="241"/>
        <v>0</v>
      </c>
      <c r="CN324" s="61">
        <f t="shared" si="241"/>
        <v>0</v>
      </c>
      <c r="CO324" s="61">
        <f t="shared" ref="CO324:CR387" si="265">(S324*$AD324-AX324*$BI324)/$C$2</f>
        <v>0</v>
      </c>
      <c r="CP324" s="61">
        <f t="shared" si="265"/>
        <v>0</v>
      </c>
      <c r="CQ324" s="61">
        <f t="shared" si="265"/>
        <v>-0.9763803219497531</v>
      </c>
      <c r="CR324" s="61">
        <f t="shared" si="265"/>
        <v>0</v>
      </c>
      <c r="CS324" s="61">
        <f t="shared" si="226"/>
        <v>-4.8819016097487657E-2</v>
      </c>
      <c r="CT324" s="61">
        <f t="shared" si="227"/>
        <v>-0.32450000000000045</v>
      </c>
      <c r="CV324" s="61">
        <f t="shared" si="228"/>
        <v>0</v>
      </c>
      <c r="CW324" s="61">
        <f t="shared" si="261"/>
        <v>0</v>
      </c>
      <c r="CX324" s="61"/>
      <c r="CY324" s="61">
        <f t="shared" si="262"/>
        <v>0</v>
      </c>
      <c r="CZ324" s="61">
        <f t="shared" si="220"/>
        <v>0</v>
      </c>
      <c r="DA324" s="61">
        <f t="shared" si="220"/>
        <v>0</v>
      </c>
      <c r="DB324" s="2" t="s">
        <v>85</v>
      </c>
      <c r="DC324" s="2" t="s">
        <v>102</v>
      </c>
      <c r="DD324" s="2" t="s">
        <v>142</v>
      </c>
      <c r="DE324" s="2" t="s">
        <v>181</v>
      </c>
      <c r="DF324" s="3" t="s">
        <v>86</v>
      </c>
      <c r="DG324" s="62">
        <v>42850</v>
      </c>
      <c r="EC324" s="60"/>
      <c r="ED324" s="60"/>
      <c r="EE324" s="60"/>
      <c r="EF324" s="60"/>
    </row>
    <row r="325" spans="2:136" ht="12.75" hidden="1" customHeight="1">
      <c r="B325" s="99" t="s">
        <v>725</v>
      </c>
      <c r="C325" s="22" t="s">
        <v>726</v>
      </c>
      <c r="D325" s="22" t="s">
        <v>727</v>
      </c>
      <c r="E325" s="2" t="str">
        <f>VLOOKUP($C325,[1]Detail!$C:$AK,6,0)</f>
        <v>PMT2</v>
      </c>
      <c r="F325" s="2" t="str">
        <f>VLOOKUP($C325,[1]Detail!$C:$AK,7,0)</f>
        <v>TH</v>
      </c>
      <c r="G325" s="2" t="str">
        <f>VLOOKUP($C325,[1]Detail!$C:$AK,5,0)</f>
        <v>B</v>
      </c>
      <c r="J325" s="22" t="s">
        <v>728</v>
      </c>
      <c r="K325" s="23" t="s">
        <v>729</v>
      </c>
      <c r="L325" s="22" t="s">
        <v>737</v>
      </c>
      <c r="M325" s="51" t="str">
        <f t="shared" si="253"/>
        <v>MJD8B -LBBA-MAW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1</v>
      </c>
      <c r="W325" s="64">
        <f t="shared" si="254"/>
        <v>0.05</v>
      </c>
      <c r="Y325" s="8">
        <v>-1049.0999999999999</v>
      </c>
      <c r="Z325" s="8">
        <v>0</v>
      </c>
      <c r="AA325" s="8">
        <v>-8.4600000000000009</v>
      </c>
      <c r="AB325" s="8">
        <v>-2.12</v>
      </c>
      <c r="AC325" s="8">
        <v>0</v>
      </c>
      <c r="AD325" s="8">
        <f t="shared" si="255"/>
        <v>-1059.6799999999998</v>
      </c>
      <c r="AE325" s="2" t="s">
        <v>91</v>
      </c>
      <c r="AG325" s="8">
        <v>0</v>
      </c>
      <c r="AH325" s="8">
        <v>0</v>
      </c>
      <c r="AJ325" s="70">
        <v>0</v>
      </c>
      <c r="AK325" s="70">
        <v>0</v>
      </c>
      <c r="AL325" s="72">
        <v>0</v>
      </c>
      <c r="AM325" s="22"/>
      <c r="AO325" s="22" t="s">
        <v>126</v>
      </c>
      <c r="AP325" s="23" t="s">
        <v>729</v>
      </c>
      <c r="AQ325" s="22" t="s">
        <v>737</v>
      </c>
      <c r="AR325" s="51" t="str">
        <f t="shared" si="250"/>
        <v>JD8B-LBBA-MAW</v>
      </c>
      <c r="AS325" s="3"/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0</v>
      </c>
      <c r="AZ325" s="22">
        <v>0</v>
      </c>
      <c r="BA325" s="22">
        <v>1</v>
      </c>
      <c r="BB325" s="64">
        <f t="shared" si="251"/>
        <v>0.05</v>
      </c>
      <c r="BD325" s="60">
        <v>-1042.6099999999999</v>
      </c>
      <c r="BE325" s="60">
        <v>0</v>
      </c>
      <c r="BF325" s="60">
        <v>-8.4600000000000009</v>
      </c>
      <c r="BG325" s="95">
        <v>-2.12</v>
      </c>
      <c r="BH325" s="95">
        <v>0</v>
      </c>
      <c r="BI325" s="8">
        <f t="shared" si="263"/>
        <v>-1053.1899999999998</v>
      </c>
      <c r="BJ325" s="2" t="s">
        <v>91</v>
      </c>
      <c r="BL325" s="70">
        <v>0</v>
      </c>
      <c r="BM325" s="70">
        <v>0</v>
      </c>
      <c r="BO325" s="70">
        <v>0</v>
      </c>
      <c r="BP325" s="70">
        <v>0</v>
      </c>
      <c r="BQ325" s="72">
        <v>0</v>
      </c>
      <c r="BS325" s="61">
        <f t="shared" si="258"/>
        <v>-6.4900000000000091</v>
      </c>
      <c r="BT325" s="61">
        <f t="shared" si="259"/>
        <v>0</v>
      </c>
      <c r="BU325" s="61">
        <f t="shared" si="260"/>
        <v>0</v>
      </c>
      <c r="BV325" s="61">
        <f t="shared" si="260"/>
        <v>0</v>
      </c>
      <c r="BW325" s="61">
        <f t="shared" si="260"/>
        <v>0</v>
      </c>
      <c r="BX325" s="61">
        <f t="shared" si="257"/>
        <v>-6.4900000000000091</v>
      </c>
      <c r="BY325" s="61" t="s">
        <v>91</v>
      </c>
      <c r="CA325" s="61">
        <f t="shared" si="243"/>
        <v>0</v>
      </c>
      <c r="CB325" s="61">
        <f t="shared" si="243"/>
        <v>0</v>
      </c>
      <c r="CC325" s="61">
        <f t="shared" si="243"/>
        <v>0</v>
      </c>
      <c r="CD325" s="61">
        <f t="shared" si="243"/>
        <v>0</v>
      </c>
      <c r="CE325" s="61">
        <f t="shared" si="264"/>
        <v>0</v>
      </c>
      <c r="CF325" s="61">
        <f t="shared" si="264"/>
        <v>0</v>
      </c>
      <c r="CG325" s="61">
        <f t="shared" si="264"/>
        <v>0</v>
      </c>
      <c r="CH325" s="61">
        <f t="shared" si="264"/>
        <v>-0.9763803219497531</v>
      </c>
      <c r="CI325" s="61">
        <f t="shared" si="225"/>
        <v>-4.8819016097487657E-2</v>
      </c>
      <c r="CJ325" s="61"/>
      <c r="CK325" s="61">
        <f t="shared" si="244"/>
        <v>0</v>
      </c>
      <c r="CL325" s="61">
        <f t="shared" si="244"/>
        <v>0</v>
      </c>
      <c r="CM325" s="61">
        <f t="shared" si="244"/>
        <v>0</v>
      </c>
      <c r="CN325" s="61">
        <f t="shared" si="244"/>
        <v>0</v>
      </c>
      <c r="CO325" s="61">
        <f t="shared" si="265"/>
        <v>0</v>
      </c>
      <c r="CP325" s="61">
        <f t="shared" si="265"/>
        <v>0</v>
      </c>
      <c r="CQ325" s="61">
        <f t="shared" si="265"/>
        <v>0</v>
      </c>
      <c r="CR325" s="61">
        <f t="shared" si="265"/>
        <v>-0.9763803219497531</v>
      </c>
      <c r="CS325" s="61">
        <f t="shared" si="226"/>
        <v>-4.8819016097487657E-2</v>
      </c>
      <c r="CT325" s="61">
        <f t="shared" si="227"/>
        <v>-0.32450000000000045</v>
      </c>
      <c r="CV325" s="61">
        <f t="shared" si="228"/>
        <v>0</v>
      </c>
      <c r="CW325" s="61">
        <f t="shared" si="261"/>
        <v>0</v>
      </c>
      <c r="CX325" s="61"/>
      <c r="CY325" s="61">
        <f t="shared" si="262"/>
        <v>0</v>
      </c>
      <c r="CZ325" s="61">
        <f t="shared" si="220"/>
        <v>0</v>
      </c>
      <c r="DA325" s="61">
        <f t="shared" si="220"/>
        <v>0</v>
      </c>
      <c r="DB325" s="2" t="s">
        <v>85</v>
      </c>
      <c r="DC325" s="2" t="s">
        <v>102</v>
      </c>
      <c r="DD325" s="2" t="s">
        <v>142</v>
      </c>
      <c r="DE325" s="2" t="s">
        <v>181</v>
      </c>
      <c r="DF325" s="3" t="s">
        <v>86</v>
      </c>
      <c r="DG325" s="62">
        <v>42850</v>
      </c>
      <c r="EC325" s="60"/>
      <c r="ED325" s="60"/>
      <c r="EE325" s="60"/>
      <c r="EF325" s="60"/>
    </row>
    <row r="326" spans="2:136" ht="12.75" hidden="1" customHeight="1">
      <c r="B326" s="99" t="s">
        <v>738</v>
      </c>
      <c r="C326" s="22" t="s">
        <v>726</v>
      </c>
      <c r="D326" s="22" t="s">
        <v>727</v>
      </c>
      <c r="E326" s="2" t="str">
        <f>VLOOKUP($C326,[1]Detail!$C:$AK,6,0)</f>
        <v>PMT2</v>
      </c>
      <c r="F326" s="2" t="str">
        <f>VLOOKUP($C326,[1]Detail!$C:$AK,7,0)</f>
        <v>TH</v>
      </c>
      <c r="G326" s="2" t="str">
        <f>VLOOKUP($C326,[1]Detail!$C:$AK,5,0)</f>
        <v>B</v>
      </c>
      <c r="J326" s="22" t="s">
        <v>728</v>
      </c>
      <c r="K326" s="23" t="s">
        <v>729</v>
      </c>
      <c r="L326" s="22" t="s">
        <v>196</v>
      </c>
      <c r="M326" s="51" t="str">
        <f t="shared" si="253"/>
        <v>MJD8B -LBBA-AAW</v>
      </c>
      <c r="O326" s="22">
        <v>1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64">
        <f t="shared" si="254"/>
        <v>0.14000000000000001</v>
      </c>
      <c r="Y326" s="8">
        <v>-746.42</v>
      </c>
      <c r="Z326" s="8">
        <v>0</v>
      </c>
      <c r="AA326" s="8">
        <v>-8.44</v>
      </c>
      <c r="AB326" s="8">
        <v>-2.12</v>
      </c>
      <c r="AC326" s="8">
        <v>0</v>
      </c>
      <c r="AD326" s="8">
        <f t="shared" si="255"/>
        <v>-756.98</v>
      </c>
      <c r="AE326" s="2" t="s">
        <v>91</v>
      </c>
      <c r="AG326" s="8">
        <f>-6643600*0-6669600</f>
        <v>-6669600</v>
      </c>
      <c r="AH326" s="8">
        <f>-6643600*0-6669600</f>
        <v>-6669600</v>
      </c>
      <c r="AI326" s="6"/>
      <c r="AJ326" s="70">
        <v>0</v>
      </c>
      <c r="AK326" s="70">
        <v>0</v>
      </c>
      <c r="AL326" s="72">
        <v>0</v>
      </c>
      <c r="AM326" s="22"/>
      <c r="AO326" s="22" t="s">
        <v>728</v>
      </c>
      <c r="AP326" s="23" t="s">
        <v>729</v>
      </c>
      <c r="AQ326" s="22" t="s">
        <v>196</v>
      </c>
      <c r="AR326" s="51" t="str">
        <f t="shared" si="250"/>
        <v>MJD8B -LBBA-AAW</v>
      </c>
      <c r="AS326" s="3"/>
      <c r="AT326" s="22">
        <v>1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2">
        <v>0</v>
      </c>
      <c r="BA326" s="22">
        <v>0</v>
      </c>
      <c r="BB326" s="64">
        <f t="shared" si="251"/>
        <v>0.14000000000000001</v>
      </c>
      <c r="BD326" s="60">
        <v>-746.42</v>
      </c>
      <c r="BE326" s="60">
        <v>0</v>
      </c>
      <c r="BF326" s="60">
        <v>-8.44</v>
      </c>
      <c r="BG326" s="95">
        <v>-2.12</v>
      </c>
      <c r="BH326" s="95">
        <v>0</v>
      </c>
      <c r="BI326" s="8">
        <f t="shared" si="263"/>
        <v>-756.98</v>
      </c>
      <c r="BJ326" s="2" t="s">
        <v>91</v>
      </c>
      <c r="BL326" s="70">
        <v>-6643600</v>
      </c>
      <c r="BM326" s="70">
        <v>-6643600</v>
      </c>
      <c r="BO326" s="70">
        <v>0</v>
      </c>
      <c r="BP326" s="70">
        <v>0</v>
      </c>
      <c r="BQ326" s="72">
        <v>0</v>
      </c>
      <c r="BS326" s="61">
        <f t="shared" si="258"/>
        <v>0</v>
      </c>
      <c r="BT326" s="61">
        <f t="shared" si="259"/>
        <v>0</v>
      </c>
      <c r="BU326" s="61">
        <f t="shared" si="260"/>
        <v>0</v>
      </c>
      <c r="BV326" s="61">
        <f t="shared" si="260"/>
        <v>0</v>
      </c>
      <c r="BW326" s="61">
        <f t="shared" si="260"/>
        <v>0</v>
      </c>
      <c r="BX326" s="61">
        <f t="shared" si="257"/>
        <v>0</v>
      </c>
      <c r="BY326" s="61" t="s">
        <v>91</v>
      </c>
      <c r="CA326" s="61">
        <f t="shared" si="243"/>
        <v>0</v>
      </c>
      <c r="CB326" s="61">
        <f t="shared" si="243"/>
        <v>0</v>
      </c>
      <c r="CC326" s="61">
        <f t="shared" si="243"/>
        <v>0</v>
      </c>
      <c r="CD326" s="61">
        <f t="shared" si="243"/>
        <v>0</v>
      </c>
      <c r="CE326" s="61">
        <f t="shared" si="264"/>
        <v>0</v>
      </c>
      <c r="CF326" s="61">
        <f t="shared" si="264"/>
        <v>0</v>
      </c>
      <c r="CG326" s="61">
        <f t="shared" si="264"/>
        <v>0</v>
      </c>
      <c r="CH326" s="61">
        <f t="shared" si="264"/>
        <v>0</v>
      </c>
      <c r="CI326" s="61">
        <f t="shared" si="225"/>
        <v>0</v>
      </c>
      <c r="CJ326" s="61"/>
      <c r="CK326" s="61">
        <f t="shared" si="244"/>
        <v>0</v>
      </c>
      <c r="CL326" s="61">
        <f t="shared" si="244"/>
        <v>0</v>
      </c>
      <c r="CM326" s="61">
        <f t="shared" si="244"/>
        <v>0</v>
      </c>
      <c r="CN326" s="61">
        <f t="shared" si="244"/>
        <v>0</v>
      </c>
      <c r="CO326" s="61">
        <f t="shared" si="265"/>
        <v>0</v>
      </c>
      <c r="CP326" s="61">
        <f t="shared" si="265"/>
        <v>0</v>
      </c>
      <c r="CQ326" s="61">
        <f t="shared" si="265"/>
        <v>0</v>
      </c>
      <c r="CR326" s="61">
        <f t="shared" si="265"/>
        <v>0</v>
      </c>
      <c r="CS326" s="61">
        <f t="shared" si="226"/>
        <v>0</v>
      </c>
      <c r="CT326" s="61">
        <f t="shared" si="227"/>
        <v>0</v>
      </c>
      <c r="CV326" s="61">
        <f t="shared" si="228"/>
        <v>-26000</v>
      </c>
      <c r="CW326" s="61">
        <f t="shared" si="261"/>
        <v>-26000</v>
      </c>
      <c r="CX326" s="61"/>
      <c r="CY326" s="61">
        <f t="shared" si="262"/>
        <v>0</v>
      </c>
      <c r="CZ326" s="61">
        <f t="shared" si="220"/>
        <v>0</v>
      </c>
      <c r="DA326" s="61">
        <f t="shared" si="220"/>
        <v>0</v>
      </c>
      <c r="DB326" s="2" t="s">
        <v>85</v>
      </c>
      <c r="DC326" s="2" t="s">
        <v>289</v>
      </c>
      <c r="DD326" s="2" t="s">
        <v>142</v>
      </c>
      <c r="DE326" s="2" t="s">
        <v>181</v>
      </c>
      <c r="DG326" s="62"/>
      <c r="DZ326" s="3" t="e">
        <v>#N/A</v>
      </c>
      <c r="EC326" s="60"/>
      <c r="ED326" s="60"/>
      <c r="EE326" s="60"/>
      <c r="EF326" s="60"/>
    </row>
    <row r="327" spans="2:136" ht="12.75" hidden="1" customHeight="1">
      <c r="B327" s="99" t="s">
        <v>738</v>
      </c>
      <c r="C327" s="22" t="s">
        <v>726</v>
      </c>
      <c r="D327" s="22" t="s">
        <v>727</v>
      </c>
      <c r="E327" s="2" t="str">
        <f>VLOOKUP($C327,[1]Detail!$C:$AK,6,0)</f>
        <v>PMT2</v>
      </c>
      <c r="F327" s="2" t="str">
        <f>VLOOKUP($C327,[1]Detail!$C:$AK,7,0)</f>
        <v>TH</v>
      </c>
      <c r="G327" s="2" t="str">
        <f>VLOOKUP($C327,[1]Detail!$C:$AK,5,0)</f>
        <v>B</v>
      </c>
      <c r="J327" s="22" t="s">
        <v>728</v>
      </c>
      <c r="K327" s="23" t="s">
        <v>729</v>
      </c>
      <c r="L327" s="22" t="s">
        <v>198</v>
      </c>
      <c r="M327" s="51" t="str">
        <f t="shared" si="253"/>
        <v>MJD8B -LBBA-BAW</v>
      </c>
      <c r="O327" s="22">
        <v>0</v>
      </c>
      <c r="P327" s="22">
        <v>1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64">
        <f t="shared" si="254"/>
        <v>0.16</v>
      </c>
      <c r="Y327" s="8">
        <v>-746.42</v>
      </c>
      <c r="Z327" s="8">
        <v>0</v>
      </c>
      <c r="AA327" s="8">
        <v>-8.44</v>
      </c>
      <c r="AB327" s="8">
        <v>-2.12</v>
      </c>
      <c r="AC327" s="8">
        <v>0</v>
      </c>
      <c r="AD327" s="8">
        <f t="shared" si="255"/>
        <v>-756.98</v>
      </c>
      <c r="AE327" s="2" t="s">
        <v>91</v>
      </c>
      <c r="AG327" s="8">
        <v>0</v>
      </c>
      <c r="AH327" s="8">
        <v>0</v>
      </c>
      <c r="AJ327" s="70">
        <v>0</v>
      </c>
      <c r="AK327" s="70">
        <v>0</v>
      </c>
      <c r="AL327" s="72">
        <v>0</v>
      </c>
      <c r="AM327" s="22"/>
      <c r="AO327" s="22" t="s">
        <v>728</v>
      </c>
      <c r="AP327" s="23" t="s">
        <v>729</v>
      </c>
      <c r="AQ327" s="22" t="s">
        <v>198</v>
      </c>
      <c r="AR327" s="51" t="str">
        <f t="shared" si="250"/>
        <v>MJD8B -LBBA-BAW</v>
      </c>
      <c r="AS327" s="3"/>
      <c r="AT327" s="22">
        <v>0</v>
      </c>
      <c r="AU327" s="22">
        <v>1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0</v>
      </c>
      <c r="BB327" s="64">
        <f t="shared" si="251"/>
        <v>0.16</v>
      </c>
      <c r="BD327" s="60">
        <v>-746.42</v>
      </c>
      <c r="BE327" s="60">
        <v>0</v>
      </c>
      <c r="BF327" s="60">
        <v>-8.44</v>
      </c>
      <c r="BG327" s="95">
        <v>-2.12</v>
      </c>
      <c r="BH327" s="95">
        <v>0</v>
      </c>
      <c r="BI327" s="8">
        <f t="shared" si="263"/>
        <v>-756.98</v>
      </c>
      <c r="BJ327" s="2" t="s">
        <v>91</v>
      </c>
      <c r="BL327" s="70">
        <v>0</v>
      </c>
      <c r="BM327" s="70">
        <v>0</v>
      </c>
      <c r="BO327" s="70">
        <v>0</v>
      </c>
      <c r="BP327" s="70">
        <v>0</v>
      </c>
      <c r="BQ327" s="72">
        <v>0</v>
      </c>
      <c r="BS327" s="61">
        <f t="shared" si="258"/>
        <v>0</v>
      </c>
      <c r="BT327" s="61">
        <f t="shared" si="259"/>
        <v>0</v>
      </c>
      <c r="BU327" s="61">
        <f t="shared" si="260"/>
        <v>0</v>
      </c>
      <c r="BV327" s="61">
        <f t="shared" si="260"/>
        <v>0</v>
      </c>
      <c r="BW327" s="61">
        <f t="shared" si="260"/>
        <v>0</v>
      </c>
      <c r="BX327" s="61">
        <f t="shared" si="257"/>
        <v>0</v>
      </c>
      <c r="BY327" s="61" t="s">
        <v>91</v>
      </c>
      <c r="CA327" s="61">
        <f t="shared" si="243"/>
        <v>0</v>
      </c>
      <c r="CB327" s="61">
        <f t="shared" si="243"/>
        <v>0</v>
      </c>
      <c r="CC327" s="61">
        <f t="shared" si="243"/>
        <v>0</v>
      </c>
      <c r="CD327" s="61">
        <f t="shared" si="243"/>
        <v>0</v>
      </c>
      <c r="CE327" s="61">
        <f t="shared" si="264"/>
        <v>0</v>
      </c>
      <c r="CF327" s="61">
        <f t="shared" si="264"/>
        <v>0</v>
      </c>
      <c r="CG327" s="61">
        <f t="shared" si="264"/>
        <v>0</v>
      </c>
      <c r="CH327" s="61">
        <f t="shared" si="264"/>
        <v>0</v>
      </c>
      <c r="CI327" s="61">
        <f t="shared" ref="CI327:CI390" si="266">SUMPRODUCT(CA327:CH327,$O$6:$V$6)</f>
        <v>0</v>
      </c>
      <c r="CJ327" s="61"/>
      <c r="CK327" s="61">
        <f t="shared" si="244"/>
        <v>0</v>
      </c>
      <c r="CL327" s="61">
        <f t="shared" si="244"/>
        <v>0</v>
      </c>
      <c r="CM327" s="61">
        <f t="shared" si="244"/>
        <v>0</v>
      </c>
      <c r="CN327" s="61">
        <f t="shared" si="244"/>
        <v>0</v>
      </c>
      <c r="CO327" s="61">
        <f t="shared" si="265"/>
        <v>0</v>
      </c>
      <c r="CP327" s="61">
        <f t="shared" si="265"/>
        <v>0</v>
      </c>
      <c r="CQ327" s="61">
        <f t="shared" si="265"/>
        <v>0</v>
      </c>
      <c r="CR327" s="61">
        <f t="shared" si="265"/>
        <v>0</v>
      </c>
      <c r="CS327" s="61">
        <f t="shared" ref="CS327:CS390" si="267">SUMPRODUCT(CK327:CR327,$O$6:$V$6)</f>
        <v>0</v>
      </c>
      <c r="CT327" s="61">
        <f t="shared" ref="CT327:CT390" si="268">CS327*$C$2</f>
        <v>0</v>
      </c>
      <c r="CV327" s="61">
        <f t="shared" ref="CV327:CV390" si="269">SUM(AG327)-SUM(BL327)</f>
        <v>0</v>
      </c>
      <c r="CW327" s="61">
        <f t="shared" si="261"/>
        <v>0</v>
      </c>
      <c r="CX327" s="61"/>
      <c r="CY327" s="61">
        <f t="shared" si="262"/>
        <v>0</v>
      </c>
      <c r="CZ327" s="61">
        <f t="shared" si="220"/>
        <v>0</v>
      </c>
      <c r="DA327" s="61">
        <f t="shared" si="220"/>
        <v>0</v>
      </c>
      <c r="DB327" s="2" t="s">
        <v>85</v>
      </c>
      <c r="DC327" s="2" t="s">
        <v>289</v>
      </c>
      <c r="DD327" s="2" t="s">
        <v>142</v>
      </c>
      <c r="DE327" s="2" t="s">
        <v>181</v>
      </c>
      <c r="DG327" s="62"/>
      <c r="DZ327" s="3" t="e">
        <v>#N/A</v>
      </c>
      <c r="EC327" s="60"/>
      <c r="ED327" s="60"/>
      <c r="EE327" s="60"/>
      <c r="EF327" s="60"/>
    </row>
    <row r="328" spans="2:136" ht="12.75" hidden="1" customHeight="1">
      <c r="B328" s="99" t="s">
        <v>738</v>
      </c>
      <c r="C328" s="22" t="s">
        <v>726</v>
      </c>
      <c r="D328" s="22" t="s">
        <v>727</v>
      </c>
      <c r="E328" s="2" t="str">
        <f>VLOOKUP($C328,[1]Detail!$C:$AK,6,0)</f>
        <v>PMT2</v>
      </c>
      <c r="F328" s="2" t="str">
        <f>VLOOKUP($C328,[1]Detail!$C:$AK,7,0)</f>
        <v>TH</v>
      </c>
      <c r="G328" s="2" t="str">
        <f>VLOOKUP($C328,[1]Detail!$C:$AK,5,0)</f>
        <v>B</v>
      </c>
      <c r="J328" s="22" t="s">
        <v>728</v>
      </c>
      <c r="K328" s="23" t="s">
        <v>729</v>
      </c>
      <c r="L328" s="22" t="s">
        <v>269</v>
      </c>
      <c r="M328" s="51" t="str">
        <f t="shared" si="253"/>
        <v>MJD8B -LBBA-CAW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64">
        <f t="shared" si="254"/>
        <v>0</v>
      </c>
      <c r="Y328" s="8">
        <v>-730.88</v>
      </c>
      <c r="Z328" s="8">
        <v>0</v>
      </c>
      <c r="AA328" s="8">
        <v>-8.44</v>
      </c>
      <c r="AB328" s="8">
        <v>-2.12</v>
      </c>
      <c r="AC328" s="8">
        <v>0</v>
      </c>
      <c r="AD328" s="8">
        <f t="shared" si="255"/>
        <v>-741.44</v>
      </c>
      <c r="AE328" s="2" t="s">
        <v>91</v>
      </c>
      <c r="AG328" s="8">
        <v>0</v>
      </c>
      <c r="AH328" s="8">
        <v>0</v>
      </c>
      <c r="AJ328" s="70">
        <v>0</v>
      </c>
      <c r="AK328" s="70">
        <v>0</v>
      </c>
      <c r="AL328" s="72">
        <v>0</v>
      </c>
      <c r="AM328" s="22"/>
      <c r="AO328" s="22" t="s">
        <v>728</v>
      </c>
      <c r="AP328" s="23" t="s">
        <v>729</v>
      </c>
      <c r="AQ328" s="22" t="s">
        <v>269</v>
      </c>
      <c r="AR328" s="51" t="str">
        <f t="shared" si="250"/>
        <v>MJD8B -LBBA-CAW</v>
      </c>
      <c r="AS328" s="3"/>
      <c r="AT328" s="22">
        <v>0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64">
        <f t="shared" si="251"/>
        <v>0</v>
      </c>
      <c r="BD328" s="60">
        <v>-730.88</v>
      </c>
      <c r="BE328" s="60">
        <v>0</v>
      </c>
      <c r="BF328" s="60">
        <v>-8.44</v>
      </c>
      <c r="BG328" s="95">
        <v>-2.12</v>
      </c>
      <c r="BH328" s="95">
        <v>0</v>
      </c>
      <c r="BI328" s="8">
        <f t="shared" si="263"/>
        <v>-741.44</v>
      </c>
      <c r="BJ328" s="2" t="s">
        <v>91</v>
      </c>
      <c r="BL328" s="70">
        <v>0</v>
      </c>
      <c r="BM328" s="70">
        <v>0</v>
      </c>
      <c r="BO328" s="70">
        <v>0</v>
      </c>
      <c r="BP328" s="70">
        <v>0</v>
      </c>
      <c r="BQ328" s="72">
        <v>0</v>
      </c>
      <c r="BS328" s="61">
        <f t="shared" si="258"/>
        <v>0</v>
      </c>
      <c r="BT328" s="61">
        <f t="shared" si="259"/>
        <v>0</v>
      </c>
      <c r="BU328" s="61">
        <f t="shared" si="260"/>
        <v>0</v>
      </c>
      <c r="BV328" s="61">
        <f t="shared" si="260"/>
        <v>0</v>
      </c>
      <c r="BW328" s="61">
        <f t="shared" si="260"/>
        <v>0</v>
      </c>
      <c r="BX328" s="61">
        <f t="shared" si="257"/>
        <v>0</v>
      </c>
      <c r="BY328" s="61" t="s">
        <v>91</v>
      </c>
      <c r="CA328" s="61">
        <f t="shared" si="243"/>
        <v>0</v>
      </c>
      <c r="CB328" s="61">
        <f t="shared" si="243"/>
        <v>0</v>
      </c>
      <c r="CC328" s="61">
        <f t="shared" si="243"/>
        <v>0</v>
      </c>
      <c r="CD328" s="61">
        <f t="shared" si="243"/>
        <v>0</v>
      </c>
      <c r="CE328" s="61">
        <f t="shared" si="264"/>
        <v>0</v>
      </c>
      <c r="CF328" s="61">
        <f t="shared" si="264"/>
        <v>0</v>
      </c>
      <c r="CG328" s="61">
        <f t="shared" si="264"/>
        <v>0</v>
      </c>
      <c r="CH328" s="61">
        <f t="shared" si="264"/>
        <v>0</v>
      </c>
      <c r="CI328" s="61">
        <f t="shared" si="266"/>
        <v>0</v>
      </c>
      <c r="CJ328" s="61"/>
      <c r="CK328" s="61">
        <f t="shared" si="244"/>
        <v>0</v>
      </c>
      <c r="CL328" s="61">
        <f t="shared" si="244"/>
        <v>0</v>
      </c>
      <c r="CM328" s="61">
        <f t="shared" si="244"/>
        <v>0</v>
      </c>
      <c r="CN328" s="61">
        <f t="shared" si="244"/>
        <v>0</v>
      </c>
      <c r="CO328" s="61">
        <f t="shared" si="265"/>
        <v>0</v>
      </c>
      <c r="CP328" s="61">
        <f t="shared" si="265"/>
        <v>0</v>
      </c>
      <c r="CQ328" s="61">
        <f t="shared" si="265"/>
        <v>0</v>
      </c>
      <c r="CR328" s="61">
        <f t="shared" si="265"/>
        <v>0</v>
      </c>
      <c r="CS328" s="61">
        <f t="shared" si="267"/>
        <v>0</v>
      </c>
      <c r="CT328" s="61">
        <f t="shared" si="268"/>
        <v>0</v>
      </c>
      <c r="CV328" s="61">
        <f t="shared" si="269"/>
        <v>0</v>
      </c>
      <c r="CW328" s="61">
        <f t="shared" si="261"/>
        <v>0</v>
      </c>
      <c r="CX328" s="61"/>
      <c r="CY328" s="61">
        <f t="shared" si="262"/>
        <v>0</v>
      </c>
      <c r="CZ328" s="61">
        <f t="shared" si="220"/>
        <v>0</v>
      </c>
      <c r="DA328" s="61">
        <f t="shared" si="220"/>
        <v>0</v>
      </c>
      <c r="DB328" s="2" t="s">
        <v>85</v>
      </c>
      <c r="DC328" s="2" t="s">
        <v>289</v>
      </c>
      <c r="DD328" s="2" t="s">
        <v>142</v>
      </c>
      <c r="DE328" s="2" t="s">
        <v>181</v>
      </c>
      <c r="DG328" s="62"/>
      <c r="DZ328" s="3" t="e">
        <v>#N/A</v>
      </c>
      <c r="EC328" s="60"/>
      <c r="ED328" s="60"/>
      <c r="EE328" s="60"/>
      <c r="EF328" s="60"/>
    </row>
    <row r="329" spans="2:136" ht="12.75" hidden="1" customHeight="1">
      <c r="B329" s="99" t="s">
        <v>738</v>
      </c>
      <c r="C329" s="22" t="s">
        <v>726</v>
      </c>
      <c r="D329" s="22" t="s">
        <v>727</v>
      </c>
      <c r="E329" s="2" t="str">
        <f>VLOOKUP($C329,[1]Detail!$C:$AK,6,0)</f>
        <v>PMT2</v>
      </c>
      <c r="F329" s="2" t="str">
        <f>VLOOKUP($C329,[1]Detail!$C:$AK,7,0)</f>
        <v>TH</v>
      </c>
      <c r="G329" s="2" t="str">
        <f>VLOOKUP($C329,[1]Detail!$C:$AK,5,0)</f>
        <v>B</v>
      </c>
      <c r="J329" s="22" t="s">
        <v>728</v>
      </c>
      <c r="K329" s="23" t="s">
        <v>729</v>
      </c>
      <c r="L329" s="22" t="s">
        <v>671</v>
      </c>
      <c r="M329" s="51" t="str">
        <f t="shared" si="253"/>
        <v>MJD8B -LBBA-DAW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64">
        <f t="shared" si="254"/>
        <v>0</v>
      </c>
      <c r="Y329" s="8">
        <v>-730.88</v>
      </c>
      <c r="Z329" s="8">
        <v>0</v>
      </c>
      <c r="AA329" s="8">
        <v>-8.44</v>
      </c>
      <c r="AB329" s="8">
        <v>-2.12</v>
      </c>
      <c r="AC329" s="8">
        <v>0</v>
      </c>
      <c r="AD329" s="8">
        <f t="shared" si="255"/>
        <v>-741.44</v>
      </c>
      <c r="AE329" s="2" t="s">
        <v>91</v>
      </c>
      <c r="AG329" s="8">
        <v>0</v>
      </c>
      <c r="AH329" s="8">
        <v>0</v>
      </c>
      <c r="AJ329" s="70">
        <v>0</v>
      </c>
      <c r="AK329" s="70">
        <v>0</v>
      </c>
      <c r="AL329" s="72">
        <v>0</v>
      </c>
      <c r="AM329" s="22"/>
      <c r="AO329" s="22" t="s">
        <v>728</v>
      </c>
      <c r="AP329" s="23" t="s">
        <v>729</v>
      </c>
      <c r="AQ329" s="22" t="s">
        <v>671</v>
      </c>
      <c r="AR329" s="51" t="str">
        <f t="shared" si="250"/>
        <v>MJD8B -LBBA-DAW</v>
      </c>
      <c r="AS329" s="3"/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2">
        <v>0</v>
      </c>
      <c r="BA329" s="22">
        <v>0</v>
      </c>
      <c r="BB329" s="64">
        <f t="shared" si="251"/>
        <v>0</v>
      </c>
      <c r="BD329" s="60">
        <v>-730.88</v>
      </c>
      <c r="BE329" s="60">
        <v>0</v>
      </c>
      <c r="BF329" s="60">
        <v>-8.44</v>
      </c>
      <c r="BG329" s="95">
        <v>-2.12</v>
      </c>
      <c r="BH329" s="95">
        <v>0</v>
      </c>
      <c r="BI329" s="8">
        <f t="shared" si="263"/>
        <v>-741.44</v>
      </c>
      <c r="BJ329" s="2" t="s">
        <v>91</v>
      </c>
      <c r="BL329" s="70">
        <v>0</v>
      </c>
      <c r="BM329" s="70">
        <v>0</v>
      </c>
      <c r="BO329" s="70">
        <v>0</v>
      </c>
      <c r="BP329" s="70">
        <v>0</v>
      </c>
      <c r="BQ329" s="72">
        <v>0</v>
      </c>
      <c r="BS329" s="61">
        <f t="shared" si="258"/>
        <v>0</v>
      </c>
      <c r="BT329" s="61">
        <f t="shared" si="259"/>
        <v>0</v>
      </c>
      <c r="BU329" s="61">
        <f t="shared" si="260"/>
        <v>0</v>
      </c>
      <c r="BV329" s="61">
        <f t="shared" si="260"/>
        <v>0</v>
      </c>
      <c r="BW329" s="61">
        <f t="shared" si="260"/>
        <v>0</v>
      </c>
      <c r="BX329" s="61">
        <f t="shared" si="257"/>
        <v>0</v>
      </c>
      <c r="BY329" s="61" t="s">
        <v>91</v>
      </c>
      <c r="CA329" s="61">
        <f t="shared" si="243"/>
        <v>0</v>
      </c>
      <c r="CB329" s="61">
        <f t="shared" si="243"/>
        <v>0</v>
      </c>
      <c r="CC329" s="61">
        <f t="shared" si="243"/>
        <v>0</v>
      </c>
      <c r="CD329" s="61">
        <f t="shared" si="243"/>
        <v>0</v>
      </c>
      <c r="CE329" s="61">
        <f t="shared" si="264"/>
        <v>0</v>
      </c>
      <c r="CF329" s="61">
        <f t="shared" si="264"/>
        <v>0</v>
      </c>
      <c r="CG329" s="61">
        <f t="shared" si="264"/>
        <v>0</v>
      </c>
      <c r="CH329" s="61">
        <f t="shared" si="264"/>
        <v>0</v>
      </c>
      <c r="CI329" s="61">
        <f t="shared" si="266"/>
        <v>0</v>
      </c>
      <c r="CJ329" s="61"/>
      <c r="CK329" s="61">
        <f t="shared" si="244"/>
        <v>0</v>
      </c>
      <c r="CL329" s="61">
        <f t="shared" si="244"/>
        <v>0</v>
      </c>
      <c r="CM329" s="61">
        <f t="shared" si="244"/>
        <v>0</v>
      </c>
      <c r="CN329" s="61">
        <f t="shared" si="244"/>
        <v>0</v>
      </c>
      <c r="CO329" s="61">
        <f t="shared" si="265"/>
        <v>0</v>
      </c>
      <c r="CP329" s="61">
        <f t="shared" si="265"/>
        <v>0</v>
      </c>
      <c r="CQ329" s="61">
        <f t="shared" si="265"/>
        <v>0</v>
      </c>
      <c r="CR329" s="61">
        <f t="shared" si="265"/>
        <v>0</v>
      </c>
      <c r="CS329" s="61">
        <f t="shared" si="267"/>
        <v>0</v>
      </c>
      <c r="CT329" s="61">
        <f t="shared" si="268"/>
        <v>0</v>
      </c>
      <c r="CV329" s="61">
        <f t="shared" si="269"/>
        <v>0</v>
      </c>
      <c r="CW329" s="61">
        <f t="shared" si="261"/>
        <v>0</v>
      </c>
      <c r="CX329" s="61"/>
      <c r="CY329" s="61">
        <f t="shared" si="262"/>
        <v>0</v>
      </c>
      <c r="CZ329" s="61">
        <f t="shared" si="220"/>
        <v>0</v>
      </c>
      <c r="DA329" s="61">
        <f t="shared" si="220"/>
        <v>0</v>
      </c>
      <c r="DB329" s="2" t="s">
        <v>85</v>
      </c>
      <c r="DC329" s="2" t="s">
        <v>289</v>
      </c>
      <c r="DD329" s="2" t="s">
        <v>142</v>
      </c>
      <c r="DE329" s="2" t="s">
        <v>181</v>
      </c>
      <c r="DG329" s="62"/>
      <c r="DZ329" s="3" t="e">
        <v>#N/A</v>
      </c>
      <c r="EC329" s="60"/>
      <c r="ED329" s="60"/>
      <c r="EE329" s="60"/>
      <c r="EF329" s="60"/>
    </row>
    <row r="330" spans="2:136" ht="12.75" hidden="1" customHeight="1">
      <c r="B330" s="99" t="s">
        <v>738</v>
      </c>
      <c r="C330" s="22" t="s">
        <v>726</v>
      </c>
      <c r="D330" s="22" t="s">
        <v>727</v>
      </c>
      <c r="E330" s="2" t="str">
        <f>VLOOKUP($C330,[1]Detail!$C:$AK,6,0)</f>
        <v>PMT2</v>
      </c>
      <c r="F330" s="2" t="str">
        <f>VLOOKUP($C330,[1]Detail!$C:$AK,7,0)</f>
        <v>TH</v>
      </c>
      <c r="G330" s="2" t="str">
        <f>VLOOKUP($C330,[1]Detail!$C:$AK,5,0)</f>
        <v>B</v>
      </c>
      <c r="J330" s="22" t="s">
        <v>728</v>
      </c>
      <c r="K330" s="23" t="s">
        <v>729</v>
      </c>
      <c r="L330" s="22" t="s">
        <v>730</v>
      </c>
      <c r="M330" s="51" t="str">
        <f t="shared" si="253"/>
        <v>MJD8B -LBBA-EAW</v>
      </c>
      <c r="O330" s="22">
        <v>0</v>
      </c>
      <c r="P330" s="22">
        <v>0</v>
      </c>
      <c r="Q330" s="22">
        <v>1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64">
        <f t="shared" si="254"/>
        <v>0.14000000000000001</v>
      </c>
      <c r="Y330" s="8">
        <v>-1036.49</v>
      </c>
      <c r="Z330" s="8">
        <v>0</v>
      </c>
      <c r="AA330" s="8">
        <v>-8.4600000000000009</v>
      </c>
      <c r="AB330" s="8">
        <v>-2.12</v>
      </c>
      <c r="AC330" s="8">
        <v>0</v>
      </c>
      <c r="AD330" s="8">
        <f t="shared" si="255"/>
        <v>-1047.07</v>
      </c>
      <c r="AE330" s="2" t="s">
        <v>91</v>
      </c>
      <c r="AG330" s="8">
        <v>0</v>
      </c>
      <c r="AH330" s="8">
        <v>0</v>
      </c>
      <c r="AJ330" s="70">
        <v>0</v>
      </c>
      <c r="AK330" s="70">
        <v>0</v>
      </c>
      <c r="AL330" s="72">
        <v>0</v>
      </c>
      <c r="AM330" s="22"/>
      <c r="AO330" s="22" t="s">
        <v>728</v>
      </c>
      <c r="AP330" s="23" t="s">
        <v>729</v>
      </c>
      <c r="AQ330" s="22" t="s">
        <v>730</v>
      </c>
      <c r="AR330" s="51" t="str">
        <f t="shared" si="250"/>
        <v>MJD8B -LBBA-EAW</v>
      </c>
      <c r="AS330" s="3"/>
      <c r="AT330" s="22">
        <v>0</v>
      </c>
      <c r="AU330" s="22">
        <v>0</v>
      </c>
      <c r="AV330" s="22">
        <v>1</v>
      </c>
      <c r="AW330" s="22">
        <v>0</v>
      </c>
      <c r="AX330" s="22">
        <v>0</v>
      </c>
      <c r="AY330" s="22">
        <v>0</v>
      </c>
      <c r="AZ330" s="22">
        <v>0</v>
      </c>
      <c r="BA330" s="22">
        <v>0</v>
      </c>
      <c r="BB330" s="64">
        <f t="shared" si="251"/>
        <v>0.14000000000000001</v>
      </c>
      <c r="BD330" s="60">
        <v>-1036.49</v>
      </c>
      <c r="BE330" s="60">
        <v>0</v>
      </c>
      <c r="BF330" s="60">
        <v>-8.4600000000000009</v>
      </c>
      <c r="BG330" s="95">
        <v>-2.12</v>
      </c>
      <c r="BH330" s="95">
        <v>0</v>
      </c>
      <c r="BI330" s="8">
        <f t="shared" si="263"/>
        <v>-1047.07</v>
      </c>
      <c r="BJ330" s="2" t="s">
        <v>91</v>
      </c>
      <c r="BL330" s="70">
        <v>0</v>
      </c>
      <c r="BM330" s="70">
        <v>0</v>
      </c>
      <c r="BO330" s="70">
        <v>0</v>
      </c>
      <c r="BP330" s="70">
        <v>0</v>
      </c>
      <c r="BQ330" s="72">
        <v>0</v>
      </c>
      <c r="BS330" s="61">
        <f t="shared" si="258"/>
        <v>0</v>
      </c>
      <c r="BT330" s="61">
        <f t="shared" si="259"/>
        <v>0</v>
      </c>
      <c r="BU330" s="61">
        <f t="shared" si="260"/>
        <v>0</v>
      </c>
      <c r="BV330" s="61">
        <f t="shared" si="260"/>
        <v>0</v>
      </c>
      <c r="BW330" s="61">
        <f t="shared" si="260"/>
        <v>0</v>
      </c>
      <c r="BX330" s="61">
        <f t="shared" si="257"/>
        <v>0</v>
      </c>
      <c r="BY330" s="61" t="s">
        <v>91</v>
      </c>
      <c r="CA330" s="61">
        <f t="shared" si="243"/>
        <v>0</v>
      </c>
      <c r="CB330" s="61">
        <f t="shared" si="243"/>
        <v>0</v>
      </c>
      <c r="CC330" s="61">
        <f t="shared" si="243"/>
        <v>0</v>
      </c>
      <c r="CD330" s="61">
        <f t="shared" si="243"/>
        <v>0</v>
      </c>
      <c r="CE330" s="61">
        <f t="shared" si="264"/>
        <v>0</v>
      </c>
      <c r="CF330" s="61">
        <f t="shared" si="264"/>
        <v>0</v>
      </c>
      <c r="CG330" s="61">
        <f t="shared" si="264"/>
        <v>0</v>
      </c>
      <c r="CH330" s="61">
        <f t="shared" si="264"/>
        <v>0</v>
      </c>
      <c r="CI330" s="61">
        <f t="shared" si="266"/>
        <v>0</v>
      </c>
      <c r="CJ330" s="61"/>
      <c r="CK330" s="61">
        <f t="shared" si="244"/>
        <v>0</v>
      </c>
      <c r="CL330" s="61">
        <f t="shared" si="244"/>
        <v>0</v>
      </c>
      <c r="CM330" s="61">
        <f t="shared" si="244"/>
        <v>0</v>
      </c>
      <c r="CN330" s="61">
        <f t="shared" si="244"/>
        <v>0</v>
      </c>
      <c r="CO330" s="61">
        <f t="shared" si="265"/>
        <v>0</v>
      </c>
      <c r="CP330" s="61">
        <f t="shared" si="265"/>
        <v>0</v>
      </c>
      <c r="CQ330" s="61">
        <f t="shared" si="265"/>
        <v>0</v>
      </c>
      <c r="CR330" s="61">
        <f t="shared" si="265"/>
        <v>0</v>
      </c>
      <c r="CS330" s="61">
        <f t="shared" si="267"/>
        <v>0</v>
      </c>
      <c r="CT330" s="61">
        <f t="shared" si="268"/>
        <v>0</v>
      </c>
      <c r="CV330" s="61">
        <f t="shared" si="269"/>
        <v>0</v>
      </c>
      <c r="CW330" s="61">
        <f t="shared" si="261"/>
        <v>0</v>
      </c>
      <c r="CX330" s="61"/>
      <c r="CY330" s="61">
        <f t="shared" si="262"/>
        <v>0</v>
      </c>
      <c r="CZ330" s="61">
        <f t="shared" si="220"/>
        <v>0</v>
      </c>
      <c r="DA330" s="61">
        <f t="shared" si="220"/>
        <v>0</v>
      </c>
      <c r="DB330" s="2" t="s">
        <v>85</v>
      </c>
      <c r="DC330" s="2" t="s">
        <v>289</v>
      </c>
      <c r="DD330" s="2" t="s">
        <v>142</v>
      </c>
      <c r="DE330" s="2" t="s">
        <v>181</v>
      </c>
      <c r="DG330" s="62"/>
      <c r="DZ330" s="3" t="e">
        <v>#N/A</v>
      </c>
      <c r="EC330" s="60"/>
      <c r="ED330" s="60"/>
      <c r="EE330" s="60"/>
      <c r="EF330" s="60"/>
    </row>
    <row r="331" spans="2:136" ht="12.75" hidden="1" customHeight="1">
      <c r="B331" s="99" t="s">
        <v>738</v>
      </c>
      <c r="C331" s="22" t="s">
        <v>726</v>
      </c>
      <c r="D331" s="22" t="s">
        <v>727</v>
      </c>
      <c r="E331" s="2" t="str">
        <f>VLOOKUP($C331,[1]Detail!$C:$AK,6,0)</f>
        <v>PMT2</v>
      </c>
      <c r="F331" s="2" t="str">
        <f>VLOOKUP($C331,[1]Detail!$C:$AK,7,0)</f>
        <v>TH</v>
      </c>
      <c r="G331" s="2" t="str">
        <f>VLOOKUP($C331,[1]Detail!$C:$AK,5,0)</f>
        <v>B</v>
      </c>
      <c r="J331" s="22" t="s">
        <v>728</v>
      </c>
      <c r="K331" s="23" t="s">
        <v>729</v>
      </c>
      <c r="L331" s="22" t="s">
        <v>731</v>
      </c>
      <c r="M331" s="51" t="str">
        <f t="shared" si="253"/>
        <v>MJD8B -LBBA-FAW</v>
      </c>
      <c r="O331" s="22">
        <v>0</v>
      </c>
      <c r="P331" s="22">
        <v>0</v>
      </c>
      <c r="Q331" s="22">
        <v>0</v>
      </c>
      <c r="R331" s="22">
        <v>1</v>
      </c>
      <c r="S331" s="22">
        <v>0</v>
      </c>
      <c r="T331" s="22">
        <v>0</v>
      </c>
      <c r="U331" s="22">
        <v>0</v>
      </c>
      <c r="V331" s="22">
        <v>0</v>
      </c>
      <c r="W331" s="64">
        <f t="shared" si="254"/>
        <v>0.23</v>
      </c>
      <c r="Y331" s="8">
        <v>-1036.49</v>
      </c>
      <c r="Z331" s="8">
        <v>0</v>
      </c>
      <c r="AA331" s="8">
        <v>-8.4600000000000009</v>
      </c>
      <c r="AB331" s="8">
        <v>-2.12</v>
      </c>
      <c r="AC331" s="8">
        <v>0</v>
      </c>
      <c r="AD331" s="8">
        <f t="shared" ref="AD331:AD362" si="270">SUM(Y331:AC331)</f>
        <v>-1047.07</v>
      </c>
      <c r="AE331" s="2" t="s">
        <v>91</v>
      </c>
      <c r="AG331" s="8">
        <v>0</v>
      </c>
      <c r="AH331" s="8">
        <v>0</v>
      </c>
      <c r="AJ331" s="70">
        <v>0</v>
      </c>
      <c r="AK331" s="70">
        <v>0</v>
      </c>
      <c r="AL331" s="72">
        <v>0</v>
      </c>
      <c r="AM331" s="22"/>
      <c r="AO331" s="22" t="s">
        <v>728</v>
      </c>
      <c r="AP331" s="23" t="s">
        <v>729</v>
      </c>
      <c r="AQ331" s="22" t="s">
        <v>731</v>
      </c>
      <c r="AR331" s="51" t="str">
        <f t="shared" si="250"/>
        <v>MJD8B -LBBA-FAW</v>
      </c>
      <c r="AS331" s="3"/>
      <c r="AT331" s="22">
        <v>0</v>
      </c>
      <c r="AU331" s="22">
        <v>0</v>
      </c>
      <c r="AV331" s="22">
        <v>0</v>
      </c>
      <c r="AW331" s="22">
        <v>1</v>
      </c>
      <c r="AX331" s="22">
        <v>0</v>
      </c>
      <c r="AY331" s="22">
        <v>0</v>
      </c>
      <c r="AZ331" s="22">
        <v>0</v>
      </c>
      <c r="BA331" s="22">
        <v>0</v>
      </c>
      <c r="BB331" s="64">
        <f t="shared" si="251"/>
        <v>0.23</v>
      </c>
      <c r="BD331" s="60">
        <v>-1036.49</v>
      </c>
      <c r="BE331" s="60">
        <v>0</v>
      </c>
      <c r="BF331" s="60">
        <v>-8.4600000000000009</v>
      </c>
      <c r="BG331" s="95">
        <v>-2.12</v>
      </c>
      <c r="BH331" s="95">
        <v>0</v>
      </c>
      <c r="BI331" s="8">
        <f t="shared" si="263"/>
        <v>-1047.07</v>
      </c>
      <c r="BJ331" s="2" t="s">
        <v>91</v>
      </c>
      <c r="BL331" s="70">
        <v>0</v>
      </c>
      <c r="BM331" s="70">
        <v>0</v>
      </c>
      <c r="BO331" s="70">
        <v>0</v>
      </c>
      <c r="BP331" s="70">
        <v>0</v>
      </c>
      <c r="BQ331" s="72">
        <v>0</v>
      </c>
      <c r="BS331" s="61">
        <f t="shared" si="258"/>
        <v>0</v>
      </c>
      <c r="BT331" s="61">
        <f t="shared" si="259"/>
        <v>0</v>
      </c>
      <c r="BU331" s="61">
        <f t="shared" si="260"/>
        <v>0</v>
      </c>
      <c r="BV331" s="61">
        <f t="shared" si="260"/>
        <v>0</v>
      </c>
      <c r="BW331" s="61">
        <f t="shared" si="260"/>
        <v>0</v>
      </c>
      <c r="BX331" s="61">
        <f t="shared" si="257"/>
        <v>0</v>
      </c>
      <c r="BY331" s="61" t="s">
        <v>91</v>
      </c>
      <c r="CA331" s="61">
        <f t="shared" si="243"/>
        <v>0</v>
      </c>
      <c r="CB331" s="61">
        <f t="shared" si="243"/>
        <v>0</v>
      </c>
      <c r="CC331" s="61">
        <f t="shared" si="243"/>
        <v>0</v>
      </c>
      <c r="CD331" s="61">
        <f t="shared" si="243"/>
        <v>0</v>
      </c>
      <c r="CE331" s="61">
        <f t="shared" si="264"/>
        <v>0</v>
      </c>
      <c r="CF331" s="61">
        <f t="shared" si="264"/>
        <v>0</v>
      </c>
      <c r="CG331" s="61">
        <f t="shared" si="264"/>
        <v>0</v>
      </c>
      <c r="CH331" s="61">
        <f t="shared" si="264"/>
        <v>0</v>
      </c>
      <c r="CI331" s="61">
        <f t="shared" si="266"/>
        <v>0</v>
      </c>
      <c r="CJ331" s="61"/>
      <c r="CK331" s="61">
        <f t="shared" si="244"/>
        <v>0</v>
      </c>
      <c r="CL331" s="61">
        <f t="shared" si="244"/>
        <v>0</v>
      </c>
      <c r="CM331" s="61">
        <f t="shared" si="244"/>
        <v>0</v>
      </c>
      <c r="CN331" s="61">
        <f t="shared" si="244"/>
        <v>0</v>
      </c>
      <c r="CO331" s="61">
        <f t="shared" si="265"/>
        <v>0</v>
      </c>
      <c r="CP331" s="61">
        <f t="shared" si="265"/>
        <v>0</v>
      </c>
      <c r="CQ331" s="61">
        <f t="shared" si="265"/>
        <v>0</v>
      </c>
      <c r="CR331" s="61">
        <f t="shared" si="265"/>
        <v>0</v>
      </c>
      <c r="CS331" s="61">
        <f t="shared" si="267"/>
        <v>0</v>
      </c>
      <c r="CT331" s="61">
        <f t="shared" si="268"/>
        <v>0</v>
      </c>
      <c r="CV331" s="61">
        <f t="shared" si="269"/>
        <v>0</v>
      </c>
      <c r="CW331" s="61">
        <f t="shared" si="261"/>
        <v>0</v>
      </c>
      <c r="CX331" s="61"/>
      <c r="CY331" s="61">
        <f t="shared" si="262"/>
        <v>0</v>
      </c>
      <c r="CZ331" s="61">
        <f t="shared" ref="CZ331:DA395" si="271">SUM(AK331)-SUM(BP331)</f>
        <v>0</v>
      </c>
      <c r="DA331" s="61">
        <f t="shared" si="271"/>
        <v>0</v>
      </c>
      <c r="DB331" s="2" t="s">
        <v>85</v>
      </c>
      <c r="DC331" s="2" t="s">
        <v>289</v>
      </c>
      <c r="DD331" s="2" t="s">
        <v>142</v>
      </c>
      <c r="DE331" s="2" t="s">
        <v>181</v>
      </c>
      <c r="DG331" s="62"/>
      <c r="DZ331" s="3" t="e">
        <v>#N/A</v>
      </c>
      <c r="EC331" s="60"/>
      <c r="ED331" s="60"/>
      <c r="EE331" s="60"/>
      <c r="EF331" s="60"/>
    </row>
    <row r="332" spans="2:136" ht="12.75" hidden="1" customHeight="1">
      <c r="B332" s="99" t="s">
        <v>738</v>
      </c>
      <c r="C332" s="22" t="s">
        <v>726</v>
      </c>
      <c r="D332" s="22" t="s">
        <v>727</v>
      </c>
      <c r="E332" s="2" t="str">
        <f>VLOOKUP($C332,[1]Detail!$C:$AK,6,0)</f>
        <v>PMT2</v>
      </c>
      <c r="F332" s="2" t="str">
        <f>VLOOKUP($C332,[1]Detail!$C:$AK,7,0)</f>
        <v>TH</v>
      </c>
      <c r="G332" s="2" t="str">
        <f>VLOOKUP($C332,[1]Detail!$C:$AK,5,0)</f>
        <v>B</v>
      </c>
      <c r="J332" s="22" t="s">
        <v>728</v>
      </c>
      <c r="K332" s="23" t="s">
        <v>729</v>
      </c>
      <c r="L332" s="22" t="s">
        <v>732</v>
      </c>
      <c r="M332" s="51" t="str">
        <f t="shared" si="253"/>
        <v>MJD8B -LBBA-GAW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64">
        <f t="shared" si="254"/>
        <v>0</v>
      </c>
      <c r="Y332" s="8">
        <v>-1020.95</v>
      </c>
      <c r="Z332" s="8">
        <v>0</v>
      </c>
      <c r="AA332" s="8">
        <v>-8.4600000000000009</v>
      </c>
      <c r="AB332" s="8">
        <v>-2.12</v>
      </c>
      <c r="AC332" s="8">
        <v>0</v>
      </c>
      <c r="AD332" s="8">
        <f t="shared" si="270"/>
        <v>-1031.53</v>
      </c>
      <c r="AE332" s="2" t="s">
        <v>91</v>
      </c>
      <c r="AG332" s="8">
        <v>0</v>
      </c>
      <c r="AH332" s="8">
        <v>0</v>
      </c>
      <c r="AJ332" s="70">
        <v>0</v>
      </c>
      <c r="AK332" s="70">
        <v>0</v>
      </c>
      <c r="AL332" s="72">
        <v>0</v>
      </c>
      <c r="AM332" s="22"/>
      <c r="AO332" s="22" t="s">
        <v>728</v>
      </c>
      <c r="AP332" s="23" t="s">
        <v>729</v>
      </c>
      <c r="AQ332" s="22" t="s">
        <v>732</v>
      </c>
      <c r="AR332" s="51" t="str">
        <f t="shared" si="250"/>
        <v>MJD8B -LBBA-GAW</v>
      </c>
      <c r="AS332" s="3"/>
      <c r="AT332" s="22">
        <v>0</v>
      </c>
      <c r="AU332" s="22">
        <v>0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0</v>
      </c>
      <c r="BB332" s="64">
        <f t="shared" si="251"/>
        <v>0</v>
      </c>
      <c r="BD332" s="60">
        <v>-1020.95</v>
      </c>
      <c r="BE332" s="60">
        <v>0</v>
      </c>
      <c r="BF332" s="60">
        <v>-8.4600000000000009</v>
      </c>
      <c r="BG332" s="95">
        <v>-2.12</v>
      </c>
      <c r="BH332" s="95">
        <v>0</v>
      </c>
      <c r="BI332" s="8">
        <f t="shared" si="263"/>
        <v>-1031.53</v>
      </c>
      <c r="BJ332" s="2" t="s">
        <v>91</v>
      </c>
      <c r="BL332" s="70">
        <v>0</v>
      </c>
      <c r="BM332" s="70">
        <v>0</v>
      </c>
      <c r="BO332" s="70">
        <v>0</v>
      </c>
      <c r="BP332" s="70">
        <v>0</v>
      </c>
      <c r="BQ332" s="72">
        <v>0</v>
      </c>
      <c r="BS332" s="61">
        <f t="shared" si="258"/>
        <v>0</v>
      </c>
      <c r="BT332" s="61">
        <f t="shared" si="259"/>
        <v>0</v>
      </c>
      <c r="BU332" s="61">
        <f t="shared" si="260"/>
        <v>0</v>
      </c>
      <c r="BV332" s="61">
        <f t="shared" si="260"/>
        <v>0</v>
      </c>
      <c r="BW332" s="61">
        <f t="shared" si="260"/>
        <v>0</v>
      </c>
      <c r="BX332" s="61">
        <f t="shared" si="257"/>
        <v>0</v>
      </c>
      <c r="BY332" s="61" t="s">
        <v>91</v>
      </c>
      <c r="CA332" s="61">
        <f t="shared" si="243"/>
        <v>0</v>
      </c>
      <c r="CB332" s="61">
        <f t="shared" si="243"/>
        <v>0</v>
      </c>
      <c r="CC332" s="61">
        <f t="shared" si="243"/>
        <v>0</v>
      </c>
      <c r="CD332" s="61">
        <f t="shared" si="243"/>
        <v>0</v>
      </c>
      <c r="CE332" s="61">
        <f t="shared" si="264"/>
        <v>0</v>
      </c>
      <c r="CF332" s="61">
        <f t="shared" si="264"/>
        <v>0</v>
      </c>
      <c r="CG332" s="61">
        <f t="shared" si="264"/>
        <v>0</v>
      </c>
      <c r="CH332" s="61">
        <f t="shared" si="264"/>
        <v>0</v>
      </c>
      <c r="CI332" s="61">
        <f t="shared" si="266"/>
        <v>0</v>
      </c>
      <c r="CJ332" s="61"/>
      <c r="CK332" s="61">
        <f t="shared" si="244"/>
        <v>0</v>
      </c>
      <c r="CL332" s="61">
        <f t="shared" si="244"/>
        <v>0</v>
      </c>
      <c r="CM332" s="61">
        <f t="shared" si="244"/>
        <v>0</v>
      </c>
      <c r="CN332" s="61">
        <f t="shared" si="244"/>
        <v>0</v>
      </c>
      <c r="CO332" s="61">
        <f t="shared" si="265"/>
        <v>0</v>
      </c>
      <c r="CP332" s="61">
        <f t="shared" si="265"/>
        <v>0</v>
      </c>
      <c r="CQ332" s="61">
        <f t="shared" si="265"/>
        <v>0</v>
      </c>
      <c r="CR332" s="61">
        <f t="shared" si="265"/>
        <v>0</v>
      </c>
      <c r="CS332" s="61">
        <f t="shared" si="267"/>
        <v>0</v>
      </c>
      <c r="CT332" s="61">
        <f t="shared" si="268"/>
        <v>0</v>
      </c>
      <c r="CV332" s="61">
        <f t="shared" si="269"/>
        <v>0</v>
      </c>
      <c r="CW332" s="61">
        <f t="shared" si="261"/>
        <v>0</v>
      </c>
      <c r="CX332" s="61"/>
      <c r="CY332" s="61">
        <f t="shared" si="262"/>
        <v>0</v>
      </c>
      <c r="CZ332" s="61">
        <f t="shared" si="271"/>
        <v>0</v>
      </c>
      <c r="DA332" s="61">
        <f t="shared" si="271"/>
        <v>0</v>
      </c>
      <c r="DB332" s="2" t="s">
        <v>85</v>
      </c>
      <c r="DC332" s="2" t="s">
        <v>289</v>
      </c>
      <c r="DD332" s="2" t="s">
        <v>142</v>
      </c>
      <c r="DE332" s="2" t="s">
        <v>181</v>
      </c>
      <c r="DG332" s="62"/>
      <c r="DZ332" s="3" t="e">
        <v>#N/A</v>
      </c>
      <c r="EC332" s="60"/>
      <c r="ED332" s="60"/>
      <c r="EE332" s="60"/>
      <c r="EF332" s="60"/>
    </row>
    <row r="333" spans="2:136" ht="12.75" hidden="1" customHeight="1">
      <c r="B333" s="99" t="s">
        <v>738</v>
      </c>
      <c r="C333" s="22" t="s">
        <v>726</v>
      </c>
      <c r="D333" s="22" t="s">
        <v>727</v>
      </c>
      <c r="E333" s="2" t="str">
        <f>VLOOKUP($C333,[1]Detail!$C:$AK,6,0)</f>
        <v>PMT2</v>
      </c>
      <c r="F333" s="2" t="str">
        <f>VLOOKUP($C333,[1]Detail!$C:$AK,7,0)</f>
        <v>TH</v>
      </c>
      <c r="G333" s="2" t="str">
        <f>VLOOKUP($C333,[1]Detail!$C:$AK,5,0)</f>
        <v>B</v>
      </c>
      <c r="J333" s="22" t="s">
        <v>728</v>
      </c>
      <c r="K333" s="23" t="s">
        <v>729</v>
      </c>
      <c r="L333" s="22" t="s">
        <v>733</v>
      </c>
      <c r="M333" s="51" t="str">
        <f t="shared" si="253"/>
        <v>MJD8B -LBBA-HAW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64">
        <f t="shared" si="254"/>
        <v>0</v>
      </c>
      <c r="Y333" s="8">
        <v>-1020.95</v>
      </c>
      <c r="Z333" s="8">
        <v>0</v>
      </c>
      <c r="AA333" s="8">
        <v>-8.4600000000000009</v>
      </c>
      <c r="AB333" s="8">
        <v>-2.12</v>
      </c>
      <c r="AC333" s="8">
        <v>0</v>
      </c>
      <c r="AD333" s="8">
        <f t="shared" si="270"/>
        <v>-1031.53</v>
      </c>
      <c r="AE333" s="2" t="s">
        <v>91</v>
      </c>
      <c r="AG333" s="8">
        <v>0</v>
      </c>
      <c r="AH333" s="8">
        <v>0</v>
      </c>
      <c r="AJ333" s="70">
        <v>0</v>
      </c>
      <c r="AK333" s="70">
        <v>0</v>
      </c>
      <c r="AL333" s="72">
        <v>0</v>
      </c>
      <c r="AM333" s="22"/>
      <c r="AO333" s="22" t="s">
        <v>728</v>
      </c>
      <c r="AP333" s="23" t="s">
        <v>729</v>
      </c>
      <c r="AQ333" s="22" t="s">
        <v>733</v>
      </c>
      <c r="AR333" s="51" t="str">
        <f t="shared" si="250"/>
        <v>MJD8B -LBBA-HAW</v>
      </c>
      <c r="AS333" s="3"/>
      <c r="AT333" s="22">
        <v>0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0</v>
      </c>
      <c r="BA333" s="22">
        <v>0</v>
      </c>
      <c r="BB333" s="64">
        <f t="shared" si="251"/>
        <v>0</v>
      </c>
      <c r="BD333" s="60">
        <v>-1020.95</v>
      </c>
      <c r="BE333" s="60">
        <v>0</v>
      </c>
      <c r="BF333" s="60">
        <v>-8.4600000000000009</v>
      </c>
      <c r="BG333" s="95">
        <v>-2.12</v>
      </c>
      <c r="BH333" s="95">
        <v>0</v>
      </c>
      <c r="BI333" s="8">
        <f t="shared" si="263"/>
        <v>-1031.53</v>
      </c>
      <c r="BJ333" s="2" t="s">
        <v>91</v>
      </c>
      <c r="BL333" s="70">
        <v>0</v>
      </c>
      <c r="BM333" s="70">
        <v>0</v>
      </c>
      <c r="BO333" s="70">
        <v>0</v>
      </c>
      <c r="BP333" s="70">
        <v>0</v>
      </c>
      <c r="BQ333" s="72">
        <v>0</v>
      </c>
      <c r="BS333" s="61">
        <f t="shared" si="258"/>
        <v>0</v>
      </c>
      <c r="BT333" s="61">
        <f t="shared" si="259"/>
        <v>0</v>
      </c>
      <c r="BU333" s="61">
        <f t="shared" si="260"/>
        <v>0</v>
      </c>
      <c r="BV333" s="61">
        <f t="shared" si="260"/>
        <v>0</v>
      </c>
      <c r="BW333" s="61">
        <f t="shared" si="260"/>
        <v>0</v>
      </c>
      <c r="BX333" s="61">
        <f t="shared" si="257"/>
        <v>0</v>
      </c>
      <c r="BY333" s="61" t="s">
        <v>91</v>
      </c>
      <c r="CA333" s="61">
        <f t="shared" si="243"/>
        <v>0</v>
      </c>
      <c r="CB333" s="61">
        <f t="shared" si="243"/>
        <v>0</v>
      </c>
      <c r="CC333" s="61">
        <f t="shared" si="243"/>
        <v>0</v>
      </c>
      <c r="CD333" s="61">
        <f t="shared" si="243"/>
        <v>0</v>
      </c>
      <c r="CE333" s="61">
        <f t="shared" si="264"/>
        <v>0</v>
      </c>
      <c r="CF333" s="61">
        <f t="shared" si="264"/>
        <v>0</v>
      </c>
      <c r="CG333" s="61">
        <f t="shared" si="264"/>
        <v>0</v>
      </c>
      <c r="CH333" s="61">
        <f t="shared" si="264"/>
        <v>0</v>
      </c>
      <c r="CI333" s="61">
        <f t="shared" si="266"/>
        <v>0</v>
      </c>
      <c r="CJ333" s="61"/>
      <c r="CK333" s="61">
        <f t="shared" si="244"/>
        <v>0</v>
      </c>
      <c r="CL333" s="61">
        <f t="shared" si="244"/>
        <v>0</v>
      </c>
      <c r="CM333" s="61">
        <f t="shared" si="244"/>
        <v>0</v>
      </c>
      <c r="CN333" s="61">
        <f t="shared" si="244"/>
        <v>0</v>
      </c>
      <c r="CO333" s="61">
        <f t="shared" si="265"/>
        <v>0</v>
      </c>
      <c r="CP333" s="61">
        <f t="shared" si="265"/>
        <v>0</v>
      </c>
      <c r="CQ333" s="61">
        <f t="shared" si="265"/>
        <v>0</v>
      </c>
      <c r="CR333" s="61">
        <f t="shared" si="265"/>
        <v>0</v>
      </c>
      <c r="CS333" s="61">
        <f t="shared" si="267"/>
        <v>0</v>
      </c>
      <c r="CT333" s="61">
        <f t="shared" si="268"/>
        <v>0</v>
      </c>
      <c r="CV333" s="61">
        <f t="shared" si="269"/>
        <v>0</v>
      </c>
      <c r="CW333" s="61">
        <f t="shared" si="261"/>
        <v>0</v>
      </c>
      <c r="CX333" s="61"/>
      <c r="CY333" s="61">
        <f t="shared" si="262"/>
        <v>0</v>
      </c>
      <c r="CZ333" s="61">
        <f t="shared" si="271"/>
        <v>0</v>
      </c>
      <c r="DA333" s="61">
        <f t="shared" si="271"/>
        <v>0</v>
      </c>
      <c r="DB333" s="2" t="s">
        <v>85</v>
      </c>
      <c r="DC333" s="2" t="s">
        <v>289</v>
      </c>
      <c r="DD333" s="2" t="s">
        <v>142</v>
      </c>
      <c r="DE333" s="2" t="s">
        <v>181</v>
      </c>
      <c r="DG333" s="62"/>
      <c r="DZ333" s="3" t="e">
        <v>#N/A</v>
      </c>
      <c r="EC333" s="60"/>
      <c r="ED333" s="60"/>
      <c r="EE333" s="60"/>
      <c r="EF333" s="60"/>
    </row>
    <row r="334" spans="2:136" ht="12.75" hidden="1" customHeight="1">
      <c r="B334" s="99" t="s">
        <v>738</v>
      </c>
      <c r="C334" s="22" t="s">
        <v>726</v>
      </c>
      <c r="D334" s="22" t="s">
        <v>727</v>
      </c>
      <c r="E334" s="2" t="str">
        <f>VLOOKUP($C334,[1]Detail!$C:$AK,6,0)</f>
        <v>PMT2</v>
      </c>
      <c r="F334" s="2" t="str">
        <f>VLOOKUP($C334,[1]Detail!$C:$AK,7,0)</f>
        <v>TH</v>
      </c>
      <c r="G334" s="2" t="str">
        <f>VLOOKUP($C334,[1]Detail!$C:$AK,5,0)</f>
        <v>B</v>
      </c>
      <c r="J334" s="22" t="s">
        <v>728</v>
      </c>
      <c r="K334" s="23" t="s">
        <v>729</v>
      </c>
      <c r="L334" s="22" t="s">
        <v>734</v>
      </c>
      <c r="M334" s="51" t="str">
        <f t="shared" si="253"/>
        <v>MJD8B -LBBA-JAW</v>
      </c>
      <c r="O334" s="22">
        <v>0</v>
      </c>
      <c r="P334" s="22">
        <v>0</v>
      </c>
      <c r="Q334" s="22">
        <v>0</v>
      </c>
      <c r="R334" s="22">
        <v>0</v>
      </c>
      <c r="S334" s="22">
        <v>1</v>
      </c>
      <c r="T334" s="22">
        <v>0</v>
      </c>
      <c r="U334" s="22">
        <v>0</v>
      </c>
      <c r="V334" s="22">
        <v>0</v>
      </c>
      <c r="W334" s="64">
        <f t="shared" si="254"/>
        <v>0.09</v>
      </c>
      <c r="Y334" s="8">
        <v>-1022.3</v>
      </c>
      <c r="Z334" s="8">
        <v>0</v>
      </c>
      <c r="AA334" s="8">
        <v>-8.4600000000000009</v>
      </c>
      <c r="AB334" s="8">
        <v>-2.12</v>
      </c>
      <c r="AC334" s="8">
        <v>0</v>
      </c>
      <c r="AD334" s="8">
        <f t="shared" si="270"/>
        <v>-1032.8799999999999</v>
      </c>
      <c r="AE334" s="2" t="s">
        <v>91</v>
      </c>
      <c r="AG334" s="8">
        <v>0</v>
      </c>
      <c r="AH334" s="8">
        <v>0</v>
      </c>
      <c r="AJ334" s="70">
        <v>0</v>
      </c>
      <c r="AK334" s="70">
        <v>0</v>
      </c>
      <c r="AL334" s="72">
        <v>0</v>
      </c>
      <c r="AM334" s="22"/>
      <c r="AO334" s="22" t="s">
        <v>728</v>
      </c>
      <c r="AP334" s="23" t="s">
        <v>729</v>
      </c>
      <c r="AQ334" s="22" t="s">
        <v>734</v>
      </c>
      <c r="AR334" s="51" t="str">
        <f t="shared" si="250"/>
        <v>MJD8B -LBBA-JAW</v>
      </c>
      <c r="AS334" s="3"/>
      <c r="AT334" s="22">
        <v>0</v>
      </c>
      <c r="AU334" s="22">
        <v>0</v>
      </c>
      <c r="AV334" s="22">
        <v>0</v>
      </c>
      <c r="AW334" s="22">
        <v>0</v>
      </c>
      <c r="AX334" s="22">
        <v>1</v>
      </c>
      <c r="AY334" s="22">
        <v>0</v>
      </c>
      <c r="AZ334" s="22">
        <v>0</v>
      </c>
      <c r="BA334" s="22">
        <v>0</v>
      </c>
      <c r="BB334" s="64">
        <f t="shared" si="251"/>
        <v>0.09</v>
      </c>
      <c r="BD334" s="60">
        <v>-1022.3</v>
      </c>
      <c r="BE334" s="60">
        <v>0</v>
      </c>
      <c r="BF334" s="60">
        <v>-8.4600000000000009</v>
      </c>
      <c r="BG334" s="95">
        <v>-2.12</v>
      </c>
      <c r="BH334" s="95">
        <v>0</v>
      </c>
      <c r="BI334" s="8">
        <f t="shared" si="263"/>
        <v>-1032.8799999999999</v>
      </c>
      <c r="BJ334" s="2" t="s">
        <v>91</v>
      </c>
      <c r="BL334" s="70">
        <v>0</v>
      </c>
      <c r="BM334" s="70">
        <v>0</v>
      </c>
      <c r="BO334" s="70">
        <v>0</v>
      </c>
      <c r="BP334" s="70">
        <v>0</v>
      </c>
      <c r="BQ334" s="72">
        <v>0</v>
      </c>
      <c r="BS334" s="61">
        <f t="shared" si="258"/>
        <v>0</v>
      </c>
      <c r="BT334" s="61">
        <f t="shared" si="259"/>
        <v>0</v>
      </c>
      <c r="BU334" s="61">
        <f t="shared" si="260"/>
        <v>0</v>
      </c>
      <c r="BV334" s="61">
        <f t="shared" si="260"/>
        <v>0</v>
      </c>
      <c r="BW334" s="61">
        <f t="shared" si="260"/>
        <v>0</v>
      </c>
      <c r="BX334" s="61">
        <f t="shared" si="257"/>
        <v>0</v>
      </c>
      <c r="BY334" s="61" t="s">
        <v>91</v>
      </c>
      <c r="CA334" s="61">
        <f t="shared" si="243"/>
        <v>0</v>
      </c>
      <c r="CB334" s="61">
        <f t="shared" si="243"/>
        <v>0</v>
      </c>
      <c r="CC334" s="61">
        <f t="shared" si="243"/>
        <v>0</v>
      </c>
      <c r="CD334" s="61">
        <f t="shared" si="243"/>
        <v>0</v>
      </c>
      <c r="CE334" s="61">
        <f t="shared" si="264"/>
        <v>0</v>
      </c>
      <c r="CF334" s="61">
        <f t="shared" si="264"/>
        <v>0</v>
      </c>
      <c r="CG334" s="61">
        <f t="shared" si="264"/>
        <v>0</v>
      </c>
      <c r="CH334" s="61">
        <f t="shared" si="264"/>
        <v>0</v>
      </c>
      <c r="CI334" s="61">
        <f t="shared" si="266"/>
        <v>0</v>
      </c>
      <c r="CJ334" s="61"/>
      <c r="CK334" s="61">
        <f t="shared" si="244"/>
        <v>0</v>
      </c>
      <c r="CL334" s="61">
        <f t="shared" si="244"/>
        <v>0</v>
      </c>
      <c r="CM334" s="61">
        <f t="shared" si="244"/>
        <v>0</v>
      </c>
      <c r="CN334" s="61">
        <f t="shared" si="244"/>
        <v>0</v>
      </c>
      <c r="CO334" s="61">
        <f t="shared" si="265"/>
        <v>0</v>
      </c>
      <c r="CP334" s="61">
        <f t="shared" si="265"/>
        <v>0</v>
      </c>
      <c r="CQ334" s="61">
        <f t="shared" si="265"/>
        <v>0</v>
      </c>
      <c r="CR334" s="61">
        <f t="shared" si="265"/>
        <v>0</v>
      </c>
      <c r="CS334" s="61">
        <f t="shared" si="267"/>
        <v>0</v>
      </c>
      <c r="CT334" s="61">
        <f t="shared" si="268"/>
        <v>0</v>
      </c>
      <c r="CV334" s="61">
        <f t="shared" si="269"/>
        <v>0</v>
      </c>
      <c r="CW334" s="61">
        <f t="shared" si="261"/>
        <v>0</v>
      </c>
      <c r="CX334" s="61"/>
      <c r="CY334" s="61">
        <f t="shared" si="262"/>
        <v>0</v>
      </c>
      <c r="CZ334" s="61">
        <f t="shared" si="271"/>
        <v>0</v>
      </c>
      <c r="DA334" s="61">
        <f t="shared" si="271"/>
        <v>0</v>
      </c>
      <c r="DB334" s="2" t="s">
        <v>85</v>
      </c>
      <c r="DC334" s="2" t="s">
        <v>289</v>
      </c>
      <c r="DD334" s="2" t="s">
        <v>142</v>
      </c>
      <c r="DE334" s="2" t="s">
        <v>181</v>
      </c>
      <c r="DG334" s="62"/>
      <c r="DZ334" s="3" t="e">
        <v>#N/A</v>
      </c>
      <c r="EC334" s="60"/>
      <c r="ED334" s="60"/>
      <c r="EE334" s="60"/>
      <c r="EF334" s="60"/>
    </row>
    <row r="335" spans="2:136" ht="12.75" hidden="1" customHeight="1">
      <c r="B335" s="99" t="s">
        <v>738</v>
      </c>
      <c r="C335" s="22" t="s">
        <v>726</v>
      </c>
      <c r="D335" s="22" t="s">
        <v>727</v>
      </c>
      <c r="E335" s="2" t="str">
        <f>VLOOKUP($C335,[1]Detail!$C:$AK,6,0)</f>
        <v>PMT2</v>
      </c>
      <c r="F335" s="2" t="str">
        <f>VLOOKUP($C335,[1]Detail!$C:$AK,7,0)</f>
        <v>TH</v>
      </c>
      <c r="G335" s="2" t="str">
        <f>VLOOKUP($C335,[1]Detail!$C:$AK,5,0)</f>
        <v>B</v>
      </c>
      <c r="J335" s="22" t="s">
        <v>728</v>
      </c>
      <c r="K335" s="23" t="s">
        <v>729</v>
      </c>
      <c r="L335" s="22" t="s">
        <v>735</v>
      </c>
      <c r="M335" s="51" t="str">
        <f t="shared" si="253"/>
        <v>MJD8B -LBBA-KAW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1</v>
      </c>
      <c r="U335" s="22">
        <v>0</v>
      </c>
      <c r="V335" s="22">
        <v>0</v>
      </c>
      <c r="W335" s="64">
        <f t="shared" si="254"/>
        <v>0.14000000000000001</v>
      </c>
      <c r="Y335" s="8">
        <v>-1022.3</v>
      </c>
      <c r="Z335" s="8">
        <v>0</v>
      </c>
      <c r="AA335" s="8">
        <v>-8.4600000000000009</v>
      </c>
      <c r="AB335" s="8">
        <v>-2.12</v>
      </c>
      <c r="AC335" s="8">
        <v>0</v>
      </c>
      <c r="AD335" s="8">
        <f t="shared" si="270"/>
        <v>-1032.8799999999999</v>
      </c>
      <c r="AE335" s="2" t="s">
        <v>91</v>
      </c>
      <c r="AG335" s="8">
        <v>0</v>
      </c>
      <c r="AH335" s="8">
        <v>0</v>
      </c>
      <c r="AJ335" s="70">
        <v>0</v>
      </c>
      <c r="AK335" s="70">
        <v>0</v>
      </c>
      <c r="AL335" s="72">
        <v>0</v>
      </c>
      <c r="AM335" s="22"/>
      <c r="AO335" s="22" t="s">
        <v>728</v>
      </c>
      <c r="AP335" s="23" t="s">
        <v>729</v>
      </c>
      <c r="AQ335" s="22" t="s">
        <v>735</v>
      </c>
      <c r="AR335" s="51" t="str">
        <f t="shared" si="250"/>
        <v>MJD8B -LBBA-KAW</v>
      </c>
      <c r="AS335" s="3"/>
      <c r="AT335" s="22">
        <v>0</v>
      </c>
      <c r="AU335" s="22">
        <v>0</v>
      </c>
      <c r="AV335" s="22">
        <v>0</v>
      </c>
      <c r="AW335" s="22">
        <v>0</v>
      </c>
      <c r="AX335" s="22">
        <v>0</v>
      </c>
      <c r="AY335" s="22">
        <v>1</v>
      </c>
      <c r="AZ335" s="22">
        <v>0</v>
      </c>
      <c r="BA335" s="22">
        <v>0</v>
      </c>
      <c r="BB335" s="64">
        <f t="shared" si="251"/>
        <v>0.14000000000000001</v>
      </c>
      <c r="BD335" s="60">
        <v>-1022.3</v>
      </c>
      <c r="BE335" s="60">
        <v>0</v>
      </c>
      <c r="BF335" s="60">
        <v>-8.4600000000000009</v>
      </c>
      <c r="BG335" s="95">
        <v>-2.12</v>
      </c>
      <c r="BH335" s="95">
        <v>0</v>
      </c>
      <c r="BI335" s="8">
        <f t="shared" si="263"/>
        <v>-1032.8799999999999</v>
      </c>
      <c r="BJ335" s="2" t="s">
        <v>91</v>
      </c>
      <c r="BL335" s="70">
        <v>0</v>
      </c>
      <c r="BM335" s="70">
        <v>0</v>
      </c>
      <c r="BO335" s="70">
        <v>0</v>
      </c>
      <c r="BP335" s="70">
        <v>0</v>
      </c>
      <c r="BQ335" s="72">
        <v>0</v>
      </c>
      <c r="BS335" s="61">
        <f t="shared" si="258"/>
        <v>0</v>
      </c>
      <c r="BT335" s="61">
        <f t="shared" si="259"/>
        <v>0</v>
      </c>
      <c r="BU335" s="61">
        <f t="shared" si="260"/>
        <v>0</v>
      </c>
      <c r="BV335" s="61">
        <f t="shared" si="260"/>
        <v>0</v>
      </c>
      <c r="BW335" s="61">
        <f t="shared" si="260"/>
        <v>0</v>
      </c>
      <c r="BX335" s="61">
        <f t="shared" si="257"/>
        <v>0</v>
      </c>
      <c r="BY335" s="61" t="s">
        <v>91</v>
      </c>
      <c r="CA335" s="61">
        <f t="shared" si="243"/>
        <v>0</v>
      </c>
      <c r="CB335" s="61">
        <f t="shared" si="243"/>
        <v>0</v>
      </c>
      <c r="CC335" s="61">
        <f t="shared" si="243"/>
        <v>0</v>
      </c>
      <c r="CD335" s="61">
        <f t="shared" si="243"/>
        <v>0</v>
      </c>
      <c r="CE335" s="61">
        <f t="shared" si="264"/>
        <v>0</v>
      </c>
      <c r="CF335" s="61">
        <f t="shared" si="264"/>
        <v>0</v>
      </c>
      <c r="CG335" s="61">
        <f t="shared" si="264"/>
        <v>0</v>
      </c>
      <c r="CH335" s="61">
        <f t="shared" si="264"/>
        <v>0</v>
      </c>
      <c r="CI335" s="61">
        <f t="shared" si="266"/>
        <v>0</v>
      </c>
      <c r="CJ335" s="61"/>
      <c r="CK335" s="61">
        <f t="shared" si="244"/>
        <v>0</v>
      </c>
      <c r="CL335" s="61">
        <f t="shared" si="244"/>
        <v>0</v>
      </c>
      <c r="CM335" s="61">
        <f t="shared" si="244"/>
        <v>0</v>
      </c>
      <c r="CN335" s="61">
        <f t="shared" si="244"/>
        <v>0</v>
      </c>
      <c r="CO335" s="61">
        <f t="shared" si="265"/>
        <v>0</v>
      </c>
      <c r="CP335" s="61">
        <f t="shared" si="265"/>
        <v>0</v>
      </c>
      <c r="CQ335" s="61">
        <f t="shared" si="265"/>
        <v>0</v>
      </c>
      <c r="CR335" s="61">
        <f t="shared" si="265"/>
        <v>0</v>
      </c>
      <c r="CS335" s="61">
        <f t="shared" si="267"/>
        <v>0</v>
      </c>
      <c r="CT335" s="61">
        <f t="shared" si="268"/>
        <v>0</v>
      </c>
      <c r="CV335" s="61">
        <f t="shared" si="269"/>
        <v>0</v>
      </c>
      <c r="CW335" s="61">
        <f t="shared" si="261"/>
        <v>0</v>
      </c>
      <c r="CX335" s="61"/>
      <c r="CY335" s="61">
        <f t="shared" si="262"/>
        <v>0</v>
      </c>
      <c r="CZ335" s="61">
        <f t="shared" si="271"/>
        <v>0</v>
      </c>
      <c r="DA335" s="61">
        <f t="shared" si="271"/>
        <v>0</v>
      </c>
      <c r="DB335" s="2" t="s">
        <v>85</v>
      </c>
      <c r="DC335" s="2" t="s">
        <v>289</v>
      </c>
      <c r="DD335" s="2" t="s">
        <v>142</v>
      </c>
      <c r="DE335" s="2" t="s">
        <v>181</v>
      </c>
      <c r="DG335" s="62"/>
      <c r="DZ335" s="3" t="e">
        <v>#N/A</v>
      </c>
      <c r="EC335" s="60"/>
      <c r="ED335" s="60"/>
      <c r="EE335" s="60"/>
      <c r="EF335" s="60"/>
    </row>
    <row r="336" spans="2:136" ht="12.75" hidden="1" customHeight="1">
      <c r="B336" s="99" t="s">
        <v>738</v>
      </c>
      <c r="C336" s="22" t="s">
        <v>726</v>
      </c>
      <c r="D336" s="22" t="s">
        <v>727</v>
      </c>
      <c r="E336" s="2" t="str">
        <f>VLOOKUP($C336,[1]Detail!$C:$AK,6,0)</f>
        <v>PMT2</v>
      </c>
      <c r="F336" s="2" t="str">
        <f>VLOOKUP($C336,[1]Detail!$C:$AK,7,0)</f>
        <v>TH</v>
      </c>
      <c r="G336" s="2" t="str">
        <f>VLOOKUP($C336,[1]Detail!$C:$AK,5,0)</f>
        <v>B</v>
      </c>
      <c r="J336" s="22" t="s">
        <v>728</v>
      </c>
      <c r="K336" s="23" t="s">
        <v>729</v>
      </c>
      <c r="L336" s="22" t="s">
        <v>736</v>
      </c>
      <c r="M336" s="51" t="str">
        <f t="shared" si="253"/>
        <v>MJD8B -LBBA-LAW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1</v>
      </c>
      <c r="V336" s="22">
        <v>0</v>
      </c>
      <c r="W336" s="64">
        <f t="shared" si="254"/>
        <v>0.05</v>
      </c>
      <c r="Y336" s="8">
        <v>-1048.6400000000001</v>
      </c>
      <c r="Z336" s="8">
        <v>0</v>
      </c>
      <c r="AA336" s="8">
        <v>-8.4600000000000009</v>
      </c>
      <c r="AB336" s="8">
        <v>-2.12</v>
      </c>
      <c r="AC336" s="8">
        <v>0</v>
      </c>
      <c r="AD336" s="8">
        <f t="shared" si="270"/>
        <v>-1059.22</v>
      </c>
      <c r="AE336" s="2" t="s">
        <v>91</v>
      </c>
      <c r="AG336" s="8">
        <v>0</v>
      </c>
      <c r="AH336" s="8">
        <v>0</v>
      </c>
      <c r="AJ336" s="70">
        <v>0</v>
      </c>
      <c r="AK336" s="70">
        <v>0</v>
      </c>
      <c r="AL336" s="72">
        <v>0</v>
      </c>
      <c r="AM336" s="22"/>
      <c r="AO336" s="22" t="s">
        <v>728</v>
      </c>
      <c r="AP336" s="23" t="s">
        <v>729</v>
      </c>
      <c r="AQ336" s="22" t="s">
        <v>736</v>
      </c>
      <c r="AR336" s="51" t="str">
        <f t="shared" si="250"/>
        <v>MJD8B -LBBA-LAW</v>
      </c>
      <c r="AS336" s="3"/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1</v>
      </c>
      <c r="BA336" s="22">
        <v>0</v>
      </c>
      <c r="BB336" s="64">
        <f t="shared" si="251"/>
        <v>0.05</v>
      </c>
      <c r="BD336" s="60">
        <v>-1048.6400000000001</v>
      </c>
      <c r="BE336" s="60">
        <v>0</v>
      </c>
      <c r="BF336" s="60">
        <v>-8.4600000000000009</v>
      </c>
      <c r="BG336" s="95">
        <v>-2.12</v>
      </c>
      <c r="BH336" s="95">
        <v>0</v>
      </c>
      <c r="BI336" s="8">
        <f t="shared" si="263"/>
        <v>-1059.22</v>
      </c>
      <c r="BJ336" s="2" t="s">
        <v>91</v>
      </c>
      <c r="BL336" s="70">
        <v>0</v>
      </c>
      <c r="BM336" s="70">
        <v>0</v>
      </c>
      <c r="BO336" s="70">
        <v>0</v>
      </c>
      <c r="BP336" s="70">
        <v>0</v>
      </c>
      <c r="BQ336" s="72">
        <v>0</v>
      </c>
      <c r="BS336" s="61">
        <f t="shared" si="258"/>
        <v>0</v>
      </c>
      <c r="BT336" s="61">
        <f t="shared" si="259"/>
        <v>0</v>
      </c>
      <c r="BU336" s="61">
        <f t="shared" si="260"/>
        <v>0</v>
      </c>
      <c r="BV336" s="61">
        <f t="shared" si="260"/>
        <v>0</v>
      </c>
      <c r="BW336" s="61">
        <f t="shared" si="260"/>
        <v>0</v>
      </c>
      <c r="BX336" s="61">
        <f t="shared" si="257"/>
        <v>0</v>
      </c>
      <c r="BY336" s="61" t="s">
        <v>91</v>
      </c>
      <c r="CA336" s="61">
        <f t="shared" si="243"/>
        <v>0</v>
      </c>
      <c r="CB336" s="61">
        <f t="shared" si="243"/>
        <v>0</v>
      </c>
      <c r="CC336" s="61">
        <f t="shared" si="243"/>
        <v>0</v>
      </c>
      <c r="CD336" s="61">
        <f t="shared" si="243"/>
        <v>0</v>
      </c>
      <c r="CE336" s="61">
        <f t="shared" si="264"/>
        <v>0</v>
      </c>
      <c r="CF336" s="61">
        <f t="shared" si="264"/>
        <v>0</v>
      </c>
      <c r="CG336" s="61">
        <f t="shared" si="264"/>
        <v>0</v>
      </c>
      <c r="CH336" s="61">
        <f t="shared" si="264"/>
        <v>0</v>
      </c>
      <c r="CI336" s="61">
        <f t="shared" si="266"/>
        <v>0</v>
      </c>
      <c r="CJ336" s="61"/>
      <c r="CK336" s="61">
        <f t="shared" si="244"/>
        <v>0</v>
      </c>
      <c r="CL336" s="61">
        <f t="shared" si="244"/>
        <v>0</v>
      </c>
      <c r="CM336" s="61">
        <f t="shared" si="244"/>
        <v>0</v>
      </c>
      <c r="CN336" s="61">
        <f t="shared" si="244"/>
        <v>0</v>
      </c>
      <c r="CO336" s="61">
        <f t="shared" si="265"/>
        <v>0</v>
      </c>
      <c r="CP336" s="61">
        <f t="shared" si="265"/>
        <v>0</v>
      </c>
      <c r="CQ336" s="61">
        <f t="shared" si="265"/>
        <v>0</v>
      </c>
      <c r="CR336" s="61">
        <f t="shared" si="265"/>
        <v>0</v>
      </c>
      <c r="CS336" s="61">
        <f t="shared" si="267"/>
        <v>0</v>
      </c>
      <c r="CT336" s="61">
        <f t="shared" si="268"/>
        <v>0</v>
      </c>
      <c r="CV336" s="61">
        <f t="shared" si="269"/>
        <v>0</v>
      </c>
      <c r="CW336" s="61">
        <f t="shared" si="261"/>
        <v>0</v>
      </c>
      <c r="CX336" s="61"/>
      <c r="CY336" s="61">
        <f t="shared" si="262"/>
        <v>0</v>
      </c>
      <c r="CZ336" s="61">
        <f t="shared" si="271"/>
        <v>0</v>
      </c>
      <c r="DA336" s="61">
        <f t="shared" si="271"/>
        <v>0</v>
      </c>
      <c r="DB336" s="2" t="s">
        <v>85</v>
      </c>
      <c r="DC336" s="2" t="s">
        <v>289</v>
      </c>
      <c r="DD336" s="2" t="s">
        <v>142</v>
      </c>
      <c r="DE336" s="2" t="s">
        <v>181</v>
      </c>
      <c r="DG336" s="62"/>
      <c r="DZ336" s="3" t="e">
        <v>#N/A</v>
      </c>
      <c r="EC336" s="60"/>
      <c r="ED336" s="60"/>
      <c r="EE336" s="60"/>
      <c r="EF336" s="60"/>
    </row>
    <row r="337" spans="2:140" ht="12.75" hidden="1" customHeight="1">
      <c r="B337" s="99" t="s">
        <v>738</v>
      </c>
      <c r="C337" s="22" t="s">
        <v>726</v>
      </c>
      <c r="D337" s="22" t="s">
        <v>727</v>
      </c>
      <c r="E337" s="2" t="str">
        <f>VLOOKUP($C337,[1]Detail!$C:$AK,6,0)</f>
        <v>PMT2</v>
      </c>
      <c r="F337" s="2" t="str">
        <f>VLOOKUP($C337,[1]Detail!$C:$AK,7,0)</f>
        <v>TH</v>
      </c>
      <c r="G337" s="2" t="str">
        <f>VLOOKUP($C337,[1]Detail!$C:$AK,5,0)</f>
        <v>B</v>
      </c>
      <c r="J337" s="22" t="s">
        <v>728</v>
      </c>
      <c r="K337" s="23" t="s">
        <v>729</v>
      </c>
      <c r="L337" s="22" t="s">
        <v>737</v>
      </c>
      <c r="M337" s="51" t="str">
        <f t="shared" si="253"/>
        <v>MJD8B -LBBA-MAW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1</v>
      </c>
      <c r="W337" s="64">
        <f t="shared" si="254"/>
        <v>0.05</v>
      </c>
      <c r="Y337" s="8">
        <v>-1049.0999999999999</v>
      </c>
      <c r="Z337" s="8">
        <v>0</v>
      </c>
      <c r="AA337" s="8">
        <v>-8.4600000000000009</v>
      </c>
      <c r="AB337" s="8">
        <v>-2.12</v>
      </c>
      <c r="AC337" s="8">
        <v>0</v>
      </c>
      <c r="AD337" s="8">
        <f t="shared" si="270"/>
        <v>-1059.6799999999998</v>
      </c>
      <c r="AE337" s="2" t="s">
        <v>91</v>
      </c>
      <c r="AG337" s="8">
        <v>0</v>
      </c>
      <c r="AH337" s="8">
        <v>0</v>
      </c>
      <c r="AJ337" s="70">
        <v>0</v>
      </c>
      <c r="AK337" s="70">
        <v>0</v>
      </c>
      <c r="AL337" s="72">
        <v>0</v>
      </c>
      <c r="AM337" s="22"/>
      <c r="AO337" s="22" t="s">
        <v>728</v>
      </c>
      <c r="AP337" s="23" t="s">
        <v>729</v>
      </c>
      <c r="AQ337" s="22" t="s">
        <v>737</v>
      </c>
      <c r="AR337" s="51" t="str">
        <f t="shared" si="250"/>
        <v>MJD8B -LBBA-MAW</v>
      </c>
      <c r="AS337" s="3"/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1</v>
      </c>
      <c r="BB337" s="64">
        <f t="shared" si="251"/>
        <v>0.05</v>
      </c>
      <c r="BD337" s="60">
        <v>-1049.0999999999999</v>
      </c>
      <c r="BE337" s="60">
        <v>0</v>
      </c>
      <c r="BF337" s="60">
        <v>-8.4600000000000009</v>
      </c>
      <c r="BG337" s="95">
        <v>-2.12</v>
      </c>
      <c r="BH337" s="95">
        <v>0</v>
      </c>
      <c r="BI337" s="8">
        <f t="shared" si="263"/>
        <v>-1059.6799999999998</v>
      </c>
      <c r="BJ337" s="2" t="s">
        <v>91</v>
      </c>
      <c r="BL337" s="70">
        <v>0</v>
      </c>
      <c r="BM337" s="70">
        <v>0</v>
      </c>
      <c r="BO337" s="70">
        <v>0</v>
      </c>
      <c r="BP337" s="70">
        <v>0</v>
      </c>
      <c r="BQ337" s="72">
        <v>0</v>
      </c>
      <c r="BS337" s="61">
        <f t="shared" si="258"/>
        <v>0</v>
      </c>
      <c r="BT337" s="61">
        <f t="shared" si="259"/>
        <v>0</v>
      </c>
      <c r="BU337" s="61">
        <f t="shared" si="260"/>
        <v>0</v>
      </c>
      <c r="BV337" s="61">
        <f t="shared" si="260"/>
        <v>0</v>
      </c>
      <c r="BW337" s="61">
        <f t="shared" si="260"/>
        <v>0</v>
      </c>
      <c r="BX337" s="61">
        <f t="shared" si="257"/>
        <v>0</v>
      </c>
      <c r="BY337" s="61" t="s">
        <v>91</v>
      </c>
      <c r="CA337" s="61">
        <f t="shared" si="243"/>
        <v>0</v>
      </c>
      <c r="CB337" s="61">
        <f t="shared" si="243"/>
        <v>0</v>
      </c>
      <c r="CC337" s="61">
        <f t="shared" si="243"/>
        <v>0</v>
      </c>
      <c r="CD337" s="61">
        <f t="shared" si="243"/>
        <v>0</v>
      </c>
      <c r="CE337" s="61">
        <f t="shared" si="264"/>
        <v>0</v>
      </c>
      <c r="CF337" s="61">
        <f t="shared" si="264"/>
        <v>0</v>
      </c>
      <c r="CG337" s="61">
        <f t="shared" si="264"/>
        <v>0</v>
      </c>
      <c r="CH337" s="61">
        <f t="shared" si="264"/>
        <v>0</v>
      </c>
      <c r="CI337" s="61">
        <f t="shared" si="266"/>
        <v>0</v>
      </c>
      <c r="CJ337" s="61"/>
      <c r="CK337" s="61">
        <f t="shared" si="244"/>
        <v>0</v>
      </c>
      <c r="CL337" s="61">
        <f t="shared" si="244"/>
        <v>0</v>
      </c>
      <c r="CM337" s="61">
        <f t="shared" si="244"/>
        <v>0</v>
      </c>
      <c r="CN337" s="61">
        <f t="shared" si="244"/>
        <v>0</v>
      </c>
      <c r="CO337" s="61">
        <f t="shared" si="265"/>
        <v>0</v>
      </c>
      <c r="CP337" s="61">
        <f t="shared" si="265"/>
        <v>0</v>
      </c>
      <c r="CQ337" s="61">
        <f t="shared" si="265"/>
        <v>0</v>
      </c>
      <c r="CR337" s="61">
        <f t="shared" si="265"/>
        <v>0</v>
      </c>
      <c r="CS337" s="61">
        <f t="shared" si="267"/>
        <v>0</v>
      </c>
      <c r="CT337" s="61">
        <f t="shared" si="268"/>
        <v>0</v>
      </c>
      <c r="CV337" s="61">
        <f t="shared" si="269"/>
        <v>0</v>
      </c>
      <c r="CW337" s="61">
        <f t="shared" si="261"/>
        <v>0</v>
      </c>
      <c r="CX337" s="61"/>
      <c r="CY337" s="61">
        <f t="shared" si="262"/>
        <v>0</v>
      </c>
      <c r="CZ337" s="61">
        <f t="shared" si="271"/>
        <v>0</v>
      </c>
      <c r="DA337" s="61">
        <f t="shared" si="271"/>
        <v>0</v>
      </c>
      <c r="DB337" s="2" t="s">
        <v>85</v>
      </c>
      <c r="DC337" s="2" t="s">
        <v>289</v>
      </c>
      <c r="DD337" s="2" t="s">
        <v>142</v>
      </c>
      <c r="DE337" s="2" t="s">
        <v>181</v>
      </c>
      <c r="DG337" s="62"/>
      <c r="DZ337" s="3" t="e">
        <v>#N/A</v>
      </c>
      <c r="EC337" s="60"/>
      <c r="ED337" s="60"/>
      <c r="EE337" s="60"/>
      <c r="EF337" s="60"/>
    </row>
    <row r="338" spans="2:140" ht="12.75" hidden="1" customHeight="1">
      <c r="B338" s="99" t="s">
        <v>739</v>
      </c>
      <c r="C338" s="22" t="s">
        <v>726</v>
      </c>
      <c r="D338" s="22" t="s">
        <v>727</v>
      </c>
      <c r="E338" s="2" t="str">
        <f>VLOOKUP($C338,[1]Detail!$C:$AK,6,0)</f>
        <v>PMT2</v>
      </c>
      <c r="F338" s="2" t="str">
        <f>VLOOKUP($C338,[1]Detail!$C:$AK,7,0)</f>
        <v>TH</v>
      </c>
      <c r="G338" s="2" t="str">
        <f>VLOOKUP($C338,[1]Detail!$C:$AK,5,0)</f>
        <v>B</v>
      </c>
      <c r="J338" s="22" t="s">
        <v>728</v>
      </c>
      <c r="K338" s="23" t="s">
        <v>729</v>
      </c>
      <c r="L338" s="22" t="s">
        <v>93</v>
      </c>
      <c r="M338" s="51" t="str">
        <f t="shared" si="253"/>
        <v>MJD8B -LBBA-ABW</v>
      </c>
      <c r="O338" s="22">
        <v>1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0</v>
      </c>
      <c r="W338" s="64">
        <f t="shared" si="254"/>
        <v>0.14000000000000001</v>
      </c>
      <c r="Y338" s="8">
        <f>-746.42*0-748.68</f>
        <v>-748.68</v>
      </c>
      <c r="Z338" s="8">
        <v>0</v>
      </c>
      <c r="AA338" s="8">
        <v>-8.44</v>
      </c>
      <c r="AB338" s="8">
        <v>-2.12</v>
      </c>
      <c r="AC338" s="8">
        <v>0</v>
      </c>
      <c r="AD338" s="8">
        <f t="shared" si="270"/>
        <v>-759.24</v>
      </c>
      <c r="AE338" s="2" t="s">
        <v>91</v>
      </c>
      <c r="AG338" s="8">
        <f>-6643600*0-6669600*0-7009600</f>
        <v>-7009600</v>
      </c>
      <c r="AH338" s="8">
        <f>-6643600*0-6669600*0-7009600</f>
        <v>-7009600</v>
      </c>
      <c r="AI338" s="6"/>
      <c r="AJ338" s="70">
        <v>0</v>
      </c>
      <c r="AK338" s="70">
        <v>0</v>
      </c>
      <c r="AL338" s="72">
        <v>0</v>
      </c>
      <c r="AM338" s="22"/>
      <c r="AO338" s="22" t="s">
        <v>728</v>
      </c>
      <c r="AP338" s="23" t="s">
        <v>729</v>
      </c>
      <c r="AQ338" s="22" t="s">
        <v>196</v>
      </c>
      <c r="AR338" s="51" t="str">
        <f t="shared" si="250"/>
        <v>MJD8B -LBBA-AAW</v>
      </c>
      <c r="AS338" s="3"/>
      <c r="AT338" s="22">
        <v>1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0</v>
      </c>
      <c r="BB338" s="64">
        <f t="shared" si="251"/>
        <v>0.14000000000000001</v>
      </c>
      <c r="BD338" s="60">
        <v>-746.42</v>
      </c>
      <c r="BE338" s="60">
        <v>0</v>
      </c>
      <c r="BF338" s="60">
        <v>-8.44</v>
      </c>
      <c r="BG338" s="95">
        <v>-2.12</v>
      </c>
      <c r="BH338" s="95">
        <v>0</v>
      </c>
      <c r="BI338" s="8">
        <f t="shared" ref="BI338:BI401" si="272">SUM(BD338:BH338)</f>
        <v>-756.98</v>
      </c>
      <c r="BJ338" s="2" t="s">
        <v>91</v>
      </c>
      <c r="BL338" s="70">
        <f>-6643600*0-6669600</f>
        <v>-6669600</v>
      </c>
      <c r="BM338" s="70">
        <f>-6643600*0-6669600</f>
        <v>-6669600</v>
      </c>
      <c r="BO338" s="70">
        <v>0</v>
      </c>
      <c r="BP338" s="70">
        <v>0</v>
      </c>
      <c r="BQ338" s="72">
        <v>0</v>
      </c>
      <c r="BS338" s="61">
        <f t="shared" si="258"/>
        <v>-2.2599999999999909</v>
      </c>
      <c r="BT338" s="61">
        <f t="shared" si="259"/>
        <v>0</v>
      </c>
      <c r="BU338" s="61">
        <f t="shared" si="260"/>
        <v>0</v>
      </c>
      <c r="BV338" s="61">
        <f t="shared" si="260"/>
        <v>0</v>
      </c>
      <c r="BW338" s="61">
        <f t="shared" si="260"/>
        <v>0</v>
      </c>
      <c r="BX338" s="61">
        <f t="shared" si="257"/>
        <v>-2.2599999999999909</v>
      </c>
      <c r="BY338" s="61" t="s">
        <v>91</v>
      </c>
      <c r="CA338" s="61">
        <f t="shared" si="243"/>
        <v>-0.34000300887618334</v>
      </c>
      <c r="CB338" s="61">
        <f t="shared" si="243"/>
        <v>0</v>
      </c>
      <c r="CC338" s="61">
        <f t="shared" si="243"/>
        <v>0</v>
      </c>
      <c r="CD338" s="61">
        <f t="shared" si="243"/>
        <v>0</v>
      </c>
      <c r="CE338" s="61">
        <f t="shared" si="264"/>
        <v>0</v>
      </c>
      <c r="CF338" s="61">
        <f t="shared" si="264"/>
        <v>0</v>
      </c>
      <c r="CG338" s="61">
        <f t="shared" si="264"/>
        <v>0</v>
      </c>
      <c r="CH338" s="61">
        <f t="shared" si="264"/>
        <v>0</v>
      </c>
      <c r="CI338" s="61">
        <f t="shared" si="266"/>
        <v>-4.7600421242665669E-2</v>
      </c>
      <c r="CJ338" s="61"/>
      <c r="CK338" s="61">
        <f t="shared" si="244"/>
        <v>-0.34000300887618334</v>
      </c>
      <c r="CL338" s="61">
        <f t="shared" si="244"/>
        <v>0</v>
      </c>
      <c r="CM338" s="61">
        <f t="shared" si="244"/>
        <v>0</v>
      </c>
      <c r="CN338" s="61">
        <f t="shared" si="244"/>
        <v>0</v>
      </c>
      <c r="CO338" s="61">
        <f t="shared" si="265"/>
        <v>0</v>
      </c>
      <c r="CP338" s="61">
        <f t="shared" si="265"/>
        <v>0</v>
      </c>
      <c r="CQ338" s="61">
        <f t="shared" si="265"/>
        <v>0</v>
      </c>
      <c r="CR338" s="61">
        <f t="shared" si="265"/>
        <v>0</v>
      </c>
      <c r="CS338" s="61">
        <f t="shared" si="267"/>
        <v>-4.7600421242665669E-2</v>
      </c>
      <c r="CT338" s="61">
        <f t="shared" si="268"/>
        <v>-0.31639999999999874</v>
      </c>
      <c r="CV338" s="61">
        <f t="shared" si="269"/>
        <v>-340000</v>
      </c>
      <c r="CW338" s="61">
        <f t="shared" si="261"/>
        <v>-340000</v>
      </c>
      <c r="CX338" s="61"/>
      <c r="CY338" s="61">
        <f t="shared" si="262"/>
        <v>0</v>
      </c>
      <c r="CZ338" s="61">
        <f t="shared" si="271"/>
        <v>0</v>
      </c>
      <c r="DA338" s="61">
        <f t="shared" si="271"/>
        <v>0</v>
      </c>
      <c r="DB338" s="2" t="s">
        <v>85</v>
      </c>
      <c r="DC338" s="2" t="s">
        <v>289</v>
      </c>
      <c r="DD338" s="2" t="s">
        <v>142</v>
      </c>
      <c r="DE338" s="2" t="s">
        <v>181</v>
      </c>
      <c r="DG338" s="62"/>
      <c r="DZ338" s="3" t="e">
        <v>#N/A</v>
      </c>
      <c r="EC338" s="60"/>
      <c r="ED338" s="60"/>
      <c r="EE338" s="60"/>
      <c r="EF338" s="60"/>
    </row>
    <row r="339" spans="2:140" ht="12.75" hidden="1" customHeight="1">
      <c r="B339" s="99" t="s">
        <v>739</v>
      </c>
      <c r="C339" s="22" t="s">
        <v>726</v>
      </c>
      <c r="D339" s="22" t="s">
        <v>727</v>
      </c>
      <c r="E339" s="2" t="str">
        <f>VLOOKUP($C339,[1]Detail!$C:$AK,6,0)</f>
        <v>PMT2</v>
      </c>
      <c r="F339" s="2" t="str">
        <f>VLOOKUP($C339,[1]Detail!$C:$AK,7,0)</f>
        <v>TH</v>
      </c>
      <c r="G339" s="2" t="str">
        <f>VLOOKUP($C339,[1]Detail!$C:$AK,5,0)</f>
        <v>B</v>
      </c>
      <c r="J339" s="22" t="s">
        <v>728</v>
      </c>
      <c r="K339" s="23" t="s">
        <v>729</v>
      </c>
      <c r="L339" s="22" t="s">
        <v>210</v>
      </c>
      <c r="M339" s="51" t="str">
        <f t="shared" si="253"/>
        <v>MJD8B -LBBA-BBW</v>
      </c>
      <c r="O339" s="22">
        <v>0</v>
      </c>
      <c r="P339" s="22">
        <v>1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0</v>
      </c>
      <c r="W339" s="64">
        <f t="shared" si="254"/>
        <v>0.16</v>
      </c>
      <c r="Y339" s="8">
        <f>-746.42*0-748.68</f>
        <v>-748.68</v>
      </c>
      <c r="Z339" s="8">
        <v>0</v>
      </c>
      <c r="AA339" s="8">
        <v>-8.44</v>
      </c>
      <c r="AB339" s="8">
        <v>-2.12</v>
      </c>
      <c r="AC339" s="8">
        <v>0</v>
      </c>
      <c r="AD339" s="8">
        <f t="shared" si="270"/>
        <v>-759.24</v>
      </c>
      <c r="AE339" s="2" t="s">
        <v>91</v>
      </c>
      <c r="AG339" s="8">
        <v>0</v>
      </c>
      <c r="AH339" s="8">
        <v>0</v>
      </c>
      <c r="AJ339" s="70">
        <v>0</v>
      </c>
      <c r="AK339" s="70">
        <v>0</v>
      </c>
      <c r="AL339" s="72">
        <v>0</v>
      </c>
      <c r="AM339" s="22"/>
      <c r="AO339" s="22" t="s">
        <v>728</v>
      </c>
      <c r="AP339" s="23" t="s">
        <v>729</v>
      </c>
      <c r="AQ339" s="22" t="s">
        <v>198</v>
      </c>
      <c r="AR339" s="51" t="str">
        <f t="shared" si="250"/>
        <v>MJD8B -LBBA-BAW</v>
      </c>
      <c r="AS339" s="3"/>
      <c r="AT339" s="22">
        <v>0</v>
      </c>
      <c r="AU339" s="22">
        <v>1</v>
      </c>
      <c r="AV339" s="22">
        <v>0</v>
      </c>
      <c r="AW339" s="22">
        <v>0</v>
      </c>
      <c r="AX339" s="22">
        <v>0</v>
      </c>
      <c r="AY339" s="22">
        <v>0</v>
      </c>
      <c r="AZ339" s="22">
        <v>0</v>
      </c>
      <c r="BA339" s="22">
        <v>0</v>
      </c>
      <c r="BB339" s="64">
        <f t="shared" si="251"/>
        <v>0.16</v>
      </c>
      <c r="BD339" s="60">
        <v>-746.42</v>
      </c>
      <c r="BE339" s="60">
        <v>0</v>
      </c>
      <c r="BF339" s="60">
        <v>-8.44</v>
      </c>
      <c r="BG339" s="95">
        <v>-2.12</v>
      </c>
      <c r="BH339" s="95">
        <v>0</v>
      </c>
      <c r="BI339" s="8">
        <f t="shared" si="272"/>
        <v>-756.98</v>
      </c>
      <c r="BJ339" s="2" t="s">
        <v>91</v>
      </c>
      <c r="BL339" s="70">
        <v>0</v>
      </c>
      <c r="BM339" s="70">
        <v>0</v>
      </c>
      <c r="BO339" s="70">
        <v>0</v>
      </c>
      <c r="BP339" s="70">
        <v>0</v>
      </c>
      <c r="BQ339" s="72">
        <v>0</v>
      </c>
      <c r="BS339" s="61">
        <f t="shared" si="258"/>
        <v>-2.2599999999999909</v>
      </c>
      <c r="BT339" s="61">
        <f t="shared" si="259"/>
        <v>0</v>
      </c>
      <c r="BU339" s="61">
        <f t="shared" si="260"/>
        <v>0</v>
      </c>
      <c r="BV339" s="61">
        <f t="shared" si="260"/>
        <v>0</v>
      </c>
      <c r="BW339" s="61">
        <f t="shared" si="260"/>
        <v>0</v>
      </c>
      <c r="BX339" s="61">
        <f t="shared" si="257"/>
        <v>-2.2599999999999909</v>
      </c>
      <c r="BY339" s="61" t="s">
        <v>91</v>
      </c>
      <c r="CA339" s="61">
        <f t="shared" si="243"/>
        <v>0</v>
      </c>
      <c r="CB339" s="61">
        <f t="shared" si="243"/>
        <v>-0.34000300887618334</v>
      </c>
      <c r="CC339" s="61">
        <f t="shared" si="243"/>
        <v>0</v>
      </c>
      <c r="CD339" s="61">
        <f t="shared" si="243"/>
        <v>0</v>
      </c>
      <c r="CE339" s="61">
        <f t="shared" si="264"/>
        <v>0</v>
      </c>
      <c r="CF339" s="61">
        <f t="shared" si="264"/>
        <v>0</v>
      </c>
      <c r="CG339" s="61">
        <f t="shared" si="264"/>
        <v>0</v>
      </c>
      <c r="CH339" s="61">
        <f t="shared" si="264"/>
        <v>0</v>
      </c>
      <c r="CI339" s="61">
        <f t="shared" si="266"/>
        <v>-5.4400481420189335E-2</v>
      </c>
      <c r="CJ339" s="61"/>
      <c r="CK339" s="61">
        <f t="shared" si="244"/>
        <v>0</v>
      </c>
      <c r="CL339" s="61">
        <f t="shared" si="244"/>
        <v>-0.34000300887618334</v>
      </c>
      <c r="CM339" s="61">
        <f t="shared" si="244"/>
        <v>0</v>
      </c>
      <c r="CN339" s="61">
        <f t="shared" si="244"/>
        <v>0</v>
      </c>
      <c r="CO339" s="61">
        <f t="shared" si="265"/>
        <v>0</v>
      </c>
      <c r="CP339" s="61">
        <f t="shared" si="265"/>
        <v>0</v>
      </c>
      <c r="CQ339" s="61">
        <f t="shared" si="265"/>
        <v>0</v>
      </c>
      <c r="CR339" s="61">
        <f t="shared" si="265"/>
        <v>0</v>
      </c>
      <c r="CS339" s="61">
        <f t="shared" si="267"/>
        <v>-5.4400481420189335E-2</v>
      </c>
      <c r="CT339" s="61">
        <f t="shared" si="268"/>
        <v>-0.36159999999999853</v>
      </c>
      <c r="CV339" s="61">
        <f t="shared" si="269"/>
        <v>0</v>
      </c>
      <c r="CW339" s="61">
        <f t="shared" si="261"/>
        <v>0</v>
      </c>
      <c r="CX339" s="61"/>
      <c r="CY339" s="61">
        <f t="shared" si="262"/>
        <v>0</v>
      </c>
      <c r="CZ339" s="61">
        <f t="shared" si="271"/>
        <v>0</v>
      </c>
      <c r="DA339" s="61">
        <f t="shared" si="271"/>
        <v>0</v>
      </c>
      <c r="DB339" s="2" t="s">
        <v>85</v>
      </c>
      <c r="DC339" s="2" t="s">
        <v>289</v>
      </c>
      <c r="DD339" s="2" t="s">
        <v>142</v>
      </c>
      <c r="DE339" s="2" t="s">
        <v>181</v>
      </c>
      <c r="DG339" s="62"/>
      <c r="DZ339" s="3" t="e">
        <v>#N/A</v>
      </c>
      <c r="EC339" s="60"/>
      <c r="ED339" s="60"/>
      <c r="EE339" s="60"/>
      <c r="EF339" s="60"/>
    </row>
    <row r="340" spans="2:140" ht="12.75" hidden="1" customHeight="1">
      <c r="B340" s="99" t="s">
        <v>739</v>
      </c>
      <c r="C340" s="22" t="s">
        <v>726</v>
      </c>
      <c r="D340" s="22" t="s">
        <v>727</v>
      </c>
      <c r="E340" s="2" t="str">
        <f>VLOOKUP($C340,[1]Detail!$C:$AK,6,0)</f>
        <v>PMT2</v>
      </c>
      <c r="F340" s="2" t="str">
        <f>VLOOKUP($C340,[1]Detail!$C:$AK,7,0)</f>
        <v>TH</v>
      </c>
      <c r="G340" s="2" t="str">
        <f>VLOOKUP($C340,[1]Detail!$C:$AK,5,0)</f>
        <v>B</v>
      </c>
      <c r="J340" s="22" t="s">
        <v>728</v>
      </c>
      <c r="K340" s="23" t="s">
        <v>729</v>
      </c>
      <c r="L340" s="22" t="s">
        <v>211</v>
      </c>
      <c r="M340" s="51" t="str">
        <f t="shared" si="253"/>
        <v>MJD8B -LBBA-CBW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64">
        <f t="shared" si="254"/>
        <v>0</v>
      </c>
      <c r="Y340" s="8">
        <f>-730.88*0-733.14</f>
        <v>-733.14</v>
      </c>
      <c r="Z340" s="8">
        <v>0</v>
      </c>
      <c r="AA340" s="8">
        <v>-8.44</v>
      </c>
      <c r="AB340" s="8">
        <v>-2.12</v>
      </c>
      <c r="AC340" s="8">
        <v>0</v>
      </c>
      <c r="AD340" s="8">
        <f t="shared" si="270"/>
        <v>-743.7</v>
      </c>
      <c r="AE340" s="2" t="s">
        <v>91</v>
      </c>
      <c r="AG340" s="8">
        <v>0</v>
      </c>
      <c r="AH340" s="8">
        <v>0</v>
      </c>
      <c r="AJ340" s="70">
        <v>0</v>
      </c>
      <c r="AK340" s="70">
        <v>0</v>
      </c>
      <c r="AL340" s="72">
        <v>0</v>
      </c>
      <c r="AM340" s="22"/>
      <c r="AO340" s="22" t="s">
        <v>728</v>
      </c>
      <c r="AP340" s="23" t="s">
        <v>729</v>
      </c>
      <c r="AQ340" s="22" t="s">
        <v>269</v>
      </c>
      <c r="AR340" s="51" t="str">
        <f t="shared" si="250"/>
        <v>MJD8B -LBBA-CAW</v>
      </c>
      <c r="AS340" s="3"/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64">
        <f t="shared" si="251"/>
        <v>0</v>
      </c>
      <c r="BD340" s="60">
        <v>-730.88</v>
      </c>
      <c r="BE340" s="60">
        <v>0</v>
      </c>
      <c r="BF340" s="60">
        <v>-8.44</v>
      </c>
      <c r="BG340" s="95">
        <v>-2.12</v>
      </c>
      <c r="BH340" s="95">
        <v>0</v>
      </c>
      <c r="BI340" s="8">
        <f t="shared" si="272"/>
        <v>-741.44</v>
      </c>
      <c r="BJ340" s="2" t="s">
        <v>91</v>
      </c>
      <c r="BL340" s="70">
        <v>0</v>
      </c>
      <c r="BM340" s="70">
        <v>0</v>
      </c>
      <c r="BO340" s="70">
        <v>0</v>
      </c>
      <c r="BP340" s="70">
        <v>0</v>
      </c>
      <c r="BQ340" s="72">
        <v>0</v>
      </c>
      <c r="BS340" s="61">
        <f t="shared" si="258"/>
        <v>-2.2599999999999909</v>
      </c>
      <c r="BT340" s="61">
        <f t="shared" si="259"/>
        <v>0</v>
      </c>
      <c r="BU340" s="61">
        <f t="shared" si="260"/>
        <v>0</v>
      </c>
      <c r="BV340" s="61">
        <f t="shared" si="260"/>
        <v>0</v>
      </c>
      <c r="BW340" s="61">
        <f t="shared" si="260"/>
        <v>0</v>
      </c>
      <c r="BX340" s="61">
        <f t="shared" si="257"/>
        <v>-2.2599999999999909</v>
      </c>
      <c r="BY340" s="61" t="s">
        <v>91</v>
      </c>
      <c r="CA340" s="61">
        <f t="shared" si="243"/>
        <v>0</v>
      </c>
      <c r="CB340" s="61">
        <f t="shared" si="243"/>
        <v>0</v>
      </c>
      <c r="CC340" s="61">
        <f t="shared" si="243"/>
        <v>0</v>
      </c>
      <c r="CD340" s="61">
        <f t="shared" si="243"/>
        <v>0</v>
      </c>
      <c r="CE340" s="61">
        <f t="shared" si="264"/>
        <v>0</v>
      </c>
      <c r="CF340" s="61">
        <f t="shared" si="264"/>
        <v>0</v>
      </c>
      <c r="CG340" s="61">
        <f t="shared" si="264"/>
        <v>0</v>
      </c>
      <c r="CH340" s="61">
        <f t="shared" si="264"/>
        <v>0</v>
      </c>
      <c r="CI340" s="61">
        <f t="shared" si="266"/>
        <v>0</v>
      </c>
      <c r="CJ340" s="61"/>
      <c r="CK340" s="61">
        <f t="shared" si="244"/>
        <v>0</v>
      </c>
      <c r="CL340" s="61">
        <f t="shared" si="244"/>
        <v>0</v>
      </c>
      <c r="CM340" s="61">
        <f t="shared" si="244"/>
        <v>0</v>
      </c>
      <c r="CN340" s="61">
        <f t="shared" si="244"/>
        <v>0</v>
      </c>
      <c r="CO340" s="61">
        <f t="shared" si="265"/>
        <v>0</v>
      </c>
      <c r="CP340" s="61">
        <f t="shared" si="265"/>
        <v>0</v>
      </c>
      <c r="CQ340" s="61">
        <f t="shared" si="265"/>
        <v>0</v>
      </c>
      <c r="CR340" s="61">
        <f t="shared" si="265"/>
        <v>0</v>
      </c>
      <c r="CS340" s="61">
        <f t="shared" si="267"/>
        <v>0</v>
      </c>
      <c r="CT340" s="61">
        <f t="shared" si="268"/>
        <v>0</v>
      </c>
      <c r="CV340" s="61">
        <f t="shared" si="269"/>
        <v>0</v>
      </c>
      <c r="CW340" s="61">
        <f t="shared" si="261"/>
        <v>0</v>
      </c>
      <c r="CX340" s="61"/>
      <c r="CY340" s="61">
        <f t="shared" si="262"/>
        <v>0</v>
      </c>
      <c r="CZ340" s="61">
        <f t="shared" si="271"/>
        <v>0</v>
      </c>
      <c r="DA340" s="61">
        <f t="shared" si="271"/>
        <v>0</v>
      </c>
      <c r="DB340" s="2" t="s">
        <v>85</v>
      </c>
      <c r="DC340" s="2" t="s">
        <v>289</v>
      </c>
      <c r="DD340" s="2" t="s">
        <v>142</v>
      </c>
      <c r="DE340" s="2" t="s">
        <v>181</v>
      </c>
      <c r="DG340" s="62"/>
      <c r="DZ340" s="3" t="e">
        <v>#N/A</v>
      </c>
      <c r="EC340" s="60"/>
      <c r="ED340" s="60"/>
      <c r="EE340" s="60"/>
      <c r="EF340" s="60"/>
    </row>
    <row r="341" spans="2:140" ht="12.75" hidden="1" customHeight="1">
      <c r="B341" s="99" t="s">
        <v>739</v>
      </c>
      <c r="C341" s="22" t="s">
        <v>726</v>
      </c>
      <c r="D341" s="22" t="s">
        <v>727</v>
      </c>
      <c r="E341" s="2" t="str">
        <f>VLOOKUP($C341,[1]Detail!$C:$AK,6,0)</f>
        <v>PMT2</v>
      </c>
      <c r="F341" s="2" t="str">
        <f>VLOOKUP($C341,[1]Detail!$C:$AK,7,0)</f>
        <v>TH</v>
      </c>
      <c r="G341" s="2" t="str">
        <f>VLOOKUP($C341,[1]Detail!$C:$AK,5,0)</f>
        <v>B</v>
      </c>
      <c r="J341" s="22" t="s">
        <v>728</v>
      </c>
      <c r="K341" s="23" t="s">
        <v>729</v>
      </c>
      <c r="L341" s="22" t="s">
        <v>212</v>
      </c>
      <c r="M341" s="51" t="str">
        <f t="shared" si="253"/>
        <v>MJD8B -LBBA-DBW</v>
      </c>
      <c r="O341" s="22">
        <v>0</v>
      </c>
      <c r="P341" s="22">
        <v>0</v>
      </c>
      <c r="Q341" s="22">
        <v>0</v>
      </c>
      <c r="R341" s="22">
        <v>0</v>
      </c>
      <c r="S341" s="22">
        <v>0</v>
      </c>
      <c r="T341" s="22">
        <v>0</v>
      </c>
      <c r="U341" s="22">
        <v>0</v>
      </c>
      <c r="V341" s="22">
        <v>0</v>
      </c>
      <c r="W341" s="64">
        <f t="shared" si="254"/>
        <v>0</v>
      </c>
      <c r="Y341" s="8">
        <f>-730.88*0-733.14</f>
        <v>-733.14</v>
      </c>
      <c r="Z341" s="8">
        <v>0</v>
      </c>
      <c r="AA341" s="8">
        <v>-8.44</v>
      </c>
      <c r="AB341" s="8">
        <v>-2.12</v>
      </c>
      <c r="AC341" s="8">
        <v>0</v>
      </c>
      <c r="AD341" s="8">
        <f t="shared" si="270"/>
        <v>-743.7</v>
      </c>
      <c r="AE341" s="2" t="s">
        <v>91</v>
      </c>
      <c r="AG341" s="8">
        <v>0</v>
      </c>
      <c r="AH341" s="8">
        <v>0</v>
      </c>
      <c r="AJ341" s="70">
        <v>0</v>
      </c>
      <c r="AK341" s="70">
        <v>0</v>
      </c>
      <c r="AL341" s="72">
        <v>0</v>
      </c>
      <c r="AM341" s="22"/>
      <c r="AO341" s="22" t="s">
        <v>728</v>
      </c>
      <c r="AP341" s="23" t="s">
        <v>729</v>
      </c>
      <c r="AQ341" s="22" t="s">
        <v>671</v>
      </c>
      <c r="AR341" s="51" t="str">
        <f t="shared" si="250"/>
        <v>MJD8B -LBBA-DAW</v>
      </c>
      <c r="AS341" s="3"/>
      <c r="AT341" s="22">
        <v>0</v>
      </c>
      <c r="AU341" s="22">
        <v>0</v>
      </c>
      <c r="AV341" s="22">
        <v>0</v>
      </c>
      <c r="AW341" s="22">
        <v>0</v>
      </c>
      <c r="AX341" s="22">
        <v>0</v>
      </c>
      <c r="AY341" s="22">
        <v>0</v>
      </c>
      <c r="AZ341" s="22">
        <v>0</v>
      </c>
      <c r="BA341" s="22">
        <v>0</v>
      </c>
      <c r="BB341" s="64">
        <f t="shared" si="251"/>
        <v>0</v>
      </c>
      <c r="BD341" s="60">
        <v>-730.88</v>
      </c>
      <c r="BE341" s="60">
        <v>0</v>
      </c>
      <c r="BF341" s="60">
        <v>-8.44</v>
      </c>
      <c r="BG341" s="95">
        <v>-2.12</v>
      </c>
      <c r="BH341" s="95">
        <v>0</v>
      </c>
      <c r="BI341" s="8">
        <f t="shared" si="272"/>
        <v>-741.44</v>
      </c>
      <c r="BJ341" s="2" t="s">
        <v>91</v>
      </c>
      <c r="BL341" s="70">
        <v>0</v>
      </c>
      <c r="BM341" s="70">
        <v>0</v>
      </c>
      <c r="BO341" s="70">
        <v>0</v>
      </c>
      <c r="BP341" s="70">
        <v>0</v>
      </c>
      <c r="BQ341" s="72">
        <v>0</v>
      </c>
      <c r="BS341" s="61">
        <f t="shared" si="258"/>
        <v>-2.2599999999999909</v>
      </c>
      <c r="BT341" s="61">
        <f t="shared" si="259"/>
        <v>0</v>
      </c>
      <c r="BU341" s="61">
        <f t="shared" si="260"/>
        <v>0</v>
      </c>
      <c r="BV341" s="61">
        <f t="shared" si="260"/>
        <v>0</v>
      </c>
      <c r="BW341" s="61">
        <f t="shared" si="260"/>
        <v>0</v>
      </c>
      <c r="BX341" s="61">
        <f t="shared" si="257"/>
        <v>-2.2599999999999909</v>
      </c>
      <c r="BY341" s="61" t="s">
        <v>91</v>
      </c>
      <c r="CA341" s="61">
        <f t="shared" si="243"/>
        <v>0</v>
      </c>
      <c r="CB341" s="61">
        <f t="shared" si="243"/>
        <v>0</v>
      </c>
      <c r="CC341" s="61">
        <f t="shared" si="243"/>
        <v>0</v>
      </c>
      <c r="CD341" s="61">
        <f t="shared" si="243"/>
        <v>0</v>
      </c>
      <c r="CE341" s="61">
        <f t="shared" si="264"/>
        <v>0</v>
      </c>
      <c r="CF341" s="61">
        <f t="shared" si="264"/>
        <v>0</v>
      </c>
      <c r="CG341" s="61">
        <f t="shared" si="264"/>
        <v>0</v>
      </c>
      <c r="CH341" s="61">
        <f t="shared" si="264"/>
        <v>0</v>
      </c>
      <c r="CI341" s="61">
        <f t="shared" si="266"/>
        <v>0</v>
      </c>
      <c r="CJ341" s="61"/>
      <c r="CK341" s="61">
        <f t="shared" si="244"/>
        <v>0</v>
      </c>
      <c r="CL341" s="61">
        <f t="shared" si="244"/>
        <v>0</v>
      </c>
      <c r="CM341" s="61">
        <f t="shared" si="244"/>
        <v>0</v>
      </c>
      <c r="CN341" s="61">
        <f t="shared" si="244"/>
        <v>0</v>
      </c>
      <c r="CO341" s="61">
        <f t="shared" si="265"/>
        <v>0</v>
      </c>
      <c r="CP341" s="61">
        <f t="shared" si="265"/>
        <v>0</v>
      </c>
      <c r="CQ341" s="61">
        <f t="shared" si="265"/>
        <v>0</v>
      </c>
      <c r="CR341" s="61">
        <f t="shared" si="265"/>
        <v>0</v>
      </c>
      <c r="CS341" s="61">
        <f t="shared" si="267"/>
        <v>0</v>
      </c>
      <c r="CT341" s="61">
        <f t="shared" si="268"/>
        <v>0</v>
      </c>
      <c r="CV341" s="61">
        <f t="shared" si="269"/>
        <v>0</v>
      </c>
      <c r="CW341" s="61">
        <f t="shared" si="261"/>
        <v>0</v>
      </c>
      <c r="CX341" s="61"/>
      <c r="CY341" s="61">
        <f t="shared" si="262"/>
        <v>0</v>
      </c>
      <c r="CZ341" s="61">
        <f t="shared" si="271"/>
        <v>0</v>
      </c>
      <c r="DA341" s="61">
        <f t="shared" si="271"/>
        <v>0</v>
      </c>
      <c r="DB341" s="2" t="s">
        <v>85</v>
      </c>
      <c r="DC341" s="2" t="s">
        <v>289</v>
      </c>
      <c r="DD341" s="2" t="s">
        <v>142</v>
      </c>
      <c r="DE341" s="2" t="s">
        <v>181</v>
      </c>
      <c r="DG341" s="62"/>
      <c r="DZ341" s="3" t="e">
        <v>#N/A</v>
      </c>
      <c r="EC341" s="60"/>
      <c r="ED341" s="60"/>
      <c r="EE341" s="60"/>
      <c r="EF341" s="60"/>
    </row>
    <row r="342" spans="2:140" ht="12.75" hidden="1" customHeight="1">
      <c r="B342" s="99" t="s">
        <v>739</v>
      </c>
      <c r="C342" s="22" t="s">
        <v>726</v>
      </c>
      <c r="D342" s="22" t="s">
        <v>727</v>
      </c>
      <c r="E342" s="2" t="str">
        <f>VLOOKUP($C342,[1]Detail!$C:$AK,6,0)</f>
        <v>PMT2</v>
      </c>
      <c r="F342" s="2" t="str">
        <f>VLOOKUP($C342,[1]Detail!$C:$AK,7,0)</f>
        <v>TH</v>
      </c>
      <c r="G342" s="2" t="str">
        <f>VLOOKUP($C342,[1]Detail!$C:$AK,5,0)</f>
        <v>B</v>
      </c>
      <c r="J342" s="22" t="s">
        <v>728</v>
      </c>
      <c r="K342" s="23" t="s">
        <v>729</v>
      </c>
      <c r="L342" s="22" t="s">
        <v>740</v>
      </c>
      <c r="M342" s="51" t="str">
        <f t="shared" si="253"/>
        <v>MJD8B -LBBA-EBW</v>
      </c>
      <c r="O342" s="22">
        <v>0</v>
      </c>
      <c r="P342" s="22">
        <v>0</v>
      </c>
      <c r="Q342" s="22">
        <v>1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64">
        <f t="shared" si="254"/>
        <v>0.14000000000000001</v>
      </c>
      <c r="Y342" s="8">
        <f>-1036.49*0-1038.75</f>
        <v>-1038.75</v>
      </c>
      <c r="Z342" s="8">
        <v>0</v>
      </c>
      <c r="AA342" s="8">
        <v>-8.4600000000000009</v>
      </c>
      <c r="AB342" s="8">
        <v>-2.12</v>
      </c>
      <c r="AC342" s="8">
        <v>0</v>
      </c>
      <c r="AD342" s="8">
        <f t="shared" si="270"/>
        <v>-1049.33</v>
      </c>
      <c r="AE342" s="2" t="s">
        <v>91</v>
      </c>
      <c r="AG342" s="8">
        <v>0</v>
      </c>
      <c r="AH342" s="8">
        <v>0</v>
      </c>
      <c r="AJ342" s="70">
        <v>0</v>
      </c>
      <c r="AK342" s="70">
        <v>0</v>
      </c>
      <c r="AL342" s="72">
        <v>0</v>
      </c>
      <c r="AM342" s="22"/>
      <c r="AO342" s="22" t="s">
        <v>728</v>
      </c>
      <c r="AP342" s="23" t="s">
        <v>729</v>
      </c>
      <c r="AQ342" s="22" t="s">
        <v>730</v>
      </c>
      <c r="AR342" s="51" t="str">
        <f t="shared" si="250"/>
        <v>MJD8B -LBBA-EAW</v>
      </c>
      <c r="AS342" s="3"/>
      <c r="AT342" s="22">
        <v>0</v>
      </c>
      <c r="AU342" s="22">
        <v>0</v>
      </c>
      <c r="AV342" s="22">
        <v>1</v>
      </c>
      <c r="AW342" s="22">
        <v>0</v>
      </c>
      <c r="AX342" s="22">
        <v>0</v>
      </c>
      <c r="AY342" s="22">
        <v>0</v>
      </c>
      <c r="AZ342" s="22">
        <v>0</v>
      </c>
      <c r="BA342" s="22">
        <v>0</v>
      </c>
      <c r="BB342" s="64">
        <f t="shared" si="251"/>
        <v>0.14000000000000001</v>
      </c>
      <c r="BD342" s="60">
        <v>-1036.49</v>
      </c>
      <c r="BE342" s="60">
        <v>0</v>
      </c>
      <c r="BF342" s="60">
        <v>-8.4600000000000009</v>
      </c>
      <c r="BG342" s="95">
        <v>-2.12</v>
      </c>
      <c r="BH342" s="95">
        <v>0</v>
      </c>
      <c r="BI342" s="8">
        <f t="shared" si="272"/>
        <v>-1047.07</v>
      </c>
      <c r="BJ342" s="2" t="s">
        <v>91</v>
      </c>
      <c r="BL342" s="70">
        <v>0</v>
      </c>
      <c r="BM342" s="70">
        <v>0</v>
      </c>
      <c r="BO342" s="70">
        <v>0</v>
      </c>
      <c r="BP342" s="70">
        <v>0</v>
      </c>
      <c r="BQ342" s="72">
        <v>0</v>
      </c>
      <c r="BS342" s="61">
        <f t="shared" si="258"/>
        <v>-2.2599999999999909</v>
      </c>
      <c r="BT342" s="61">
        <f t="shared" si="259"/>
        <v>0</v>
      </c>
      <c r="BU342" s="61">
        <f t="shared" si="260"/>
        <v>0</v>
      </c>
      <c r="BV342" s="61">
        <f t="shared" si="260"/>
        <v>0</v>
      </c>
      <c r="BW342" s="61">
        <f t="shared" si="260"/>
        <v>0</v>
      </c>
      <c r="BX342" s="61">
        <f t="shared" si="257"/>
        <v>-2.2599999999999909</v>
      </c>
      <c r="BY342" s="61" t="s">
        <v>91</v>
      </c>
      <c r="CA342" s="61">
        <f t="shared" si="243"/>
        <v>0</v>
      </c>
      <c r="CB342" s="61">
        <f t="shared" si="243"/>
        <v>0</v>
      </c>
      <c r="CC342" s="61">
        <f t="shared" si="243"/>
        <v>-0.34000300887618334</v>
      </c>
      <c r="CD342" s="61">
        <f t="shared" si="243"/>
        <v>0</v>
      </c>
      <c r="CE342" s="61">
        <f t="shared" si="264"/>
        <v>0</v>
      </c>
      <c r="CF342" s="61">
        <f t="shared" si="264"/>
        <v>0</v>
      </c>
      <c r="CG342" s="61">
        <f t="shared" si="264"/>
        <v>0</v>
      </c>
      <c r="CH342" s="61">
        <f t="shared" si="264"/>
        <v>0</v>
      </c>
      <c r="CI342" s="61">
        <f t="shared" si="266"/>
        <v>-4.7600421242665669E-2</v>
      </c>
      <c r="CJ342" s="61"/>
      <c r="CK342" s="61">
        <f t="shared" si="244"/>
        <v>0</v>
      </c>
      <c r="CL342" s="61">
        <f t="shared" si="244"/>
        <v>0</v>
      </c>
      <c r="CM342" s="61">
        <f t="shared" si="244"/>
        <v>-0.34000300887618334</v>
      </c>
      <c r="CN342" s="61">
        <f t="shared" si="244"/>
        <v>0</v>
      </c>
      <c r="CO342" s="61">
        <f t="shared" si="265"/>
        <v>0</v>
      </c>
      <c r="CP342" s="61">
        <f t="shared" si="265"/>
        <v>0</v>
      </c>
      <c r="CQ342" s="61">
        <f t="shared" si="265"/>
        <v>0</v>
      </c>
      <c r="CR342" s="61">
        <f t="shared" si="265"/>
        <v>0</v>
      </c>
      <c r="CS342" s="61">
        <f t="shared" si="267"/>
        <v>-4.7600421242665669E-2</v>
      </c>
      <c r="CT342" s="61">
        <f t="shared" si="268"/>
        <v>-0.31639999999999874</v>
      </c>
      <c r="CV342" s="61">
        <f t="shared" si="269"/>
        <v>0</v>
      </c>
      <c r="CW342" s="61">
        <f t="shared" si="261"/>
        <v>0</v>
      </c>
      <c r="CX342" s="61"/>
      <c r="CY342" s="61">
        <f t="shared" si="262"/>
        <v>0</v>
      </c>
      <c r="CZ342" s="61">
        <f t="shared" si="271"/>
        <v>0</v>
      </c>
      <c r="DA342" s="61">
        <f t="shared" si="271"/>
        <v>0</v>
      </c>
      <c r="DB342" s="2" t="s">
        <v>85</v>
      </c>
      <c r="DC342" s="2" t="s">
        <v>289</v>
      </c>
      <c r="DD342" s="2" t="s">
        <v>142</v>
      </c>
      <c r="DE342" s="2" t="s">
        <v>181</v>
      </c>
      <c r="DG342" s="62"/>
      <c r="DZ342" s="3" t="e">
        <v>#N/A</v>
      </c>
      <c r="EC342" s="60"/>
      <c r="ED342" s="60"/>
      <c r="EE342" s="60"/>
      <c r="EF342" s="60"/>
    </row>
    <row r="343" spans="2:140" ht="12.75" hidden="1" customHeight="1">
      <c r="B343" s="99" t="s">
        <v>739</v>
      </c>
      <c r="C343" s="22" t="s">
        <v>726</v>
      </c>
      <c r="D343" s="22" t="s">
        <v>727</v>
      </c>
      <c r="E343" s="2" t="str">
        <f>VLOOKUP($C343,[1]Detail!$C:$AK,6,0)</f>
        <v>PMT2</v>
      </c>
      <c r="F343" s="2" t="str">
        <f>VLOOKUP($C343,[1]Detail!$C:$AK,7,0)</f>
        <v>TH</v>
      </c>
      <c r="G343" s="2" t="str">
        <f>VLOOKUP($C343,[1]Detail!$C:$AK,5,0)</f>
        <v>B</v>
      </c>
      <c r="J343" s="22" t="s">
        <v>728</v>
      </c>
      <c r="K343" s="23" t="s">
        <v>729</v>
      </c>
      <c r="L343" s="22" t="s">
        <v>741</v>
      </c>
      <c r="M343" s="51" t="str">
        <f t="shared" si="253"/>
        <v>MJD8B -LBBA-FBW</v>
      </c>
      <c r="O343" s="22">
        <v>0</v>
      </c>
      <c r="P343" s="22">
        <v>0</v>
      </c>
      <c r="Q343" s="22">
        <v>0</v>
      </c>
      <c r="R343" s="22">
        <v>1</v>
      </c>
      <c r="S343" s="22">
        <v>0</v>
      </c>
      <c r="T343" s="22">
        <v>0</v>
      </c>
      <c r="U343" s="22">
        <v>0</v>
      </c>
      <c r="V343" s="22">
        <v>0</v>
      </c>
      <c r="W343" s="64">
        <f t="shared" si="254"/>
        <v>0.23</v>
      </c>
      <c r="Y343" s="8">
        <f>-1036.49*0-1038.75</f>
        <v>-1038.75</v>
      </c>
      <c r="Z343" s="8">
        <v>0</v>
      </c>
      <c r="AA343" s="8">
        <v>-8.4600000000000009</v>
      </c>
      <c r="AB343" s="8">
        <v>-2.12</v>
      </c>
      <c r="AC343" s="8">
        <v>0</v>
      </c>
      <c r="AD343" s="8">
        <f t="shared" si="270"/>
        <v>-1049.33</v>
      </c>
      <c r="AE343" s="2" t="s">
        <v>91</v>
      </c>
      <c r="AG343" s="8">
        <v>0</v>
      </c>
      <c r="AH343" s="8">
        <v>0</v>
      </c>
      <c r="AJ343" s="70">
        <v>0</v>
      </c>
      <c r="AK343" s="70">
        <v>0</v>
      </c>
      <c r="AL343" s="72">
        <v>0</v>
      </c>
      <c r="AM343" s="22"/>
      <c r="AO343" s="22" t="s">
        <v>728</v>
      </c>
      <c r="AP343" s="23" t="s">
        <v>729</v>
      </c>
      <c r="AQ343" s="22" t="s">
        <v>731</v>
      </c>
      <c r="AR343" s="51" t="str">
        <f t="shared" si="250"/>
        <v>MJD8B -LBBA-FAW</v>
      </c>
      <c r="AS343" s="3"/>
      <c r="AT343" s="22">
        <v>0</v>
      </c>
      <c r="AU343" s="22">
        <v>0</v>
      </c>
      <c r="AV343" s="22">
        <v>0</v>
      </c>
      <c r="AW343" s="22">
        <v>1</v>
      </c>
      <c r="AX343" s="22">
        <v>0</v>
      </c>
      <c r="AY343" s="22">
        <v>0</v>
      </c>
      <c r="AZ343" s="22">
        <v>0</v>
      </c>
      <c r="BA343" s="22">
        <v>0</v>
      </c>
      <c r="BB343" s="64">
        <f t="shared" si="251"/>
        <v>0.23</v>
      </c>
      <c r="BD343" s="60">
        <v>-1036.49</v>
      </c>
      <c r="BE343" s="60">
        <v>0</v>
      </c>
      <c r="BF343" s="60">
        <v>-8.4600000000000009</v>
      </c>
      <c r="BG343" s="95">
        <v>-2.12</v>
      </c>
      <c r="BH343" s="95">
        <v>0</v>
      </c>
      <c r="BI343" s="8">
        <f t="shared" si="272"/>
        <v>-1047.07</v>
      </c>
      <c r="BJ343" s="2" t="s">
        <v>91</v>
      </c>
      <c r="BL343" s="70">
        <v>0</v>
      </c>
      <c r="BM343" s="70">
        <v>0</v>
      </c>
      <c r="BO343" s="70">
        <v>0</v>
      </c>
      <c r="BP343" s="70">
        <v>0</v>
      </c>
      <c r="BQ343" s="72">
        <v>0</v>
      </c>
      <c r="BS343" s="61">
        <f t="shared" si="258"/>
        <v>-2.2599999999999909</v>
      </c>
      <c r="BT343" s="61">
        <f t="shared" si="259"/>
        <v>0</v>
      </c>
      <c r="BU343" s="61">
        <f t="shared" si="260"/>
        <v>0</v>
      </c>
      <c r="BV343" s="61">
        <f t="shared" si="260"/>
        <v>0</v>
      </c>
      <c r="BW343" s="61">
        <f t="shared" si="260"/>
        <v>0</v>
      </c>
      <c r="BX343" s="61">
        <f t="shared" si="257"/>
        <v>-2.2599999999999909</v>
      </c>
      <c r="BY343" s="61" t="s">
        <v>91</v>
      </c>
      <c r="CA343" s="61">
        <f t="shared" si="243"/>
        <v>0</v>
      </c>
      <c r="CB343" s="61">
        <f t="shared" si="243"/>
        <v>0</v>
      </c>
      <c r="CC343" s="61">
        <f t="shared" si="243"/>
        <v>0</v>
      </c>
      <c r="CD343" s="61">
        <f t="shared" si="243"/>
        <v>-0.34000300887618334</v>
      </c>
      <c r="CE343" s="61">
        <f t="shared" si="264"/>
        <v>0</v>
      </c>
      <c r="CF343" s="61">
        <f t="shared" si="264"/>
        <v>0</v>
      </c>
      <c r="CG343" s="61">
        <f t="shared" si="264"/>
        <v>0</v>
      </c>
      <c r="CH343" s="61">
        <f t="shared" si="264"/>
        <v>0</v>
      </c>
      <c r="CI343" s="61">
        <f t="shared" si="266"/>
        <v>-7.8200692041522177E-2</v>
      </c>
      <c r="CJ343" s="61"/>
      <c r="CK343" s="61">
        <f t="shared" si="244"/>
        <v>0</v>
      </c>
      <c r="CL343" s="61">
        <f t="shared" si="244"/>
        <v>0</v>
      </c>
      <c r="CM343" s="61">
        <f t="shared" si="244"/>
        <v>0</v>
      </c>
      <c r="CN343" s="61">
        <f t="shared" si="244"/>
        <v>-0.34000300887618334</v>
      </c>
      <c r="CO343" s="61">
        <f t="shared" si="265"/>
        <v>0</v>
      </c>
      <c r="CP343" s="61">
        <f t="shared" si="265"/>
        <v>0</v>
      </c>
      <c r="CQ343" s="61">
        <f t="shared" si="265"/>
        <v>0</v>
      </c>
      <c r="CR343" s="61">
        <f t="shared" si="265"/>
        <v>0</v>
      </c>
      <c r="CS343" s="61">
        <f t="shared" si="267"/>
        <v>-7.8200692041522177E-2</v>
      </c>
      <c r="CT343" s="61">
        <f t="shared" si="268"/>
        <v>-0.51979999999999793</v>
      </c>
      <c r="CV343" s="61">
        <f t="shared" si="269"/>
        <v>0</v>
      </c>
      <c r="CW343" s="61">
        <f t="shared" si="261"/>
        <v>0</v>
      </c>
      <c r="CX343" s="61"/>
      <c r="CY343" s="61">
        <f t="shared" si="262"/>
        <v>0</v>
      </c>
      <c r="CZ343" s="61">
        <f t="shared" si="271"/>
        <v>0</v>
      </c>
      <c r="DA343" s="61">
        <f t="shared" si="271"/>
        <v>0</v>
      </c>
      <c r="DB343" s="2" t="s">
        <v>85</v>
      </c>
      <c r="DC343" s="2" t="s">
        <v>289</v>
      </c>
      <c r="DD343" s="2" t="s">
        <v>142</v>
      </c>
      <c r="DE343" s="2" t="s">
        <v>181</v>
      </c>
      <c r="DG343" s="62"/>
      <c r="DZ343" s="3" t="e">
        <v>#N/A</v>
      </c>
      <c r="EC343" s="60"/>
      <c r="ED343" s="60"/>
      <c r="EE343" s="60"/>
      <c r="EF343" s="60"/>
    </row>
    <row r="344" spans="2:140" ht="12.75" hidden="1" customHeight="1">
      <c r="B344" s="99" t="s">
        <v>739</v>
      </c>
      <c r="C344" s="22" t="s">
        <v>726</v>
      </c>
      <c r="D344" s="22" t="s">
        <v>727</v>
      </c>
      <c r="E344" s="2" t="str">
        <f>VLOOKUP($C344,[1]Detail!$C:$AK,6,0)</f>
        <v>PMT2</v>
      </c>
      <c r="F344" s="2" t="str">
        <f>VLOOKUP($C344,[1]Detail!$C:$AK,7,0)</f>
        <v>TH</v>
      </c>
      <c r="G344" s="2" t="str">
        <f>VLOOKUP($C344,[1]Detail!$C:$AK,5,0)</f>
        <v>B</v>
      </c>
      <c r="J344" s="22" t="s">
        <v>728</v>
      </c>
      <c r="K344" s="23" t="s">
        <v>729</v>
      </c>
      <c r="L344" s="22" t="s">
        <v>742</v>
      </c>
      <c r="M344" s="51" t="str">
        <f t="shared" si="253"/>
        <v>MJD8B -LBBA-GBW</v>
      </c>
      <c r="O344" s="22">
        <v>0</v>
      </c>
      <c r="P344" s="22">
        <v>0</v>
      </c>
      <c r="Q344" s="22">
        <v>0</v>
      </c>
      <c r="R344" s="22">
        <v>0</v>
      </c>
      <c r="S344" s="22">
        <v>0</v>
      </c>
      <c r="T344" s="22">
        <v>0</v>
      </c>
      <c r="U344" s="22">
        <v>0</v>
      </c>
      <c r="V344" s="22">
        <v>0</v>
      </c>
      <c r="W344" s="64">
        <f t="shared" si="254"/>
        <v>0</v>
      </c>
      <c r="Y344" s="8">
        <f>-1020.95*0-1023.21</f>
        <v>-1023.21</v>
      </c>
      <c r="Z344" s="8">
        <v>0</v>
      </c>
      <c r="AA344" s="8">
        <v>-8.4600000000000009</v>
      </c>
      <c r="AB344" s="8">
        <v>-2.12</v>
      </c>
      <c r="AC344" s="8">
        <v>0</v>
      </c>
      <c r="AD344" s="8">
        <f t="shared" si="270"/>
        <v>-1033.79</v>
      </c>
      <c r="AE344" s="2" t="s">
        <v>91</v>
      </c>
      <c r="AG344" s="8">
        <v>0</v>
      </c>
      <c r="AH344" s="8">
        <v>0</v>
      </c>
      <c r="AJ344" s="70">
        <v>0</v>
      </c>
      <c r="AK344" s="70">
        <v>0</v>
      </c>
      <c r="AL344" s="72">
        <v>0</v>
      </c>
      <c r="AM344" s="22"/>
      <c r="AO344" s="22" t="s">
        <v>728</v>
      </c>
      <c r="AP344" s="23" t="s">
        <v>729</v>
      </c>
      <c r="AQ344" s="22" t="s">
        <v>732</v>
      </c>
      <c r="AR344" s="51" t="str">
        <f t="shared" si="250"/>
        <v>MJD8B -LBBA-GAW</v>
      </c>
      <c r="AS344" s="3"/>
      <c r="AT344" s="22">
        <v>0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64">
        <f t="shared" si="251"/>
        <v>0</v>
      </c>
      <c r="BD344" s="60">
        <v>-1020.95</v>
      </c>
      <c r="BE344" s="60">
        <v>0</v>
      </c>
      <c r="BF344" s="60">
        <v>-8.4600000000000009</v>
      </c>
      <c r="BG344" s="95">
        <v>-2.12</v>
      </c>
      <c r="BH344" s="95">
        <v>0</v>
      </c>
      <c r="BI344" s="8">
        <f t="shared" si="272"/>
        <v>-1031.53</v>
      </c>
      <c r="BJ344" s="2" t="s">
        <v>91</v>
      </c>
      <c r="BL344" s="70">
        <v>0</v>
      </c>
      <c r="BM344" s="70">
        <v>0</v>
      </c>
      <c r="BO344" s="70">
        <v>0</v>
      </c>
      <c r="BP344" s="70">
        <v>0</v>
      </c>
      <c r="BQ344" s="72">
        <v>0</v>
      </c>
      <c r="BS344" s="61">
        <f t="shared" si="258"/>
        <v>-2.2599999999999909</v>
      </c>
      <c r="BT344" s="61">
        <f t="shared" si="259"/>
        <v>0</v>
      </c>
      <c r="BU344" s="61">
        <f t="shared" si="260"/>
        <v>0</v>
      </c>
      <c r="BV344" s="61">
        <f t="shared" si="260"/>
        <v>0</v>
      </c>
      <c r="BW344" s="61">
        <f t="shared" si="260"/>
        <v>0</v>
      </c>
      <c r="BX344" s="61">
        <f t="shared" si="257"/>
        <v>-2.2599999999999909</v>
      </c>
      <c r="BY344" s="61" t="s">
        <v>91</v>
      </c>
      <c r="CA344" s="61">
        <f t="shared" si="243"/>
        <v>0</v>
      </c>
      <c r="CB344" s="61">
        <f t="shared" si="243"/>
        <v>0</v>
      </c>
      <c r="CC344" s="61">
        <f t="shared" si="243"/>
        <v>0</v>
      </c>
      <c r="CD344" s="61">
        <f t="shared" si="243"/>
        <v>0</v>
      </c>
      <c r="CE344" s="61">
        <f t="shared" si="264"/>
        <v>0</v>
      </c>
      <c r="CF344" s="61">
        <f t="shared" si="264"/>
        <v>0</v>
      </c>
      <c r="CG344" s="61">
        <f t="shared" si="264"/>
        <v>0</v>
      </c>
      <c r="CH344" s="61">
        <f t="shared" si="264"/>
        <v>0</v>
      </c>
      <c r="CI344" s="61">
        <f t="shared" si="266"/>
        <v>0</v>
      </c>
      <c r="CJ344" s="61"/>
      <c r="CK344" s="61">
        <f t="shared" si="244"/>
        <v>0</v>
      </c>
      <c r="CL344" s="61">
        <f t="shared" si="244"/>
        <v>0</v>
      </c>
      <c r="CM344" s="61">
        <f t="shared" si="244"/>
        <v>0</v>
      </c>
      <c r="CN344" s="61">
        <f t="shared" si="244"/>
        <v>0</v>
      </c>
      <c r="CO344" s="61">
        <f t="shared" si="265"/>
        <v>0</v>
      </c>
      <c r="CP344" s="61">
        <f t="shared" si="265"/>
        <v>0</v>
      </c>
      <c r="CQ344" s="61">
        <f t="shared" si="265"/>
        <v>0</v>
      </c>
      <c r="CR344" s="61">
        <f t="shared" si="265"/>
        <v>0</v>
      </c>
      <c r="CS344" s="61">
        <f t="shared" si="267"/>
        <v>0</v>
      </c>
      <c r="CT344" s="61">
        <f t="shared" si="268"/>
        <v>0</v>
      </c>
      <c r="CV344" s="61">
        <f t="shared" si="269"/>
        <v>0</v>
      </c>
      <c r="CW344" s="61">
        <f t="shared" si="261"/>
        <v>0</v>
      </c>
      <c r="CX344" s="61"/>
      <c r="CY344" s="61">
        <f t="shared" si="262"/>
        <v>0</v>
      </c>
      <c r="CZ344" s="61">
        <f t="shared" si="271"/>
        <v>0</v>
      </c>
      <c r="DA344" s="61">
        <f t="shared" si="271"/>
        <v>0</v>
      </c>
      <c r="DB344" s="2" t="s">
        <v>85</v>
      </c>
      <c r="DC344" s="2" t="s">
        <v>289</v>
      </c>
      <c r="DD344" s="2" t="s">
        <v>142</v>
      </c>
      <c r="DE344" s="2" t="s">
        <v>181</v>
      </c>
      <c r="DG344" s="62"/>
      <c r="DZ344" s="3" t="e">
        <v>#N/A</v>
      </c>
      <c r="EC344" s="60"/>
      <c r="ED344" s="60"/>
      <c r="EE344" s="60"/>
      <c r="EF344" s="60"/>
    </row>
    <row r="345" spans="2:140" ht="12.75" hidden="1" customHeight="1">
      <c r="B345" s="99" t="s">
        <v>739</v>
      </c>
      <c r="C345" s="22" t="s">
        <v>726</v>
      </c>
      <c r="D345" s="22" t="s">
        <v>727</v>
      </c>
      <c r="E345" s="2" t="str">
        <f>VLOOKUP($C345,[1]Detail!$C:$AK,6,0)</f>
        <v>PMT2</v>
      </c>
      <c r="F345" s="2" t="str">
        <f>VLOOKUP($C345,[1]Detail!$C:$AK,7,0)</f>
        <v>TH</v>
      </c>
      <c r="G345" s="2" t="str">
        <f>VLOOKUP($C345,[1]Detail!$C:$AK,5,0)</f>
        <v>B</v>
      </c>
      <c r="J345" s="22" t="s">
        <v>728</v>
      </c>
      <c r="K345" s="23" t="s">
        <v>729</v>
      </c>
      <c r="L345" s="22" t="s">
        <v>743</v>
      </c>
      <c r="M345" s="51" t="str">
        <f t="shared" si="253"/>
        <v>MJD8B -LBBA-HBW</v>
      </c>
      <c r="O345" s="22">
        <v>0</v>
      </c>
      <c r="P345" s="22">
        <v>0</v>
      </c>
      <c r="Q345" s="22">
        <v>0</v>
      </c>
      <c r="R345" s="22">
        <v>0</v>
      </c>
      <c r="S345" s="22">
        <v>0</v>
      </c>
      <c r="T345" s="22">
        <v>0</v>
      </c>
      <c r="U345" s="22">
        <v>0</v>
      </c>
      <c r="V345" s="22">
        <v>0</v>
      </c>
      <c r="W345" s="64">
        <f t="shared" si="254"/>
        <v>0</v>
      </c>
      <c r="Y345" s="8">
        <f>-1020.95*0-1023.21</f>
        <v>-1023.21</v>
      </c>
      <c r="Z345" s="8">
        <v>0</v>
      </c>
      <c r="AA345" s="8">
        <v>-8.4600000000000009</v>
      </c>
      <c r="AB345" s="8">
        <v>-2.12</v>
      </c>
      <c r="AC345" s="8">
        <v>0</v>
      </c>
      <c r="AD345" s="8">
        <f t="shared" si="270"/>
        <v>-1033.79</v>
      </c>
      <c r="AE345" s="2" t="s">
        <v>91</v>
      </c>
      <c r="AG345" s="8">
        <v>0</v>
      </c>
      <c r="AH345" s="8">
        <v>0</v>
      </c>
      <c r="AJ345" s="70">
        <v>0</v>
      </c>
      <c r="AK345" s="70">
        <v>0</v>
      </c>
      <c r="AL345" s="72">
        <v>0</v>
      </c>
      <c r="AM345" s="22"/>
      <c r="AO345" s="22" t="s">
        <v>728</v>
      </c>
      <c r="AP345" s="23" t="s">
        <v>729</v>
      </c>
      <c r="AQ345" s="22" t="s">
        <v>733</v>
      </c>
      <c r="AR345" s="51" t="str">
        <f t="shared" si="250"/>
        <v>MJD8B -LBBA-HAW</v>
      </c>
      <c r="AS345" s="3"/>
      <c r="AT345" s="22">
        <v>0</v>
      </c>
      <c r="AU345" s="22">
        <v>0</v>
      </c>
      <c r="AV345" s="22">
        <v>0</v>
      </c>
      <c r="AW345" s="22">
        <v>0</v>
      </c>
      <c r="AX345" s="22">
        <v>0</v>
      </c>
      <c r="AY345" s="22">
        <v>0</v>
      </c>
      <c r="AZ345" s="22">
        <v>0</v>
      </c>
      <c r="BA345" s="22">
        <v>0</v>
      </c>
      <c r="BB345" s="64">
        <f t="shared" si="251"/>
        <v>0</v>
      </c>
      <c r="BD345" s="60">
        <v>-1020.95</v>
      </c>
      <c r="BE345" s="60">
        <v>0</v>
      </c>
      <c r="BF345" s="60">
        <v>-8.4600000000000009</v>
      </c>
      <c r="BG345" s="95">
        <v>-2.12</v>
      </c>
      <c r="BH345" s="95">
        <v>0</v>
      </c>
      <c r="BI345" s="8">
        <f t="shared" si="272"/>
        <v>-1031.53</v>
      </c>
      <c r="BJ345" s="2" t="s">
        <v>91</v>
      </c>
      <c r="BL345" s="70">
        <v>0</v>
      </c>
      <c r="BM345" s="70">
        <v>0</v>
      </c>
      <c r="BO345" s="70">
        <v>0</v>
      </c>
      <c r="BP345" s="70">
        <v>0</v>
      </c>
      <c r="BQ345" s="72">
        <v>0</v>
      </c>
      <c r="BS345" s="61">
        <f t="shared" si="258"/>
        <v>-2.2599999999999909</v>
      </c>
      <c r="BT345" s="61">
        <f t="shared" si="259"/>
        <v>0</v>
      </c>
      <c r="BU345" s="61">
        <f t="shared" si="260"/>
        <v>0</v>
      </c>
      <c r="BV345" s="61">
        <f t="shared" si="260"/>
        <v>0</v>
      </c>
      <c r="BW345" s="61">
        <f t="shared" si="260"/>
        <v>0</v>
      </c>
      <c r="BX345" s="61">
        <f t="shared" si="257"/>
        <v>-2.2599999999999909</v>
      </c>
      <c r="BY345" s="61" t="s">
        <v>91</v>
      </c>
      <c r="CA345" s="61">
        <f t="shared" si="243"/>
        <v>0</v>
      </c>
      <c r="CB345" s="61">
        <f t="shared" si="243"/>
        <v>0</v>
      </c>
      <c r="CC345" s="61">
        <f t="shared" si="243"/>
        <v>0</v>
      </c>
      <c r="CD345" s="61">
        <f t="shared" si="243"/>
        <v>0</v>
      </c>
      <c r="CE345" s="61">
        <f t="shared" si="264"/>
        <v>0</v>
      </c>
      <c r="CF345" s="61">
        <f t="shared" si="264"/>
        <v>0</v>
      </c>
      <c r="CG345" s="61">
        <f t="shared" si="264"/>
        <v>0</v>
      </c>
      <c r="CH345" s="61">
        <f t="shared" si="264"/>
        <v>0</v>
      </c>
      <c r="CI345" s="61">
        <f t="shared" si="266"/>
        <v>0</v>
      </c>
      <c r="CJ345" s="61"/>
      <c r="CK345" s="61">
        <f t="shared" si="244"/>
        <v>0</v>
      </c>
      <c r="CL345" s="61">
        <f t="shared" si="244"/>
        <v>0</v>
      </c>
      <c r="CM345" s="61">
        <f t="shared" si="244"/>
        <v>0</v>
      </c>
      <c r="CN345" s="61">
        <f t="shared" si="244"/>
        <v>0</v>
      </c>
      <c r="CO345" s="61">
        <f t="shared" si="265"/>
        <v>0</v>
      </c>
      <c r="CP345" s="61">
        <f t="shared" si="265"/>
        <v>0</v>
      </c>
      <c r="CQ345" s="61">
        <f t="shared" si="265"/>
        <v>0</v>
      </c>
      <c r="CR345" s="61">
        <f t="shared" si="265"/>
        <v>0</v>
      </c>
      <c r="CS345" s="61">
        <f t="shared" si="267"/>
        <v>0</v>
      </c>
      <c r="CT345" s="61">
        <f t="shared" si="268"/>
        <v>0</v>
      </c>
      <c r="CV345" s="61">
        <f t="shared" si="269"/>
        <v>0</v>
      </c>
      <c r="CW345" s="61">
        <f t="shared" si="261"/>
        <v>0</v>
      </c>
      <c r="CX345" s="61"/>
      <c r="CY345" s="61">
        <f t="shared" si="262"/>
        <v>0</v>
      </c>
      <c r="CZ345" s="61">
        <f t="shared" si="271"/>
        <v>0</v>
      </c>
      <c r="DA345" s="61">
        <f t="shared" si="271"/>
        <v>0</v>
      </c>
      <c r="DB345" s="2" t="s">
        <v>85</v>
      </c>
      <c r="DC345" s="2" t="s">
        <v>289</v>
      </c>
      <c r="DD345" s="2" t="s">
        <v>142</v>
      </c>
      <c r="DE345" s="2" t="s">
        <v>181</v>
      </c>
      <c r="DG345" s="62"/>
      <c r="DZ345" s="3" t="e">
        <v>#N/A</v>
      </c>
      <c r="EC345" s="60"/>
      <c r="ED345" s="60"/>
      <c r="EE345" s="60"/>
      <c r="EF345" s="60"/>
    </row>
    <row r="346" spans="2:140" ht="12.75" hidden="1" customHeight="1">
      <c r="B346" s="99" t="s">
        <v>739</v>
      </c>
      <c r="C346" s="22" t="s">
        <v>726</v>
      </c>
      <c r="D346" s="22" t="s">
        <v>727</v>
      </c>
      <c r="E346" s="2" t="str">
        <f>VLOOKUP($C346,[1]Detail!$C:$AK,6,0)</f>
        <v>PMT2</v>
      </c>
      <c r="F346" s="2" t="str">
        <f>VLOOKUP($C346,[1]Detail!$C:$AK,7,0)</f>
        <v>TH</v>
      </c>
      <c r="G346" s="2" t="str">
        <f>VLOOKUP($C346,[1]Detail!$C:$AK,5,0)</f>
        <v>B</v>
      </c>
      <c r="J346" s="22" t="s">
        <v>728</v>
      </c>
      <c r="K346" s="23" t="s">
        <v>729</v>
      </c>
      <c r="L346" s="22" t="s">
        <v>744</v>
      </c>
      <c r="M346" s="51" t="str">
        <f t="shared" si="253"/>
        <v>MJD8B -LBBA-JBW</v>
      </c>
      <c r="O346" s="22">
        <v>0</v>
      </c>
      <c r="P346" s="22">
        <v>0</v>
      </c>
      <c r="Q346" s="22">
        <v>0</v>
      </c>
      <c r="R346" s="22">
        <v>0</v>
      </c>
      <c r="S346" s="22">
        <v>1</v>
      </c>
      <c r="T346" s="22">
        <v>0</v>
      </c>
      <c r="U346" s="22">
        <v>0</v>
      </c>
      <c r="V346" s="22">
        <v>0</v>
      </c>
      <c r="W346" s="64">
        <f t="shared" si="254"/>
        <v>0.09</v>
      </c>
      <c r="Y346" s="8">
        <f>-1022.3*0-1024.56</f>
        <v>-1024.56</v>
      </c>
      <c r="Z346" s="8">
        <v>0</v>
      </c>
      <c r="AA346" s="8">
        <v>-8.4600000000000009</v>
      </c>
      <c r="AB346" s="8">
        <v>-2.12</v>
      </c>
      <c r="AC346" s="8">
        <v>0</v>
      </c>
      <c r="AD346" s="8">
        <f t="shared" si="270"/>
        <v>-1035.1399999999999</v>
      </c>
      <c r="AE346" s="2" t="s">
        <v>91</v>
      </c>
      <c r="AG346" s="8">
        <v>0</v>
      </c>
      <c r="AH346" s="8">
        <v>0</v>
      </c>
      <c r="AJ346" s="70">
        <v>0</v>
      </c>
      <c r="AK346" s="70">
        <v>0</v>
      </c>
      <c r="AL346" s="72">
        <v>0</v>
      </c>
      <c r="AM346" s="22"/>
      <c r="AO346" s="22" t="s">
        <v>728</v>
      </c>
      <c r="AP346" s="23" t="s">
        <v>729</v>
      </c>
      <c r="AQ346" s="22" t="s">
        <v>734</v>
      </c>
      <c r="AR346" s="51" t="str">
        <f t="shared" si="250"/>
        <v>MJD8B -LBBA-JAW</v>
      </c>
      <c r="AS346" s="3"/>
      <c r="AT346" s="22">
        <v>0</v>
      </c>
      <c r="AU346" s="22">
        <v>0</v>
      </c>
      <c r="AV346" s="22">
        <v>0</v>
      </c>
      <c r="AW346" s="22">
        <v>0</v>
      </c>
      <c r="AX346" s="22">
        <v>1</v>
      </c>
      <c r="AY346" s="22">
        <v>0</v>
      </c>
      <c r="AZ346" s="22">
        <v>0</v>
      </c>
      <c r="BA346" s="22">
        <v>0</v>
      </c>
      <c r="BB346" s="64">
        <f t="shared" si="251"/>
        <v>0.09</v>
      </c>
      <c r="BD346" s="60">
        <v>-1022.3</v>
      </c>
      <c r="BE346" s="60">
        <v>0</v>
      </c>
      <c r="BF346" s="60">
        <v>-8.4600000000000009</v>
      </c>
      <c r="BG346" s="95">
        <v>-2.12</v>
      </c>
      <c r="BH346" s="95">
        <v>0</v>
      </c>
      <c r="BI346" s="8">
        <f t="shared" si="272"/>
        <v>-1032.8799999999999</v>
      </c>
      <c r="BJ346" s="2" t="s">
        <v>91</v>
      </c>
      <c r="BL346" s="70">
        <v>0</v>
      </c>
      <c r="BM346" s="70">
        <v>0</v>
      </c>
      <c r="BO346" s="70">
        <v>0</v>
      </c>
      <c r="BP346" s="70">
        <v>0</v>
      </c>
      <c r="BQ346" s="72">
        <v>0</v>
      </c>
      <c r="BS346" s="61">
        <f t="shared" si="258"/>
        <v>-2.2599999999999909</v>
      </c>
      <c r="BT346" s="61">
        <f t="shared" si="259"/>
        <v>0</v>
      </c>
      <c r="BU346" s="61">
        <f t="shared" si="260"/>
        <v>0</v>
      </c>
      <c r="BV346" s="61">
        <f t="shared" si="260"/>
        <v>0</v>
      </c>
      <c r="BW346" s="61">
        <f t="shared" si="260"/>
        <v>0</v>
      </c>
      <c r="BX346" s="61">
        <f t="shared" si="257"/>
        <v>-2.2599999999999909</v>
      </c>
      <c r="BY346" s="61" t="s">
        <v>91</v>
      </c>
      <c r="CA346" s="61">
        <f t="shared" si="243"/>
        <v>0</v>
      </c>
      <c r="CB346" s="61">
        <f t="shared" si="243"/>
        <v>0</v>
      </c>
      <c r="CC346" s="61">
        <f t="shared" si="243"/>
        <v>0</v>
      </c>
      <c r="CD346" s="61">
        <f t="shared" si="243"/>
        <v>0</v>
      </c>
      <c r="CE346" s="61">
        <f t="shared" si="264"/>
        <v>-0.34000300887618334</v>
      </c>
      <c r="CF346" s="61">
        <f t="shared" si="264"/>
        <v>0</v>
      </c>
      <c r="CG346" s="61">
        <f t="shared" si="264"/>
        <v>0</v>
      </c>
      <c r="CH346" s="61">
        <f t="shared" si="264"/>
        <v>0</v>
      </c>
      <c r="CI346" s="61">
        <f t="shared" si="266"/>
        <v>-3.0600270798856501E-2</v>
      </c>
      <c r="CJ346" s="61"/>
      <c r="CK346" s="61">
        <f t="shared" si="244"/>
        <v>0</v>
      </c>
      <c r="CL346" s="61">
        <f t="shared" si="244"/>
        <v>0</v>
      </c>
      <c r="CM346" s="61">
        <f t="shared" si="244"/>
        <v>0</v>
      </c>
      <c r="CN346" s="61">
        <f t="shared" si="244"/>
        <v>0</v>
      </c>
      <c r="CO346" s="61">
        <f t="shared" si="265"/>
        <v>-0.34000300887618334</v>
      </c>
      <c r="CP346" s="61">
        <f t="shared" si="265"/>
        <v>0</v>
      </c>
      <c r="CQ346" s="61">
        <f t="shared" si="265"/>
        <v>0</v>
      </c>
      <c r="CR346" s="61">
        <f t="shared" si="265"/>
        <v>0</v>
      </c>
      <c r="CS346" s="61">
        <f t="shared" si="267"/>
        <v>-3.0600270798856501E-2</v>
      </c>
      <c r="CT346" s="61">
        <f t="shared" si="268"/>
        <v>-0.20339999999999916</v>
      </c>
      <c r="CV346" s="61">
        <f t="shared" si="269"/>
        <v>0</v>
      </c>
      <c r="CW346" s="61">
        <f t="shared" si="261"/>
        <v>0</v>
      </c>
      <c r="CX346" s="61"/>
      <c r="CY346" s="61">
        <f t="shared" si="262"/>
        <v>0</v>
      </c>
      <c r="CZ346" s="61">
        <f t="shared" si="271"/>
        <v>0</v>
      </c>
      <c r="DA346" s="61">
        <f t="shared" si="271"/>
        <v>0</v>
      </c>
      <c r="DB346" s="2" t="s">
        <v>85</v>
      </c>
      <c r="DC346" s="2" t="s">
        <v>289</v>
      </c>
      <c r="DD346" s="2" t="s">
        <v>142</v>
      </c>
      <c r="DE346" s="2" t="s">
        <v>181</v>
      </c>
      <c r="DG346" s="62"/>
      <c r="DZ346" s="3" t="e">
        <v>#N/A</v>
      </c>
      <c r="EC346" s="60"/>
      <c r="ED346" s="60"/>
      <c r="EE346" s="60"/>
      <c r="EF346" s="60"/>
    </row>
    <row r="347" spans="2:140" ht="12.75" hidden="1" customHeight="1">
      <c r="B347" s="99" t="s">
        <v>739</v>
      </c>
      <c r="C347" s="22" t="s">
        <v>726</v>
      </c>
      <c r="D347" s="22" t="s">
        <v>727</v>
      </c>
      <c r="E347" s="2" t="str">
        <f>VLOOKUP($C347,[1]Detail!$C:$AK,6,0)</f>
        <v>PMT2</v>
      </c>
      <c r="F347" s="2" t="str">
        <f>VLOOKUP($C347,[1]Detail!$C:$AK,7,0)</f>
        <v>TH</v>
      </c>
      <c r="G347" s="2" t="str">
        <f>VLOOKUP($C347,[1]Detail!$C:$AK,5,0)</f>
        <v>B</v>
      </c>
      <c r="J347" s="22" t="s">
        <v>728</v>
      </c>
      <c r="K347" s="23" t="s">
        <v>729</v>
      </c>
      <c r="L347" s="22" t="s">
        <v>745</v>
      </c>
      <c r="M347" s="51" t="str">
        <f t="shared" si="253"/>
        <v>MJD8B -LBBA-KBW</v>
      </c>
      <c r="O347" s="22"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1</v>
      </c>
      <c r="U347" s="22">
        <v>0</v>
      </c>
      <c r="V347" s="22">
        <v>0</v>
      </c>
      <c r="W347" s="64">
        <f t="shared" si="254"/>
        <v>0.14000000000000001</v>
      </c>
      <c r="Y347" s="8">
        <f>-1022.3*0-1024.56</f>
        <v>-1024.56</v>
      </c>
      <c r="Z347" s="8">
        <v>0</v>
      </c>
      <c r="AA347" s="8">
        <v>-8.4600000000000009</v>
      </c>
      <c r="AB347" s="8">
        <v>-2.12</v>
      </c>
      <c r="AC347" s="8">
        <v>0</v>
      </c>
      <c r="AD347" s="8">
        <f t="shared" si="270"/>
        <v>-1035.1399999999999</v>
      </c>
      <c r="AE347" s="2" t="s">
        <v>91</v>
      </c>
      <c r="AG347" s="8">
        <v>0</v>
      </c>
      <c r="AH347" s="8">
        <v>0</v>
      </c>
      <c r="AJ347" s="70">
        <v>0</v>
      </c>
      <c r="AK347" s="70">
        <v>0</v>
      </c>
      <c r="AL347" s="72">
        <v>0</v>
      </c>
      <c r="AM347" s="22"/>
      <c r="AO347" s="22" t="s">
        <v>728</v>
      </c>
      <c r="AP347" s="23" t="s">
        <v>729</v>
      </c>
      <c r="AQ347" s="22" t="s">
        <v>735</v>
      </c>
      <c r="AR347" s="51" t="str">
        <f t="shared" si="250"/>
        <v>MJD8B -LBBA-KAW</v>
      </c>
      <c r="AS347" s="3"/>
      <c r="AT347" s="22">
        <v>0</v>
      </c>
      <c r="AU347" s="22">
        <v>0</v>
      </c>
      <c r="AV347" s="22">
        <v>0</v>
      </c>
      <c r="AW347" s="22">
        <v>0</v>
      </c>
      <c r="AX347" s="22">
        <v>0</v>
      </c>
      <c r="AY347" s="22">
        <v>1</v>
      </c>
      <c r="AZ347" s="22">
        <v>0</v>
      </c>
      <c r="BA347" s="22">
        <v>0</v>
      </c>
      <c r="BB347" s="64">
        <f t="shared" si="251"/>
        <v>0.14000000000000001</v>
      </c>
      <c r="BD347" s="60">
        <v>-1022.3</v>
      </c>
      <c r="BE347" s="60">
        <v>0</v>
      </c>
      <c r="BF347" s="60">
        <v>-8.4600000000000009</v>
      </c>
      <c r="BG347" s="95">
        <v>-2.12</v>
      </c>
      <c r="BH347" s="95">
        <v>0</v>
      </c>
      <c r="BI347" s="8">
        <f t="shared" si="272"/>
        <v>-1032.8799999999999</v>
      </c>
      <c r="BJ347" s="2" t="s">
        <v>91</v>
      </c>
      <c r="BL347" s="70">
        <v>0</v>
      </c>
      <c r="BM347" s="70">
        <v>0</v>
      </c>
      <c r="BO347" s="70">
        <v>0</v>
      </c>
      <c r="BP347" s="70">
        <v>0</v>
      </c>
      <c r="BQ347" s="72">
        <v>0</v>
      </c>
      <c r="BS347" s="61">
        <f t="shared" si="258"/>
        <v>-2.2599999999999909</v>
      </c>
      <c r="BT347" s="61">
        <f t="shared" si="259"/>
        <v>0</v>
      </c>
      <c r="BU347" s="61">
        <f t="shared" si="260"/>
        <v>0</v>
      </c>
      <c r="BV347" s="61">
        <f t="shared" si="260"/>
        <v>0</v>
      </c>
      <c r="BW347" s="61">
        <f t="shared" si="260"/>
        <v>0</v>
      </c>
      <c r="BX347" s="61">
        <f t="shared" si="257"/>
        <v>-2.2599999999999909</v>
      </c>
      <c r="BY347" s="61" t="s">
        <v>91</v>
      </c>
      <c r="CA347" s="61">
        <f t="shared" si="243"/>
        <v>0</v>
      </c>
      <c r="CB347" s="61">
        <f t="shared" si="243"/>
        <v>0</v>
      </c>
      <c r="CC347" s="61">
        <f t="shared" si="243"/>
        <v>0</v>
      </c>
      <c r="CD347" s="61">
        <f t="shared" si="243"/>
        <v>0</v>
      </c>
      <c r="CE347" s="61">
        <f t="shared" si="264"/>
        <v>0</v>
      </c>
      <c r="CF347" s="61">
        <f t="shared" si="264"/>
        <v>-0.34000300887618334</v>
      </c>
      <c r="CG347" s="61">
        <f t="shared" si="264"/>
        <v>0</v>
      </c>
      <c r="CH347" s="61">
        <f t="shared" si="264"/>
        <v>0</v>
      </c>
      <c r="CI347" s="61">
        <f t="shared" si="266"/>
        <v>-4.7600421242665669E-2</v>
      </c>
      <c r="CJ347" s="61"/>
      <c r="CK347" s="61">
        <f t="shared" si="244"/>
        <v>0</v>
      </c>
      <c r="CL347" s="61">
        <f t="shared" si="244"/>
        <v>0</v>
      </c>
      <c r="CM347" s="61">
        <f t="shared" si="244"/>
        <v>0</v>
      </c>
      <c r="CN347" s="61">
        <f t="shared" si="244"/>
        <v>0</v>
      </c>
      <c r="CO347" s="61">
        <f t="shared" si="265"/>
        <v>0</v>
      </c>
      <c r="CP347" s="61">
        <f t="shared" si="265"/>
        <v>-0.34000300887618334</v>
      </c>
      <c r="CQ347" s="61">
        <f t="shared" si="265"/>
        <v>0</v>
      </c>
      <c r="CR347" s="61">
        <f t="shared" si="265"/>
        <v>0</v>
      </c>
      <c r="CS347" s="61">
        <f t="shared" si="267"/>
        <v>-4.7600421242665669E-2</v>
      </c>
      <c r="CT347" s="61">
        <f t="shared" si="268"/>
        <v>-0.31639999999999874</v>
      </c>
      <c r="CV347" s="61">
        <f t="shared" si="269"/>
        <v>0</v>
      </c>
      <c r="CW347" s="61">
        <f t="shared" si="261"/>
        <v>0</v>
      </c>
      <c r="CX347" s="61"/>
      <c r="CY347" s="61">
        <f t="shared" si="262"/>
        <v>0</v>
      </c>
      <c r="CZ347" s="61">
        <f t="shared" si="271"/>
        <v>0</v>
      </c>
      <c r="DA347" s="61">
        <f t="shared" si="271"/>
        <v>0</v>
      </c>
      <c r="DB347" s="2" t="s">
        <v>85</v>
      </c>
      <c r="DC347" s="2" t="s">
        <v>289</v>
      </c>
      <c r="DD347" s="2" t="s">
        <v>142</v>
      </c>
      <c r="DE347" s="2" t="s">
        <v>181</v>
      </c>
      <c r="DG347" s="62"/>
      <c r="DZ347" s="3" t="e">
        <v>#N/A</v>
      </c>
      <c r="EC347" s="60"/>
      <c r="ED347" s="60"/>
      <c r="EE347" s="60"/>
      <c r="EF347" s="60"/>
    </row>
    <row r="348" spans="2:140" ht="12.75" hidden="1" customHeight="1">
      <c r="B348" s="99" t="s">
        <v>739</v>
      </c>
      <c r="C348" s="22" t="s">
        <v>726</v>
      </c>
      <c r="D348" s="22" t="s">
        <v>727</v>
      </c>
      <c r="E348" s="2" t="str">
        <f>VLOOKUP($C348,[1]Detail!$C:$AK,6,0)</f>
        <v>PMT2</v>
      </c>
      <c r="F348" s="2" t="str">
        <f>VLOOKUP($C348,[1]Detail!$C:$AK,7,0)</f>
        <v>TH</v>
      </c>
      <c r="G348" s="2" t="str">
        <f>VLOOKUP($C348,[1]Detail!$C:$AK,5,0)</f>
        <v>B</v>
      </c>
      <c r="J348" s="22" t="s">
        <v>728</v>
      </c>
      <c r="K348" s="23" t="s">
        <v>729</v>
      </c>
      <c r="L348" s="22" t="s">
        <v>746</v>
      </c>
      <c r="M348" s="51" t="str">
        <f t="shared" si="253"/>
        <v>MJD8B -LBBA-LBW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1</v>
      </c>
      <c r="V348" s="22">
        <v>0</v>
      </c>
      <c r="W348" s="64">
        <f t="shared" si="254"/>
        <v>0.05</v>
      </c>
      <c r="Y348" s="8">
        <f>-1048.64*0-1050.9</f>
        <v>-1050.9000000000001</v>
      </c>
      <c r="Z348" s="8">
        <v>0</v>
      </c>
      <c r="AA348" s="8">
        <v>-8.4600000000000009</v>
      </c>
      <c r="AB348" s="8">
        <v>-2.12</v>
      </c>
      <c r="AC348" s="8">
        <v>0</v>
      </c>
      <c r="AD348" s="8">
        <f t="shared" si="270"/>
        <v>-1061.48</v>
      </c>
      <c r="AE348" s="2" t="s">
        <v>91</v>
      </c>
      <c r="AG348" s="8">
        <v>0</v>
      </c>
      <c r="AH348" s="8">
        <v>0</v>
      </c>
      <c r="AJ348" s="70">
        <v>0</v>
      </c>
      <c r="AK348" s="70">
        <v>0</v>
      </c>
      <c r="AL348" s="72">
        <v>0</v>
      </c>
      <c r="AM348" s="22"/>
      <c r="AO348" s="22" t="s">
        <v>728</v>
      </c>
      <c r="AP348" s="23" t="s">
        <v>729</v>
      </c>
      <c r="AQ348" s="22" t="s">
        <v>736</v>
      </c>
      <c r="AR348" s="51" t="str">
        <f t="shared" si="250"/>
        <v>MJD8B -LBBA-LAW</v>
      </c>
      <c r="AS348" s="3"/>
      <c r="AT348" s="22">
        <v>0</v>
      </c>
      <c r="AU348" s="22">
        <v>0</v>
      </c>
      <c r="AV348" s="22">
        <v>0</v>
      </c>
      <c r="AW348" s="22">
        <v>0</v>
      </c>
      <c r="AX348" s="22">
        <v>0</v>
      </c>
      <c r="AY348" s="22">
        <v>0</v>
      </c>
      <c r="AZ348" s="22">
        <v>1</v>
      </c>
      <c r="BA348" s="22">
        <v>0</v>
      </c>
      <c r="BB348" s="64">
        <f t="shared" si="251"/>
        <v>0.05</v>
      </c>
      <c r="BD348" s="60">
        <v>-1048.6400000000001</v>
      </c>
      <c r="BE348" s="60">
        <v>0</v>
      </c>
      <c r="BF348" s="60">
        <v>-8.4600000000000009</v>
      </c>
      <c r="BG348" s="95">
        <v>-2.12</v>
      </c>
      <c r="BH348" s="95">
        <v>0</v>
      </c>
      <c r="BI348" s="8">
        <f t="shared" si="272"/>
        <v>-1059.22</v>
      </c>
      <c r="BJ348" s="2" t="s">
        <v>91</v>
      </c>
      <c r="BL348" s="70">
        <v>0</v>
      </c>
      <c r="BM348" s="70">
        <v>0</v>
      </c>
      <c r="BO348" s="70">
        <v>0</v>
      </c>
      <c r="BP348" s="70">
        <v>0</v>
      </c>
      <c r="BQ348" s="72">
        <v>0</v>
      </c>
      <c r="BS348" s="61">
        <f t="shared" si="258"/>
        <v>-2.2599999999999909</v>
      </c>
      <c r="BT348" s="61">
        <f t="shared" si="259"/>
        <v>0</v>
      </c>
      <c r="BU348" s="61">
        <f t="shared" si="260"/>
        <v>0</v>
      </c>
      <c r="BV348" s="61">
        <f t="shared" si="260"/>
        <v>0</v>
      </c>
      <c r="BW348" s="61">
        <f t="shared" si="260"/>
        <v>0</v>
      </c>
      <c r="BX348" s="61">
        <f t="shared" si="257"/>
        <v>-2.2599999999999909</v>
      </c>
      <c r="BY348" s="61" t="s">
        <v>91</v>
      </c>
      <c r="CA348" s="61">
        <f t="shared" si="243"/>
        <v>0</v>
      </c>
      <c r="CB348" s="61">
        <f t="shared" si="243"/>
        <v>0</v>
      </c>
      <c r="CC348" s="61">
        <f t="shared" si="243"/>
        <v>0</v>
      </c>
      <c r="CD348" s="61">
        <f t="shared" si="243"/>
        <v>0</v>
      </c>
      <c r="CE348" s="61">
        <f t="shared" si="264"/>
        <v>0</v>
      </c>
      <c r="CF348" s="61">
        <f t="shared" si="264"/>
        <v>0</v>
      </c>
      <c r="CG348" s="61">
        <f t="shared" si="264"/>
        <v>-0.34000300887618334</v>
      </c>
      <c r="CH348" s="61">
        <f t="shared" si="264"/>
        <v>0</v>
      </c>
      <c r="CI348" s="61">
        <f t="shared" si="266"/>
        <v>-1.7000150443809169E-2</v>
      </c>
      <c r="CJ348" s="61"/>
      <c r="CK348" s="61">
        <f t="shared" si="244"/>
        <v>0</v>
      </c>
      <c r="CL348" s="61">
        <f t="shared" si="244"/>
        <v>0</v>
      </c>
      <c r="CM348" s="61">
        <f t="shared" si="244"/>
        <v>0</v>
      </c>
      <c r="CN348" s="61">
        <f t="shared" si="244"/>
        <v>0</v>
      </c>
      <c r="CO348" s="61">
        <f t="shared" si="265"/>
        <v>0</v>
      </c>
      <c r="CP348" s="61">
        <f t="shared" si="265"/>
        <v>0</v>
      </c>
      <c r="CQ348" s="61">
        <f t="shared" si="265"/>
        <v>-0.34000300887618334</v>
      </c>
      <c r="CR348" s="61">
        <f t="shared" si="265"/>
        <v>0</v>
      </c>
      <c r="CS348" s="61">
        <f t="shared" si="267"/>
        <v>-1.7000150443809169E-2</v>
      </c>
      <c r="CT348" s="61">
        <f t="shared" si="268"/>
        <v>-0.11299999999999955</v>
      </c>
      <c r="CV348" s="61">
        <f t="shared" si="269"/>
        <v>0</v>
      </c>
      <c r="CW348" s="61">
        <f t="shared" si="261"/>
        <v>0</v>
      </c>
      <c r="CX348" s="61"/>
      <c r="CY348" s="61">
        <f t="shared" si="262"/>
        <v>0</v>
      </c>
      <c r="CZ348" s="61">
        <f t="shared" si="271"/>
        <v>0</v>
      </c>
      <c r="DA348" s="61">
        <f t="shared" si="271"/>
        <v>0</v>
      </c>
      <c r="DB348" s="2" t="s">
        <v>85</v>
      </c>
      <c r="DC348" s="2" t="s">
        <v>289</v>
      </c>
      <c r="DD348" s="2" t="s">
        <v>142</v>
      </c>
      <c r="DE348" s="2" t="s">
        <v>181</v>
      </c>
      <c r="DG348" s="62"/>
      <c r="DZ348" s="3" t="e">
        <v>#N/A</v>
      </c>
      <c r="EC348" s="60"/>
      <c r="ED348" s="60"/>
      <c r="EE348" s="60"/>
      <c r="EF348" s="60"/>
    </row>
    <row r="349" spans="2:140" ht="12.75" hidden="1" customHeight="1">
      <c r="B349" s="99" t="s">
        <v>739</v>
      </c>
      <c r="C349" s="22" t="s">
        <v>726</v>
      </c>
      <c r="D349" s="22" t="s">
        <v>727</v>
      </c>
      <c r="E349" s="2" t="str">
        <f>VLOOKUP($C349,[1]Detail!$C:$AK,6,0)</f>
        <v>PMT2</v>
      </c>
      <c r="F349" s="2" t="str">
        <f>VLOOKUP($C349,[1]Detail!$C:$AK,7,0)</f>
        <v>TH</v>
      </c>
      <c r="G349" s="2" t="str">
        <f>VLOOKUP($C349,[1]Detail!$C:$AK,5,0)</f>
        <v>B</v>
      </c>
      <c r="J349" s="22" t="s">
        <v>728</v>
      </c>
      <c r="K349" s="23" t="s">
        <v>729</v>
      </c>
      <c r="L349" s="22" t="s">
        <v>747</v>
      </c>
      <c r="M349" s="51" t="str">
        <f t="shared" si="253"/>
        <v>MJD8B -LBBA-MBW</v>
      </c>
      <c r="O349" s="22">
        <v>0</v>
      </c>
      <c r="P349" s="22">
        <v>0</v>
      </c>
      <c r="Q349" s="22">
        <v>0</v>
      </c>
      <c r="R349" s="22">
        <v>0</v>
      </c>
      <c r="S349" s="22">
        <v>0</v>
      </c>
      <c r="T349" s="22">
        <v>0</v>
      </c>
      <c r="U349" s="22">
        <v>0</v>
      </c>
      <c r="V349" s="22">
        <v>1</v>
      </c>
      <c r="W349" s="64">
        <f t="shared" si="254"/>
        <v>0.05</v>
      </c>
      <c r="Y349" s="8">
        <f>-1049.1*0-1051.36</f>
        <v>-1051.3599999999999</v>
      </c>
      <c r="Z349" s="8">
        <v>0</v>
      </c>
      <c r="AA349" s="8">
        <v>-8.4600000000000009</v>
      </c>
      <c r="AB349" s="8">
        <v>-2.12</v>
      </c>
      <c r="AC349" s="8">
        <v>0</v>
      </c>
      <c r="AD349" s="8">
        <f t="shared" si="270"/>
        <v>-1061.9399999999998</v>
      </c>
      <c r="AE349" s="2" t="s">
        <v>91</v>
      </c>
      <c r="AG349" s="8">
        <v>0</v>
      </c>
      <c r="AH349" s="8">
        <v>0</v>
      </c>
      <c r="AJ349" s="70">
        <v>0</v>
      </c>
      <c r="AK349" s="70">
        <v>0</v>
      </c>
      <c r="AL349" s="72">
        <v>0</v>
      </c>
      <c r="AM349" s="22"/>
      <c r="AO349" s="22" t="s">
        <v>728</v>
      </c>
      <c r="AP349" s="23" t="s">
        <v>729</v>
      </c>
      <c r="AQ349" s="22" t="s">
        <v>737</v>
      </c>
      <c r="AR349" s="51" t="str">
        <f t="shared" si="250"/>
        <v>MJD8B -LBBA-MAW</v>
      </c>
      <c r="AS349" s="3"/>
      <c r="AT349" s="22">
        <v>0</v>
      </c>
      <c r="AU349" s="22">
        <v>0</v>
      </c>
      <c r="AV349" s="22">
        <v>0</v>
      </c>
      <c r="AW349" s="22">
        <v>0</v>
      </c>
      <c r="AX349" s="22">
        <v>0</v>
      </c>
      <c r="AY349" s="22">
        <v>0</v>
      </c>
      <c r="AZ349" s="22">
        <v>0</v>
      </c>
      <c r="BA349" s="22">
        <v>1</v>
      </c>
      <c r="BB349" s="64">
        <f t="shared" si="251"/>
        <v>0.05</v>
      </c>
      <c r="BD349" s="60">
        <v>-1049.0999999999999</v>
      </c>
      <c r="BE349" s="60">
        <v>0</v>
      </c>
      <c r="BF349" s="60">
        <v>-8.4600000000000009</v>
      </c>
      <c r="BG349" s="95">
        <v>-2.12</v>
      </c>
      <c r="BH349" s="95">
        <v>0</v>
      </c>
      <c r="BI349" s="8">
        <f t="shared" si="272"/>
        <v>-1059.6799999999998</v>
      </c>
      <c r="BJ349" s="2" t="s">
        <v>91</v>
      </c>
      <c r="BL349" s="70">
        <v>0</v>
      </c>
      <c r="BM349" s="70">
        <v>0</v>
      </c>
      <c r="BO349" s="70">
        <v>0</v>
      </c>
      <c r="BP349" s="70">
        <v>0</v>
      </c>
      <c r="BQ349" s="72">
        <v>0</v>
      </c>
      <c r="BS349" s="61">
        <f t="shared" si="258"/>
        <v>-2.2599999999999909</v>
      </c>
      <c r="BT349" s="61">
        <f t="shared" si="259"/>
        <v>0</v>
      </c>
      <c r="BU349" s="61">
        <f t="shared" si="260"/>
        <v>0</v>
      </c>
      <c r="BV349" s="61">
        <f t="shared" si="260"/>
        <v>0</v>
      </c>
      <c r="BW349" s="61">
        <f t="shared" si="260"/>
        <v>0</v>
      </c>
      <c r="BX349" s="61">
        <f t="shared" si="257"/>
        <v>-2.2599999999999909</v>
      </c>
      <c r="BY349" s="61" t="s">
        <v>91</v>
      </c>
      <c r="CA349" s="61">
        <f t="shared" si="243"/>
        <v>0</v>
      </c>
      <c r="CB349" s="61">
        <f t="shared" si="243"/>
        <v>0</v>
      </c>
      <c r="CC349" s="61">
        <f t="shared" si="243"/>
        <v>0</v>
      </c>
      <c r="CD349" s="61">
        <f t="shared" si="243"/>
        <v>0</v>
      </c>
      <c r="CE349" s="61">
        <f t="shared" si="264"/>
        <v>0</v>
      </c>
      <c r="CF349" s="61">
        <f t="shared" si="264"/>
        <v>0</v>
      </c>
      <c r="CG349" s="61">
        <f t="shared" si="264"/>
        <v>0</v>
      </c>
      <c r="CH349" s="61">
        <f t="shared" si="264"/>
        <v>-0.34000300887618334</v>
      </c>
      <c r="CI349" s="61">
        <f t="shared" si="266"/>
        <v>-1.7000150443809169E-2</v>
      </c>
      <c r="CJ349" s="61"/>
      <c r="CK349" s="61">
        <f t="shared" si="244"/>
        <v>0</v>
      </c>
      <c r="CL349" s="61">
        <f t="shared" si="244"/>
        <v>0</v>
      </c>
      <c r="CM349" s="61">
        <f t="shared" si="244"/>
        <v>0</v>
      </c>
      <c r="CN349" s="61">
        <f t="shared" si="244"/>
        <v>0</v>
      </c>
      <c r="CO349" s="61">
        <f t="shared" si="265"/>
        <v>0</v>
      </c>
      <c r="CP349" s="61">
        <f t="shared" si="265"/>
        <v>0</v>
      </c>
      <c r="CQ349" s="61">
        <f t="shared" si="265"/>
        <v>0</v>
      </c>
      <c r="CR349" s="61">
        <f t="shared" si="265"/>
        <v>-0.34000300887618334</v>
      </c>
      <c r="CS349" s="61">
        <f t="shared" si="267"/>
        <v>-1.7000150443809169E-2</v>
      </c>
      <c r="CT349" s="61">
        <f t="shared" si="268"/>
        <v>-0.11299999999999955</v>
      </c>
      <c r="CV349" s="61">
        <f t="shared" si="269"/>
        <v>0</v>
      </c>
      <c r="CW349" s="61">
        <f t="shared" si="261"/>
        <v>0</v>
      </c>
      <c r="CX349" s="61"/>
      <c r="CY349" s="61">
        <f t="shared" si="262"/>
        <v>0</v>
      </c>
      <c r="CZ349" s="61">
        <f t="shared" si="271"/>
        <v>0</v>
      </c>
      <c r="DA349" s="61">
        <f t="shared" si="271"/>
        <v>0</v>
      </c>
      <c r="DB349" s="2" t="s">
        <v>85</v>
      </c>
      <c r="DC349" s="2" t="s">
        <v>289</v>
      </c>
      <c r="DD349" s="2" t="s">
        <v>142</v>
      </c>
      <c r="DE349" s="2" t="s">
        <v>181</v>
      </c>
      <c r="DG349" s="62"/>
      <c r="DZ349" s="3" t="e">
        <v>#N/A</v>
      </c>
      <c r="EC349" s="60"/>
      <c r="ED349" s="60"/>
      <c r="EE349" s="60"/>
      <c r="EF349" s="60"/>
    </row>
    <row r="350" spans="2:140" ht="12.75" hidden="1" customHeight="1">
      <c r="B350" s="99" t="s">
        <v>748</v>
      </c>
      <c r="C350" s="22" t="s">
        <v>684</v>
      </c>
      <c r="D350" s="22" t="s">
        <v>749</v>
      </c>
      <c r="E350" s="2" t="str">
        <f>VLOOKUP($C350,[1]Detail!$C:$AK,6,0)</f>
        <v>BIW</v>
      </c>
      <c r="F350" s="2" t="s">
        <v>273</v>
      </c>
      <c r="G350" s="2" t="str">
        <f>VLOOKUP($C350,[1]Detail!$C:$AK,5,0)</f>
        <v>D</v>
      </c>
      <c r="J350" s="22" t="s">
        <v>126</v>
      </c>
      <c r="K350" s="23" t="s">
        <v>750</v>
      </c>
      <c r="L350" s="22" t="s">
        <v>100</v>
      </c>
      <c r="M350" s="51" t="str">
        <f t="shared" si="253"/>
        <v>JD8B-R6K034 -AA</v>
      </c>
      <c r="O350" s="22">
        <v>1</v>
      </c>
      <c r="P350" s="22">
        <v>1</v>
      </c>
      <c r="Q350" s="22">
        <v>1</v>
      </c>
      <c r="R350" s="22">
        <v>1</v>
      </c>
      <c r="S350" s="22">
        <v>1</v>
      </c>
      <c r="T350" s="22">
        <v>1</v>
      </c>
      <c r="U350" s="22">
        <v>1</v>
      </c>
      <c r="V350" s="22">
        <v>1</v>
      </c>
      <c r="W350" s="64">
        <f t="shared" si="254"/>
        <v>1</v>
      </c>
      <c r="Y350" s="8">
        <v>-14.96</v>
      </c>
      <c r="Z350" s="8">
        <v>-0.37</v>
      </c>
      <c r="AA350" s="8">
        <v>-0.37</v>
      </c>
      <c r="AB350" s="8">
        <v>0</v>
      </c>
      <c r="AC350" s="8">
        <v>0</v>
      </c>
      <c r="AD350" s="8">
        <f t="shared" si="270"/>
        <v>-15.7</v>
      </c>
      <c r="AE350" s="2" t="s">
        <v>91</v>
      </c>
      <c r="AG350" s="8">
        <v>-515267</v>
      </c>
      <c r="AH350" s="8">
        <v>-515267</v>
      </c>
      <c r="AI350" s="6"/>
      <c r="AJ350" s="70">
        <v>0</v>
      </c>
      <c r="AK350" s="70">
        <v>0</v>
      </c>
      <c r="AL350" s="72">
        <v>0</v>
      </c>
      <c r="AM350" s="22"/>
      <c r="AO350" s="22" t="s">
        <v>751</v>
      </c>
      <c r="AP350" s="23" t="s">
        <v>750</v>
      </c>
      <c r="AQ350" s="22" t="s">
        <v>132</v>
      </c>
      <c r="AR350" s="51" t="str">
        <f t="shared" si="250"/>
        <v>AV61-R6K034 -AB</v>
      </c>
      <c r="AS350" s="3"/>
      <c r="AT350" s="22">
        <v>1</v>
      </c>
      <c r="AU350" s="22">
        <v>1</v>
      </c>
      <c r="AV350" s="22">
        <v>1</v>
      </c>
      <c r="AW350" s="22">
        <v>1</v>
      </c>
      <c r="AX350" s="22">
        <v>1</v>
      </c>
      <c r="AY350" s="22">
        <v>1</v>
      </c>
      <c r="AZ350" s="22">
        <v>1</v>
      </c>
      <c r="BA350" s="22">
        <v>1</v>
      </c>
      <c r="BB350" s="64">
        <f t="shared" si="251"/>
        <v>1</v>
      </c>
      <c r="BD350" s="60">
        <v>-14.65</v>
      </c>
      <c r="BE350" s="60">
        <v>-0.37</v>
      </c>
      <c r="BF350" s="95">
        <v>-0.37</v>
      </c>
      <c r="BG350" s="95">
        <v>0</v>
      </c>
      <c r="BH350" s="95">
        <v>0</v>
      </c>
      <c r="BI350" s="8">
        <f t="shared" si="272"/>
        <v>-15.389999999999999</v>
      </c>
      <c r="BJ350" s="2" t="s">
        <v>91</v>
      </c>
      <c r="BL350" s="70">
        <v>0</v>
      </c>
      <c r="BM350" s="70">
        <v>0</v>
      </c>
      <c r="BO350" s="70">
        <v>0</v>
      </c>
      <c r="BP350" s="70">
        <v>0</v>
      </c>
      <c r="BQ350" s="72">
        <v>0</v>
      </c>
      <c r="BS350" s="61">
        <f t="shared" si="258"/>
        <v>-0.3100000000000005</v>
      </c>
      <c r="BT350" s="61">
        <f t="shared" si="259"/>
        <v>0</v>
      </c>
      <c r="BU350" s="61">
        <f t="shared" si="260"/>
        <v>0</v>
      </c>
      <c r="BV350" s="61">
        <f t="shared" si="260"/>
        <v>0</v>
      </c>
      <c r="BW350" s="61">
        <f t="shared" si="260"/>
        <v>0</v>
      </c>
      <c r="BX350" s="61">
        <f t="shared" si="257"/>
        <v>-0.3100000000000005</v>
      </c>
      <c r="BY350" s="61" t="s">
        <v>91</v>
      </c>
      <c r="CA350" s="61">
        <f t="shared" si="243"/>
        <v>-4.6637580863547537E-2</v>
      </c>
      <c r="CB350" s="61">
        <f t="shared" si="243"/>
        <v>-4.6637580863547537E-2</v>
      </c>
      <c r="CC350" s="61">
        <f t="shared" si="243"/>
        <v>-4.6637580863547537E-2</v>
      </c>
      <c r="CD350" s="61">
        <f t="shared" si="243"/>
        <v>-4.6637580863547537E-2</v>
      </c>
      <c r="CE350" s="61">
        <f t="shared" si="264"/>
        <v>-4.6637580863547537E-2</v>
      </c>
      <c r="CF350" s="61">
        <f t="shared" si="264"/>
        <v>-4.6637580863547537E-2</v>
      </c>
      <c r="CG350" s="61">
        <f t="shared" si="264"/>
        <v>-4.6637580863547537E-2</v>
      </c>
      <c r="CH350" s="61">
        <f t="shared" si="264"/>
        <v>-4.6637580863547537E-2</v>
      </c>
      <c r="CI350" s="61">
        <f t="shared" si="266"/>
        <v>-4.6637580863547537E-2</v>
      </c>
      <c r="CJ350" s="61"/>
      <c r="CK350" s="61">
        <f t="shared" si="244"/>
        <v>-4.6637580863547537E-2</v>
      </c>
      <c r="CL350" s="61">
        <f t="shared" si="244"/>
        <v>-4.6637580863547537E-2</v>
      </c>
      <c r="CM350" s="61">
        <f t="shared" si="244"/>
        <v>-4.6637580863547537E-2</v>
      </c>
      <c r="CN350" s="61">
        <f t="shared" si="244"/>
        <v>-4.6637580863547537E-2</v>
      </c>
      <c r="CO350" s="61">
        <f t="shared" si="265"/>
        <v>-4.6637580863547537E-2</v>
      </c>
      <c r="CP350" s="61">
        <f t="shared" si="265"/>
        <v>-4.6637580863547537E-2</v>
      </c>
      <c r="CQ350" s="61">
        <f t="shared" si="265"/>
        <v>-4.6637580863547537E-2</v>
      </c>
      <c r="CR350" s="61">
        <f t="shared" si="265"/>
        <v>-4.6637580863547537E-2</v>
      </c>
      <c r="CS350" s="61">
        <f t="shared" si="267"/>
        <v>-4.6637580863547537E-2</v>
      </c>
      <c r="CT350" s="61">
        <f t="shared" si="268"/>
        <v>-0.3100000000000005</v>
      </c>
      <c r="CV350" s="61">
        <f t="shared" si="269"/>
        <v>-515267</v>
      </c>
      <c r="CW350" s="61">
        <f t="shared" si="261"/>
        <v>-515267</v>
      </c>
      <c r="CX350" s="61"/>
      <c r="CY350" s="61">
        <f t="shared" si="262"/>
        <v>0</v>
      </c>
      <c r="CZ350" s="61">
        <f t="shared" si="271"/>
        <v>0</v>
      </c>
      <c r="DA350" s="61">
        <f t="shared" si="271"/>
        <v>0</v>
      </c>
      <c r="DB350" s="2" t="s">
        <v>85</v>
      </c>
      <c r="DC350" s="2" t="s">
        <v>102</v>
      </c>
      <c r="DD350" s="2" t="s">
        <v>142</v>
      </c>
      <c r="DE350" s="2" t="s">
        <v>181</v>
      </c>
      <c r="DF350" s="3" t="s">
        <v>86</v>
      </c>
      <c r="DG350" s="62">
        <v>42836</v>
      </c>
      <c r="EC350" s="60"/>
      <c r="ED350" s="60"/>
      <c r="EE350" s="60"/>
      <c r="EF350" s="60"/>
    </row>
    <row r="351" spans="2:140" ht="12.75" hidden="1" customHeight="1">
      <c r="B351" s="99" t="s">
        <v>752</v>
      </c>
      <c r="C351" s="22" t="s">
        <v>684</v>
      </c>
      <c r="D351" s="22" t="s">
        <v>749</v>
      </c>
      <c r="E351" s="2" t="str">
        <f>VLOOKUP($C351,[1]Detail!$C:$AK,6,0)</f>
        <v>BIW</v>
      </c>
      <c r="F351" s="2" t="s">
        <v>273</v>
      </c>
      <c r="G351" s="2" t="str">
        <f>VLOOKUP($C351,[1]Detail!$C:$AK,5,0)</f>
        <v>D</v>
      </c>
      <c r="J351" s="22" t="s">
        <v>126</v>
      </c>
      <c r="K351" s="23" t="s">
        <v>750</v>
      </c>
      <c r="L351" s="22" t="s">
        <v>100</v>
      </c>
      <c r="M351" s="51" t="str">
        <f t="shared" si="253"/>
        <v>JD8B-R6K034 -AA</v>
      </c>
      <c r="O351" s="22">
        <v>1</v>
      </c>
      <c r="P351" s="22">
        <v>1</v>
      </c>
      <c r="Q351" s="22">
        <v>1</v>
      </c>
      <c r="R351" s="22">
        <v>1</v>
      </c>
      <c r="S351" s="22">
        <v>1</v>
      </c>
      <c r="T351" s="22">
        <v>1</v>
      </c>
      <c r="U351" s="22">
        <v>1</v>
      </c>
      <c r="V351" s="22">
        <v>1</v>
      </c>
      <c r="W351" s="64">
        <f t="shared" si="254"/>
        <v>1</v>
      </c>
      <c r="Y351" s="8">
        <f>-14.96*0-13.6</f>
        <v>-13.6</v>
      </c>
      <c r="Z351" s="8">
        <v>-0.37</v>
      </c>
      <c r="AA351" s="8">
        <v>-0.37</v>
      </c>
      <c r="AB351" s="8">
        <v>0</v>
      </c>
      <c r="AC351" s="8">
        <v>0</v>
      </c>
      <c r="AD351" s="8">
        <f t="shared" si="270"/>
        <v>-14.339999999999998</v>
      </c>
      <c r="AE351" s="2" t="s">
        <v>91</v>
      </c>
      <c r="AG351" s="8">
        <v>-515267</v>
      </c>
      <c r="AH351" s="8">
        <v>-515267</v>
      </c>
      <c r="AI351" s="6"/>
      <c r="AJ351" s="70">
        <v>0</v>
      </c>
      <c r="AK351" s="70">
        <v>0</v>
      </c>
      <c r="AL351" s="72">
        <v>0</v>
      </c>
      <c r="AM351" s="22"/>
      <c r="AO351" s="22" t="s">
        <v>126</v>
      </c>
      <c r="AP351" s="23" t="s">
        <v>750</v>
      </c>
      <c r="AQ351" s="22" t="s">
        <v>100</v>
      </c>
      <c r="AR351" s="51" t="str">
        <f t="shared" si="250"/>
        <v>JD8B-R6K034 -AA</v>
      </c>
      <c r="AS351" s="3"/>
      <c r="AT351" s="22">
        <v>1</v>
      </c>
      <c r="AU351" s="22">
        <v>1</v>
      </c>
      <c r="AV351" s="22">
        <v>1</v>
      </c>
      <c r="AW351" s="22">
        <v>1</v>
      </c>
      <c r="AX351" s="22">
        <v>1</v>
      </c>
      <c r="AY351" s="22">
        <v>1</v>
      </c>
      <c r="AZ351" s="22">
        <v>1</v>
      </c>
      <c r="BA351" s="22">
        <v>1</v>
      </c>
      <c r="BB351" s="64">
        <f t="shared" si="251"/>
        <v>1</v>
      </c>
      <c r="BD351" s="60">
        <v>-14.96</v>
      </c>
      <c r="BE351" s="60">
        <v>-0.37</v>
      </c>
      <c r="BF351" s="95">
        <v>-0.37</v>
      </c>
      <c r="BG351" s="95">
        <v>0</v>
      </c>
      <c r="BH351" s="95">
        <v>0</v>
      </c>
      <c r="BI351" s="8">
        <f t="shared" si="272"/>
        <v>-15.7</v>
      </c>
      <c r="BJ351" s="2" t="s">
        <v>91</v>
      </c>
      <c r="BL351" s="70">
        <v>-515267</v>
      </c>
      <c r="BM351" s="70">
        <v>-515267</v>
      </c>
      <c r="BO351" s="70">
        <v>0</v>
      </c>
      <c r="BP351" s="70">
        <v>0</v>
      </c>
      <c r="BQ351" s="72">
        <v>0</v>
      </c>
      <c r="BS351" s="61">
        <f t="shared" si="258"/>
        <v>1.3600000000000012</v>
      </c>
      <c r="BT351" s="61">
        <f t="shared" si="259"/>
        <v>0</v>
      </c>
      <c r="BU351" s="61">
        <f t="shared" si="260"/>
        <v>0</v>
      </c>
      <c r="BV351" s="61">
        <f t="shared" si="260"/>
        <v>0</v>
      </c>
      <c r="BW351" s="61">
        <f t="shared" si="260"/>
        <v>0</v>
      </c>
      <c r="BX351" s="61">
        <f t="shared" si="257"/>
        <v>1.3600000000000012</v>
      </c>
      <c r="BY351" s="61" t="s">
        <v>91</v>
      </c>
      <c r="CA351" s="61">
        <f t="shared" si="243"/>
        <v>0.20460358056266001</v>
      </c>
      <c r="CB351" s="61">
        <f t="shared" si="243"/>
        <v>0.20460358056266001</v>
      </c>
      <c r="CC351" s="61">
        <f t="shared" si="243"/>
        <v>0.20460358056266001</v>
      </c>
      <c r="CD351" s="61">
        <f t="shared" si="243"/>
        <v>0.20460358056266001</v>
      </c>
      <c r="CE351" s="61">
        <f t="shared" si="264"/>
        <v>0.20460358056266001</v>
      </c>
      <c r="CF351" s="61">
        <f t="shared" si="264"/>
        <v>0.20460358056266001</v>
      </c>
      <c r="CG351" s="61">
        <f t="shared" si="264"/>
        <v>0.20460358056266001</v>
      </c>
      <c r="CH351" s="61">
        <f t="shared" si="264"/>
        <v>0.20460358056266001</v>
      </c>
      <c r="CI351" s="61">
        <f t="shared" si="266"/>
        <v>0.20460358056266004</v>
      </c>
      <c r="CJ351" s="61"/>
      <c r="CK351" s="61">
        <f t="shared" si="244"/>
        <v>0.20460358056266001</v>
      </c>
      <c r="CL351" s="61">
        <f t="shared" si="244"/>
        <v>0.20460358056266001</v>
      </c>
      <c r="CM351" s="61">
        <f t="shared" si="244"/>
        <v>0.20460358056266001</v>
      </c>
      <c r="CN351" s="61">
        <f t="shared" si="244"/>
        <v>0.20460358056266001</v>
      </c>
      <c r="CO351" s="61">
        <f t="shared" si="265"/>
        <v>0.20460358056266001</v>
      </c>
      <c r="CP351" s="61">
        <f t="shared" si="265"/>
        <v>0.20460358056266001</v>
      </c>
      <c r="CQ351" s="61">
        <f t="shared" si="265"/>
        <v>0.20460358056266001</v>
      </c>
      <c r="CR351" s="61">
        <f t="shared" si="265"/>
        <v>0.20460358056266001</v>
      </c>
      <c r="CS351" s="61">
        <f t="shared" si="267"/>
        <v>0.20460358056266004</v>
      </c>
      <c r="CT351" s="61">
        <f t="shared" si="268"/>
        <v>1.3600000000000012</v>
      </c>
      <c r="CV351" s="61">
        <f t="shared" si="269"/>
        <v>0</v>
      </c>
      <c r="CW351" s="61">
        <f t="shared" si="261"/>
        <v>0</v>
      </c>
      <c r="CX351" s="61"/>
      <c r="CY351" s="61">
        <f t="shared" si="262"/>
        <v>0</v>
      </c>
      <c r="CZ351" s="61">
        <f t="shared" si="271"/>
        <v>0</v>
      </c>
      <c r="DA351" s="61">
        <f t="shared" si="271"/>
        <v>0</v>
      </c>
      <c r="DB351" s="2" t="s">
        <v>102</v>
      </c>
      <c r="DC351" s="2" t="s">
        <v>85</v>
      </c>
      <c r="DD351" s="2" t="s">
        <v>142</v>
      </c>
      <c r="DE351" s="2" t="s">
        <v>181</v>
      </c>
      <c r="DF351" s="3" t="s">
        <v>86</v>
      </c>
      <c r="DG351" s="62">
        <v>42836</v>
      </c>
      <c r="EC351" s="60" t="str">
        <f>VLOOKUP($M351,[1]Detail!$M:$BO,1,0)</f>
        <v>JD8B-R6K034 -AA</v>
      </c>
      <c r="ED351" s="60">
        <f>VLOOKUP($M351,[1]Detail!$M:$BO,22,0)</f>
        <v>-14.339999999999998</v>
      </c>
      <c r="EE351" s="60">
        <f>VLOOKUP($M351,[1]Detail!$M:$BO,42,0)</f>
        <v>-515267</v>
      </c>
      <c r="EF351" s="60">
        <f>VLOOKUP($M351,[1]Detail!$M:$BO,45,0)</f>
        <v>0</v>
      </c>
      <c r="EH351" s="60">
        <f>ED351-AD351</f>
        <v>0</v>
      </c>
      <c r="EI351" s="60">
        <f>EE351-AG351</f>
        <v>0</v>
      </c>
      <c r="EJ351" s="60">
        <f>EF351-AJ351</f>
        <v>0</v>
      </c>
    </row>
    <row r="352" spans="2:140" ht="12.75" hidden="1" customHeight="1">
      <c r="B352" s="99" t="s">
        <v>753</v>
      </c>
      <c r="C352" s="22" t="s">
        <v>754</v>
      </c>
      <c r="D352" s="22" t="s">
        <v>755</v>
      </c>
      <c r="E352" s="2" t="str">
        <f>VLOOKUP($C352,[1]Detail!$C:$AK,6,0)</f>
        <v>PMT4</v>
      </c>
      <c r="F352" s="2" t="str">
        <f>VLOOKUP($C352,[1]Detail!$C:$AK,7,0)</f>
        <v>PF</v>
      </c>
      <c r="G352" s="2" t="str">
        <f>VLOOKUP($C352,[1]Detail!$C:$AK,5,0)</f>
        <v>B</v>
      </c>
      <c r="J352" s="22" t="s">
        <v>315</v>
      </c>
      <c r="K352" s="23" t="s">
        <v>756</v>
      </c>
      <c r="L352" s="22" t="s">
        <v>113</v>
      </c>
      <c r="M352" s="51" t="str">
        <f t="shared" si="253"/>
        <v>JD8R-7E395-CA</v>
      </c>
      <c r="O352" s="22">
        <v>1</v>
      </c>
      <c r="P352" s="22">
        <v>0</v>
      </c>
      <c r="Q352" s="22">
        <v>1</v>
      </c>
      <c r="R352" s="22">
        <v>0</v>
      </c>
      <c r="S352" s="22">
        <v>0</v>
      </c>
      <c r="T352" s="22">
        <v>0</v>
      </c>
      <c r="U352" s="22">
        <v>0</v>
      </c>
      <c r="V352" s="22">
        <v>0</v>
      </c>
      <c r="W352" s="64">
        <f t="shared" si="254"/>
        <v>0.28000000000000003</v>
      </c>
      <c r="Y352" s="8">
        <v>-85.51</v>
      </c>
      <c r="Z352" s="8">
        <v>-0.66</v>
      </c>
      <c r="AA352" s="8">
        <v>-1.5</v>
      </c>
      <c r="AB352" s="8">
        <v>0</v>
      </c>
      <c r="AC352" s="8">
        <v>0</v>
      </c>
      <c r="AD352" s="8">
        <f t="shared" si="270"/>
        <v>-87.67</v>
      </c>
      <c r="AE352" s="2" t="s">
        <v>91</v>
      </c>
      <c r="AG352" s="8">
        <v>-300000</v>
      </c>
      <c r="AH352" s="8">
        <v>-300000</v>
      </c>
      <c r="AI352" s="6"/>
      <c r="AJ352" s="70">
        <v>0</v>
      </c>
      <c r="AK352" s="70">
        <v>0</v>
      </c>
      <c r="AL352" s="72">
        <v>0</v>
      </c>
      <c r="AM352" s="22"/>
      <c r="AO352" s="22" t="s">
        <v>315</v>
      </c>
      <c r="AP352" s="23" t="s">
        <v>756</v>
      </c>
      <c r="AQ352" s="22" t="s">
        <v>113</v>
      </c>
      <c r="AR352" s="51" t="str">
        <f t="shared" si="250"/>
        <v>JD8R-7E395-CA</v>
      </c>
      <c r="AS352" s="3"/>
      <c r="AT352" s="22">
        <v>1</v>
      </c>
      <c r="AU352" s="22">
        <v>0</v>
      </c>
      <c r="AV352" s="22">
        <v>1</v>
      </c>
      <c r="AW352" s="22">
        <v>0</v>
      </c>
      <c r="AX352" s="22">
        <v>0</v>
      </c>
      <c r="AY352" s="22">
        <v>0</v>
      </c>
      <c r="AZ352" s="22">
        <v>0</v>
      </c>
      <c r="BA352" s="22">
        <v>0</v>
      </c>
      <c r="BB352" s="64">
        <f t="shared" si="251"/>
        <v>0.28000000000000003</v>
      </c>
      <c r="BD352" s="60">
        <v>-85.51</v>
      </c>
      <c r="BE352" s="60">
        <v>-0.66</v>
      </c>
      <c r="BF352" s="95">
        <v>-1.5</v>
      </c>
      <c r="BG352" s="95">
        <v>0</v>
      </c>
      <c r="BH352" s="95">
        <v>0</v>
      </c>
      <c r="BI352" s="8">
        <f t="shared" si="272"/>
        <v>-87.67</v>
      </c>
      <c r="BJ352" s="2" t="s">
        <v>91</v>
      </c>
      <c r="BL352" s="70">
        <v>-300000</v>
      </c>
      <c r="BM352" s="70">
        <v>-300000</v>
      </c>
      <c r="BO352" s="70">
        <v>0</v>
      </c>
      <c r="BP352" s="70">
        <v>0</v>
      </c>
      <c r="BQ352" s="72">
        <v>0</v>
      </c>
      <c r="BS352" s="61">
        <f t="shared" si="258"/>
        <v>0</v>
      </c>
      <c r="BT352" s="61">
        <f t="shared" si="259"/>
        <v>0</v>
      </c>
      <c r="BU352" s="61">
        <f t="shared" si="260"/>
        <v>0</v>
      </c>
      <c r="BV352" s="61">
        <f t="shared" si="260"/>
        <v>0</v>
      </c>
      <c r="BW352" s="61">
        <f t="shared" si="260"/>
        <v>0</v>
      </c>
      <c r="BX352" s="61">
        <f t="shared" si="257"/>
        <v>0</v>
      </c>
      <c r="BY352" s="61" t="s">
        <v>91</v>
      </c>
      <c r="CA352" s="61">
        <f t="shared" si="243"/>
        <v>0</v>
      </c>
      <c r="CB352" s="61">
        <f t="shared" si="243"/>
        <v>0</v>
      </c>
      <c r="CC352" s="61">
        <f t="shared" si="243"/>
        <v>0</v>
      </c>
      <c r="CD352" s="61">
        <f t="shared" si="243"/>
        <v>0</v>
      </c>
      <c r="CE352" s="61">
        <f t="shared" si="264"/>
        <v>0</v>
      </c>
      <c r="CF352" s="61">
        <f t="shared" si="264"/>
        <v>0</v>
      </c>
      <c r="CG352" s="61">
        <f t="shared" si="264"/>
        <v>0</v>
      </c>
      <c r="CH352" s="61">
        <f t="shared" si="264"/>
        <v>0</v>
      </c>
      <c r="CI352" s="61">
        <f t="shared" si="266"/>
        <v>0</v>
      </c>
      <c r="CJ352" s="61"/>
      <c r="CK352" s="61">
        <f t="shared" si="244"/>
        <v>0</v>
      </c>
      <c r="CL352" s="61">
        <f t="shared" si="244"/>
        <v>0</v>
      </c>
      <c r="CM352" s="61">
        <f t="shared" si="244"/>
        <v>0</v>
      </c>
      <c r="CN352" s="61">
        <f t="shared" si="244"/>
        <v>0</v>
      </c>
      <c r="CO352" s="61">
        <f t="shared" si="265"/>
        <v>0</v>
      </c>
      <c r="CP352" s="61">
        <f t="shared" si="265"/>
        <v>0</v>
      </c>
      <c r="CQ352" s="61">
        <f t="shared" si="265"/>
        <v>0</v>
      </c>
      <c r="CR352" s="61">
        <f t="shared" si="265"/>
        <v>0</v>
      </c>
      <c r="CS352" s="61">
        <f t="shared" si="267"/>
        <v>0</v>
      </c>
      <c r="CT352" s="61">
        <f t="shared" si="268"/>
        <v>0</v>
      </c>
      <c r="CV352" s="61">
        <f t="shared" si="269"/>
        <v>0</v>
      </c>
      <c r="CW352" s="61">
        <f t="shared" si="261"/>
        <v>0</v>
      </c>
      <c r="CX352" s="61"/>
      <c r="CY352" s="61">
        <f t="shared" si="262"/>
        <v>0</v>
      </c>
      <c r="CZ352" s="61">
        <f t="shared" si="271"/>
        <v>0</v>
      </c>
      <c r="DA352" s="61">
        <f t="shared" si="271"/>
        <v>0</v>
      </c>
      <c r="DB352" s="2" t="s">
        <v>85</v>
      </c>
      <c r="DC352" s="2" t="s">
        <v>102</v>
      </c>
      <c r="DD352" s="2" t="s">
        <v>142</v>
      </c>
      <c r="DE352" s="2" t="s">
        <v>181</v>
      </c>
      <c r="DF352" s="3" t="s">
        <v>86</v>
      </c>
      <c r="DG352" s="62">
        <v>42850</v>
      </c>
      <c r="EC352" s="60"/>
      <c r="ED352" s="60"/>
      <c r="EE352" s="60"/>
      <c r="EF352" s="60"/>
    </row>
    <row r="353" spans="2:140" ht="12.75" hidden="1" customHeight="1">
      <c r="B353" s="99" t="s">
        <v>753</v>
      </c>
      <c r="C353" s="22" t="s">
        <v>754</v>
      </c>
      <c r="D353" s="22" t="s">
        <v>755</v>
      </c>
      <c r="E353" s="2" t="str">
        <f>VLOOKUP($C353,[1]Detail!$C:$AK,6,0)</f>
        <v>PMT4</v>
      </c>
      <c r="F353" s="2" t="str">
        <f>VLOOKUP($C353,[1]Detail!$C:$AK,7,0)</f>
        <v>PF</v>
      </c>
      <c r="G353" s="2" t="str">
        <f>VLOOKUP($C353,[1]Detail!$C:$AK,5,0)</f>
        <v>B</v>
      </c>
      <c r="J353" s="22" t="s">
        <v>315</v>
      </c>
      <c r="K353" s="23" t="s">
        <v>756</v>
      </c>
      <c r="L353" s="22" t="s">
        <v>115</v>
      </c>
      <c r="M353" s="51" t="str">
        <f t="shared" si="253"/>
        <v>JD8R-7E395-DA</v>
      </c>
      <c r="O353" s="22">
        <v>0</v>
      </c>
      <c r="P353" s="22">
        <v>0</v>
      </c>
      <c r="Q353" s="22">
        <v>0</v>
      </c>
      <c r="R353" s="22">
        <v>0</v>
      </c>
      <c r="S353" s="22">
        <v>1</v>
      </c>
      <c r="T353" s="22">
        <v>0</v>
      </c>
      <c r="U353" s="22">
        <v>0</v>
      </c>
      <c r="V353" s="22">
        <v>0</v>
      </c>
      <c r="W353" s="64">
        <f t="shared" si="254"/>
        <v>0.09</v>
      </c>
      <c r="Y353" s="8">
        <v>-86.18</v>
      </c>
      <c r="Z353" s="8">
        <v>-0.66</v>
      </c>
      <c r="AA353" s="8">
        <v>-1.5</v>
      </c>
      <c r="AB353" s="8">
        <v>0</v>
      </c>
      <c r="AC353" s="8">
        <v>0</v>
      </c>
      <c r="AD353" s="8">
        <f t="shared" si="270"/>
        <v>-88.34</v>
      </c>
      <c r="AE353" s="2" t="s">
        <v>91</v>
      </c>
      <c r="AG353" s="8">
        <v>0</v>
      </c>
      <c r="AH353" s="8">
        <v>0</v>
      </c>
      <c r="AJ353" s="70">
        <v>0</v>
      </c>
      <c r="AK353" s="70">
        <v>0</v>
      </c>
      <c r="AL353" s="72">
        <v>0</v>
      </c>
      <c r="AM353" s="22"/>
      <c r="AO353" s="22" t="s">
        <v>315</v>
      </c>
      <c r="AP353" s="23" t="s">
        <v>756</v>
      </c>
      <c r="AQ353" s="22" t="s">
        <v>115</v>
      </c>
      <c r="AR353" s="51" t="str">
        <f t="shared" si="250"/>
        <v>JD8R-7E395-DA</v>
      </c>
      <c r="AS353" s="3"/>
      <c r="AT353" s="22">
        <v>0</v>
      </c>
      <c r="AU353" s="22">
        <v>0</v>
      </c>
      <c r="AV353" s="22">
        <v>0</v>
      </c>
      <c r="AW353" s="22">
        <v>0</v>
      </c>
      <c r="AX353" s="22">
        <v>1</v>
      </c>
      <c r="AY353" s="22">
        <v>0</v>
      </c>
      <c r="AZ353" s="22">
        <v>0</v>
      </c>
      <c r="BA353" s="22">
        <v>0</v>
      </c>
      <c r="BB353" s="64">
        <f t="shared" si="251"/>
        <v>0.09</v>
      </c>
      <c r="BD353" s="60">
        <v>-86.18</v>
      </c>
      <c r="BE353" s="60">
        <v>-0.66</v>
      </c>
      <c r="BF353" s="95">
        <v>-1.5</v>
      </c>
      <c r="BG353" s="95">
        <v>0</v>
      </c>
      <c r="BH353" s="95">
        <v>0</v>
      </c>
      <c r="BI353" s="8">
        <f t="shared" si="272"/>
        <v>-88.34</v>
      </c>
      <c r="BJ353" s="2" t="s">
        <v>91</v>
      </c>
      <c r="BL353" s="70">
        <v>0</v>
      </c>
      <c r="BM353" s="70">
        <v>0</v>
      </c>
      <c r="BO353" s="70">
        <v>0</v>
      </c>
      <c r="BP353" s="70">
        <v>0</v>
      </c>
      <c r="BQ353" s="72">
        <v>0</v>
      </c>
      <c r="BS353" s="61">
        <f t="shared" si="258"/>
        <v>0</v>
      </c>
      <c r="BT353" s="61">
        <f t="shared" si="259"/>
        <v>0</v>
      </c>
      <c r="BU353" s="61">
        <f t="shared" si="260"/>
        <v>0</v>
      </c>
      <c r="BV353" s="61">
        <f t="shared" si="260"/>
        <v>0</v>
      </c>
      <c r="BW353" s="61">
        <f t="shared" si="260"/>
        <v>0</v>
      </c>
      <c r="BX353" s="61">
        <f t="shared" si="257"/>
        <v>0</v>
      </c>
      <c r="BY353" s="61" t="s">
        <v>91</v>
      </c>
      <c r="CA353" s="61">
        <f t="shared" ref="CA353:CG416" si="273">($Y353*O353-AT353*$BD353)/$C$2</f>
        <v>0</v>
      </c>
      <c r="CB353" s="61">
        <f t="shared" si="273"/>
        <v>0</v>
      </c>
      <c r="CC353" s="61">
        <f t="shared" si="273"/>
        <v>0</v>
      </c>
      <c r="CD353" s="61">
        <f t="shared" si="273"/>
        <v>0</v>
      </c>
      <c r="CE353" s="61">
        <f t="shared" si="264"/>
        <v>0</v>
      </c>
      <c r="CF353" s="61">
        <f t="shared" si="264"/>
        <v>0</v>
      </c>
      <c r="CG353" s="61">
        <f t="shared" si="264"/>
        <v>0</v>
      </c>
      <c r="CH353" s="61">
        <f t="shared" si="264"/>
        <v>0</v>
      </c>
      <c r="CI353" s="61">
        <f t="shared" si="266"/>
        <v>0</v>
      </c>
      <c r="CJ353" s="61"/>
      <c r="CK353" s="61">
        <f t="shared" ref="CK353:CQ416" si="274">(O353*$AD353-AT353*$BI353)/$C$2</f>
        <v>0</v>
      </c>
      <c r="CL353" s="61">
        <f t="shared" si="274"/>
        <v>0</v>
      </c>
      <c r="CM353" s="61">
        <f t="shared" si="274"/>
        <v>0</v>
      </c>
      <c r="CN353" s="61">
        <f t="shared" si="274"/>
        <v>0</v>
      </c>
      <c r="CO353" s="61">
        <f t="shared" si="265"/>
        <v>0</v>
      </c>
      <c r="CP353" s="61">
        <f t="shared" si="265"/>
        <v>0</v>
      </c>
      <c r="CQ353" s="61">
        <f t="shared" si="265"/>
        <v>0</v>
      </c>
      <c r="CR353" s="61">
        <f t="shared" si="265"/>
        <v>0</v>
      </c>
      <c r="CS353" s="61">
        <f t="shared" si="267"/>
        <v>0</v>
      </c>
      <c r="CT353" s="61">
        <f t="shared" si="268"/>
        <v>0</v>
      </c>
      <c r="CV353" s="61">
        <f t="shared" si="269"/>
        <v>0</v>
      </c>
      <c r="CW353" s="61">
        <f t="shared" si="261"/>
        <v>0</v>
      </c>
      <c r="CX353" s="61"/>
      <c r="CY353" s="61">
        <f t="shared" si="262"/>
        <v>0</v>
      </c>
      <c r="CZ353" s="61">
        <f t="shared" si="271"/>
        <v>0</v>
      </c>
      <c r="DA353" s="61">
        <f t="shared" si="271"/>
        <v>0</v>
      </c>
      <c r="DB353" s="2" t="s">
        <v>85</v>
      </c>
      <c r="DC353" s="2" t="s">
        <v>102</v>
      </c>
      <c r="DD353" s="2" t="s">
        <v>142</v>
      </c>
      <c r="DE353" s="2" t="s">
        <v>181</v>
      </c>
      <c r="DF353" s="3" t="s">
        <v>86</v>
      </c>
      <c r="DG353" s="62">
        <v>42850</v>
      </c>
      <c r="EC353" s="60"/>
      <c r="ED353" s="60"/>
      <c r="EE353" s="60"/>
      <c r="EF353" s="60"/>
    </row>
    <row r="354" spans="2:140" ht="12.75" hidden="1" customHeight="1">
      <c r="B354" s="99" t="s">
        <v>757</v>
      </c>
      <c r="C354" s="22" t="s">
        <v>754</v>
      </c>
      <c r="D354" s="22" t="s">
        <v>755</v>
      </c>
      <c r="E354" s="2" t="str">
        <f>VLOOKUP($C354,[1]Detail!$C:$AK,6,0)</f>
        <v>PMT4</v>
      </c>
      <c r="F354" s="2" t="str">
        <f>VLOOKUP($C354,[1]Detail!$C:$AK,7,0)</f>
        <v>PF</v>
      </c>
      <c r="G354" s="2" t="str">
        <f>VLOOKUP($C354,[1]Detail!$C:$AK,5,0)</f>
        <v>B</v>
      </c>
      <c r="J354" s="22" t="s">
        <v>315</v>
      </c>
      <c r="K354" s="23" t="s">
        <v>756</v>
      </c>
      <c r="L354" s="22" t="s">
        <v>122</v>
      </c>
      <c r="M354" s="51" t="str">
        <f t="shared" si="253"/>
        <v>JD8R-7E395-CB</v>
      </c>
      <c r="O354" s="22">
        <v>1</v>
      </c>
      <c r="P354" s="22">
        <v>0</v>
      </c>
      <c r="Q354" s="22">
        <v>1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64">
        <f t="shared" si="254"/>
        <v>0.28000000000000003</v>
      </c>
      <c r="Y354" s="8">
        <v>-85.51</v>
      </c>
      <c r="Z354" s="8">
        <v>-0.66</v>
      </c>
      <c r="AA354" s="8">
        <v>-1.5</v>
      </c>
      <c r="AB354" s="8">
        <v>0</v>
      </c>
      <c r="AC354" s="8">
        <v>0</v>
      </c>
      <c r="AD354" s="8">
        <f t="shared" si="270"/>
        <v>-87.67</v>
      </c>
      <c r="AE354" s="2" t="s">
        <v>91</v>
      </c>
      <c r="AG354" s="8">
        <v>-300000</v>
      </c>
      <c r="AH354" s="8">
        <v>-300000</v>
      </c>
      <c r="AI354" s="6"/>
      <c r="AJ354" s="70">
        <v>0</v>
      </c>
      <c r="AK354" s="70">
        <v>0</v>
      </c>
      <c r="AL354" s="72">
        <v>0</v>
      </c>
      <c r="AM354" s="22"/>
      <c r="AO354" s="22" t="s">
        <v>315</v>
      </c>
      <c r="AP354" s="23" t="s">
        <v>756</v>
      </c>
      <c r="AQ354" s="22" t="s">
        <v>113</v>
      </c>
      <c r="AR354" s="51" t="str">
        <f t="shared" si="250"/>
        <v>JD8R-7E395-CA</v>
      </c>
      <c r="AS354" s="3"/>
      <c r="AT354" s="22">
        <v>1</v>
      </c>
      <c r="AU354" s="22">
        <v>0</v>
      </c>
      <c r="AV354" s="22">
        <v>1</v>
      </c>
      <c r="AW354" s="22">
        <v>0</v>
      </c>
      <c r="AX354" s="22">
        <v>0</v>
      </c>
      <c r="AY354" s="22">
        <v>0</v>
      </c>
      <c r="AZ354" s="22">
        <v>0</v>
      </c>
      <c r="BA354" s="22">
        <v>0</v>
      </c>
      <c r="BB354" s="64">
        <f t="shared" si="251"/>
        <v>0.28000000000000003</v>
      </c>
      <c r="BD354" s="60">
        <v>-85.51</v>
      </c>
      <c r="BE354" s="60">
        <v>-0.66</v>
      </c>
      <c r="BF354" s="95">
        <v>-1.5</v>
      </c>
      <c r="BG354" s="95">
        <v>0</v>
      </c>
      <c r="BH354" s="95">
        <v>0</v>
      </c>
      <c r="BI354" s="8">
        <f t="shared" si="272"/>
        <v>-87.67</v>
      </c>
      <c r="BJ354" s="2" t="s">
        <v>91</v>
      </c>
      <c r="BL354" s="70">
        <v>-300000</v>
      </c>
      <c r="BM354" s="70">
        <v>-300000</v>
      </c>
      <c r="BO354" s="70">
        <v>0</v>
      </c>
      <c r="BP354" s="70">
        <v>0</v>
      </c>
      <c r="BQ354" s="72">
        <v>0</v>
      </c>
      <c r="BS354" s="61">
        <f t="shared" si="258"/>
        <v>0</v>
      </c>
      <c r="BT354" s="61">
        <f t="shared" si="259"/>
        <v>0</v>
      </c>
      <c r="BU354" s="61">
        <f t="shared" si="260"/>
        <v>0</v>
      </c>
      <c r="BV354" s="61">
        <f t="shared" si="260"/>
        <v>0</v>
      </c>
      <c r="BW354" s="61">
        <f t="shared" si="260"/>
        <v>0</v>
      </c>
      <c r="BX354" s="61">
        <f t="shared" si="257"/>
        <v>0</v>
      </c>
      <c r="BY354" s="61" t="s">
        <v>91</v>
      </c>
      <c r="CA354" s="61">
        <f t="shared" si="273"/>
        <v>0</v>
      </c>
      <c r="CB354" s="61">
        <f t="shared" si="273"/>
        <v>0</v>
      </c>
      <c r="CC354" s="61">
        <f t="shared" si="273"/>
        <v>0</v>
      </c>
      <c r="CD354" s="61">
        <f t="shared" si="273"/>
        <v>0</v>
      </c>
      <c r="CE354" s="61">
        <f t="shared" si="264"/>
        <v>0</v>
      </c>
      <c r="CF354" s="61">
        <f t="shared" si="264"/>
        <v>0</v>
      </c>
      <c r="CG354" s="61">
        <f t="shared" si="264"/>
        <v>0</v>
      </c>
      <c r="CH354" s="61">
        <f t="shared" si="264"/>
        <v>0</v>
      </c>
      <c r="CI354" s="61">
        <f t="shared" si="266"/>
        <v>0</v>
      </c>
      <c r="CJ354" s="61"/>
      <c r="CK354" s="61">
        <f t="shared" si="274"/>
        <v>0</v>
      </c>
      <c r="CL354" s="61">
        <f t="shared" si="274"/>
        <v>0</v>
      </c>
      <c r="CM354" s="61">
        <f t="shared" si="274"/>
        <v>0</v>
      </c>
      <c r="CN354" s="61">
        <f t="shared" si="274"/>
        <v>0</v>
      </c>
      <c r="CO354" s="61">
        <f t="shared" si="265"/>
        <v>0</v>
      </c>
      <c r="CP354" s="61">
        <f t="shared" si="265"/>
        <v>0</v>
      </c>
      <c r="CQ354" s="61">
        <f t="shared" si="265"/>
        <v>0</v>
      </c>
      <c r="CR354" s="61">
        <f t="shared" si="265"/>
        <v>0</v>
      </c>
      <c r="CS354" s="61">
        <f t="shared" si="267"/>
        <v>0</v>
      </c>
      <c r="CT354" s="61">
        <f t="shared" si="268"/>
        <v>0</v>
      </c>
      <c r="CV354" s="61">
        <f t="shared" si="269"/>
        <v>0</v>
      </c>
      <c r="CW354" s="61">
        <f t="shared" ref="CW354:CW355" si="275">SUM(AH354)-SUM(BM354)</f>
        <v>0</v>
      </c>
      <c r="CX354" s="61"/>
      <c r="CY354" s="61">
        <f t="shared" ref="CY354:CY355" si="276">SUM(AJ354)-SUM(BO354)</f>
        <v>0</v>
      </c>
      <c r="CZ354" s="61">
        <f t="shared" si="271"/>
        <v>0</v>
      </c>
      <c r="DA354" s="61">
        <f t="shared" si="271"/>
        <v>0</v>
      </c>
      <c r="DB354" s="2" t="s">
        <v>102</v>
      </c>
      <c r="DC354" s="2" t="s">
        <v>85</v>
      </c>
      <c r="DD354" s="2" t="s">
        <v>142</v>
      </c>
      <c r="DE354" s="2" t="s">
        <v>106</v>
      </c>
      <c r="DF354" s="3" t="s">
        <v>86</v>
      </c>
      <c r="DG354" s="62">
        <v>43076</v>
      </c>
      <c r="EC354" s="60" t="str">
        <f>VLOOKUP($M354,[1]Detail!$M:$BO,1,0)</f>
        <v>JD8R-7E395-CB</v>
      </c>
      <c r="ED354" s="60">
        <f>VLOOKUP($M354,[1]Detail!$M:$BO,22,0)</f>
        <v>-87.67</v>
      </c>
      <c r="EE354" s="60">
        <f>VLOOKUP($M354,[1]Detail!$M:$BO,42,0)</f>
        <v>-300000</v>
      </c>
      <c r="EF354" s="60">
        <f>VLOOKUP($M354,[1]Detail!$M:$BO,45,0)</f>
        <v>0</v>
      </c>
      <c r="EH354" s="60">
        <f>ED354-AD354</f>
        <v>0</v>
      </c>
      <c r="EI354" s="60">
        <f>EE354-AG354</f>
        <v>0</v>
      </c>
      <c r="EJ354" s="60">
        <f t="shared" ref="EJ354:EJ357" si="277">EF354-AJ354</f>
        <v>0</v>
      </c>
    </row>
    <row r="355" spans="2:140" ht="12.75" hidden="1" customHeight="1">
      <c r="B355" s="99" t="s">
        <v>757</v>
      </c>
      <c r="C355" s="22" t="s">
        <v>754</v>
      </c>
      <c r="D355" s="22" t="s">
        <v>755</v>
      </c>
      <c r="E355" s="2" t="str">
        <f>VLOOKUP($C355,[1]Detail!$C:$AK,6,0)</f>
        <v>PMT4</v>
      </c>
      <c r="F355" s="2" t="str">
        <f>VLOOKUP($C355,[1]Detail!$C:$AK,7,0)</f>
        <v>PF</v>
      </c>
      <c r="G355" s="2" t="str">
        <f>VLOOKUP($C355,[1]Detail!$C:$AK,5,0)</f>
        <v>B</v>
      </c>
      <c r="J355" s="22" t="s">
        <v>315</v>
      </c>
      <c r="K355" s="23" t="s">
        <v>756</v>
      </c>
      <c r="L355" s="22" t="s">
        <v>758</v>
      </c>
      <c r="M355" s="51" t="str">
        <f t="shared" si="253"/>
        <v>JD8R-7E395-DB</v>
      </c>
      <c r="O355" s="22">
        <v>0</v>
      </c>
      <c r="P355" s="22">
        <v>0</v>
      </c>
      <c r="Q355" s="22">
        <v>0</v>
      </c>
      <c r="R355" s="22">
        <v>0</v>
      </c>
      <c r="S355" s="22">
        <v>1</v>
      </c>
      <c r="T355" s="22">
        <v>0</v>
      </c>
      <c r="U355" s="22">
        <v>0</v>
      </c>
      <c r="V355" s="22">
        <v>0</v>
      </c>
      <c r="W355" s="64">
        <f t="shared" si="254"/>
        <v>0.09</v>
      </c>
      <c r="Y355" s="8">
        <v>-86.18</v>
      </c>
      <c r="Z355" s="8">
        <v>-0.66</v>
      </c>
      <c r="AA355" s="8">
        <v>-1.5</v>
      </c>
      <c r="AB355" s="8">
        <v>0</v>
      </c>
      <c r="AC355" s="8">
        <v>0</v>
      </c>
      <c r="AD355" s="8">
        <f t="shared" si="270"/>
        <v>-88.34</v>
      </c>
      <c r="AE355" s="2" t="s">
        <v>91</v>
      </c>
      <c r="AG355" s="8">
        <v>0</v>
      </c>
      <c r="AH355" s="8">
        <v>0</v>
      </c>
      <c r="AJ355" s="70">
        <v>0</v>
      </c>
      <c r="AK355" s="70">
        <v>0</v>
      </c>
      <c r="AL355" s="72">
        <v>0</v>
      </c>
      <c r="AM355" s="22"/>
      <c r="AO355" s="22" t="s">
        <v>315</v>
      </c>
      <c r="AP355" s="23" t="s">
        <v>756</v>
      </c>
      <c r="AQ355" s="22" t="s">
        <v>115</v>
      </c>
      <c r="AR355" s="51" t="str">
        <f t="shared" si="250"/>
        <v>JD8R-7E395-DA</v>
      </c>
      <c r="AS355" s="3"/>
      <c r="AT355" s="22">
        <v>0</v>
      </c>
      <c r="AU355" s="22">
        <v>0</v>
      </c>
      <c r="AV355" s="22">
        <v>0</v>
      </c>
      <c r="AW355" s="22">
        <v>0</v>
      </c>
      <c r="AX355" s="22">
        <v>1</v>
      </c>
      <c r="AY355" s="22">
        <v>0</v>
      </c>
      <c r="AZ355" s="22">
        <v>0</v>
      </c>
      <c r="BA355" s="22">
        <v>0</v>
      </c>
      <c r="BB355" s="64">
        <f t="shared" si="251"/>
        <v>0.09</v>
      </c>
      <c r="BD355" s="60">
        <v>-86.18</v>
      </c>
      <c r="BE355" s="60">
        <v>-0.66</v>
      </c>
      <c r="BF355" s="95">
        <v>-1.5</v>
      </c>
      <c r="BG355" s="95">
        <v>0</v>
      </c>
      <c r="BH355" s="95">
        <v>0</v>
      </c>
      <c r="BI355" s="8">
        <f t="shared" si="272"/>
        <v>-88.34</v>
      </c>
      <c r="BJ355" s="2" t="s">
        <v>91</v>
      </c>
      <c r="BL355" s="70">
        <v>0</v>
      </c>
      <c r="BM355" s="70">
        <v>0</v>
      </c>
      <c r="BO355" s="70">
        <v>0</v>
      </c>
      <c r="BP355" s="70">
        <v>0</v>
      </c>
      <c r="BQ355" s="72">
        <v>0</v>
      </c>
      <c r="BS355" s="61">
        <f t="shared" si="258"/>
        <v>0</v>
      </c>
      <c r="BT355" s="61">
        <f t="shared" si="259"/>
        <v>0</v>
      </c>
      <c r="BU355" s="61">
        <f t="shared" si="260"/>
        <v>0</v>
      </c>
      <c r="BV355" s="61">
        <f t="shared" si="260"/>
        <v>0</v>
      </c>
      <c r="BW355" s="61">
        <f t="shared" si="260"/>
        <v>0</v>
      </c>
      <c r="BX355" s="61">
        <f t="shared" si="257"/>
        <v>0</v>
      </c>
      <c r="BY355" s="61" t="s">
        <v>91</v>
      </c>
      <c r="CA355" s="61">
        <f t="shared" si="273"/>
        <v>0</v>
      </c>
      <c r="CB355" s="61">
        <f t="shared" si="273"/>
        <v>0</v>
      </c>
      <c r="CC355" s="61">
        <f t="shared" si="273"/>
        <v>0</v>
      </c>
      <c r="CD355" s="61">
        <f t="shared" si="273"/>
        <v>0</v>
      </c>
      <c r="CE355" s="61">
        <f t="shared" si="264"/>
        <v>0</v>
      </c>
      <c r="CF355" s="61">
        <f t="shared" si="264"/>
        <v>0</v>
      </c>
      <c r="CG355" s="61">
        <f t="shared" si="264"/>
        <v>0</v>
      </c>
      <c r="CH355" s="61">
        <f t="shared" si="264"/>
        <v>0</v>
      </c>
      <c r="CI355" s="61">
        <f t="shared" si="266"/>
        <v>0</v>
      </c>
      <c r="CJ355" s="61"/>
      <c r="CK355" s="61">
        <f t="shared" si="274"/>
        <v>0</v>
      </c>
      <c r="CL355" s="61">
        <f t="shared" si="274"/>
        <v>0</v>
      </c>
      <c r="CM355" s="61">
        <f t="shared" si="274"/>
        <v>0</v>
      </c>
      <c r="CN355" s="61">
        <f t="shared" si="274"/>
        <v>0</v>
      </c>
      <c r="CO355" s="61">
        <f t="shared" si="265"/>
        <v>0</v>
      </c>
      <c r="CP355" s="61">
        <f t="shared" si="265"/>
        <v>0</v>
      </c>
      <c r="CQ355" s="61">
        <f t="shared" si="265"/>
        <v>0</v>
      </c>
      <c r="CR355" s="61">
        <f t="shared" si="265"/>
        <v>0</v>
      </c>
      <c r="CS355" s="61">
        <f t="shared" si="267"/>
        <v>0</v>
      </c>
      <c r="CT355" s="61">
        <f t="shared" si="268"/>
        <v>0</v>
      </c>
      <c r="CV355" s="61">
        <f t="shared" si="269"/>
        <v>0</v>
      </c>
      <c r="CW355" s="61">
        <f t="shared" si="275"/>
        <v>0</v>
      </c>
      <c r="CX355" s="61"/>
      <c r="CY355" s="61">
        <f t="shared" si="276"/>
        <v>0</v>
      </c>
      <c r="CZ355" s="61">
        <f t="shared" si="271"/>
        <v>0</v>
      </c>
      <c r="DA355" s="61">
        <f t="shared" si="271"/>
        <v>0</v>
      </c>
      <c r="DB355" s="2" t="s">
        <v>102</v>
      </c>
      <c r="DC355" s="2" t="s">
        <v>85</v>
      </c>
      <c r="DD355" s="2" t="s">
        <v>142</v>
      </c>
      <c r="DE355" s="2" t="s">
        <v>106</v>
      </c>
      <c r="DF355" s="3" t="s">
        <v>86</v>
      </c>
      <c r="DG355" s="62">
        <v>43076</v>
      </c>
      <c r="EC355" s="60" t="str">
        <f>VLOOKUP($M355,[1]Detail!$M:$BO,1,0)</f>
        <v>JD8R-7E395-DB</v>
      </c>
      <c r="ED355" s="60">
        <f>VLOOKUP($M355,[1]Detail!$M:$BO,22,0)</f>
        <v>-88.34</v>
      </c>
      <c r="EE355" s="60">
        <f>VLOOKUP($M355,[1]Detail!$M:$BO,42,0)</f>
        <v>0</v>
      </c>
      <c r="EF355" s="60">
        <f>VLOOKUP($M355,[1]Detail!$M:$BO,45,0)</f>
        <v>0</v>
      </c>
      <c r="EH355" s="60">
        <f>ED355-AD355</f>
        <v>0</v>
      </c>
      <c r="EI355" s="60">
        <f>EE355-AG355</f>
        <v>0</v>
      </c>
      <c r="EJ355" s="60">
        <f t="shared" si="277"/>
        <v>0</v>
      </c>
    </row>
    <row r="356" spans="2:140" ht="12.75" hidden="1" customHeight="1">
      <c r="B356" s="99" t="s">
        <v>753</v>
      </c>
      <c r="C356" s="22" t="s">
        <v>754</v>
      </c>
      <c r="D356" s="22" t="s">
        <v>755</v>
      </c>
      <c r="E356" s="2" t="str">
        <f>VLOOKUP($C356,[1]Detail!$C:$AK,6,0)</f>
        <v>PMT4</v>
      </c>
      <c r="F356" s="2" t="str">
        <f>VLOOKUP($C356,[1]Detail!$C:$AK,7,0)</f>
        <v>PF</v>
      </c>
      <c r="G356" s="2" t="str">
        <f>VLOOKUP($C356,[1]Detail!$C:$AK,5,0)</f>
        <v>B</v>
      </c>
      <c r="J356" s="22" t="s">
        <v>315</v>
      </c>
      <c r="K356" s="23">
        <v>7474</v>
      </c>
      <c r="L356" s="22" t="s">
        <v>113</v>
      </c>
      <c r="M356" s="51" t="str">
        <f t="shared" si="253"/>
        <v>JD8R-7474-CA</v>
      </c>
      <c r="O356" s="22">
        <v>1</v>
      </c>
      <c r="P356" s="22">
        <v>0</v>
      </c>
      <c r="Q356" s="22">
        <v>1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64">
        <f t="shared" si="254"/>
        <v>0.28000000000000003</v>
      </c>
      <c r="Y356" s="8">
        <v>-8.8800000000000008</v>
      </c>
      <c r="Z356" s="8">
        <v>-0.4</v>
      </c>
      <c r="AA356" s="8">
        <v>-0.66</v>
      </c>
      <c r="AB356" s="8">
        <v>0</v>
      </c>
      <c r="AC356" s="8">
        <v>0</v>
      </c>
      <c r="AD356" s="8">
        <f t="shared" si="270"/>
        <v>-9.9400000000000013</v>
      </c>
      <c r="AE356" s="2" t="s">
        <v>91</v>
      </c>
      <c r="AG356" s="8">
        <v>-138000</v>
      </c>
      <c r="AH356" s="8">
        <v>-138000</v>
      </c>
      <c r="AI356" s="6"/>
      <c r="AJ356" s="70">
        <v>0</v>
      </c>
      <c r="AK356" s="70">
        <v>0</v>
      </c>
      <c r="AL356" s="72">
        <v>0</v>
      </c>
      <c r="AM356" s="22"/>
      <c r="AO356" s="22" t="s">
        <v>315</v>
      </c>
      <c r="AP356" s="23">
        <v>7474</v>
      </c>
      <c r="AQ356" s="22" t="s">
        <v>113</v>
      </c>
      <c r="AR356" s="51" t="str">
        <f t="shared" si="250"/>
        <v>JD8R-7474-CA</v>
      </c>
      <c r="AS356" s="3"/>
      <c r="AT356" s="22">
        <v>1</v>
      </c>
      <c r="AU356" s="22">
        <v>0</v>
      </c>
      <c r="AV356" s="22">
        <v>1</v>
      </c>
      <c r="AW356" s="22">
        <v>0</v>
      </c>
      <c r="AX356" s="22">
        <v>0</v>
      </c>
      <c r="AY356" s="22">
        <v>0</v>
      </c>
      <c r="AZ356" s="22">
        <v>0</v>
      </c>
      <c r="BA356" s="22">
        <v>0</v>
      </c>
      <c r="BB356" s="64">
        <f t="shared" si="251"/>
        <v>0.28000000000000003</v>
      </c>
      <c r="BD356" s="60">
        <v>-8.8800000000000008</v>
      </c>
      <c r="BE356" s="60">
        <v>-0.4</v>
      </c>
      <c r="BF356" s="95">
        <v>-0.66</v>
      </c>
      <c r="BG356" s="95">
        <v>0</v>
      </c>
      <c r="BH356" s="95">
        <v>0</v>
      </c>
      <c r="BI356" s="8">
        <f t="shared" si="272"/>
        <v>-9.9400000000000013</v>
      </c>
      <c r="BJ356" s="2" t="s">
        <v>91</v>
      </c>
      <c r="BL356" s="70">
        <v>-138000</v>
      </c>
      <c r="BM356" s="70">
        <v>-138000</v>
      </c>
      <c r="BO356" s="70">
        <v>0</v>
      </c>
      <c r="BP356" s="70">
        <v>0</v>
      </c>
      <c r="BQ356" s="72">
        <v>0</v>
      </c>
      <c r="BS356" s="61">
        <f t="shared" si="258"/>
        <v>0</v>
      </c>
      <c r="BT356" s="61">
        <f t="shared" si="259"/>
        <v>0</v>
      </c>
      <c r="BU356" s="61">
        <f t="shared" si="260"/>
        <v>0</v>
      </c>
      <c r="BV356" s="61">
        <f t="shared" si="260"/>
        <v>0</v>
      </c>
      <c r="BW356" s="61">
        <f t="shared" si="260"/>
        <v>0</v>
      </c>
      <c r="BX356" s="61">
        <f t="shared" si="257"/>
        <v>0</v>
      </c>
      <c r="BY356" s="61" t="s">
        <v>91</v>
      </c>
      <c r="CA356" s="61">
        <f t="shared" si="273"/>
        <v>0</v>
      </c>
      <c r="CB356" s="61">
        <f t="shared" si="273"/>
        <v>0</v>
      </c>
      <c r="CC356" s="61">
        <f t="shared" si="273"/>
        <v>0</v>
      </c>
      <c r="CD356" s="61">
        <f t="shared" si="273"/>
        <v>0</v>
      </c>
      <c r="CE356" s="61">
        <f t="shared" si="264"/>
        <v>0</v>
      </c>
      <c r="CF356" s="61">
        <f t="shared" si="264"/>
        <v>0</v>
      </c>
      <c r="CG356" s="61">
        <f t="shared" si="264"/>
        <v>0</v>
      </c>
      <c r="CH356" s="61">
        <f t="shared" si="264"/>
        <v>0</v>
      </c>
      <c r="CI356" s="61">
        <f t="shared" si="266"/>
        <v>0</v>
      </c>
      <c r="CJ356" s="61"/>
      <c r="CK356" s="61">
        <f t="shared" si="274"/>
        <v>0</v>
      </c>
      <c r="CL356" s="61">
        <f t="shared" si="274"/>
        <v>0</v>
      </c>
      <c r="CM356" s="61">
        <f t="shared" si="274"/>
        <v>0</v>
      </c>
      <c r="CN356" s="61">
        <f t="shared" si="274"/>
        <v>0</v>
      </c>
      <c r="CO356" s="61">
        <f t="shared" si="265"/>
        <v>0</v>
      </c>
      <c r="CP356" s="61">
        <f t="shared" si="265"/>
        <v>0</v>
      </c>
      <c r="CQ356" s="61">
        <f t="shared" si="265"/>
        <v>0</v>
      </c>
      <c r="CR356" s="61">
        <f t="shared" si="265"/>
        <v>0</v>
      </c>
      <c r="CS356" s="61">
        <f t="shared" si="267"/>
        <v>0</v>
      </c>
      <c r="CT356" s="61">
        <f t="shared" si="268"/>
        <v>0</v>
      </c>
      <c r="CV356" s="61">
        <f t="shared" si="269"/>
        <v>0</v>
      </c>
      <c r="CW356" s="61">
        <f t="shared" si="261"/>
        <v>0</v>
      </c>
      <c r="CX356" s="61"/>
      <c r="CY356" s="61">
        <f t="shared" si="262"/>
        <v>0</v>
      </c>
      <c r="CZ356" s="61">
        <f t="shared" si="271"/>
        <v>0</v>
      </c>
      <c r="DA356" s="61">
        <f t="shared" si="271"/>
        <v>0</v>
      </c>
      <c r="DB356" s="2" t="s">
        <v>102</v>
      </c>
      <c r="DC356" s="2" t="s">
        <v>102</v>
      </c>
      <c r="DD356" s="2" t="s">
        <v>142</v>
      </c>
      <c r="DE356" s="2" t="s">
        <v>181</v>
      </c>
      <c r="DF356" s="3" t="s">
        <v>86</v>
      </c>
      <c r="DG356" s="62">
        <v>43076</v>
      </c>
      <c r="EC356" s="60" t="str">
        <f>VLOOKUP($M356,[1]Detail!$M:$BO,1,0)</f>
        <v>JD8R-7474-CA</v>
      </c>
      <c r="ED356" s="60">
        <f>VLOOKUP($M356,[1]Detail!$M:$BO,22,0)</f>
        <v>-9.9400000000000013</v>
      </c>
      <c r="EE356" s="60">
        <f>VLOOKUP($M356,[1]Detail!$M:$BO,42,0)</f>
        <v>-138000</v>
      </c>
      <c r="EF356" s="60">
        <f>VLOOKUP($M356,[1]Detail!$M:$BO,45,0)</f>
        <v>0</v>
      </c>
      <c r="EH356" s="60">
        <f>ED356-AD356</f>
        <v>0</v>
      </c>
      <c r="EI356" s="60">
        <f>EE356-AG356</f>
        <v>0</v>
      </c>
      <c r="EJ356" s="60">
        <f t="shared" si="277"/>
        <v>0</v>
      </c>
    </row>
    <row r="357" spans="2:140" ht="12.75" hidden="1" customHeight="1">
      <c r="B357" s="99" t="s">
        <v>753</v>
      </c>
      <c r="C357" s="22" t="s">
        <v>754</v>
      </c>
      <c r="D357" s="22" t="s">
        <v>755</v>
      </c>
      <c r="E357" s="2" t="str">
        <f>VLOOKUP($C357,[1]Detail!$C:$AK,6,0)</f>
        <v>PMT4</v>
      </c>
      <c r="F357" s="2" t="str">
        <f>VLOOKUP($C357,[1]Detail!$C:$AK,7,0)</f>
        <v>PF</v>
      </c>
      <c r="G357" s="2" t="str">
        <f>VLOOKUP($C357,[1]Detail!$C:$AK,5,0)</f>
        <v>B</v>
      </c>
      <c r="J357" s="22" t="s">
        <v>315</v>
      </c>
      <c r="K357" s="23">
        <v>7474</v>
      </c>
      <c r="L357" s="22" t="s">
        <v>362</v>
      </c>
      <c r="M357" s="51" t="str">
        <f t="shared" si="253"/>
        <v>JD8R-7474-EA</v>
      </c>
      <c r="O357" s="22">
        <v>0</v>
      </c>
      <c r="P357" s="22">
        <v>0</v>
      </c>
      <c r="Q357" s="22">
        <v>0</v>
      </c>
      <c r="R357" s="22">
        <v>0</v>
      </c>
      <c r="S357" s="22">
        <v>1</v>
      </c>
      <c r="T357" s="22">
        <v>0</v>
      </c>
      <c r="U357" s="22">
        <v>0</v>
      </c>
      <c r="V357" s="22">
        <v>0</v>
      </c>
      <c r="W357" s="64">
        <f t="shared" si="254"/>
        <v>0.09</v>
      </c>
      <c r="Y357" s="8">
        <v>-8.8800000000000008</v>
      </c>
      <c r="Z357" s="8">
        <v>-0.4</v>
      </c>
      <c r="AA357" s="8">
        <v>-0.66</v>
      </c>
      <c r="AB357" s="8">
        <v>0</v>
      </c>
      <c r="AC357" s="8">
        <v>0</v>
      </c>
      <c r="AD357" s="8">
        <f t="shared" si="270"/>
        <v>-9.9400000000000013</v>
      </c>
      <c r="AE357" s="2" t="s">
        <v>91</v>
      </c>
      <c r="AG357" s="8">
        <v>0</v>
      </c>
      <c r="AH357" s="8">
        <v>0</v>
      </c>
      <c r="AJ357" s="70">
        <v>0</v>
      </c>
      <c r="AK357" s="70">
        <v>0</v>
      </c>
      <c r="AL357" s="72">
        <v>0</v>
      </c>
      <c r="AM357" s="22"/>
      <c r="AO357" s="22" t="s">
        <v>315</v>
      </c>
      <c r="AP357" s="23">
        <v>7474</v>
      </c>
      <c r="AQ357" s="22" t="s">
        <v>362</v>
      </c>
      <c r="AR357" s="51" t="str">
        <f t="shared" si="250"/>
        <v>JD8R-7474-EA</v>
      </c>
      <c r="AS357" s="3"/>
      <c r="AT357" s="22">
        <v>0</v>
      </c>
      <c r="AU357" s="22">
        <v>0</v>
      </c>
      <c r="AV357" s="22">
        <v>0</v>
      </c>
      <c r="AW357" s="22">
        <v>0</v>
      </c>
      <c r="AX357" s="22">
        <v>1</v>
      </c>
      <c r="AY357" s="22">
        <v>0</v>
      </c>
      <c r="AZ357" s="22">
        <v>0</v>
      </c>
      <c r="BA357" s="22">
        <v>0</v>
      </c>
      <c r="BB357" s="64">
        <f t="shared" si="251"/>
        <v>0.09</v>
      </c>
      <c r="BD357" s="60">
        <v>-8.8800000000000008</v>
      </c>
      <c r="BE357" s="60">
        <v>-0.4</v>
      </c>
      <c r="BF357" s="95">
        <v>-0.66</v>
      </c>
      <c r="BG357" s="95">
        <v>0</v>
      </c>
      <c r="BH357" s="95">
        <v>0</v>
      </c>
      <c r="BI357" s="8">
        <f t="shared" si="272"/>
        <v>-9.9400000000000013</v>
      </c>
      <c r="BJ357" s="2" t="s">
        <v>91</v>
      </c>
      <c r="BL357" s="70">
        <v>0</v>
      </c>
      <c r="BM357" s="70">
        <v>0</v>
      </c>
      <c r="BO357" s="70">
        <v>0</v>
      </c>
      <c r="BP357" s="70">
        <v>0</v>
      </c>
      <c r="BQ357" s="72">
        <v>0</v>
      </c>
      <c r="BS357" s="61">
        <f t="shared" si="258"/>
        <v>0</v>
      </c>
      <c r="BT357" s="61">
        <f t="shared" si="259"/>
        <v>0</v>
      </c>
      <c r="BU357" s="61">
        <f t="shared" si="260"/>
        <v>0</v>
      </c>
      <c r="BV357" s="61">
        <f t="shared" si="260"/>
        <v>0</v>
      </c>
      <c r="BW357" s="61">
        <f t="shared" si="260"/>
        <v>0</v>
      </c>
      <c r="BX357" s="61">
        <f t="shared" si="257"/>
        <v>0</v>
      </c>
      <c r="BY357" s="61" t="s">
        <v>91</v>
      </c>
      <c r="CA357" s="61">
        <f t="shared" si="273"/>
        <v>0</v>
      </c>
      <c r="CB357" s="61">
        <f t="shared" si="273"/>
        <v>0</v>
      </c>
      <c r="CC357" s="61">
        <f t="shared" si="273"/>
        <v>0</v>
      </c>
      <c r="CD357" s="61">
        <f t="shared" si="273"/>
        <v>0</v>
      </c>
      <c r="CE357" s="61">
        <f t="shared" si="264"/>
        <v>0</v>
      </c>
      <c r="CF357" s="61">
        <f t="shared" si="264"/>
        <v>0</v>
      </c>
      <c r="CG357" s="61">
        <f t="shared" si="264"/>
        <v>0</v>
      </c>
      <c r="CH357" s="61">
        <f t="shared" si="264"/>
        <v>0</v>
      </c>
      <c r="CI357" s="61">
        <f t="shared" si="266"/>
        <v>0</v>
      </c>
      <c r="CJ357" s="61"/>
      <c r="CK357" s="61">
        <f t="shared" si="274"/>
        <v>0</v>
      </c>
      <c r="CL357" s="61">
        <f t="shared" si="274"/>
        <v>0</v>
      </c>
      <c r="CM357" s="61">
        <f t="shared" si="274"/>
        <v>0</v>
      </c>
      <c r="CN357" s="61">
        <f t="shared" si="274"/>
        <v>0</v>
      </c>
      <c r="CO357" s="61">
        <f t="shared" si="265"/>
        <v>0</v>
      </c>
      <c r="CP357" s="61">
        <f t="shared" si="265"/>
        <v>0</v>
      </c>
      <c r="CQ357" s="61">
        <f t="shared" si="265"/>
        <v>0</v>
      </c>
      <c r="CR357" s="61">
        <f t="shared" si="265"/>
        <v>0</v>
      </c>
      <c r="CS357" s="61">
        <f t="shared" si="267"/>
        <v>0</v>
      </c>
      <c r="CT357" s="61">
        <f t="shared" si="268"/>
        <v>0</v>
      </c>
      <c r="CV357" s="61">
        <f t="shared" si="269"/>
        <v>0</v>
      </c>
      <c r="CW357" s="61">
        <f t="shared" si="261"/>
        <v>0</v>
      </c>
      <c r="CX357" s="61"/>
      <c r="CY357" s="61">
        <f t="shared" si="262"/>
        <v>0</v>
      </c>
      <c r="CZ357" s="61">
        <f t="shared" si="271"/>
        <v>0</v>
      </c>
      <c r="DA357" s="61">
        <f t="shared" si="271"/>
        <v>0</v>
      </c>
      <c r="DB357" s="2" t="s">
        <v>102</v>
      </c>
      <c r="DC357" s="2" t="s">
        <v>102</v>
      </c>
      <c r="DD357" s="2" t="s">
        <v>142</v>
      </c>
      <c r="DE357" s="2" t="s">
        <v>181</v>
      </c>
      <c r="DF357" s="3" t="s">
        <v>86</v>
      </c>
      <c r="DG357" s="62">
        <v>42850</v>
      </c>
      <c r="EC357" s="60" t="str">
        <f>VLOOKUP($M357,[1]Detail!$M:$BO,1,0)</f>
        <v>JD8R-7474-EA</v>
      </c>
      <c r="ED357" s="60">
        <f>VLOOKUP($M357,[1]Detail!$M:$BO,22,0)</f>
        <v>-9.9400000000000013</v>
      </c>
      <c r="EE357" s="60">
        <f>VLOOKUP($M357,[1]Detail!$M:$BO,42,0)</f>
        <v>0</v>
      </c>
      <c r="EF357" s="60">
        <f>VLOOKUP($M357,[1]Detail!$M:$BO,45,0)</f>
        <v>0</v>
      </c>
      <c r="EH357" s="60">
        <f>ED357-AD357</f>
        <v>0</v>
      </c>
      <c r="EI357" s="60">
        <f>EE357-AG357</f>
        <v>0</v>
      </c>
      <c r="EJ357" s="60">
        <f t="shared" si="277"/>
        <v>0</v>
      </c>
    </row>
    <row r="358" spans="2:140" ht="12.75" hidden="1" customHeight="1">
      <c r="B358" s="99" t="s">
        <v>759</v>
      </c>
      <c r="C358" s="22" t="s">
        <v>760</v>
      </c>
      <c r="D358" s="22" t="s">
        <v>761</v>
      </c>
      <c r="E358" s="2" t="str">
        <f>VLOOKUP($C358,[1]Detail!$C:$AK,6,0)</f>
        <v>PMT5</v>
      </c>
      <c r="F358" s="2" t="str">
        <f>VLOOKUP($C358,[1]Detail!$C:$AK,7,0)</f>
        <v>TH</v>
      </c>
      <c r="G358" s="2" t="str">
        <f>VLOOKUP($C358,[1]Detail!$C:$AK,5,0)</f>
        <v>B</v>
      </c>
      <c r="J358" s="22" t="s">
        <v>155</v>
      </c>
      <c r="K358" s="23" t="s">
        <v>762</v>
      </c>
      <c r="L358" s="22" t="s">
        <v>100</v>
      </c>
      <c r="M358" s="51" t="str">
        <f t="shared" si="253"/>
        <v>JD8T -19G490 -AA</v>
      </c>
      <c r="O358" s="22">
        <v>0</v>
      </c>
      <c r="P358" s="22">
        <v>0</v>
      </c>
      <c r="Q358" s="22">
        <v>0</v>
      </c>
      <c r="R358" s="22">
        <v>0</v>
      </c>
      <c r="S358" s="22">
        <v>1</v>
      </c>
      <c r="T358" s="22">
        <v>1</v>
      </c>
      <c r="U358" s="22">
        <v>1</v>
      </c>
      <c r="V358" s="22">
        <v>1</v>
      </c>
      <c r="W358" s="64">
        <f t="shared" si="254"/>
        <v>0.33</v>
      </c>
      <c r="Y358" s="8">
        <v>-217.22</v>
      </c>
      <c r="Z358" s="8">
        <v>-0.25</v>
      </c>
      <c r="AA358" s="8">
        <v>-1.5</v>
      </c>
      <c r="AB358" s="8">
        <v>0</v>
      </c>
      <c r="AC358" s="8">
        <v>-0.75</v>
      </c>
      <c r="AD358" s="8">
        <f t="shared" si="270"/>
        <v>-219.72</v>
      </c>
      <c r="AE358" s="2" t="s">
        <v>91</v>
      </c>
      <c r="AG358" s="8">
        <v>0</v>
      </c>
      <c r="AH358" s="8">
        <v>0</v>
      </c>
      <c r="AJ358" s="70">
        <v>-284073</v>
      </c>
      <c r="AK358" s="70">
        <v>375459</v>
      </c>
      <c r="AL358" s="72">
        <v>0</v>
      </c>
      <c r="AM358" s="22"/>
      <c r="AO358" s="22" t="s">
        <v>157</v>
      </c>
      <c r="AP358" s="23" t="s">
        <v>762</v>
      </c>
      <c r="AQ358" s="22" t="s">
        <v>132</v>
      </c>
      <c r="AR358" s="51" t="str">
        <f t="shared" si="250"/>
        <v>ED8T-19G490 -AB</v>
      </c>
      <c r="AS358" s="3"/>
      <c r="AT358" s="22">
        <v>0</v>
      </c>
      <c r="AU358" s="22">
        <v>0</v>
      </c>
      <c r="AV358" s="22">
        <v>0</v>
      </c>
      <c r="AW358" s="22">
        <v>0</v>
      </c>
      <c r="AX358" s="22">
        <v>1</v>
      </c>
      <c r="AY358" s="22">
        <v>1</v>
      </c>
      <c r="AZ358" s="22">
        <v>1</v>
      </c>
      <c r="BA358" s="22">
        <v>1</v>
      </c>
      <c r="BB358" s="64">
        <f t="shared" si="251"/>
        <v>0.33</v>
      </c>
      <c r="BD358" s="60">
        <v>-240.67</v>
      </c>
      <c r="BE358" s="60">
        <v>-0.25</v>
      </c>
      <c r="BF358" s="95">
        <v>-1.5</v>
      </c>
      <c r="BG358" s="95">
        <v>0</v>
      </c>
      <c r="BH358" s="95">
        <v>0</v>
      </c>
      <c r="BI358" s="8">
        <f t="shared" si="272"/>
        <v>-242.42</v>
      </c>
      <c r="BJ358" s="2" t="s">
        <v>91</v>
      </c>
      <c r="BL358" s="70">
        <v>0</v>
      </c>
      <c r="BM358" s="70">
        <v>0</v>
      </c>
      <c r="BO358" s="70">
        <v>0</v>
      </c>
      <c r="BP358" s="70">
        <v>0</v>
      </c>
      <c r="BQ358" s="72">
        <v>0</v>
      </c>
      <c r="BS358" s="61">
        <f t="shared" si="258"/>
        <v>23.449999999999989</v>
      </c>
      <c r="BT358" s="61">
        <f t="shared" si="259"/>
        <v>0</v>
      </c>
      <c r="BU358" s="61">
        <f t="shared" si="260"/>
        <v>0</v>
      </c>
      <c r="BV358" s="61">
        <f t="shared" si="260"/>
        <v>0</v>
      </c>
      <c r="BW358" s="61">
        <f t="shared" si="260"/>
        <v>-0.75</v>
      </c>
      <c r="BX358" s="61">
        <f t="shared" si="257"/>
        <v>22.699999999999989</v>
      </c>
      <c r="BY358" s="61" t="s">
        <v>91</v>
      </c>
      <c r="CA358" s="61">
        <f t="shared" si="273"/>
        <v>0</v>
      </c>
      <c r="CB358" s="61">
        <f t="shared" si="273"/>
        <v>0</v>
      </c>
      <c r="CC358" s="61">
        <f t="shared" si="273"/>
        <v>0</v>
      </c>
      <c r="CD358" s="61">
        <f t="shared" si="273"/>
        <v>0</v>
      </c>
      <c r="CE358" s="61">
        <f t="shared" si="264"/>
        <v>3.5279073266135081</v>
      </c>
      <c r="CF358" s="61">
        <f t="shared" si="264"/>
        <v>3.5279073266135081</v>
      </c>
      <c r="CG358" s="61">
        <f t="shared" si="264"/>
        <v>3.5279073266135081</v>
      </c>
      <c r="CH358" s="61">
        <f t="shared" si="264"/>
        <v>3.5279073266135081</v>
      </c>
      <c r="CI358" s="61">
        <f t="shared" si="266"/>
        <v>1.1642094177824578</v>
      </c>
      <c r="CJ358" s="61"/>
      <c r="CK358" s="61">
        <f t="shared" si="274"/>
        <v>0</v>
      </c>
      <c r="CL358" s="61">
        <f t="shared" si="274"/>
        <v>0</v>
      </c>
      <c r="CM358" s="61">
        <f t="shared" si="274"/>
        <v>0</v>
      </c>
      <c r="CN358" s="61">
        <f t="shared" si="274"/>
        <v>0</v>
      </c>
      <c r="CO358" s="61">
        <f t="shared" si="265"/>
        <v>3.4150744696855706</v>
      </c>
      <c r="CP358" s="61">
        <f t="shared" si="265"/>
        <v>3.4150744696855706</v>
      </c>
      <c r="CQ358" s="61">
        <f t="shared" si="265"/>
        <v>3.4150744696855706</v>
      </c>
      <c r="CR358" s="61">
        <f t="shared" si="265"/>
        <v>3.4150744696855706</v>
      </c>
      <c r="CS358" s="61">
        <f t="shared" si="267"/>
        <v>1.1269745749962383</v>
      </c>
      <c r="CT358" s="67">
        <f t="shared" si="268"/>
        <v>7.4909999999999961</v>
      </c>
      <c r="CV358" s="61">
        <f t="shared" si="269"/>
        <v>0</v>
      </c>
      <c r="CW358" s="61">
        <f t="shared" si="261"/>
        <v>0</v>
      </c>
      <c r="CX358" s="61"/>
      <c r="CY358" s="61">
        <f t="shared" si="262"/>
        <v>-284073</v>
      </c>
      <c r="CZ358" s="61">
        <f t="shared" si="271"/>
        <v>375459</v>
      </c>
      <c r="DA358" s="61">
        <f t="shared" si="271"/>
        <v>0</v>
      </c>
      <c r="DB358" s="2" t="s">
        <v>85</v>
      </c>
      <c r="DC358" s="2" t="s">
        <v>102</v>
      </c>
      <c r="DD358" s="2" t="s">
        <v>142</v>
      </c>
      <c r="DE358" s="2" t="s">
        <v>181</v>
      </c>
      <c r="DF358" s="3" t="s">
        <v>86</v>
      </c>
      <c r="DG358" s="62">
        <v>42961</v>
      </c>
      <c r="EC358" s="60"/>
      <c r="ED358" s="60"/>
      <c r="EE358" s="60"/>
      <c r="EF358" s="60"/>
    </row>
    <row r="359" spans="2:140" ht="12.75" hidden="1" customHeight="1">
      <c r="B359" s="99" t="s">
        <v>763</v>
      </c>
      <c r="C359" s="22" t="s">
        <v>760</v>
      </c>
      <c r="D359" s="22" t="s">
        <v>761</v>
      </c>
      <c r="E359" s="2" t="str">
        <f>VLOOKUP($C359,[1]Detail!$C:$AK,6,0)</f>
        <v>PMT5</v>
      </c>
      <c r="F359" s="2" t="str">
        <f>VLOOKUP($C359,[1]Detail!$C:$AK,7,0)</f>
        <v>TH</v>
      </c>
      <c r="G359" s="2" t="str">
        <f>VLOOKUP($C359,[1]Detail!$C:$AK,5,0)</f>
        <v>B</v>
      </c>
      <c r="J359" s="22" t="s">
        <v>155</v>
      </c>
      <c r="K359" s="23" t="s">
        <v>762</v>
      </c>
      <c r="L359" s="22" t="s">
        <v>132</v>
      </c>
      <c r="M359" s="51" t="str">
        <f t="shared" si="253"/>
        <v>JD8T -19G490 -AB</v>
      </c>
      <c r="O359" s="22">
        <v>0</v>
      </c>
      <c r="P359" s="22">
        <v>0</v>
      </c>
      <c r="Q359" s="22">
        <v>0</v>
      </c>
      <c r="R359" s="22">
        <v>0</v>
      </c>
      <c r="S359" s="22">
        <v>1</v>
      </c>
      <c r="T359" s="22">
        <v>1</v>
      </c>
      <c r="U359" s="22">
        <v>1</v>
      </c>
      <c r="V359" s="22">
        <v>1</v>
      </c>
      <c r="W359" s="64">
        <f t="shared" si="254"/>
        <v>0.33</v>
      </c>
      <c r="Y359" s="8">
        <f>-217.22-0.4189</f>
        <v>-217.63890000000001</v>
      </c>
      <c r="Z359" s="8">
        <v>-0.25</v>
      </c>
      <c r="AA359" s="8">
        <v>-1.5</v>
      </c>
      <c r="AB359" s="8">
        <v>0</v>
      </c>
      <c r="AC359" s="8">
        <v>-0.75</v>
      </c>
      <c r="AD359" s="8">
        <f t="shared" si="270"/>
        <v>-220.13890000000001</v>
      </c>
      <c r="AE359" s="2" t="s">
        <v>91</v>
      </c>
      <c r="AG359" s="8">
        <v>0</v>
      </c>
      <c r="AH359" s="8">
        <v>0</v>
      </c>
      <c r="AJ359" s="70">
        <v>-284073</v>
      </c>
      <c r="AK359" s="70">
        <v>375459</v>
      </c>
      <c r="AL359" s="72">
        <v>0</v>
      </c>
      <c r="AM359" s="22"/>
      <c r="AO359" s="22" t="s">
        <v>155</v>
      </c>
      <c r="AP359" s="23" t="s">
        <v>762</v>
      </c>
      <c r="AQ359" s="22" t="s">
        <v>100</v>
      </c>
      <c r="AR359" s="51" t="str">
        <f t="shared" si="250"/>
        <v>JD8T -19G490 -AA</v>
      </c>
      <c r="AS359" s="3"/>
      <c r="AT359" s="22">
        <v>0</v>
      </c>
      <c r="AU359" s="22">
        <v>0</v>
      </c>
      <c r="AV359" s="22">
        <v>0</v>
      </c>
      <c r="AW359" s="22">
        <v>0</v>
      </c>
      <c r="AX359" s="22">
        <v>1</v>
      </c>
      <c r="AY359" s="22">
        <v>1</v>
      </c>
      <c r="AZ359" s="22">
        <v>1</v>
      </c>
      <c r="BA359" s="22">
        <v>1</v>
      </c>
      <c r="BB359" s="64">
        <f t="shared" si="251"/>
        <v>0.33</v>
      </c>
      <c r="BD359" s="8">
        <v>-217.22</v>
      </c>
      <c r="BE359" s="8">
        <v>-0.25</v>
      </c>
      <c r="BF359" s="8">
        <v>-1.5</v>
      </c>
      <c r="BG359" s="8">
        <v>0</v>
      </c>
      <c r="BH359" s="8">
        <v>-0.75</v>
      </c>
      <c r="BI359" s="8">
        <f t="shared" ref="BI359" si="278">SUM(BD359:BH359)</f>
        <v>-219.72</v>
      </c>
      <c r="BJ359" s="2" t="s">
        <v>91</v>
      </c>
      <c r="BL359" s="8">
        <v>0</v>
      </c>
      <c r="BM359" s="8">
        <v>0</v>
      </c>
      <c r="BO359" s="70">
        <v>-284073</v>
      </c>
      <c r="BP359" s="70">
        <v>375459</v>
      </c>
      <c r="BQ359" s="72">
        <v>0</v>
      </c>
      <c r="BR359" s="22"/>
      <c r="BT359" s="61">
        <f t="shared" ref="BT359:BT390" si="279">SUM(Z359)-SUM(BE359)</f>
        <v>0</v>
      </c>
      <c r="BU359" s="61">
        <f t="shared" ref="BU359:BU390" si="280">SUM(AA359)-SUM(BF359)</f>
        <v>0</v>
      </c>
      <c r="BV359" s="61">
        <f t="shared" ref="BV359:BX390" si="281">SUM(AB359)-SUM(BG359)</f>
        <v>0</v>
      </c>
      <c r="BW359" s="61">
        <f t="shared" si="281"/>
        <v>0</v>
      </c>
      <c r="BX359" s="61">
        <f t="shared" si="257"/>
        <v>-0.41890000000000782</v>
      </c>
      <c r="BY359" s="61" t="s">
        <v>91</v>
      </c>
      <c r="CA359" s="61">
        <f t="shared" si="273"/>
        <v>0</v>
      </c>
      <c r="CB359" s="61">
        <f t="shared" si="273"/>
        <v>0</v>
      </c>
      <c r="CC359" s="61">
        <f t="shared" si="273"/>
        <v>0</v>
      </c>
      <c r="CD359" s="61">
        <f t="shared" si="273"/>
        <v>0</v>
      </c>
      <c r="CE359" s="61">
        <f t="shared" si="264"/>
        <v>-6.3020911689485148E-2</v>
      </c>
      <c r="CF359" s="61">
        <f t="shared" si="264"/>
        <v>-6.3020911689485148E-2</v>
      </c>
      <c r="CG359" s="61">
        <f t="shared" si="264"/>
        <v>-6.3020911689485148E-2</v>
      </c>
      <c r="CH359" s="61">
        <f t="shared" si="264"/>
        <v>-6.3020911689485148E-2</v>
      </c>
      <c r="CI359" s="61">
        <f t="shared" si="266"/>
        <v>-2.0796900857530103E-2</v>
      </c>
      <c r="CJ359" s="61"/>
      <c r="CK359" s="61">
        <f t="shared" si="274"/>
        <v>0</v>
      </c>
      <c r="CL359" s="61">
        <f t="shared" si="274"/>
        <v>0</v>
      </c>
      <c r="CM359" s="61">
        <f t="shared" si="274"/>
        <v>0</v>
      </c>
      <c r="CN359" s="61">
        <f t="shared" si="274"/>
        <v>0</v>
      </c>
      <c r="CO359" s="61">
        <f t="shared" si="265"/>
        <v>-6.3020911689485148E-2</v>
      </c>
      <c r="CP359" s="61">
        <f t="shared" si="265"/>
        <v>-6.3020911689485148E-2</v>
      </c>
      <c r="CQ359" s="61">
        <f t="shared" si="265"/>
        <v>-6.3020911689485148E-2</v>
      </c>
      <c r="CR359" s="61">
        <f t="shared" si="265"/>
        <v>-6.3020911689485148E-2</v>
      </c>
      <c r="CS359" s="61">
        <f t="shared" si="267"/>
        <v>-2.0796900857530103E-2</v>
      </c>
      <c r="CT359" s="101">
        <f t="shared" si="268"/>
        <v>-0.13823700000000261</v>
      </c>
      <c r="CV359" s="61">
        <f t="shared" si="269"/>
        <v>0</v>
      </c>
      <c r="CW359" s="61">
        <f t="shared" ref="CW359" si="282">SUM(AH359)-SUM(BM359)</f>
        <v>0</v>
      </c>
      <c r="CX359" s="61"/>
      <c r="CY359" s="61">
        <f t="shared" ref="CY359" si="283">SUM(AJ359)-SUM(BO359)</f>
        <v>0</v>
      </c>
      <c r="CZ359" s="61">
        <f t="shared" si="271"/>
        <v>0</v>
      </c>
      <c r="DA359" s="61">
        <f t="shared" si="271"/>
        <v>0</v>
      </c>
      <c r="DB359" s="2" t="s">
        <v>102</v>
      </c>
      <c r="DC359" s="2" t="s">
        <v>85</v>
      </c>
      <c r="DD359" s="2" t="s">
        <v>142</v>
      </c>
      <c r="DE359" s="2" t="s">
        <v>169</v>
      </c>
      <c r="DG359" s="62"/>
      <c r="DZ359" s="3" t="e">
        <v>#N/A</v>
      </c>
      <c r="EC359" s="60" t="str">
        <f>VLOOKUP($M359,[1]Detail!$M:$BO,1,0)</f>
        <v>JD8T -19G490 -AB</v>
      </c>
      <c r="ED359" s="60">
        <f>VLOOKUP($M359,[1]Detail!$M:$BO,22,0)</f>
        <v>-220.13890000000001</v>
      </c>
      <c r="EE359" s="60">
        <f>VLOOKUP($M359,[1]Detail!$M:$BO,42,0)</f>
        <v>0</v>
      </c>
      <c r="EF359" s="60">
        <f>VLOOKUP($M359,[1]Detail!$M:$BO,45,0)</f>
        <v>-284073</v>
      </c>
      <c r="EH359" s="60">
        <f>ED359-AD359</f>
        <v>0</v>
      </c>
      <c r="EI359" s="60">
        <f>EE359-AG359</f>
        <v>0</v>
      </c>
      <c r="EJ359" s="60">
        <f>EF359-AJ359</f>
        <v>0</v>
      </c>
    </row>
    <row r="360" spans="2:140" ht="12.75" hidden="1" customHeight="1">
      <c r="B360" s="99" t="s">
        <v>764</v>
      </c>
      <c r="C360" s="22" t="s">
        <v>765</v>
      </c>
      <c r="D360" s="22" t="s">
        <v>766</v>
      </c>
      <c r="E360" s="2" t="str">
        <f>VLOOKUP($C360,[1]Detail!$C:$AK,6,0)</f>
        <v>PMT1</v>
      </c>
      <c r="F360" s="2" t="str">
        <f>VLOOKUP($C360,[1]Detail!$C:$AK,7,0)</f>
        <v>TH</v>
      </c>
      <c r="G360" s="2" t="str">
        <f>VLOOKUP($C360,[1]Detail!$C:$AK,5,0)</f>
        <v>B</v>
      </c>
      <c r="J360" s="22" t="s">
        <v>767</v>
      </c>
      <c r="K360" s="23" t="s">
        <v>768</v>
      </c>
      <c r="L360" s="22" t="s">
        <v>769</v>
      </c>
      <c r="M360" s="51" t="str">
        <f t="shared" si="253"/>
        <v>JD8B -17K605 -AA </v>
      </c>
      <c r="O360" s="22">
        <v>1</v>
      </c>
      <c r="P360" s="22">
        <v>1</v>
      </c>
      <c r="Q360" s="22">
        <v>1</v>
      </c>
      <c r="R360" s="22">
        <v>1</v>
      </c>
      <c r="S360" s="22">
        <v>1</v>
      </c>
      <c r="T360" s="22">
        <v>1</v>
      </c>
      <c r="U360" s="22">
        <v>1</v>
      </c>
      <c r="V360" s="22">
        <v>1</v>
      </c>
      <c r="W360" s="64">
        <f t="shared" si="254"/>
        <v>1</v>
      </c>
      <c r="Y360" s="8">
        <v>-22.21</v>
      </c>
      <c r="Z360" s="8">
        <v>-0.2</v>
      </c>
      <c r="AA360" s="8">
        <v>-0.03</v>
      </c>
      <c r="AB360" s="8">
        <v>-0.41</v>
      </c>
      <c r="AC360" s="8">
        <v>0</v>
      </c>
      <c r="AD360" s="8">
        <f t="shared" si="270"/>
        <v>-22.85</v>
      </c>
      <c r="AE360" s="2" t="s">
        <v>91</v>
      </c>
      <c r="AG360" s="8">
        <v>-55000</v>
      </c>
      <c r="AH360" s="8">
        <v>-55000</v>
      </c>
      <c r="AI360" s="6"/>
      <c r="AJ360" s="70">
        <v>0</v>
      </c>
      <c r="AK360" s="70">
        <v>0</v>
      </c>
      <c r="AL360" s="72">
        <v>0</v>
      </c>
      <c r="AM360" s="22"/>
      <c r="AO360" s="22" t="s">
        <v>770</v>
      </c>
      <c r="AP360" s="23" t="s">
        <v>768</v>
      </c>
      <c r="AQ360" s="22" t="s">
        <v>120</v>
      </c>
      <c r="AR360" s="51" t="str">
        <f t="shared" si="250"/>
        <v>ED8B -17K605 -BB</v>
      </c>
      <c r="AS360" s="3"/>
      <c r="AT360" s="22">
        <v>1</v>
      </c>
      <c r="AU360" s="22">
        <v>1</v>
      </c>
      <c r="AV360" s="22">
        <v>1</v>
      </c>
      <c r="AW360" s="22">
        <v>1</v>
      </c>
      <c r="AX360" s="22">
        <v>1</v>
      </c>
      <c r="AY360" s="22">
        <v>1</v>
      </c>
      <c r="AZ360" s="22">
        <v>1</v>
      </c>
      <c r="BA360" s="22">
        <v>1</v>
      </c>
      <c r="BB360" s="64">
        <f t="shared" si="251"/>
        <v>1</v>
      </c>
      <c r="BD360" s="60">
        <v>-22.68</v>
      </c>
      <c r="BE360" s="60">
        <v>-0.2</v>
      </c>
      <c r="BF360" s="95">
        <v>-0.03</v>
      </c>
      <c r="BG360" s="95">
        <v>-0.41</v>
      </c>
      <c r="BH360" s="95">
        <v>0</v>
      </c>
      <c r="BI360" s="8">
        <f t="shared" si="272"/>
        <v>-23.32</v>
      </c>
      <c r="BJ360" s="2" t="s">
        <v>91</v>
      </c>
      <c r="BL360" s="70">
        <v>0</v>
      </c>
      <c r="BM360" s="70">
        <v>0</v>
      </c>
      <c r="BO360" s="70">
        <v>0</v>
      </c>
      <c r="BP360" s="70">
        <v>0</v>
      </c>
      <c r="BQ360" s="72">
        <v>0</v>
      </c>
      <c r="BS360" s="61">
        <f t="shared" ref="BS360:BS391" si="284">SUM(Y360)-SUM(BD360)</f>
        <v>0.46999999999999886</v>
      </c>
      <c r="BT360" s="61">
        <f t="shared" si="279"/>
        <v>0</v>
      </c>
      <c r="BU360" s="61">
        <f t="shared" si="280"/>
        <v>0</v>
      </c>
      <c r="BV360" s="61">
        <f t="shared" si="281"/>
        <v>0</v>
      </c>
      <c r="BW360" s="61">
        <f t="shared" si="281"/>
        <v>0</v>
      </c>
      <c r="BX360" s="61">
        <f t="shared" si="257"/>
        <v>0.46999999999999886</v>
      </c>
      <c r="BY360" s="61" t="s">
        <v>91</v>
      </c>
      <c r="CA360" s="61">
        <f t="shared" si="273"/>
        <v>7.0708590341507269E-2</v>
      </c>
      <c r="CB360" s="61">
        <f t="shared" si="273"/>
        <v>7.0708590341507269E-2</v>
      </c>
      <c r="CC360" s="61">
        <f t="shared" si="273"/>
        <v>7.0708590341507269E-2</v>
      </c>
      <c r="CD360" s="61">
        <f t="shared" si="273"/>
        <v>7.0708590341507269E-2</v>
      </c>
      <c r="CE360" s="61">
        <f t="shared" si="264"/>
        <v>7.0708590341507269E-2</v>
      </c>
      <c r="CF360" s="61">
        <f t="shared" si="264"/>
        <v>7.0708590341507269E-2</v>
      </c>
      <c r="CG360" s="61">
        <f t="shared" si="264"/>
        <v>7.0708590341507269E-2</v>
      </c>
      <c r="CH360" s="61">
        <f t="shared" si="264"/>
        <v>7.0708590341507269E-2</v>
      </c>
      <c r="CI360" s="61">
        <f t="shared" si="266"/>
        <v>7.0708590341507269E-2</v>
      </c>
      <c r="CJ360" s="61"/>
      <c r="CK360" s="61">
        <f t="shared" si="274"/>
        <v>7.0708590341507269E-2</v>
      </c>
      <c r="CL360" s="61">
        <f t="shared" si="274"/>
        <v>7.0708590341507269E-2</v>
      </c>
      <c r="CM360" s="61">
        <f t="shared" si="274"/>
        <v>7.0708590341507269E-2</v>
      </c>
      <c r="CN360" s="61">
        <f t="shared" si="274"/>
        <v>7.0708590341507269E-2</v>
      </c>
      <c r="CO360" s="61">
        <f t="shared" si="265"/>
        <v>7.0708590341507269E-2</v>
      </c>
      <c r="CP360" s="61">
        <f t="shared" si="265"/>
        <v>7.0708590341507269E-2</v>
      </c>
      <c r="CQ360" s="61">
        <f t="shared" si="265"/>
        <v>7.0708590341507269E-2</v>
      </c>
      <c r="CR360" s="61">
        <f t="shared" si="265"/>
        <v>7.0708590341507269E-2</v>
      </c>
      <c r="CS360" s="61">
        <f t="shared" si="267"/>
        <v>7.0708590341507269E-2</v>
      </c>
      <c r="CT360" s="61">
        <f t="shared" si="268"/>
        <v>0.46999999999999881</v>
      </c>
      <c r="CV360" s="61">
        <f t="shared" si="269"/>
        <v>-55000</v>
      </c>
      <c r="CW360" s="61">
        <f t="shared" si="261"/>
        <v>-55000</v>
      </c>
      <c r="CX360" s="61"/>
      <c r="CY360" s="61">
        <f t="shared" si="262"/>
        <v>0</v>
      </c>
      <c r="CZ360" s="61">
        <f t="shared" si="271"/>
        <v>0</v>
      </c>
      <c r="DA360" s="61">
        <f t="shared" si="271"/>
        <v>0</v>
      </c>
      <c r="DB360" s="2" t="s">
        <v>85</v>
      </c>
      <c r="DC360" s="2" t="s">
        <v>102</v>
      </c>
      <c r="DD360" s="2" t="s">
        <v>142</v>
      </c>
      <c r="DE360" s="2" t="s">
        <v>181</v>
      </c>
      <c r="DF360" s="3" t="s">
        <v>86</v>
      </c>
      <c r="DG360" s="62">
        <v>42833</v>
      </c>
      <c r="EC360" s="60"/>
      <c r="ED360" s="60"/>
      <c r="EE360" s="60"/>
      <c r="EF360" s="60"/>
    </row>
    <row r="361" spans="2:140" ht="12.75" hidden="1" customHeight="1">
      <c r="B361" s="99" t="s">
        <v>771</v>
      </c>
      <c r="C361" s="22" t="s">
        <v>765</v>
      </c>
      <c r="D361" s="22" t="s">
        <v>766</v>
      </c>
      <c r="E361" s="2" t="str">
        <f>VLOOKUP($C361,[1]Detail!$C:$AK,6,0)</f>
        <v>PMT1</v>
      </c>
      <c r="F361" s="2" t="str">
        <f>VLOOKUP($C361,[1]Detail!$C:$AK,7,0)</f>
        <v>TH</v>
      </c>
      <c r="G361" s="2" t="str">
        <f>VLOOKUP($C361,[1]Detail!$C:$AK,5,0)</f>
        <v>B</v>
      </c>
      <c r="J361" s="22" t="s">
        <v>767</v>
      </c>
      <c r="K361" s="23" t="s">
        <v>768</v>
      </c>
      <c r="L361" s="22" t="s">
        <v>769</v>
      </c>
      <c r="M361" s="51" t="str">
        <f t="shared" si="253"/>
        <v>JD8B -17K605 -AA </v>
      </c>
      <c r="O361" s="22">
        <v>1</v>
      </c>
      <c r="P361" s="22">
        <v>1</v>
      </c>
      <c r="Q361" s="22">
        <v>1</v>
      </c>
      <c r="R361" s="22">
        <v>1</v>
      </c>
      <c r="S361" s="22">
        <v>1</v>
      </c>
      <c r="T361" s="22">
        <v>1</v>
      </c>
      <c r="U361" s="22">
        <v>1</v>
      </c>
      <c r="V361" s="22">
        <v>1</v>
      </c>
      <c r="W361" s="64">
        <f t="shared" si="254"/>
        <v>1</v>
      </c>
      <c r="Y361" s="8">
        <v>-22.21</v>
      </c>
      <c r="Z361" s="8">
        <v>-0.2</v>
      </c>
      <c r="AA361" s="8">
        <v>-0.03</v>
      </c>
      <c r="AB361" s="8">
        <v>-0.41</v>
      </c>
      <c r="AC361" s="8">
        <v>0</v>
      </c>
      <c r="AD361" s="8">
        <f t="shared" si="270"/>
        <v>-22.85</v>
      </c>
      <c r="AE361" s="2" t="s">
        <v>91</v>
      </c>
      <c r="AG361" s="8">
        <v>-55000</v>
      </c>
      <c r="AH361" s="8">
        <v>-55000</v>
      </c>
      <c r="AI361" s="6"/>
      <c r="AJ361" s="70">
        <v>0</v>
      </c>
      <c r="AK361" s="70">
        <v>0</v>
      </c>
      <c r="AL361" s="72">
        <v>0</v>
      </c>
      <c r="AM361" s="22"/>
      <c r="AO361" s="22" t="s">
        <v>767</v>
      </c>
      <c r="AP361" s="23" t="s">
        <v>768</v>
      </c>
      <c r="AQ361" s="22" t="s">
        <v>769</v>
      </c>
      <c r="AR361" s="51" t="str">
        <f t="shared" ref="AR361:AR401" si="285">TRIM(AO361)&amp;"-"&amp;TRIM(AP361)&amp;"-"&amp;TRIM(AQ361)</f>
        <v>JD8B -17K605 -AA </v>
      </c>
      <c r="AS361" s="3"/>
      <c r="AT361" s="22">
        <v>1</v>
      </c>
      <c r="AU361" s="22">
        <v>1</v>
      </c>
      <c r="AV361" s="22">
        <v>1</v>
      </c>
      <c r="AW361" s="22">
        <v>1</v>
      </c>
      <c r="AX361" s="22">
        <v>1</v>
      </c>
      <c r="AY361" s="22">
        <v>1</v>
      </c>
      <c r="AZ361" s="22">
        <v>1</v>
      </c>
      <c r="BA361" s="22">
        <v>1</v>
      </c>
      <c r="BB361" s="64">
        <f t="shared" ref="BB361:BB401" si="286">SUMPRODUCT(AT361:BA361,$O$6:$V$6)</f>
        <v>1</v>
      </c>
      <c r="BD361" s="60">
        <v>-22.21</v>
      </c>
      <c r="BE361" s="60">
        <v>-0.2</v>
      </c>
      <c r="BF361" s="95">
        <v>-0.03</v>
      </c>
      <c r="BG361" s="95">
        <v>-0.41</v>
      </c>
      <c r="BH361" s="95">
        <v>0</v>
      </c>
      <c r="BI361" s="8">
        <f t="shared" si="272"/>
        <v>-22.85</v>
      </c>
      <c r="BJ361" s="2" t="s">
        <v>91</v>
      </c>
      <c r="BL361" s="70">
        <v>-55000</v>
      </c>
      <c r="BM361" s="70">
        <v>-55000</v>
      </c>
      <c r="BO361" s="70">
        <v>0</v>
      </c>
      <c r="BP361" s="70">
        <v>0</v>
      </c>
      <c r="BQ361" s="72">
        <v>0</v>
      </c>
      <c r="BS361" s="61">
        <f t="shared" si="284"/>
        <v>0</v>
      </c>
      <c r="BT361" s="61">
        <f t="shared" si="279"/>
        <v>0</v>
      </c>
      <c r="BU361" s="61">
        <f t="shared" si="280"/>
        <v>0</v>
      </c>
      <c r="BV361" s="61">
        <f t="shared" si="281"/>
        <v>0</v>
      </c>
      <c r="BW361" s="61">
        <f t="shared" si="281"/>
        <v>0</v>
      </c>
      <c r="BX361" s="61">
        <f t="shared" si="257"/>
        <v>0</v>
      </c>
      <c r="BY361" s="61" t="s">
        <v>91</v>
      </c>
      <c r="CA361" s="61">
        <f t="shared" si="273"/>
        <v>0</v>
      </c>
      <c r="CB361" s="61">
        <f t="shared" si="273"/>
        <v>0</v>
      </c>
      <c r="CC361" s="61">
        <f t="shared" si="273"/>
        <v>0</v>
      </c>
      <c r="CD361" s="61">
        <f t="shared" si="273"/>
        <v>0</v>
      </c>
      <c r="CE361" s="61">
        <f t="shared" si="264"/>
        <v>0</v>
      </c>
      <c r="CF361" s="61">
        <f t="shared" si="264"/>
        <v>0</v>
      </c>
      <c r="CG361" s="61">
        <f t="shared" si="264"/>
        <v>0</v>
      </c>
      <c r="CH361" s="61">
        <f t="shared" si="264"/>
        <v>0</v>
      </c>
      <c r="CI361" s="61">
        <f t="shared" si="266"/>
        <v>0</v>
      </c>
      <c r="CJ361" s="61"/>
      <c r="CK361" s="61">
        <f t="shared" si="274"/>
        <v>0</v>
      </c>
      <c r="CL361" s="61">
        <f t="shared" si="274"/>
        <v>0</v>
      </c>
      <c r="CM361" s="61">
        <f t="shared" si="274"/>
        <v>0</v>
      </c>
      <c r="CN361" s="61">
        <f t="shared" si="274"/>
        <v>0</v>
      </c>
      <c r="CO361" s="61">
        <f t="shared" si="265"/>
        <v>0</v>
      </c>
      <c r="CP361" s="61">
        <f t="shared" si="265"/>
        <v>0</v>
      </c>
      <c r="CQ361" s="61">
        <f t="shared" si="265"/>
        <v>0</v>
      </c>
      <c r="CR361" s="61">
        <f t="shared" si="265"/>
        <v>0</v>
      </c>
      <c r="CS361" s="61">
        <f t="shared" si="267"/>
        <v>0</v>
      </c>
      <c r="CT361" s="61">
        <f t="shared" si="268"/>
        <v>0</v>
      </c>
      <c r="CV361" s="61">
        <f t="shared" si="269"/>
        <v>0</v>
      </c>
      <c r="CW361" s="61">
        <f t="shared" si="261"/>
        <v>0</v>
      </c>
      <c r="CX361" s="61"/>
      <c r="CY361" s="61">
        <f t="shared" si="262"/>
        <v>0</v>
      </c>
      <c r="CZ361" s="61">
        <f t="shared" si="271"/>
        <v>0</v>
      </c>
      <c r="DA361" s="61">
        <f t="shared" si="271"/>
        <v>0</v>
      </c>
      <c r="DB361" s="2" t="s">
        <v>102</v>
      </c>
      <c r="DC361" s="2" t="s">
        <v>85</v>
      </c>
      <c r="DD361" s="2" t="s">
        <v>142</v>
      </c>
      <c r="DE361" s="2" t="s">
        <v>181</v>
      </c>
      <c r="DF361" s="3" t="s">
        <v>86</v>
      </c>
      <c r="DG361" s="62">
        <v>42893</v>
      </c>
      <c r="EC361" s="60" t="str">
        <f>VLOOKUP($M361,[1]Detail!$M:$BO,1,0)</f>
        <v>JD8B -17K605 -AA </v>
      </c>
      <c r="ED361" s="60">
        <f>VLOOKUP($M361,[1]Detail!$M:$BO,22,0)</f>
        <v>-22.85</v>
      </c>
      <c r="EE361" s="60">
        <f>VLOOKUP($M361,[1]Detail!$M:$BO,42,0)</f>
        <v>-55000</v>
      </c>
      <c r="EF361" s="60">
        <f>VLOOKUP($M361,[1]Detail!$M:$BO,45,0)</f>
        <v>0</v>
      </c>
      <c r="EH361" s="60">
        <f>ED361-AD361</f>
        <v>0</v>
      </c>
      <c r="EI361" s="60">
        <f>EE361-AG361</f>
        <v>0</v>
      </c>
      <c r="EJ361" s="60">
        <f>EF361-AJ361</f>
        <v>0</v>
      </c>
    </row>
    <row r="362" spans="2:140" ht="12.75" hidden="1" customHeight="1">
      <c r="B362" s="99" t="s">
        <v>772</v>
      </c>
      <c r="C362" s="22" t="s">
        <v>773</v>
      </c>
      <c r="D362" s="22" t="s">
        <v>774</v>
      </c>
      <c r="E362" s="2" t="str">
        <f>VLOOKUP($C362,[1]Detail!$C:$AK,6,0)</f>
        <v>PMT1</v>
      </c>
      <c r="F362" s="2" t="str">
        <f>VLOOKUP($C362,[1]Detail!$C:$AK,7,0)</f>
        <v>TH</v>
      </c>
      <c r="G362" s="2" t="str">
        <f>VLOOKUP($C362,[1]Detail!$C:$AK,5,0)</f>
        <v>D</v>
      </c>
      <c r="J362" s="22" t="s">
        <v>126</v>
      </c>
      <c r="K362" s="23" t="s">
        <v>775</v>
      </c>
      <c r="L362" s="22" t="s">
        <v>100</v>
      </c>
      <c r="M362" s="51" t="str">
        <f t="shared" si="253"/>
        <v>JD8B-F42509-AA</v>
      </c>
      <c r="O362" s="22">
        <v>1</v>
      </c>
      <c r="P362" s="22">
        <v>1</v>
      </c>
      <c r="Q362" s="22">
        <v>1</v>
      </c>
      <c r="R362" s="22">
        <v>1</v>
      </c>
      <c r="S362" s="22">
        <v>1</v>
      </c>
      <c r="T362" s="22">
        <v>1</v>
      </c>
      <c r="U362" s="22">
        <v>1</v>
      </c>
      <c r="V362" s="22">
        <v>1</v>
      </c>
      <c r="W362" s="64">
        <f t="shared" si="254"/>
        <v>1</v>
      </c>
      <c r="Y362" s="8">
        <f>-42.39*0-43.66</f>
        <v>-43.66</v>
      </c>
      <c r="Z362" s="8">
        <v>-0.82</v>
      </c>
      <c r="AA362" s="8">
        <v>-1.1299999999999999</v>
      </c>
      <c r="AB362" s="8">
        <v>0</v>
      </c>
      <c r="AC362" s="8">
        <v>0</v>
      </c>
      <c r="AD362" s="8">
        <f t="shared" si="270"/>
        <v>-45.61</v>
      </c>
      <c r="AE362" s="2" t="s">
        <v>91</v>
      </c>
      <c r="AG362" s="6">
        <v>-970000</v>
      </c>
      <c r="AH362" s="6">
        <v>-970000</v>
      </c>
      <c r="AI362" s="6"/>
      <c r="AJ362" s="70">
        <v>0</v>
      </c>
      <c r="AK362" s="70">
        <v>0</v>
      </c>
      <c r="AL362" s="72">
        <v>0</v>
      </c>
      <c r="AM362" s="22"/>
      <c r="AO362" s="22" t="s">
        <v>126</v>
      </c>
      <c r="AP362" s="23" t="s">
        <v>776</v>
      </c>
      <c r="AQ362" s="22" t="s">
        <v>100</v>
      </c>
      <c r="AR362" s="51" t="str">
        <f t="shared" si="285"/>
        <v>JD8B-F42509-AA</v>
      </c>
      <c r="AS362" s="3"/>
      <c r="AT362" s="22">
        <v>1</v>
      </c>
      <c r="AU362" s="22">
        <v>1</v>
      </c>
      <c r="AV362" s="22">
        <v>1</v>
      </c>
      <c r="AW362" s="22">
        <v>1</v>
      </c>
      <c r="AX362" s="22">
        <v>1</v>
      </c>
      <c r="AY362" s="22">
        <v>1</v>
      </c>
      <c r="AZ362" s="22">
        <v>1</v>
      </c>
      <c r="BA362" s="22">
        <v>1</v>
      </c>
      <c r="BB362" s="64">
        <f t="shared" si="286"/>
        <v>1</v>
      </c>
      <c r="BD362" s="60">
        <v>-42.39</v>
      </c>
      <c r="BE362" s="60">
        <v>-0.82</v>
      </c>
      <c r="BF362" s="95">
        <v>-1.1299999999999999</v>
      </c>
      <c r="BG362" s="95">
        <v>0</v>
      </c>
      <c r="BH362" s="95">
        <v>0</v>
      </c>
      <c r="BI362" s="8">
        <f t="shared" si="272"/>
        <v>-44.34</v>
      </c>
      <c r="BJ362" s="2" t="s">
        <v>91</v>
      </c>
      <c r="BL362" s="70">
        <v>-970000</v>
      </c>
      <c r="BM362" s="70">
        <v>-970000</v>
      </c>
      <c r="BO362" s="70">
        <v>0</v>
      </c>
      <c r="BP362" s="70">
        <v>0</v>
      </c>
      <c r="BQ362" s="72">
        <v>0</v>
      </c>
      <c r="BS362" s="61">
        <f t="shared" si="284"/>
        <v>-1.269999999999996</v>
      </c>
      <c r="BT362" s="61">
        <f t="shared" si="279"/>
        <v>0</v>
      </c>
      <c r="BU362" s="61">
        <f t="shared" si="280"/>
        <v>0</v>
      </c>
      <c r="BV362" s="61">
        <f t="shared" si="281"/>
        <v>0</v>
      </c>
      <c r="BW362" s="61">
        <f t="shared" si="281"/>
        <v>0</v>
      </c>
      <c r="BX362" s="61">
        <f t="shared" si="257"/>
        <v>-1.269999999999996</v>
      </c>
      <c r="BY362" s="61" t="s">
        <v>91</v>
      </c>
      <c r="CA362" s="61">
        <f t="shared" si="273"/>
        <v>-0.19106363773130675</v>
      </c>
      <c r="CB362" s="61">
        <f t="shared" si="273"/>
        <v>-0.19106363773130675</v>
      </c>
      <c r="CC362" s="61">
        <f t="shared" si="273"/>
        <v>-0.19106363773130675</v>
      </c>
      <c r="CD362" s="61">
        <f t="shared" si="273"/>
        <v>-0.19106363773130675</v>
      </c>
      <c r="CE362" s="61">
        <f t="shared" si="264"/>
        <v>-0.19106363773130675</v>
      </c>
      <c r="CF362" s="61">
        <f t="shared" si="264"/>
        <v>-0.19106363773130675</v>
      </c>
      <c r="CG362" s="61">
        <f t="shared" si="264"/>
        <v>-0.19106363773130675</v>
      </c>
      <c r="CH362" s="61">
        <f t="shared" si="264"/>
        <v>-0.19106363773130675</v>
      </c>
      <c r="CI362" s="61">
        <f t="shared" si="266"/>
        <v>-0.19106363773130675</v>
      </c>
      <c r="CJ362" s="61"/>
      <c r="CK362" s="61">
        <f t="shared" si="274"/>
        <v>-0.19106363773130675</v>
      </c>
      <c r="CL362" s="61">
        <f t="shared" si="274"/>
        <v>-0.19106363773130675</v>
      </c>
      <c r="CM362" s="61">
        <f t="shared" si="274"/>
        <v>-0.19106363773130675</v>
      </c>
      <c r="CN362" s="61">
        <f t="shared" si="274"/>
        <v>-0.19106363773130675</v>
      </c>
      <c r="CO362" s="61">
        <f t="shared" si="265"/>
        <v>-0.19106363773130675</v>
      </c>
      <c r="CP362" s="61">
        <f t="shared" si="265"/>
        <v>-0.19106363773130675</v>
      </c>
      <c r="CQ362" s="61">
        <f t="shared" si="265"/>
        <v>-0.19106363773130675</v>
      </c>
      <c r="CR362" s="61">
        <f t="shared" si="265"/>
        <v>-0.19106363773130675</v>
      </c>
      <c r="CS362" s="61">
        <f t="shared" si="267"/>
        <v>-0.19106363773130675</v>
      </c>
      <c r="CT362" s="61">
        <f t="shared" si="268"/>
        <v>-1.269999999999996</v>
      </c>
      <c r="CV362" s="61">
        <f t="shared" si="269"/>
        <v>0</v>
      </c>
      <c r="CW362" s="61">
        <f t="shared" si="261"/>
        <v>0</v>
      </c>
      <c r="CX362" s="61"/>
      <c r="CY362" s="61">
        <f t="shared" si="262"/>
        <v>0</v>
      </c>
      <c r="CZ362" s="61">
        <f t="shared" si="271"/>
        <v>0</v>
      </c>
      <c r="DA362" s="61">
        <f t="shared" si="271"/>
        <v>0</v>
      </c>
      <c r="DB362" s="2" t="s">
        <v>85</v>
      </c>
      <c r="DC362" s="2" t="s">
        <v>102</v>
      </c>
      <c r="DD362" s="2" t="s">
        <v>142</v>
      </c>
      <c r="DE362" s="2" t="s">
        <v>181</v>
      </c>
      <c r="DF362" s="3" t="s">
        <v>86</v>
      </c>
      <c r="DG362" s="62">
        <v>42833</v>
      </c>
      <c r="EC362" s="60"/>
      <c r="ED362" s="60"/>
      <c r="EE362" s="60"/>
      <c r="EF362" s="60"/>
    </row>
    <row r="363" spans="2:140" ht="12.75" hidden="1" customHeight="1">
      <c r="B363" s="99" t="s">
        <v>777</v>
      </c>
      <c r="C363" s="22" t="s">
        <v>773</v>
      </c>
      <c r="D363" s="22" t="s">
        <v>774</v>
      </c>
      <c r="E363" s="2" t="str">
        <f>VLOOKUP($C363,[1]Detail!$C:$AK,6,0)</f>
        <v>PMT1</v>
      </c>
      <c r="F363" s="2" t="str">
        <f>VLOOKUP($C363,[1]Detail!$C:$AK,7,0)</f>
        <v>TH</v>
      </c>
      <c r="G363" s="2" t="str">
        <f>VLOOKUP($C363,[1]Detail!$C:$AK,5,0)</f>
        <v>D</v>
      </c>
      <c r="J363" s="22" t="s">
        <v>126</v>
      </c>
      <c r="K363" s="23" t="s">
        <v>775</v>
      </c>
      <c r="L363" s="22" t="s">
        <v>132</v>
      </c>
      <c r="M363" s="51" t="str">
        <f t="shared" ref="M363:M426" si="287">TRIM(J363)&amp;"-"&amp;TRIM(K363)&amp;"-"&amp;TRIM(L363)</f>
        <v>JD8B-F42509-AB</v>
      </c>
      <c r="O363" s="22">
        <v>1</v>
      </c>
      <c r="P363" s="22">
        <v>1</v>
      </c>
      <c r="Q363" s="22">
        <v>1</v>
      </c>
      <c r="R363" s="22">
        <v>1</v>
      </c>
      <c r="S363" s="22">
        <v>1</v>
      </c>
      <c r="T363" s="22">
        <v>1</v>
      </c>
      <c r="U363" s="22">
        <v>1</v>
      </c>
      <c r="V363" s="22">
        <v>1</v>
      </c>
      <c r="W363" s="64">
        <f t="shared" ref="W363:W426" si="288">SUMPRODUCT(O363:V363,$O$6:$V$6)</f>
        <v>1</v>
      </c>
      <c r="Y363" s="8">
        <f>-42.39*0-43.66*0-47.93</f>
        <v>-47.93</v>
      </c>
      <c r="Z363" s="8">
        <v>-0.82</v>
      </c>
      <c r="AA363" s="8">
        <v>-1.1299999999999999</v>
      </c>
      <c r="AB363" s="8">
        <v>0</v>
      </c>
      <c r="AC363" s="8">
        <v>0</v>
      </c>
      <c r="AD363" s="8">
        <f t="shared" ref="AD363:AD390" si="289">SUM(Y363:AC363)</f>
        <v>-49.88</v>
      </c>
      <c r="AE363" s="2" t="s">
        <v>91</v>
      </c>
      <c r="AG363" s="6">
        <f>-970000*0-1090000</f>
        <v>-1090000</v>
      </c>
      <c r="AH363" s="6">
        <f>-970000*0-1090000</f>
        <v>-1090000</v>
      </c>
      <c r="AI363" s="6"/>
      <c r="AJ363" s="70">
        <v>0</v>
      </c>
      <c r="AK363" s="70">
        <v>0</v>
      </c>
      <c r="AL363" s="72">
        <v>0</v>
      </c>
      <c r="AM363" s="22"/>
      <c r="AO363" s="22" t="s">
        <v>126</v>
      </c>
      <c r="AP363" s="23" t="s">
        <v>776</v>
      </c>
      <c r="AQ363" s="22" t="s">
        <v>100</v>
      </c>
      <c r="AR363" s="51" t="str">
        <f t="shared" si="285"/>
        <v>JD8B-F42509-AA</v>
      </c>
      <c r="AS363" s="3"/>
      <c r="AT363" s="22">
        <v>1</v>
      </c>
      <c r="AU363" s="22">
        <v>1</v>
      </c>
      <c r="AV363" s="22">
        <v>1</v>
      </c>
      <c r="AW363" s="22">
        <v>1</v>
      </c>
      <c r="AX363" s="22">
        <v>1</v>
      </c>
      <c r="AY363" s="22">
        <v>1</v>
      </c>
      <c r="AZ363" s="22">
        <v>1</v>
      </c>
      <c r="BA363" s="22">
        <v>1</v>
      </c>
      <c r="BB363" s="64">
        <f t="shared" si="286"/>
        <v>1</v>
      </c>
      <c r="BD363" s="60">
        <f>-42.39*0-43.66</f>
        <v>-43.66</v>
      </c>
      <c r="BE363" s="60">
        <v>-0.82</v>
      </c>
      <c r="BF363" s="95">
        <v>-1.1299999999999999</v>
      </c>
      <c r="BG363" s="95">
        <v>0</v>
      </c>
      <c r="BH363" s="95">
        <v>0</v>
      </c>
      <c r="BI363" s="8">
        <f t="shared" si="272"/>
        <v>-45.61</v>
      </c>
      <c r="BJ363" s="2" t="s">
        <v>91</v>
      </c>
      <c r="BL363" s="70">
        <v>-970000</v>
      </c>
      <c r="BM363" s="70">
        <v>-970000</v>
      </c>
      <c r="BO363" s="70">
        <v>0</v>
      </c>
      <c r="BP363" s="70">
        <v>0</v>
      </c>
      <c r="BQ363" s="72">
        <v>0</v>
      </c>
      <c r="BS363" s="61">
        <f t="shared" si="284"/>
        <v>-4.2700000000000031</v>
      </c>
      <c r="BT363" s="61">
        <f t="shared" si="279"/>
        <v>0</v>
      </c>
      <c r="BU363" s="61">
        <f t="shared" si="280"/>
        <v>0</v>
      </c>
      <c r="BV363" s="61">
        <f t="shared" si="281"/>
        <v>0</v>
      </c>
      <c r="BW363" s="61">
        <f t="shared" si="281"/>
        <v>0</v>
      </c>
      <c r="BX363" s="61">
        <f t="shared" si="257"/>
        <v>-4.2700000000000031</v>
      </c>
      <c r="BY363" s="61" t="s">
        <v>91</v>
      </c>
      <c r="CA363" s="61">
        <f t="shared" si="273"/>
        <v>-0.64239506544305747</v>
      </c>
      <c r="CB363" s="61">
        <f t="shared" si="273"/>
        <v>-0.64239506544305747</v>
      </c>
      <c r="CC363" s="61">
        <f t="shared" si="273"/>
        <v>-0.64239506544305747</v>
      </c>
      <c r="CD363" s="61">
        <f t="shared" si="273"/>
        <v>-0.64239506544305747</v>
      </c>
      <c r="CE363" s="61">
        <f t="shared" si="264"/>
        <v>-0.64239506544305747</v>
      </c>
      <c r="CF363" s="61">
        <f t="shared" si="264"/>
        <v>-0.64239506544305747</v>
      </c>
      <c r="CG363" s="61">
        <f t="shared" si="264"/>
        <v>-0.64239506544305747</v>
      </c>
      <c r="CH363" s="61">
        <f t="shared" si="264"/>
        <v>-0.64239506544305747</v>
      </c>
      <c r="CI363" s="61">
        <f t="shared" si="266"/>
        <v>-0.64239506544305747</v>
      </c>
      <c r="CJ363" s="61"/>
      <c r="CK363" s="61">
        <f t="shared" si="274"/>
        <v>-0.64239506544305747</v>
      </c>
      <c r="CL363" s="61">
        <f t="shared" si="274"/>
        <v>-0.64239506544305747</v>
      </c>
      <c r="CM363" s="61">
        <f t="shared" si="274"/>
        <v>-0.64239506544305747</v>
      </c>
      <c r="CN363" s="61">
        <f t="shared" si="274"/>
        <v>-0.64239506544305747</v>
      </c>
      <c r="CO363" s="61">
        <f t="shared" si="265"/>
        <v>-0.64239506544305747</v>
      </c>
      <c r="CP363" s="61">
        <f t="shared" si="265"/>
        <v>-0.64239506544305747</v>
      </c>
      <c r="CQ363" s="61">
        <f t="shared" si="265"/>
        <v>-0.64239506544305747</v>
      </c>
      <c r="CR363" s="61">
        <f t="shared" si="265"/>
        <v>-0.64239506544305747</v>
      </c>
      <c r="CS363" s="61">
        <f t="shared" si="267"/>
        <v>-0.64239506544305747</v>
      </c>
      <c r="CT363" s="61">
        <f t="shared" si="268"/>
        <v>-4.2700000000000031</v>
      </c>
      <c r="CV363" s="61">
        <f t="shared" si="269"/>
        <v>-120000</v>
      </c>
      <c r="CW363" s="61">
        <f t="shared" si="261"/>
        <v>-120000</v>
      </c>
      <c r="CX363" s="61"/>
      <c r="CY363" s="61">
        <f t="shared" si="262"/>
        <v>0</v>
      </c>
      <c r="CZ363" s="61">
        <f t="shared" si="271"/>
        <v>0</v>
      </c>
      <c r="DA363" s="61">
        <f t="shared" si="271"/>
        <v>0</v>
      </c>
      <c r="DB363" s="2" t="s">
        <v>85</v>
      </c>
      <c r="DC363" s="2" t="s">
        <v>85</v>
      </c>
      <c r="DD363" s="2" t="s">
        <v>142</v>
      </c>
      <c r="DE363" s="2" t="s">
        <v>181</v>
      </c>
      <c r="DF363" s="3" t="s">
        <v>86</v>
      </c>
      <c r="DG363" s="62">
        <v>42833</v>
      </c>
      <c r="EC363" s="60"/>
      <c r="ED363" s="60"/>
      <c r="EE363" s="60"/>
      <c r="EF363" s="60"/>
    </row>
    <row r="364" spans="2:140" ht="12.75" hidden="1" customHeight="1">
      <c r="B364" s="99" t="s">
        <v>778</v>
      </c>
      <c r="C364" s="22" t="s">
        <v>653</v>
      </c>
      <c r="D364" s="22" t="s">
        <v>654</v>
      </c>
      <c r="E364" s="2" t="str">
        <f>VLOOKUP($C364,[1]Detail!$C:$AK,6,0)</f>
        <v>PMT2</v>
      </c>
      <c r="F364" s="2" t="str">
        <f>VLOOKUP($C364,[1]Detail!$C:$AK,7,0)</f>
        <v>TH</v>
      </c>
      <c r="G364" s="2">
        <f>VLOOKUP($C364,[1]Detail!$C:$AK,5,0)</f>
        <v>0</v>
      </c>
      <c r="J364" s="22" t="s">
        <v>767</v>
      </c>
      <c r="K364" s="23" t="s">
        <v>779</v>
      </c>
      <c r="L364" s="22" t="s">
        <v>196</v>
      </c>
      <c r="M364" s="51" t="str">
        <f t="shared" si="287"/>
        <v>JD8B -F23943-AAW</v>
      </c>
      <c r="O364" s="22">
        <v>1</v>
      </c>
      <c r="P364" s="22">
        <v>1</v>
      </c>
      <c r="Q364" s="22">
        <v>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64">
        <f t="shared" si="288"/>
        <v>0.30000000000000004</v>
      </c>
      <c r="Y364" s="8">
        <v>-106.38</v>
      </c>
      <c r="Z364" s="8">
        <v>-0.19</v>
      </c>
      <c r="AA364" s="8">
        <v>-1.67</v>
      </c>
      <c r="AB364" s="8">
        <v>0</v>
      </c>
      <c r="AC364" s="8">
        <v>0</v>
      </c>
      <c r="AD364" s="8">
        <f t="shared" si="289"/>
        <v>-108.24</v>
      </c>
      <c r="AE364" s="2" t="s">
        <v>91</v>
      </c>
      <c r="AG364" s="8">
        <v>-831600</v>
      </c>
      <c r="AH364" s="8">
        <v>-831600</v>
      </c>
      <c r="AI364" s="6"/>
      <c r="AJ364" s="70">
        <v>0</v>
      </c>
      <c r="AK364" s="70">
        <v>0</v>
      </c>
      <c r="AL364" s="72">
        <v>0</v>
      </c>
      <c r="AM364" s="22" t="s">
        <v>780</v>
      </c>
      <c r="AO364" s="22" t="s">
        <v>128</v>
      </c>
      <c r="AP364" s="23" t="s">
        <v>781</v>
      </c>
      <c r="AQ364" s="22" t="s">
        <v>782</v>
      </c>
      <c r="AR364" s="51" t="str">
        <f t="shared" si="285"/>
        <v>ED8B-F23943 -AHW</v>
      </c>
      <c r="AS364" s="3"/>
      <c r="AT364" s="22">
        <v>1</v>
      </c>
      <c r="AU364" s="22">
        <v>1</v>
      </c>
      <c r="AV364" s="22">
        <v>0</v>
      </c>
      <c r="AW364" s="22">
        <v>0</v>
      </c>
      <c r="AX364" s="22">
        <v>0</v>
      </c>
      <c r="AY364" s="22">
        <v>0</v>
      </c>
      <c r="AZ364" s="22">
        <v>0</v>
      </c>
      <c r="BA364" s="22">
        <v>0</v>
      </c>
      <c r="BB364" s="64">
        <f t="shared" si="286"/>
        <v>0.30000000000000004</v>
      </c>
      <c r="BD364" s="60">
        <v>-105.9</v>
      </c>
      <c r="BE364" s="60">
        <v>-0.19</v>
      </c>
      <c r="BF364" s="95">
        <v>-1.67</v>
      </c>
      <c r="BG364" s="95">
        <v>0</v>
      </c>
      <c r="BH364" s="95">
        <v>0</v>
      </c>
      <c r="BI364" s="8">
        <f t="shared" si="272"/>
        <v>-107.76</v>
      </c>
      <c r="BJ364" s="2" t="s">
        <v>91</v>
      </c>
      <c r="BL364" s="70">
        <v>0</v>
      </c>
      <c r="BM364" s="70">
        <v>0</v>
      </c>
      <c r="BO364" s="70">
        <v>0</v>
      </c>
      <c r="BP364" s="70">
        <v>0</v>
      </c>
      <c r="BQ364" s="72">
        <v>0</v>
      </c>
      <c r="BS364" s="61">
        <f t="shared" si="284"/>
        <v>-0.47999999999998977</v>
      </c>
      <c r="BT364" s="61">
        <f t="shared" si="279"/>
        <v>0</v>
      </c>
      <c r="BU364" s="61">
        <f t="shared" si="280"/>
        <v>0</v>
      </c>
      <c r="BV364" s="61">
        <f t="shared" si="281"/>
        <v>0</v>
      </c>
      <c r="BW364" s="61">
        <f t="shared" si="281"/>
        <v>0</v>
      </c>
      <c r="BX364" s="61">
        <f t="shared" si="257"/>
        <v>-0.47999999999998977</v>
      </c>
      <c r="BY364" s="61" t="s">
        <v>91</v>
      </c>
      <c r="CA364" s="61">
        <f t="shared" si="273"/>
        <v>-7.2213028433878404E-2</v>
      </c>
      <c r="CB364" s="61">
        <f t="shared" si="273"/>
        <v>-7.2213028433878404E-2</v>
      </c>
      <c r="CC364" s="61">
        <f t="shared" si="273"/>
        <v>0</v>
      </c>
      <c r="CD364" s="61">
        <f t="shared" si="273"/>
        <v>0</v>
      </c>
      <c r="CE364" s="61">
        <f t="shared" si="264"/>
        <v>0</v>
      </c>
      <c r="CF364" s="61">
        <f t="shared" si="264"/>
        <v>0</v>
      </c>
      <c r="CG364" s="61">
        <f t="shared" si="264"/>
        <v>0</v>
      </c>
      <c r="CH364" s="61">
        <f t="shared" si="264"/>
        <v>0</v>
      </c>
      <c r="CI364" s="61">
        <f t="shared" si="266"/>
        <v>-2.166390853016352E-2</v>
      </c>
      <c r="CJ364" s="61"/>
      <c r="CK364" s="61">
        <f t="shared" si="274"/>
        <v>-7.2213028433878404E-2</v>
      </c>
      <c r="CL364" s="61">
        <f t="shared" si="274"/>
        <v>-7.2213028433878404E-2</v>
      </c>
      <c r="CM364" s="61">
        <f t="shared" si="274"/>
        <v>0</v>
      </c>
      <c r="CN364" s="61">
        <f t="shared" si="274"/>
        <v>0</v>
      </c>
      <c r="CO364" s="61">
        <f t="shared" si="265"/>
        <v>0</v>
      </c>
      <c r="CP364" s="61">
        <f t="shared" si="265"/>
        <v>0</v>
      </c>
      <c r="CQ364" s="61">
        <f t="shared" si="265"/>
        <v>0</v>
      </c>
      <c r="CR364" s="61">
        <f t="shared" si="265"/>
        <v>0</v>
      </c>
      <c r="CS364" s="61">
        <f t="shared" si="267"/>
        <v>-2.166390853016352E-2</v>
      </c>
      <c r="CT364" s="61">
        <f t="shared" si="268"/>
        <v>-0.14399999999999691</v>
      </c>
      <c r="CV364" s="61">
        <f t="shared" si="269"/>
        <v>-831600</v>
      </c>
      <c r="CW364" s="61">
        <f t="shared" si="261"/>
        <v>-831600</v>
      </c>
      <c r="CX364" s="61"/>
      <c r="CY364" s="61">
        <f t="shared" si="262"/>
        <v>0</v>
      </c>
      <c r="CZ364" s="61">
        <f t="shared" si="271"/>
        <v>0</v>
      </c>
      <c r="DA364" s="61">
        <f t="shared" si="271"/>
        <v>0</v>
      </c>
      <c r="DB364" s="2" t="s">
        <v>134</v>
      </c>
      <c r="DC364" s="2" t="s">
        <v>102</v>
      </c>
      <c r="DD364" s="2" t="s">
        <v>142</v>
      </c>
      <c r="DE364" s="2" t="s">
        <v>181</v>
      </c>
      <c r="DF364" s="3" t="s">
        <v>86</v>
      </c>
      <c r="DG364" s="62">
        <v>42838</v>
      </c>
      <c r="EC364" s="60"/>
      <c r="ED364" s="60"/>
      <c r="EE364" s="60"/>
      <c r="EF364" s="60"/>
    </row>
    <row r="365" spans="2:140" ht="12.75" hidden="1" customHeight="1">
      <c r="B365" s="99" t="s">
        <v>778</v>
      </c>
      <c r="C365" s="22" t="s">
        <v>653</v>
      </c>
      <c r="D365" s="22" t="s">
        <v>654</v>
      </c>
      <c r="E365" s="2" t="str">
        <f>VLOOKUP($C365,[1]Detail!$C:$AK,6,0)</f>
        <v>PMT2</v>
      </c>
      <c r="F365" s="2" t="str">
        <f>VLOOKUP($C365,[1]Detail!$C:$AK,7,0)</f>
        <v>TH</v>
      </c>
      <c r="G365" s="2">
        <f>VLOOKUP($C365,[1]Detail!$C:$AK,5,0)</f>
        <v>0</v>
      </c>
      <c r="J365" s="22" t="s">
        <v>767</v>
      </c>
      <c r="K365" s="23" t="s">
        <v>779</v>
      </c>
      <c r="L365" s="22" t="s">
        <v>198</v>
      </c>
      <c r="M365" s="51" t="str">
        <f t="shared" si="287"/>
        <v>JD8B -F23943-BAW</v>
      </c>
      <c r="O365" s="22">
        <v>0</v>
      </c>
      <c r="P365" s="22">
        <v>0</v>
      </c>
      <c r="Q365" s="22">
        <v>1</v>
      </c>
      <c r="R365" s="22">
        <v>1</v>
      </c>
      <c r="S365" s="22">
        <v>1</v>
      </c>
      <c r="T365" s="22">
        <v>1</v>
      </c>
      <c r="U365" s="22">
        <v>0</v>
      </c>
      <c r="V365" s="22">
        <v>0</v>
      </c>
      <c r="W365" s="64">
        <f t="shared" si="288"/>
        <v>0.6</v>
      </c>
      <c r="Y365" s="8">
        <v>-121.13</v>
      </c>
      <c r="Z365" s="8">
        <v>-0.19</v>
      </c>
      <c r="AA365" s="8">
        <v>-1.67</v>
      </c>
      <c r="AB365" s="8">
        <v>0</v>
      </c>
      <c r="AC365" s="8">
        <v>0</v>
      </c>
      <c r="AD365" s="8">
        <f t="shared" si="289"/>
        <v>-122.99</v>
      </c>
      <c r="AE365" s="2" t="s">
        <v>91</v>
      </c>
      <c r="AG365" s="8">
        <v>0</v>
      </c>
      <c r="AH365" s="8">
        <v>0</v>
      </c>
      <c r="AJ365" s="70">
        <v>0</v>
      </c>
      <c r="AK365" s="70">
        <v>0</v>
      </c>
      <c r="AL365" s="72">
        <v>0</v>
      </c>
      <c r="AM365" s="22"/>
      <c r="AO365" s="22" t="s">
        <v>128</v>
      </c>
      <c r="AP365" s="23" t="s">
        <v>781</v>
      </c>
      <c r="AQ365" s="22" t="s">
        <v>656</v>
      </c>
      <c r="AR365" s="51" t="str">
        <f t="shared" si="285"/>
        <v>ED8B-F23943 -BGW</v>
      </c>
      <c r="AS365" s="3"/>
      <c r="AT365" s="22">
        <v>0</v>
      </c>
      <c r="AU365" s="22">
        <v>0</v>
      </c>
      <c r="AV365" s="22">
        <v>1</v>
      </c>
      <c r="AW365" s="22">
        <v>1</v>
      </c>
      <c r="AX365" s="22">
        <v>1</v>
      </c>
      <c r="AY365" s="22">
        <v>1</v>
      </c>
      <c r="AZ365" s="22">
        <v>0</v>
      </c>
      <c r="BA365" s="22">
        <v>0</v>
      </c>
      <c r="BB365" s="64">
        <f t="shared" si="286"/>
        <v>0.6</v>
      </c>
      <c r="BD365" s="60">
        <v>-120.65</v>
      </c>
      <c r="BE365" s="60">
        <v>-0.19</v>
      </c>
      <c r="BF365" s="95">
        <v>-1.67</v>
      </c>
      <c r="BG365" s="95">
        <v>0</v>
      </c>
      <c r="BH365" s="95">
        <v>0</v>
      </c>
      <c r="BI365" s="8">
        <f t="shared" si="272"/>
        <v>-122.51</v>
      </c>
      <c r="BJ365" s="2" t="s">
        <v>91</v>
      </c>
      <c r="BL365" s="70">
        <v>0</v>
      </c>
      <c r="BM365" s="70">
        <v>0</v>
      </c>
      <c r="BO365" s="70">
        <v>0</v>
      </c>
      <c r="BP365" s="70">
        <v>0</v>
      </c>
      <c r="BQ365" s="72">
        <v>0</v>
      </c>
      <c r="BS365" s="61">
        <f t="shared" si="284"/>
        <v>-0.47999999999998977</v>
      </c>
      <c r="BT365" s="61">
        <f t="shared" si="279"/>
        <v>0</v>
      </c>
      <c r="BU365" s="61">
        <f t="shared" si="280"/>
        <v>0</v>
      </c>
      <c r="BV365" s="61">
        <f t="shared" si="281"/>
        <v>0</v>
      </c>
      <c r="BW365" s="61">
        <f t="shared" si="281"/>
        <v>0</v>
      </c>
      <c r="BX365" s="61">
        <f t="shared" si="257"/>
        <v>-0.47999999999998977</v>
      </c>
      <c r="BY365" s="61" t="s">
        <v>91</v>
      </c>
      <c r="CA365" s="61">
        <f t="shared" si="273"/>
        <v>0</v>
      </c>
      <c r="CB365" s="61">
        <f t="shared" si="273"/>
        <v>0</v>
      </c>
      <c r="CC365" s="61">
        <f t="shared" si="273"/>
        <v>-7.2213028433878404E-2</v>
      </c>
      <c r="CD365" s="61">
        <f t="shared" si="273"/>
        <v>-7.2213028433878404E-2</v>
      </c>
      <c r="CE365" s="61">
        <f t="shared" si="264"/>
        <v>-7.2213028433878404E-2</v>
      </c>
      <c r="CF365" s="61">
        <f t="shared" si="264"/>
        <v>-7.2213028433878404E-2</v>
      </c>
      <c r="CG365" s="61">
        <f t="shared" si="264"/>
        <v>0</v>
      </c>
      <c r="CH365" s="61">
        <f t="shared" si="264"/>
        <v>0</v>
      </c>
      <c r="CI365" s="61">
        <f t="shared" si="266"/>
        <v>-4.3327817060327047E-2</v>
      </c>
      <c r="CJ365" s="61"/>
      <c r="CK365" s="61">
        <f t="shared" si="274"/>
        <v>0</v>
      </c>
      <c r="CL365" s="61">
        <f t="shared" si="274"/>
        <v>0</v>
      </c>
      <c r="CM365" s="61">
        <f t="shared" si="274"/>
        <v>-7.2213028433878404E-2</v>
      </c>
      <c r="CN365" s="61">
        <f t="shared" si="274"/>
        <v>-7.2213028433878404E-2</v>
      </c>
      <c r="CO365" s="61">
        <f t="shared" si="265"/>
        <v>-7.2213028433878404E-2</v>
      </c>
      <c r="CP365" s="61">
        <f t="shared" si="265"/>
        <v>-7.2213028433878404E-2</v>
      </c>
      <c r="CQ365" s="61">
        <f t="shared" si="265"/>
        <v>0</v>
      </c>
      <c r="CR365" s="61">
        <f t="shared" si="265"/>
        <v>0</v>
      </c>
      <c r="CS365" s="61">
        <f t="shared" si="267"/>
        <v>-4.3327817060327047E-2</v>
      </c>
      <c r="CT365" s="61">
        <f t="shared" si="268"/>
        <v>-0.28799999999999387</v>
      </c>
      <c r="CV365" s="61">
        <f t="shared" si="269"/>
        <v>0</v>
      </c>
      <c r="CW365" s="61">
        <f t="shared" si="261"/>
        <v>0</v>
      </c>
      <c r="CX365" s="61"/>
      <c r="CY365" s="61">
        <f t="shared" si="262"/>
        <v>0</v>
      </c>
      <c r="CZ365" s="61">
        <f t="shared" si="271"/>
        <v>0</v>
      </c>
      <c r="DA365" s="61">
        <f t="shared" si="271"/>
        <v>0</v>
      </c>
      <c r="DB365" s="2" t="s">
        <v>134</v>
      </c>
      <c r="DC365" s="2" t="s">
        <v>102</v>
      </c>
      <c r="DD365" s="2" t="s">
        <v>142</v>
      </c>
      <c r="DE365" s="2" t="s">
        <v>181</v>
      </c>
      <c r="DF365" s="3" t="s">
        <v>86</v>
      </c>
      <c r="DG365" s="62">
        <v>42838</v>
      </c>
      <c r="EC365" s="60"/>
      <c r="ED365" s="60"/>
      <c r="EE365" s="60"/>
      <c r="EF365" s="60"/>
    </row>
    <row r="366" spans="2:140" ht="12.75" hidden="1" customHeight="1">
      <c r="B366" s="99" t="s">
        <v>778</v>
      </c>
      <c r="C366" s="22" t="s">
        <v>653</v>
      </c>
      <c r="D366" s="22" t="s">
        <v>654</v>
      </c>
      <c r="E366" s="2" t="str">
        <f>VLOOKUP($C366,[1]Detail!$C:$AK,6,0)</f>
        <v>PMT2</v>
      </c>
      <c r="F366" s="2" t="str">
        <f>VLOOKUP($C366,[1]Detail!$C:$AK,7,0)</f>
        <v>TH</v>
      </c>
      <c r="G366" s="2">
        <f>VLOOKUP($C366,[1]Detail!$C:$AK,5,0)</f>
        <v>0</v>
      </c>
      <c r="J366" s="22" t="s">
        <v>767</v>
      </c>
      <c r="K366" s="23" t="s">
        <v>779</v>
      </c>
      <c r="L366" s="22" t="s">
        <v>269</v>
      </c>
      <c r="M366" s="51" t="str">
        <f t="shared" si="287"/>
        <v>JD8B -F23943-CAW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1</v>
      </c>
      <c r="V366" s="22">
        <v>1</v>
      </c>
      <c r="W366" s="64">
        <f t="shared" si="288"/>
        <v>0.1</v>
      </c>
      <c r="Y366" s="8">
        <v>-121.13</v>
      </c>
      <c r="Z366" s="8">
        <v>-0.19</v>
      </c>
      <c r="AA366" s="8">
        <v>-1.67</v>
      </c>
      <c r="AB366" s="8">
        <v>0</v>
      </c>
      <c r="AC366" s="8">
        <v>0</v>
      </c>
      <c r="AD366" s="8">
        <f t="shared" si="289"/>
        <v>-122.99</v>
      </c>
      <c r="AE366" s="2" t="s">
        <v>91</v>
      </c>
      <c r="AG366" s="8">
        <v>0</v>
      </c>
      <c r="AH366" s="8">
        <v>0</v>
      </c>
      <c r="AJ366" s="70">
        <v>0</v>
      </c>
      <c r="AK366" s="70">
        <v>0</v>
      </c>
      <c r="AL366" s="72">
        <v>0</v>
      </c>
      <c r="AM366" s="22"/>
      <c r="AO366" s="22" t="s">
        <v>128</v>
      </c>
      <c r="AP366" s="23" t="s">
        <v>781</v>
      </c>
      <c r="AQ366" s="22" t="s">
        <v>656</v>
      </c>
      <c r="AR366" s="51" t="str">
        <f t="shared" si="285"/>
        <v>ED8B-F23943 -BGW</v>
      </c>
      <c r="AS366" s="3"/>
      <c r="AT366" s="22">
        <v>0</v>
      </c>
      <c r="AU366" s="22">
        <v>0</v>
      </c>
      <c r="AV366" s="22">
        <v>0</v>
      </c>
      <c r="AW366" s="22">
        <v>0</v>
      </c>
      <c r="AX366" s="22">
        <v>0</v>
      </c>
      <c r="AY366" s="22">
        <v>0</v>
      </c>
      <c r="AZ366" s="22">
        <v>1</v>
      </c>
      <c r="BA366" s="22">
        <v>1</v>
      </c>
      <c r="BB366" s="64">
        <f t="shared" si="286"/>
        <v>0.1</v>
      </c>
      <c r="BD366" s="60">
        <v>-120.65</v>
      </c>
      <c r="BE366" s="60">
        <v>-0.19</v>
      </c>
      <c r="BF366" s="95">
        <v>-1.67</v>
      </c>
      <c r="BG366" s="95">
        <v>0</v>
      </c>
      <c r="BH366" s="95">
        <v>0</v>
      </c>
      <c r="BI366" s="8">
        <f t="shared" si="272"/>
        <v>-122.51</v>
      </c>
      <c r="BJ366" s="2" t="s">
        <v>91</v>
      </c>
      <c r="BL366" s="70">
        <v>0</v>
      </c>
      <c r="BM366" s="70">
        <v>0</v>
      </c>
      <c r="BO366" s="70">
        <v>0</v>
      </c>
      <c r="BP366" s="70">
        <v>0</v>
      </c>
      <c r="BQ366" s="72">
        <v>0</v>
      </c>
      <c r="BS366" s="61">
        <f t="shared" si="284"/>
        <v>-0.47999999999998977</v>
      </c>
      <c r="BT366" s="61">
        <f t="shared" si="279"/>
        <v>0</v>
      </c>
      <c r="BU366" s="61">
        <f t="shared" si="280"/>
        <v>0</v>
      </c>
      <c r="BV366" s="61">
        <f t="shared" si="281"/>
        <v>0</v>
      </c>
      <c r="BW366" s="61">
        <f t="shared" si="281"/>
        <v>0</v>
      </c>
      <c r="BX366" s="61">
        <f t="shared" si="257"/>
        <v>-0.47999999999998977</v>
      </c>
      <c r="BY366" s="61" t="s">
        <v>91</v>
      </c>
      <c r="CA366" s="61">
        <f t="shared" si="273"/>
        <v>0</v>
      </c>
      <c r="CB366" s="61">
        <f t="shared" si="273"/>
        <v>0</v>
      </c>
      <c r="CC366" s="61">
        <f t="shared" si="273"/>
        <v>0</v>
      </c>
      <c r="CD366" s="61">
        <f t="shared" si="273"/>
        <v>0</v>
      </c>
      <c r="CE366" s="61">
        <f t="shared" si="264"/>
        <v>0</v>
      </c>
      <c r="CF366" s="61">
        <f t="shared" si="264"/>
        <v>0</v>
      </c>
      <c r="CG366" s="61">
        <f t="shared" si="264"/>
        <v>-7.2213028433878404E-2</v>
      </c>
      <c r="CH366" s="61">
        <f t="shared" si="264"/>
        <v>-7.2213028433878404E-2</v>
      </c>
      <c r="CI366" s="61">
        <f t="shared" si="266"/>
        <v>-7.2213028433878411E-3</v>
      </c>
      <c r="CJ366" s="61"/>
      <c r="CK366" s="61">
        <f t="shared" si="274"/>
        <v>0</v>
      </c>
      <c r="CL366" s="61">
        <f t="shared" si="274"/>
        <v>0</v>
      </c>
      <c r="CM366" s="61">
        <f t="shared" si="274"/>
        <v>0</v>
      </c>
      <c r="CN366" s="61">
        <f t="shared" si="274"/>
        <v>0</v>
      </c>
      <c r="CO366" s="61">
        <f t="shared" si="265"/>
        <v>0</v>
      </c>
      <c r="CP366" s="61">
        <f t="shared" si="265"/>
        <v>0</v>
      </c>
      <c r="CQ366" s="61">
        <f t="shared" si="265"/>
        <v>-7.2213028433878404E-2</v>
      </c>
      <c r="CR366" s="61">
        <f t="shared" si="265"/>
        <v>-7.2213028433878404E-2</v>
      </c>
      <c r="CS366" s="61">
        <f t="shared" si="267"/>
        <v>-7.2213028433878411E-3</v>
      </c>
      <c r="CT366" s="61">
        <f t="shared" si="268"/>
        <v>-4.7999999999998981E-2</v>
      </c>
      <c r="CV366" s="61">
        <f t="shared" si="269"/>
        <v>0</v>
      </c>
      <c r="CW366" s="61">
        <f t="shared" si="261"/>
        <v>0</v>
      </c>
      <c r="CX366" s="61"/>
      <c r="CY366" s="61">
        <f t="shared" si="262"/>
        <v>0</v>
      </c>
      <c r="CZ366" s="61">
        <f t="shared" si="271"/>
        <v>0</v>
      </c>
      <c r="DA366" s="61">
        <f t="shared" si="271"/>
        <v>0</v>
      </c>
      <c r="DB366" s="2" t="s">
        <v>134</v>
      </c>
      <c r="DC366" s="2" t="s">
        <v>102</v>
      </c>
      <c r="DD366" s="2" t="s">
        <v>142</v>
      </c>
      <c r="DE366" s="2" t="s">
        <v>181</v>
      </c>
      <c r="DF366" s="3" t="s">
        <v>86</v>
      </c>
      <c r="DG366" s="62">
        <v>42838</v>
      </c>
      <c r="EC366" s="60"/>
      <c r="ED366" s="60"/>
      <c r="EE366" s="60"/>
      <c r="EF366" s="60"/>
    </row>
    <row r="367" spans="2:140" ht="12.75" hidden="1" customHeight="1">
      <c r="B367" s="99" t="s">
        <v>778</v>
      </c>
      <c r="C367" s="22" t="s">
        <v>653</v>
      </c>
      <c r="D367" s="22" t="s">
        <v>654</v>
      </c>
      <c r="E367" s="2" t="str">
        <f>VLOOKUP($C367,[1]Detail!$C:$AK,6,0)</f>
        <v>PMT2</v>
      </c>
      <c r="F367" s="2" t="str">
        <f>VLOOKUP($C367,[1]Detail!$C:$AK,7,0)</f>
        <v>TH</v>
      </c>
      <c r="G367" s="2">
        <f>VLOOKUP($C367,[1]Detail!$C:$AK,5,0)</f>
        <v>0</v>
      </c>
      <c r="J367" s="22" t="s">
        <v>767</v>
      </c>
      <c r="K367" s="23" t="s">
        <v>783</v>
      </c>
      <c r="L367" s="22" t="s">
        <v>198</v>
      </c>
      <c r="M367" s="51" t="str">
        <f t="shared" si="287"/>
        <v>JD8B -F240A40 -BAW</v>
      </c>
      <c r="O367" s="22"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1</v>
      </c>
      <c r="V367" s="22">
        <v>1</v>
      </c>
      <c r="W367" s="64">
        <f t="shared" si="288"/>
        <v>0.1</v>
      </c>
      <c r="Y367" s="8">
        <v>-7.45</v>
      </c>
      <c r="Z367" s="8">
        <v>-0.14000000000000001</v>
      </c>
      <c r="AA367" s="8">
        <v>0</v>
      </c>
      <c r="AB367" s="8">
        <v>0</v>
      </c>
      <c r="AC367" s="8">
        <v>0</v>
      </c>
      <c r="AD367" s="8">
        <f t="shared" si="289"/>
        <v>-7.59</v>
      </c>
      <c r="AE367" s="2" t="s">
        <v>91</v>
      </c>
      <c r="AG367" s="8">
        <v>-14000</v>
      </c>
      <c r="AH367" s="8">
        <v>-14000</v>
      </c>
      <c r="AI367" s="6"/>
      <c r="AJ367" s="70">
        <v>0</v>
      </c>
      <c r="AK367" s="70">
        <v>0</v>
      </c>
      <c r="AL367" s="72">
        <v>0</v>
      </c>
      <c r="AM367" s="22"/>
      <c r="AO367" s="22" t="s">
        <v>128</v>
      </c>
      <c r="AP367" s="23" t="s">
        <v>783</v>
      </c>
      <c r="AQ367" s="22" t="s">
        <v>267</v>
      </c>
      <c r="AR367" s="51" t="str">
        <f t="shared" si="285"/>
        <v>ED8B-F240A40 -ADW</v>
      </c>
      <c r="AS367" s="3"/>
      <c r="AT367" s="22">
        <v>0</v>
      </c>
      <c r="AU367" s="22">
        <v>0</v>
      </c>
      <c r="AV367" s="22">
        <v>0</v>
      </c>
      <c r="AW367" s="22">
        <v>0</v>
      </c>
      <c r="AX367" s="22">
        <v>0</v>
      </c>
      <c r="AY367" s="22">
        <v>0</v>
      </c>
      <c r="AZ367" s="22">
        <v>1</v>
      </c>
      <c r="BA367" s="22">
        <v>1</v>
      </c>
      <c r="BB367" s="64">
        <f t="shared" si="286"/>
        <v>0.1</v>
      </c>
      <c r="BD367" s="60">
        <v>-7.45</v>
      </c>
      <c r="BE367" s="60">
        <v>-0.14000000000000001</v>
      </c>
      <c r="BF367" s="95">
        <v>0</v>
      </c>
      <c r="BG367" s="95">
        <v>0</v>
      </c>
      <c r="BH367" s="95">
        <v>0</v>
      </c>
      <c r="BI367" s="8">
        <f t="shared" si="272"/>
        <v>-7.59</v>
      </c>
      <c r="BJ367" s="2" t="s">
        <v>91</v>
      </c>
      <c r="BL367" s="70">
        <v>0</v>
      </c>
      <c r="BM367" s="70">
        <v>0</v>
      </c>
      <c r="BO367" s="70">
        <v>0</v>
      </c>
      <c r="BP367" s="70">
        <v>0</v>
      </c>
      <c r="BQ367" s="72">
        <v>0</v>
      </c>
      <c r="BS367" s="61">
        <f t="shared" si="284"/>
        <v>0</v>
      </c>
      <c r="BT367" s="61">
        <f t="shared" si="279"/>
        <v>0</v>
      </c>
      <c r="BU367" s="61">
        <f t="shared" si="280"/>
        <v>0</v>
      </c>
      <c r="BV367" s="61">
        <f t="shared" si="281"/>
        <v>0</v>
      </c>
      <c r="BW367" s="61">
        <f t="shared" si="281"/>
        <v>0</v>
      </c>
      <c r="BX367" s="61">
        <f t="shared" si="257"/>
        <v>0</v>
      </c>
      <c r="BY367" s="61" t="s">
        <v>91</v>
      </c>
      <c r="CA367" s="61">
        <f t="shared" si="273"/>
        <v>0</v>
      </c>
      <c r="CB367" s="61">
        <f t="shared" si="273"/>
        <v>0</v>
      </c>
      <c r="CC367" s="61">
        <f t="shared" si="273"/>
        <v>0</v>
      </c>
      <c r="CD367" s="61">
        <f t="shared" si="273"/>
        <v>0</v>
      </c>
      <c r="CE367" s="61">
        <f t="shared" si="264"/>
        <v>0</v>
      </c>
      <c r="CF367" s="61">
        <f t="shared" si="264"/>
        <v>0</v>
      </c>
      <c r="CG367" s="61">
        <f t="shared" si="264"/>
        <v>0</v>
      </c>
      <c r="CH367" s="61">
        <f t="shared" si="264"/>
        <v>0</v>
      </c>
      <c r="CI367" s="61">
        <f t="shared" si="266"/>
        <v>0</v>
      </c>
      <c r="CJ367" s="61"/>
      <c r="CK367" s="61">
        <f t="shared" si="274"/>
        <v>0</v>
      </c>
      <c r="CL367" s="61">
        <f t="shared" si="274"/>
        <v>0</v>
      </c>
      <c r="CM367" s="61">
        <f t="shared" si="274"/>
        <v>0</v>
      </c>
      <c r="CN367" s="61">
        <f t="shared" si="274"/>
        <v>0</v>
      </c>
      <c r="CO367" s="61">
        <f t="shared" si="265"/>
        <v>0</v>
      </c>
      <c r="CP367" s="61">
        <f t="shared" si="265"/>
        <v>0</v>
      </c>
      <c r="CQ367" s="61">
        <f t="shared" si="265"/>
        <v>0</v>
      </c>
      <c r="CR367" s="61">
        <f t="shared" si="265"/>
        <v>0</v>
      </c>
      <c r="CS367" s="61">
        <f t="shared" si="267"/>
        <v>0</v>
      </c>
      <c r="CT367" s="61">
        <f t="shared" si="268"/>
        <v>0</v>
      </c>
      <c r="CV367" s="61">
        <f t="shared" si="269"/>
        <v>-14000</v>
      </c>
      <c r="CW367" s="61">
        <f t="shared" si="261"/>
        <v>-14000</v>
      </c>
      <c r="CX367" s="61"/>
      <c r="CY367" s="61">
        <f t="shared" si="262"/>
        <v>0</v>
      </c>
      <c r="CZ367" s="61">
        <f t="shared" si="271"/>
        <v>0</v>
      </c>
      <c r="DA367" s="61">
        <f t="shared" si="271"/>
        <v>0</v>
      </c>
      <c r="DB367" s="2" t="s">
        <v>102</v>
      </c>
      <c r="DC367" s="2" t="s">
        <v>102</v>
      </c>
      <c r="DD367" s="2" t="s">
        <v>142</v>
      </c>
      <c r="DE367" s="2" t="s">
        <v>181</v>
      </c>
      <c r="DF367" s="3" t="s">
        <v>86</v>
      </c>
      <c r="DG367" s="62">
        <v>42838</v>
      </c>
      <c r="EC367" s="60" t="str">
        <f>VLOOKUP($M367,[1]Detail!$M:$BO,1,0)</f>
        <v>JD8B -F240A40 -BAW</v>
      </c>
      <c r="ED367" s="60">
        <f>VLOOKUP($M367,[1]Detail!$M:$BO,22,0)</f>
        <v>-7.59</v>
      </c>
      <c r="EE367" s="60">
        <f>VLOOKUP($M367,[1]Detail!$M:$BO,42,0)</f>
        <v>-14000</v>
      </c>
      <c r="EF367" s="60">
        <f>VLOOKUP($M367,[1]Detail!$M:$BO,45,0)</f>
        <v>0</v>
      </c>
      <c r="EH367" s="60">
        <f>ED367-AD367</f>
        <v>0</v>
      </c>
      <c r="EI367" s="60">
        <f>EE367-AG367</f>
        <v>0</v>
      </c>
      <c r="EJ367" s="60">
        <f>EF367-AJ367</f>
        <v>0</v>
      </c>
    </row>
    <row r="368" spans="2:140" ht="12.75" hidden="1" customHeight="1">
      <c r="B368" s="99" t="s">
        <v>778</v>
      </c>
      <c r="C368" s="22" t="s">
        <v>653</v>
      </c>
      <c r="D368" s="22" t="s">
        <v>654</v>
      </c>
      <c r="E368" s="2" t="str">
        <f>VLOOKUP($C368,[1]Detail!$C:$AK,6,0)</f>
        <v>PMT2</v>
      </c>
      <c r="F368" s="2" t="str">
        <f>VLOOKUP($C368,[1]Detail!$C:$AK,7,0)</f>
        <v>TH</v>
      </c>
      <c r="G368" s="2">
        <f>VLOOKUP($C368,[1]Detail!$C:$AK,5,0)</f>
        <v>0</v>
      </c>
      <c r="J368" s="22" t="s">
        <v>767</v>
      </c>
      <c r="K368" s="23" t="s">
        <v>268</v>
      </c>
      <c r="L368" s="22" t="s">
        <v>196</v>
      </c>
      <c r="M368" s="51" t="str">
        <f t="shared" si="287"/>
        <v>JD8B -F240A41-AAW</v>
      </c>
      <c r="O368" s="22">
        <v>1</v>
      </c>
      <c r="P368" s="22">
        <v>1</v>
      </c>
      <c r="Q368" s="22">
        <v>1</v>
      </c>
      <c r="R368" s="22">
        <v>1</v>
      </c>
      <c r="S368" s="22">
        <v>1</v>
      </c>
      <c r="T368" s="22">
        <v>1</v>
      </c>
      <c r="U368" s="22">
        <v>0</v>
      </c>
      <c r="V368" s="22">
        <v>0</v>
      </c>
      <c r="W368" s="64">
        <f t="shared" si="288"/>
        <v>0.9</v>
      </c>
      <c r="Y368" s="8">
        <f>-8.15</f>
        <v>-8.15</v>
      </c>
      <c r="Z368" s="8">
        <v>-0.14000000000000001</v>
      </c>
      <c r="AA368" s="8">
        <v>0</v>
      </c>
      <c r="AB368" s="8">
        <v>0</v>
      </c>
      <c r="AC368" s="8">
        <v>0</v>
      </c>
      <c r="AD368" s="8">
        <f t="shared" si="289"/>
        <v>-8.2900000000000009</v>
      </c>
      <c r="AE368" s="2" t="s">
        <v>91</v>
      </c>
      <c r="AG368" s="8">
        <v>0</v>
      </c>
      <c r="AH368" s="8">
        <v>0</v>
      </c>
      <c r="AJ368" s="70">
        <v>0</v>
      </c>
      <c r="AK368" s="70">
        <v>0</v>
      </c>
      <c r="AL368" s="72">
        <v>0</v>
      </c>
      <c r="AM368" s="22"/>
      <c r="AO368" s="22" t="s">
        <v>128</v>
      </c>
      <c r="AP368" s="23" t="s">
        <v>784</v>
      </c>
      <c r="AQ368" s="22" t="s">
        <v>785</v>
      </c>
      <c r="AR368" s="51" t="str">
        <f t="shared" si="285"/>
        <v>ED8B-F240A41 -AEW</v>
      </c>
      <c r="AS368" s="3"/>
      <c r="AT368" s="22">
        <v>1</v>
      </c>
      <c r="AU368" s="22">
        <v>1</v>
      </c>
      <c r="AV368" s="22">
        <v>1</v>
      </c>
      <c r="AW368" s="22">
        <v>1</v>
      </c>
      <c r="AX368" s="22">
        <v>1</v>
      </c>
      <c r="AY368" s="22">
        <v>1</v>
      </c>
      <c r="AZ368" s="22">
        <v>0</v>
      </c>
      <c r="BA368" s="22">
        <v>0</v>
      </c>
      <c r="BB368" s="64">
        <f t="shared" si="286"/>
        <v>0.9</v>
      </c>
      <c r="BD368" s="60">
        <v>-8.15</v>
      </c>
      <c r="BE368" s="60">
        <v>-0.14000000000000001</v>
      </c>
      <c r="BF368" s="95">
        <v>0</v>
      </c>
      <c r="BG368" s="95">
        <v>0</v>
      </c>
      <c r="BH368" s="95">
        <v>0</v>
      </c>
      <c r="BI368" s="8">
        <f t="shared" si="272"/>
        <v>-8.2900000000000009</v>
      </c>
      <c r="BJ368" s="2" t="s">
        <v>91</v>
      </c>
      <c r="BL368" s="70">
        <v>0</v>
      </c>
      <c r="BM368" s="70">
        <v>0</v>
      </c>
      <c r="BO368" s="70">
        <v>0</v>
      </c>
      <c r="BP368" s="70">
        <v>0</v>
      </c>
      <c r="BQ368" s="72">
        <v>0</v>
      </c>
      <c r="BS368" s="61">
        <f t="shared" si="284"/>
        <v>0</v>
      </c>
      <c r="BT368" s="61">
        <f t="shared" si="279"/>
        <v>0</v>
      </c>
      <c r="BU368" s="61">
        <f t="shared" si="280"/>
        <v>0</v>
      </c>
      <c r="BV368" s="61">
        <f t="shared" si="281"/>
        <v>0</v>
      </c>
      <c r="BW368" s="61">
        <f t="shared" si="281"/>
        <v>0</v>
      </c>
      <c r="BX368" s="61">
        <f t="shared" si="257"/>
        <v>0</v>
      </c>
      <c r="BY368" s="61" t="s">
        <v>91</v>
      </c>
      <c r="CA368" s="61">
        <f t="shared" si="273"/>
        <v>0</v>
      </c>
      <c r="CB368" s="61">
        <f t="shared" si="273"/>
        <v>0</v>
      </c>
      <c r="CC368" s="61">
        <f t="shared" si="273"/>
        <v>0</v>
      </c>
      <c r="CD368" s="61">
        <f t="shared" si="273"/>
        <v>0</v>
      </c>
      <c r="CE368" s="61">
        <f t="shared" si="264"/>
        <v>0</v>
      </c>
      <c r="CF368" s="61">
        <f t="shared" si="264"/>
        <v>0</v>
      </c>
      <c r="CG368" s="61">
        <f t="shared" si="264"/>
        <v>0</v>
      </c>
      <c r="CH368" s="61">
        <f t="shared" si="264"/>
        <v>0</v>
      </c>
      <c r="CI368" s="61">
        <f t="shared" si="266"/>
        <v>0</v>
      </c>
      <c r="CJ368" s="61"/>
      <c r="CK368" s="61">
        <f t="shared" si="274"/>
        <v>0</v>
      </c>
      <c r="CL368" s="61">
        <f t="shared" si="274"/>
        <v>0</v>
      </c>
      <c r="CM368" s="61">
        <f t="shared" si="274"/>
        <v>0</v>
      </c>
      <c r="CN368" s="61">
        <f t="shared" si="274"/>
        <v>0</v>
      </c>
      <c r="CO368" s="61">
        <f t="shared" si="265"/>
        <v>0</v>
      </c>
      <c r="CP368" s="61">
        <f t="shared" si="265"/>
        <v>0</v>
      </c>
      <c r="CQ368" s="61">
        <f t="shared" si="265"/>
        <v>0</v>
      </c>
      <c r="CR368" s="61">
        <f t="shared" si="265"/>
        <v>0</v>
      </c>
      <c r="CS368" s="61">
        <f t="shared" si="267"/>
        <v>0</v>
      </c>
      <c r="CT368" s="61">
        <f t="shared" si="268"/>
        <v>0</v>
      </c>
      <c r="CV368" s="61">
        <f t="shared" si="269"/>
        <v>0</v>
      </c>
      <c r="CW368" s="61">
        <f t="shared" si="261"/>
        <v>0</v>
      </c>
      <c r="CX368" s="61"/>
      <c r="CY368" s="61">
        <f t="shared" si="262"/>
        <v>0</v>
      </c>
      <c r="CZ368" s="61">
        <f t="shared" si="271"/>
        <v>0</v>
      </c>
      <c r="DA368" s="61">
        <f t="shared" si="271"/>
        <v>0</v>
      </c>
      <c r="DB368" s="2" t="s">
        <v>85</v>
      </c>
      <c r="DC368" s="2" t="s">
        <v>102</v>
      </c>
      <c r="DD368" s="2" t="s">
        <v>142</v>
      </c>
      <c r="DE368" s="2" t="s">
        <v>181</v>
      </c>
      <c r="DF368" s="3" t="s">
        <v>86</v>
      </c>
      <c r="DG368" s="62">
        <v>42838</v>
      </c>
      <c r="EC368" s="60"/>
      <c r="ED368" s="60"/>
      <c r="EE368" s="60"/>
      <c r="EF368" s="60"/>
    </row>
    <row r="369" spans="2:140" ht="12.75" hidden="1" customHeight="1">
      <c r="B369" s="99" t="s">
        <v>778</v>
      </c>
      <c r="C369" s="22" t="s">
        <v>653</v>
      </c>
      <c r="D369" s="22" t="s">
        <v>654</v>
      </c>
      <c r="E369" s="2" t="str">
        <f>VLOOKUP($C369,[1]Detail!$C:$AK,6,0)</f>
        <v>PMT2</v>
      </c>
      <c r="F369" s="2" t="str">
        <f>VLOOKUP($C369,[1]Detail!$C:$AK,7,0)</f>
        <v>TH</v>
      </c>
      <c r="G369" s="2">
        <f>VLOOKUP($C369,[1]Detail!$C:$AK,5,0)</f>
        <v>0</v>
      </c>
      <c r="J369" s="22" t="s">
        <v>767</v>
      </c>
      <c r="K369" s="23" t="s">
        <v>268</v>
      </c>
      <c r="L369" s="22" t="s">
        <v>198</v>
      </c>
      <c r="M369" s="51" t="str">
        <f t="shared" si="287"/>
        <v>JD8B -F240A41-BAW</v>
      </c>
      <c r="O369" s="22">
        <v>0</v>
      </c>
      <c r="P369" s="22">
        <v>0</v>
      </c>
      <c r="Q369" s="22">
        <v>0</v>
      </c>
      <c r="R369" s="22">
        <v>0</v>
      </c>
      <c r="S369" s="22">
        <v>0</v>
      </c>
      <c r="T369" s="22">
        <v>0</v>
      </c>
      <c r="U369" s="22">
        <v>1</v>
      </c>
      <c r="V369" s="22">
        <v>1</v>
      </c>
      <c r="W369" s="64">
        <f t="shared" si="288"/>
        <v>0.1</v>
      </c>
      <c r="Y369" s="8">
        <v>-8.15</v>
      </c>
      <c r="Z369" s="8">
        <v>-0.14000000000000001</v>
      </c>
      <c r="AA369" s="8">
        <v>0</v>
      </c>
      <c r="AB369" s="8">
        <v>0</v>
      </c>
      <c r="AC369" s="8">
        <v>0</v>
      </c>
      <c r="AD369" s="8">
        <f t="shared" si="289"/>
        <v>-8.2900000000000009</v>
      </c>
      <c r="AE369" s="2" t="s">
        <v>91</v>
      </c>
      <c r="AG369" s="8">
        <v>0</v>
      </c>
      <c r="AH369" s="8">
        <v>0</v>
      </c>
      <c r="AJ369" s="70">
        <v>0</v>
      </c>
      <c r="AK369" s="70">
        <v>0</v>
      </c>
      <c r="AL369" s="72">
        <v>0</v>
      </c>
      <c r="AM369" s="22"/>
      <c r="AO369" s="22" t="s">
        <v>128</v>
      </c>
      <c r="AP369" s="23" t="s">
        <v>784</v>
      </c>
      <c r="AQ369" s="22" t="s">
        <v>785</v>
      </c>
      <c r="AR369" s="51" t="str">
        <f t="shared" si="285"/>
        <v>ED8B-F240A41 -AEW</v>
      </c>
      <c r="AS369" s="3"/>
      <c r="AT369" s="22">
        <v>0</v>
      </c>
      <c r="AU369" s="22">
        <v>0</v>
      </c>
      <c r="AV369" s="22">
        <v>0</v>
      </c>
      <c r="AW369" s="22">
        <v>0</v>
      </c>
      <c r="AX369" s="22">
        <v>0</v>
      </c>
      <c r="AY369" s="22">
        <v>0</v>
      </c>
      <c r="AZ369" s="22">
        <v>1</v>
      </c>
      <c r="BA369" s="22">
        <v>1</v>
      </c>
      <c r="BB369" s="64">
        <f t="shared" si="286"/>
        <v>0.1</v>
      </c>
      <c r="BD369" s="60">
        <v>-8.15</v>
      </c>
      <c r="BE369" s="60">
        <v>-0.14000000000000001</v>
      </c>
      <c r="BF369" s="95">
        <v>0</v>
      </c>
      <c r="BG369" s="95">
        <v>0</v>
      </c>
      <c r="BH369" s="95">
        <v>0</v>
      </c>
      <c r="BI369" s="8">
        <f t="shared" si="272"/>
        <v>-8.2900000000000009</v>
      </c>
      <c r="BJ369" s="2" t="s">
        <v>91</v>
      </c>
      <c r="BL369" s="70">
        <v>0</v>
      </c>
      <c r="BM369" s="70">
        <v>0</v>
      </c>
      <c r="BO369" s="70">
        <v>0</v>
      </c>
      <c r="BP369" s="70">
        <v>0</v>
      </c>
      <c r="BQ369" s="72">
        <v>0</v>
      </c>
      <c r="BS369" s="61">
        <f t="shared" si="284"/>
        <v>0</v>
      </c>
      <c r="BT369" s="61">
        <f t="shared" si="279"/>
        <v>0</v>
      </c>
      <c r="BU369" s="61">
        <f t="shared" si="280"/>
        <v>0</v>
      </c>
      <c r="BV369" s="61">
        <f t="shared" si="281"/>
        <v>0</v>
      </c>
      <c r="BW369" s="61">
        <f t="shared" si="281"/>
        <v>0</v>
      </c>
      <c r="BX369" s="61">
        <f t="shared" si="257"/>
        <v>0</v>
      </c>
      <c r="BY369" s="61" t="s">
        <v>91</v>
      </c>
      <c r="CA369" s="61">
        <f t="shared" si="273"/>
        <v>0</v>
      </c>
      <c r="CB369" s="61">
        <f t="shared" si="273"/>
        <v>0</v>
      </c>
      <c r="CC369" s="61">
        <f t="shared" si="273"/>
        <v>0</v>
      </c>
      <c r="CD369" s="61">
        <f t="shared" si="273"/>
        <v>0</v>
      </c>
      <c r="CE369" s="61">
        <f t="shared" si="264"/>
        <v>0</v>
      </c>
      <c r="CF369" s="61">
        <f t="shared" si="264"/>
        <v>0</v>
      </c>
      <c r="CG369" s="61">
        <f t="shared" si="264"/>
        <v>0</v>
      </c>
      <c r="CH369" s="61">
        <f t="shared" si="264"/>
        <v>0</v>
      </c>
      <c r="CI369" s="61">
        <f t="shared" si="266"/>
        <v>0</v>
      </c>
      <c r="CJ369" s="61"/>
      <c r="CK369" s="61">
        <f t="shared" si="274"/>
        <v>0</v>
      </c>
      <c r="CL369" s="61">
        <f t="shared" si="274"/>
        <v>0</v>
      </c>
      <c r="CM369" s="61">
        <f t="shared" si="274"/>
        <v>0</v>
      </c>
      <c r="CN369" s="61">
        <f t="shared" si="274"/>
        <v>0</v>
      </c>
      <c r="CO369" s="61">
        <f t="shared" si="265"/>
        <v>0</v>
      </c>
      <c r="CP369" s="61">
        <f t="shared" si="265"/>
        <v>0</v>
      </c>
      <c r="CQ369" s="61">
        <f t="shared" si="265"/>
        <v>0</v>
      </c>
      <c r="CR369" s="61">
        <f t="shared" si="265"/>
        <v>0</v>
      </c>
      <c r="CS369" s="61">
        <f t="shared" si="267"/>
        <v>0</v>
      </c>
      <c r="CT369" s="61">
        <f t="shared" si="268"/>
        <v>0</v>
      </c>
      <c r="CV369" s="61">
        <f t="shared" si="269"/>
        <v>0</v>
      </c>
      <c r="CW369" s="61">
        <f t="shared" si="261"/>
        <v>0</v>
      </c>
      <c r="CX369" s="61"/>
      <c r="CY369" s="61">
        <f t="shared" si="262"/>
        <v>0</v>
      </c>
      <c r="CZ369" s="61">
        <f t="shared" si="271"/>
        <v>0</v>
      </c>
      <c r="DA369" s="61">
        <f t="shared" si="271"/>
        <v>0</v>
      </c>
      <c r="DB369" s="2" t="s">
        <v>85</v>
      </c>
      <c r="DC369" s="2" t="s">
        <v>102</v>
      </c>
      <c r="DD369" s="2" t="s">
        <v>142</v>
      </c>
      <c r="DE369" s="2" t="s">
        <v>181</v>
      </c>
      <c r="DF369" s="3" t="s">
        <v>86</v>
      </c>
      <c r="DG369" s="62">
        <v>42838</v>
      </c>
      <c r="EC369" s="60"/>
      <c r="ED369" s="60"/>
      <c r="EE369" s="60"/>
      <c r="EF369" s="60"/>
    </row>
    <row r="370" spans="2:140" ht="12.75" hidden="1" customHeight="1">
      <c r="B370" s="99" t="s">
        <v>778</v>
      </c>
      <c r="C370" s="22" t="s">
        <v>653</v>
      </c>
      <c r="D370" s="22" t="s">
        <v>654</v>
      </c>
      <c r="E370" s="2" t="str">
        <f>VLOOKUP($C370,[1]Detail!$C:$AK,6,0)</f>
        <v>PMT2</v>
      </c>
      <c r="F370" s="2" t="str">
        <f>VLOOKUP($C370,[1]Detail!$C:$AK,7,0)</f>
        <v>TH</v>
      </c>
      <c r="G370" s="2">
        <f>VLOOKUP($C370,[1]Detail!$C:$AK,5,0)</f>
        <v>0</v>
      </c>
      <c r="J370" s="22" t="s">
        <v>767</v>
      </c>
      <c r="K370" s="23" t="s">
        <v>786</v>
      </c>
      <c r="L370" s="22" t="s">
        <v>196</v>
      </c>
      <c r="M370" s="51" t="str">
        <f t="shared" si="287"/>
        <v>JD8B -F24184 -AAW</v>
      </c>
      <c r="O370" s="22">
        <v>1</v>
      </c>
      <c r="P370" s="22">
        <v>1</v>
      </c>
      <c r="Q370" s="22">
        <v>1</v>
      </c>
      <c r="R370" s="22">
        <v>1</v>
      </c>
      <c r="S370" s="22">
        <v>1</v>
      </c>
      <c r="T370" s="22">
        <v>1</v>
      </c>
      <c r="U370" s="22">
        <v>0</v>
      </c>
      <c r="V370" s="22">
        <v>0</v>
      </c>
      <c r="W370" s="64">
        <f t="shared" si="288"/>
        <v>0.9</v>
      </c>
      <c r="Y370" s="8">
        <v>-10.7</v>
      </c>
      <c r="Z370" s="8">
        <v>-0.15</v>
      </c>
      <c r="AA370" s="8">
        <v>-0.08</v>
      </c>
      <c r="AB370" s="8">
        <v>0</v>
      </c>
      <c r="AC370" s="8">
        <v>0</v>
      </c>
      <c r="AD370" s="8">
        <f t="shared" si="289"/>
        <v>-10.93</v>
      </c>
      <c r="AE370" s="2" t="s">
        <v>91</v>
      </c>
      <c r="AG370" s="8">
        <v>0</v>
      </c>
      <c r="AH370" s="8">
        <v>0</v>
      </c>
      <c r="AJ370" s="70">
        <v>0</v>
      </c>
      <c r="AK370" s="70">
        <v>0</v>
      </c>
      <c r="AL370" s="72">
        <v>0</v>
      </c>
      <c r="AM370" s="22"/>
      <c r="AO370" s="22" t="s">
        <v>128</v>
      </c>
      <c r="AP370" s="23" t="s">
        <v>786</v>
      </c>
      <c r="AQ370" s="22" t="s">
        <v>785</v>
      </c>
      <c r="AR370" s="51" t="str">
        <f t="shared" si="285"/>
        <v>ED8B-F24184 -AEW</v>
      </c>
      <c r="AS370" s="3"/>
      <c r="AT370" s="22">
        <v>1</v>
      </c>
      <c r="AU370" s="22">
        <v>1</v>
      </c>
      <c r="AV370" s="22">
        <v>1</v>
      </c>
      <c r="AW370" s="22">
        <v>1</v>
      </c>
      <c r="AX370" s="22">
        <v>1</v>
      </c>
      <c r="AY370" s="22">
        <v>1</v>
      </c>
      <c r="AZ370" s="22">
        <v>0</v>
      </c>
      <c r="BA370" s="22">
        <v>0</v>
      </c>
      <c r="BB370" s="64">
        <f t="shared" si="286"/>
        <v>0.9</v>
      </c>
      <c r="BD370" s="60">
        <v>-9.86</v>
      </c>
      <c r="BE370" s="60">
        <v>-0.15</v>
      </c>
      <c r="BF370" s="95">
        <v>-0.08</v>
      </c>
      <c r="BG370" s="95">
        <v>0</v>
      </c>
      <c r="BH370" s="95">
        <v>0</v>
      </c>
      <c r="BI370" s="8">
        <f t="shared" si="272"/>
        <v>-10.09</v>
      </c>
      <c r="BJ370" s="2" t="s">
        <v>91</v>
      </c>
      <c r="BL370" s="70">
        <v>0</v>
      </c>
      <c r="BM370" s="70">
        <v>0</v>
      </c>
      <c r="BO370" s="70">
        <v>0</v>
      </c>
      <c r="BP370" s="70">
        <v>0</v>
      </c>
      <c r="BQ370" s="72">
        <v>0</v>
      </c>
      <c r="BS370" s="61">
        <f t="shared" si="284"/>
        <v>-0.83999999999999986</v>
      </c>
      <c r="BT370" s="61">
        <f t="shared" si="279"/>
        <v>0</v>
      </c>
      <c r="BU370" s="61">
        <f t="shared" si="280"/>
        <v>0</v>
      </c>
      <c r="BV370" s="61">
        <f t="shared" si="281"/>
        <v>0</v>
      </c>
      <c r="BW370" s="61">
        <f t="shared" si="281"/>
        <v>0</v>
      </c>
      <c r="BX370" s="61">
        <f t="shared" si="281"/>
        <v>-0.83999999999999986</v>
      </c>
      <c r="BY370" s="61" t="s">
        <v>91</v>
      </c>
      <c r="CA370" s="61">
        <f t="shared" si="273"/>
        <v>-0.12637279975928989</v>
      </c>
      <c r="CB370" s="61">
        <f t="shared" si="273"/>
        <v>-0.12637279975928989</v>
      </c>
      <c r="CC370" s="61">
        <f t="shared" si="273"/>
        <v>-0.12637279975928989</v>
      </c>
      <c r="CD370" s="61">
        <f t="shared" si="273"/>
        <v>-0.12637279975928989</v>
      </c>
      <c r="CE370" s="61">
        <f t="shared" si="264"/>
        <v>-0.12637279975928989</v>
      </c>
      <c r="CF370" s="61">
        <f t="shared" si="264"/>
        <v>-0.12637279975928989</v>
      </c>
      <c r="CG370" s="61">
        <f t="shared" si="264"/>
        <v>0</v>
      </c>
      <c r="CH370" s="61">
        <f t="shared" si="264"/>
        <v>0</v>
      </c>
      <c r="CI370" s="61">
        <f t="shared" si="266"/>
        <v>-0.11373551978336092</v>
      </c>
      <c r="CJ370" s="61"/>
      <c r="CK370" s="61">
        <f t="shared" si="274"/>
        <v>-0.12637279975928989</v>
      </c>
      <c r="CL370" s="61">
        <f t="shared" si="274"/>
        <v>-0.12637279975928989</v>
      </c>
      <c r="CM370" s="61">
        <f t="shared" si="274"/>
        <v>-0.12637279975928989</v>
      </c>
      <c r="CN370" s="61">
        <f t="shared" si="274"/>
        <v>-0.12637279975928989</v>
      </c>
      <c r="CO370" s="61">
        <f t="shared" si="265"/>
        <v>-0.12637279975928989</v>
      </c>
      <c r="CP370" s="61">
        <f t="shared" si="265"/>
        <v>-0.12637279975928989</v>
      </c>
      <c r="CQ370" s="61">
        <f t="shared" si="265"/>
        <v>0</v>
      </c>
      <c r="CR370" s="61">
        <f t="shared" si="265"/>
        <v>0</v>
      </c>
      <c r="CS370" s="61">
        <f t="shared" si="267"/>
        <v>-0.11373551978336092</v>
      </c>
      <c r="CT370" s="61">
        <f t="shared" si="268"/>
        <v>-0.75600000000000012</v>
      </c>
      <c r="CV370" s="61">
        <f t="shared" si="269"/>
        <v>0</v>
      </c>
      <c r="CW370" s="61">
        <f t="shared" si="261"/>
        <v>0</v>
      </c>
      <c r="CX370" s="61"/>
      <c r="CY370" s="61">
        <f t="shared" si="262"/>
        <v>0</v>
      </c>
      <c r="CZ370" s="61">
        <f t="shared" si="271"/>
        <v>0</v>
      </c>
      <c r="DA370" s="61">
        <f t="shared" si="271"/>
        <v>0</v>
      </c>
      <c r="DB370" s="2" t="s">
        <v>102</v>
      </c>
      <c r="DC370" s="2" t="s">
        <v>102</v>
      </c>
      <c r="DD370" s="2" t="s">
        <v>142</v>
      </c>
      <c r="DE370" s="2" t="s">
        <v>181</v>
      </c>
      <c r="DF370" s="3" t="s">
        <v>86</v>
      </c>
      <c r="DG370" s="62">
        <v>42838</v>
      </c>
      <c r="EC370" s="60" t="str">
        <f>VLOOKUP($M370,[1]Detail!$M:$BO,1,0)</f>
        <v>JD8B -F24184 -AAW</v>
      </c>
      <c r="ED370" s="60">
        <f>VLOOKUP($M370,[1]Detail!$M:$BO,22,0)</f>
        <v>-10.93</v>
      </c>
      <c r="EE370" s="60">
        <f>VLOOKUP($M370,[1]Detail!$M:$BO,42,0)</f>
        <v>0</v>
      </c>
      <c r="EF370" s="60">
        <f>VLOOKUP($M370,[1]Detail!$M:$BO,45,0)</f>
        <v>0</v>
      </c>
      <c r="EH370" s="60">
        <f t="shared" ref="EH370:EH376" si="290">ED370-AD370</f>
        <v>0</v>
      </c>
      <c r="EI370" s="60">
        <f t="shared" ref="EI370:EI376" si="291">EE370-AG370</f>
        <v>0</v>
      </c>
      <c r="EJ370" s="60">
        <f t="shared" ref="EJ370:EJ376" si="292">EF370-AJ370</f>
        <v>0</v>
      </c>
    </row>
    <row r="371" spans="2:140" ht="12.75" hidden="1" customHeight="1">
      <c r="B371" s="99" t="s">
        <v>778</v>
      </c>
      <c r="C371" s="22" t="s">
        <v>653</v>
      </c>
      <c r="D371" s="22" t="s">
        <v>654</v>
      </c>
      <c r="E371" s="2" t="str">
        <f>VLOOKUP($C371,[1]Detail!$C:$AK,6,0)</f>
        <v>PMT2</v>
      </c>
      <c r="F371" s="2" t="str">
        <f>VLOOKUP($C371,[1]Detail!$C:$AK,7,0)</f>
        <v>TH</v>
      </c>
      <c r="G371" s="2">
        <f>VLOOKUP($C371,[1]Detail!$C:$AK,5,0)</f>
        <v>0</v>
      </c>
      <c r="J371" s="22" t="s">
        <v>767</v>
      </c>
      <c r="K371" s="23" t="s">
        <v>786</v>
      </c>
      <c r="L371" s="22" t="s">
        <v>198</v>
      </c>
      <c r="M371" s="51" t="str">
        <f t="shared" si="287"/>
        <v>JD8B -F24184 -BAW</v>
      </c>
      <c r="O371" s="22"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1</v>
      </c>
      <c r="V371" s="22">
        <v>1</v>
      </c>
      <c r="W371" s="64">
        <f t="shared" si="288"/>
        <v>0.1</v>
      </c>
      <c r="Y371" s="8">
        <v>-16.850000000000001</v>
      </c>
      <c r="Z371" s="8">
        <v>-0.15</v>
      </c>
      <c r="AA371" s="8">
        <v>-0.08</v>
      </c>
      <c r="AB371" s="8">
        <v>0</v>
      </c>
      <c r="AC371" s="8">
        <v>0</v>
      </c>
      <c r="AD371" s="8">
        <f t="shared" si="289"/>
        <v>-17.079999999999998</v>
      </c>
      <c r="AE371" s="2" t="s">
        <v>91</v>
      </c>
      <c r="AG371" s="8">
        <v>0</v>
      </c>
      <c r="AH371" s="8">
        <v>0</v>
      </c>
      <c r="AJ371" s="70">
        <v>0</v>
      </c>
      <c r="AK371" s="70">
        <v>0</v>
      </c>
      <c r="AL371" s="72">
        <v>0</v>
      </c>
      <c r="AM371" s="22"/>
      <c r="AO371" s="22" t="s">
        <v>128</v>
      </c>
      <c r="AP371" s="23" t="s">
        <v>786</v>
      </c>
      <c r="AQ371" s="22" t="s">
        <v>785</v>
      </c>
      <c r="AR371" s="51" t="str">
        <f t="shared" si="285"/>
        <v>ED8B-F24184 -AEW</v>
      </c>
      <c r="AS371" s="3"/>
      <c r="AT371" s="22">
        <v>0</v>
      </c>
      <c r="AU371" s="22">
        <v>0</v>
      </c>
      <c r="AV371" s="22">
        <v>0</v>
      </c>
      <c r="AW371" s="22">
        <v>0</v>
      </c>
      <c r="AX371" s="22">
        <v>0</v>
      </c>
      <c r="AY371" s="22">
        <v>0</v>
      </c>
      <c r="AZ371" s="22">
        <v>1</v>
      </c>
      <c r="BA371" s="22">
        <v>1</v>
      </c>
      <c r="BB371" s="64">
        <f t="shared" si="286"/>
        <v>0.1</v>
      </c>
      <c r="BD371" s="60">
        <v>-9.86</v>
      </c>
      <c r="BE371" s="60">
        <v>-0.15</v>
      </c>
      <c r="BF371" s="95">
        <v>-0.08</v>
      </c>
      <c r="BG371" s="95">
        <v>0</v>
      </c>
      <c r="BH371" s="95">
        <v>0</v>
      </c>
      <c r="BI371" s="8">
        <f t="shared" si="272"/>
        <v>-10.09</v>
      </c>
      <c r="BJ371" s="2" t="s">
        <v>91</v>
      </c>
      <c r="BL371" s="70">
        <v>0</v>
      </c>
      <c r="BM371" s="70">
        <v>0</v>
      </c>
      <c r="BO371" s="70">
        <v>0</v>
      </c>
      <c r="BP371" s="70">
        <v>0</v>
      </c>
      <c r="BQ371" s="72">
        <v>0</v>
      </c>
      <c r="BS371" s="61">
        <f t="shared" si="284"/>
        <v>-6.990000000000002</v>
      </c>
      <c r="BT371" s="61">
        <f t="shared" si="279"/>
        <v>0</v>
      </c>
      <c r="BU371" s="61">
        <f t="shared" si="280"/>
        <v>0</v>
      </c>
      <c r="BV371" s="61">
        <f t="shared" si="281"/>
        <v>0</v>
      </c>
      <c r="BW371" s="61">
        <f t="shared" si="281"/>
        <v>0</v>
      </c>
      <c r="BX371" s="61">
        <f t="shared" si="281"/>
        <v>-6.9899999999999984</v>
      </c>
      <c r="BY371" s="61" t="s">
        <v>91</v>
      </c>
      <c r="CA371" s="61">
        <f t="shared" si="273"/>
        <v>0</v>
      </c>
      <c r="CB371" s="61">
        <f t="shared" si="273"/>
        <v>0</v>
      </c>
      <c r="CC371" s="61">
        <f t="shared" si="273"/>
        <v>0</v>
      </c>
      <c r="CD371" s="61">
        <f t="shared" si="273"/>
        <v>0</v>
      </c>
      <c r="CE371" s="61">
        <f t="shared" si="264"/>
        <v>0</v>
      </c>
      <c r="CF371" s="61">
        <f t="shared" si="264"/>
        <v>0</v>
      </c>
      <c r="CG371" s="61">
        <f t="shared" si="264"/>
        <v>-1.0516022265683769</v>
      </c>
      <c r="CH371" s="61">
        <f t="shared" si="264"/>
        <v>-1.0516022265683769</v>
      </c>
      <c r="CI371" s="61">
        <f t="shared" si="266"/>
        <v>-0.10516022265683769</v>
      </c>
      <c r="CJ371" s="61"/>
      <c r="CK371" s="61">
        <f t="shared" si="274"/>
        <v>0</v>
      </c>
      <c r="CL371" s="61">
        <f t="shared" si="274"/>
        <v>0</v>
      </c>
      <c r="CM371" s="61">
        <f t="shared" si="274"/>
        <v>0</v>
      </c>
      <c r="CN371" s="61">
        <f t="shared" si="274"/>
        <v>0</v>
      </c>
      <c r="CO371" s="61">
        <f t="shared" si="265"/>
        <v>0</v>
      </c>
      <c r="CP371" s="61">
        <f t="shared" si="265"/>
        <v>0</v>
      </c>
      <c r="CQ371" s="61">
        <f t="shared" si="265"/>
        <v>-1.0516022265683764</v>
      </c>
      <c r="CR371" s="61">
        <f t="shared" si="265"/>
        <v>-1.0516022265683764</v>
      </c>
      <c r="CS371" s="61">
        <f t="shared" si="267"/>
        <v>-0.10516022265683765</v>
      </c>
      <c r="CT371" s="61">
        <f t="shared" si="268"/>
        <v>-0.69899999999999984</v>
      </c>
      <c r="CV371" s="61">
        <f t="shared" si="269"/>
        <v>0</v>
      </c>
      <c r="CW371" s="61">
        <f t="shared" si="261"/>
        <v>0</v>
      </c>
      <c r="CX371" s="61"/>
      <c r="CY371" s="61">
        <f t="shared" si="262"/>
        <v>0</v>
      </c>
      <c r="CZ371" s="61">
        <f t="shared" si="271"/>
        <v>0</v>
      </c>
      <c r="DA371" s="61">
        <f t="shared" si="271"/>
        <v>0</v>
      </c>
      <c r="DB371" s="2" t="s">
        <v>102</v>
      </c>
      <c r="DC371" s="2" t="s">
        <v>102</v>
      </c>
      <c r="DD371" s="2" t="s">
        <v>142</v>
      </c>
      <c r="DE371" s="2" t="s">
        <v>181</v>
      </c>
      <c r="DF371" s="3" t="s">
        <v>86</v>
      </c>
      <c r="DG371" s="62">
        <v>42838</v>
      </c>
      <c r="EC371" s="60" t="str">
        <f>VLOOKUP($M371,[1]Detail!$M:$BO,1,0)</f>
        <v>JD8B -F24184 -BAW</v>
      </c>
      <c r="ED371" s="60">
        <f>VLOOKUP($M371,[1]Detail!$M:$BO,22,0)</f>
        <v>-17.079999999999998</v>
      </c>
      <c r="EE371" s="60">
        <f>VLOOKUP($M371,[1]Detail!$M:$BO,42,0)</f>
        <v>0</v>
      </c>
      <c r="EF371" s="60">
        <f>VLOOKUP($M371,[1]Detail!$M:$BO,45,0)</f>
        <v>0</v>
      </c>
      <c r="EH371" s="60">
        <f t="shared" si="290"/>
        <v>0</v>
      </c>
      <c r="EI371" s="60">
        <f t="shared" si="291"/>
        <v>0</v>
      </c>
      <c r="EJ371" s="60">
        <f t="shared" si="292"/>
        <v>0</v>
      </c>
    </row>
    <row r="372" spans="2:140" ht="12.75" hidden="1" customHeight="1">
      <c r="B372" s="99" t="s">
        <v>778</v>
      </c>
      <c r="C372" s="22" t="s">
        <v>653</v>
      </c>
      <c r="D372" s="22" t="s">
        <v>654</v>
      </c>
      <c r="E372" s="2" t="str">
        <f>VLOOKUP($C372,[1]Detail!$C:$AK,6,0)</f>
        <v>PMT2</v>
      </c>
      <c r="F372" s="2" t="str">
        <f>VLOOKUP($C372,[1]Detail!$C:$AK,7,0)</f>
        <v>TH</v>
      </c>
      <c r="G372" s="2">
        <f>VLOOKUP($C372,[1]Detail!$C:$AK,5,0)</f>
        <v>0</v>
      </c>
      <c r="J372" s="22" t="s">
        <v>767</v>
      </c>
      <c r="K372" s="23" t="s">
        <v>787</v>
      </c>
      <c r="L372" s="22" t="s">
        <v>196</v>
      </c>
      <c r="M372" s="51" t="str">
        <f t="shared" si="287"/>
        <v>JD8B -F24185 -AAW</v>
      </c>
      <c r="O372" s="22">
        <v>1</v>
      </c>
      <c r="P372" s="22">
        <v>1</v>
      </c>
      <c r="Q372" s="22">
        <v>1</v>
      </c>
      <c r="R372" s="22">
        <v>1</v>
      </c>
      <c r="S372" s="22">
        <v>1</v>
      </c>
      <c r="T372" s="22">
        <v>1</v>
      </c>
      <c r="U372" s="22">
        <v>0</v>
      </c>
      <c r="V372" s="22">
        <v>0</v>
      </c>
      <c r="W372" s="64">
        <f t="shared" si="288"/>
        <v>0.9</v>
      </c>
      <c r="Y372" s="8">
        <v>-10.7</v>
      </c>
      <c r="Z372" s="8">
        <v>-0.15</v>
      </c>
      <c r="AA372" s="8">
        <v>-0.08</v>
      </c>
      <c r="AB372" s="8">
        <v>0</v>
      </c>
      <c r="AC372" s="8">
        <v>0</v>
      </c>
      <c r="AD372" s="8">
        <f t="shared" si="289"/>
        <v>-10.93</v>
      </c>
      <c r="AE372" s="2" t="s">
        <v>91</v>
      </c>
      <c r="AG372" s="8">
        <v>0</v>
      </c>
      <c r="AH372" s="8">
        <v>0</v>
      </c>
      <c r="AJ372" s="70">
        <v>0</v>
      </c>
      <c r="AK372" s="70">
        <v>0</v>
      </c>
      <c r="AL372" s="72">
        <v>0</v>
      </c>
      <c r="AM372" s="22"/>
      <c r="AO372" s="22" t="s">
        <v>128</v>
      </c>
      <c r="AP372" s="23" t="s">
        <v>787</v>
      </c>
      <c r="AQ372" s="22" t="s">
        <v>785</v>
      </c>
      <c r="AR372" s="51" t="str">
        <f t="shared" si="285"/>
        <v>ED8B-F24185 -AEW</v>
      </c>
      <c r="AS372" s="3"/>
      <c r="AT372" s="22">
        <v>1</v>
      </c>
      <c r="AU372" s="22">
        <v>1</v>
      </c>
      <c r="AV372" s="22">
        <v>1</v>
      </c>
      <c r="AW372" s="22">
        <v>1</v>
      </c>
      <c r="AX372" s="22">
        <v>1</v>
      </c>
      <c r="AY372" s="22">
        <v>1</v>
      </c>
      <c r="AZ372" s="22">
        <v>0</v>
      </c>
      <c r="BA372" s="22">
        <v>0</v>
      </c>
      <c r="BB372" s="64">
        <f t="shared" si="286"/>
        <v>0.9</v>
      </c>
      <c r="BD372" s="60">
        <v>-9.86</v>
      </c>
      <c r="BE372" s="60">
        <v>-0.15</v>
      </c>
      <c r="BF372" s="95">
        <v>-0.08</v>
      </c>
      <c r="BG372" s="95">
        <v>0</v>
      </c>
      <c r="BH372" s="95">
        <v>0</v>
      </c>
      <c r="BI372" s="8">
        <f t="shared" si="272"/>
        <v>-10.09</v>
      </c>
      <c r="BJ372" s="2" t="s">
        <v>91</v>
      </c>
      <c r="BL372" s="70">
        <v>0</v>
      </c>
      <c r="BM372" s="70">
        <v>0</v>
      </c>
      <c r="BO372" s="70">
        <v>0</v>
      </c>
      <c r="BP372" s="70">
        <v>0</v>
      </c>
      <c r="BQ372" s="72">
        <v>0</v>
      </c>
      <c r="BS372" s="61">
        <f t="shared" si="284"/>
        <v>-0.83999999999999986</v>
      </c>
      <c r="BT372" s="61">
        <f t="shared" si="279"/>
        <v>0</v>
      </c>
      <c r="BU372" s="61">
        <f t="shared" si="280"/>
        <v>0</v>
      </c>
      <c r="BV372" s="61">
        <f t="shared" si="281"/>
        <v>0</v>
      </c>
      <c r="BW372" s="61">
        <f t="shared" si="281"/>
        <v>0</v>
      </c>
      <c r="BX372" s="61">
        <f t="shared" si="281"/>
        <v>-0.83999999999999986</v>
      </c>
      <c r="BY372" s="61" t="s">
        <v>91</v>
      </c>
      <c r="CA372" s="61">
        <f t="shared" si="273"/>
        <v>-0.12637279975928989</v>
      </c>
      <c r="CB372" s="61">
        <f t="shared" si="273"/>
        <v>-0.12637279975928989</v>
      </c>
      <c r="CC372" s="61">
        <f t="shared" si="273"/>
        <v>-0.12637279975928989</v>
      </c>
      <c r="CD372" s="61">
        <f t="shared" si="273"/>
        <v>-0.12637279975928989</v>
      </c>
      <c r="CE372" s="61">
        <f t="shared" si="264"/>
        <v>-0.12637279975928989</v>
      </c>
      <c r="CF372" s="61">
        <f t="shared" si="264"/>
        <v>-0.12637279975928989</v>
      </c>
      <c r="CG372" s="61">
        <f t="shared" si="264"/>
        <v>0</v>
      </c>
      <c r="CH372" s="61">
        <f t="shared" si="264"/>
        <v>0</v>
      </c>
      <c r="CI372" s="61">
        <f t="shared" si="266"/>
        <v>-0.11373551978336092</v>
      </c>
      <c r="CJ372" s="61"/>
      <c r="CK372" s="61">
        <f t="shared" si="274"/>
        <v>-0.12637279975928989</v>
      </c>
      <c r="CL372" s="61">
        <f t="shared" si="274"/>
        <v>-0.12637279975928989</v>
      </c>
      <c r="CM372" s="61">
        <f t="shared" si="274"/>
        <v>-0.12637279975928989</v>
      </c>
      <c r="CN372" s="61">
        <f t="shared" si="274"/>
        <v>-0.12637279975928989</v>
      </c>
      <c r="CO372" s="61">
        <f t="shared" si="265"/>
        <v>-0.12637279975928989</v>
      </c>
      <c r="CP372" s="61">
        <f t="shared" si="265"/>
        <v>-0.12637279975928989</v>
      </c>
      <c r="CQ372" s="61">
        <f t="shared" si="265"/>
        <v>0</v>
      </c>
      <c r="CR372" s="61">
        <f t="shared" si="265"/>
        <v>0</v>
      </c>
      <c r="CS372" s="61">
        <f t="shared" si="267"/>
        <v>-0.11373551978336092</v>
      </c>
      <c r="CT372" s="61">
        <f t="shared" si="268"/>
        <v>-0.75600000000000012</v>
      </c>
      <c r="CV372" s="61">
        <f t="shared" si="269"/>
        <v>0</v>
      </c>
      <c r="CW372" s="61">
        <f t="shared" si="261"/>
        <v>0</v>
      </c>
      <c r="CX372" s="61"/>
      <c r="CY372" s="61">
        <f t="shared" si="262"/>
        <v>0</v>
      </c>
      <c r="CZ372" s="61">
        <f t="shared" si="271"/>
        <v>0</v>
      </c>
      <c r="DA372" s="61">
        <f t="shared" si="271"/>
        <v>0</v>
      </c>
      <c r="DB372" s="2" t="s">
        <v>102</v>
      </c>
      <c r="DC372" s="2" t="s">
        <v>102</v>
      </c>
      <c r="DD372" s="2" t="s">
        <v>142</v>
      </c>
      <c r="DE372" s="2" t="s">
        <v>181</v>
      </c>
      <c r="DF372" s="3" t="s">
        <v>86</v>
      </c>
      <c r="DG372" s="62">
        <v>42838</v>
      </c>
      <c r="EC372" s="60" t="str">
        <f>VLOOKUP($M372,[1]Detail!$M:$BO,1,0)</f>
        <v>JD8B -F24185 -AAW</v>
      </c>
      <c r="ED372" s="60">
        <f>VLOOKUP($M372,[1]Detail!$M:$BO,22,0)</f>
        <v>-10.93</v>
      </c>
      <c r="EE372" s="60">
        <f>VLOOKUP($M372,[1]Detail!$M:$BO,42,0)</f>
        <v>0</v>
      </c>
      <c r="EF372" s="60">
        <f>VLOOKUP($M372,[1]Detail!$M:$BO,45,0)</f>
        <v>0</v>
      </c>
      <c r="EH372" s="60">
        <f t="shared" si="290"/>
        <v>0</v>
      </c>
      <c r="EI372" s="60">
        <f t="shared" si="291"/>
        <v>0</v>
      </c>
      <c r="EJ372" s="60">
        <f t="shared" si="292"/>
        <v>0</v>
      </c>
    </row>
    <row r="373" spans="2:140" ht="12.75" hidden="1" customHeight="1">
      <c r="B373" s="99" t="s">
        <v>778</v>
      </c>
      <c r="C373" s="22" t="s">
        <v>653</v>
      </c>
      <c r="D373" s="22" t="s">
        <v>654</v>
      </c>
      <c r="E373" s="2" t="str">
        <f>VLOOKUP($C373,[1]Detail!$C:$AK,6,0)</f>
        <v>PMT2</v>
      </c>
      <c r="F373" s="2" t="str">
        <f>VLOOKUP($C373,[1]Detail!$C:$AK,7,0)</f>
        <v>TH</v>
      </c>
      <c r="G373" s="2">
        <f>VLOOKUP($C373,[1]Detail!$C:$AK,5,0)</f>
        <v>0</v>
      </c>
      <c r="J373" s="22" t="s">
        <v>767</v>
      </c>
      <c r="K373" s="23" t="s">
        <v>787</v>
      </c>
      <c r="L373" s="22" t="s">
        <v>198</v>
      </c>
      <c r="M373" s="51" t="str">
        <f t="shared" si="287"/>
        <v>JD8B -F24185 -BAW</v>
      </c>
      <c r="O373" s="22">
        <v>0</v>
      </c>
      <c r="P373" s="22">
        <v>0</v>
      </c>
      <c r="Q373" s="22">
        <v>0</v>
      </c>
      <c r="R373" s="22">
        <v>0</v>
      </c>
      <c r="S373" s="22">
        <v>0</v>
      </c>
      <c r="T373" s="22">
        <v>0</v>
      </c>
      <c r="U373" s="22">
        <v>1</v>
      </c>
      <c r="V373" s="22">
        <v>1</v>
      </c>
      <c r="W373" s="64">
        <f t="shared" si="288"/>
        <v>0.1</v>
      </c>
      <c r="Y373" s="8">
        <v>-16.850000000000001</v>
      </c>
      <c r="Z373" s="8">
        <v>-0.15</v>
      </c>
      <c r="AA373" s="8">
        <v>-0.08</v>
      </c>
      <c r="AB373" s="8">
        <v>0</v>
      </c>
      <c r="AC373" s="8">
        <v>0</v>
      </c>
      <c r="AD373" s="8">
        <f t="shared" si="289"/>
        <v>-17.079999999999998</v>
      </c>
      <c r="AE373" s="2" t="s">
        <v>91</v>
      </c>
      <c r="AG373" s="8">
        <v>0</v>
      </c>
      <c r="AH373" s="8">
        <v>0</v>
      </c>
      <c r="AJ373" s="70">
        <v>0</v>
      </c>
      <c r="AK373" s="70">
        <v>0</v>
      </c>
      <c r="AL373" s="72">
        <v>0</v>
      </c>
      <c r="AM373" s="22"/>
      <c r="AO373" s="22" t="s">
        <v>128</v>
      </c>
      <c r="AP373" s="23" t="s">
        <v>787</v>
      </c>
      <c r="AQ373" s="22" t="s">
        <v>785</v>
      </c>
      <c r="AR373" s="51" t="str">
        <f t="shared" si="285"/>
        <v>ED8B-F24185 -AEW</v>
      </c>
      <c r="AS373" s="3"/>
      <c r="AT373" s="22">
        <v>0</v>
      </c>
      <c r="AU373" s="22">
        <v>0</v>
      </c>
      <c r="AV373" s="22">
        <v>0</v>
      </c>
      <c r="AW373" s="22">
        <v>0</v>
      </c>
      <c r="AX373" s="22">
        <v>0</v>
      </c>
      <c r="AY373" s="22">
        <v>0</v>
      </c>
      <c r="AZ373" s="22">
        <v>1</v>
      </c>
      <c r="BA373" s="22">
        <v>1</v>
      </c>
      <c r="BB373" s="64">
        <f t="shared" si="286"/>
        <v>0.1</v>
      </c>
      <c r="BD373" s="60">
        <v>-9.86</v>
      </c>
      <c r="BE373" s="60">
        <v>-0.15</v>
      </c>
      <c r="BF373" s="95">
        <v>-0.08</v>
      </c>
      <c r="BG373" s="95">
        <v>0</v>
      </c>
      <c r="BH373" s="95">
        <v>0</v>
      </c>
      <c r="BI373" s="8">
        <f t="shared" si="272"/>
        <v>-10.09</v>
      </c>
      <c r="BJ373" s="2" t="s">
        <v>91</v>
      </c>
      <c r="BL373" s="70">
        <v>0</v>
      </c>
      <c r="BM373" s="70">
        <v>0</v>
      </c>
      <c r="BO373" s="70">
        <v>0</v>
      </c>
      <c r="BP373" s="70">
        <v>0</v>
      </c>
      <c r="BQ373" s="72">
        <v>0</v>
      </c>
      <c r="BS373" s="61">
        <f t="shared" si="284"/>
        <v>-6.990000000000002</v>
      </c>
      <c r="BT373" s="61">
        <f t="shared" si="279"/>
        <v>0</v>
      </c>
      <c r="BU373" s="61">
        <f t="shared" si="280"/>
        <v>0</v>
      </c>
      <c r="BV373" s="61">
        <f t="shared" si="281"/>
        <v>0</v>
      </c>
      <c r="BW373" s="61">
        <f t="shared" si="281"/>
        <v>0</v>
      </c>
      <c r="BX373" s="61">
        <f t="shared" si="281"/>
        <v>-6.9899999999999984</v>
      </c>
      <c r="BY373" s="61" t="s">
        <v>91</v>
      </c>
      <c r="CA373" s="61">
        <f t="shared" si="273"/>
        <v>0</v>
      </c>
      <c r="CB373" s="61">
        <f t="shared" si="273"/>
        <v>0</v>
      </c>
      <c r="CC373" s="61">
        <f t="shared" si="273"/>
        <v>0</v>
      </c>
      <c r="CD373" s="61">
        <f t="shared" si="273"/>
        <v>0</v>
      </c>
      <c r="CE373" s="61">
        <f t="shared" si="264"/>
        <v>0</v>
      </c>
      <c r="CF373" s="61">
        <f t="shared" si="264"/>
        <v>0</v>
      </c>
      <c r="CG373" s="61">
        <f t="shared" si="264"/>
        <v>-1.0516022265683769</v>
      </c>
      <c r="CH373" s="61">
        <f t="shared" si="264"/>
        <v>-1.0516022265683769</v>
      </c>
      <c r="CI373" s="61">
        <f t="shared" si="266"/>
        <v>-0.10516022265683769</v>
      </c>
      <c r="CJ373" s="61"/>
      <c r="CK373" s="61">
        <f t="shared" si="274"/>
        <v>0</v>
      </c>
      <c r="CL373" s="61">
        <f t="shared" si="274"/>
        <v>0</v>
      </c>
      <c r="CM373" s="61">
        <f t="shared" si="274"/>
        <v>0</v>
      </c>
      <c r="CN373" s="61">
        <f t="shared" si="274"/>
        <v>0</v>
      </c>
      <c r="CO373" s="61">
        <f t="shared" si="265"/>
        <v>0</v>
      </c>
      <c r="CP373" s="61">
        <f t="shared" si="265"/>
        <v>0</v>
      </c>
      <c r="CQ373" s="61">
        <f t="shared" si="265"/>
        <v>-1.0516022265683764</v>
      </c>
      <c r="CR373" s="61">
        <f t="shared" si="265"/>
        <v>-1.0516022265683764</v>
      </c>
      <c r="CS373" s="61">
        <f t="shared" si="267"/>
        <v>-0.10516022265683765</v>
      </c>
      <c r="CT373" s="61">
        <f t="shared" si="268"/>
        <v>-0.69899999999999984</v>
      </c>
      <c r="CV373" s="61">
        <f t="shared" si="269"/>
        <v>0</v>
      </c>
      <c r="CW373" s="61">
        <f t="shared" si="261"/>
        <v>0</v>
      </c>
      <c r="CX373" s="61"/>
      <c r="CY373" s="61">
        <f t="shared" si="262"/>
        <v>0</v>
      </c>
      <c r="CZ373" s="61">
        <f t="shared" si="271"/>
        <v>0</v>
      </c>
      <c r="DA373" s="61">
        <f t="shared" si="271"/>
        <v>0</v>
      </c>
      <c r="DB373" s="2" t="s">
        <v>102</v>
      </c>
      <c r="DC373" s="2" t="s">
        <v>102</v>
      </c>
      <c r="DD373" s="2" t="s">
        <v>142</v>
      </c>
      <c r="DE373" s="2" t="s">
        <v>181</v>
      </c>
      <c r="DF373" s="3" t="s">
        <v>86</v>
      </c>
      <c r="DG373" s="62">
        <v>42838</v>
      </c>
      <c r="EC373" s="60" t="str">
        <f>VLOOKUP($M373,[1]Detail!$M:$BO,1,0)</f>
        <v>JD8B -F24185 -BAW</v>
      </c>
      <c r="ED373" s="60">
        <f>VLOOKUP($M373,[1]Detail!$M:$BO,22,0)</f>
        <v>-17.079999999999998</v>
      </c>
      <c r="EE373" s="60">
        <f>VLOOKUP($M373,[1]Detail!$M:$BO,42,0)</f>
        <v>0</v>
      </c>
      <c r="EF373" s="60">
        <f>VLOOKUP($M373,[1]Detail!$M:$BO,45,0)</f>
        <v>0</v>
      </c>
      <c r="EH373" s="60">
        <f t="shared" si="290"/>
        <v>0</v>
      </c>
      <c r="EI373" s="60">
        <f t="shared" si="291"/>
        <v>0</v>
      </c>
      <c r="EJ373" s="60">
        <f t="shared" si="292"/>
        <v>0</v>
      </c>
    </row>
    <row r="374" spans="2:140" ht="12.75" hidden="1" customHeight="1">
      <c r="B374" s="99" t="s">
        <v>778</v>
      </c>
      <c r="C374" s="22" t="s">
        <v>653</v>
      </c>
      <c r="D374" s="22" t="s">
        <v>654</v>
      </c>
      <c r="E374" s="2" t="str">
        <f>VLOOKUP($C374,[1]Detail!$C:$AK,6,0)</f>
        <v>PMT2</v>
      </c>
      <c r="F374" s="2" t="str">
        <f>VLOOKUP($C374,[1]Detail!$C:$AK,7,0)</f>
        <v>TH</v>
      </c>
      <c r="G374" s="2">
        <f>VLOOKUP($C374,[1]Detail!$C:$AK,5,0)</f>
        <v>0</v>
      </c>
      <c r="J374" s="22" t="s">
        <v>767</v>
      </c>
      <c r="K374" s="23" t="s">
        <v>788</v>
      </c>
      <c r="L374" s="22" t="s">
        <v>196</v>
      </c>
      <c r="M374" s="51" t="str">
        <f t="shared" si="287"/>
        <v>JD8B -F27442 -AAW</v>
      </c>
      <c r="O374" s="22">
        <v>1</v>
      </c>
      <c r="P374" s="22">
        <v>1</v>
      </c>
      <c r="Q374" s="22">
        <v>1</v>
      </c>
      <c r="R374" s="22">
        <v>1</v>
      </c>
      <c r="S374" s="22">
        <v>1</v>
      </c>
      <c r="T374" s="22">
        <v>1</v>
      </c>
      <c r="U374" s="22">
        <v>0</v>
      </c>
      <c r="V374" s="22">
        <v>0</v>
      </c>
      <c r="W374" s="64">
        <f t="shared" si="288"/>
        <v>0.9</v>
      </c>
      <c r="Y374" s="8">
        <v>-13.73</v>
      </c>
      <c r="Z374" s="8">
        <v>-0.15</v>
      </c>
      <c r="AA374" s="8">
        <v>-0.08</v>
      </c>
      <c r="AB374" s="8">
        <v>0</v>
      </c>
      <c r="AC374" s="8">
        <v>0</v>
      </c>
      <c r="AD374" s="8">
        <f t="shared" si="289"/>
        <v>-13.96</v>
      </c>
      <c r="AE374" s="2" t="s">
        <v>91</v>
      </c>
      <c r="AG374" s="8">
        <v>0</v>
      </c>
      <c r="AH374" s="8">
        <v>0</v>
      </c>
      <c r="AJ374" s="70">
        <v>0</v>
      </c>
      <c r="AK374" s="70">
        <v>0</v>
      </c>
      <c r="AL374" s="72">
        <v>0</v>
      </c>
      <c r="AM374" s="22"/>
      <c r="AO374" s="22" t="s">
        <v>128</v>
      </c>
      <c r="AP374" s="23" t="s">
        <v>788</v>
      </c>
      <c r="AQ374" s="22" t="s">
        <v>267</v>
      </c>
      <c r="AR374" s="51" t="str">
        <f t="shared" si="285"/>
        <v>ED8B-F27442 -ADW</v>
      </c>
      <c r="AS374" s="3"/>
      <c r="AT374" s="22">
        <v>1</v>
      </c>
      <c r="AU374" s="22">
        <v>1</v>
      </c>
      <c r="AV374" s="22">
        <v>1</v>
      </c>
      <c r="AW374" s="22">
        <v>1</v>
      </c>
      <c r="AX374" s="22">
        <v>1</v>
      </c>
      <c r="AY374" s="22">
        <v>1</v>
      </c>
      <c r="AZ374" s="22">
        <v>0</v>
      </c>
      <c r="BA374" s="22">
        <v>0</v>
      </c>
      <c r="BB374" s="64">
        <f t="shared" si="286"/>
        <v>0.9</v>
      </c>
      <c r="BD374" s="60">
        <v>-12.889999999999999</v>
      </c>
      <c r="BE374" s="60">
        <v>-0.15</v>
      </c>
      <c r="BF374" s="95">
        <v>-0.08</v>
      </c>
      <c r="BG374" s="95">
        <v>0</v>
      </c>
      <c r="BH374" s="95">
        <v>0</v>
      </c>
      <c r="BI374" s="8">
        <f t="shared" si="272"/>
        <v>-13.12</v>
      </c>
      <c r="BJ374" s="2" t="s">
        <v>91</v>
      </c>
      <c r="BL374" s="70">
        <v>0</v>
      </c>
      <c r="BM374" s="70">
        <v>0</v>
      </c>
      <c r="BO374" s="70">
        <v>0</v>
      </c>
      <c r="BP374" s="70">
        <v>0</v>
      </c>
      <c r="BQ374" s="72">
        <v>0</v>
      </c>
      <c r="BS374" s="61">
        <f t="shared" si="284"/>
        <v>-0.84000000000000163</v>
      </c>
      <c r="BT374" s="61">
        <f t="shared" si="279"/>
        <v>0</v>
      </c>
      <c r="BU374" s="61">
        <f t="shared" si="280"/>
        <v>0</v>
      </c>
      <c r="BV374" s="61">
        <f t="shared" si="281"/>
        <v>0</v>
      </c>
      <c r="BW374" s="61">
        <f t="shared" si="281"/>
        <v>0</v>
      </c>
      <c r="BX374" s="61">
        <f t="shared" si="281"/>
        <v>-0.84000000000000163</v>
      </c>
      <c r="BY374" s="61" t="s">
        <v>91</v>
      </c>
      <c r="CA374" s="61">
        <f t="shared" si="273"/>
        <v>-0.12637279975929014</v>
      </c>
      <c r="CB374" s="61">
        <f t="shared" si="273"/>
        <v>-0.12637279975929014</v>
      </c>
      <c r="CC374" s="61">
        <f t="shared" si="273"/>
        <v>-0.12637279975929014</v>
      </c>
      <c r="CD374" s="61">
        <f t="shared" si="273"/>
        <v>-0.12637279975929014</v>
      </c>
      <c r="CE374" s="61">
        <f t="shared" si="264"/>
        <v>-0.12637279975929014</v>
      </c>
      <c r="CF374" s="61">
        <f t="shared" si="264"/>
        <v>-0.12637279975929014</v>
      </c>
      <c r="CG374" s="61">
        <f t="shared" si="264"/>
        <v>0</v>
      </c>
      <c r="CH374" s="61">
        <f t="shared" si="264"/>
        <v>0</v>
      </c>
      <c r="CI374" s="61">
        <f t="shared" si="266"/>
        <v>-0.11373551978336113</v>
      </c>
      <c r="CJ374" s="61"/>
      <c r="CK374" s="61">
        <f t="shared" si="274"/>
        <v>-0.12637279975929014</v>
      </c>
      <c r="CL374" s="61">
        <f t="shared" si="274"/>
        <v>-0.12637279975929014</v>
      </c>
      <c r="CM374" s="61">
        <f t="shared" si="274"/>
        <v>-0.12637279975929014</v>
      </c>
      <c r="CN374" s="61">
        <f t="shared" si="274"/>
        <v>-0.12637279975929014</v>
      </c>
      <c r="CO374" s="61">
        <f t="shared" si="265"/>
        <v>-0.12637279975929014</v>
      </c>
      <c r="CP374" s="61">
        <f t="shared" si="265"/>
        <v>-0.12637279975929014</v>
      </c>
      <c r="CQ374" s="61">
        <f t="shared" si="265"/>
        <v>0</v>
      </c>
      <c r="CR374" s="61">
        <f t="shared" si="265"/>
        <v>0</v>
      </c>
      <c r="CS374" s="61">
        <f t="shared" si="267"/>
        <v>-0.11373551978336113</v>
      </c>
      <c r="CT374" s="61">
        <f t="shared" si="268"/>
        <v>-0.75600000000000145</v>
      </c>
      <c r="CV374" s="61">
        <f t="shared" si="269"/>
        <v>0</v>
      </c>
      <c r="CW374" s="61">
        <f t="shared" si="261"/>
        <v>0</v>
      </c>
      <c r="CX374" s="61"/>
      <c r="CY374" s="61">
        <f t="shared" si="262"/>
        <v>0</v>
      </c>
      <c r="CZ374" s="61">
        <f t="shared" si="271"/>
        <v>0</v>
      </c>
      <c r="DA374" s="61">
        <f t="shared" si="271"/>
        <v>0</v>
      </c>
      <c r="DB374" s="2" t="s">
        <v>102</v>
      </c>
      <c r="DC374" s="2" t="s">
        <v>102</v>
      </c>
      <c r="DD374" s="2" t="s">
        <v>142</v>
      </c>
      <c r="DE374" s="2" t="s">
        <v>181</v>
      </c>
      <c r="DF374" s="3" t="s">
        <v>86</v>
      </c>
      <c r="DG374" s="62">
        <v>42838</v>
      </c>
      <c r="EC374" s="60" t="str">
        <f>VLOOKUP($M374,[1]Detail!$M:$BO,1,0)</f>
        <v>JD8B -F27442 -AAW</v>
      </c>
      <c r="ED374" s="60">
        <f>VLOOKUP($M374,[1]Detail!$M:$BO,22,0)</f>
        <v>-13.96</v>
      </c>
      <c r="EE374" s="60">
        <f>VLOOKUP($M374,[1]Detail!$M:$BO,42,0)</f>
        <v>0</v>
      </c>
      <c r="EF374" s="60">
        <f>VLOOKUP($M374,[1]Detail!$M:$BO,45,0)</f>
        <v>0</v>
      </c>
      <c r="EH374" s="60">
        <f t="shared" si="290"/>
        <v>0</v>
      </c>
      <c r="EI374" s="60">
        <f t="shared" si="291"/>
        <v>0</v>
      </c>
      <c r="EJ374" s="60">
        <f t="shared" si="292"/>
        <v>0</v>
      </c>
    </row>
    <row r="375" spans="2:140" ht="12.75" hidden="1" customHeight="1">
      <c r="B375" s="99" t="s">
        <v>778</v>
      </c>
      <c r="C375" s="22" t="s">
        <v>653</v>
      </c>
      <c r="D375" s="22" t="s">
        <v>654</v>
      </c>
      <c r="E375" s="2" t="str">
        <f>VLOOKUP($C375,[1]Detail!$C:$AK,6,0)</f>
        <v>PMT2</v>
      </c>
      <c r="F375" s="2" t="str">
        <f>VLOOKUP($C375,[1]Detail!$C:$AK,7,0)</f>
        <v>TH</v>
      </c>
      <c r="G375" s="2">
        <f>VLOOKUP($C375,[1]Detail!$C:$AK,5,0)</f>
        <v>0</v>
      </c>
      <c r="J375" s="22" t="s">
        <v>767</v>
      </c>
      <c r="K375" s="23" t="s">
        <v>788</v>
      </c>
      <c r="L375" s="22" t="s">
        <v>198</v>
      </c>
      <c r="M375" s="51" t="str">
        <f t="shared" si="287"/>
        <v>JD8B -F27442 -BAW</v>
      </c>
      <c r="O375" s="22">
        <v>0</v>
      </c>
      <c r="P375" s="22">
        <v>0</v>
      </c>
      <c r="Q375" s="22">
        <v>0</v>
      </c>
      <c r="R375" s="22">
        <v>0</v>
      </c>
      <c r="S375" s="22">
        <v>0</v>
      </c>
      <c r="T375" s="22">
        <v>0</v>
      </c>
      <c r="U375" s="22">
        <v>1</v>
      </c>
      <c r="V375" s="22">
        <v>1</v>
      </c>
      <c r="W375" s="64">
        <f t="shared" si="288"/>
        <v>0.1</v>
      </c>
      <c r="Y375" s="8">
        <v>-19.88</v>
      </c>
      <c r="Z375" s="8">
        <v>-0.15</v>
      </c>
      <c r="AA375" s="8">
        <v>-0.08</v>
      </c>
      <c r="AB375" s="8">
        <v>0</v>
      </c>
      <c r="AC375" s="8">
        <v>0</v>
      </c>
      <c r="AD375" s="8">
        <f t="shared" si="289"/>
        <v>-20.109999999999996</v>
      </c>
      <c r="AE375" s="2" t="s">
        <v>91</v>
      </c>
      <c r="AG375" s="8">
        <v>0</v>
      </c>
      <c r="AH375" s="8">
        <v>0</v>
      </c>
      <c r="AJ375" s="70">
        <v>0</v>
      </c>
      <c r="AK375" s="70">
        <v>0</v>
      </c>
      <c r="AL375" s="72">
        <v>0</v>
      </c>
      <c r="AM375" s="22"/>
      <c r="AO375" s="22" t="s">
        <v>128</v>
      </c>
      <c r="AP375" s="23" t="s">
        <v>788</v>
      </c>
      <c r="AQ375" s="22" t="s">
        <v>267</v>
      </c>
      <c r="AR375" s="51" t="str">
        <f t="shared" si="285"/>
        <v>ED8B-F27442 -ADW</v>
      </c>
      <c r="AS375" s="3"/>
      <c r="AT375" s="22">
        <v>0</v>
      </c>
      <c r="AU375" s="22">
        <v>0</v>
      </c>
      <c r="AV375" s="22">
        <v>0</v>
      </c>
      <c r="AW375" s="22">
        <v>0</v>
      </c>
      <c r="AX375" s="22">
        <v>0</v>
      </c>
      <c r="AY375" s="22">
        <v>0</v>
      </c>
      <c r="AZ375" s="22">
        <v>1</v>
      </c>
      <c r="BA375" s="22">
        <v>1</v>
      </c>
      <c r="BB375" s="64">
        <f t="shared" si="286"/>
        <v>0.1</v>
      </c>
      <c r="BD375" s="60">
        <v>-12.889999999999999</v>
      </c>
      <c r="BE375" s="60">
        <v>-0.15</v>
      </c>
      <c r="BF375" s="95">
        <v>-0.08</v>
      </c>
      <c r="BG375" s="95">
        <v>0</v>
      </c>
      <c r="BH375" s="95">
        <v>0</v>
      </c>
      <c r="BI375" s="8">
        <f t="shared" si="272"/>
        <v>-13.12</v>
      </c>
      <c r="BJ375" s="2" t="s">
        <v>91</v>
      </c>
      <c r="BL375" s="70">
        <v>0</v>
      </c>
      <c r="BM375" s="70">
        <v>0</v>
      </c>
      <c r="BO375" s="70">
        <v>0</v>
      </c>
      <c r="BP375" s="70">
        <v>0</v>
      </c>
      <c r="BQ375" s="72">
        <v>0</v>
      </c>
      <c r="BS375" s="61">
        <f t="shared" si="284"/>
        <v>-6.99</v>
      </c>
      <c r="BT375" s="61">
        <f t="shared" si="279"/>
        <v>0</v>
      </c>
      <c r="BU375" s="61">
        <f t="shared" si="280"/>
        <v>0</v>
      </c>
      <c r="BV375" s="61">
        <f t="shared" si="281"/>
        <v>0</v>
      </c>
      <c r="BW375" s="61">
        <f t="shared" si="281"/>
        <v>0</v>
      </c>
      <c r="BX375" s="61">
        <f t="shared" si="281"/>
        <v>-6.9899999999999967</v>
      </c>
      <c r="BY375" s="61" t="s">
        <v>91</v>
      </c>
      <c r="CA375" s="61">
        <f t="shared" si="273"/>
        <v>0</v>
      </c>
      <c r="CB375" s="61">
        <f t="shared" si="273"/>
        <v>0</v>
      </c>
      <c r="CC375" s="61">
        <f t="shared" si="273"/>
        <v>0</v>
      </c>
      <c r="CD375" s="61">
        <f t="shared" si="273"/>
        <v>0</v>
      </c>
      <c r="CE375" s="61">
        <f t="shared" si="264"/>
        <v>0</v>
      </c>
      <c r="CF375" s="61">
        <f t="shared" si="264"/>
        <v>0</v>
      </c>
      <c r="CG375" s="61">
        <f t="shared" si="264"/>
        <v>-1.0516022265683767</v>
      </c>
      <c r="CH375" s="61">
        <f t="shared" si="264"/>
        <v>-1.0516022265683767</v>
      </c>
      <c r="CI375" s="61">
        <f t="shared" si="266"/>
        <v>-0.10516022265683767</v>
      </c>
      <c r="CJ375" s="61"/>
      <c r="CK375" s="61">
        <f t="shared" si="274"/>
        <v>0</v>
      </c>
      <c r="CL375" s="61">
        <f t="shared" si="274"/>
        <v>0</v>
      </c>
      <c r="CM375" s="61">
        <f t="shared" si="274"/>
        <v>0</v>
      </c>
      <c r="CN375" s="61">
        <f t="shared" si="274"/>
        <v>0</v>
      </c>
      <c r="CO375" s="61">
        <f t="shared" si="265"/>
        <v>0</v>
      </c>
      <c r="CP375" s="61">
        <f t="shared" si="265"/>
        <v>0</v>
      </c>
      <c r="CQ375" s="61">
        <f t="shared" si="265"/>
        <v>-1.0516022265683762</v>
      </c>
      <c r="CR375" s="61">
        <f t="shared" si="265"/>
        <v>-1.0516022265683762</v>
      </c>
      <c r="CS375" s="61">
        <f t="shared" si="267"/>
        <v>-0.10516022265683762</v>
      </c>
      <c r="CT375" s="61">
        <f t="shared" si="268"/>
        <v>-0.69899999999999973</v>
      </c>
      <c r="CV375" s="61">
        <f t="shared" si="269"/>
        <v>0</v>
      </c>
      <c r="CW375" s="61">
        <f t="shared" si="261"/>
        <v>0</v>
      </c>
      <c r="CX375" s="61"/>
      <c r="CY375" s="61">
        <f t="shared" si="262"/>
        <v>0</v>
      </c>
      <c r="CZ375" s="61">
        <f t="shared" si="271"/>
        <v>0</v>
      </c>
      <c r="DA375" s="61">
        <f t="shared" si="271"/>
        <v>0</v>
      </c>
      <c r="DB375" s="2" t="s">
        <v>102</v>
      </c>
      <c r="DC375" s="2" t="s">
        <v>102</v>
      </c>
      <c r="DD375" s="2" t="s">
        <v>142</v>
      </c>
      <c r="DE375" s="2" t="s">
        <v>181</v>
      </c>
      <c r="DF375" s="3" t="s">
        <v>86</v>
      </c>
      <c r="DG375" s="62">
        <v>42838</v>
      </c>
      <c r="EC375" s="60" t="str">
        <f>VLOOKUP($M375,[1]Detail!$M:$BO,1,0)</f>
        <v>JD8B -F27442 -BAW</v>
      </c>
      <c r="ED375" s="60">
        <f>VLOOKUP($M375,[1]Detail!$M:$BO,22,0)</f>
        <v>-20.109999999999996</v>
      </c>
      <c r="EE375" s="60">
        <f>VLOOKUP($M375,[1]Detail!$M:$BO,42,0)</f>
        <v>0</v>
      </c>
      <c r="EF375" s="60">
        <f>VLOOKUP($M375,[1]Detail!$M:$BO,45,0)</f>
        <v>0</v>
      </c>
      <c r="EH375" s="60">
        <f t="shared" si="290"/>
        <v>0</v>
      </c>
      <c r="EI375" s="60">
        <f t="shared" si="291"/>
        <v>0</v>
      </c>
      <c r="EJ375" s="60">
        <f t="shared" si="292"/>
        <v>0</v>
      </c>
    </row>
    <row r="376" spans="2:140" ht="12.75" hidden="1" customHeight="1">
      <c r="B376" s="99" t="s">
        <v>778</v>
      </c>
      <c r="C376" s="22" t="s">
        <v>653</v>
      </c>
      <c r="D376" s="22" t="s">
        <v>654</v>
      </c>
      <c r="E376" s="2" t="str">
        <f>VLOOKUP($C376,[1]Detail!$C:$AK,6,0)</f>
        <v>PMT2</v>
      </c>
      <c r="F376" s="2" t="str">
        <f>VLOOKUP($C376,[1]Detail!$C:$AK,7,0)</f>
        <v>TH</v>
      </c>
      <c r="G376" s="2">
        <f>VLOOKUP($C376,[1]Detail!$C:$AK,5,0)</f>
        <v>0</v>
      </c>
      <c r="J376" s="22" t="s">
        <v>767</v>
      </c>
      <c r="K376" s="23" t="s">
        <v>789</v>
      </c>
      <c r="L376" s="22" t="s">
        <v>196</v>
      </c>
      <c r="M376" s="51" t="str">
        <f t="shared" si="287"/>
        <v>JD8B -F27443 -AAW</v>
      </c>
      <c r="O376" s="22">
        <v>1</v>
      </c>
      <c r="P376" s="22">
        <v>1</v>
      </c>
      <c r="Q376" s="22">
        <v>1</v>
      </c>
      <c r="R376" s="22">
        <v>1</v>
      </c>
      <c r="S376" s="22">
        <v>1</v>
      </c>
      <c r="T376" s="22">
        <v>1</v>
      </c>
      <c r="U376" s="22">
        <v>0</v>
      </c>
      <c r="V376" s="22">
        <v>0</v>
      </c>
      <c r="W376" s="64">
        <f t="shared" si="288"/>
        <v>0.9</v>
      </c>
      <c r="Y376" s="8">
        <v>-13.73</v>
      </c>
      <c r="Z376" s="8">
        <v>-0.15</v>
      </c>
      <c r="AA376" s="8">
        <v>-0.08</v>
      </c>
      <c r="AB376" s="8">
        <v>0</v>
      </c>
      <c r="AC376" s="8">
        <v>0</v>
      </c>
      <c r="AD376" s="8">
        <f t="shared" si="289"/>
        <v>-13.96</v>
      </c>
      <c r="AE376" s="2" t="s">
        <v>91</v>
      </c>
      <c r="AG376" s="8">
        <v>0</v>
      </c>
      <c r="AH376" s="8">
        <v>0</v>
      </c>
      <c r="AJ376" s="70">
        <v>0</v>
      </c>
      <c r="AK376" s="70">
        <v>0</v>
      </c>
      <c r="AL376" s="72">
        <v>0</v>
      </c>
      <c r="AM376" s="22"/>
      <c r="AO376" s="22" t="s">
        <v>128</v>
      </c>
      <c r="AP376" s="23" t="s">
        <v>789</v>
      </c>
      <c r="AQ376" s="22" t="s">
        <v>267</v>
      </c>
      <c r="AR376" s="51" t="str">
        <f t="shared" si="285"/>
        <v>ED8B-F27443 -ADW</v>
      </c>
      <c r="AS376" s="3"/>
      <c r="AT376" s="22">
        <v>1</v>
      </c>
      <c r="AU376" s="22">
        <v>1</v>
      </c>
      <c r="AV376" s="22">
        <v>1</v>
      </c>
      <c r="AW376" s="22">
        <v>1</v>
      </c>
      <c r="AX376" s="22">
        <v>1</v>
      </c>
      <c r="AY376" s="22">
        <v>1</v>
      </c>
      <c r="AZ376" s="22">
        <v>0</v>
      </c>
      <c r="BA376" s="22">
        <v>0</v>
      </c>
      <c r="BB376" s="64">
        <f t="shared" si="286"/>
        <v>0.9</v>
      </c>
      <c r="BD376" s="60">
        <v>-12.889999999999999</v>
      </c>
      <c r="BE376" s="60">
        <v>-0.15</v>
      </c>
      <c r="BF376" s="95">
        <v>-0.08</v>
      </c>
      <c r="BG376" s="95">
        <v>0</v>
      </c>
      <c r="BH376" s="95">
        <v>0</v>
      </c>
      <c r="BI376" s="8">
        <f t="shared" si="272"/>
        <v>-13.12</v>
      </c>
      <c r="BJ376" s="2" t="s">
        <v>91</v>
      </c>
      <c r="BL376" s="70">
        <v>0</v>
      </c>
      <c r="BM376" s="70">
        <v>0</v>
      </c>
      <c r="BO376" s="70">
        <v>0</v>
      </c>
      <c r="BP376" s="70">
        <v>0</v>
      </c>
      <c r="BQ376" s="72">
        <v>0</v>
      </c>
      <c r="BS376" s="61">
        <f t="shared" si="284"/>
        <v>-0.84000000000000163</v>
      </c>
      <c r="BT376" s="61">
        <f t="shared" si="279"/>
        <v>0</v>
      </c>
      <c r="BU376" s="61">
        <f t="shared" si="280"/>
        <v>0</v>
      </c>
      <c r="BV376" s="61">
        <f t="shared" si="281"/>
        <v>0</v>
      </c>
      <c r="BW376" s="61">
        <f t="shared" si="281"/>
        <v>0</v>
      </c>
      <c r="BX376" s="61">
        <f t="shared" si="281"/>
        <v>-0.84000000000000163</v>
      </c>
      <c r="BY376" s="61" t="s">
        <v>91</v>
      </c>
      <c r="CA376" s="61">
        <f t="shared" si="273"/>
        <v>-0.12637279975929014</v>
      </c>
      <c r="CB376" s="61">
        <f t="shared" si="273"/>
        <v>-0.12637279975929014</v>
      </c>
      <c r="CC376" s="61">
        <f t="shared" si="273"/>
        <v>-0.12637279975929014</v>
      </c>
      <c r="CD376" s="61">
        <f t="shared" si="273"/>
        <v>-0.12637279975929014</v>
      </c>
      <c r="CE376" s="61">
        <f t="shared" si="264"/>
        <v>-0.12637279975929014</v>
      </c>
      <c r="CF376" s="61">
        <f t="shared" si="264"/>
        <v>-0.12637279975929014</v>
      </c>
      <c r="CG376" s="61">
        <f t="shared" si="264"/>
        <v>0</v>
      </c>
      <c r="CH376" s="61">
        <f t="shared" si="264"/>
        <v>0</v>
      </c>
      <c r="CI376" s="61">
        <f t="shared" si="266"/>
        <v>-0.11373551978336113</v>
      </c>
      <c r="CJ376" s="61"/>
      <c r="CK376" s="61">
        <f t="shared" si="274"/>
        <v>-0.12637279975929014</v>
      </c>
      <c r="CL376" s="61">
        <f t="shared" si="274"/>
        <v>-0.12637279975929014</v>
      </c>
      <c r="CM376" s="61">
        <f t="shared" si="274"/>
        <v>-0.12637279975929014</v>
      </c>
      <c r="CN376" s="61">
        <f t="shared" si="274"/>
        <v>-0.12637279975929014</v>
      </c>
      <c r="CO376" s="61">
        <f t="shared" si="265"/>
        <v>-0.12637279975929014</v>
      </c>
      <c r="CP376" s="61">
        <f t="shared" si="265"/>
        <v>-0.12637279975929014</v>
      </c>
      <c r="CQ376" s="61">
        <f t="shared" si="265"/>
        <v>0</v>
      </c>
      <c r="CR376" s="61">
        <f t="shared" si="265"/>
        <v>0</v>
      </c>
      <c r="CS376" s="61">
        <f t="shared" si="267"/>
        <v>-0.11373551978336113</v>
      </c>
      <c r="CT376" s="61">
        <f t="shared" si="268"/>
        <v>-0.75600000000000145</v>
      </c>
      <c r="CV376" s="61">
        <f t="shared" si="269"/>
        <v>0</v>
      </c>
      <c r="CW376" s="61">
        <f t="shared" si="261"/>
        <v>0</v>
      </c>
      <c r="CX376" s="61"/>
      <c r="CY376" s="61">
        <f t="shared" si="262"/>
        <v>0</v>
      </c>
      <c r="CZ376" s="61">
        <f t="shared" si="271"/>
        <v>0</v>
      </c>
      <c r="DA376" s="61">
        <f t="shared" si="271"/>
        <v>0</v>
      </c>
      <c r="DB376" s="2" t="s">
        <v>102</v>
      </c>
      <c r="DC376" s="2" t="s">
        <v>102</v>
      </c>
      <c r="DD376" s="2" t="s">
        <v>142</v>
      </c>
      <c r="DE376" s="2" t="s">
        <v>181</v>
      </c>
      <c r="DF376" s="3" t="s">
        <v>86</v>
      </c>
      <c r="DG376" s="62">
        <v>42838</v>
      </c>
      <c r="EC376" s="60" t="str">
        <f>VLOOKUP($M376,[1]Detail!$M:$BO,1,0)</f>
        <v>JD8B -F27443 -AAW</v>
      </c>
      <c r="ED376" s="60">
        <f>VLOOKUP($M376,[1]Detail!$M:$BO,22,0)</f>
        <v>-13.96</v>
      </c>
      <c r="EE376" s="60">
        <f>VLOOKUP($M376,[1]Detail!$M:$BO,42,0)</f>
        <v>0</v>
      </c>
      <c r="EF376" s="60">
        <f>VLOOKUP($M376,[1]Detail!$M:$BO,45,0)</f>
        <v>0</v>
      </c>
      <c r="EH376" s="60">
        <f t="shared" si="290"/>
        <v>0</v>
      </c>
      <c r="EI376" s="60">
        <f t="shared" si="291"/>
        <v>0</v>
      </c>
      <c r="EJ376" s="60">
        <f t="shared" si="292"/>
        <v>0</v>
      </c>
    </row>
    <row r="377" spans="2:140" ht="10.5" hidden="1" customHeight="1">
      <c r="B377" s="99" t="s">
        <v>790</v>
      </c>
      <c r="C377" s="22" t="s">
        <v>653</v>
      </c>
      <c r="D377" s="22" t="s">
        <v>654</v>
      </c>
      <c r="E377" s="2" t="str">
        <f>VLOOKUP($C377,[1]Detail!$C:$AK,6,0)</f>
        <v>PMT2</v>
      </c>
      <c r="F377" s="2" t="str">
        <f>VLOOKUP($C377,[1]Detail!$C:$AK,7,0)</f>
        <v>TH</v>
      </c>
      <c r="G377" s="2">
        <f>VLOOKUP($C377,[1]Detail!$C:$AK,5,0)</f>
        <v>0</v>
      </c>
      <c r="J377" s="22" t="s">
        <v>444</v>
      </c>
      <c r="K377" s="23" t="s">
        <v>779</v>
      </c>
      <c r="L377" s="22" t="s">
        <v>83</v>
      </c>
      <c r="M377" s="51" t="str">
        <f t="shared" si="287"/>
        <v>JD8B -F23943-AAW</v>
      </c>
      <c r="O377" s="22">
        <v>1</v>
      </c>
      <c r="P377" s="22">
        <v>1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64">
        <f t="shared" si="288"/>
        <v>0.30000000000000004</v>
      </c>
      <c r="Y377" s="8">
        <f>-106.38*0-105.85</f>
        <v>-105.85</v>
      </c>
      <c r="Z377" s="8">
        <v>-0.19</v>
      </c>
      <c r="AA377" s="8">
        <v>-1.67</v>
      </c>
      <c r="AB377" s="8">
        <v>0</v>
      </c>
      <c r="AC377" s="8">
        <v>0</v>
      </c>
      <c r="AD377" s="8">
        <f t="shared" si="289"/>
        <v>-107.71</v>
      </c>
      <c r="AE377" s="2" t="s">
        <v>91</v>
      </c>
      <c r="AG377" s="8">
        <v>-831600</v>
      </c>
      <c r="AH377" s="8">
        <v>-831600</v>
      </c>
      <c r="AI377" s="6"/>
      <c r="AJ377" s="70">
        <v>0</v>
      </c>
      <c r="AK377" s="70">
        <v>0</v>
      </c>
      <c r="AL377" s="72">
        <v>0</v>
      </c>
      <c r="AM377" s="22"/>
      <c r="AO377" s="22" t="s">
        <v>767</v>
      </c>
      <c r="AP377" s="23" t="s">
        <v>781</v>
      </c>
      <c r="AQ377" s="22" t="s">
        <v>196</v>
      </c>
      <c r="AR377" s="51" t="str">
        <f t="shared" si="285"/>
        <v>JD8B -F23943 -AAW</v>
      </c>
      <c r="AS377" s="3"/>
      <c r="AT377" s="22">
        <v>1</v>
      </c>
      <c r="AU377" s="22">
        <v>1</v>
      </c>
      <c r="AV377" s="22">
        <v>0</v>
      </c>
      <c r="AW377" s="22">
        <v>0</v>
      </c>
      <c r="AX377" s="22">
        <v>0</v>
      </c>
      <c r="AY377" s="22">
        <v>0</v>
      </c>
      <c r="AZ377" s="22">
        <v>0</v>
      </c>
      <c r="BA377" s="22">
        <v>0</v>
      </c>
      <c r="BB377" s="64">
        <f t="shared" si="286"/>
        <v>0.30000000000000004</v>
      </c>
      <c r="BD377" s="60">
        <v>-106.38</v>
      </c>
      <c r="BE377" s="60">
        <v>-0.19</v>
      </c>
      <c r="BF377" s="95">
        <v>-1.67</v>
      </c>
      <c r="BG377" s="95">
        <v>0</v>
      </c>
      <c r="BH377" s="95">
        <v>0</v>
      </c>
      <c r="BI377" s="8">
        <f t="shared" si="272"/>
        <v>-108.24</v>
      </c>
      <c r="BJ377" s="2" t="s">
        <v>91</v>
      </c>
      <c r="BL377" s="70">
        <v>-831600</v>
      </c>
      <c r="BM377" s="70">
        <v>-831600</v>
      </c>
      <c r="BO377" s="70">
        <v>0</v>
      </c>
      <c r="BP377" s="70">
        <v>0</v>
      </c>
      <c r="BQ377" s="72">
        <v>0</v>
      </c>
      <c r="BS377" s="61">
        <f t="shared" si="284"/>
        <v>0.53000000000000114</v>
      </c>
      <c r="BT377" s="61">
        <f t="shared" si="279"/>
        <v>0</v>
      </c>
      <c r="BU377" s="61">
        <f t="shared" si="280"/>
        <v>0</v>
      </c>
      <c r="BV377" s="61">
        <f t="shared" si="281"/>
        <v>0</v>
      </c>
      <c r="BW377" s="61">
        <f t="shared" si="281"/>
        <v>0</v>
      </c>
      <c r="BX377" s="61">
        <f t="shared" si="281"/>
        <v>0.53000000000000114</v>
      </c>
      <c r="BY377" s="61" t="s">
        <v>91</v>
      </c>
      <c r="CA377" s="61">
        <f t="shared" si="273"/>
        <v>7.9735218895742602E-2</v>
      </c>
      <c r="CB377" s="61">
        <f t="shared" si="273"/>
        <v>7.9735218895742602E-2</v>
      </c>
      <c r="CC377" s="61">
        <f t="shared" si="273"/>
        <v>0</v>
      </c>
      <c r="CD377" s="61">
        <f t="shared" si="273"/>
        <v>0</v>
      </c>
      <c r="CE377" s="61">
        <f t="shared" si="264"/>
        <v>0</v>
      </c>
      <c r="CF377" s="61">
        <f t="shared" si="264"/>
        <v>0</v>
      </c>
      <c r="CG377" s="61">
        <f t="shared" si="264"/>
        <v>0</v>
      </c>
      <c r="CH377" s="61">
        <f t="shared" si="264"/>
        <v>0</v>
      </c>
      <c r="CI377" s="61">
        <f t="shared" si="266"/>
        <v>2.3920565668722783E-2</v>
      </c>
      <c r="CJ377" s="61"/>
      <c r="CK377" s="61">
        <f t="shared" si="274"/>
        <v>7.9735218895742602E-2</v>
      </c>
      <c r="CL377" s="61">
        <f t="shared" si="274"/>
        <v>7.9735218895742602E-2</v>
      </c>
      <c r="CM377" s="61">
        <f t="shared" si="274"/>
        <v>0</v>
      </c>
      <c r="CN377" s="61">
        <f t="shared" si="274"/>
        <v>0</v>
      </c>
      <c r="CO377" s="61">
        <f t="shared" si="265"/>
        <v>0</v>
      </c>
      <c r="CP377" s="61">
        <f t="shared" si="265"/>
        <v>0</v>
      </c>
      <c r="CQ377" s="61">
        <f t="shared" si="265"/>
        <v>0</v>
      </c>
      <c r="CR377" s="61">
        <f t="shared" si="265"/>
        <v>0</v>
      </c>
      <c r="CS377" s="61">
        <f t="shared" si="267"/>
        <v>2.3920565668722783E-2</v>
      </c>
      <c r="CT377" s="61">
        <f t="shared" si="268"/>
        <v>0.15900000000000034</v>
      </c>
      <c r="CV377" s="61">
        <f t="shared" si="269"/>
        <v>0</v>
      </c>
      <c r="CW377" s="61">
        <f t="shared" si="261"/>
        <v>0</v>
      </c>
      <c r="CX377" s="61"/>
      <c r="CY377" s="61">
        <f t="shared" si="262"/>
        <v>0</v>
      </c>
      <c r="CZ377" s="61">
        <f t="shared" si="271"/>
        <v>0</v>
      </c>
      <c r="DA377" s="61">
        <f t="shared" si="271"/>
        <v>0</v>
      </c>
      <c r="DB377" s="2" t="s">
        <v>85</v>
      </c>
      <c r="DC377" s="2" t="s">
        <v>134</v>
      </c>
      <c r="DD377" s="2" t="s">
        <v>142</v>
      </c>
      <c r="DE377" s="2" t="s">
        <v>181</v>
      </c>
      <c r="DF377" s="3" t="s">
        <v>86</v>
      </c>
      <c r="DG377" s="102">
        <v>42942</v>
      </c>
      <c r="EC377" s="60"/>
      <c r="ED377" s="60"/>
      <c r="EE377" s="60"/>
      <c r="EF377" s="60"/>
    </row>
    <row r="378" spans="2:140" ht="12.75" hidden="1" customHeight="1">
      <c r="B378" s="99" t="s">
        <v>790</v>
      </c>
      <c r="C378" s="22" t="s">
        <v>653</v>
      </c>
      <c r="D378" s="22" t="s">
        <v>654</v>
      </c>
      <c r="E378" s="2" t="str">
        <f>VLOOKUP($C378,[1]Detail!$C:$AK,6,0)</f>
        <v>PMT2</v>
      </c>
      <c r="F378" s="2" t="str">
        <f>VLOOKUP($C378,[1]Detail!$C:$AK,7,0)</f>
        <v>TH</v>
      </c>
      <c r="G378" s="2">
        <f>VLOOKUP($C378,[1]Detail!$C:$AK,5,0)</f>
        <v>0</v>
      </c>
      <c r="J378" s="22" t="s">
        <v>444</v>
      </c>
      <c r="K378" s="23" t="s">
        <v>779</v>
      </c>
      <c r="L378" s="22" t="s">
        <v>208</v>
      </c>
      <c r="M378" s="51" t="str">
        <f t="shared" si="287"/>
        <v>JD8B -F23943-BAW</v>
      </c>
      <c r="O378" s="22">
        <v>0</v>
      </c>
      <c r="P378" s="22">
        <v>0</v>
      </c>
      <c r="Q378" s="22">
        <v>1</v>
      </c>
      <c r="R378" s="22">
        <v>1</v>
      </c>
      <c r="S378" s="22">
        <v>1</v>
      </c>
      <c r="T378" s="22">
        <v>1</v>
      </c>
      <c r="U378" s="22">
        <v>0</v>
      </c>
      <c r="V378" s="22">
        <v>0</v>
      </c>
      <c r="W378" s="64">
        <f t="shared" si="288"/>
        <v>0.6</v>
      </c>
      <c r="Y378" s="8">
        <f>-121.13*0-120.6</f>
        <v>-120.6</v>
      </c>
      <c r="Z378" s="8">
        <v>-0.19</v>
      </c>
      <c r="AA378" s="8">
        <v>-1.67</v>
      </c>
      <c r="AB378" s="8">
        <v>0</v>
      </c>
      <c r="AC378" s="8">
        <v>0</v>
      </c>
      <c r="AD378" s="8">
        <f t="shared" si="289"/>
        <v>-122.46</v>
      </c>
      <c r="AE378" s="2" t="s">
        <v>91</v>
      </c>
      <c r="AG378" s="8">
        <v>0</v>
      </c>
      <c r="AH378" s="8">
        <v>0</v>
      </c>
      <c r="AJ378" s="70">
        <v>0</v>
      </c>
      <c r="AK378" s="70">
        <v>0</v>
      </c>
      <c r="AL378" s="72">
        <v>0</v>
      </c>
      <c r="AM378" s="22"/>
      <c r="AO378" s="22" t="s">
        <v>767</v>
      </c>
      <c r="AP378" s="23" t="s">
        <v>781</v>
      </c>
      <c r="AQ378" s="22" t="s">
        <v>198</v>
      </c>
      <c r="AR378" s="51" t="str">
        <f t="shared" si="285"/>
        <v>JD8B -F23943 -BAW</v>
      </c>
      <c r="AS378" s="3"/>
      <c r="AT378" s="22">
        <v>0</v>
      </c>
      <c r="AU378" s="22">
        <v>0</v>
      </c>
      <c r="AV378" s="22">
        <v>1</v>
      </c>
      <c r="AW378" s="22">
        <v>1</v>
      </c>
      <c r="AX378" s="22">
        <v>1</v>
      </c>
      <c r="AY378" s="22">
        <v>1</v>
      </c>
      <c r="AZ378" s="22">
        <v>0</v>
      </c>
      <c r="BA378" s="22">
        <v>0</v>
      </c>
      <c r="BB378" s="64">
        <f t="shared" si="286"/>
        <v>0.6</v>
      </c>
      <c r="BD378" s="60">
        <v>-121.13</v>
      </c>
      <c r="BE378" s="60">
        <v>-0.19</v>
      </c>
      <c r="BF378" s="95">
        <v>-1.67</v>
      </c>
      <c r="BG378" s="95">
        <v>0</v>
      </c>
      <c r="BH378" s="95">
        <v>0</v>
      </c>
      <c r="BI378" s="8">
        <f t="shared" si="272"/>
        <v>-122.99</v>
      </c>
      <c r="BJ378" s="2" t="s">
        <v>91</v>
      </c>
      <c r="BL378" s="70">
        <v>0</v>
      </c>
      <c r="BM378" s="70">
        <v>0</v>
      </c>
      <c r="BO378" s="70">
        <v>0</v>
      </c>
      <c r="BP378" s="70">
        <v>0</v>
      </c>
      <c r="BQ378" s="72">
        <v>0</v>
      </c>
      <c r="BS378" s="61">
        <f t="shared" si="284"/>
        <v>0.53000000000000114</v>
      </c>
      <c r="BT378" s="61">
        <f t="shared" si="279"/>
        <v>0</v>
      </c>
      <c r="BU378" s="61">
        <f t="shared" si="280"/>
        <v>0</v>
      </c>
      <c r="BV378" s="61">
        <f t="shared" si="281"/>
        <v>0</v>
      </c>
      <c r="BW378" s="61">
        <f t="shared" si="281"/>
        <v>0</v>
      </c>
      <c r="BX378" s="61">
        <f t="shared" si="281"/>
        <v>0.53000000000000114</v>
      </c>
      <c r="BY378" s="61" t="s">
        <v>91</v>
      </c>
      <c r="CA378" s="61">
        <f t="shared" si="273"/>
        <v>0</v>
      </c>
      <c r="CB378" s="61">
        <f t="shared" si="273"/>
        <v>0</v>
      </c>
      <c r="CC378" s="61">
        <f t="shared" si="273"/>
        <v>7.9735218895742602E-2</v>
      </c>
      <c r="CD378" s="61">
        <f t="shared" si="273"/>
        <v>7.9735218895742602E-2</v>
      </c>
      <c r="CE378" s="61">
        <f t="shared" si="264"/>
        <v>7.9735218895742602E-2</v>
      </c>
      <c r="CF378" s="61">
        <f t="shared" si="264"/>
        <v>7.9735218895742602E-2</v>
      </c>
      <c r="CG378" s="61">
        <f t="shared" si="264"/>
        <v>0</v>
      </c>
      <c r="CH378" s="61">
        <f t="shared" si="264"/>
        <v>0</v>
      </c>
      <c r="CI378" s="61">
        <f t="shared" si="266"/>
        <v>4.7841131337445567E-2</v>
      </c>
      <c r="CJ378" s="61"/>
      <c r="CK378" s="61">
        <f t="shared" si="274"/>
        <v>0</v>
      </c>
      <c r="CL378" s="61">
        <f t="shared" si="274"/>
        <v>0</v>
      </c>
      <c r="CM378" s="61">
        <f t="shared" si="274"/>
        <v>7.9735218895742602E-2</v>
      </c>
      <c r="CN378" s="61">
        <f t="shared" si="274"/>
        <v>7.9735218895742602E-2</v>
      </c>
      <c r="CO378" s="61">
        <f t="shared" si="265"/>
        <v>7.9735218895742602E-2</v>
      </c>
      <c r="CP378" s="61">
        <f t="shared" si="265"/>
        <v>7.9735218895742602E-2</v>
      </c>
      <c r="CQ378" s="61">
        <f t="shared" si="265"/>
        <v>0</v>
      </c>
      <c r="CR378" s="61">
        <f t="shared" si="265"/>
        <v>0</v>
      </c>
      <c r="CS378" s="61">
        <f t="shared" si="267"/>
        <v>4.7841131337445567E-2</v>
      </c>
      <c r="CT378" s="61">
        <f t="shared" si="268"/>
        <v>0.31800000000000067</v>
      </c>
      <c r="CV378" s="61">
        <f t="shared" si="269"/>
        <v>0</v>
      </c>
      <c r="CW378" s="61">
        <f t="shared" si="261"/>
        <v>0</v>
      </c>
      <c r="CX378" s="61"/>
      <c r="CY378" s="61">
        <f t="shared" si="262"/>
        <v>0</v>
      </c>
      <c r="CZ378" s="61">
        <f t="shared" si="271"/>
        <v>0</v>
      </c>
      <c r="DA378" s="61">
        <f t="shared" si="271"/>
        <v>0</v>
      </c>
      <c r="DB378" s="2" t="s">
        <v>85</v>
      </c>
      <c r="DC378" s="2" t="s">
        <v>134</v>
      </c>
      <c r="DD378" s="2" t="s">
        <v>142</v>
      </c>
      <c r="DE378" s="2" t="s">
        <v>181</v>
      </c>
      <c r="DF378" s="3" t="s">
        <v>86</v>
      </c>
      <c r="DG378" s="102">
        <v>42942</v>
      </c>
      <c r="EC378" s="60"/>
      <c r="ED378" s="60"/>
      <c r="EE378" s="60"/>
      <c r="EF378" s="60"/>
    </row>
    <row r="379" spans="2:140" ht="12.75" hidden="1" customHeight="1">
      <c r="B379" s="99" t="s">
        <v>790</v>
      </c>
      <c r="C379" s="22" t="s">
        <v>653</v>
      </c>
      <c r="D379" s="22" t="s">
        <v>654</v>
      </c>
      <c r="E379" s="2" t="str">
        <f>VLOOKUP($C379,[1]Detail!$C:$AK,6,0)</f>
        <v>PMT2</v>
      </c>
      <c r="F379" s="2" t="str">
        <f>VLOOKUP($C379,[1]Detail!$C:$AK,7,0)</f>
        <v>TH</v>
      </c>
      <c r="G379" s="2">
        <f>VLOOKUP($C379,[1]Detail!$C:$AK,5,0)</f>
        <v>0</v>
      </c>
      <c r="J379" s="22" t="s">
        <v>444</v>
      </c>
      <c r="K379" s="23" t="s">
        <v>779</v>
      </c>
      <c r="L379" s="22" t="s">
        <v>203</v>
      </c>
      <c r="M379" s="51" t="str">
        <f t="shared" si="287"/>
        <v>JD8B -F23943-CAW</v>
      </c>
      <c r="O379" s="22">
        <v>0</v>
      </c>
      <c r="P379" s="22">
        <v>0</v>
      </c>
      <c r="Q379" s="22">
        <v>0</v>
      </c>
      <c r="R379" s="22">
        <v>0</v>
      </c>
      <c r="S379" s="22">
        <v>0</v>
      </c>
      <c r="T379" s="22">
        <v>0</v>
      </c>
      <c r="U379" s="22">
        <v>1</v>
      </c>
      <c r="V379" s="22">
        <v>1</v>
      </c>
      <c r="W379" s="64">
        <f t="shared" si="288"/>
        <v>0.1</v>
      </c>
      <c r="Y379" s="8">
        <f>-121.13*0-120.6</f>
        <v>-120.6</v>
      </c>
      <c r="Z379" s="8">
        <v>-0.19</v>
      </c>
      <c r="AA379" s="8">
        <v>-1.67</v>
      </c>
      <c r="AB379" s="8">
        <v>0</v>
      </c>
      <c r="AC379" s="8">
        <v>0</v>
      </c>
      <c r="AD379" s="8">
        <f t="shared" si="289"/>
        <v>-122.46</v>
      </c>
      <c r="AE379" s="2" t="s">
        <v>91</v>
      </c>
      <c r="AG379" s="8">
        <v>0</v>
      </c>
      <c r="AH379" s="8">
        <v>0</v>
      </c>
      <c r="AJ379" s="70">
        <v>0</v>
      </c>
      <c r="AK379" s="70">
        <v>0</v>
      </c>
      <c r="AL379" s="72">
        <v>0</v>
      </c>
      <c r="AM379" s="22"/>
      <c r="AO379" s="22" t="s">
        <v>767</v>
      </c>
      <c r="AP379" s="23" t="s">
        <v>781</v>
      </c>
      <c r="AQ379" s="22" t="s">
        <v>269</v>
      </c>
      <c r="AR379" s="51" t="str">
        <f t="shared" si="285"/>
        <v>JD8B -F23943 -CAW</v>
      </c>
      <c r="AS379" s="3"/>
      <c r="AT379" s="22">
        <v>0</v>
      </c>
      <c r="AU379" s="22">
        <v>0</v>
      </c>
      <c r="AV379" s="22">
        <v>0</v>
      </c>
      <c r="AW379" s="22">
        <v>0</v>
      </c>
      <c r="AX379" s="22">
        <v>0</v>
      </c>
      <c r="AY379" s="22">
        <v>0</v>
      </c>
      <c r="AZ379" s="22">
        <v>1</v>
      </c>
      <c r="BA379" s="22">
        <v>1</v>
      </c>
      <c r="BB379" s="64">
        <f t="shared" si="286"/>
        <v>0.1</v>
      </c>
      <c r="BD379" s="60">
        <v>-121.13</v>
      </c>
      <c r="BE379" s="60">
        <v>-0.19</v>
      </c>
      <c r="BF379" s="95">
        <v>-1.67</v>
      </c>
      <c r="BG379" s="95">
        <v>0</v>
      </c>
      <c r="BH379" s="95">
        <v>0</v>
      </c>
      <c r="BI379" s="8">
        <f t="shared" si="272"/>
        <v>-122.99</v>
      </c>
      <c r="BJ379" s="2" t="s">
        <v>91</v>
      </c>
      <c r="BL379" s="70">
        <v>0</v>
      </c>
      <c r="BM379" s="70">
        <v>0</v>
      </c>
      <c r="BO379" s="70">
        <v>0</v>
      </c>
      <c r="BP379" s="70">
        <v>0</v>
      </c>
      <c r="BQ379" s="72">
        <v>0</v>
      </c>
      <c r="BS379" s="61">
        <f t="shared" si="284"/>
        <v>0.53000000000000114</v>
      </c>
      <c r="BT379" s="61">
        <f t="shared" si="279"/>
        <v>0</v>
      </c>
      <c r="BU379" s="61">
        <f t="shared" si="280"/>
        <v>0</v>
      </c>
      <c r="BV379" s="61">
        <f t="shared" si="281"/>
        <v>0</v>
      </c>
      <c r="BW379" s="61">
        <f t="shared" si="281"/>
        <v>0</v>
      </c>
      <c r="BX379" s="61">
        <f t="shared" si="281"/>
        <v>0.53000000000000114</v>
      </c>
      <c r="BY379" s="61" t="s">
        <v>91</v>
      </c>
      <c r="CA379" s="61">
        <f t="shared" si="273"/>
        <v>0</v>
      </c>
      <c r="CB379" s="61">
        <f t="shared" si="273"/>
        <v>0</v>
      </c>
      <c r="CC379" s="61">
        <f t="shared" si="273"/>
        <v>0</v>
      </c>
      <c r="CD379" s="61">
        <f t="shared" si="273"/>
        <v>0</v>
      </c>
      <c r="CE379" s="61">
        <f t="shared" si="264"/>
        <v>0</v>
      </c>
      <c r="CF379" s="61">
        <f t="shared" si="264"/>
        <v>0</v>
      </c>
      <c r="CG379" s="61">
        <f t="shared" si="264"/>
        <v>7.9735218895742602E-2</v>
      </c>
      <c r="CH379" s="61">
        <f t="shared" si="264"/>
        <v>7.9735218895742602E-2</v>
      </c>
      <c r="CI379" s="61">
        <f t="shared" si="266"/>
        <v>7.9735218895742605E-3</v>
      </c>
      <c r="CJ379" s="61"/>
      <c r="CK379" s="61">
        <f t="shared" si="274"/>
        <v>0</v>
      </c>
      <c r="CL379" s="61">
        <f t="shared" si="274"/>
        <v>0</v>
      </c>
      <c r="CM379" s="61">
        <f t="shared" si="274"/>
        <v>0</v>
      </c>
      <c r="CN379" s="61">
        <f t="shared" si="274"/>
        <v>0</v>
      </c>
      <c r="CO379" s="61">
        <f t="shared" si="265"/>
        <v>0</v>
      </c>
      <c r="CP379" s="61">
        <f t="shared" si="265"/>
        <v>0</v>
      </c>
      <c r="CQ379" s="61">
        <f t="shared" si="265"/>
        <v>7.9735218895742602E-2</v>
      </c>
      <c r="CR379" s="61">
        <f t="shared" si="265"/>
        <v>7.9735218895742602E-2</v>
      </c>
      <c r="CS379" s="61">
        <f t="shared" si="267"/>
        <v>7.9735218895742605E-3</v>
      </c>
      <c r="CT379" s="61">
        <f t="shared" si="268"/>
        <v>5.300000000000011E-2</v>
      </c>
      <c r="CV379" s="61">
        <f t="shared" si="269"/>
        <v>0</v>
      </c>
      <c r="CW379" s="61">
        <f t="shared" ref="CW379:CW443" si="293">SUM(AH379)-SUM(BM379)</f>
        <v>0</v>
      </c>
      <c r="CX379" s="61"/>
      <c r="CY379" s="61">
        <f t="shared" ref="CY379:CY443" si="294">SUM(AJ379)-SUM(BO379)</f>
        <v>0</v>
      </c>
      <c r="CZ379" s="61">
        <f t="shared" si="271"/>
        <v>0</v>
      </c>
      <c r="DA379" s="61">
        <f t="shared" si="271"/>
        <v>0</v>
      </c>
      <c r="DB379" s="2" t="s">
        <v>85</v>
      </c>
      <c r="DC379" s="2" t="s">
        <v>134</v>
      </c>
      <c r="DD379" s="2" t="s">
        <v>142</v>
      </c>
      <c r="DE379" s="2" t="s">
        <v>181</v>
      </c>
      <c r="DF379" s="3" t="s">
        <v>86</v>
      </c>
      <c r="DG379" s="102">
        <v>42942</v>
      </c>
      <c r="EC379" s="60"/>
      <c r="ED379" s="60"/>
      <c r="EE379" s="60"/>
      <c r="EF379" s="60"/>
    </row>
    <row r="380" spans="2:140" ht="12.75" hidden="1" customHeight="1">
      <c r="B380" s="99" t="s">
        <v>790</v>
      </c>
      <c r="C380" s="22" t="s">
        <v>653</v>
      </c>
      <c r="D380" s="22" t="s">
        <v>654</v>
      </c>
      <c r="E380" s="2" t="str">
        <f>VLOOKUP($C380,[1]Detail!$C:$AK,6,0)</f>
        <v>PMT2</v>
      </c>
      <c r="F380" s="2" t="str">
        <f>VLOOKUP($C380,[1]Detail!$C:$AK,7,0)</f>
        <v>TH</v>
      </c>
      <c r="G380" s="2">
        <f>VLOOKUP($C380,[1]Detail!$C:$AK,5,0)</f>
        <v>0</v>
      </c>
      <c r="J380" s="22" t="s">
        <v>138</v>
      </c>
      <c r="K380" s="23" t="s">
        <v>791</v>
      </c>
      <c r="L380" s="22" t="s">
        <v>196</v>
      </c>
      <c r="M380" s="51" t="str">
        <f t="shared" si="287"/>
        <v>JD8B-F23942 -AAW</v>
      </c>
      <c r="O380" s="22">
        <v>0</v>
      </c>
      <c r="P380" s="22">
        <v>0</v>
      </c>
      <c r="Q380" s="22">
        <v>0</v>
      </c>
      <c r="R380" s="22">
        <v>0</v>
      </c>
      <c r="S380" s="22">
        <v>0</v>
      </c>
      <c r="T380" s="22">
        <v>0</v>
      </c>
      <c r="U380" s="22">
        <v>1</v>
      </c>
      <c r="V380" s="22">
        <v>1</v>
      </c>
      <c r="W380" s="64">
        <f t="shared" si="288"/>
        <v>0.1</v>
      </c>
      <c r="Y380" s="8">
        <f>-119.51*0-118.98</f>
        <v>-118.98</v>
      </c>
      <c r="Z380" s="8">
        <v>-0.19</v>
      </c>
      <c r="AA380" s="8">
        <v>-1.67</v>
      </c>
      <c r="AB380" s="8">
        <v>0</v>
      </c>
      <c r="AC380" s="8">
        <v>0</v>
      </c>
      <c r="AD380" s="8">
        <f t="shared" si="289"/>
        <v>-120.84</v>
      </c>
      <c r="AE380" s="2" t="s">
        <v>91</v>
      </c>
      <c r="AG380" s="8">
        <v>0</v>
      </c>
      <c r="AH380" s="8">
        <v>0</v>
      </c>
      <c r="AJ380" s="70">
        <v>0</v>
      </c>
      <c r="AK380" s="70">
        <v>0</v>
      </c>
      <c r="AL380" s="72">
        <v>0</v>
      </c>
      <c r="AM380" s="22"/>
      <c r="AO380" s="22" t="s">
        <v>126</v>
      </c>
      <c r="AP380" s="23" t="s">
        <v>792</v>
      </c>
      <c r="AQ380" s="22" t="s">
        <v>196</v>
      </c>
      <c r="AR380" s="51" t="str">
        <f t="shared" si="285"/>
        <v>JD8B-F23942 -AAW</v>
      </c>
      <c r="AS380" s="3"/>
      <c r="AT380" s="22">
        <v>0</v>
      </c>
      <c r="AU380" s="22">
        <v>0</v>
      </c>
      <c r="AV380" s="22">
        <v>0</v>
      </c>
      <c r="AW380" s="22">
        <v>0</v>
      </c>
      <c r="AX380" s="22">
        <v>0</v>
      </c>
      <c r="AY380" s="22">
        <v>0</v>
      </c>
      <c r="AZ380" s="22">
        <v>1</v>
      </c>
      <c r="BA380" s="22">
        <v>1</v>
      </c>
      <c r="BB380" s="64">
        <f t="shared" si="286"/>
        <v>0.1</v>
      </c>
      <c r="BD380" s="60">
        <v>-119.51</v>
      </c>
      <c r="BE380" s="60">
        <v>-0.19</v>
      </c>
      <c r="BF380" s="95">
        <v>-1.67</v>
      </c>
      <c r="BG380" s="95">
        <v>0</v>
      </c>
      <c r="BH380" s="95">
        <v>0</v>
      </c>
      <c r="BI380" s="8">
        <f t="shared" si="272"/>
        <v>-121.37</v>
      </c>
      <c r="BJ380" s="2" t="s">
        <v>91</v>
      </c>
      <c r="BL380" s="70">
        <v>0</v>
      </c>
      <c r="BM380" s="70">
        <v>0</v>
      </c>
      <c r="BO380" s="70">
        <v>0</v>
      </c>
      <c r="BP380" s="70">
        <v>0</v>
      </c>
      <c r="BQ380" s="72">
        <v>0</v>
      </c>
      <c r="BS380" s="61">
        <f t="shared" si="284"/>
        <v>0.53000000000000114</v>
      </c>
      <c r="BT380" s="61">
        <f t="shared" si="279"/>
        <v>0</v>
      </c>
      <c r="BU380" s="61">
        <f t="shared" si="280"/>
        <v>0</v>
      </c>
      <c r="BV380" s="61">
        <f t="shared" si="281"/>
        <v>0</v>
      </c>
      <c r="BW380" s="61">
        <f t="shared" si="281"/>
        <v>0</v>
      </c>
      <c r="BX380" s="61">
        <f t="shared" si="281"/>
        <v>0.53000000000000114</v>
      </c>
      <c r="BY380" s="61" t="s">
        <v>91</v>
      </c>
      <c r="CA380" s="61">
        <f t="shared" si="273"/>
        <v>0</v>
      </c>
      <c r="CB380" s="61">
        <f t="shared" si="273"/>
        <v>0</v>
      </c>
      <c r="CC380" s="61">
        <f t="shared" si="273"/>
        <v>0</v>
      </c>
      <c r="CD380" s="61">
        <f t="shared" si="273"/>
        <v>0</v>
      </c>
      <c r="CE380" s="61">
        <f t="shared" si="264"/>
        <v>0</v>
      </c>
      <c r="CF380" s="61">
        <f t="shared" si="264"/>
        <v>0</v>
      </c>
      <c r="CG380" s="61">
        <f t="shared" si="264"/>
        <v>7.9735218895742602E-2</v>
      </c>
      <c r="CH380" s="61">
        <f t="shared" si="264"/>
        <v>7.9735218895742602E-2</v>
      </c>
      <c r="CI380" s="61">
        <f t="shared" si="266"/>
        <v>7.9735218895742605E-3</v>
      </c>
      <c r="CJ380" s="61"/>
      <c r="CK380" s="61">
        <f t="shared" si="274"/>
        <v>0</v>
      </c>
      <c r="CL380" s="61">
        <f t="shared" si="274"/>
        <v>0</v>
      </c>
      <c r="CM380" s="61">
        <f t="shared" si="274"/>
        <v>0</v>
      </c>
      <c r="CN380" s="61">
        <f t="shared" si="274"/>
        <v>0</v>
      </c>
      <c r="CO380" s="61">
        <f t="shared" si="265"/>
        <v>0</v>
      </c>
      <c r="CP380" s="61">
        <f t="shared" si="265"/>
        <v>0</v>
      </c>
      <c r="CQ380" s="61">
        <f t="shared" si="265"/>
        <v>7.9735218895742602E-2</v>
      </c>
      <c r="CR380" s="61">
        <f t="shared" si="265"/>
        <v>7.9735218895742602E-2</v>
      </c>
      <c r="CS380" s="61">
        <f t="shared" si="267"/>
        <v>7.9735218895742605E-3</v>
      </c>
      <c r="CT380" s="61">
        <f t="shared" si="268"/>
        <v>5.300000000000011E-2</v>
      </c>
      <c r="CV380" s="61">
        <f t="shared" si="269"/>
        <v>0</v>
      </c>
      <c r="CW380" s="61">
        <f t="shared" si="293"/>
        <v>0</v>
      </c>
      <c r="CX380" s="61"/>
      <c r="CY380" s="61">
        <f t="shared" si="294"/>
        <v>0</v>
      </c>
      <c r="CZ380" s="61">
        <f t="shared" si="271"/>
        <v>0</v>
      </c>
      <c r="DA380" s="61">
        <f t="shared" si="271"/>
        <v>0</v>
      </c>
      <c r="DB380" s="2" t="s">
        <v>102</v>
      </c>
      <c r="DC380" s="2" t="s">
        <v>134</v>
      </c>
      <c r="DD380" s="2" t="s">
        <v>142</v>
      </c>
      <c r="DE380" s="2" t="s">
        <v>181</v>
      </c>
      <c r="DF380" s="3" t="s">
        <v>86</v>
      </c>
      <c r="DG380" s="102">
        <v>42942</v>
      </c>
      <c r="EC380" s="60" t="str">
        <f>VLOOKUP($M380,[1]Detail!$M:$BO,1,0)</f>
        <v>JD8B-F23942 -AAW</v>
      </c>
      <c r="ED380" s="60">
        <f>VLOOKUP($M380,[1]Detail!$M:$BO,22,0)</f>
        <v>-120.84</v>
      </c>
      <c r="EE380" s="60">
        <f>VLOOKUP($M380,[1]Detail!$M:$BO,42,0)</f>
        <v>0</v>
      </c>
      <c r="EF380" s="60">
        <f>VLOOKUP($M380,[1]Detail!$M:$BO,45,0)</f>
        <v>0</v>
      </c>
      <c r="EH380" s="60">
        <f t="shared" ref="EH380:EH386" si="295">ED380-AD380</f>
        <v>0</v>
      </c>
      <c r="EI380" s="60">
        <f t="shared" ref="EI380:EI386" si="296">EE380-AG380</f>
        <v>0</v>
      </c>
      <c r="EJ380" s="60">
        <f t="shared" ref="EJ380:EJ386" si="297">EF380-AJ380</f>
        <v>0</v>
      </c>
    </row>
    <row r="381" spans="2:140" ht="12.75" hidden="1" customHeight="1">
      <c r="B381" s="99" t="s">
        <v>790</v>
      </c>
      <c r="C381" s="22" t="s">
        <v>653</v>
      </c>
      <c r="D381" s="22" t="s">
        <v>654</v>
      </c>
      <c r="E381" s="2" t="str">
        <f>VLOOKUP($C381,[1]Detail!$C:$AK,6,0)</f>
        <v>PMT2</v>
      </c>
      <c r="F381" s="2" t="str">
        <f>VLOOKUP($C381,[1]Detail!$C:$AK,7,0)</f>
        <v>TH</v>
      </c>
      <c r="G381" s="2">
        <f>VLOOKUP($C381,[1]Detail!$C:$AK,5,0)</f>
        <v>0</v>
      </c>
      <c r="J381" s="22" t="s">
        <v>138</v>
      </c>
      <c r="K381" s="23" t="s">
        <v>793</v>
      </c>
      <c r="L381" s="22" t="s">
        <v>83</v>
      </c>
      <c r="M381" s="51" t="str">
        <f t="shared" si="287"/>
        <v>JD8B-F27406 -AAW</v>
      </c>
      <c r="O381" s="22">
        <v>0</v>
      </c>
      <c r="P381" s="22">
        <v>0</v>
      </c>
      <c r="Q381" s="22">
        <v>0</v>
      </c>
      <c r="R381" s="22">
        <v>0</v>
      </c>
      <c r="S381" s="22">
        <v>0</v>
      </c>
      <c r="T381" s="22">
        <v>0</v>
      </c>
      <c r="U381" s="22">
        <v>1</v>
      </c>
      <c r="V381" s="22">
        <v>1</v>
      </c>
      <c r="W381" s="64">
        <f t="shared" si="288"/>
        <v>0.1</v>
      </c>
      <c r="Y381" s="8">
        <f>-112.89*0-112.37</f>
        <v>-112.37</v>
      </c>
      <c r="Z381" s="8">
        <v>-0.19</v>
      </c>
      <c r="AA381" s="8">
        <v>-1.67</v>
      </c>
      <c r="AB381" s="8">
        <v>0</v>
      </c>
      <c r="AC381" s="8">
        <v>0</v>
      </c>
      <c r="AD381" s="8">
        <f t="shared" si="289"/>
        <v>-114.23</v>
      </c>
      <c r="AE381" s="2" t="s">
        <v>91</v>
      </c>
      <c r="AG381" s="8">
        <v>0</v>
      </c>
      <c r="AH381" s="8">
        <v>0</v>
      </c>
      <c r="AJ381" s="70">
        <v>0</v>
      </c>
      <c r="AK381" s="70">
        <v>0</v>
      </c>
      <c r="AL381" s="72">
        <v>0</v>
      </c>
      <c r="AM381" s="22"/>
      <c r="AO381" s="22" t="s">
        <v>126</v>
      </c>
      <c r="AP381" s="23" t="s">
        <v>794</v>
      </c>
      <c r="AQ381" s="22" t="s">
        <v>196</v>
      </c>
      <c r="AR381" s="51" t="str">
        <f t="shared" si="285"/>
        <v>JD8B-F27406 -AAW</v>
      </c>
      <c r="AS381" s="3"/>
      <c r="AT381" s="22">
        <v>0</v>
      </c>
      <c r="AU381" s="22">
        <v>0</v>
      </c>
      <c r="AV381" s="22">
        <v>0</v>
      </c>
      <c r="AW381" s="22">
        <v>0</v>
      </c>
      <c r="AX381" s="22">
        <v>0</v>
      </c>
      <c r="AY381" s="22">
        <v>0</v>
      </c>
      <c r="AZ381" s="22">
        <v>1</v>
      </c>
      <c r="BA381" s="22">
        <v>1</v>
      </c>
      <c r="BB381" s="64">
        <f t="shared" si="286"/>
        <v>0.1</v>
      </c>
      <c r="BD381" s="60">
        <v>-112.89</v>
      </c>
      <c r="BE381" s="60">
        <v>-0.19</v>
      </c>
      <c r="BF381" s="95">
        <v>-1.67</v>
      </c>
      <c r="BG381" s="95">
        <v>0</v>
      </c>
      <c r="BH381" s="95">
        <v>0</v>
      </c>
      <c r="BI381" s="8">
        <f t="shared" si="272"/>
        <v>-114.75</v>
      </c>
      <c r="BJ381" s="2" t="s">
        <v>91</v>
      </c>
      <c r="BL381" s="70">
        <v>0</v>
      </c>
      <c r="BM381" s="70">
        <v>0</v>
      </c>
      <c r="BO381" s="70">
        <v>0</v>
      </c>
      <c r="BP381" s="70">
        <v>0</v>
      </c>
      <c r="BQ381" s="72">
        <v>0</v>
      </c>
      <c r="BS381" s="61">
        <f t="shared" si="284"/>
        <v>0.51999999999999602</v>
      </c>
      <c r="BT381" s="61">
        <f t="shared" si="279"/>
        <v>0</v>
      </c>
      <c r="BU381" s="61">
        <f t="shared" si="280"/>
        <v>0</v>
      </c>
      <c r="BV381" s="61">
        <f t="shared" si="281"/>
        <v>0</v>
      </c>
      <c r="BW381" s="61">
        <f t="shared" si="281"/>
        <v>0</v>
      </c>
      <c r="BX381" s="61">
        <f t="shared" si="281"/>
        <v>0.51999999999999602</v>
      </c>
      <c r="BY381" s="61" t="s">
        <v>91</v>
      </c>
      <c r="CA381" s="61">
        <f t="shared" si="273"/>
        <v>0</v>
      </c>
      <c r="CB381" s="61">
        <f t="shared" si="273"/>
        <v>0</v>
      </c>
      <c r="CC381" s="61">
        <f t="shared" si="273"/>
        <v>0</v>
      </c>
      <c r="CD381" s="61">
        <f t="shared" si="273"/>
        <v>0</v>
      </c>
      <c r="CE381" s="61">
        <f t="shared" si="264"/>
        <v>0</v>
      </c>
      <c r="CF381" s="61">
        <f t="shared" si="264"/>
        <v>0</v>
      </c>
      <c r="CG381" s="61">
        <f t="shared" si="264"/>
        <v>7.8230780803369343E-2</v>
      </c>
      <c r="CH381" s="61">
        <f t="shared" si="264"/>
        <v>7.8230780803369343E-2</v>
      </c>
      <c r="CI381" s="61">
        <f t="shared" si="266"/>
        <v>7.823078080336934E-3</v>
      </c>
      <c r="CJ381" s="61"/>
      <c r="CK381" s="61">
        <f t="shared" si="274"/>
        <v>0</v>
      </c>
      <c r="CL381" s="61">
        <f t="shared" si="274"/>
        <v>0</v>
      </c>
      <c r="CM381" s="61">
        <f t="shared" si="274"/>
        <v>0</v>
      </c>
      <c r="CN381" s="61">
        <f t="shared" si="274"/>
        <v>0</v>
      </c>
      <c r="CO381" s="61">
        <f t="shared" si="265"/>
        <v>0</v>
      </c>
      <c r="CP381" s="61">
        <f t="shared" si="265"/>
        <v>0</v>
      </c>
      <c r="CQ381" s="61">
        <f t="shared" si="265"/>
        <v>7.8230780803369343E-2</v>
      </c>
      <c r="CR381" s="61">
        <f t="shared" si="265"/>
        <v>7.8230780803369343E-2</v>
      </c>
      <c r="CS381" s="61">
        <f t="shared" si="267"/>
        <v>7.823078080336934E-3</v>
      </c>
      <c r="CT381" s="61">
        <f t="shared" si="268"/>
        <v>5.1999999999999602E-2</v>
      </c>
      <c r="CV381" s="61">
        <f t="shared" si="269"/>
        <v>0</v>
      </c>
      <c r="CW381" s="61">
        <f t="shared" ref="CW381:CW456" si="298">SUM(AH381)-SUM(BM381)</f>
        <v>0</v>
      </c>
      <c r="CX381" s="61"/>
      <c r="CY381" s="61">
        <f t="shared" si="294"/>
        <v>0</v>
      </c>
      <c r="CZ381" s="61">
        <f t="shared" si="271"/>
        <v>0</v>
      </c>
      <c r="DA381" s="61">
        <f t="shared" si="271"/>
        <v>0</v>
      </c>
      <c r="DB381" s="2" t="s">
        <v>102</v>
      </c>
      <c r="DC381" s="2" t="s">
        <v>134</v>
      </c>
      <c r="DD381" s="2" t="s">
        <v>142</v>
      </c>
      <c r="DE381" s="2" t="s">
        <v>181</v>
      </c>
      <c r="DF381" s="3" t="s">
        <v>86</v>
      </c>
      <c r="DG381" s="102">
        <v>42942</v>
      </c>
      <c r="EC381" s="60" t="str">
        <f>VLOOKUP($M381,[1]Detail!$M:$BO,1,0)</f>
        <v>JD8B-F27406 -AAW</v>
      </c>
      <c r="ED381" s="60">
        <f>VLOOKUP($M381,[1]Detail!$M:$BO,22,0)</f>
        <v>-114.23</v>
      </c>
      <c r="EE381" s="60">
        <f>VLOOKUP($M381,[1]Detail!$M:$BO,42,0)</f>
        <v>0</v>
      </c>
      <c r="EF381" s="60">
        <f>VLOOKUP($M381,[1]Detail!$M:$BO,45,0)</f>
        <v>0</v>
      </c>
      <c r="EH381" s="60">
        <f t="shared" si="295"/>
        <v>0</v>
      </c>
      <c r="EI381" s="60">
        <f t="shared" si="296"/>
        <v>0</v>
      </c>
      <c r="EJ381" s="60">
        <f t="shared" si="297"/>
        <v>0</v>
      </c>
    </row>
    <row r="382" spans="2:140" ht="12.75" hidden="1" customHeight="1">
      <c r="B382" s="99" t="s">
        <v>790</v>
      </c>
      <c r="C382" s="22" t="s">
        <v>653</v>
      </c>
      <c r="D382" s="22" t="s">
        <v>654</v>
      </c>
      <c r="E382" s="2" t="str">
        <f>VLOOKUP($C382,[1]Detail!$C:$AK,6,0)</f>
        <v>PMT2</v>
      </c>
      <c r="F382" s="2" t="str">
        <f>VLOOKUP($C382,[1]Detail!$C:$AK,7,0)</f>
        <v>TH</v>
      </c>
      <c r="G382" s="2">
        <f>VLOOKUP($C382,[1]Detail!$C:$AK,5,0)</f>
        <v>0</v>
      </c>
      <c r="J382" s="22" t="s">
        <v>138</v>
      </c>
      <c r="K382" s="23" t="s">
        <v>795</v>
      </c>
      <c r="L382" s="22" t="s">
        <v>83</v>
      </c>
      <c r="M382" s="51" t="str">
        <f t="shared" si="287"/>
        <v>JD8B-F27407 -AAW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1</v>
      </c>
      <c r="V382" s="22">
        <v>1</v>
      </c>
      <c r="W382" s="64">
        <f t="shared" si="288"/>
        <v>0.1</v>
      </c>
      <c r="Y382" s="8">
        <f>-112.89*0-112.37</f>
        <v>-112.37</v>
      </c>
      <c r="Z382" s="8">
        <v>-0.19</v>
      </c>
      <c r="AA382" s="8">
        <v>-1.67</v>
      </c>
      <c r="AB382" s="8">
        <v>0</v>
      </c>
      <c r="AC382" s="8">
        <v>0</v>
      </c>
      <c r="AD382" s="8">
        <f t="shared" si="289"/>
        <v>-114.23</v>
      </c>
      <c r="AE382" s="2" t="s">
        <v>91</v>
      </c>
      <c r="AG382" s="8">
        <v>0</v>
      </c>
      <c r="AH382" s="8">
        <v>0</v>
      </c>
      <c r="AJ382" s="70">
        <v>0</v>
      </c>
      <c r="AK382" s="70">
        <v>0</v>
      </c>
      <c r="AL382" s="72">
        <v>0</v>
      </c>
      <c r="AM382" s="22"/>
      <c r="AO382" s="22" t="s">
        <v>126</v>
      </c>
      <c r="AP382" s="23" t="s">
        <v>796</v>
      </c>
      <c r="AQ382" s="22" t="s">
        <v>196</v>
      </c>
      <c r="AR382" s="51" t="str">
        <f t="shared" si="285"/>
        <v>JD8B-F27407 -AAW</v>
      </c>
      <c r="AS382" s="3"/>
      <c r="AT382" s="22">
        <v>0</v>
      </c>
      <c r="AU382" s="22">
        <v>0</v>
      </c>
      <c r="AV382" s="22">
        <v>0</v>
      </c>
      <c r="AW382" s="22">
        <v>0</v>
      </c>
      <c r="AX382" s="22">
        <v>0</v>
      </c>
      <c r="AY382" s="22">
        <v>0</v>
      </c>
      <c r="AZ382" s="22">
        <v>1</v>
      </c>
      <c r="BA382" s="22">
        <v>1</v>
      </c>
      <c r="BB382" s="64">
        <f t="shared" si="286"/>
        <v>0.1</v>
      </c>
      <c r="BD382" s="60">
        <v>-112.9</v>
      </c>
      <c r="BE382" s="60">
        <v>-0.19</v>
      </c>
      <c r="BF382" s="95">
        <v>-1.67</v>
      </c>
      <c r="BG382" s="95">
        <v>0</v>
      </c>
      <c r="BH382" s="95">
        <v>0</v>
      </c>
      <c r="BI382" s="8">
        <f t="shared" si="272"/>
        <v>-114.76</v>
      </c>
      <c r="BJ382" s="2" t="s">
        <v>91</v>
      </c>
      <c r="BL382" s="70">
        <v>0</v>
      </c>
      <c r="BM382" s="70">
        <v>0</v>
      </c>
      <c r="BO382" s="70">
        <v>0</v>
      </c>
      <c r="BP382" s="70">
        <v>0</v>
      </c>
      <c r="BQ382" s="72">
        <v>0</v>
      </c>
      <c r="BS382" s="61">
        <f t="shared" si="284"/>
        <v>0.53000000000000114</v>
      </c>
      <c r="BT382" s="61">
        <f t="shared" si="279"/>
        <v>0</v>
      </c>
      <c r="BU382" s="61">
        <f t="shared" si="280"/>
        <v>0</v>
      </c>
      <c r="BV382" s="61">
        <f t="shared" si="281"/>
        <v>0</v>
      </c>
      <c r="BW382" s="61">
        <f t="shared" si="281"/>
        <v>0</v>
      </c>
      <c r="BX382" s="61">
        <f t="shared" si="281"/>
        <v>0.53000000000000114</v>
      </c>
      <c r="BY382" s="61" t="s">
        <v>91</v>
      </c>
      <c r="CA382" s="61">
        <f t="shared" si="273"/>
        <v>0</v>
      </c>
      <c r="CB382" s="61">
        <f t="shared" si="273"/>
        <v>0</v>
      </c>
      <c r="CC382" s="61">
        <f t="shared" si="273"/>
        <v>0</v>
      </c>
      <c r="CD382" s="61">
        <f t="shared" si="273"/>
        <v>0</v>
      </c>
      <c r="CE382" s="61">
        <f t="shared" si="264"/>
        <v>0</v>
      </c>
      <c r="CF382" s="61">
        <f t="shared" si="264"/>
        <v>0</v>
      </c>
      <c r="CG382" s="61">
        <f t="shared" si="264"/>
        <v>7.9735218895742602E-2</v>
      </c>
      <c r="CH382" s="61">
        <f t="shared" si="264"/>
        <v>7.9735218895742602E-2</v>
      </c>
      <c r="CI382" s="61">
        <f t="shared" si="266"/>
        <v>7.9735218895742605E-3</v>
      </c>
      <c r="CJ382" s="61"/>
      <c r="CK382" s="61">
        <f t="shared" si="274"/>
        <v>0</v>
      </c>
      <c r="CL382" s="61">
        <f t="shared" si="274"/>
        <v>0</v>
      </c>
      <c r="CM382" s="61">
        <f t="shared" si="274"/>
        <v>0</v>
      </c>
      <c r="CN382" s="61">
        <f t="shared" si="274"/>
        <v>0</v>
      </c>
      <c r="CO382" s="61">
        <f t="shared" si="265"/>
        <v>0</v>
      </c>
      <c r="CP382" s="61">
        <f t="shared" si="265"/>
        <v>0</v>
      </c>
      <c r="CQ382" s="61">
        <f t="shared" si="265"/>
        <v>7.9735218895742602E-2</v>
      </c>
      <c r="CR382" s="61">
        <f t="shared" si="265"/>
        <v>7.9735218895742602E-2</v>
      </c>
      <c r="CS382" s="61">
        <f t="shared" si="267"/>
        <v>7.9735218895742605E-3</v>
      </c>
      <c r="CT382" s="61">
        <f t="shared" si="268"/>
        <v>5.300000000000011E-2</v>
      </c>
      <c r="CV382" s="61">
        <f t="shared" si="269"/>
        <v>0</v>
      </c>
      <c r="CW382" s="61">
        <f t="shared" si="298"/>
        <v>0</v>
      </c>
      <c r="CX382" s="61"/>
      <c r="CY382" s="61">
        <f t="shared" si="294"/>
        <v>0</v>
      </c>
      <c r="CZ382" s="61">
        <f t="shared" si="271"/>
        <v>0</v>
      </c>
      <c r="DA382" s="61">
        <f t="shared" si="271"/>
        <v>0</v>
      </c>
      <c r="DB382" s="2" t="s">
        <v>102</v>
      </c>
      <c r="DC382" s="2" t="s">
        <v>134</v>
      </c>
      <c r="DD382" s="2" t="s">
        <v>142</v>
      </c>
      <c r="DE382" s="2" t="s">
        <v>181</v>
      </c>
      <c r="DF382" s="3" t="s">
        <v>86</v>
      </c>
      <c r="DG382" s="102">
        <v>42942</v>
      </c>
      <c r="EC382" s="60" t="str">
        <f>VLOOKUP($M382,[1]Detail!$M:$BO,1,0)</f>
        <v>JD8B-F27407 -AAW</v>
      </c>
      <c r="ED382" s="60">
        <f>VLOOKUP($M382,[1]Detail!$M:$BO,22,0)</f>
        <v>-114.23</v>
      </c>
      <c r="EE382" s="60">
        <f>VLOOKUP($M382,[1]Detail!$M:$BO,42,0)</f>
        <v>0</v>
      </c>
      <c r="EF382" s="60">
        <f>VLOOKUP($M382,[1]Detail!$M:$BO,45,0)</f>
        <v>0</v>
      </c>
      <c r="EH382" s="60">
        <f t="shared" si="295"/>
        <v>0</v>
      </c>
      <c r="EI382" s="60">
        <f t="shared" si="296"/>
        <v>0</v>
      </c>
      <c r="EJ382" s="60">
        <f t="shared" si="297"/>
        <v>0</v>
      </c>
    </row>
    <row r="383" spans="2:140" ht="12.75" hidden="1" customHeight="1">
      <c r="B383" s="99" t="s">
        <v>790</v>
      </c>
      <c r="C383" s="22" t="s">
        <v>653</v>
      </c>
      <c r="D383" s="22" t="s">
        <v>654</v>
      </c>
      <c r="E383" s="2" t="str">
        <f>VLOOKUP($C383,[1]Detail!$C:$AK,6,0)</f>
        <v>PMT2</v>
      </c>
      <c r="F383" s="2" t="str">
        <f>VLOOKUP($C383,[1]Detail!$C:$AK,7,0)</f>
        <v>TH</v>
      </c>
      <c r="G383" s="2">
        <f>VLOOKUP($C383,[1]Detail!$C:$AK,5,0)</f>
        <v>0</v>
      </c>
      <c r="J383" s="22" t="s">
        <v>204</v>
      </c>
      <c r="K383" s="23" t="s">
        <v>791</v>
      </c>
      <c r="L383" s="22" t="s">
        <v>656</v>
      </c>
      <c r="M383" s="51" t="str">
        <f t="shared" si="287"/>
        <v>ED8B-F23942 -BGW</v>
      </c>
      <c r="O383" s="22">
        <v>0</v>
      </c>
      <c r="P383" s="22">
        <v>0</v>
      </c>
      <c r="Q383" s="22">
        <v>1</v>
      </c>
      <c r="R383" s="22">
        <v>1</v>
      </c>
      <c r="S383" s="22">
        <v>1</v>
      </c>
      <c r="T383" s="22">
        <v>1</v>
      </c>
      <c r="U383" s="22">
        <v>0</v>
      </c>
      <c r="V383" s="22">
        <v>0</v>
      </c>
      <c r="W383" s="64">
        <f t="shared" si="288"/>
        <v>0.6</v>
      </c>
      <c r="Y383" s="8">
        <f>-119.07*0-118.54</f>
        <v>-118.54</v>
      </c>
      <c r="Z383" s="8">
        <v>-0.19</v>
      </c>
      <c r="AA383" s="8">
        <v>-1.67</v>
      </c>
      <c r="AB383" s="8">
        <v>0</v>
      </c>
      <c r="AC383" s="8">
        <v>0</v>
      </c>
      <c r="AD383" s="8">
        <f t="shared" si="289"/>
        <v>-120.4</v>
      </c>
      <c r="AE383" s="2" t="s">
        <v>91</v>
      </c>
      <c r="AG383" s="8">
        <v>0</v>
      </c>
      <c r="AH383" s="8">
        <v>0</v>
      </c>
      <c r="AJ383" s="70">
        <v>0</v>
      </c>
      <c r="AK383" s="70">
        <v>0</v>
      </c>
      <c r="AL383" s="72">
        <v>0</v>
      </c>
      <c r="AM383" s="22"/>
      <c r="AO383" s="22" t="s">
        <v>128</v>
      </c>
      <c r="AP383" s="23" t="s">
        <v>792</v>
      </c>
      <c r="AQ383" s="22" t="s">
        <v>656</v>
      </c>
      <c r="AR383" s="51" t="str">
        <f t="shared" si="285"/>
        <v>ED8B-F23942 -BGW</v>
      </c>
      <c r="AS383" s="3"/>
      <c r="AT383" s="22">
        <v>0</v>
      </c>
      <c r="AU383" s="22">
        <v>0</v>
      </c>
      <c r="AV383" s="22">
        <v>1</v>
      </c>
      <c r="AW383" s="22">
        <v>1</v>
      </c>
      <c r="AX383" s="22">
        <v>1</v>
      </c>
      <c r="AY383" s="22">
        <v>1</v>
      </c>
      <c r="AZ383" s="22">
        <v>0</v>
      </c>
      <c r="BA383" s="22">
        <v>0</v>
      </c>
      <c r="BB383" s="64">
        <f t="shared" si="286"/>
        <v>0.6</v>
      </c>
      <c r="BD383" s="60">
        <v>-119.07</v>
      </c>
      <c r="BE383" s="60">
        <v>-0.19</v>
      </c>
      <c r="BF383" s="95">
        <v>-1.67</v>
      </c>
      <c r="BG383" s="95">
        <v>0</v>
      </c>
      <c r="BH383" s="95">
        <v>0</v>
      </c>
      <c r="BI383" s="8">
        <f t="shared" si="272"/>
        <v>-120.92999999999999</v>
      </c>
      <c r="BJ383" s="2" t="s">
        <v>91</v>
      </c>
      <c r="BL383" s="70">
        <v>0</v>
      </c>
      <c r="BM383" s="70">
        <v>0</v>
      </c>
      <c r="BO383" s="70">
        <v>0</v>
      </c>
      <c r="BP383" s="70">
        <v>0</v>
      </c>
      <c r="BQ383" s="72">
        <v>0</v>
      </c>
      <c r="BS383" s="61">
        <f t="shared" si="284"/>
        <v>0.52999999999998693</v>
      </c>
      <c r="BT383" s="61">
        <f t="shared" si="279"/>
        <v>0</v>
      </c>
      <c r="BU383" s="61">
        <f t="shared" si="280"/>
        <v>0</v>
      </c>
      <c r="BV383" s="61">
        <f t="shared" si="281"/>
        <v>0</v>
      </c>
      <c r="BW383" s="61">
        <f t="shared" si="281"/>
        <v>0</v>
      </c>
      <c r="BX383" s="61">
        <f t="shared" si="281"/>
        <v>0.52999999999998693</v>
      </c>
      <c r="BY383" s="61" t="s">
        <v>91</v>
      </c>
      <c r="CA383" s="61">
        <f t="shared" si="273"/>
        <v>0</v>
      </c>
      <c r="CB383" s="61">
        <f t="shared" si="273"/>
        <v>0</v>
      </c>
      <c r="CC383" s="61">
        <f t="shared" si="273"/>
        <v>7.9735218895740465E-2</v>
      </c>
      <c r="CD383" s="61">
        <f t="shared" si="273"/>
        <v>7.9735218895740465E-2</v>
      </c>
      <c r="CE383" s="61">
        <f t="shared" si="264"/>
        <v>7.9735218895740465E-2</v>
      </c>
      <c r="CF383" s="61">
        <f t="shared" si="264"/>
        <v>7.9735218895740465E-2</v>
      </c>
      <c r="CG383" s="61">
        <f t="shared" si="264"/>
        <v>0</v>
      </c>
      <c r="CH383" s="61">
        <f t="shared" si="264"/>
        <v>0</v>
      </c>
      <c r="CI383" s="61">
        <f t="shared" si="266"/>
        <v>4.7841131337444276E-2</v>
      </c>
      <c r="CJ383" s="61"/>
      <c r="CK383" s="61">
        <f t="shared" si="274"/>
        <v>0</v>
      </c>
      <c r="CL383" s="61">
        <f t="shared" si="274"/>
        <v>0</v>
      </c>
      <c r="CM383" s="61">
        <f t="shared" si="274"/>
        <v>7.9735218895740465E-2</v>
      </c>
      <c r="CN383" s="61">
        <f t="shared" si="274"/>
        <v>7.9735218895740465E-2</v>
      </c>
      <c r="CO383" s="61">
        <f t="shared" si="265"/>
        <v>7.9735218895740465E-2</v>
      </c>
      <c r="CP383" s="61">
        <f t="shared" si="265"/>
        <v>7.9735218895740465E-2</v>
      </c>
      <c r="CQ383" s="61">
        <f t="shared" si="265"/>
        <v>0</v>
      </c>
      <c r="CR383" s="61">
        <f t="shared" si="265"/>
        <v>0</v>
      </c>
      <c r="CS383" s="61">
        <f t="shared" si="267"/>
        <v>4.7841131337444276E-2</v>
      </c>
      <c r="CT383" s="61">
        <f t="shared" si="268"/>
        <v>0.31799999999999212</v>
      </c>
      <c r="CV383" s="61">
        <f t="shared" si="269"/>
        <v>0</v>
      </c>
      <c r="CW383" s="61">
        <f t="shared" si="298"/>
        <v>0</v>
      </c>
      <c r="CX383" s="61"/>
      <c r="CY383" s="61">
        <f t="shared" si="294"/>
        <v>0</v>
      </c>
      <c r="CZ383" s="61">
        <f t="shared" si="271"/>
        <v>0</v>
      </c>
      <c r="DA383" s="61">
        <f t="shared" si="271"/>
        <v>0</v>
      </c>
      <c r="DB383" s="2" t="s">
        <v>102</v>
      </c>
      <c r="DC383" s="2" t="s">
        <v>134</v>
      </c>
      <c r="DD383" s="2" t="s">
        <v>142</v>
      </c>
      <c r="DE383" s="2" t="s">
        <v>181</v>
      </c>
      <c r="DF383" s="3" t="s">
        <v>86</v>
      </c>
      <c r="DG383" s="102">
        <v>42942</v>
      </c>
      <c r="EC383" s="60" t="str">
        <f>VLOOKUP($M383,[1]Detail!$M:$BO,1,0)</f>
        <v>ED8B-F23942 -BGW</v>
      </c>
      <c r="ED383" s="60">
        <f>VLOOKUP($M383,[1]Detail!$M:$BO,22,0)</f>
        <v>-120.4</v>
      </c>
      <c r="EE383" s="60">
        <f>VLOOKUP($M383,[1]Detail!$M:$BO,42,0)</f>
        <v>0</v>
      </c>
      <c r="EF383" s="60">
        <f>VLOOKUP($M383,[1]Detail!$M:$BO,45,0)</f>
        <v>0</v>
      </c>
      <c r="EH383" s="60">
        <f t="shared" si="295"/>
        <v>0</v>
      </c>
      <c r="EI383" s="60">
        <f t="shared" si="296"/>
        <v>0</v>
      </c>
      <c r="EJ383" s="60">
        <f t="shared" si="297"/>
        <v>0</v>
      </c>
    </row>
    <row r="384" spans="2:140" ht="12.75" hidden="1" customHeight="1">
      <c r="B384" s="99" t="s">
        <v>790</v>
      </c>
      <c r="C384" s="22" t="s">
        <v>653</v>
      </c>
      <c r="D384" s="22" t="s">
        <v>654</v>
      </c>
      <c r="E384" s="2" t="str">
        <f>VLOOKUP($C384,[1]Detail!$C:$AK,6,0)</f>
        <v>PMT2</v>
      </c>
      <c r="F384" s="2" t="str">
        <f>VLOOKUP($C384,[1]Detail!$C:$AK,7,0)</f>
        <v>TH</v>
      </c>
      <c r="G384" s="2">
        <f>VLOOKUP($C384,[1]Detail!$C:$AK,5,0)</f>
        <v>0</v>
      </c>
      <c r="J384" s="22" t="s">
        <v>204</v>
      </c>
      <c r="K384" s="23" t="s">
        <v>793</v>
      </c>
      <c r="L384" s="22" t="s">
        <v>797</v>
      </c>
      <c r="M384" s="51" t="str">
        <f t="shared" si="287"/>
        <v>ED8B-F27406 -BHW</v>
      </c>
      <c r="O384" s="22">
        <v>0</v>
      </c>
      <c r="P384" s="22">
        <v>0</v>
      </c>
      <c r="Q384" s="22">
        <v>1</v>
      </c>
      <c r="R384" s="22">
        <v>1</v>
      </c>
      <c r="S384" s="22">
        <v>1</v>
      </c>
      <c r="T384" s="22">
        <v>1</v>
      </c>
      <c r="U384" s="22">
        <v>0</v>
      </c>
      <c r="V384" s="22">
        <v>0</v>
      </c>
      <c r="W384" s="64">
        <f t="shared" si="288"/>
        <v>0.6</v>
      </c>
      <c r="Y384" s="8">
        <f>-112.45*0-111.93</f>
        <v>-111.93</v>
      </c>
      <c r="Z384" s="8">
        <v>-0.19</v>
      </c>
      <c r="AA384" s="8">
        <v>-1.67</v>
      </c>
      <c r="AB384" s="8">
        <v>0</v>
      </c>
      <c r="AC384" s="8">
        <v>0</v>
      </c>
      <c r="AD384" s="8">
        <f t="shared" si="289"/>
        <v>-113.79</v>
      </c>
      <c r="AE384" s="2" t="s">
        <v>91</v>
      </c>
      <c r="AG384" s="8">
        <v>0</v>
      </c>
      <c r="AH384" s="8">
        <v>0</v>
      </c>
      <c r="AJ384" s="70">
        <v>0</v>
      </c>
      <c r="AK384" s="70">
        <v>0</v>
      </c>
      <c r="AL384" s="72">
        <v>0</v>
      </c>
      <c r="AM384" s="22"/>
      <c r="AO384" s="22" t="s">
        <v>128</v>
      </c>
      <c r="AP384" s="23" t="s">
        <v>794</v>
      </c>
      <c r="AQ384" s="22" t="s">
        <v>656</v>
      </c>
      <c r="AR384" s="51" t="str">
        <f t="shared" si="285"/>
        <v>ED8B-F27406 -BGW</v>
      </c>
      <c r="AS384" s="3"/>
      <c r="AT384" s="22">
        <v>0</v>
      </c>
      <c r="AU384" s="22">
        <v>0</v>
      </c>
      <c r="AV384" s="22">
        <v>1</v>
      </c>
      <c r="AW384" s="22">
        <v>1</v>
      </c>
      <c r="AX384" s="22">
        <v>1</v>
      </c>
      <c r="AY384" s="22">
        <v>1</v>
      </c>
      <c r="AZ384" s="22">
        <v>0</v>
      </c>
      <c r="BA384" s="22">
        <v>0</v>
      </c>
      <c r="BB384" s="64">
        <f t="shared" si="286"/>
        <v>0.6</v>
      </c>
      <c r="BD384" s="60">
        <v>-112.45</v>
      </c>
      <c r="BE384" s="60">
        <v>-0.19</v>
      </c>
      <c r="BF384" s="95">
        <v>-1.67</v>
      </c>
      <c r="BG384" s="95">
        <v>0</v>
      </c>
      <c r="BH384" s="95">
        <v>0</v>
      </c>
      <c r="BI384" s="8">
        <f t="shared" si="272"/>
        <v>-114.31</v>
      </c>
      <c r="BJ384" s="2" t="s">
        <v>91</v>
      </c>
      <c r="BL384" s="70">
        <v>0</v>
      </c>
      <c r="BM384" s="70">
        <v>0</v>
      </c>
      <c r="BO384" s="70">
        <v>0</v>
      </c>
      <c r="BP384" s="70">
        <v>0</v>
      </c>
      <c r="BQ384" s="72">
        <v>0</v>
      </c>
      <c r="BS384" s="61">
        <f t="shared" si="284"/>
        <v>0.51999999999999602</v>
      </c>
      <c r="BT384" s="61">
        <f t="shared" si="279"/>
        <v>0</v>
      </c>
      <c r="BU384" s="61">
        <f t="shared" si="280"/>
        <v>0</v>
      </c>
      <c r="BV384" s="61">
        <f t="shared" si="281"/>
        <v>0</v>
      </c>
      <c r="BW384" s="61">
        <f t="shared" si="281"/>
        <v>0</v>
      </c>
      <c r="BX384" s="61">
        <f t="shared" si="281"/>
        <v>0.51999999999999602</v>
      </c>
      <c r="BY384" s="61" t="s">
        <v>91</v>
      </c>
      <c r="CA384" s="61">
        <f t="shared" si="273"/>
        <v>0</v>
      </c>
      <c r="CB384" s="61">
        <f t="shared" si="273"/>
        <v>0</v>
      </c>
      <c r="CC384" s="61">
        <f t="shared" si="273"/>
        <v>7.8230780803369343E-2</v>
      </c>
      <c r="CD384" s="61">
        <f t="shared" si="273"/>
        <v>7.8230780803369343E-2</v>
      </c>
      <c r="CE384" s="61">
        <f t="shared" si="264"/>
        <v>7.8230780803369343E-2</v>
      </c>
      <c r="CF384" s="61">
        <f t="shared" si="264"/>
        <v>7.8230780803369343E-2</v>
      </c>
      <c r="CG384" s="61">
        <f t="shared" si="264"/>
        <v>0</v>
      </c>
      <c r="CH384" s="61">
        <f t="shared" si="264"/>
        <v>0</v>
      </c>
      <c r="CI384" s="61">
        <f t="shared" si="266"/>
        <v>4.6938468482021607E-2</v>
      </c>
      <c r="CJ384" s="61"/>
      <c r="CK384" s="61">
        <f t="shared" si="274"/>
        <v>0</v>
      </c>
      <c r="CL384" s="61">
        <f t="shared" si="274"/>
        <v>0</v>
      </c>
      <c r="CM384" s="61">
        <f t="shared" si="274"/>
        <v>7.8230780803369343E-2</v>
      </c>
      <c r="CN384" s="61">
        <f t="shared" si="274"/>
        <v>7.8230780803369343E-2</v>
      </c>
      <c r="CO384" s="61">
        <f t="shared" si="265"/>
        <v>7.8230780803369343E-2</v>
      </c>
      <c r="CP384" s="61">
        <f t="shared" si="265"/>
        <v>7.8230780803369343E-2</v>
      </c>
      <c r="CQ384" s="61">
        <f t="shared" si="265"/>
        <v>0</v>
      </c>
      <c r="CR384" s="61">
        <f t="shared" si="265"/>
        <v>0</v>
      </c>
      <c r="CS384" s="61">
        <f t="shared" si="267"/>
        <v>4.6938468482021607E-2</v>
      </c>
      <c r="CT384" s="61">
        <f t="shared" si="268"/>
        <v>0.31199999999999761</v>
      </c>
      <c r="CV384" s="61">
        <f t="shared" si="269"/>
        <v>0</v>
      </c>
      <c r="CW384" s="61">
        <f t="shared" si="298"/>
        <v>0</v>
      </c>
      <c r="CX384" s="61"/>
      <c r="CY384" s="61">
        <f t="shared" si="294"/>
        <v>0</v>
      </c>
      <c r="CZ384" s="61">
        <f t="shared" si="271"/>
        <v>0</v>
      </c>
      <c r="DA384" s="61">
        <f t="shared" si="271"/>
        <v>0</v>
      </c>
      <c r="DB384" s="2" t="s">
        <v>102</v>
      </c>
      <c r="DC384" s="2" t="s">
        <v>134</v>
      </c>
      <c r="DD384" s="2" t="s">
        <v>142</v>
      </c>
      <c r="DE384" s="2" t="s">
        <v>181</v>
      </c>
      <c r="DF384" s="3" t="s">
        <v>86</v>
      </c>
      <c r="DG384" s="102">
        <v>42942</v>
      </c>
      <c r="EC384" s="60" t="str">
        <f>VLOOKUP($M384,[1]Detail!$M:$BO,1,0)</f>
        <v>ED8B-F27406 -BHW</v>
      </c>
      <c r="ED384" s="60">
        <f>VLOOKUP($M384,[1]Detail!$M:$BO,22,0)</f>
        <v>-113.79</v>
      </c>
      <c r="EE384" s="60">
        <f>VLOOKUP($M384,[1]Detail!$M:$BO,42,0)</f>
        <v>0</v>
      </c>
      <c r="EF384" s="60">
        <f>VLOOKUP($M384,[1]Detail!$M:$BO,45,0)</f>
        <v>0</v>
      </c>
      <c r="EH384" s="60">
        <f t="shared" si="295"/>
        <v>0</v>
      </c>
      <c r="EI384" s="60">
        <f t="shared" si="296"/>
        <v>0</v>
      </c>
      <c r="EJ384" s="60">
        <f t="shared" si="297"/>
        <v>0</v>
      </c>
    </row>
    <row r="385" spans="2:140" ht="12.75" hidden="1" customHeight="1">
      <c r="B385" s="99" t="s">
        <v>790</v>
      </c>
      <c r="C385" s="22" t="s">
        <v>653</v>
      </c>
      <c r="D385" s="22" t="s">
        <v>654</v>
      </c>
      <c r="E385" s="2" t="str">
        <f>VLOOKUP($C385,[1]Detail!$C:$AK,6,0)</f>
        <v>PMT2</v>
      </c>
      <c r="F385" s="2" t="str">
        <f>VLOOKUP($C385,[1]Detail!$C:$AK,7,0)</f>
        <v>TH</v>
      </c>
      <c r="G385" s="2">
        <f>VLOOKUP($C385,[1]Detail!$C:$AK,5,0)</f>
        <v>0</v>
      </c>
      <c r="J385" s="22" t="s">
        <v>204</v>
      </c>
      <c r="K385" s="23" t="s">
        <v>795</v>
      </c>
      <c r="L385" s="23" t="s">
        <v>797</v>
      </c>
      <c r="M385" s="51" t="str">
        <f t="shared" si="287"/>
        <v>ED8B-F27407 -BHW</v>
      </c>
      <c r="O385" s="91">
        <v>0</v>
      </c>
      <c r="P385" s="91">
        <v>0</v>
      </c>
      <c r="Q385" s="91">
        <v>1</v>
      </c>
      <c r="R385" s="91">
        <v>1</v>
      </c>
      <c r="S385" s="91">
        <v>1</v>
      </c>
      <c r="T385" s="91">
        <v>1</v>
      </c>
      <c r="U385" s="91">
        <v>0</v>
      </c>
      <c r="V385" s="91">
        <v>0</v>
      </c>
      <c r="W385" s="64">
        <f t="shared" si="288"/>
        <v>0.6</v>
      </c>
      <c r="Y385" s="8">
        <f>-112.45*0-111.93</f>
        <v>-111.93</v>
      </c>
      <c r="Z385" s="8">
        <v>-0.19</v>
      </c>
      <c r="AA385" s="8">
        <v>-1.67</v>
      </c>
      <c r="AB385" s="8">
        <v>0</v>
      </c>
      <c r="AC385" s="8">
        <v>0</v>
      </c>
      <c r="AD385" s="8">
        <f t="shared" si="289"/>
        <v>-113.79</v>
      </c>
      <c r="AE385" s="2" t="s">
        <v>91</v>
      </c>
      <c r="AG385" s="8">
        <v>0</v>
      </c>
      <c r="AH385" s="8">
        <v>0</v>
      </c>
      <c r="AJ385" s="70">
        <v>0</v>
      </c>
      <c r="AK385" s="70">
        <v>0</v>
      </c>
      <c r="AL385" s="72">
        <v>0</v>
      </c>
      <c r="AM385" s="22"/>
      <c r="AO385" s="22" t="s">
        <v>128</v>
      </c>
      <c r="AP385" s="23" t="s">
        <v>796</v>
      </c>
      <c r="AQ385" s="22" t="s">
        <v>656</v>
      </c>
      <c r="AR385" s="51" t="str">
        <f t="shared" si="285"/>
        <v>ED8B-F27407 -BGW</v>
      </c>
      <c r="AS385" s="3"/>
      <c r="AT385" s="22">
        <v>0</v>
      </c>
      <c r="AU385" s="22">
        <v>0</v>
      </c>
      <c r="AV385" s="22">
        <v>1</v>
      </c>
      <c r="AW385" s="22">
        <v>1</v>
      </c>
      <c r="AX385" s="22">
        <v>1</v>
      </c>
      <c r="AY385" s="22">
        <v>1</v>
      </c>
      <c r="AZ385" s="22">
        <v>0</v>
      </c>
      <c r="BA385" s="22">
        <v>0</v>
      </c>
      <c r="BB385" s="64">
        <f t="shared" si="286"/>
        <v>0.6</v>
      </c>
      <c r="BD385" s="60">
        <v>-112.46</v>
      </c>
      <c r="BE385" s="60">
        <v>-0.19</v>
      </c>
      <c r="BF385" s="95">
        <v>-1.67</v>
      </c>
      <c r="BG385" s="95">
        <v>0</v>
      </c>
      <c r="BH385" s="95">
        <v>0</v>
      </c>
      <c r="BI385" s="8">
        <f t="shared" si="272"/>
        <v>-114.32</v>
      </c>
      <c r="BJ385" s="2" t="s">
        <v>91</v>
      </c>
      <c r="BL385" s="70">
        <v>0</v>
      </c>
      <c r="BM385" s="70">
        <v>0</v>
      </c>
      <c r="BO385" s="70">
        <v>0</v>
      </c>
      <c r="BP385" s="70">
        <v>0</v>
      </c>
      <c r="BQ385" s="72">
        <v>0</v>
      </c>
      <c r="BS385" s="61">
        <f t="shared" si="284"/>
        <v>0.52999999999998693</v>
      </c>
      <c r="BT385" s="61">
        <f t="shared" si="279"/>
        <v>0</v>
      </c>
      <c r="BU385" s="61">
        <f t="shared" si="280"/>
        <v>0</v>
      </c>
      <c r="BV385" s="61">
        <f t="shared" si="281"/>
        <v>0</v>
      </c>
      <c r="BW385" s="61">
        <f t="shared" si="281"/>
        <v>0</v>
      </c>
      <c r="BX385" s="61">
        <f t="shared" si="281"/>
        <v>0.52999999999998693</v>
      </c>
      <c r="BY385" s="61" t="s">
        <v>91</v>
      </c>
      <c r="CA385" s="61">
        <f t="shared" si="273"/>
        <v>0</v>
      </c>
      <c r="CB385" s="61">
        <f t="shared" si="273"/>
        <v>0</v>
      </c>
      <c r="CC385" s="61">
        <f t="shared" si="273"/>
        <v>7.9735218895740465E-2</v>
      </c>
      <c r="CD385" s="61">
        <f t="shared" si="273"/>
        <v>7.9735218895740465E-2</v>
      </c>
      <c r="CE385" s="61">
        <f t="shared" si="264"/>
        <v>7.9735218895740465E-2</v>
      </c>
      <c r="CF385" s="61">
        <f t="shared" si="264"/>
        <v>7.9735218895740465E-2</v>
      </c>
      <c r="CG385" s="61">
        <f t="shared" si="264"/>
        <v>0</v>
      </c>
      <c r="CH385" s="61">
        <f t="shared" si="264"/>
        <v>0</v>
      </c>
      <c r="CI385" s="61">
        <f t="shared" si="266"/>
        <v>4.7841131337444276E-2</v>
      </c>
      <c r="CJ385" s="61"/>
      <c r="CK385" s="61">
        <f t="shared" si="274"/>
        <v>0</v>
      </c>
      <c r="CL385" s="61">
        <f t="shared" si="274"/>
        <v>0</v>
      </c>
      <c r="CM385" s="61">
        <f t="shared" si="274"/>
        <v>7.9735218895740465E-2</v>
      </c>
      <c r="CN385" s="61">
        <f t="shared" si="274"/>
        <v>7.9735218895740465E-2</v>
      </c>
      <c r="CO385" s="61">
        <f t="shared" si="265"/>
        <v>7.9735218895740465E-2</v>
      </c>
      <c r="CP385" s="61">
        <f t="shared" si="265"/>
        <v>7.9735218895740465E-2</v>
      </c>
      <c r="CQ385" s="61">
        <f t="shared" si="265"/>
        <v>0</v>
      </c>
      <c r="CR385" s="61">
        <f t="shared" si="265"/>
        <v>0</v>
      </c>
      <c r="CS385" s="61">
        <f t="shared" si="267"/>
        <v>4.7841131337444276E-2</v>
      </c>
      <c r="CT385" s="61">
        <f t="shared" si="268"/>
        <v>0.31799999999999212</v>
      </c>
      <c r="CV385" s="61">
        <f t="shared" si="269"/>
        <v>0</v>
      </c>
      <c r="CW385" s="61">
        <f t="shared" si="298"/>
        <v>0</v>
      </c>
      <c r="CX385" s="61"/>
      <c r="CY385" s="61">
        <f t="shared" si="294"/>
        <v>0</v>
      </c>
      <c r="CZ385" s="61">
        <f t="shared" si="271"/>
        <v>0</v>
      </c>
      <c r="DA385" s="61">
        <f t="shared" si="271"/>
        <v>0</v>
      </c>
      <c r="DB385" s="2" t="s">
        <v>102</v>
      </c>
      <c r="DC385" s="2" t="s">
        <v>134</v>
      </c>
      <c r="DD385" s="2" t="s">
        <v>142</v>
      </c>
      <c r="DE385" s="2" t="s">
        <v>181</v>
      </c>
      <c r="DF385" s="3" t="s">
        <v>86</v>
      </c>
      <c r="DG385" s="102">
        <v>42942</v>
      </c>
      <c r="EC385" s="60" t="str">
        <f>VLOOKUP($M385,[1]Detail!$M:$BO,1,0)</f>
        <v>ED8B-F27407 -BHW</v>
      </c>
      <c r="ED385" s="60">
        <f>VLOOKUP($M385,[1]Detail!$M:$BO,22,0)</f>
        <v>-113.79</v>
      </c>
      <c r="EE385" s="60">
        <f>VLOOKUP($M385,[1]Detail!$M:$BO,42,0)</f>
        <v>0</v>
      </c>
      <c r="EF385" s="60">
        <f>VLOOKUP($M385,[1]Detail!$M:$BO,45,0)</f>
        <v>0</v>
      </c>
      <c r="EH385" s="60">
        <f t="shared" si="295"/>
        <v>0</v>
      </c>
      <c r="EI385" s="60">
        <f t="shared" si="296"/>
        <v>0</v>
      </c>
      <c r="EJ385" s="60">
        <f t="shared" si="297"/>
        <v>0</v>
      </c>
    </row>
    <row r="386" spans="2:140" ht="12.75" hidden="1" customHeight="1">
      <c r="B386" s="99" t="s">
        <v>798</v>
      </c>
      <c r="C386" s="22" t="s">
        <v>799</v>
      </c>
      <c r="D386" s="22" t="s">
        <v>800</v>
      </c>
      <c r="E386" s="2" t="str">
        <f>VLOOKUP($C386,[1]Detail!$C:$AK,6,0)</f>
        <v>PMT1</v>
      </c>
      <c r="F386" s="2" t="str">
        <f>VLOOKUP($C386,[1]Detail!$C:$AK,7,0)</f>
        <v>TH</v>
      </c>
      <c r="G386" s="2" t="str">
        <f>VLOOKUP($C386,[1]Detail!$C:$AK,5,0)</f>
        <v>D</v>
      </c>
      <c r="J386" s="22" t="s">
        <v>126</v>
      </c>
      <c r="K386" s="23" t="s">
        <v>801</v>
      </c>
      <c r="L386" s="22" t="s">
        <v>100</v>
      </c>
      <c r="M386" s="51" t="str">
        <f t="shared" si="287"/>
        <v>JD8B-19A688 -AA</v>
      </c>
      <c r="O386" s="22">
        <v>1</v>
      </c>
      <c r="P386" s="22">
        <v>1</v>
      </c>
      <c r="Q386" s="22">
        <v>1</v>
      </c>
      <c r="R386" s="22">
        <v>1</v>
      </c>
      <c r="S386" s="22">
        <v>1</v>
      </c>
      <c r="T386" s="22">
        <v>1</v>
      </c>
      <c r="U386" s="22">
        <v>1</v>
      </c>
      <c r="V386" s="22">
        <v>1</v>
      </c>
      <c r="W386" s="64">
        <f t="shared" si="288"/>
        <v>1</v>
      </c>
      <c r="Y386" s="8">
        <v>-0.47</v>
      </c>
      <c r="Z386" s="8">
        <v>-0.02</v>
      </c>
      <c r="AA386" s="8">
        <v>-0.01</v>
      </c>
      <c r="AB386" s="8">
        <v>0</v>
      </c>
      <c r="AC386" s="8">
        <v>0</v>
      </c>
      <c r="AD386" s="8">
        <f t="shared" si="289"/>
        <v>-0.5</v>
      </c>
      <c r="AE386" s="2" t="s">
        <v>91</v>
      </c>
      <c r="AG386" s="8">
        <v>0</v>
      </c>
      <c r="AH386" s="8">
        <v>0</v>
      </c>
      <c r="AJ386" s="70">
        <v>0</v>
      </c>
      <c r="AK386" s="70">
        <v>0</v>
      </c>
      <c r="AL386" s="72">
        <v>0</v>
      </c>
      <c r="AM386" s="22"/>
      <c r="AO386" s="22" t="s">
        <v>128</v>
      </c>
      <c r="AP386" s="23" t="s">
        <v>801</v>
      </c>
      <c r="AQ386" s="22" t="s">
        <v>234</v>
      </c>
      <c r="AR386" s="51" t="str">
        <f t="shared" si="285"/>
        <v>ED8B-19A688 -AC</v>
      </c>
      <c r="AS386" s="3"/>
      <c r="AT386" s="22">
        <v>1</v>
      </c>
      <c r="AU386" s="22">
        <v>1</v>
      </c>
      <c r="AV386" s="22">
        <v>1</v>
      </c>
      <c r="AW386" s="22">
        <v>1</v>
      </c>
      <c r="AX386" s="22">
        <v>1</v>
      </c>
      <c r="AY386" s="22">
        <v>1</v>
      </c>
      <c r="AZ386" s="22">
        <v>1</v>
      </c>
      <c r="BA386" s="22">
        <v>1</v>
      </c>
      <c r="BB386" s="64">
        <f t="shared" si="286"/>
        <v>1</v>
      </c>
      <c r="BD386" s="60">
        <v>-0.36</v>
      </c>
      <c r="BE386" s="60">
        <v>-0.02</v>
      </c>
      <c r="BF386" s="95">
        <v>-0.01</v>
      </c>
      <c r="BG386" s="95">
        <v>0</v>
      </c>
      <c r="BH386" s="95">
        <v>0</v>
      </c>
      <c r="BI386" s="8">
        <f t="shared" si="272"/>
        <v>-0.39</v>
      </c>
      <c r="BJ386" s="2" t="s">
        <v>91</v>
      </c>
      <c r="BL386" s="70">
        <v>0</v>
      </c>
      <c r="BM386" s="70">
        <v>0</v>
      </c>
      <c r="BO386" s="70">
        <v>0</v>
      </c>
      <c r="BP386" s="70">
        <v>0</v>
      </c>
      <c r="BQ386" s="72">
        <v>0</v>
      </c>
      <c r="BS386" s="61">
        <f t="shared" si="284"/>
        <v>-0.10999999999999999</v>
      </c>
      <c r="BT386" s="61">
        <f t="shared" si="279"/>
        <v>0</v>
      </c>
      <c r="BU386" s="61">
        <f t="shared" si="280"/>
        <v>0</v>
      </c>
      <c r="BV386" s="61">
        <f t="shared" si="281"/>
        <v>0</v>
      </c>
      <c r="BW386" s="61">
        <f t="shared" si="281"/>
        <v>0</v>
      </c>
      <c r="BX386" s="61">
        <f t="shared" si="281"/>
        <v>-0.10999999999999999</v>
      </c>
      <c r="BY386" s="61" t="s">
        <v>91</v>
      </c>
      <c r="CA386" s="61">
        <f t="shared" si="273"/>
        <v>-1.6548819016097484E-2</v>
      </c>
      <c r="CB386" s="61">
        <f t="shared" si="273"/>
        <v>-1.6548819016097484E-2</v>
      </c>
      <c r="CC386" s="61">
        <f t="shared" si="273"/>
        <v>-1.6548819016097484E-2</v>
      </c>
      <c r="CD386" s="61">
        <f t="shared" si="273"/>
        <v>-1.6548819016097484E-2</v>
      </c>
      <c r="CE386" s="61">
        <f t="shared" si="264"/>
        <v>-1.6548819016097484E-2</v>
      </c>
      <c r="CF386" s="61">
        <f t="shared" si="264"/>
        <v>-1.6548819016097484E-2</v>
      </c>
      <c r="CG386" s="61">
        <f t="shared" si="264"/>
        <v>-1.6548819016097484E-2</v>
      </c>
      <c r="CH386" s="61">
        <f t="shared" si="264"/>
        <v>-1.6548819016097484E-2</v>
      </c>
      <c r="CI386" s="61">
        <f t="shared" si="266"/>
        <v>-1.6548819016097484E-2</v>
      </c>
      <c r="CJ386" s="61"/>
      <c r="CK386" s="61">
        <f t="shared" si="274"/>
        <v>-1.6548819016097484E-2</v>
      </c>
      <c r="CL386" s="61">
        <f t="shared" si="274"/>
        <v>-1.6548819016097484E-2</v>
      </c>
      <c r="CM386" s="61">
        <f t="shared" si="274"/>
        <v>-1.6548819016097484E-2</v>
      </c>
      <c r="CN386" s="61">
        <f t="shared" si="274"/>
        <v>-1.6548819016097484E-2</v>
      </c>
      <c r="CO386" s="61">
        <f t="shared" si="265"/>
        <v>-1.6548819016097484E-2</v>
      </c>
      <c r="CP386" s="61">
        <f t="shared" si="265"/>
        <v>-1.6548819016097484E-2</v>
      </c>
      <c r="CQ386" s="61">
        <f t="shared" si="265"/>
        <v>-1.6548819016097484E-2</v>
      </c>
      <c r="CR386" s="61">
        <f t="shared" si="265"/>
        <v>-1.6548819016097484E-2</v>
      </c>
      <c r="CS386" s="61">
        <f t="shared" si="267"/>
        <v>-1.6548819016097484E-2</v>
      </c>
      <c r="CT386" s="61">
        <f t="shared" si="268"/>
        <v>-0.10999999999999997</v>
      </c>
      <c r="CV386" s="61">
        <f t="shared" si="269"/>
        <v>0</v>
      </c>
      <c r="CW386" s="61">
        <f t="shared" si="298"/>
        <v>0</v>
      </c>
      <c r="CX386" s="61"/>
      <c r="CY386" s="61">
        <f t="shared" si="294"/>
        <v>0</v>
      </c>
      <c r="CZ386" s="61">
        <f t="shared" si="271"/>
        <v>0</v>
      </c>
      <c r="DA386" s="61">
        <f t="shared" si="271"/>
        <v>0</v>
      </c>
      <c r="DB386" s="2" t="s">
        <v>102</v>
      </c>
      <c r="DC386" s="2" t="s">
        <v>102</v>
      </c>
      <c r="DD386" s="2" t="s">
        <v>142</v>
      </c>
      <c r="DE386" s="2" t="s">
        <v>181</v>
      </c>
      <c r="DF386" s="3" t="s">
        <v>86</v>
      </c>
      <c r="DG386" s="62">
        <v>42879</v>
      </c>
      <c r="EC386" s="60" t="str">
        <f>VLOOKUP($M386,[1]Detail!$M:$BO,1,0)</f>
        <v>JD8B-19A688 -AA</v>
      </c>
      <c r="ED386" s="60">
        <f>VLOOKUP($M386,[1]Detail!$M:$BO,22,0)</f>
        <v>-0.5</v>
      </c>
      <c r="EE386" s="60">
        <f>VLOOKUP($M386,[1]Detail!$M:$BO,42,0)</f>
        <v>0</v>
      </c>
      <c r="EF386" s="60">
        <f>VLOOKUP($M386,[1]Detail!$M:$BO,45,0)</f>
        <v>0</v>
      </c>
      <c r="EH386" s="60">
        <f t="shared" si="295"/>
        <v>0</v>
      </c>
      <c r="EI386" s="60">
        <f t="shared" si="296"/>
        <v>0</v>
      </c>
      <c r="EJ386" s="60">
        <f t="shared" si="297"/>
        <v>0</v>
      </c>
    </row>
    <row r="387" spans="2:140" ht="12.75" hidden="1" customHeight="1">
      <c r="B387" s="99" t="s">
        <v>798</v>
      </c>
      <c r="C387" s="22" t="s">
        <v>799</v>
      </c>
      <c r="D387" s="22" t="s">
        <v>800</v>
      </c>
      <c r="E387" s="2" t="str">
        <f>VLOOKUP($C387,[1]Detail!$C:$AK,6,0)</f>
        <v>PMT1</v>
      </c>
      <c r="F387" s="2" t="str">
        <f>VLOOKUP($C387,[1]Detail!$C:$AK,7,0)</f>
        <v>TH</v>
      </c>
      <c r="G387" s="2" t="str">
        <f>VLOOKUP($C387,[1]Detail!$C:$AK,5,0)</f>
        <v>D</v>
      </c>
      <c r="J387" s="22" t="s">
        <v>126</v>
      </c>
      <c r="K387" s="23" t="s">
        <v>802</v>
      </c>
      <c r="L387" s="22" t="s">
        <v>100</v>
      </c>
      <c r="M387" s="51" t="str">
        <f t="shared" si="287"/>
        <v>JD8B-1A514 -AA</v>
      </c>
      <c r="O387" s="22">
        <v>1</v>
      </c>
      <c r="P387" s="22">
        <v>1</v>
      </c>
      <c r="Q387" s="22">
        <v>0</v>
      </c>
      <c r="R387" s="22">
        <v>0</v>
      </c>
      <c r="S387" s="22">
        <v>0</v>
      </c>
      <c r="T387" s="22">
        <v>0</v>
      </c>
      <c r="U387" s="22">
        <v>0</v>
      </c>
      <c r="V387" s="22">
        <v>0</v>
      </c>
      <c r="W387" s="64">
        <f t="shared" si="288"/>
        <v>0.30000000000000004</v>
      </c>
      <c r="Y387" s="8">
        <v>-0.39</v>
      </c>
      <c r="Z387" s="8">
        <v>0</v>
      </c>
      <c r="AA387" s="8">
        <v>0</v>
      </c>
      <c r="AB387" s="8">
        <v>0</v>
      </c>
      <c r="AC387" s="8">
        <v>0</v>
      </c>
      <c r="AD387" s="8">
        <f t="shared" si="289"/>
        <v>-0.39</v>
      </c>
      <c r="AE387" s="2" t="s">
        <v>91</v>
      </c>
      <c r="AG387" s="8">
        <v>0</v>
      </c>
      <c r="AH387" s="8">
        <v>0</v>
      </c>
      <c r="AJ387" s="70">
        <v>0</v>
      </c>
      <c r="AK387" s="70">
        <v>0</v>
      </c>
      <c r="AL387" s="72">
        <v>0</v>
      </c>
      <c r="AM387" s="22"/>
      <c r="AO387" s="22" t="s">
        <v>128</v>
      </c>
      <c r="AP387" s="23" t="s">
        <v>802</v>
      </c>
      <c r="AQ387" s="22" t="s">
        <v>100</v>
      </c>
      <c r="AR387" s="51" t="str">
        <f t="shared" si="285"/>
        <v>ED8B-1A514 -AA</v>
      </c>
      <c r="AS387" s="3"/>
      <c r="AT387" s="22">
        <v>1</v>
      </c>
      <c r="AU387" s="22">
        <v>1</v>
      </c>
      <c r="AV387" s="22">
        <v>0</v>
      </c>
      <c r="AW387" s="22">
        <v>0</v>
      </c>
      <c r="AX387" s="22">
        <v>0</v>
      </c>
      <c r="AY387" s="22">
        <v>0</v>
      </c>
      <c r="AZ387" s="22">
        <v>0</v>
      </c>
      <c r="BA387" s="22">
        <v>0</v>
      </c>
      <c r="BB387" s="64">
        <f t="shared" si="286"/>
        <v>0.30000000000000004</v>
      </c>
      <c r="BD387" s="60">
        <v>-0.19</v>
      </c>
      <c r="BE387" s="60">
        <v>0</v>
      </c>
      <c r="BF387" s="95">
        <v>0</v>
      </c>
      <c r="BG387" s="95">
        <v>0</v>
      </c>
      <c r="BH387" s="95">
        <v>0</v>
      </c>
      <c r="BI387" s="8">
        <f t="shared" si="272"/>
        <v>-0.19</v>
      </c>
      <c r="BJ387" s="2" t="s">
        <v>91</v>
      </c>
      <c r="BL387" s="70">
        <v>0</v>
      </c>
      <c r="BM387" s="70">
        <v>0</v>
      </c>
      <c r="BO387" s="70">
        <v>0</v>
      </c>
      <c r="BP387" s="70">
        <v>0</v>
      </c>
      <c r="BQ387" s="72">
        <v>0</v>
      </c>
      <c r="BS387" s="61">
        <f t="shared" si="284"/>
        <v>-0.2</v>
      </c>
      <c r="BT387" s="61">
        <f t="shared" si="279"/>
        <v>0</v>
      </c>
      <c r="BU387" s="61">
        <f t="shared" si="280"/>
        <v>0</v>
      </c>
      <c r="BV387" s="61">
        <f t="shared" si="281"/>
        <v>0</v>
      </c>
      <c r="BW387" s="61">
        <f t="shared" si="281"/>
        <v>0</v>
      </c>
      <c r="BX387" s="61">
        <f t="shared" si="281"/>
        <v>-0.2</v>
      </c>
      <c r="BY387" s="61" t="s">
        <v>91</v>
      </c>
      <c r="CA387" s="61">
        <f t="shared" si="273"/>
        <v>-3.0088761847449977E-2</v>
      </c>
      <c r="CB387" s="61">
        <f t="shared" si="273"/>
        <v>-3.0088761847449977E-2</v>
      </c>
      <c r="CC387" s="61">
        <f t="shared" si="273"/>
        <v>0</v>
      </c>
      <c r="CD387" s="61">
        <f t="shared" si="273"/>
        <v>0</v>
      </c>
      <c r="CE387" s="61">
        <f t="shared" si="264"/>
        <v>0</v>
      </c>
      <c r="CF387" s="61">
        <f t="shared" si="264"/>
        <v>0</v>
      </c>
      <c r="CG387" s="61">
        <f t="shared" si="264"/>
        <v>0</v>
      </c>
      <c r="CH387" s="61">
        <f t="shared" ref="CH387:CH450" si="299">($Y387*V387-BA387*$BD387)/$C$2</f>
        <v>0</v>
      </c>
      <c r="CI387" s="61">
        <f t="shared" si="266"/>
        <v>-9.0266285542349931E-3</v>
      </c>
      <c r="CJ387" s="61"/>
      <c r="CK387" s="61">
        <f t="shared" si="274"/>
        <v>-3.0088761847449977E-2</v>
      </c>
      <c r="CL387" s="61">
        <f t="shared" si="274"/>
        <v>-3.0088761847449977E-2</v>
      </c>
      <c r="CM387" s="61">
        <f t="shared" si="274"/>
        <v>0</v>
      </c>
      <c r="CN387" s="61">
        <f t="shared" si="274"/>
        <v>0</v>
      </c>
      <c r="CO387" s="61">
        <f t="shared" si="265"/>
        <v>0</v>
      </c>
      <c r="CP387" s="61">
        <f t="shared" si="265"/>
        <v>0</v>
      </c>
      <c r="CQ387" s="61">
        <f t="shared" si="265"/>
        <v>0</v>
      </c>
      <c r="CR387" s="61">
        <f t="shared" ref="CR387:CR450" si="300">(V387*$AD387-BA387*$BI387)/$C$2</f>
        <v>0</v>
      </c>
      <c r="CS387" s="61">
        <f t="shared" si="267"/>
        <v>-9.0266285542349931E-3</v>
      </c>
      <c r="CT387" s="61">
        <f t="shared" si="268"/>
        <v>-0.06</v>
      </c>
      <c r="CV387" s="61">
        <f t="shared" si="269"/>
        <v>0</v>
      </c>
      <c r="CW387" s="61">
        <f t="shared" si="298"/>
        <v>0</v>
      </c>
      <c r="CX387" s="61"/>
      <c r="CY387" s="61">
        <f t="shared" si="294"/>
        <v>0</v>
      </c>
      <c r="CZ387" s="61">
        <f t="shared" si="271"/>
        <v>0</v>
      </c>
      <c r="DA387" s="61">
        <f t="shared" si="271"/>
        <v>0</v>
      </c>
      <c r="DB387" s="2" t="s">
        <v>85</v>
      </c>
      <c r="DC387" s="2" t="s">
        <v>102</v>
      </c>
      <c r="DD387" s="2" t="s">
        <v>142</v>
      </c>
      <c r="DE387" s="2" t="s">
        <v>181</v>
      </c>
      <c r="DF387" s="3" t="s">
        <v>86</v>
      </c>
      <c r="DG387" s="62">
        <v>42879</v>
      </c>
      <c r="EC387" s="60"/>
      <c r="ED387" s="60"/>
      <c r="EE387" s="60"/>
      <c r="EF387" s="60"/>
    </row>
    <row r="388" spans="2:140" ht="12.75" hidden="1" customHeight="1">
      <c r="B388" s="99" t="s">
        <v>803</v>
      </c>
      <c r="C388" s="22" t="s">
        <v>799</v>
      </c>
      <c r="D388" s="22" t="s">
        <v>800</v>
      </c>
      <c r="E388" s="2" t="str">
        <f>VLOOKUP($C388,[1]Detail!$C:$AK,6,0)</f>
        <v>PMT1</v>
      </c>
      <c r="F388" s="2" t="str">
        <f>VLOOKUP($C388,[1]Detail!$C:$AK,7,0)</f>
        <v>TH</v>
      </c>
      <c r="G388" s="2" t="str">
        <f>VLOOKUP($C388,[1]Detail!$C:$AK,5,0)</f>
        <v>D</v>
      </c>
      <c r="J388" s="22" t="s">
        <v>126</v>
      </c>
      <c r="K388" s="23" t="s">
        <v>802</v>
      </c>
      <c r="L388" s="22" t="s">
        <v>132</v>
      </c>
      <c r="M388" s="51" t="str">
        <f t="shared" si="287"/>
        <v>JD8B-1A514 -AB</v>
      </c>
      <c r="O388" s="22">
        <v>1</v>
      </c>
      <c r="P388" s="22">
        <v>1</v>
      </c>
      <c r="Q388" s="22">
        <v>0</v>
      </c>
      <c r="R388" s="22">
        <v>0</v>
      </c>
      <c r="S388" s="22">
        <v>0</v>
      </c>
      <c r="T388" s="22">
        <v>0</v>
      </c>
      <c r="U388" s="22">
        <v>0</v>
      </c>
      <c r="V388" s="22">
        <v>0</v>
      </c>
      <c r="W388" s="64">
        <f t="shared" si="288"/>
        <v>0.30000000000000004</v>
      </c>
      <c r="Y388" s="8">
        <v>-0.39</v>
      </c>
      <c r="Z388" s="8">
        <v>0</v>
      </c>
      <c r="AA388" s="8">
        <v>0</v>
      </c>
      <c r="AB388" s="8">
        <v>0</v>
      </c>
      <c r="AC388" s="8">
        <v>0</v>
      </c>
      <c r="AD388" s="8">
        <f t="shared" si="289"/>
        <v>-0.39</v>
      </c>
      <c r="AE388" s="2" t="s">
        <v>91</v>
      </c>
      <c r="AG388" s="8">
        <v>0</v>
      </c>
      <c r="AH388" s="8">
        <v>0</v>
      </c>
      <c r="AJ388" s="70">
        <v>0</v>
      </c>
      <c r="AK388" s="70">
        <v>0</v>
      </c>
      <c r="AL388" s="72">
        <v>0</v>
      </c>
      <c r="AM388" s="22"/>
      <c r="AO388" s="22" t="s">
        <v>126</v>
      </c>
      <c r="AP388" s="23" t="s">
        <v>802</v>
      </c>
      <c r="AQ388" s="22" t="s">
        <v>100</v>
      </c>
      <c r="AR388" s="51" t="str">
        <f t="shared" si="285"/>
        <v>JD8B-1A514 -AA</v>
      </c>
      <c r="AS388" s="3"/>
      <c r="AT388" s="22">
        <v>1</v>
      </c>
      <c r="AU388" s="22">
        <v>1</v>
      </c>
      <c r="AV388" s="22">
        <v>0</v>
      </c>
      <c r="AW388" s="22">
        <v>0</v>
      </c>
      <c r="AX388" s="22">
        <v>0</v>
      </c>
      <c r="AY388" s="22">
        <v>0</v>
      </c>
      <c r="AZ388" s="22">
        <v>0</v>
      </c>
      <c r="BA388" s="22">
        <v>0</v>
      </c>
      <c r="BB388" s="64">
        <f t="shared" si="286"/>
        <v>0.30000000000000004</v>
      </c>
      <c r="BD388" s="8">
        <v>-0.39</v>
      </c>
      <c r="BE388" s="8">
        <v>0</v>
      </c>
      <c r="BF388" s="8">
        <v>0</v>
      </c>
      <c r="BG388" s="8">
        <v>0</v>
      </c>
      <c r="BH388" s="8">
        <v>0</v>
      </c>
      <c r="BI388" s="8">
        <f t="shared" ref="BI388" si="301">SUM(BD388:BH388)</f>
        <v>-0.39</v>
      </c>
      <c r="BJ388" s="2" t="s">
        <v>91</v>
      </c>
      <c r="BL388" s="70">
        <v>0</v>
      </c>
      <c r="BM388" s="70">
        <v>0</v>
      </c>
      <c r="BO388" s="70">
        <v>0</v>
      </c>
      <c r="BP388" s="70">
        <v>0</v>
      </c>
      <c r="BQ388" s="72">
        <v>0</v>
      </c>
      <c r="BS388" s="61">
        <f t="shared" si="284"/>
        <v>0</v>
      </c>
      <c r="BT388" s="61">
        <f t="shared" si="279"/>
        <v>0</v>
      </c>
      <c r="BU388" s="61">
        <f t="shared" si="280"/>
        <v>0</v>
      </c>
      <c r="BV388" s="61">
        <f t="shared" si="281"/>
        <v>0</v>
      </c>
      <c r="BW388" s="61">
        <f t="shared" si="281"/>
        <v>0</v>
      </c>
      <c r="BX388" s="61">
        <f t="shared" si="281"/>
        <v>0</v>
      </c>
      <c r="BY388" s="61" t="s">
        <v>91</v>
      </c>
      <c r="CA388" s="61">
        <f t="shared" si="273"/>
        <v>0</v>
      </c>
      <c r="CB388" s="61">
        <f t="shared" si="273"/>
        <v>0</v>
      </c>
      <c r="CC388" s="61">
        <f t="shared" si="273"/>
        <v>0</v>
      </c>
      <c r="CD388" s="61">
        <f t="shared" si="273"/>
        <v>0</v>
      </c>
      <c r="CE388" s="61">
        <f t="shared" si="273"/>
        <v>0</v>
      </c>
      <c r="CF388" s="61">
        <f t="shared" si="273"/>
        <v>0</v>
      </c>
      <c r="CG388" s="61">
        <f t="shared" si="273"/>
        <v>0</v>
      </c>
      <c r="CH388" s="61">
        <f t="shared" si="299"/>
        <v>0</v>
      </c>
      <c r="CI388" s="61">
        <f t="shared" si="266"/>
        <v>0</v>
      </c>
      <c r="CJ388" s="61"/>
      <c r="CK388" s="61">
        <f t="shared" si="274"/>
        <v>0</v>
      </c>
      <c r="CL388" s="61">
        <f t="shared" si="274"/>
        <v>0</v>
      </c>
      <c r="CM388" s="61">
        <f t="shared" si="274"/>
        <v>0</v>
      </c>
      <c r="CN388" s="61">
        <f t="shared" si="274"/>
        <v>0</v>
      </c>
      <c r="CO388" s="61">
        <f t="shared" si="274"/>
        <v>0</v>
      </c>
      <c r="CP388" s="61">
        <f t="shared" si="274"/>
        <v>0</v>
      </c>
      <c r="CQ388" s="61">
        <f t="shared" si="274"/>
        <v>0</v>
      </c>
      <c r="CR388" s="61">
        <f t="shared" si="300"/>
        <v>0</v>
      </c>
      <c r="CS388" s="61">
        <f t="shared" si="267"/>
        <v>0</v>
      </c>
      <c r="CT388" s="61">
        <f t="shared" si="268"/>
        <v>0</v>
      </c>
      <c r="CV388" s="61">
        <f t="shared" si="269"/>
        <v>0</v>
      </c>
      <c r="CW388" s="61">
        <f t="shared" ref="CW388" si="302">SUM(AH388)-SUM(BM388)</f>
        <v>0</v>
      </c>
      <c r="CX388" s="61"/>
      <c r="CY388" s="61">
        <f t="shared" ref="CY388" si="303">SUM(AJ388)-SUM(BO388)</f>
        <v>0</v>
      </c>
      <c r="CZ388" s="61">
        <f t="shared" si="271"/>
        <v>0</v>
      </c>
      <c r="DA388" s="61">
        <f t="shared" si="271"/>
        <v>0</v>
      </c>
      <c r="DB388" s="2" t="s">
        <v>102</v>
      </c>
      <c r="DC388" s="2" t="s">
        <v>85</v>
      </c>
      <c r="DD388" s="2" t="s">
        <v>142</v>
      </c>
      <c r="DE388" s="2" t="s">
        <v>181</v>
      </c>
      <c r="DF388" s="3" t="s">
        <v>86</v>
      </c>
      <c r="DG388" s="62">
        <v>43164</v>
      </c>
      <c r="EC388" s="60" t="str">
        <f>VLOOKUP($M388,[1]Detail!$M:$BO,1,0)</f>
        <v>JD8B-1A514 -AB</v>
      </c>
      <c r="ED388" s="60">
        <f>VLOOKUP($M388,[1]Detail!$M:$BO,22,0)</f>
        <v>-0.39</v>
      </c>
      <c r="EE388" s="60">
        <f>VLOOKUP($M388,[1]Detail!$M:$BO,42,0)</f>
        <v>0</v>
      </c>
      <c r="EF388" s="60">
        <f>VLOOKUP($M388,[1]Detail!$M:$BO,45,0)</f>
        <v>0</v>
      </c>
      <c r="EH388" s="60">
        <f t="shared" ref="EH388:EH394" si="304">ED388-AD388</f>
        <v>0</v>
      </c>
      <c r="EI388" s="60">
        <f t="shared" ref="EI388:EI394" si="305">EE388-AG388</f>
        <v>0</v>
      </c>
      <c r="EJ388" s="60">
        <f t="shared" ref="EJ388:EJ394" si="306">EF388-AJ388</f>
        <v>0</v>
      </c>
    </row>
    <row r="389" spans="2:140" ht="12.75" hidden="1" customHeight="1">
      <c r="B389" s="99" t="s">
        <v>798</v>
      </c>
      <c r="C389" s="22" t="s">
        <v>799</v>
      </c>
      <c r="D389" s="22" t="s">
        <v>800</v>
      </c>
      <c r="E389" s="2" t="str">
        <f>VLOOKUP($C389,[1]Detail!$C:$AK,6,0)</f>
        <v>PMT1</v>
      </c>
      <c r="F389" s="2" t="str">
        <f>VLOOKUP($C389,[1]Detail!$C:$AK,7,0)</f>
        <v>TH</v>
      </c>
      <c r="G389" s="2" t="str">
        <f>VLOOKUP($C389,[1]Detail!$C:$AK,5,0)</f>
        <v>D</v>
      </c>
      <c r="J389" s="22" t="s">
        <v>126</v>
      </c>
      <c r="K389" s="23" t="s">
        <v>802</v>
      </c>
      <c r="L389" s="22" t="s">
        <v>83</v>
      </c>
      <c r="M389" s="51" t="str">
        <f t="shared" si="287"/>
        <v>JD8B-1A514 -AAW</v>
      </c>
      <c r="O389" s="22">
        <v>0</v>
      </c>
      <c r="P389" s="22">
        <v>0</v>
      </c>
      <c r="Q389" s="22">
        <v>1</v>
      </c>
      <c r="R389" s="22">
        <v>1</v>
      </c>
      <c r="S389" s="22">
        <v>1</v>
      </c>
      <c r="T389" s="22">
        <v>1</v>
      </c>
      <c r="U389" s="22">
        <v>0</v>
      </c>
      <c r="V389" s="22">
        <v>0</v>
      </c>
      <c r="W389" s="64">
        <f t="shared" si="288"/>
        <v>0.6</v>
      </c>
      <c r="Y389" s="8">
        <v>-0.39</v>
      </c>
      <c r="Z389" s="8">
        <v>0</v>
      </c>
      <c r="AA389" s="8">
        <v>0</v>
      </c>
      <c r="AB389" s="8">
        <v>0</v>
      </c>
      <c r="AC389" s="8">
        <v>0</v>
      </c>
      <c r="AD389" s="8">
        <f t="shared" si="289"/>
        <v>-0.39</v>
      </c>
      <c r="AE389" s="2" t="s">
        <v>91</v>
      </c>
      <c r="AG389" s="8">
        <v>0</v>
      </c>
      <c r="AH389" s="8">
        <v>0</v>
      </c>
      <c r="AJ389" s="70">
        <v>0</v>
      </c>
      <c r="AK389" s="70">
        <v>0</v>
      </c>
      <c r="AL389" s="72">
        <v>0</v>
      </c>
      <c r="AM389" s="22"/>
      <c r="AO389" s="22" t="s">
        <v>128</v>
      </c>
      <c r="AP389" s="23" t="s">
        <v>802</v>
      </c>
      <c r="AQ389" s="22" t="s">
        <v>100</v>
      </c>
      <c r="AR389" s="51" t="str">
        <f t="shared" si="285"/>
        <v>ED8B-1A514 -AA</v>
      </c>
      <c r="AS389" s="3"/>
      <c r="AT389" s="22">
        <v>0</v>
      </c>
      <c r="AU389" s="22">
        <v>0</v>
      </c>
      <c r="AV389" s="22">
        <v>1</v>
      </c>
      <c r="AW389" s="22">
        <v>1</v>
      </c>
      <c r="AX389" s="22">
        <v>1</v>
      </c>
      <c r="AY389" s="22">
        <v>1</v>
      </c>
      <c r="AZ389" s="22">
        <v>0</v>
      </c>
      <c r="BA389" s="22">
        <v>0</v>
      </c>
      <c r="BB389" s="64">
        <f t="shared" si="286"/>
        <v>0.6</v>
      </c>
      <c r="BD389" s="60">
        <v>-0.19</v>
      </c>
      <c r="BE389" s="60">
        <v>0</v>
      </c>
      <c r="BF389" s="95">
        <v>0</v>
      </c>
      <c r="BG389" s="95">
        <v>0</v>
      </c>
      <c r="BH389" s="95">
        <v>0</v>
      </c>
      <c r="BI389" s="8">
        <f t="shared" si="272"/>
        <v>-0.19</v>
      </c>
      <c r="BJ389" s="2" t="s">
        <v>91</v>
      </c>
      <c r="BL389" s="70">
        <v>0</v>
      </c>
      <c r="BM389" s="70">
        <v>0</v>
      </c>
      <c r="BO389" s="70">
        <v>0</v>
      </c>
      <c r="BP389" s="70">
        <v>0</v>
      </c>
      <c r="BQ389" s="72">
        <v>0</v>
      </c>
      <c r="BS389" s="61">
        <f t="shared" si="284"/>
        <v>-0.2</v>
      </c>
      <c r="BT389" s="61">
        <f t="shared" si="279"/>
        <v>0</v>
      </c>
      <c r="BU389" s="61">
        <f t="shared" si="280"/>
        <v>0</v>
      </c>
      <c r="BV389" s="61">
        <f t="shared" si="281"/>
        <v>0</v>
      </c>
      <c r="BW389" s="61">
        <f t="shared" si="281"/>
        <v>0</v>
      </c>
      <c r="BX389" s="61">
        <f t="shared" si="281"/>
        <v>-0.2</v>
      </c>
      <c r="BY389" s="61" t="s">
        <v>91</v>
      </c>
      <c r="CA389" s="61">
        <f t="shared" si="273"/>
        <v>0</v>
      </c>
      <c r="CB389" s="61">
        <f t="shared" si="273"/>
        <v>0</v>
      </c>
      <c r="CC389" s="61">
        <f t="shared" si="273"/>
        <v>-3.0088761847449977E-2</v>
      </c>
      <c r="CD389" s="61">
        <f t="shared" si="273"/>
        <v>-3.0088761847449977E-2</v>
      </c>
      <c r="CE389" s="61">
        <f t="shared" si="273"/>
        <v>-3.0088761847449977E-2</v>
      </c>
      <c r="CF389" s="61">
        <f t="shared" si="273"/>
        <v>-3.0088761847449977E-2</v>
      </c>
      <c r="CG389" s="61">
        <f t="shared" si="273"/>
        <v>0</v>
      </c>
      <c r="CH389" s="61">
        <f t="shared" si="299"/>
        <v>0</v>
      </c>
      <c r="CI389" s="61">
        <f t="shared" si="266"/>
        <v>-1.8053257108469986E-2</v>
      </c>
      <c r="CJ389" s="61"/>
      <c r="CK389" s="61">
        <f t="shared" si="274"/>
        <v>0</v>
      </c>
      <c r="CL389" s="61">
        <f t="shared" si="274"/>
        <v>0</v>
      </c>
      <c r="CM389" s="61">
        <f t="shared" si="274"/>
        <v>-3.0088761847449977E-2</v>
      </c>
      <c r="CN389" s="61">
        <f t="shared" si="274"/>
        <v>-3.0088761847449977E-2</v>
      </c>
      <c r="CO389" s="61">
        <f t="shared" si="274"/>
        <v>-3.0088761847449977E-2</v>
      </c>
      <c r="CP389" s="61">
        <f t="shared" si="274"/>
        <v>-3.0088761847449977E-2</v>
      </c>
      <c r="CQ389" s="61">
        <f t="shared" si="274"/>
        <v>0</v>
      </c>
      <c r="CR389" s="61">
        <f t="shared" si="300"/>
        <v>0</v>
      </c>
      <c r="CS389" s="61">
        <f t="shared" si="267"/>
        <v>-1.8053257108469986E-2</v>
      </c>
      <c r="CT389" s="61">
        <f t="shared" si="268"/>
        <v>-0.12</v>
      </c>
      <c r="CV389" s="61">
        <f t="shared" si="269"/>
        <v>0</v>
      </c>
      <c r="CW389" s="61">
        <f t="shared" si="298"/>
        <v>0</v>
      </c>
      <c r="CX389" s="61"/>
      <c r="CY389" s="61">
        <f t="shared" si="294"/>
        <v>0</v>
      </c>
      <c r="CZ389" s="61">
        <f t="shared" si="271"/>
        <v>0</v>
      </c>
      <c r="DA389" s="61">
        <f t="shared" si="271"/>
        <v>0</v>
      </c>
      <c r="DB389" s="2" t="s">
        <v>102</v>
      </c>
      <c r="DC389" s="2" t="s">
        <v>102</v>
      </c>
      <c r="DD389" s="2" t="s">
        <v>142</v>
      </c>
      <c r="DE389" s="2" t="s">
        <v>181</v>
      </c>
      <c r="DF389" s="3" t="s">
        <v>86</v>
      </c>
      <c r="DG389" s="62">
        <v>42879</v>
      </c>
      <c r="EC389" s="60" t="str">
        <f>VLOOKUP($M389,[1]Detail!$M:$BO,1,0)</f>
        <v>JD8B-1A514 -AAW</v>
      </c>
      <c r="ED389" s="60">
        <f>VLOOKUP($M389,[1]Detail!$M:$BO,22,0)</f>
        <v>-0.39</v>
      </c>
      <c r="EE389" s="60">
        <f>VLOOKUP($M389,[1]Detail!$M:$BO,42,0)</f>
        <v>0</v>
      </c>
      <c r="EF389" s="60">
        <f>VLOOKUP($M389,[1]Detail!$M:$BO,45,0)</f>
        <v>0</v>
      </c>
      <c r="EH389" s="60">
        <f t="shared" si="304"/>
        <v>0</v>
      </c>
      <c r="EI389" s="60">
        <f t="shared" si="305"/>
        <v>0</v>
      </c>
      <c r="EJ389" s="60">
        <f t="shared" si="306"/>
        <v>0</v>
      </c>
    </row>
    <row r="390" spans="2:140" s="22" customFormat="1" ht="12.75" hidden="1" customHeight="1">
      <c r="B390" s="85" t="s">
        <v>798</v>
      </c>
      <c r="C390" s="22" t="s">
        <v>799</v>
      </c>
      <c r="D390" s="22" t="s">
        <v>800</v>
      </c>
      <c r="E390" s="22" t="str">
        <f>VLOOKUP($C390,[1]Detail!$C:$AK,6,0)</f>
        <v>PMT1</v>
      </c>
      <c r="F390" s="22" t="str">
        <f>VLOOKUP($C390,[1]Detail!$C:$AK,7,0)</f>
        <v>TH</v>
      </c>
      <c r="G390" s="22" t="str">
        <f>VLOOKUP($C390,[1]Detail!$C:$AK,5,0)</f>
        <v>D</v>
      </c>
      <c r="J390" s="22" t="s">
        <v>126</v>
      </c>
      <c r="K390" s="23" t="s">
        <v>802</v>
      </c>
      <c r="L390" s="22" t="s">
        <v>113</v>
      </c>
      <c r="M390" s="103" t="str">
        <f t="shared" si="287"/>
        <v>JD8B-1A514 -CA</v>
      </c>
      <c r="N390" s="24"/>
      <c r="O390" s="22"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1</v>
      </c>
      <c r="V390" s="22">
        <v>1</v>
      </c>
      <c r="W390" s="104">
        <f t="shared" si="288"/>
        <v>0.1</v>
      </c>
      <c r="Y390" s="105">
        <v>-0.39</v>
      </c>
      <c r="Z390" s="105">
        <v>0</v>
      </c>
      <c r="AA390" s="105">
        <v>0</v>
      </c>
      <c r="AB390" s="105">
        <v>0</v>
      </c>
      <c r="AC390" s="105">
        <v>0</v>
      </c>
      <c r="AD390" s="105">
        <f t="shared" si="289"/>
        <v>-0.39</v>
      </c>
      <c r="AE390" s="22" t="s">
        <v>91</v>
      </c>
      <c r="AG390" s="105">
        <v>0</v>
      </c>
      <c r="AH390" s="105">
        <v>0</v>
      </c>
      <c r="AJ390" s="106">
        <v>0</v>
      </c>
      <c r="AK390" s="106">
        <v>0</v>
      </c>
      <c r="AL390" s="107">
        <v>0</v>
      </c>
      <c r="AO390" s="22" t="s">
        <v>128</v>
      </c>
      <c r="AP390" s="23" t="s">
        <v>802</v>
      </c>
      <c r="AQ390" s="22" t="s">
        <v>100</v>
      </c>
      <c r="AR390" s="103" t="str">
        <f t="shared" si="285"/>
        <v>ED8B-1A514 -AA</v>
      </c>
      <c r="AS390" s="24"/>
      <c r="AT390" s="22">
        <v>0</v>
      </c>
      <c r="AU390" s="22">
        <v>0</v>
      </c>
      <c r="AV390" s="22">
        <v>0</v>
      </c>
      <c r="AW390" s="22">
        <v>0</v>
      </c>
      <c r="AX390" s="22">
        <v>0</v>
      </c>
      <c r="AY390" s="22">
        <v>0</v>
      </c>
      <c r="AZ390" s="22">
        <v>1</v>
      </c>
      <c r="BA390" s="22">
        <v>1</v>
      </c>
      <c r="BB390" s="104">
        <f t="shared" si="286"/>
        <v>0.1</v>
      </c>
      <c r="BD390" s="108">
        <v>-0.19</v>
      </c>
      <c r="BE390" s="108">
        <v>0</v>
      </c>
      <c r="BF390" s="109">
        <v>0</v>
      </c>
      <c r="BG390" s="109">
        <v>0</v>
      </c>
      <c r="BH390" s="109">
        <v>0</v>
      </c>
      <c r="BI390" s="105">
        <f t="shared" si="272"/>
        <v>-0.19</v>
      </c>
      <c r="BJ390" s="22" t="s">
        <v>91</v>
      </c>
      <c r="BL390" s="106">
        <v>0</v>
      </c>
      <c r="BM390" s="106">
        <v>0</v>
      </c>
      <c r="BO390" s="106">
        <v>0</v>
      </c>
      <c r="BP390" s="106">
        <v>0</v>
      </c>
      <c r="BQ390" s="107">
        <v>0</v>
      </c>
      <c r="BS390" s="110">
        <f t="shared" si="284"/>
        <v>-0.2</v>
      </c>
      <c r="BT390" s="110">
        <f t="shared" si="279"/>
        <v>0</v>
      </c>
      <c r="BU390" s="110">
        <f t="shared" si="280"/>
        <v>0</v>
      </c>
      <c r="BV390" s="110">
        <f t="shared" si="281"/>
        <v>0</v>
      </c>
      <c r="BW390" s="110">
        <f t="shared" si="281"/>
        <v>0</v>
      </c>
      <c r="BX390" s="110">
        <f t="shared" si="281"/>
        <v>-0.2</v>
      </c>
      <c r="BY390" s="110" t="s">
        <v>91</v>
      </c>
      <c r="CA390" s="110">
        <f t="shared" si="273"/>
        <v>0</v>
      </c>
      <c r="CB390" s="110">
        <f t="shared" si="273"/>
        <v>0</v>
      </c>
      <c r="CC390" s="110">
        <f t="shared" si="273"/>
        <v>0</v>
      </c>
      <c r="CD390" s="110">
        <f t="shared" si="273"/>
        <v>0</v>
      </c>
      <c r="CE390" s="110">
        <f t="shared" si="273"/>
        <v>0</v>
      </c>
      <c r="CF390" s="110">
        <f t="shared" si="273"/>
        <v>0</v>
      </c>
      <c r="CG390" s="110">
        <f t="shared" si="273"/>
        <v>-3.0088761847449977E-2</v>
      </c>
      <c r="CH390" s="110">
        <f t="shared" si="299"/>
        <v>-3.0088761847449977E-2</v>
      </c>
      <c r="CI390" s="110">
        <f t="shared" si="266"/>
        <v>-3.0088761847449977E-3</v>
      </c>
      <c r="CJ390" s="110"/>
      <c r="CK390" s="110">
        <f t="shared" si="274"/>
        <v>0</v>
      </c>
      <c r="CL390" s="110">
        <f t="shared" si="274"/>
        <v>0</v>
      </c>
      <c r="CM390" s="110">
        <f t="shared" si="274"/>
        <v>0</v>
      </c>
      <c r="CN390" s="110">
        <f t="shared" si="274"/>
        <v>0</v>
      </c>
      <c r="CO390" s="110">
        <f t="shared" si="274"/>
        <v>0</v>
      </c>
      <c r="CP390" s="110">
        <f t="shared" si="274"/>
        <v>0</v>
      </c>
      <c r="CQ390" s="110">
        <f t="shared" si="274"/>
        <v>-3.0088761847449977E-2</v>
      </c>
      <c r="CR390" s="110">
        <f t="shared" si="300"/>
        <v>-3.0088761847449977E-2</v>
      </c>
      <c r="CS390" s="110">
        <f t="shared" si="267"/>
        <v>-3.0088761847449977E-3</v>
      </c>
      <c r="CT390" s="110">
        <f t="shared" si="268"/>
        <v>-0.02</v>
      </c>
      <c r="CV390" s="110">
        <f t="shared" si="269"/>
        <v>0</v>
      </c>
      <c r="CW390" s="110">
        <f t="shared" si="298"/>
        <v>0</v>
      </c>
      <c r="CX390" s="110"/>
      <c r="CY390" s="110">
        <f t="shared" si="294"/>
        <v>0</v>
      </c>
      <c r="CZ390" s="110">
        <f t="shared" si="271"/>
        <v>0</v>
      </c>
      <c r="DA390" s="110">
        <f t="shared" si="271"/>
        <v>0</v>
      </c>
      <c r="DB390" s="22" t="s">
        <v>102</v>
      </c>
      <c r="DC390" s="22" t="s">
        <v>102</v>
      </c>
      <c r="DD390" s="22" t="s">
        <v>142</v>
      </c>
      <c r="DE390" s="22" t="s">
        <v>181</v>
      </c>
      <c r="DF390" s="24" t="s">
        <v>86</v>
      </c>
      <c r="DG390" s="111">
        <v>42879</v>
      </c>
      <c r="DZ390" s="24"/>
      <c r="EC390" s="60" t="str">
        <f>VLOOKUP($M390,[1]Detail!$M:$BO,1,0)</f>
        <v>JD8B-1A514 -CA</v>
      </c>
      <c r="ED390" s="60">
        <f>VLOOKUP($M390,[1]Detail!$M:$BO,22,0)</f>
        <v>-0.39</v>
      </c>
      <c r="EE390" s="60">
        <f>VLOOKUP($M390,[1]Detail!$M:$BO,42,0)</f>
        <v>0</v>
      </c>
      <c r="EF390" s="60">
        <f>VLOOKUP($M390,[1]Detail!$M:$BO,45,0)</f>
        <v>0</v>
      </c>
      <c r="EH390" s="60">
        <f t="shared" si="304"/>
        <v>0</v>
      </c>
      <c r="EI390" s="60">
        <f t="shared" si="305"/>
        <v>0</v>
      </c>
      <c r="EJ390" s="60">
        <f t="shared" si="306"/>
        <v>0</v>
      </c>
    </row>
    <row r="391" spans="2:140" ht="12.75" hidden="1" customHeight="1">
      <c r="B391" s="99" t="s">
        <v>804</v>
      </c>
      <c r="C391" s="22" t="s">
        <v>805</v>
      </c>
      <c r="D391" s="22" t="s">
        <v>806</v>
      </c>
      <c r="E391" s="2" t="str">
        <f>VLOOKUP($C391,[1]Detail!$C:$AK,6,0)</f>
        <v>PMT1</v>
      </c>
      <c r="F391" s="2" t="str">
        <f>VLOOKUP($C391,[1]Detail!$C:$AK,7,0)</f>
        <v>TH</v>
      </c>
      <c r="G391" s="2" t="str">
        <f>VLOOKUP($C391,[1]Detail!$C:$AK,5,0)</f>
        <v>B</v>
      </c>
      <c r="J391" s="22" t="s">
        <v>770</v>
      </c>
      <c r="K391" s="23" t="s">
        <v>807</v>
      </c>
      <c r="L391" s="22" t="s">
        <v>151</v>
      </c>
      <c r="M391" s="51" t="str">
        <f t="shared" si="287"/>
        <v>ED8B -F29700 -AG</v>
      </c>
      <c r="O391" s="22">
        <v>1</v>
      </c>
      <c r="P391" s="22">
        <v>1</v>
      </c>
      <c r="Q391" s="22">
        <v>1</v>
      </c>
      <c r="R391" s="22">
        <v>1</v>
      </c>
      <c r="S391" s="22">
        <v>1</v>
      </c>
      <c r="T391" s="22">
        <v>1</v>
      </c>
      <c r="U391" s="22">
        <v>0</v>
      </c>
      <c r="V391" s="22">
        <v>0</v>
      </c>
      <c r="W391" s="64">
        <f t="shared" si="288"/>
        <v>0.9</v>
      </c>
      <c r="Y391" s="8">
        <v>-67.22</v>
      </c>
      <c r="Z391" s="8">
        <v>-1.3377567916048601</v>
      </c>
      <c r="AA391" s="8">
        <v>-0.375</v>
      </c>
      <c r="AB391" s="8">
        <v>0</v>
      </c>
      <c r="AC391" s="8">
        <v>0</v>
      </c>
      <c r="AD391" s="8">
        <f>SUM(Y394:AC394)</f>
        <v>-42.509875882150361</v>
      </c>
      <c r="AE391" s="2" t="s">
        <v>91</v>
      </c>
      <c r="AG391" s="8">
        <v>-495000</v>
      </c>
      <c r="AH391" s="8">
        <v>-495000</v>
      </c>
      <c r="AI391" s="6"/>
      <c r="AJ391" s="70">
        <v>0</v>
      </c>
      <c r="AK391" s="70">
        <v>0</v>
      </c>
      <c r="AL391" s="72">
        <v>0</v>
      </c>
      <c r="AM391" s="22"/>
      <c r="AO391" s="22" t="s">
        <v>770</v>
      </c>
      <c r="AP391" s="23" t="s">
        <v>807</v>
      </c>
      <c r="AQ391" s="22" t="s">
        <v>151</v>
      </c>
      <c r="AR391" s="51" t="str">
        <f t="shared" si="285"/>
        <v>ED8B -F29700 -AG</v>
      </c>
      <c r="AS391" s="3"/>
      <c r="AT391" s="22">
        <v>1</v>
      </c>
      <c r="AU391" s="22">
        <v>1</v>
      </c>
      <c r="AV391" s="22">
        <v>1</v>
      </c>
      <c r="AW391" s="22">
        <v>1</v>
      </c>
      <c r="AX391" s="22">
        <v>1</v>
      </c>
      <c r="AY391" s="22">
        <v>1</v>
      </c>
      <c r="AZ391" s="22">
        <v>0</v>
      </c>
      <c r="BA391" s="22">
        <v>0</v>
      </c>
      <c r="BB391" s="64">
        <f t="shared" si="286"/>
        <v>0.9</v>
      </c>
      <c r="BD391" s="60">
        <v>-58.087243208395137</v>
      </c>
      <c r="BE391" s="60">
        <v>-1.3377567916048601</v>
      </c>
      <c r="BF391" s="95">
        <v>-0.375</v>
      </c>
      <c r="BG391" s="95">
        <v>0</v>
      </c>
      <c r="BH391" s="95">
        <v>0</v>
      </c>
      <c r="BI391" s="8">
        <f t="shared" si="272"/>
        <v>-59.8</v>
      </c>
      <c r="BJ391" s="2" t="s">
        <v>91</v>
      </c>
      <c r="BL391" s="70">
        <v>0</v>
      </c>
      <c r="BM391" s="70">
        <v>0</v>
      </c>
      <c r="BO391" s="70">
        <v>0</v>
      </c>
      <c r="BP391" s="70">
        <v>0</v>
      </c>
      <c r="BQ391" s="72">
        <v>0</v>
      </c>
      <c r="BS391" s="61">
        <f t="shared" si="284"/>
        <v>-9.1327567916048622</v>
      </c>
      <c r="BT391" s="61">
        <f t="shared" ref="BT391:BT422" si="307">SUM(Z391)-SUM(BE391)</f>
        <v>0</v>
      </c>
      <c r="BU391" s="61">
        <f t="shared" ref="BU391:BU422" si="308">SUM(AA391)-SUM(BF391)</f>
        <v>0</v>
      </c>
      <c r="BV391" s="61">
        <f t="shared" ref="BV391:BW422" si="309">SUM(AB391)-SUM(BG391)</f>
        <v>0</v>
      </c>
      <c r="BW391" s="61">
        <f t="shared" si="309"/>
        <v>0</v>
      </c>
      <c r="BX391" s="61">
        <f>SUM(AD394)-SUM(BI391)</f>
        <v>-9.1327567916048622</v>
      </c>
      <c r="BY391" s="61" t="s">
        <v>91</v>
      </c>
      <c r="CA391" s="61">
        <f t="shared" si="273"/>
        <v>-1.3739667205664001</v>
      </c>
      <c r="CB391" s="61">
        <f t="shared" si="273"/>
        <v>-1.3739667205664001</v>
      </c>
      <c r="CC391" s="61">
        <f t="shared" si="273"/>
        <v>-1.3739667205664001</v>
      </c>
      <c r="CD391" s="61">
        <f t="shared" si="273"/>
        <v>-1.3739667205664001</v>
      </c>
      <c r="CE391" s="61">
        <f t="shared" si="273"/>
        <v>-1.3739667205664001</v>
      </c>
      <c r="CF391" s="61">
        <f t="shared" si="273"/>
        <v>-1.3739667205664001</v>
      </c>
      <c r="CG391" s="61">
        <f t="shared" si="273"/>
        <v>0</v>
      </c>
      <c r="CH391" s="61">
        <f t="shared" si="299"/>
        <v>0</v>
      </c>
      <c r="CI391" s="61">
        <f t="shared" ref="CI391:CI454" si="310">SUMPRODUCT(CA391:CH391,$O$6:$V$6)</f>
        <v>-1.2365700485097602</v>
      </c>
      <c r="CJ391" s="61"/>
      <c r="CK391" s="61">
        <f t="shared" ref="CK391:CR391" si="311">(O391*$AD394-AT391*$BI391)/$C$2</f>
        <v>-1.3739667205664001</v>
      </c>
      <c r="CL391" s="61">
        <f t="shared" si="311"/>
        <v>-1.3739667205664001</v>
      </c>
      <c r="CM391" s="61">
        <f t="shared" si="311"/>
        <v>-1.3739667205664001</v>
      </c>
      <c r="CN391" s="61">
        <f t="shared" si="311"/>
        <v>-1.3739667205664001</v>
      </c>
      <c r="CO391" s="61">
        <f t="shared" si="311"/>
        <v>-1.3739667205664001</v>
      </c>
      <c r="CP391" s="61">
        <f t="shared" si="311"/>
        <v>-1.3739667205664001</v>
      </c>
      <c r="CQ391" s="61">
        <f t="shared" si="311"/>
        <v>0</v>
      </c>
      <c r="CR391" s="61">
        <f t="shared" si="311"/>
        <v>0</v>
      </c>
      <c r="CS391" s="61">
        <f t="shared" ref="CS391:CS454" si="312">SUMPRODUCT(CK391:CR391,$O$6:$V$6)</f>
        <v>-1.2365700485097602</v>
      </c>
      <c r="CT391" s="61">
        <f t="shared" ref="CT391:CT454" si="313">CS391*$C$2</f>
        <v>-8.2194811124443756</v>
      </c>
      <c r="CV391" s="61">
        <f t="shared" ref="CV391:CV454" si="314">SUM(AG391)-SUM(BL391)</f>
        <v>-495000</v>
      </c>
      <c r="CW391" s="61">
        <f t="shared" si="298"/>
        <v>-495000</v>
      </c>
      <c r="CX391" s="61"/>
      <c r="CY391" s="61">
        <f t="shared" si="294"/>
        <v>0</v>
      </c>
      <c r="CZ391" s="61">
        <f t="shared" si="271"/>
        <v>0</v>
      </c>
      <c r="DA391" s="61">
        <f t="shared" si="271"/>
        <v>0</v>
      </c>
      <c r="DB391" s="2" t="s">
        <v>102</v>
      </c>
      <c r="DC391" s="2" t="s">
        <v>102</v>
      </c>
      <c r="DD391" s="2" t="s">
        <v>142</v>
      </c>
      <c r="DE391" s="2" t="s">
        <v>181</v>
      </c>
      <c r="DF391" s="3" t="s">
        <v>86</v>
      </c>
      <c r="DG391" s="62">
        <v>42845</v>
      </c>
      <c r="EC391" s="60" t="str">
        <f>VLOOKUP($M391,[1]Detail!$M:$BO,1,0)</f>
        <v>ED8B -F29700 -AG</v>
      </c>
      <c r="ED391" s="60">
        <f>VLOOKUP($M391,[1]Detail!$M:$BO,22,0)</f>
        <v>-42.509875882150361</v>
      </c>
      <c r="EE391" s="60">
        <f>VLOOKUP($M391,[1]Detail!$M:$BO,42,0)</f>
        <v>-495000</v>
      </c>
      <c r="EF391" s="60">
        <f>VLOOKUP($M391,[1]Detail!$M:$BO,45,0)</f>
        <v>0</v>
      </c>
      <c r="EH391" s="60">
        <f t="shared" si="304"/>
        <v>0</v>
      </c>
      <c r="EI391" s="60">
        <f t="shared" si="305"/>
        <v>0</v>
      </c>
      <c r="EJ391" s="60">
        <f t="shared" si="306"/>
        <v>0</v>
      </c>
    </row>
    <row r="392" spans="2:140" ht="12.75" hidden="1" customHeight="1">
      <c r="B392" s="99" t="s">
        <v>804</v>
      </c>
      <c r="C392" s="22" t="s">
        <v>805</v>
      </c>
      <c r="D392" s="22" t="s">
        <v>806</v>
      </c>
      <c r="E392" s="2" t="str">
        <f>VLOOKUP($C392,[1]Detail!$C:$AK,6,0)</f>
        <v>PMT1</v>
      </c>
      <c r="F392" s="2" t="str">
        <f>VLOOKUP($C392,[1]Detail!$C:$AK,7,0)</f>
        <v>TH</v>
      </c>
      <c r="G392" s="2" t="str">
        <f>VLOOKUP($C392,[1]Detail!$C:$AK,5,0)</f>
        <v>B</v>
      </c>
      <c r="J392" s="22" t="s">
        <v>767</v>
      </c>
      <c r="K392" s="23" t="s">
        <v>807</v>
      </c>
      <c r="L392" s="22" t="s">
        <v>100</v>
      </c>
      <c r="M392" s="51" t="str">
        <f t="shared" si="287"/>
        <v>JD8B -F29700 -AA</v>
      </c>
      <c r="O392" s="22">
        <v>0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1</v>
      </c>
      <c r="V392" s="22">
        <v>1</v>
      </c>
      <c r="W392" s="64">
        <f t="shared" si="288"/>
        <v>0.1</v>
      </c>
      <c r="Y392" s="8">
        <v>-67.22</v>
      </c>
      <c r="Z392" s="8">
        <v>-1.3377567916048601</v>
      </c>
      <c r="AA392" s="8">
        <v>-0.375</v>
      </c>
      <c r="AB392" s="8">
        <v>0</v>
      </c>
      <c r="AC392" s="8">
        <v>0</v>
      </c>
      <c r="AD392" s="8">
        <f>SUM(Y392:AC392)</f>
        <v>-68.932756791604859</v>
      </c>
      <c r="AE392" s="2" t="s">
        <v>91</v>
      </c>
      <c r="AG392" s="8">
        <v>0</v>
      </c>
      <c r="AH392" s="8">
        <v>0</v>
      </c>
      <c r="AJ392" s="70">
        <v>0</v>
      </c>
      <c r="AK392" s="70">
        <v>0</v>
      </c>
      <c r="AL392" s="72">
        <v>0</v>
      </c>
      <c r="AM392" s="22" t="s">
        <v>808</v>
      </c>
      <c r="AO392" s="22" t="s">
        <v>770</v>
      </c>
      <c r="AP392" s="23" t="s">
        <v>807</v>
      </c>
      <c r="AQ392" s="22" t="s">
        <v>809</v>
      </c>
      <c r="AR392" s="51" t="str">
        <f t="shared" si="285"/>
        <v>ED8B -F29700 -BG</v>
      </c>
      <c r="AS392" s="3"/>
      <c r="AT392" s="22">
        <v>0</v>
      </c>
      <c r="AU392" s="22">
        <v>0</v>
      </c>
      <c r="AV392" s="22">
        <v>0</v>
      </c>
      <c r="AW392" s="22">
        <v>0</v>
      </c>
      <c r="AX392" s="22">
        <v>0</v>
      </c>
      <c r="AY392" s="22">
        <v>0</v>
      </c>
      <c r="AZ392" s="22">
        <v>1</v>
      </c>
      <c r="BA392" s="22">
        <v>1</v>
      </c>
      <c r="BB392" s="64">
        <f t="shared" si="286"/>
        <v>0.1</v>
      </c>
      <c r="BD392" s="60">
        <v>-58.087243208395137</v>
      </c>
      <c r="BE392" s="60">
        <v>-1.3377567916048601</v>
      </c>
      <c r="BF392" s="95">
        <v>-0.375</v>
      </c>
      <c r="BG392" s="95">
        <v>0</v>
      </c>
      <c r="BH392" s="95">
        <v>0</v>
      </c>
      <c r="BI392" s="8">
        <f t="shared" si="272"/>
        <v>-59.8</v>
      </c>
      <c r="BJ392" s="2" t="s">
        <v>91</v>
      </c>
      <c r="BL392" s="70">
        <v>0</v>
      </c>
      <c r="BM392" s="70">
        <v>0</v>
      </c>
      <c r="BO392" s="70">
        <v>0</v>
      </c>
      <c r="BP392" s="70">
        <v>0</v>
      </c>
      <c r="BQ392" s="72">
        <v>0</v>
      </c>
      <c r="BS392" s="61">
        <f t="shared" ref="BS392:BS423" si="315">SUM(Y392)-SUM(BD392)</f>
        <v>-9.1327567916048622</v>
      </c>
      <c r="BT392" s="61">
        <f t="shared" si="307"/>
        <v>0</v>
      </c>
      <c r="BU392" s="61">
        <f t="shared" si="308"/>
        <v>0</v>
      </c>
      <c r="BV392" s="61">
        <f t="shared" si="309"/>
        <v>0</v>
      </c>
      <c r="BW392" s="61">
        <f t="shared" si="309"/>
        <v>0</v>
      </c>
      <c r="BX392" s="61">
        <f>SUM(AD392)-SUM(BI392)</f>
        <v>-9.1327567916048622</v>
      </c>
      <c r="BY392" s="61" t="s">
        <v>91</v>
      </c>
      <c r="CA392" s="61">
        <f t="shared" si="273"/>
        <v>0</v>
      </c>
      <c r="CB392" s="61">
        <f t="shared" si="273"/>
        <v>0</v>
      </c>
      <c r="CC392" s="61">
        <f t="shared" si="273"/>
        <v>0</v>
      </c>
      <c r="CD392" s="61">
        <f t="shared" si="273"/>
        <v>0</v>
      </c>
      <c r="CE392" s="61">
        <f t="shared" si="273"/>
        <v>0</v>
      </c>
      <c r="CF392" s="61">
        <f t="shared" si="273"/>
        <v>0</v>
      </c>
      <c r="CG392" s="61">
        <f t="shared" si="273"/>
        <v>-1.3739667205664001</v>
      </c>
      <c r="CH392" s="61">
        <f t="shared" si="299"/>
        <v>-1.3739667205664001</v>
      </c>
      <c r="CI392" s="61">
        <f t="shared" si="310"/>
        <v>-0.13739667205664002</v>
      </c>
      <c r="CJ392" s="61"/>
      <c r="CK392" s="61">
        <f t="shared" ref="CK392:CR393" si="316">(O392*$AD392-AT392*$BI392)/$C$2</f>
        <v>0</v>
      </c>
      <c r="CL392" s="61">
        <f t="shared" si="316"/>
        <v>0</v>
      </c>
      <c r="CM392" s="61">
        <f t="shared" si="316"/>
        <v>0</v>
      </c>
      <c r="CN392" s="61">
        <f t="shared" si="316"/>
        <v>0</v>
      </c>
      <c r="CO392" s="61">
        <f t="shared" si="316"/>
        <v>0</v>
      </c>
      <c r="CP392" s="61">
        <f t="shared" si="316"/>
        <v>0</v>
      </c>
      <c r="CQ392" s="61">
        <f t="shared" si="316"/>
        <v>-1.3739667205664001</v>
      </c>
      <c r="CR392" s="61">
        <f t="shared" si="316"/>
        <v>-1.3739667205664001</v>
      </c>
      <c r="CS392" s="61">
        <f t="shared" si="312"/>
        <v>-0.13739667205664002</v>
      </c>
      <c r="CT392" s="61">
        <f t="shared" si="313"/>
        <v>-0.91327567916048624</v>
      </c>
      <c r="CV392" s="61">
        <f t="shared" si="314"/>
        <v>0</v>
      </c>
      <c r="CW392" s="61">
        <f t="shared" si="298"/>
        <v>0</v>
      </c>
      <c r="CX392" s="61"/>
      <c r="CY392" s="61">
        <f t="shared" si="294"/>
        <v>0</v>
      </c>
      <c r="CZ392" s="61">
        <f t="shared" si="271"/>
        <v>0</v>
      </c>
      <c r="DA392" s="61">
        <f t="shared" si="271"/>
        <v>0</v>
      </c>
      <c r="DB392" s="2" t="s">
        <v>102</v>
      </c>
      <c r="DC392" s="2" t="s">
        <v>102</v>
      </c>
      <c r="DD392" s="2" t="s">
        <v>142</v>
      </c>
      <c r="DE392" s="2" t="s">
        <v>181</v>
      </c>
      <c r="DF392" s="3" t="s">
        <v>86</v>
      </c>
      <c r="DG392" s="62">
        <v>42845</v>
      </c>
      <c r="EC392" s="60" t="str">
        <f>VLOOKUP($M392,[1]Detail!$M:$BO,1,0)</f>
        <v>JD8B -F29700 -AA</v>
      </c>
      <c r="ED392" s="60">
        <f>VLOOKUP($M392,[1]Detail!$M:$BO,22,0)</f>
        <v>-68.932756791604859</v>
      </c>
      <c r="EE392" s="60">
        <f>VLOOKUP($M392,[1]Detail!$M:$BO,42,0)</f>
        <v>0</v>
      </c>
      <c r="EF392" s="60">
        <f>VLOOKUP($M392,[1]Detail!$M:$BO,45,0)</f>
        <v>0</v>
      </c>
      <c r="EH392" s="60">
        <f t="shared" si="304"/>
        <v>0</v>
      </c>
      <c r="EI392" s="60">
        <f t="shared" si="305"/>
        <v>0</v>
      </c>
      <c r="EJ392" s="60">
        <f t="shared" si="306"/>
        <v>0</v>
      </c>
    </row>
    <row r="393" spans="2:140" ht="12.75" hidden="1" customHeight="1">
      <c r="B393" s="99" t="s">
        <v>804</v>
      </c>
      <c r="C393" s="22" t="s">
        <v>805</v>
      </c>
      <c r="D393" s="22" t="s">
        <v>806</v>
      </c>
      <c r="E393" s="2" t="str">
        <f>VLOOKUP($C393,[1]Detail!$C:$AK,6,0)</f>
        <v>PMT1</v>
      </c>
      <c r="F393" s="2" t="str">
        <f>VLOOKUP($C393,[1]Detail!$C:$AK,7,0)</f>
        <v>TH</v>
      </c>
      <c r="G393" s="2" t="str">
        <f>VLOOKUP($C393,[1]Detail!$C:$AK,5,0)</f>
        <v>B</v>
      </c>
      <c r="J393" s="22" t="s">
        <v>770</v>
      </c>
      <c r="K393" s="23" t="s">
        <v>810</v>
      </c>
      <c r="L393" s="22" t="s">
        <v>151</v>
      </c>
      <c r="M393" s="51" t="str">
        <f t="shared" si="287"/>
        <v>ED8B -F29701 -AG</v>
      </c>
      <c r="O393" s="22">
        <v>1</v>
      </c>
      <c r="P393" s="22">
        <v>1</v>
      </c>
      <c r="Q393" s="22">
        <v>1</v>
      </c>
      <c r="R393" s="22">
        <v>1</v>
      </c>
      <c r="S393" s="22">
        <v>1</v>
      </c>
      <c r="T393" s="22">
        <v>1</v>
      </c>
      <c r="U393" s="22">
        <v>0</v>
      </c>
      <c r="V393" s="22">
        <v>0</v>
      </c>
      <c r="W393" s="64">
        <f t="shared" si="288"/>
        <v>0.9</v>
      </c>
      <c r="Y393" s="8">
        <v>-40.7971190905455</v>
      </c>
      <c r="Z393" s="8">
        <v>-1.3377567916048601</v>
      </c>
      <c r="AA393" s="8">
        <v>-0.375</v>
      </c>
      <c r="AB393" s="8">
        <v>0</v>
      </c>
      <c r="AC393" s="8">
        <v>0</v>
      </c>
      <c r="AD393" s="8">
        <f>SUM(Y393:AC393)</f>
        <v>-42.509875882150361</v>
      </c>
      <c r="AE393" s="2" t="s">
        <v>91</v>
      </c>
      <c r="AG393" s="8">
        <v>-495000</v>
      </c>
      <c r="AH393" s="8">
        <v>-495000</v>
      </c>
      <c r="AI393" s="6"/>
      <c r="AJ393" s="70">
        <v>0</v>
      </c>
      <c r="AK393" s="70">
        <v>0</v>
      </c>
      <c r="AL393" s="72">
        <v>0</v>
      </c>
      <c r="AM393" s="22"/>
      <c r="AO393" s="22" t="s">
        <v>770</v>
      </c>
      <c r="AP393" s="23" t="s">
        <v>810</v>
      </c>
      <c r="AQ393" s="22" t="s">
        <v>151</v>
      </c>
      <c r="AR393" s="51" t="str">
        <f t="shared" si="285"/>
        <v>ED8B -F29701 -AG</v>
      </c>
      <c r="AS393" s="3"/>
      <c r="AT393" s="22">
        <v>1</v>
      </c>
      <c r="AU393" s="22">
        <v>1</v>
      </c>
      <c r="AV393" s="22">
        <v>1</v>
      </c>
      <c r="AW393" s="22">
        <v>1</v>
      </c>
      <c r="AX393" s="22">
        <v>1</v>
      </c>
      <c r="AY393" s="22">
        <v>1</v>
      </c>
      <c r="AZ393" s="22">
        <v>0</v>
      </c>
      <c r="BA393" s="22">
        <v>0</v>
      </c>
      <c r="BB393" s="64">
        <f t="shared" si="286"/>
        <v>0.9</v>
      </c>
      <c r="BD393" s="60">
        <v>-40.7971190905455</v>
      </c>
      <c r="BE393" s="60">
        <v>-1.3377567916048601</v>
      </c>
      <c r="BF393" s="95">
        <v>-0.375</v>
      </c>
      <c r="BG393" s="95">
        <v>0</v>
      </c>
      <c r="BH393" s="95">
        <v>0</v>
      </c>
      <c r="BI393" s="8">
        <f t="shared" si="272"/>
        <v>-42.509875882150361</v>
      </c>
      <c r="BJ393" s="2" t="s">
        <v>91</v>
      </c>
      <c r="BL393" s="70">
        <v>0</v>
      </c>
      <c r="BM393" s="70">
        <v>0</v>
      </c>
      <c r="BO393" s="70">
        <v>0</v>
      </c>
      <c r="BP393" s="70">
        <v>0</v>
      </c>
      <c r="BQ393" s="72">
        <v>0</v>
      </c>
      <c r="BS393" s="61">
        <f t="shared" si="315"/>
        <v>0</v>
      </c>
      <c r="BT393" s="61">
        <f t="shared" si="307"/>
        <v>0</v>
      </c>
      <c r="BU393" s="61">
        <f t="shared" si="308"/>
        <v>0</v>
      </c>
      <c r="BV393" s="61">
        <f t="shared" si="309"/>
        <v>0</v>
      </c>
      <c r="BW393" s="61">
        <f t="shared" si="309"/>
        <v>0</v>
      </c>
      <c r="BX393" s="61">
        <f>SUM(AD393)-SUM(BI393)</f>
        <v>0</v>
      </c>
      <c r="BY393" s="61" t="s">
        <v>91</v>
      </c>
      <c r="CA393" s="61">
        <f t="shared" si="273"/>
        <v>0</v>
      </c>
      <c r="CB393" s="61">
        <f t="shared" si="273"/>
        <v>0</v>
      </c>
      <c r="CC393" s="61">
        <f t="shared" si="273"/>
        <v>0</v>
      </c>
      <c r="CD393" s="61">
        <f t="shared" si="273"/>
        <v>0</v>
      </c>
      <c r="CE393" s="61">
        <f t="shared" si="273"/>
        <v>0</v>
      </c>
      <c r="CF393" s="61">
        <f t="shared" si="273"/>
        <v>0</v>
      </c>
      <c r="CG393" s="61">
        <f t="shared" si="273"/>
        <v>0</v>
      </c>
      <c r="CH393" s="61">
        <f t="shared" si="299"/>
        <v>0</v>
      </c>
      <c r="CI393" s="61">
        <f t="shared" si="310"/>
        <v>0</v>
      </c>
      <c r="CJ393" s="61"/>
      <c r="CK393" s="61">
        <f t="shared" si="316"/>
        <v>0</v>
      </c>
      <c r="CL393" s="61">
        <f t="shared" si="316"/>
        <v>0</v>
      </c>
      <c r="CM393" s="61">
        <f t="shared" si="316"/>
        <v>0</v>
      </c>
      <c r="CN393" s="61">
        <f t="shared" si="316"/>
        <v>0</v>
      </c>
      <c r="CO393" s="61">
        <f t="shared" si="316"/>
        <v>0</v>
      </c>
      <c r="CP393" s="61">
        <f t="shared" si="316"/>
        <v>0</v>
      </c>
      <c r="CQ393" s="61">
        <f t="shared" si="316"/>
        <v>0</v>
      </c>
      <c r="CR393" s="61">
        <f t="shared" si="316"/>
        <v>0</v>
      </c>
      <c r="CS393" s="61">
        <f t="shared" si="312"/>
        <v>0</v>
      </c>
      <c r="CT393" s="61">
        <f t="shared" si="313"/>
        <v>0</v>
      </c>
      <c r="CV393" s="61">
        <f t="shared" si="314"/>
        <v>-495000</v>
      </c>
      <c r="CW393" s="61">
        <f t="shared" si="298"/>
        <v>-495000</v>
      </c>
      <c r="CX393" s="61"/>
      <c r="CY393" s="61">
        <f t="shared" si="294"/>
        <v>0</v>
      </c>
      <c r="CZ393" s="61">
        <f t="shared" si="271"/>
        <v>0</v>
      </c>
      <c r="DA393" s="61">
        <f t="shared" si="271"/>
        <v>0</v>
      </c>
      <c r="DB393" s="2" t="s">
        <v>102</v>
      </c>
      <c r="DC393" s="2" t="s">
        <v>102</v>
      </c>
      <c r="DD393" s="2" t="s">
        <v>142</v>
      </c>
      <c r="DE393" s="2" t="s">
        <v>181</v>
      </c>
      <c r="DF393" s="3" t="s">
        <v>86</v>
      </c>
      <c r="DG393" s="62">
        <v>42845</v>
      </c>
      <c r="EC393" s="60" t="str">
        <f>VLOOKUP($M393,[1]Detail!$M:$BO,1,0)</f>
        <v>ED8B -F29701 -AG</v>
      </c>
      <c r="ED393" s="60">
        <f>VLOOKUP($M393,[1]Detail!$M:$BO,22,0)</f>
        <v>-42.509875882150361</v>
      </c>
      <c r="EE393" s="60">
        <f>VLOOKUP($M393,[1]Detail!$M:$BO,42,0)</f>
        <v>-495000</v>
      </c>
      <c r="EF393" s="60">
        <f>VLOOKUP($M393,[1]Detail!$M:$BO,45,0)</f>
        <v>0</v>
      </c>
      <c r="EH393" s="60">
        <f t="shared" si="304"/>
        <v>0</v>
      </c>
      <c r="EI393" s="60">
        <f t="shared" si="305"/>
        <v>0</v>
      </c>
      <c r="EJ393" s="60">
        <f t="shared" si="306"/>
        <v>0</v>
      </c>
    </row>
    <row r="394" spans="2:140" ht="12.75" hidden="1" customHeight="1">
      <c r="B394" s="99" t="s">
        <v>804</v>
      </c>
      <c r="C394" s="22" t="s">
        <v>805</v>
      </c>
      <c r="D394" s="22" t="s">
        <v>806</v>
      </c>
      <c r="E394" s="2" t="str">
        <f>VLOOKUP($C394,[1]Detail!$C:$AK,6,0)</f>
        <v>PMT1</v>
      </c>
      <c r="F394" s="2" t="str">
        <f>VLOOKUP($C394,[1]Detail!$C:$AK,7,0)</f>
        <v>TH</v>
      </c>
      <c r="G394" s="2" t="str">
        <f>VLOOKUP($C394,[1]Detail!$C:$AK,5,0)</f>
        <v>B</v>
      </c>
      <c r="J394" s="22" t="s">
        <v>767</v>
      </c>
      <c r="K394" s="23" t="s">
        <v>810</v>
      </c>
      <c r="L394" s="22" t="s">
        <v>100</v>
      </c>
      <c r="M394" s="51" t="str">
        <f t="shared" si="287"/>
        <v>JD8B -F29701 -AA</v>
      </c>
      <c r="O394" s="22">
        <v>0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1</v>
      </c>
      <c r="V394" s="22">
        <v>1</v>
      </c>
      <c r="W394" s="64">
        <f t="shared" si="288"/>
        <v>0.1</v>
      </c>
      <c r="Y394" s="8">
        <v>-40.7971190905455</v>
      </c>
      <c r="Z394" s="8">
        <v>-1.3377567916048601</v>
      </c>
      <c r="AA394" s="8">
        <v>-0.375</v>
      </c>
      <c r="AB394" s="8">
        <v>0</v>
      </c>
      <c r="AC394" s="8">
        <v>0</v>
      </c>
      <c r="AD394" s="8">
        <f>SUM(Y391:AC391)</f>
        <v>-68.932756791604859</v>
      </c>
      <c r="AE394" s="2" t="s">
        <v>91</v>
      </c>
      <c r="AG394" s="8">
        <v>0</v>
      </c>
      <c r="AH394" s="8">
        <v>0</v>
      </c>
      <c r="AJ394" s="70">
        <v>0</v>
      </c>
      <c r="AK394" s="70">
        <v>0</v>
      </c>
      <c r="AL394" s="72">
        <v>0</v>
      </c>
      <c r="AM394" s="22"/>
      <c r="AO394" s="22" t="s">
        <v>770</v>
      </c>
      <c r="AP394" s="23" t="s">
        <v>810</v>
      </c>
      <c r="AQ394" s="22" t="s">
        <v>809</v>
      </c>
      <c r="AR394" s="51" t="str">
        <f t="shared" si="285"/>
        <v>ED8B -F29701 -BG</v>
      </c>
      <c r="AS394" s="3"/>
      <c r="AT394" s="22">
        <v>0</v>
      </c>
      <c r="AU394" s="22">
        <v>0</v>
      </c>
      <c r="AV394" s="22">
        <v>0</v>
      </c>
      <c r="AW394" s="22">
        <v>0</v>
      </c>
      <c r="AX394" s="22">
        <v>0</v>
      </c>
      <c r="AY394" s="22">
        <v>0</v>
      </c>
      <c r="AZ394" s="22">
        <v>1</v>
      </c>
      <c r="BA394" s="22">
        <v>1</v>
      </c>
      <c r="BB394" s="64">
        <f t="shared" si="286"/>
        <v>0.1</v>
      </c>
      <c r="BD394" s="60">
        <v>-40.7971190905455</v>
      </c>
      <c r="BE394" s="60">
        <v>-1.3377567916048601</v>
      </c>
      <c r="BF394" s="95">
        <v>-0.375</v>
      </c>
      <c r="BG394" s="95">
        <v>0</v>
      </c>
      <c r="BH394" s="95">
        <v>0</v>
      </c>
      <c r="BI394" s="8">
        <f t="shared" si="272"/>
        <v>-42.509875882150361</v>
      </c>
      <c r="BJ394" s="2" t="s">
        <v>91</v>
      </c>
      <c r="BL394" s="70">
        <v>0</v>
      </c>
      <c r="BM394" s="70">
        <v>0</v>
      </c>
      <c r="BO394" s="70">
        <v>0</v>
      </c>
      <c r="BP394" s="70">
        <v>0</v>
      </c>
      <c r="BQ394" s="72">
        <v>0</v>
      </c>
      <c r="BS394" s="61">
        <f t="shared" si="315"/>
        <v>0</v>
      </c>
      <c r="BT394" s="61">
        <f t="shared" si="307"/>
        <v>0</v>
      </c>
      <c r="BU394" s="61">
        <f t="shared" si="308"/>
        <v>0</v>
      </c>
      <c r="BV394" s="61">
        <f t="shared" si="309"/>
        <v>0</v>
      </c>
      <c r="BW394" s="61">
        <f t="shared" si="309"/>
        <v>0</v>
      </c>
      <c r="BX394" s="61">
        <f>SUM(AD391)-SUM(BI394)</f>
        <v>0</v>
      </c>
      <c r="BY394" s="61" t="s">
        <v>91</v>
      </c>
      <c r="CA394" s="61">
        <f t="shared" si="273"/>
        <v>0</v>
      </c>
      <c r="CB394" s="61">
        <f t="shared" si="273"/>
        <v>0</v>
      </c>
      <c r="CC394" s="61">
        <f t="shared" si="273"/>
        <v>0</v>
      </c>
      <c r="CD394" s="61">
        <f t="shared" si="273"/>
        <v>0</v>
      </c>
      <c r="CE394" s="61">
        <f t="shared" si="273"/>
        <v>0</v>
      </c>
      <c r="CF394" s="61">
        <f t="shared" si="273"/>
        <v>0</v>
      </c>
      <c r="CG394" s="61">
        <f t="shared" si="273"/>
        <v>0</v>
      </c>
      <c r="CH394" s="61">
        <f t="shared" si="299"/>
        <v>0</v>
      </c>
      <c r="CI394" s="61">
        <f t="shared" si="310"/>
        <v>0</v>
      </c>
      <c r="CJ394" s="61"/>
      <c r="CK394" s="61">
        <f t="shared" ref="CK394:CR394" si="317">(O394*$AD391-AT394*$BI394)/$C$2</f>
        <v>0</v>
      </c>
      <c r="CL394" s="61">
        <f t="shared" si="317"/>
        <v>0</v>
      </c>
      <c r="CM394" s="61">
        <f t="shared" si="317"/>
        <v>0</v>
      </c>
      <c r="CN394" s="61">
        <f t="shared" si="317"/>
        <v>0</v>
      </c>
      <c r="CO394" s="61">
        <f t="shared" si="317"/>
        <v>0</v>
      </c>
      <c r="CP394" s="61">
        <f t="shared" si="317"/>
        <v>0</v>
      </c>
      <c r="CQ394" s="61">
        <f t="shared" si="317"/>
        <v>0</v>
      </c>
      <c r="CR394" s="61">
        <f t="shared" si="317"/>
        <v>0</v>
      </c>
      <c r="CS394" s="61">
        <f t="shared" si="312"/>
        <v>0</v>
      </c>
      <c r="CT394" s="61">
        <f t="shared" si="313"/>
        <v>0</v>
      </c>
      <c r="CV394" s="61">
        <f t="shared" si="314"/>
        <v>0</v>
      </c>
      <c r="CW394" s="61">
        <f t="shared" si="298"/>
        <v>0</v>
      </c>
      <c r="CX394" s="61"/>
      <c r="CY394" s="61">
        <f t="shared" si="294"/>
        <v>0</v>
      </c>
      <c r="CZ394" s="61">
        <f t="shared" si="271"/>
        <v>0</v>
      </c>
      <c r="DA394" s="61">
        <f t="shared" si="271"/>
        <v>0</v>
      </c>
      <c r="DB394" s="2" t="s">
        <v>102</v>
      </c>
      <c r="DC394" s="2" t="s">
        <v>102</v>
      </c>
      <c r="DD394" s="2" t="s">
        <v>142</v>
      </c>
      <c r="DE394" s="2" t="s">
        <v>181</v>
      </c>
      <c r="DF394" s="3" t="s">
        <v>86</v>
      </c>
      <c r="DG394" s="62">
        <v>42845</v>
      </c>
      <c r="EC394" s="60" t="str">
        <f>VLOOKUP($M394,[1]Detail!$M:$BO,1,0)</f>
        <v>JD8B -F29701 -AA</v>
      </c>
      <c r="ED394" s="60">
        <f>VLOOKUP($M394,[1]Detail!$M:$BO,22,0)</f>
        <v>-68.932756791604859</v>
      </c>
      <c r="EE394" s="60">
        <f>VLOOKUP($M394,[1]Detail!$M:$BO,42,0)</f>
        <v>0</v>
      </c>
      <c r="EF394" s="60">
        <f>VLOOKUP($M394,[1]Detail!$M:$BO,45,0)</f>
        <v>0</v>
      </c>
      <c r="EH394" s="60">
        <f t="shared" si="304"/>
        <v>0</v>
      </c>
      <c r="EI394" s="60">
        <f t="shared" si="305"/>
        <v>0</v>
      </c>
      <c r="EJ394" s="60">
        <f t="shared" si="306"/>
        <v>0</v>
      </c>
    </row>
    <row r="395" spans="2:140" ht="12.75" hidden="1" customHeight="1">
      <c r="B395" s="99" t="s">
        <v>804</v>
      </c>
      <c r="C395" s="22" t="s">
        <v>805</v>
      </c>
      <c r="D395" s="22" t="s">
        <v>806</v>
      </c>
      <c r="E395" s="2" t="str">
        <f>VLOOKUP($C395,[1]Detail!$C:$AK,6,0)</f>
        <v>PMT1</v>
      </c>
      <c r="F395" s="2" t="str">
        <f>VLOOKUP($C395,[1]Detail!$C:$AK,7,0)</f>
        <v>TH</v>
      </c>
      <c r="G395" s="2" t="str">
        <f>VLOOKUP($C395,[1]Detail!$C:$AK,5,0)</f>
        <v>B</v>
      </c>
      <c r="J395" s="22" t="s">
        <v>767</v>
      </c>
      <c r="K395" s="23" t="s">
        <v>811</v>
      </c>
      <c r="L395" s="22" t="s">
        <v>100</v>
      </c>
      <c r="M395" s="51" t="str">
        <f t="shared" si="287"/>
        <v>JD8B -F42004 -AA</v>
      </c>
      <c r="O395" s="22">
        <v>1</v>
      </c>
      <c r="P395" s="22">
        <v>1</v>
      </c>
      <c r="Q395" s="22">
        <v>1</v>
      </c>
      <c r="R395" s="22">
        <v>1</v>
      </c>
      <c r="S395" s="22">
        <v>1</v>
      </c>
      <c r="T395" s="22">
        <v>1</v>
      </c>
      <c r="U395" s="22">
        <v>1</v>
      </c>
      <c r="V395" s="22">
        <v>1</v>
      </c>
      <c r="W395" s="64">
        <f t="shared" si="288"/>
        <v>1</v>
      </c>
      <c r="Y395" s="8">
        <v>-125.249625437086</v>
      </c>
      <c r="Z395" s="8">
        <v>-1.4891064107448</v>
      </c>
      <c r="AA395" s="8">
        <v>-1.2</v>
      </c>
      <c r="AB395" s="8">
        <v>0</v>
      </c>
      <c r="AC395" s="8">
        <v>0</v>
      </c>
      <c r="AD395" s="8">
        <f t="shared" ref="AD395:AD426" si="318">SUM(Y395:AC395)</f>
        <v>-127.93873184783079</v>
      </c>
      <c r="AE395" s="2" t="s">
        <v>91</v>
      </c>
      <c r="AG395" s="8">
        <v>-5000</v>
      </c>
      <c r="AH395" s="8">
        <v>-5000</v>
      </c>
      <c r="AI395" s="6"/>
      <c r="AJ395" s="70">
        <v>0</v>
      </c>
      <c r="AK395" s="70">
        <v>0</v>
      </c>
      <c r="AL395" s="72">
        <v>0</v>
      </c>
      <c r="AM395" s="22"/>
      <c r="AO395" s="22" t="s">
        <v>770</v>
      </c>
      <c r="AP395" s="23" t="s">
        <v>811</v>
      </c>
      <c r="AQ395" s="22" t="s">
        <v>812</v>
      </c>
      <c r="AR395" s="51" t="str">
        <f t="shared" si="285"/>
        <v>ED8B -F42004 -AJ</v>
      </c>
      <c r="AS395" s="3"/>
      <c r="AT395" s="22">
        <v>1</v>
      </c>
      <c r="AU395" s="22">
        <v>1</v>
      </c>
      <c r="AV395" s="22">
        <v>1</v>
      </c>
      <c r="AW395" s="22">
        <v>1</v>
      </c>
      <c r="AX395" s="22">
        <v>1</v>
      </c>
      <c r="AY395" s="22">
        <v>1</v>
      </c>
      <c r="AZ395" s="22">
        <v>1</v>
      </c>
      <c r="BA395" s="22">
        <v>1</v>
      </c>
      <c r="BB395" s="64">
        <f t="shared" si="286"/>
        <v>1</v>
      </c>
      <c r="BD395" s="60">
        <v>-116.98</v>
      </c>
      <c r="BE395" s="60">
        <v>-1.49</v>
      </c>
      <c r="BF395" s="95">
        <v>-1.2</v>
      </c>
      <c r="BG395" s="95">
        <v>0</v>
      </c>
      <c r="BH395" s="95">
        <v>0</v>
      </c>
      <c r="BI395" s="8">
        <f t="shared" si="272"/>
        <v>-119.67</v>
      </c>
      <c r="BJ395" s="2" t="s">
        <v>91</v>
      </c>
      <c r="BL395" s="70">
        <v>0</v>
      </c>
      <c r="BM395" s="70">
        <v>0</v>
      </c>
      <c r="BO395" s="70">
        <v>0</v>
      </c>
      <c r="BP395" s="70">
        <v>0</v>
      </c>
      <c r="BQ395" s="72">
        <v>0</v>
      </c>
      <c r="BS395" s="61">
        <f t="shared" si="315"/>
        <v>-8.2696254370859918</v>
      </c>
      <c r="BT395" s="61">
        <f t="shared" si="307"/>
        <v>8.9358925520000021E-4</v>
      </c>
      <c r="BU395" s="61">
        <f t="shared" si="308"/>
        <v>0</v>
      </c>
      <c r="BV395" s="61">
        <f t="shared" si="309"/>
        <v>0</v>
      </c>
      <c r="BW395" s="61">
        <f t="shared" si="309"/>
        <v>0</v>
      </c>
      <c r="BX395" s="61">
        <f t="shared" ref="BX395:BX426" si="319">SUM(AD395)-SUM(BI395)</f>
        <v>-8.268731847830793</v>
      </c>
      <c r="BY395" s="61" t="s">
        <v>91</v>
      </c>
      <c r="CA395" s="61">
        <f t="shared" si="273"/>
        <v>-1.2441139517204742</v>
      </c>
      <c r="CB395" s="61">
        <f t="shared" si="273"/>
        <v>-1.2441139517204742</v>
      </c>
      <c r="CC395" s="61">
        <f t="shared" si="273"/>
        <v>-1.2441139517204742</v>
      </c>
      <c r="CD395" s="61">
        <f t="shared" si="273"/>
        <v>-1.2441139517204742</v>
      </c>
      <c r="CE395" s="61">
        <f t="shared" si="273"/>
        <v>-1.2441139517204742</v>
      </c>
      <c r="CF395" s="61">
        <f t="shared" si="273"/>
        <v>-1.2441139517204742</v>
      </c>
      <c r="CG395" s="61">
        <f t="shared" si="273"/>
        <v>-1.2441139517204742</v>
      </c>
      <c r="CH395" s="61">
        <f t="shared" si="299"/>
        <v>-1.2441139517204742</v>
      </c>
      <c r="CI395" s="61">
        <f t="shared" si="310"/>
        <v>-1.2441139517204742</v>
      </c>
      <c r="CJ395" s="61"/>
      <c r="CK395" s="61">
        <f t="shared" ref="CK395:CR426" si="320">(O395*$AD395-AT395*$BI395)/$C$2</f>
        <v>-1.2439795167490286</v>
      </c>
      <c r="CL395" s="61">
        <f t="shared" si="320"/>
        <v>-1.2439795167490286</v>
      </c>
      <c r="CM395" s="61">
        <f t="shared" si="320"/>
        <v>-1.2439795167490286</v>
      </c>
      <c r="CN395" s="61">
        <f t="shared" si="320"/>
        <v>-1.2439795167490286</v>
      </c>
      <c r="CO395" s="61">
        <f t="shared" si="320"/>
        <v>-1.2439795167490286</v>
      </c>
      <c r="CP395" s="61">
        <f t="shared" si="320"/>
        <v>-1.2439795167490286</v>
      </c>
      <c r="CQ395" s="61">
        <f t="shared" si="320"/>
        <v>-1.2439795167490286</v>
      </c>
      <c r="CR395" s="61">
        <f t="shared" si="320"/>
        <v>-1.2439795167490286</v>
      </c>
      <c r="CS395" s="61">
        <f t="shared" si="312"/>
        <v>-1.2439795167490288</v>
      </c>
      <c r="CT395" s="61">
        <f t="shared" si="313"/>
        <v>-8.2687318478307947</v>
      </c>
      <c r="CV395" s="61">
        <f t="shared" si="314"/>
        <v>-5000</v>
      </c>
      <c r="CW395" s="61">
        <f t="shared" si="298"/>
        <v>-5000</v>
      </c>
      <c r="CX395" s="61"/>
      <c r="CY395" s="61">
        <f t="shared" si="294"/>
        <v>0</v>
      </c>
      <c r="CZ395" s="61">
        <f t="shared" si="271"/>
        <v>0</v>
      </c>
      <c r="DA395" s="61">
        <f t="shared" si="271"/>
        <v>0</v>
      </c>
      <c r="DB395" s="2" t="s">
        <v>85</v>
      </c>
      <c r="DC395" s="2" t="s">
        <v>102</v>
      </c>
      <c r="DD395" s="2" t="s">
        <v>142</v>
      </c>
      <c r="DE395" s="2" t="s">
        <v>181</v>
      </c>
      <c r="DF395" s="3" t="s">
        <v>86</v>
      </c>
      <c r="DG395" s="62">
        <v>42845</v>
      </c>
      <c r="EC395" s="60"/>
      <c r="ED395" s="60"/>
      <c r="EE395" s="60"/>
      <c r="EF395" s="60"/>
    </row>
    <row r="396" spans="2:140" ht="12.75" hidden="1" customHeight="1">
      <c r="B396" s="99" t="s">
        <v>813</v>
      </c>
      <c r="C396" s="22" t="s">
        <v>805</v>
      </c>
      <c r="D396" s="22" t="s">
        <v>806</v>
      </c>
      <c r="E396" s="2" t="str">
        <f>VLOOKUP($C396,[1]Detail!$C:$AK,6,0)</f>
        <v>PMT1</v>
      </c>
      <c r="F396" s="2" t="str">
        <f>VLOOKUP($C396,[1]Detail!$C:$AK,7,0)</f>
        <v>TH</v>
      </c>
      <c r="G396" s="2" t="str">
        <f>VLOOKUP($C396,[1]Detail!$C:$AK,5,0)</f>
        <v>B</v>
      </c>
      <c r="J396" s="22" t="s">
        <v>767</v>
      </c>
      <c r="K396" s="23" t="s">
        <v>811</v>
      </c>
      <c r="L396" s="22" t="s">
        <v>132</v>
      </c>
      <c r="M396" s="51" t="str">
        <f t="shared" si="287"/>
        <v>JD8B -F42004 -AB</v>
      </c>
      <c r="O396" s="22">
        <v>1</v>
      </c>
      <c r="P396" s="22">
        <v>1</v>
      </c>
      <c r="Q396" s="22">
        <v>1</v>
      </c>
      <c r="R396" s="22">
        <v>1</v>
      </c>
      <c r="S396" s="22">
        <v>1</v>
      </c>
      <c r="T396" s="22">
        <v>1</v>
      </c>
      <c r="U396" s="22">
        <v>1</v>
      </c>
      <c r="V396" s="22">
        <v>1</v>
      </c>
      <c r="W396" s="64">
        <f t="shared" si="288"/>
        <v>1</v>
      </c>
      <c r="Y396" s="8">
        <f>-125.24*0-129.4</f>
        <v>-129.4</v>
      </c>
      <c r="Z396" s="8">
        <v>-1.4891064107448</v>
      </c>
      <c r="AA396" s="8">
        <v>-1.2</v>
      </c>
      <c r="AB396" s="8">
        <v>0</v>
      </c>
      <c r="AC396" s="8">
        <v>0</v>
      </c>
      <c r="AD396" s="8">
        <f t="shared" si="318"/>
        <v>-132.08910641074479</v>
      </c>
      <c r="AE396" s="2" t="s">
        <v>91</v>
      </c>
      <c r="AG396" s="8">
        <v>-5000</v>
      </c>
      <c r="AH396" s="8">
        <v>-5000</v>
      </c>
      <c r="AI396" s="6"/>
      <c r="AJ396" s="70">
        <v>0</v>
      </c>
      <c r="AK396" s="70">
        <v>0</v>
      </c>
      <c r="AL396" s="72">
        <v>0</v>
      </c>
      <c r="AM396" s="22"/>
      <c r="AO396" s="22" t="s">
        <v>767</v>
      </c>
      <c r="AP396" s="23" t="s">
        <v>811</v>
      </c>
      <c r="AQ396" s="22" t="s">
        <v>100</v>
      </c>
      <c r="AR396" s="51" t="str">
        <f t="shared" si="285"/>
        <v>JD8B -F42004 -AA</v>
      </c>
      <c r="AS396" s="3"/>
      <c r="AT396" s="22">
        <v>1</v>
      </c>
      <c r="AU396" s="22">
        <v>1</v>
      </c>
      <c r="AV396" s="22">
        <v>1</v>
      </c>
      <c r="AW396" s="22">
        <v>1</v>
      </c>
      <c r="AX396" s="22">
        <v>1</v>
      </c>
      <c r="AY396" s="22">
        <v>1</v>
      </c>
      <c r="AZ396" s="22">
        <v>1</v>
      </c>
      <c r="BA396" s="22">
        <v>1</v>
      </c>
      <c r="BB396" s="64">
        <f t="shared" si="286"/>
        <v>1</v>
      </c>
      <c r="BD396" s="60">
        <v>-125.249625437086</v>
      </c>
      <c r="BE396" s="60">
        <v>-1.4891064107448</v>
      </c>
      <c r="BF396" s="95">
        <v>-1.2</v>
      </c>
      <c r="BG396" s="95">
        <v>0</v>
      </c>
      <c r="BH396" s="95">
        <v>0</v>
      </c>
      <c r="BI396" s="8">
        <f t="shared" si="272"/>
        <v>-127.93873184783079</v>
      </c>
      <c r="BJ396" s="2" t="s">
        <v>91</v>
      </c>
      <c r="BL396" s="70">
        <v>-5000</v>
      </c>
      <c r="BM396" s="70">
        <v>-5000</v>
      </c>
      <c r="BO396" s="70">
        <v>0</v>
      </c>
      <c r="BP396" s="70">
        <v>0</v>
      </c>
      <c r="BQ396" s="72">
        <v>0</v>
      </c>
      <c r="BS396" s="61">
        <f t="shared" si="315"/>
        <v>-4.1503745629140099</v>
      </c>
      <c r="BT396" s="61">
        <f t="shared" si="307"/>
        <v>0</v>
      </c>
      <c r="BU396" s="61">
        <f t="shared" si="308"/>
        <v>0</v>
      </c>
      <c r="BV396" s="61">
        <f t="shared" si="309"/>
        <v>0</v>
      </c>
      <c r="BW396" s="61">
        <f t="shared" si="309"/>
        <v>0</v>
      </c>
      <c r="BX396" s="61">
        <f t="shared" si="319"/>
        <v>-4.1503745629139956</v>
      </c>
      <c r="BY396" s="61" t="s">
        <v>91</v>
      </c>
      <c r="CA396" s="61">
        <f t="shared" si="273"/>
        <v>-0.62439815900616968</v>
      </c>
      <c r="CB396" s="61">
        <f t="shared" si="273"/>
        <v>-0.62439815900616968</v>
      </c>
      <c r="CC396" s="61">
        <f t="shared" si="273"/>
        <v>-0.62439815900616968</v>
      </c>
      <c r="CD396" s="61">
        <f t="shared" si="273"/>
        <v>-0.62439815900616968</v>
      </c>
      <c r="CE396" s="61">
        <f t="shared" si="273"/>
        <v>-0.62439815900616968</v>
      </c>
      <c r="CF396" s="61">
        <f t="shared" si="273"/>
        <v>-0.62439815900616968</v>
      </c>
      <c r="CG396" s="61">
        <f t="shared" si="273"/>
        <v>-0.62439815900616968</v>
      </c>
      <c r="CH396" s="61">
        <f t="shared" si="299"/>
        <v>-0.62439815900616968</v>
      </c>
      <c r="CI396" s="61">
        <f t="shared" si="310"/>
        <v>-0.62439815900616968</v>
      </c>
      <c r="CJ396" s="61"/>
      <c r="CK396" s="61">
        <f t="shared" si="320"/>
        <v>-0.62439815900616746</v>
      </c>
      <c r="CL396" s="61">
        <f t="shared" si="320"/>
        <v>-0.62439815900616746</v>
      </c>
      <c r="CM396" s="61">
        <f t="shared" si="320"/>
        <v>-0.62439815900616746</v>
      </c>
      <c r="CN396" s="61">
        <f t="shared" si="320"/>
        <v>-0.62439815900616746</v>
      </c>
      <c r="CO396" s="61">
        <f t="shared" si="320"/>
        <v>-0.62439815900616746</v>
      </c>
      <c r="CP396" s="61">
        <f t="shared" si="320"/>
        <v>-0.62439815900616746</v>
      </c>
      <c r="CQ396" s="61">
        <f t="shared" si="320"/>
        <v>-0.62439815900616746</v>
      </c>
      <c r="CR396" s="61">
        <f t="shared" si="320"/>
        <v>-0.62439815900616746</v>
      </c>
      <c r="CS396" s="61">
        <f t="shared" si="312"/>
        <v>-0.62439815900616746</v>
      </c>
      <c r="CT396" s="61">
        <f t="shared" si="313"/>
        <v>-4.1503745629139956</v>
      </c>
      <c r="CV396" s="61">
        <f t="shared" si="314"/>
        <v>0</v>
      </c>
      <c r="CW396" s="61">
        <f t="shared" si="298"/>
        <v>0</v>
      </c>
      <c r="CX396" s="61"/>
      <c r="CY396" s="61">
        <f t="shared" si="294"/>
        <v>0</v>
      </c>
      <c r="CZ396" s="61">
        <f t="shared" ref="CZ396:DA471" si="321">SUM(AK396)-SUM(BP396)</f>
        <v>0</v>
      </c>
      <c r="DA396" s="61">
        <f t="shared" si="321"/>
        <v>0</v>
      </c>
      <c r="DB396" s="2" t="s">
        <v>85</v>
      </c>
      <c r="DC396" s="2" t="s">
        <v>85</v>
      </c>
      <c r="DD396" s="2" t="s">
        <v>142</v>
      </c>
      <c r="DE396" s="2" t="s">
        <v>181</v>
      </c>
      <c r="DF396" s="3" t="s">
        <v>86</v>
      </c>
      <c r="DG396" s="62">
        <v>42845</v>
      </c>
      <c r="EC396" s="60"/>
      <c r="ED396" s="60"/>
      <c r="EE396" s="60"/>
      <c r="EF396" s="60"/>
    </row>
    <row r="397" spans="2:140" ht="12.75" hidden="1" customHeight="1">
      <c r="B397" s="99" t="s">
        <v>814</v>
      </c>
      <c r="C397" s="22" t="s">
        <v>805</v>
      </c>
      <c r="D397" s="22" t="s">
        <v>806</v>
      </c>
      <c r="E397" s="2" t="str">
        <f>VLOOKUP($C397,[1]Detail!$C:$AK,6,0)</f>
        <v>PMT1</v>
      </c>
      <c r="F397" s="2" t="str">
        <f>VLOOKUP($C397,[1]Detail!$C:$AK,7,0)</f>
        <v>TH</v>
      </c>
      <c r="G397" s="2" t="str">
        <f>VLOOKUP($C397,[1]Detail!$C:$AK,5,0)</f>
        <v>B</v>
      </c>
      <c r="J397" s="22" t="s">
        <v>767</v>
      </c>
      <c r="K397" s="23" t="s">
        <v>811</v>
      </c>
      <c r="L397" s="22" t="s">
        <v>234</v>
      </c>
      <c r="M397" s="51" t="str">
        <f t="shared" si="287"/>
        <v>JD8B -F42004 -AC</v>
      </c>
      <c r="O397" s="22">
        <v>1</v>
      </c>
      <c r="P397" s="22">
        <v>1</v>
      </c>
      <c r="Q397" s="22">
        <v>1</v>
      </c>
      <c r="R397" s="22">
        <v>1</v>
      </c>
      <c r="S397" s="22">
        <v>1</v>
      </c>
      <c r="T397" s="22">
        <v>1</v>
      </c>
      <c r="U397" s="22">
        <v>1</v>
      </c>
      <c r="V397" s="22">
        <v>1</v>
      </c>
      <c r="W397" s="64">
        <f t="shared" si="288"/>
        <v>1</v>
      </c>
      <c r="Y397" s="8">
        <f>-125.24*0-129.4-2.06</f>
        <v>-131.46</v>
      </c>
      <c r="Z397" s="8">
        <v>-1.4891064107448</v>
      </c>
      <c r="AA397" s="8">
        <v>-1.2</v>
      </c>
      <c r="AB397" s="8">
        <v>0</v>
      </c>
      <c r="AC397" s="8">
        <v>0</v>
      </c>
      <c r="AD397" s="8">
        <f t="shared" si="318"/>
        <v>-134.14910641074479</v>
      </c>
      <c r="AE397" s="2" t="s">
        <v>91</v>
      </c>
      <c r="AG397" s="8">
        <f>-5000-5000</f>
        <v>-10000</v>
      </c>
      <c r="AH397" s="8">
        <f>-5000-5000</f>
        <v>-10000</v>
      </c>
      <c r="AI397" s="6"/>
      <c r="AJ397" s="70">
        <v>0</v>
      </c>
      <c r="AK397" s="70">
        <v>0</v>
      </c>
      <c r="AL397" s="72">
        <v>0</v>
      </c>
      <c r="AM397" s="22"/>
      <c r="AO397" s="22" t="s">
        <v>767</v>
      </c>
      <c r="AP397" s="23" t="s">
        <v>811</v>
      </c>
      <c r="AQ397" s="22" t="s">
        <v>132</v>
      </c>
      <c r="AR397" s="51" t="str">
        <f t="shared" si="285"/>
        <v>JD8B -F42004 -AB</v>
      </c>
      <c r="AS397" s="3"/>
      <c r="AT397" s="22">
        <v>1</v>
      </c>
      <c r="AU397" s="22">
        <v>1</v>
      </c>
      <c r="AV397" s="22">
        <v>1</v>
      </c>
      <c r="AW397" s="22">
        <v>1</v>
      </c>
      <c r="AX397" s="22">
        <v>1</v>
      </c>
      <c r="AY397" s="22">
        <v>1</v>
      </c>
      <c r="AZ397" s="22">
        <v>1</v>
      </c>
      <c r="BA397" s="22">
        <v>1</v>
      </c>
      <c r="BB397" s="64">
        <f t="shared" si="286"/>
        <v>1</v>
      </c>
      <c r="BD397" s="8">
        <f>-125.24*0-129.4</f>
        <v>-129.4</v>
      </c>
      <c r="BE397" s="8">
        <v>-1.4891064107448</v>
      </c>
      <c r="BF397" s="8">
        <v>-1.2</v>
      </c>
      <c r="BG397" s="8">
        <v>0</v>
      </c>
      <c r="BH397" s="8">
        <v>0</v>
      </c>
      <c r="BI397" s="8">
        <f t="shared" ref="BI397" si="322">SUM(BD397:BH397)</f>
        <v>-132.08910641074479</v>
      </c>
      <c r="BJ397" s="2" t="s">
        <v>91</v>
      </c>
      <c r="BL397" s="8">
        <v>-5000</v>
      </c>
      <c r="BM397" s="8">
        <v>-5000</v>
      </c>
      <c r="BO397" s="70">
        <v>0</v>
      </c>
      <c r="BP397" s="70">
        <v>0</v>
      </c>
      <c r="BQ397" s="72">
        <v>0</v>
      </c>
      <c r="BS397" s="61">
        <f t="shared" si="315"/>
        <v>-2.0600000000000023</v>
      </c>
      <c r="BT397" s="61">
        <f t="shared" si="307"/>
        <v>0</v>
      </c>
      <c r="BU397" s="61">
        <f t="shared" si="308"/>
        <v>0</v>
      </c>
      <c r="BV397" s="61">
        <f t="shared" si="309"/>
        <v>0</v>
      </c>
      <c r="BW397" s="61">
        <f t="shared" si="309"/>
        <v>0</v>
      </c>
      <c r="BX397" s="61">
        <f t="shared" si="319"/>
        <v>-2.0600000000000023</v>
      </c>
      <c r="BY397" s="61" t="s">
        <v>91</v>
      </c>
      <c r="CA397" s="61">
        <f t="shared" si="273"/>
        <v>-0.3099142470287351</v>
      </c>
      <c r="CB397" s="61">
        <f t="shared" si="273"/>
        <v>-0.3099142470287351</v>
      </c>
      <c r="CC397" s="61">
        <f t="shared" si="273"/>
        <v>-0.3099142470287351</v>
      </c>
      <c r="CD397" s="61">
        <f t="shared" si="273"/>
        <v>-0.3099142470287351</v>
      </c>
      <c r="CE397" s="61">
        <f t="shared" si="273"/>
        <v>-0.3099142470287351</v>
      </c>
      <c r="CF397" s="61">
        <f t="shared" si="273"/>
        <v>-0.3099142470287351</v>
      </c>
      <c r="CG397" s="61">
        <f t="shared" si="273"/>
        <v>-0.3099142470287351</v>
      </c>
      <c r="CH397" s="61">
        <f t="shared" si="299"/>
        <v>-0.3099142470287351</v>
      </c>
      <c r="CI397" s="61">
        <f t="shared" si="310"/>
        <v>-0.30991424702873516</v>
      </c>
      <c r="CJ397" s="61"/>
      <c r="CK397" s="61">
        <f t="shared" si="320"/>
        <v>-0.3099142470287351</v>
      </c>
      <c r="CL397" s="61">
        <f t="shared" si="320"/>
        <v>-0.3099142470287351</v>
      </c>
      <c r="CM397" s="61">
        <f t="shared" si="320"/>
        <v>-0.3099142470287351</v>
      </c>
      <c r="CN397" s="61">
        <f t="shared" si="320"/>
        <v>-0.3099142470287351</v>
      </c>
      <c r="CO397" s="61">
        <f t="shared" si="320"/>
        <v>-0.3099142470287351</v>
      </c>
      <c r="CP397" s="61">
        <f t="shared" si="320"/>
        <v>-0.3099142470287351</v>
      </c>
      <c r="CQ397" s="61">
        <f t="shared" si="320"/>
        <v>-0.3099142470287351</v>
      </c>
      <c r="CR397" s="61">
        <f t="shared" si="320"/>
        <v>-0.3099142470287351</v>
      </c>
      <c r="CS397" s="61">
        <f t="shared" si="312"/>
        <v>-0.30991424702873516</v>
      </c>
      <c r="CT397" s="63">
        <f t="shared" si="313"/>
        <v>-2.0600000000000027</v>
      </c>
      <c r="CV397" s="61">
        <f t="shared" si="314"/>
        <v>-5000</v>
      </c>
      <c r="CW397" s="61">
        <f t="shared" ref="CW397" si="323">SUM(AH397)-SUM(BM397)</f>
        <v>-5000</v>
      </c>
      <c r="CX397" s="61"/>
      <c r="CY397" s="61">
        <f t="shared" ref="CY397" si="324">SUM(AJ397)-SUM(BO397)</f>
        <v>0</v>
      </c>
      <c r="CZ397" s="61">
        <f t="shared" si="321"/>
        <v>0</v>
      </c>
      <c r="DA397" s="61">
        <f t="shared" si="321"/>
        <v>0</v>
      </c>
      <c r="DB397" s="2" t="s">
        <v>102</v>
      </c>
      <c r="DC397" s="2" t="s">
        <v>85</v>
      </c>
      <c r="DD397" s="2" t="s">
        <v>142</v>
      </c>
      <c r="DE397" s="2" t="s">
        <v>106</v>
      </c>
      <c r="DF397" s="3" t="s">
        <v>86</v>
      </c>
      <c r="DG397" s="62">
        <v>43105</v>
      </c>
      <c r="EC397" s="60" t="str">
        <f>VLOOKUP($M397,[1]Detail!$M:$BO,1,0)</f>
        <v>JD8B -F42004 -AC</v>
      </c>
      <c r="ED397" s="60">
        <f>VLOOKUP($M397,[1]Detail!$M:$BO,22,0)</f>
        <v>-134.14910641074479</v>
      </c>
      <c r="EE397" s="60">
        <f>VLOOKUP($M397,[1]Detail!$M:$BO,42,0)</f>
        <v>-10000</v>
      </c>
      <c r="EF397" s="60">
        <f>VLOOKUP($M397,[1]Detail!$M:$BO,45,0)</f>
        <v>0</v>
      </c>
      <c r="EH397" s="60">
        <f>ED397-AD397</f>
        <v>0</v>
      </c>
      <c r="EI397" s="60">
        <f>EE397-AG397</f>
        <v>0</v>
      </c>
      <c r="EJ397" s="60">
        <f>EF397-AJ397</f>
        <v>0</v>
      </c>
    </row>
    <row r="398" spans="2:140" ht="12.75" hidden="1" customHeight="1">
      <c r="B398" s="99" t="s">
        <v>815</v>
      </c>
      <c r="C398" s="22" t="s">
        <v>805</v>
      </c>
      <c r="D398" s="22" t="s">
        <v>806</v>
      </c>
      <c r="E398" s="2" t="str">
        <f>VLOOKUP($C398,[1]Detail!$C:$AK,6,0)</f>
        <v>PMT1</v>
      </c>
      <c r="F398" s="2" t="str">
        <f>VLOOKUP($C398,[1]Detail!$C:$AK,7,0)</f>
        <v>TH</v>
      </c>
      <c r="G398" s="2" t="str">
        <f>VLOOKUP($C398,[1]Detail!$C:$AK,5,0)</f>
        <v>B</v>
      </c>
      <c r="J398" s="22" t="s">
        <v>767</v>
      </c>
      <c r="K398" s="23" t="s">
        <v>816</v>
      </c>
      <c r="L398" s="22" t="s">
        <v>100</v>
      </c>
      <c r="M398" s="51" t="str">
        <f t="shared" si="287"/>
        <v>JD8B -F03100 -AA</v>
      </c>
      <c r="O398" s="22"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1</v>
      </c>
      <c r="V398" s="22">
        <v>1</v>
      </c>
      <c r="W398" s="64">
        <f t="shared" si="288"/>
        <v>0.1</v>
      </c>
      <c r="Y398" s="8">
        <v>-240.55098336279201</v>
      </c>
      <c r="Z398" s="8">
        <v>-1.46421518523112</v>
      </c>
      <c r="AA398" s="8">
        <v>-1.5</v>
      </c>
      <c r="AB398" s="8">
        <v>0</v>
      </c>
      <c r="AC398" s="8">
        <v>0</v>
      </c>
      <c r="AD398" s="8">
        <f t="shared" si="318"/>
        <v>-243.51519854802314</v>
      </c>
      <c r="AE398" s="2" t="s">
        <v>91</v>
      </c>
      <c r="AG398" s="8">
        <v>-312650</v>
      </c>
      <c r="AH398" s="8">
        <v>-312650</v>
      </c>
      <c r="AI398" s="6"/>
      <c r="AJ398" s="70">
        <v>0</v>
      </c>
      <c r="AK398" s="70">
        <v>0</v>
      </c>
      <c r="AL398" s="72">
        <v>0</v>
      </c>
      <c r="AM398" s="22" t="s">
        <v>808</v>
      </c>
      <c r="AO398" s="22" t="s">
        <v>770</v>
      </c>
      <c r="AP398" s="23" t="s">
        <v>816</v>
      </c>
      <c r="AQ398" s="22" t="s">
        <v>817</v>
      </c>
      <c r="AR398" s="51" t="str">
        <f t="shared" si="285"/>
        <v>ED8B -F03100 -AK</v>
      </c>
      <c r="AS398" s="3"/>
      <c r="AT398" s="22">
        <v>0</v>
      </c>
      <c r="AU398" s="22">
        <v>0</v>
      </c>
      <c r="AV398" s="22">
        <v>0</v>
      </c>
      <c r="AW398" s="22">
        <v>0</v>
      </c>
      <c r="AX398" s="22">
        <v>0</v>
      </c>
      <c r="AY398" s="22">
        <v>0</v>
      </c>
      <c r="AZ398" s="22">
        <v>1</v>
      </c>
      <c r="BA398" s="22">
        <v>1</v>
      </c>
      <c r="BB398" s="64">
        <f t="shared" si="286"/>
        <v>0.1</v>
      </c>
      <c r="BD398" s="60">
        <f>-94.17-0.12</f>
        <v>-94.29</v>
      </c>
      <c r="BE398" s="60">
        <v>-1.46421518523112</v>
      </c>
      <c r="BF398" s="95">
        <v>-1.5</v>
      </c>
      <c r="BG398" s="95">
        <v>0</v>
      </c>
      <c r="BH398" s="95">
        <v>0</v>
      </c>
      <c r="BI398" s="8">
        <f t="shared" si="272"/>
        <v>-97.254215185231132</v>
      </c>
      <c r="BJ398" s="2" t="s">
        <v>91</v>
      </c>
      <c r="BL398" s="70">
        <v>0</v>
      </c>
      <c r="BM398" s="70">
        <v>0</v>
      </c>
      <c r="BO398" s="70">
        <v>0</v>
      </c>
      <c r="BP398" s="70">
        <v>0</v>
      </c>
      <c r="BQ398" s="72">
        <v>0</v>
      </c>
      <c r="BS398" s="61">
        <f t="shared" si="315"/>
        <v>-146.26098336279199</v>
      </c>
      <c r="BT398" s="61">
        <f t="shared" si="307"/>
        <v>0</v>
      </c>
      <c r="BU398" s="61">
        <f t="shared" si="308"/>
        <v>0</v>
      </c>
      <c r="BV398" s="61">
        <f t="shared" si="309"/>
        <v>0</v>
      </c>
      <c r="BW398" s="61">
        <f t="shared" si="309"/>
        <v>0</v>
      </c>
      <c r="BX398" s="61">
        <f t="shared" si="319"/>
        <v>-146.26098336279199</v>
      </c>
      <c r="BY398" s="61" t="s">
        <v>91</v>
      </c>
      <c r="CA398" s="61">
        <f t="shared" si="273"/>
        <v>0</v>
      </c>
      <c r="CB398" s="61">
        <f t="shared" si="273"/>
        <v>0</v>
      </c>
      <c r="CC398" s="61">
        <f t="shared" si="273"/>
        <v>0</v>
      </c>
      <c r="CD398" s="61">
        <f t="shared" si="273"/>
        <v>0</v>
      </c>
      <c r="CE398" s="61">
        <f t="shared" si="273"/>
        <v>0</v>
      </c>
      <c r="CF398" s="61">
        <f t="shared" si="273"/>
        <v>0</v>
      </c>
      <c r="CG398" s="61">
        <f t="shared" si="273"/>
        <v>-22.004059479884457</v>
      </c>
      <c r="CH398" s="61">
        <f t="shared" si="299"/>
        <v>-22.004059479884457</v>
      </c>
      <c r="CI398" s="61">
        <f t="shared" si="310"/>
        <v>-2.2004059479884459</v>
      </c>
      <c r="CJ398" s="61"/>
      <c r="CK398" s="61">
        <f t="shared" si="320"/>
        <v>0</v>
      </c>
      <c r="CL398" s="61">
        <f t="shared" si="320"/>
        <v>0</v>
      </c>
      <c r="CM398" s="61">
        <f t="shared" si="320"/>
        <v>0</v>
      </c>
      <c r="CN398" s="61">
        <f t="shared" si="320"/>
        <v>0</v>
      </c>
      <c r="CO398" s="61">
        <f t="shared" si="320"/>
        <v>0</v>
      </c>
      <c r="CP398" s="61">
        <f t="shared" si="320"/>
        <v>0</v>
      </c>
      <c r="CQ398" s="61">
        <f t="shared" si="320"/>
        <v>-22.004059479884457</v>
      </c>
      <c r="CR398" s="61">
        <f t="shared" si="320"/>
        <v>-22.004059479884457</v>
      </c>
      <c r="CS398" s="61">
        <f t="shared" si="312"/>
        <v>-2.2004059479884459</v>
      </c>
      <c r="CT398" s="61">
        <f t="shared" si="313"/>
        <v>-14.626098336279201</v>
      </c>
      <c r="CV398" s="61">
        <f t="shared" si="314"/>
        <v>-312650</v>
      </c>
      <c r="CW398" s="61">
        <f t="shared" si="298"/>
        <v>-312650</v>
      </c>
      <c r="CX398" s="61"/>
      <c r="CY398" s="61">
        <f t="shared" si="294"/>
        <v>0</v>
      </c>
      <c r="CZ398" s="61">
        <f t="shared" si="321"/>
        <v>0</v>
      </c>
      <c r="DA398" s="61">
        <f t="shared" si="321"/>
        <v>0</v>
      </c>
      <c r="DB398" s="2" t="s">
        <v>85</v>
      </c>
      <c r="DC398" s="2" t="s">
        <v>86</v>
      </c>
      <c r="DD398" s="2" t="s">
        <v>142</v>
      </c>
      <c r="DE398" s="2" t="s">
        <v>181</v>
      </c>
      <c r="DF398" s="3" t="s">
        <v>86</v>
      </c>
      <c r="DG398" s="62">
        <v>42845</v>
      </c>
      <c r="EC398" s="60"/>
      <c r="ED398" s="60"/>
      <c r="EE398" s="60"/>
      <c r="EF398" s="60"/>
    </row>
    <row r="399" spans="2:140" ht="12.75" hidden="1" customHeight="1">
      <c r="B399" s="99" t="s">
        <v>815</v>
      </c>
      <c r="C399" s="22" t="s">
        <v>805</v>
      </c>
      <c r="D399" s="22" t="s">
        <v>806</v>
      </c>
      <c r="E399" s="2" t="str">
        <f>VLOOKUP($C399,[1]Detail!$C:$AK,6,0)</f>
        <v>PMT1</v>
      </c>
      <c r="F399" s="2" t="str">
        <f>VLOOKUP($C399,[1]Detail!$C:$AK,7,0)</f>
        <v>TH</v>
      </c>
      <c r="G399" s="2" t="str">
        <f>VLOOKUP($C399,[1]Detail!$C:$AK,5,0)</f>
        <v>B</v>
      </c>
      <c r="J399" s="22" t="s">
        <v>767</v>
      </c>
      <c r="K399" s="23" t="s">
        <v>816</v>
      </c>
      <c r="L399" s="22" t="s">
        <v>111</v>
      </c>
      <c r="M399" s="51" t="str">
        <f t="shared" si="287"/>
        <v>JD8B -F03100 -BA</v>
      </c>
      <c r="O399" s="22">
        <v>1</v>
      </c>
      <c r="P399" s="22">
        <v>1</v>
      </c>
      <c r="Q399" s="22">
        <v>1</v>
      </c>
      <c r="R399" s="22">
        <v>1</v>
      </c>
      <c r="S399" s="22">
        <v>1</v>
      </c>
      <c r="T399" s="22">
        <v>1</v>
      </c>
      <c r="U399" s="22">
        <v>0</v>
      </c>
      <c r="V399" s="22">
        <v>0</v>
      </c>
      <c r="W399" s="64">
        <f t="shared" si="288"/>
        <v>0.9</v>
      </c>
      <c r="Y399" s="8">
        <v>-219.83082051139101</v>
      </c>
      <c r="Z399" s="8">
        <v>-1.46421518523112</v>
      </c>
      <c r="AA399" s="8">
        <v>-1.5</v>
      </c>
      <c r="AB399" s="8">
        <v>0</v>
      </c>
      <c r="AC399" s="8">
        <v>0</v>
      </c>
      <c r="AD399" s="8">
        <f t="shared" si="318"/>
        <v>-222.79503569662214</v>
      </c>
      <c r="AE399" s="2" t="s">
        <v>91</v>
      </c>
      <c r="AG399" s="8">
        <v>-472350</v>
      </c>
      <c r="AH399" s="8">
        <v>-472350</v>
      </c>
      <c r="AI399" s="6"/>
      <c r="AJ399" s="70">
        <v>0</v>
      </c>
      <c r="AK399" s="70">
        <v>0</v>
      </c>
      <c r="AL399" s="72">
        <v>0</v>
      </c>
      <c r="AM399" s="22"/>
      <c r="AO399" s="22" t="s">
        <v>770</v>
      </c>
      <c r="AP399" s="23" t="s">
        <v>816</v>
      </c>
      <c r="AQ399" s="22" t="s">
        <v>817</v>
      </c>
      <c r="AR399" s="51" t="str">
        <f t="shared" si="285"/>
        <v>ED8B -F03100 -AK</v>
      </c>
      <c r="AS399" s="3"/>
      <c r="AT399" s="22">
        <v>1</v>
      </c>
      <c r="AU399" s="22">
        <v>1</v>
      </c>
      <c r="AV399" s="22">
        <v>1</v>
      </c>
      <c r="AW399" s="22">
        <v>1</v>
      </c>
      <c r="AX399" s="22">
        <v>1</v>
      </c>
      <c r="AY399" s="22">
        <v>1</v>
      </c>
      <c r="AZ399" s="22">
        <v>0</v>
      </c>
      <c r="BA399" s="22">
        <v>0</v>
      </c>
      <c r="BB399" s="64">
        <f t="shared" si="286"/>
        <v>0.9</v>
      </c>
      <c r="BD399" s="60">
        <v>-219.83082051139101</v>
      </c>
      <c r="BE399" s="60">
        <v>-1.46421518523112</v>
      </c>
      <c r="BF399" s="95">
        <v>-1.5</v>
      </c>
      <c r="BG399" s="95">
        <v>0</v>
      </c>
      <c r="BH399" s="95">
        <v>0</v>
      </c>
      <c r="BI399" s="8">
        <f t="shared" si="272"/>
        <v>-222.79503569662214</v>
      </c>
      <c r="BJ399" s="2" t="s">
        <v>91</v>
      </c>
      <c r="BL399" s="70">
        <v>0</v>
      </c>
      <c r="BM399" s="70">
        <v>0</v>
      </c>
      <c r="BO399" s="70">
        <v>0</v>
      </c>
      <c r="BP399" s="70">
        <v>0</v>
      </c>
      <c r="BQ399" s="72">
        <v>0</v>
      </c>
      <c r="BS399" s="61">
        <f t="shared" si="315"/>
        <v>0</v>
      </c>
      <c r="BT399" s="61">
        <f t="shared" si="307"/>
        <v>0</v>
      </c>
      <c r="BU399" s="61">
        <f t="shared" si="308"/>
        <v>0</v>
      </c>
      <c r="BV399" s="61">
        <f t="shared" si="309"/>
        <v>0</v>
      </c>
      <c r="BW399" s="61">
        <f t="shared" si="309"/>
        <v>0</v>
      </c>
      <c r="BX399" s="61">
        <f t="shared" si="319"/>
        <v>0</v>
      </c>
      <c r="BY399" s="61" t="s">
        <v>91</v>
      </c>
      <c r="CA399" s="61">
        <f t="shared" si="273"/>
        <v>0</v>
      </c>
      <c r="CB399" s="61">
        <f t="shared" si="273"/>
        <v>0</v>
      </c>
      <c r="CC399" s="61">
        <f t="shared" si="273"/>
        <v>0</v>
      </c>
      <c r="CD399" s="61">
        <f t="shared" si="273"/>
        <v>0</v>
      </c>
      <c r="CE399" s="61">
        <f t="shared" si="273"/>
        <v>0</v>
      </c>
      <c r="CF399" s="61">
        <f t="shared" si="273"/>
        <v>0</v>
      </c>
      <c r="CG399" s="61">
        <f t="shared" si="273"/>
        <v>0</v>
      </c>
      <c r="CH399" s="61">
        <f t="shared" si="299"/>
        <v>0</v>
      </c>
      <c r="CI399" s="61">
        <f t="shared" si="310"/>
        <v>0</v>
      </c>
      <c r="CJ399" s="61"/>
      <c r="CK399" s="61">
        <f t="shared" si="320"/>
        <v>0</v>
      </c>
      <c r="CL399" s="61">
        <f t="shared" si="320"/>
        <v>0</v>
      </c>
      <c r="CM399" s="61">
        <f t="shared" si="320"/>
        <v>0</v>
      </c>
      <c r="CN399" s="61">
        <f t="shared" si="320"/>
        <v>0</v>
      </c>
      <c r="CO399" s="61">
        <f t="shared" si="320"/>
        <v>0</v>
      </c>
      <c r="CP399" s="61">
        <f t="shared" si="320"/>
        <v>0</v>
      </c>
      <c r="CQ399" s="61">
        <f t="shared" si="320"/>
        <v>0</v>
      </c>
      <c r="CR399" s="61">
        <f t="shared" si="320"/>
        <v>0</v>
      </c>
      <c r="CS399" s="61">
        <f t="shared" si="312"/>
        <v>0</v>
      </c>
      <c r="CT399" s="61">
        <f t="shared" si="313"/>
        <v>0</v>
      </c>
      <c r="CV399" s="61">
        <f t="shared" si="314"/>
        <v>-472350</v>
      </c>
      <c r="CW399" s="61">
        <f t="shared" si="298"/>
        <v>-472350</v>
      </c>
      <c r="CX399" s="61"/>
      <c r="CY399" s="61">
        <f t="shared" si="294"/>
        <v>0</v>
      </c>
      <c r="CZ399" s="61">
        <f t="shared" si="321"/>
        <v>0</v>
      </c>
      <c r="DA399" s="61">
        <f t="shared" si="321"/>
        <v>0</v>
      </c>
      <c r="DB399" s="2" t="s">
        <v>85</v>
      </c>
      <c r="DC399" s="2" t="s">
        <v>86</v>
      </c>
      <c r="DD399" s="2" t="s">
        <v>142</v>
      </c>
      <c r="DE399" s="2" t="s">
        <v>181</v>
      </c>
      <c r="DF399" s="3" t="s">
        <v>86</v>
      </c>
      <c r="DG399" s="62">
        <v>42845</v>
      </c>
      <c r="EC399" s="60"/>
      <c r="ED399" s="60"/>
      <c r="EE399" s="60"/>
      <c r="EF399" s="60"/>
    </row>
    <row r="400" spans="2:140" ht="12.75" hidden="1" customHeight="1">
      <c r="B400" s="99" t="s">
        <v>818</v>
      </c>
      <c r="C400" s="22" t="s">
        <v>805</v>
      </c>
      <c r="D400" s="22" t="s">
        <v>806</v>
      </c>
      <c r="E400" s="2" t="str">
        <f>VLOOKUP($C400,[1]Detail!$C:$AK,6,0)</f>
        <v>PMT1</v>
      </c>
      <c r="F400" s="2" t="str">
        <f>VLOOKUP($C400,[1]Detail!$C:$AK,7,0)</f>
        <v>TH</v>
      </c>
      <c r="G400" s="2" t="str">
        <f>VLOOKUP($C400,[1]Detail!$C:$AK,5,0)</f>
        <v>B</v>
      </c>
      <c r="J400" s="22" t="s">
        <v>767</v>
      </c>
      <c r="K400" s="23" t="s">
        <v>816</v>
      </c>
      <c r="L400" s="22" t="s">
        <v>132</v>
      </c>
      <c r="M400" s="51" t="str">
        <f t="shared" si="287"/>
        <v>JD8B -F03100 -AB</v>
      </c>
      <c r="O400" s="22"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1</v>
      </c>
      <c r="V400" s="22">
        <v>1</v>
      </c>
      <c r="W400" s="64">
        <f t="shared" si="288"/>
        <v>0.1</v>
      </c>
      <c r="Y400" s="8">
        <v>-240.55098336279201</v>
      </c>
      <c r="Z400" s="8">
        <v>-1.46421518523112</v>
      </c>
      <c r="AA400" s="8">
        <v>-1.5</v>
      </c>
      <c r="AB400" s="8">
        <v>0</v>
      </c>
      <c r="AC400" s="8">
        <v>0</v>
      </c>
      <c r="AD400" s="8">
        <f t="shared" si="318"/>
        <v>-243.51519854802314</v>
      </c>
      <c r="AE400" s="2" t="s">
        <v>91</v>
      </c>
      <c r="AG400" s="8">
        <v>-312650</v>
      </c>
      <c r="AH400" s="8">
        <v>-312650</v>
      </c>
      <c r="AI400" s="6"/>
      <c r="AJ400" s="70">
        <v>0</v>
      </c>
      <c r="AK400" s="70">
        <v>0</v>
      </c>
      <c r="AL400" s="72">
        <v>0</v>
      </c>
      <c r="AM400" s="22"/>
      <c r="AO400" s="22" t="s">
        <v>767</v>
      </c>
      <c r="AP400" s="23" t="s">
        <v>816</v>
      </c>
      <c r="AQ400" s="22" t="s">
        <v>100</v>
      </c>
      <c r="AR400" s="51" t="str">
        <f t="shared" si="285"/>
        <v>JD8B -F03100 -AA</v>
      </c>
      <c r="AS400" s="3"/>
      <c r="AT400" s="22">
        <v>0</v>
      </c>
      <c r="AU400" s="22">
        <v>0</v>
      </c>
      <c r="AV400" s="22">
        <v>0</v>
      </c>
      <c r="AW400" s="22">
        <v>0</v>
      </c>
      <c r="AX400" s="22">
        <v>0</v>
      </c>
      <c r="AY400" s="22">
        <v>0</v>
      </c>
      <c r="AZ400" s="22">
        <v>1</v>
      </c>
      <c r="BA400" s="22">
        <v>1</v>
      </c>
      <c r="BB400" s="64">
        <f t="shared" si="286"/>
        <v>0.1</v>
      </c>
      <c r="BD400" s="60">
        <v>-240.55098336279201</v>
      </c>
      <c r="BE400" s="60">
        <v>-1.46421518523112</v>
      </c>
      <c r="BF400" s="95">
        <v>-1.5</v>
      </c>
      <c r="BG400" s="95">
        <v>0</v>
      </c>
      <c r="BH400" s="95">
        <v>0</v>
      </c>
      <c r="BI400" s="8">
        <f t="shared" si="272"/>
        <v>-243.51519854802314</v>
      </c>
      <c r="BJ400" s="2" t="s">
        <v>91</v>
      </c>
      <c r="BL400" s="70">
        <v>-312650</v>
      </c>
      <c r="BM400" s="70">
        <v>-312650</v>
      </c>
      <c r="BO400" s="70">
        <v>0</v>
      </c>
      <c r="BP400" s="70">
        <v>0</v>
      </c>
      <c r="BQ400" s="72">
        <v>0</v>
      </c>
      <c r="BS400" s="61">
        <f t="shared" si="315"/>
        <v>0</v>
      </c>
      <c r="BT400" s="61">
        <f t="shared" si="307"/>
        <v>0</v>
      </c>
      <c r="BU400" s="61">
        <f t="shared" si="308"/>
        <v>0</v>
      </c>
      <c r="BV400" s="61">
        <f t="shared" si="309"/>
        <v>0</v>
      </c>
      <c r="BW400" s="61">
        <f t="shared" si="309"/>
        <v>0</v>
      </c>
      <c r="BX400" s="61">
        <f t="shared" si="319"/>
        <v>0</v>
      </c>
      <c r="BY400" s="61" t="s">
        <v>91</v>
      </c>
      <c r="CA400" s="61">
        <f t="shared" si="273"/>
        <v>0</v>
      </c>
      <c r="CB400" s="61">
        <f t="shared" si="273"/>
        <v>0</v>
      </c>
      <c r="CC400" s="61">
        <f t="shared" si="273"/>
        <v>0</v>
      </c>
      <c r="CD400" s="61">
        <f t="shared" si="273"/>
        <v>0</v>
      </c>
      <c r="CE400" s="61">
        <f t="shared" si="273"/>
        <v>0</v>
      </c>
      <c r="CF400" s="61">
        <f t="shared" si="273"/>
        <v>0</v>
      </c>
      <c r="CG400" s="61">
        <f t="shared" si="273"/>
        <v>0</v>
      </c>
      <c r="CH400" s="61">
        <f t="shared" si="299"/>
        <v>0</v>
      </c>
      <c r="CI400" s="61">
        <f t="shared" si="310"/>
        <v>0</v>
      </c>
      <c r="CJ400" s="61"/>
      <c r="CK400" s="61">
        <f t="shared" si="320"/>
        <v>0</v>
      </c>
      <c r="CL400" s="61">
        <f t="shared" si="320"/>
        <v>0</v>
      </c>
      <c r="CM400" s="61">
        <f t="shared" si="320"/>
        <v>0</v>
      </c>
      <c r="CN400" s="61">
        <f t="shared" si="320"/>
        <v>0</v>
      </c>
      <c r="CO400" s="61">
        <f t="shared" si="320"/>
        <v>0</v>
      </c>
      <c r="CP400" s="61">
        <f t="shared" si="320"/>
        <v>0</v>
      </c>
      <c r="CQ400" s="61">
        <f t="shared" si="320"/>
        <v>0</v>
      </c>
      <c r="CR400" s="61">
        <f t="shared" si="320"/>
        <v>0</v>
      </c>
      <c r="CS400" s="61">
        <f t="shared" si="312"/>
        <v>0</v>
      </c>
      <c r="CT400" s="61">
        <f t="shared" si="313"/>
        <v>0</v>
      </c>
      <c r="CV400" s="61">
        <f t="shared" si="314"/>
        <v>0</v>
      </c>
      <c r="CW400" s="61">
        <f t="shared" si="298"/>
        <v>0</v>
      </c>
      <c r="CX400" s="61"/>
      <c r="CY400" s="61">
        <f t="shared" si="294"/>
        <v>0</v>
      </c>
      <c r="CZ400" s="61">
        <f t="shared" si="321"/>
        <v>0</v>
      </c>
      <c r="DA400" s="61">
        <f t="shared" si="321"/>
        <v>0</v>
      </c>
      <c r="DB400" s="2" t="s">
        <v>85</v>
      </c>
      <c r="DC400" s="2" t="s">
        <v>85</v>
      </c>
      <c r="DD400" s="2" t="s">
        <v>142</v>
      </c>
      <c r="DE400" s="2" t="s">
        <v>181</v>
      </c>
      <c r="DF400" s="3" t="s">
        <v>86</v>
      </c>
      <c r="DG400" s="62">
        <v>42838</v>
      </c>
      <c r="EC400" s="60"/>
      <c r="ED400" s="60"/>
      <c r="EE400" s="60"/>
      <c r="EF400" s="60"/>
    </row>
    <row r="401" spans="2:140" ht="12.75" hidden="1" customHeight="1">
      <c r="B401" s="99" t="s">
        <v>818</v>
      </c>
      <c r="C401" s="22" t="s">
        <v>805</v>
      </c>
      <c r="D401" s="22" t="s">
        <v>806</v>
      </c>
      <c r="E401" s="2" t="str">
        <f>VLOOKUP($C401,[1]Detail!$C:$AK,6,0)</f>
        <v>PMT1</v>
      </c>
      <c r="F401" s="2" t="str">
        <f>VLOOKUP($C401,[1]Detail!$C:$AK,7,0)</f>
        <v>TH</v>
      </c>
      <c r="G401" s="2" t="str">
        <f>VLOOKUP($C401,[1]Detail!$C:$AK,5,0)</f>
        <v>B</v>
      </c>
      <c r="J401" s="22" t="s">
        <v>767</v>
      </c>
      <c r="K401" s="23" t="s">
        <v>816</v>
      </c>
      <c r="L401" s="22" t="s">
        <v>120</v>
      </c>
      <c r="M401" s="51" t="str">
        <f t="shared" si="287"/>
        <v>JD8B -F03100 -BB</v>
      </c>
      <c r="O401" s="22">
        <v>1</v>
      </c>
      <c r="P401" s="22">
        <v>1</v>
      </c>
      <c r="Q401" s="22">
        <v>1</v>
      </c>
      <c r="R401" s="22">
        <v>1</v>
      </c>
      <c r="S401" s="22">
        <v>1</v>
      </c>
      <c r="T401" s="22">
        <v>1</v>
      </c>
      <c r="U401" s="22">
        <v>0</v>
      </c>
      <c r="V401" s="22">
        <v>0</v>
      </c>
      <c r="W401" s="64">
        <f t="shared" si="288"/>
        <v>0.9</v>
      </c>
      <c r="Y401" s="8">
        <v>-219.83082051139101</v>
      </c>
      <c r="Z401" s="8">
        <v>-1.46421518523112</v>
      </c>
      <c r="AA401" s="8">
        <v>-1.5</v>
      </c>
      <c r="AB401" s="8">
        <v>0</v>
      </c>
      <c r="AC401" s="8">
        <v>0</v>
      </c>
      <c r="AD401" s="8">
        <f t="shared" si="318"/>
        <v>-222.79503569662214</v>
      </c>
      <c r="AE401" s="2" t="s">
        <v>91</v>
      </c>
      <c r="AG401" s="8">
        <v>-472350</v>
      </c>
      <c r="AH401" s="8">
        <v>-472350</v>
      </c>
      <c r="AI401" s="6"/>
      <c r="AJ401" s="70">
        <v>0</v>
      </c>
      <c r="AK401" s="70">
        <v>0</v>
      </c>
      <c r="AL401" s="72">
        <v>0</v>
      </c>
      <c r="AM401" s="22"/>
      <c r="AO401" s="22" t="s">
        <v>767</v>
      </c>
      <c r="AP401" s="23" t="s">
        <v>816</v>
      </c>
      <c r="AQ401" s="22" t="s">
        <v>111</v>
      </c>
      <c r="AR401" s="51" t="str">
        <f t="shared" si="285"/>
        <v>JD8B -F03100 -BA</v>
      </c>
      <c r="AS401" s="3"/>
      <c r="AT401" s="22">
        <v>1</v>
      </c>
      <c r="AU401" s="22">
        <v>1</v>
      </c>
      <c r="AV401" s="22">
        <v>1</v>
      </c>
      <c r="AW401" s="22">
        <v>1</v>
      </c>
      <c r="AX401" s="22">
        <v>1</v>
      </c>
      <c r="AY401" s="22">
        <v>1</v>
      </c>
      <c r="AZ401" s="22">
        <v>0</v>
      </c>
      <c r="BA401" s="22">
        <v>0</v>
      </c>
      <c r="BB401" s="64">
        <f t="shared" si="286"/>
        <v>0.9</v>
      </c>
      <c r="BD401" s="60">
        <v>-219.83082051139101</v>
      </c>
      <c r="BE401" s="60">
        <v>-1.46421518523112</v>
      </c>
      <c r="BF401" s="95">
        <v>-1.5</v>
      </c>
      <c r="BG401" s="95">
        <v>0</v>
      </c>
      <c r="BH401" s="95">
        <v>0</v>
      </c>
      <c r="BI401" s="8">
        <f t="shared" si="272"/>
        <v>-222.79503569662214</v>
      </c>
      <c r="BJ401" s="2" t="s">
        <v>91</v>
      </c>
      <c r="BL401" s="70">
        <v>-472350</v>
      </c>
      <c r="BM401" s="70">
        <v>-472350</v>
      </c>
      <c r="BO401" s="70">
        <v>0</v>
      </c>
      <c r="BP401" s="70">
        <v>0</v>
      </c>
      <c r="BQ401" s="72">
        <v>0</v>
      </c>
      <c r="BS401" s="61">
        <f t="shared" si="315"/>
        <v>0</v>
      </c>
      <c r="BT401" s="61">
        <f t="shared" si="307"/>
        <v>0</v>
      </c>
      <c r="BU401" s="61">
        <f t="shared" si="308"/>
        <v>0</v>
      </c>
      <c r="BV401" s="61">
        <f t="shared" si="309"/>
        <v>0</v>
      </c>
      <c r="BW401" s="61">
        <f t="shared" si="309"/>
        <v>0</v>
      </c>
      <c r="BX401" s="61">
        <f t="shared" si="319"/>
        <v>0</v>
      </c>
      <c r="BY401" s="61" t="s">
        <v>91</v>
      </c>
      <c r="CA401" s="61">
        <f t="shared" si="273"/>
        <v>0</v>
      </c>
      <c r="CB401" s="61">
        <f t="shared" si="273"/>
        <v>0</v>
      </c>
      <c r="CC401" s="61">
        <f t="shared" si="273"/>
        <v>0</v>
      </c>
      <c r="CD401" s="61">
        <f t="shared" si="273"/>
        <v>0</v>
      </c>
      <c r="CE401" s="61">
        <f t="shared" si="273"/>
        <v>0</v>
      </c>
      <c r="CF401" s="61">
        <f t="shared" si="273"/>
        <v>0</v>
      </c>
      <c r="CG401" s="61">
        <f t="shared" si="273"/>
        <v>0</v>
      </c>
      <c r="CH401" s="61">
        <f t="shared" si="299"/>
        <v>0</v>
      </c>
      <c r="CI401" s="61">
        <f t="shared" si="310"/>
        <v>0</v>
      </c>
      <c r="CJ401" s="61"/>
      <c r="CK401" s="61">
        <f t="shared" si="320"/>
        <v>0</v>
      </c>
      <c r="CL401" s="61">
        <f t="shared" si="320"/>
        <v>0</v>
      </c>
      <c r="CM401" s="61">
        <f t="shared" si="320"/>
        <v>0</v>
      </c>
      <c r="CN401" s="61">
        <f t="shared" si="320"/>
        <v>0</v>
      </c>
      <c r="CO401" s="61">
        <f t="shared" si="320"/>
        <v>0</v>
      </c>
      <c r="CP401" s="61">
        <f t="shared" si="320"/>
        <v>0</v>
      </c>
      <c r="CQ401" s="61">
        <f t="shared" si="320"/>
        <v>0</v>
      </c>
      <c r="CR401" s="61">
        <f t="shared" si="320"/>
        <v>0</v>
      </c>
      <c r="CS401" s="61">
        <f t="shared" si="312"/>
        <v>0</v>
      </c>
      <c r="CT401" s="61">
        <f t="shared" si="313"/>
        <v>0</v>
      </c>
      <c r="CV401" s="61">
        <f t="shared" si="314"/>
        <v>0</v>
      </c>
      <c r="CW401" s="61">
        <f t="shared" si="298"/>
        <v>0</v>
      </c>
      <c r="CX401" s="61"/>
      <c r="CY401" s="61">
        <f t="shared" si="294"/>
        <v>0</v>
      </c>
      <c r="CZ401" s="61">
        <f t="shared" si="321"/>
        <v>0</v>
      </c>
      <c r="DA401" s="61">
        <f t="shared" si="321"/>
        <v>0</v>
      </c>
      <c r="DB401" s="2" t="s">
        <v>85</v>
      </c>
      <c r="DC401" s="2" t="s">
        <v>85</v>
      </c>
      <c r="DD401" s="2" t="s">
        <v>142</v>
      </c>
      <c r="DE401" s="2" t="s">
        <v>181</v>
      </c>
      <c r="DF401" s="3" t="s">
        <v>86</v>
      </c>
      <c r="DG401" s="62">
        <v>42838</v>
      </c>
      <c r="EC401" s="60"/>
      <c r="ED401" s="60"/>
      <c r="EE401" s="60"/>
      <c r="EF401" s="60"/>
    </row>
    <row r="402" spans="2:140" ht="12.75" hidden="1" customHeight="1">
      <c r="B402" s="99" t="s">
        <v>819</v>
      </c>
      <c r="C402" s="22" t="s">
        <v>145</v>
      </c>
      <c r="D402" s="22" t="s">
        <v>388</v>
      </c>
      <c r="E402" s="2" t="str">
        <f>VLOOKUP($C402,[1]Detail!$C:$AK,6,0)</f>
        <v>BIW</v>
      </c>
      <c r="F402" s="2" t="str">
        <f>VLOOKUP($C402,[1]Detail!$C:$AK,7,0)</f>
        <v>TH</v>
      </c>
      <c r="G402" s="2" t="str">
        <f>VLOOKUP($C402,[1]Detail!$C:$AK,5,0)</f>
        <v>D</v>
      </c>
      <c r="J402" s="22" t="s">
        <v>767</v>
      </c>
      <c r="K402" s="23" t="s">
        <v>820</v>
      </c>
      <c r="L402" s="22" t="s">
        <v>100</v>
      </c>
      <c r="M402" s="51" t="str">
        <f t="shared" si="287"/>
        <v>JD8B -F431F92 -AA</v>
      </c>
      <c r="O402" s="22">
        <v>1</v>
      </c>
      <c r="P402" s="22">
        <v>1</v>
      </c>
      <c r="Q402" s="22">
        <v>1</v>
      </c>
      <c r="R402" s="22">
        <v>1</v>
      </c>
      <c r="S402" s="22">
        <v>1</v>
      </c>
      <c r="T402" s="22">
        <v>1</v>
      </c>
      <c r="U402" s="22">
        <v>1</v>
      </c>
      <c r="V402" s="22">
        <v>1</v>
      </c>
      <c r="W402" s="64">
        <f t="shared" si="288"/>
        <v>1</v>
      </c>
      <c r="Y402" s="8">
        <v>-1.65</v>
      </c>
      <c r="Z402" s="8">
        <v>-0.03</v>
      </c>
      <c r="AA402" s="8">
        <v>-0.04</v>
      </c>
      <c r="AB402" s="8">
        <v>0</v>
      </c>
      <c r="AC402" s="8">
        <v>0</v>
      </c>
      <c r="AD402" s="8">
        <f t="shared" si="318"/>
        <v>-1.72</v>
      </c>
      <c r="AE402" s="2" t="s">
        <v>91</v>
      </c>
      <c r="AG402" s="8">
        <v>-275476</v>
      </c>
      <c r="AH402" s="8">
        <v>-275476</v>
      </c>
      <c r="AI402" s="6"/>
      <c r="AJ402" s="70">
        <v>0</v>
      </c>
      <c r="AK402" s="70">
        <v>0</v>
      </c>
      <c r="AL402" s="72">
        <v>0</v>
      </c>
      <c r="AM402" s="22" t="s">
        <v>821</v>
      </c>
      <c r="AO402" s="22"/>
      <c r="AP402" s="23"/>
      <c r="AQ402" s="22"/>
      <c r="AR402" s="51"/>
      <c r="AS402" s="3"/>
      <c r="AT402" s="22"/>
      <c r="AU402" s="22"/>
      <c r="AV402" s="22"/>
      <c r="AW402" s="22"/>
      <c r="AX402" s="22"/>
      <c r="AY402" s="22"/>
      <c r="AZ402" s="22"/>
      <c r="BA402" s="22"/>
      <c r="BB402" s="64"/>
      <c r="BD402" s="60"/>
      <c r="BE402" s="60"/>
      <c r="BF402" s="95"/>
      <c r="BG402" s="95"/>
      <c r="BH402" s="95"/>
      <c r="BI402" s="8"/>
      <c r="BL402" s="70"/>
      <c r="BM402" s="70"/>
      <c r="BO402" s="70"/>
      <c r="BP402" s="70"/>
      <c r="BQ402" s="72"/>
      <c r="BS402" s="61">
        <f t="shared" si="315"/>
        <v>-1.65</v>
      </c>
      <c r="BT402" s="61">
        <f t="shared" si="307"/>
        <v>-0.03</v>
      </c>
      <c r="BU402" s="61">
        <f t="shared" si="308"/>
        <v>-0.04</v>
      </c>
      <c r="BV402" s="61">
        <f t="shared" si="309"/>
        <v>0</v>
      </c>
      <c r="BW402" s="61">
        <f t="shared" si="309"/>
        <v>0</v>
      </c>
      <c r="BX402" s="61">
        <f t="shared" si="319"/>
        <v>-1.72</v>
      </c>
      <c r="BY402" s="61" t="s">
        <v>91</v>
      </c>
      <c r="CA402" s="61">
        <f t="shared" si="273"/>
        <v>-0.24823228524146229</v>
      </c>
      <c r="CB402" s="61">
        <f t="shared" si="273"/>
        <v>-0.24823228524146229</v>
      </c>
      <c r="CC402" s="61">
        <f t="shared" si="273"/>
        <v>-0.24823228524146229</v>
      </c>
      <c r="CD402" s="61">
        <f t="shared" si="273"/>
        <v>-0.24823228524146229</v>
      </c>
      <c r="CE402" s="61">
        <f t="shared" si="273"/>
        <v>-0.24823228524146229</v>
      </c>
      <c r="CF402" s="61">
        <f t="shared" si="273"/>
        <v>-0.24823228524146229</v>
      </c>
      <c r="CG402" s="61">
        <f t="shared" si="273"/>
        <v>-0.24823228524146229</v>
      </c>
      <c r="CH402" s="61">
        <f t="shared" si="299"/>
        <v>-0.24823228524146229</v>
      </c>
      <c r="CI402" s="61">
        <f t="shared" si="310"/>
        <v>-0.24823228524146229</v>
      </c>
      <c r="CJ402" s="61"/>
      <c r="CK402" s="61">
        <f t="shared" si="320"/>
        <v>-0.25876335188806981</v>
      </c>
      <c r="CL402" s="61">
        <f t="shared" si="320"/>
        <v>-0.25876335188806981</v>
      </c>
      <c r="CM402" s="61">
        <f t="shared" si="320"/>
        <v>-0.25876335188806981</v>
      </c>
      <c r="CN402" s="61">
        <f t="shared" si="320"/>
        <v>-0.25876335188806981</v>
      </c>
      <c r="CO402" s="61">
        <f t="shared" si="320"/>
        <v>-0.25876335188806981</v>
      </c>
      <c r="CP402" s="61">
        <f t="shared" si="320"/>
        <v>-0.25876335188806981</v>
      </c>
      <c r="CQ402" s="61">
        <f t="shared" si="320"/>
        <v>-0.25876335188806981</v>
      </c>
      <c r="CR402" s="61">
        <f t="shared" si="320"/>
        <v>-0.25876335188806981</v>
      </c>
      <c r="CS402" s="61">
        <f t="shared" si="312"/>
        <v>-0.25876335188806981</v>
      </c>
      <c r="CT402" s="61">
        <f t="shared" si="313"/>
        <v>-1.7200000000000002</v>
      </c>
      <c r="CV402" s="61">
        <f t="shared" si="314"/>
        <v>-275476</v>
      </c>
      <c r="CW402" s="61">
        <f t="shared" si="298"/>
        <v>-275476</v>
      </c>
      <c r="CX402" s="61"/>
      <c r="CY402" s="61">
        <f t="shared" si="294"/>
        <v>0</v>
      </c>
      <c r="CZ402" s="61">
        <f t="shared" si="321"/>
        <v>0</v>
      </c>
      <c r="DA402" s="61">
        <f t="shared" si="321"/>
        <v>0</v>
      </c>
      <c r="DB402" s="2" t="s">
        <v>85</v>
      </c>
      <c r="DC402" s="2" t="s">
        <v>86</v>
      </c>
      <c r="DD402" s="2" t="s">
        <v>142</v>
      </c>
      <c r="DE402" s="2" t="s">
        <v>181</v>
      </c>
      <c r="DG402" s="62"/>
      <c r="DZ402" s="3" t="e">
        <v>#N/A</v>
      </c>
      <c r="EC402" s="60"/>
      <c r="ED402" s="60"/>
      <c r="EE402" s="60"/>
      <c r="EF402" s="60"/>
    </row>
    <row r="403" spans="2:140" ht="12.75" hidden="1" customHeight="1">
      <c r="B403" s="99" t="s">
        <v>819</v>
      </c>
      <c r="C403" s="22" t="s">
        <v>145</v>
      </c>
      <c r="D403" s="22" t="s">
        <v>518</v>
      </c>
      <c r="E403" s="2" t="str">
        <f>VLOOKUP($C403,[1]Detail!$C:$AK,6,0)</f>
        <v>BIW</v>
      </c>
      <c r="F403" s="2" t="str">
        <f>VLOOKUP($C403,[1]Detail!$C:$AK,7,0)</f>
        <v>TH</v>
      </c>
      <c r="G403" s="2" t="str">
        <f>VLOOKUP($C403,[1]Detail!$C:$AK,5,0)</f>
        <v>D</v>
      </c>
      <c r="J403" s="22"/>
      <c r="K403" s="23" t="s">
        <v>822</v>
      </c>
      <c r="L403" s="22" t="s">
        <v>823</v>
      </c>
      <c r="M403" s="51" t="str">
        <f t="shared" si="287"/>
        <v>-W705212 -S300 </v>
      </c>
      <c r="O403" s="22">
        <v>2</v>
      </c>
      <c r="P403" s="22">
        <v>2</v>
      </c>
      <c r="Q403" s="22">
        <v>2</v>
      </c>
      <c r="R403" s="22">
        <v>2</v>
      </c>
      <c r="S403" s="22">
        <v>2</v>
      </c>
      <c r="T403" s="22">
        <v>2</v>
      </c>
      <c r="U403" s="22">
        <v>2</v>
      </c>
      <c r="V403" s="22">
        <v>2</v>
      </c>
      <c r="W403" s="64">
        <f t="shared" si="288"/>
        <v>2</v>
      </c>
      <c r="Y403" s="8">
        <v>-0.14000000000000001</v>
      </c>
      <c r="Z403" s="8">
        <v>0</v>
      </c>
      <c r="AA403" s="8">
        <v>0</v>
      </c>
      <c r="AB403" s="8">
        <v>0</v>
      </c>
      <c r="AC403" s="8">
        <v>0</v>
      </c>
      <c r="AD403" s="8">
        <f t="shared" si="318"/>
        <v>-0.14000000000000001</v>
      </c>
      <c r="AE403" s="2" t="s">
        <v>91</v>
      </c>
      <c r="AG403" s="8">
        <v>0</v>
      </c>
      <c r="AH403" s="8">
        <v>0</v>
      </c>
      <c r="AJ403" s="70">
        <v>0</v>
      </c>
      <c r="AK403" s="70">
        <v>0</v>
      </c>
      <c r="AL403" s="72">
        <v>0</v>
      </c>
      <c r="AM403" s="22" t="s">
        <v>821</v>
      </c>
      <c r="AO403" s="22"/>
      <c r="AP403" s="23"/>
      <c r="AQ403" s="22"/>
      <c r="AR403" s="51"/>
      <c r="AS403" s="3"/>
      <c r="AT403" s="22"/>
      <c r="AU403" s="22"/>
      <c r="AV403" s="22"/>
      <c r="AW403" s="22"/>
      <c r="AX403" s="22"/>
      <c r="AY403" s="22"/>
      <c r="AZ403" s="22"/>
      <c r="BA403" s="22"/>
      <c r="BB403" s="64"/>
      <c r="BD403" s="60"/>
      <c r="BE403" s="60"/>
      <c r="BF403" s="95"/>
      <c r="BG403" s="95"/>
      <c r="BH403" s="95"/>
      <c r="BI403" s="8"/>
      <c r="BL403" s="70"/>
      <c r="BM403" s="70"/>
      <c r="BO403" s="70"/>
      <c r="BP403" s="70"/>
      <c r="BQ403" s="72"/>
      <c r="BS403" s="61">
        <f t="shared" si="315"/>
        <v>-0.14000000000000001</v>
      </c>
      <c r="BT403" s="61">
        <f t="shared" si="307"/>
        <v>0</v>
      </c>
      <c r="BU403" s="61">
        <f t="shared" si="308"/>
        <v>0</v>
      </c>
      <c r="BV403" s="61">
        <f t="shared" si="309"/>
        <v>0</v>
      </c>
      <c r="BW403" s="61">
        <f t="shared" si="309"/>
        <v>0</v>
      </c>
      <c r="BX403" s="61">
        <f t="shared" si="319"/>
        <v>-0.14000000000000001</v>
      </c>
      <c r="BY403" s="61" t="s">
        <v>91</v>
      </c>
      <c r="CA403" s="61">
        <f t="shared" si="273"/>
        <v>-4.2124266586429968E-2</v>
      </c>
      <c r="CB403" s="61">
        <f t="shared" si="273"/>
        <v>-4.2124266586429968E-2</v>
      </c>
      <c r="CC403" s="61">
        <f t="shared" si="273"/>
        <v>-4.2124266586429968E-2</v>
      </c>
      <c r="CD403" s="61">
        <f t="shared" si="273"/>
        <v>-4.2124266586429968E-2</v>
      </c>
      <c r="CE403" s="61">
        <f t="shared" si="273"/>
        <v>-4.2124266586429968E-2</v>
      </c>
      <c r="CF403" s="61">
        <f t="shared" si="273"/>
        <v>-4.2124266586429968E-2</v>
      </c>
      <c r="CG403" s="61">
        <f t="shared" si="273"/>
        <v>-4.2124266586429968E-2</v>
      </c>
      <c r="CH403" s="61">
        <f t="shared" si="299"/>
        <v>-4.2124266586429968E-2</v>
      </c>
      <c r="CI403" s="61">
        <f t="shared" si="310"/>
        <v>-4.2124266586429968E-2</v>
      </c>
      <c r="CJ403" s="61"/>
      <c r="CK403" s="61">
        <f t="shared" si="320"/>
        <v>-4.2124266586429968E-2</v>
      </c>
      <c r="CL403" s="61">
        <f t="shared" si="320"/>
        <v>-4.2124266586429968E-2</v>
      </c>
      <c r="CM403" s="61">
        <f t="shared" si="320"/>
        <v>-4.2124266586429968E-2</v>
      </c>
      <c r="CN403" s="61">
        <f t="shared" si="320"/>
        <v>-4.2124266586429968E-2</v>
      </c>
      <c r="CO403" s="61">
        <f t="shared" si="320"/>
        <v>-4.2124266586429968E-2</v>
      </c>
      <c r="CP403" s="61">
        <f t="shared" si="320"/>
        <v>-4.2124266586429968E-2</v>
      </c>
      <c r="CQ403" s="61">
        <f t="shared" si="320"/>
        <v>-4.2124266586429968E-2</v>
      </c>
      <c r="CR403" s="61">
        <f t="shared" si="320"/>
        <v>-4.2124266586429968E-2</v>
      </c>
      <c r="CS403" s="61">
        <f t="shared" si="312"/>
        <v>-4.2124266586429968E-2</v>
      </c>
      <c r="CT403" s="61">
        <f t="shared" si="313"/>
        <v>-0.28000000000000003</v>
      </c>
      <c r="CV403" s="61">
        <f t="shared" si="314"/>
        <v>0</v>
      </c>
      <c r="CW403" s="61">
        <f t="shared" si="298"/>
        <v>0</v>
      </c>
      <c r="CX403" s="61"/>
      <c r="CY403" s="61">
        <f t="shared" si="294"/>
        <v>0</v>
      </c>
      <c r="CZ403" s="61">
        <f t="shared" si="321"/>
        <v>0</v>
      </c>
      <c r="DA403" s="61">
        <f t="shared" si="321"/>
        <v>0</v>
      </c>
      <c r="DB403" s="2" t="s">
        <v>86</v>
      </c>
      <c r="DC403" s="2" t="s">
        <v>86</v>
      </c>
      <c r="DD403" s="2" t="s">
        <v>142</v>
      </c>
      <c r="DE403" s="2" t="s">
        <v>181</v>
      </c>
      <c r="DG403" s="62"/>
      <c r="DZ403" s="3" t="e">
        <v>#N/A</v>
      </c>
      <c r="EC403" s="60" t="str">
        <f>VLOOKUP($M403,[1]Detail!$M:$BO,1,0)</f>
        <v>-W705212 -S300 </v>
      </c>
      <c r="ED403" s="60">
        <f>VLOOKUP($M403,[1]Detail!$M:$BO,22,0)</f>
        <v>-0.14000000000000001</v>
      </c>
      <c r="EE403" s="60">
        <f>VLOOKUP($M403,[1]Detail!$M:$BO,42,0)</f>
        <v>0</v>
      </c>
      <c r="EF403" s="60">
        <f>VLOOKUP($M403,[1]Detail!$M:$BO,45,0)</f>
        <v>0</v>
      </c>
      <c r="EH403" s="60">
        <f>ED403-AD403</f>
        <v>0</v>
      </c>
      <c r="EI403" s="60">
        <f>EE403-AG403</f>
        <v>0</v>
      </c>
      <c r="EJ403" s="60">
        <f t="shared" ref="EJ403:EJ407" si="325">EF403-AJ403</f>
        <v>0</v>
      </c>
    </row>
    <row r="404" spans="2:140" ht="12.75" hidden="1" customHeight="1">
      <c r="B404" s="99" t="s">
        <v>824</v>
      </c>
      <c r="C404" s="22" t="s">
        <v>145</v>
      </c>
      <c r="D404" s="22" t="s">
        <v>388</v>
      </c>
      <c r="E404" s="2" t="str">
        <f>VLOOKUP($C404,[1]Detail!$C:$AK,6,0)</f>
        <v>BIW</v>
      </c>
      <c r="F404" s="2" t="str">
        <f>VLOOKUP($C404,[1]Detail!$C:$AK,7,0)</f>
        <v>TH</v>
      </c>
      <c r="G404" s="2" t="str">
        <f>VLOOKUP($C404,[1]Detail!$C:$AK,5,0)</f>
        <v>D</v>
      </c>
      <c r="J404" s="22" t="s">
        <v>767</v>
      </c>
      <c r="K404" s="23" t="s">
        <v>820</v>
      </c>
      <c r="L404" s="22" t="s">
        <v>132</v>
      </c>
      <c r="M404" s="51" t="str">
        <f t="shared" si="287"/>
        <v>JD8B -F431F92 -AB</v>
      </c>
      <c r="O404" s="22">
        <v>1</v>
      </c>
      <c r="P404" s="22">
        <v>1</v>
      </c>
      <c r="Q404" s="22">
        <v>1</v>
      </c>
      <c r="R404" s="22">
        <v>1</v>
      </c>
      <c r="S404" s="22">
        <v>1</v>
      </c>
      <c r="T404" s="22">
        <v>1</v>
      </c>
      <c r="U404" s="22">
        <v>1</v>
      </c>
      <c r="V404" s="22">
        <v>1</v>
      </c>
      <c r="W404" s="64">
        <f t="shared" si="288"/>
        <v>1</v>
      </c>
      <c r="Y404" s="8">
        <v>-1.65</v>
      </c>
      <c r="Z404" s="8">
        <v>-0.03</v>
      </c>
      <c r="AA404" s="8">
        <v>-0.04</v>
      </c>
      <c r="AB404" s="8">
        <v>0</v>
      </c>
      <c r="AC404" s="8">
        <v>0</v>
      </c>
      <c r="AD404" s="8">
        <f t="shared" si="318"/>
        <v>-1.72</v>
      </c>
      <c r="AE404" s="2" t="s">
        <v>91</v>
      </c>
      <c r="AG404" s="8">
        <v>-275476</v>
      </c>
      <c r="AH404" s="8">
        <v>-275476</v>
      </c>
      <c r="AI404" s="6"/>
      <c r="AJ404" s="70">
        <v>0</v>
      </c>
      <c r="AK404" s="70">
        <v>0</v>
      </c>
      <c r="AL404" s="72">
        <v>0</v>
      </c>
      <c r="AM404" s="22" t="s">
        <v>821</v>
      </c>
      <c r="AO404" s="22" t="s">
        <v>767</v>
      </c>
      <c r="AP404" s="23" t="s">
        <v>820</v>
      </c>
      <c r="AQ404" s="22" t="s">
        <v>100</v>
      </c>
      <c r="AR404" s="51" t="str">
        <f t="shared" ref="AR404:AR454" si="326">TRIM(AO404)&amp;"-"&amp;TRIM(AP404)&amp;"-"&amp;TRIM(AQ404)</f>
        <v>JD8B -F431F92 -AA</v>
      </c>
      <c r="AS404" s="3"/>
      <c r="AT404" s="22">
        <v>1</v>
      </c>
      <c r="AU404" s="22">
        <v>1</v>
      </c>
      <c r="AV404" s="22">
        <v>1</v>
      </c>
      <c r="AW404" s="22">
        <v>1</v>
      </c>
      <c r="AX404" s="22">
        <v>1</v>
      </c>
      <c r="AY404" s="22">
        <v>1</v>
      </c>
      <c r="AZ404" s="22">
        <v>1</v>
      </c>
      <c r="BA404" s="22">
        <v>1</v>
      </c>
      <c r="BB404" s="64">
        <f t="shared" ref="BB404:BB448" si="327">SUMPRODUCT(AT404:BA404,$O$6:$V$6)</f>
        <v>1</v>
      </c>
      <c r="BD404" s="60">
        <v>-1.65</v>
      </c>
      <c r="BE404" s="60">
        <v>-0.03</v>
      </c>
      <c r="BF404" s="95">
        <v>-0.04</v>
      </c>
      <c r="BG404" s="95">
        <v>0</v>
      </c>
      <c r="BH404" s="95">
        <v>0</v>
      </c>
      <c r="BI404" s="8">
        <f t="shared" ref="BI404:BI454" si="328">SUM(BD404:BH404)</f>
        <v>-1.72</v>
      </c>
      <c r="BJ404" s="2" t="s">
        <v>91</v>
      </c>
      <c r="BL404" s="70">
        <v>-275476</v>
      </c>
      <c r="BM404" s="70">
        <v>-275476</v>
      </c>
      <c r="BO404" s="70">
        <v>0</v>
      </c>
      <c r="BP404" s="70">
        <v>0</v>
      </c>
      <c r="BQ404" s="72">
        <v>0</v>
      </c>
      <c r="BS404" s="61">
        <f t="shared" si="315"/>
        <v>0</v>
      </c>
      <c r="BT404" s="61">
        <f t="shared" si="307"/>
        <v>0</v>
      </c>
      <c r="BU404" s="61">
        <f t="shared" si="308"/>
        <v>0</v>
      </c>
      <c r="BV404" s="61">
        <f t="shared" si="309"/>
        <v>0</v>
      </c>
      <c r="BW404" s="61">
        <f t="shared" si="309"/>
        <v>0</v>
      </c>
      <c r="BX404" s="61">
        <f t="shared" si="319"/>
        <v>0</v>
      </c>
      <c r="BY404" s="61" t="s">
        <v>91</v>
      </c>
      <c r="CA404" s="61">
        <f t="shared" si="273"/>
        <v>0</v>
      </c>
      <c r="CB404" s="61">
        <f t="shared" si="273"/>
        <v>0</v>
      </c>
      <c r="CC404" s="61">
        <f t="shared" si="273"/>
        <v>0</v>
      </c>
      <c r="CD404" s="61">
        <f t="shared" ref="CD404:CH467" si="329">($Y404*R404-AW404*$BD404)/$C$2</f>
        <v>0</v>
      </c>
      <c r="CE404" s="61">
        <f t="shared" si="329"/>
        <v>0</v>
      </c>
      <c r="CF404" s="61">
        <f t="shared" si="329"/>
        <v>0</v>
      </c>
      <c r="CG404" s="61">
        <f t="shared" si="329"/>
        <v>0</v>
      </c>
      <c r="CH404" s="61">
        <f t="shared" si="299"/>
        <v>0</v>
      </c>
      <c r="CI404" s="61">
        <f t="shared" si="310"/>
        <v>0</v>
      </c>
      <c r="CJ404" s="61"/>
      <c r="CK404" s="61">
        <f t="shared" si="320"/>
        <v>0</v>
      </c>
      <c r="CL404" s="61">
        <f t="shared" si="320"/>
        <v>0</v>
      </c>
      <c r="CM404" s="61">
        <f t="shared" si="320"/>
        <v>0</v>
      </c>
      <c r="CN404" s="61">
        <f t="shared" si="320"/>
        <v>0</v>
      </c>
      <c r="CO404" s="61">
        <f t="shared" si="320"/>
        <v>0</v>
      </c>
      <c r="CP404" s="61">
        <f t="shared" si="320"/>
        <v>0</v>
      </c>
      <c r="CQ404" s="61">
        <f t="shared" si="320"/>
        <v>0</v>
      </c>
      <c r="CR404" s="61">
        <f t="shared" si="320"/>
        <v>0</v>
      </c>
      <c r="CS404" s="61">
        <f t="shared" si="312"/>
        <v>0</v>
      </c>
      <c r="CT404" s="61">
        <f t="shared" si="313"/>
        <v>0</v>
      </c>
      <c r="CV404" s="61">
        <f t="shared" si="314"/>
        <v>0</v>
      </c>
      <c r="CW404" s="61">
        <f t="shared" si="298"/>
        <v>0</v>
      </c>
      <c r="CX404" s="61"/>
      <c r="CY404" s="61">
        <f t="shared" si="294"/>
        <v>0</v>
      </c>
      <c r="CZ404" s="61">
        <f t="shared" si="321"/>
        <v>0</v>
      </c>
      <c r="DA404" s="61">
        <f t="shared" si="321"/>
        <v>0</v>
      </c>
      <c r="DB404" s="2" t="s">
        <v>86</v>
      </c>
      <c r="DC404" s="2" t="s">
        <v>85</v>
      </c>
      <c r="DD404" s="2" t="s">
        <v>142</v>
      </c>
      <c r="DE404" s="2" t="s">
        <v>181</v>
      </c>
      <c r="DF404" s="3" t="s">
        <v>86</v>
      </c>
      <c r="DG404" s="62">
        <v>42838</v>
      </c>
      <c r="EC404" s="60" t="str">
        <f>VLOOKUP($M404,[1]Detail!$M:$BO,1,0)</f>
        <v>JD8B -F431F92 -AB</v>
      </c>
      <c r="ED404" s="60">
        <f>VLOOKUP($M404,[1]Detail!$M:$BO,22,0)</f>
        <v>-1.72</v>
      </c>
      <c r="EE404" s="60">
        <f>VLOOKUP($M404,[1]Detail!$M:$BO,42,0)</f>
        <v>-275476</v>
      </c>
      <c r="EF404" s="60">
        <f>VLOOKUP($M404,[1]Detail!$M:$BO,45,0)</f>
        <v>0</v>
      </c>
      <c r="EH404" s="60">
        <f>ED404-AD404</f>
        <v>0</v>
      </c>
      <c r="EI404" s="60">
        <f>EE404-AG404</f>
        <v>0</v>
      </c>
      <c r="EJ404" s="60">
        <f t="shared" si="325"/>
        <v>0</v>
      </c>
    </row>
    <row r="405" spans="2:140" ht="12.75" hidden="1" customHeight="1">
      <c r="B405" s="99" t="s">
        <v>825</v>
      </c>
      <c r="C405" s="22" t="s">
        <v>145</v>
      </c>
      <c r="D405" s="22" t="s">
        <v>518</v>
      </c>
      <c r="E405" s="2" t="str">
        <f>VLOOKUP($C405,[1]Detail!$C:$AK,6,0)</f>
        <v>BIW</v>
      </c>
      <c r="F405" s="2" t="str">
        <f>VLOOKUP($C405,[1]Detail!$C:$AK,7,0)</f>
        <v>TH</v>
      </c>
      <c r="G405" s="2" t="str">
        <f>VLOOKUP($C405,[1]Detail!$C:$AK,5,0)</f>
        <v>D</v>
      </c>
      <c r="J405" s="22"/>
      <c r="K405" s="23" t="s">
        <v>826</v>
      </c>
      <c r="L405" s="22" t="s">
        <v>827</v>
      </c>
      <c r="M405" s="51" t="str">
        <f t="shared" si="287"/>
        <v>-W708839 -S403 </v>
      </c>
      <c r="O405" s="22">
        <v>1</v>
      </c>
      <c r="P405" s="22">
        <v>1</v>
      </c>
      <c r="Q405" s="22">
        <v>1</v>
      </c>
      <c r="R405" s="22">
        <v>1</v>
      </c>
      <c r="S405" s="22">
        <v>1</v>
      </c>
      <c r="T405" s="22">
        <v>1</v>
      </c>
      <c r="U405" s="22">
        <v>1</v>
      </c>
      <c r="V405" s="22">
        <v>1</v>
      </c>
      <c r="W405" s="64">
        <f t="shared" si="288"/>
        <v>1</v>
      </c>
      <c r="Y405" s="8">
        <v>-0.124</v>
      </c>
      <c r="Z405" s="8">
        <v>-2E-3</v>
      </c>
      <c r="AA405" s="8">
        <v>-4.0000000000000001E-3</v>
      </c>
      <c r="AB405" s="8">
        <v>0</v>
      </c>
      <c r="AC405" s="8">
        <v>0</v>
      </c>
      <c r="AD405" s="8">
        <f t="shared" si="318"/>
        <v>-0.13</v>
      </c>
      <c r="AE405" s="2" t="s">
        <v>91</v>
      </c>
      <c r="AG405" s="8">
        <v>0</v>
      </c>
      <c r="AH405" s="8">
        <v>0</v>
      </c>
      <c r="AJ405" s="70">
        <v>0</v>
      </c>
      <c r="AK405" s="70">
        <v>0</v>
      </c>
      <c r="AL405" s="72">
        <v>0</v>
      </c>
      <c r="AM405" s="22"/>
      <c r="AO405" s="22"/>
      <c r="AP405" s="23" t="s">
        <v>826</v>
      </c>
      <c r="AQ405" s="22" t="s">
        <v>827</v>
      </c>
      <c r="AR405" s="51" t="str">
        <f t="shared" si="326"/>
        <v>-W708839 -S403 </v>
      </c>
      <c r="AS405" s="3"/>
      <c r="AT405" s="22">
        <v>1</v>
      </c>
      <c r="AU405" s="22">
        <v>1</v>
      </c>
      <c r="AV405" s="22">
        <v>1</v>
      </c>
      <c r="AW405" s="22">
        <v>1</v>
      </c>
      <c r="AX405" s="22">
        <v>1</v>
      </c>
      <c r="AY405" s="22">
        <v>1</v>
      </c>
      <c r="AZ405" s="22">
        <v>1</v>
      </c>
      <c r="BA405" s="22">
        <v>1</v>
      </c>
      <c r="BB405" s="64">
        <f t="shared" si="327"/>
        <v>1</v>
      </c>
      <c r="BD405" s="60">
        <v>-0.124</v>
      </c>
      <c r="BE405" s="60">
        <v>-2E-3</v>
      </c>
      <c r="BF405" s="95">
        <v>-4.0000000000000001E-3</v>
      </c>
      <c r="BG405" s="95">
        <v>0</v>
      </c>
      <c r="BH405" s="95">
        <v>0</v>
      </c>
      <c r="BI405" s="8">
        <f t="shared" si="328"/>
        <v>-0.13</v>
      </c>
      <c r="BJ405" s="2" t="s">
        <v>91</v>
      </c>
      <c r="BL405" s="70">
        <v>0</v>
      </c>
      <c r="BM405" s="70">
        <v>0</v>
      </c>
      <c r="BO405" s="70">
        <v>0</v>
      </c>
      <c r="BP405" s="70">
        <v>0</v>
      </c>
      <c r="BQ405" s="72">
        <v>0</v>
      </c>
      <c r="BS405" s="61">
        <f t="shared" si="315"/>
        <v>0</v>
      </c>
      <c r="BT405" s="61">
        <f t="shared" si="307"/>
        <v>0</v>
      </c>
      <c r="BU405" s="61">
        <f t="shared" si="308"/>
        <v>0</v>
      </c>
      <c r="BV405" s="61">
        <f t="shared" si="309"/>
        <v>0</v>
      </c>
      <c r="BW405" s="61">
        <f t="shared" si="309"/>
        <v>0</v>
      </c>
      <c r="BX405" s="61">
        <f t="shared" si="319"/>
        <v>0</v>
      </c>
      <c r="BY405" s="61" t="s">
        <v>91</v>
      </c>
      <c r="CA405" s="61">
        <f t="shared" ref="CA405:CE468" si="330">($Y405*O405-AT405*$BD405)/$C$2</f>
        <v>0</v>
      </c>
      <c r="CB405" s="61">
        <f t="shared" si="330"/>
        <v>0</v>
      </c>
      <c r="CC405" s="61">
        <f t="shared" si="330"/>
        <v>0</v>
      </c>
      <c r="CD405" s="61">
        <f t="shared" si="329"/>
        <v>0</v>
      </c>
      <c r="CE405" s="61">
        <f t="shared" si="329"/>
        <v>0</v>
      </c>
      <c r="CF405" s="61">
        <f t="shared" si="329"/>
        <v>0</v>
      </c>
      <c r="CG405" s="61">
        <f t="shared" si="329"/>
        <v>0</v>
      </c>
      <c r="CH405" s="61">
        <f t="shared" si="299"/>
        <v>0</v>
      </c>
      <c r="CI405" s="61">
        <f t="shared" si="310"/>
        <v>0</v>
      </c>
      <c r="CJ405" s="61"/>
      <c r="CK405" s="61">
        <f t="shared" si="320"/>
        <v>0</v>
      </c>
      <c r="CL405" s="61">
        <f t="shared" si="320"/>
        <v>0</v>
      </c>
      <c r="CM405" s="61">
        <f t="shared" si="320"/>
        <v>0</v>
      </c>
      <c r="CN405" s="61">
        <f t="shared" si="320"/>
        <v>0</v>
      </c>
      <c r="CO405" s="61">
        <f t="shared" si="320"/>
        <v>0</v>
      </c>
      <c r="CP405" s="61">
        <f t="shared" si="320"/>
        <v>0</v>
      </c>
      <c r="CQ405" s="61">
        <f t="shared" si="320"/>
        <v>0</v>
      </c>
      <c r="CR405" s="61">
        <f t="shared" si="320"/>
        <v>0</v>
      </c>
      <c r="CS405" s="61">
        <f t="shared" si="312"/>
        <v>0</v>
      </c>
      <c r="CT405" s="61">
        <f t="shared" si="313"/>
        <v>0</v>
      </c>
      <c r="CV405" s="61">
        <f t="shared" si="314"/>
        <v>0</v>
      </c>
      <c r="CW405" s="61">
        <f t="shared" si="298"/>
        <v>0</v>
      </c>
      <c r="CX405" s="61"/>
      <c r="CY405" s="61">
        <f t="shared" si="294"/>
        <v>0</v>
      </c>
      <c r="CZ405" s="61">
        <f t="shared" si="321"/>
        <v>0</v>
      </c>
      <c r="DA405" s="61">
        <f t="shared" si="321"/>
        <v>0</v>
      </c>
      <c r="DB405" s="2" t="s">
        <v>86</v>
      </c>
      <c r="DC405" s="2" t="s">
        <v>86</v>
      </c>
      <c r="DD405" s="2" t="s">
        <v>142</v>
      </c>
      <c r="DE405" s="2" t="s">
        <v>181</v>
      </c>
      <c r="DF405" s="3" t="s">
        <v>86</v>
      </c>
      <c r="DG405" s="62">
        <v>42858</v>
      </c>
      <c r="EC405" s="60" t="str">
        <f>VLOOKUP($M405,[1]Detail!$M:$BO,1,0)</f>
        <v>-W708839 -S403 </v>
      </c>
      <c r="ED405" s="60">
        <f>VLOOKUP($M405,[1]Detail!$M:$BO,22,0)</f>
        <v>-0.13</v>
      </c>
      <c r="EE405" s="60">
        <f>VLOOKUP($M405,[1]Detail!$M:$BO,42,0)</f>
        <v>0</v>
      </c>
      <c r="EF405" s="60">
        <f>VLOOKUP($M405,[1]Detail!$M:$BO,45,0)</f>
        <v>0</v>
      </c>
      <c r="EH405" s="60">
        <f>ED405-AD405</f>
        <v>0</v>
      </c>
      <c r="EI405" s="60">
        <f>EE405-AG405</f>
        <v>0</v>
      </c>
      <c r="EJ405" s="60">
        <f t="shared" si="325"/>
        <v>0</v>
      </c>
    </row>
    <row r="406" spans="2:140" ht="12.75" hidden="1" customHeight="1">
      <c r="B406" s="99" t="s">
        <v>828</v>
      </c>
      <c r="C406" s="22" t="s">
        <v>829</v>
      </c>
      <c r="D406" s="22" t="s">
        <v>830</v>
      </c>
      <c r="E406" s="2" t="str">
        <f>VLOOKUP($C406,[1]Detail!$C:$AK,6,0)</f>
        <v>PMT2</v>
      </c>
      <c r="F406" s="2" t="str">
        <f>VLOOKUP($C406,[1]Detail!$C:$AK,7,0)</f>
        <v>TH</v>
      </c>
      <c r="G406" s="2" t="str">
        <f>VLOOKUP($C406,[1]Detail!$C:$AK,5,0)</f>
        <v>B</v>
      </c>
      <c r="J406" s="22" t="s">
        <v>767</v>
      </c>
      <c r="K406" s="23" t="s">
        <v>831</v>
      </c>
      <c r="L406" s="22" t="s">
        <v>100</v>
      </c>
      <c r="M406" s="51" t="str">
        <f t="shared" si="287"/>
        <v>JD8B -F611D10-AA</v>
      </c>
      <c r="O406" s="22">
        <v>1</v>
      </c>
      <c r="P406" s="22">
        <v>1</v>
      </c>
      <c r="Q406" s="22">
        <v>1</v>
      </c>
      <c r="R406" s="22">
        <v>1</v>
      </c>
      <c r="S406" s="22">
        <v>1</v>
      </c>
      <c r="T406" s="22">
        <v>1</v>
      </c>
      <c r="U406" s="22">
        <v>1</v>
      </c>
      <c r="V406" s="22">
        <v>1</v>
      </c>
      <c r="W406" s="64">
        <f t="shared" si="288"/>
        <v>1</v>
      </c>
      <c r="Y406" s="8">
        <v>-83.22</v>
      </c>
      <c r="Z406" s="8">
        <v>-1.89</v>
      </c>
      <c r="AA406" s="8" t="s">
        <v>311</v>
      </c>
      <c r="AB406" s="8">
        <v>-0.42</v>
      </c>
      <c r="AC406" s="8">
        <v>-0.25</v>
      </c>
      <c r="AD406" s="8">
        <f t="shared" si="318"/>
        <v>-85.78</v>
      </c>
      <c r="AE406" s="2" t="s">
        <v>91</v>
      </c>
      <c r="AG406" s="8">
        <v>0</v>
      </c>
      <c r="AH406" s="8">
        <v>0</v>
      </c>
      <c r="AJ406" s="70">
        <v>-143175</v>
      </c>
      <c r="AK406" s="70">
        <v>574899</v>
      </c>
      <c r="AL406" s="72"/>
      <c r="AM406" s="22"/>
      <c r="AO406" s="22" t="s">
        <v>770</v>
      </c>
      <c r="AP406" s="23" t="s">
        <v>831</v>
      </c>
      <c r="AQ406" s="22" t="s">
        <v>129</v>
      </c>
      <c r="AR406" s="51" t="str">
        <f t="shared" si="326"/>
        <v>ED8B -F611D10-AE</v>
      </c>
      <c r="AS406" s="3"/>
      <c r="AT406" s="22">
        <v>1</v>
      </c>
      <c r="AU406" s="22">
        <v>1</v>
      </c>
      <c r="AV406" s="22">
        <v>1</v>
      </c>
      <c r="AW406" s="22">
        <v>1</v>
      </c>
      <c r="AX406" s="22">
        <v>1</v>
      </c>
      <c r="AY406" s="22">
        <v>1</v>
      </c>
      <c r="AZ406" s="22">
        <v>1</v>
      </c>
      <c r="BA406" s="22">
        <v>1</v>
      </c>
      <c r="BB406" s="64">
        <f t="shared" si="327"/>
        <v>1</v>
      </c>
      <c r="BD406" s="60">
        <v>-83.22</v>
      </c>
      <c r="BE406" s="60">
        <v>-1.89</v>
      </c>
      <c r="BF406" s="95" t="s">
        <v>311</v>
      </c>
      <c r="BG406" s="95">
        <v>-0.42</v>
      </c>
      <c r="BH406" s="95">
        <v>0</v>
      </c>
      <c r="BI406" s="8">
        <f t="shared" si="328"/>
        <v>-85.53</v>
      </c>
      <c r="BJ406" s="2" t="s">
        <v>91</v>
      </c>
      <c r="BL406" s="70">
        <v>0</v>
      </c>
      <c r="BM406" s="70">
        <v>0</v>
      </c>
      <c r="BO406" s="70">
        <v>0</v>
      </c>
      <c r="BP406" s="70">
        <v>0</v>
      </c>
      <c r="BQ406" s="72"/>
      <c r="BS406" s="61">
        <f t="shared" si="315"/>
        <v>0</v>
      </c>
      <c r="BT406" s="61">
        <f t="shared" si="307"/>
        <v>0</v>
      </c>
      <c r="BU406" s="61">
        <f t="shared" si="308"/>
        <v>0</v>
      </c>
      <c r="BV406" s="61">
        <f t="shared" si="309"/>
        <v>0</v>
      </c>
      <c r="BW406" s="61">
        <f t="shared" si="309"/>
        <v>-0.25</v>
      </c>
      <c r="BX406" s="61">
        <f t="shared" si="319"/>
        <v>-0.25</v>
      </c>
      <c r="BY406" s="61" t="s">
        <v>91</v>
      </c>
      <c r="CA406" s="61">
        <f t="shared" si="330"/>
        <v>0</v>
      </c>
      <c r="CB406" s="61">
        <f t="shared" si="330"/>
        <v>0</v>
      </c>
      <c r="CC406" s="61">
        <f t="shared" si="330"/>
        <v>0</v>
      </c>
      <c r="CD406" s="61">
        <f t="shared" si="329"/>
        <v>0</v>
      </c>
      <c r="CE406" s="61">
        <f t="shared" si="329"/>
        <v>0</v>
      </c>
      <c r="CF406" s="61">
        <f t="shared" si="329"/>
        <v>0</v>
      </c>
      <c r="CG406" s="61">
        <f t="shared" si="329"/>
        <v>0</v>
      </c>
      <c r="CH406" s="61">
        <f t="shared" si="299"/>
        <v>0</v>
      </c>
      <c r="CI406" s="61">
        <f t="shared" si="310"/>
        <v>0</v>
      </c>
      <c r="CJ406" s="61"/>
      <c r="CK406" s="61">
        <f t="shared" si="320"/>
        <v>-3.7610952309312468E-2</v>
      </c>
      <c r="CL406" s="61">
        <f t="shared" si="320"/>
        <v>-3.7610952309312468E-2</v>
      </c>
      <c r="CM406" s="61">
        <f t="shared" si="320"/>
        <v>-3.7610952309312468E-2</v>
      </c>
      <c r="CN406" s="61">
        <f t="shared" si="320"/>
        <v>-3.7610952309312468E-2</v>
      </c>
      <c r="CO406" s="61">
        <f t="shared" si="320"/>
        <v>-3.7610952309312468E-2</v>
      </c>
      <c r="CP406" s="61">
        <f t="shared" si="320"/>
        <v>-3.7610952309312468E-2</v>
      </c>
      <c r="CQ406" s="61">
        <f t="shared" si="320"/>
        <v>-3.7610952309312468E-2</v>
      </c>
      <c r="CR406" s="61">
        <f t="shared" si="320"/>
        <v>-3.7610952309312468E-2</v>
      </c>
      <c r="CS406" s="61">
        <f t="shared" si="312"/>
        <v>-3.7610952309312475E-2</v>
      </c>
      <c r="CT406" s="61">
        <f t="shared" si="313"/>
        <v>-0.25</v>
      </c>
      <c r="CV406" s="61">
        <f t="shared" si="314"/>
        <v>0</v>
      </c>
      <c r="CW406" s="61">
        <f t="shared" si="298"/>
        <v>0</v>
      </c>
      <c r="CX406" s="61"/>
      <c r="CY406" s="61">
        <f t="shared" si="294"/>
        <v>-143175</v>
      </c>
      <c r="CZ406" s="61">
        <f t="shared" si="321"/>
        <v>574899</v>
      </c>
      <c r="DA406" s="61">
        <f t="shared" si="321"/>
        <v>0</v>
      </c>
      <c r="DB406" s="2" t="s">
        <v>86</v>
      </c>
      <c r="DC406" s="2" t="s">
        <v>86</v>
      </c>
      <c r="DD406" s="2" t="s">
        <v>142</v>
      </c>
      <c r="DE406" s="2" t="s">
        <v>181</v>
      </c>
      <c r="DF406" s="3" t="s">
        <v>86</v>
      </c>
      <c r="DG406" s="62">
        <v>42850</v>
      </c>
      <c r="EC406" s="60" t="str">
        <f>VLOOKUP($M406,[1]Detail!$M:$BO,1,0)</f>
        <v>JD8B -F611D10-AA</v>
      </c>
      <c r="ED406" s="60">
        <f>VLOOKUP($M406,[1]Detail!$M:$BO,22,0)</f>
        <v>-85.78</v>
      </c>
      <c r="EE406" s="60">
        <f>VLOOKUP($M406,[1]Detail!$M:$BO,42,0)</f>
        <v>0</v>
      </c>
      <c r="EF406" s="60">
        <f>VLOOKUP($M406,[1]Detail!$M:$BO,45,0)</f>
        <v>-143175</v>
      </c>
      <c r="EH406" s="60">
        <f>ED406-AD406</f>
        <v>0</v>
      </c>
      <c r="EI406" s="60">
        <f>EE406-AG406</f>
        <v>0</v>
      </c>
      <c r="EJ406" s="60">
        <f t="shared" si="325"/>
        <v>0</v>
      </c>
    </row>
    <row r="407" spans="2:140" ht="12.75" hidden="1" customHeight="1">
      <c r="B407" s="99" t="s">
        <v>828</v>
      </c>
      <c r="C407" s="22" t="s">
        <v>829</v>
      </c>
      <c r="D407" s="22" t="s">
        <v>830</v>
      </c>
      <c r="E407" s="2" t="str">
        <f>VLOOKUP($C407,[1]Detail!$C:$AK,6,0)</f>
        <v>PMT2</v>
      </c>
      <c r="F407" s="2" t="str">
        <f>VLOOKUP($C407,[1]Detail!$C:$AK,7,0)</f>
        <v>TH</v>
      </c>
      <c r="G407" s="2" t="str">
        <f>VLOOKUP($C407,[1]Detail!$C:$AK,5,0)</f>
        <v>B</v>
      </c>
      <c r="J407" s="22" t="s">
        <v>767</v>
      </c>
      <c r="K407" s="23" t="s">
        <v>832</v>
      </c>
      <c r="L407" s="22" t="s">
        <v>100</v>
      </c>
      <c r="M407" s="51" t="str">
        <f t="shared" si="287"/>
        <v>JD8B -F611D11-AA</v>
      </c>
      <c r="O407" s="22">
        <v>1</v>
      </c>
      <c r="P407" s="22">
        <v>1</v>
      </c>
      <c r="Q407" s="22">
        <v>1</v>
      </c>
      <c r="R407" s="22">
        <v>1</v>
      </c>
      <c r="S407" s="22">
        <v>1</v>
      </c>
      <c r="T407" s="22">
        <v>1</v>
      </c>
      <c r="U407" s="22">
        <v>1</v>
      </c>
      <c r="V407" s="22">
        <v>1</v>
      </c>
      <c r="W407" s="64">
        <f t="shared" si="288"/>
        <v>1</v>
      </c>
      <c r="Y407" s="8">
        <v>-83.22</v>
      </c>
      <c r="Z407" s="8">
        <v>-1.89</v>
      </c>
      <c r="AA407" s="8" t="s">
        <v>311</v>
      </c>
      <c r="AB407" s="8">
        <v>-0.42</v>
      </c>
      <c r="AC407" s="8">
        <v>-0.25</v>
      </c>
      <c r="AD407" s="8">
        <f t="shared" si="318"/>
        <v>-85.78</v>
      </c>
      <c r="AE407" s="2" t="s">
        <v>91</v>
      </c>
      <c r="AG407" s="8">
        <v>0</v>
      </c>
      <c r="AH407" s="8">
        <v>0</v>
      </c>
      <c r="AJ407" s="70">
        <v>-143175</v>
      </c>
      <c r="AK407" s="70">
        <v>574899</v>
      </c>
      <c r="AL407" s="72"/>
      <c r="AM407" s="22"/>
      <c r="AO407" s="22" t="s">
        <v>770</v>
      </c>
      <c r="AP407" s="23" t="s">
        <v>832</v>
      </c>
      <c r="AQ407" s="22" t="s">
        <v>129</v>
      </c>
      <c r="AR407" s="51" t="str">
        <f t="shared" si="326"/>
        <v>ED8B -F611D11-AE</v>
      </c>
      <c r="AS407" s="3"/>
      <c r="AT407" s="22">
        <v>1</v>
      </c>
      <c r="AU407" s="22">
        <v>1</v>
      </c>
      <c r="AV407" s="22">
        <v>1</v>
      </c>
      <c r="AW407" s="22">
        <v>1</v>
      </c>
      <c r="AX407" s="22">
        <v>1</v>
      </c>
      <c r="AY407" s="22">
        <v>1</v>
      </c>
      <c r="AZ407" s="22">
        <v>1</v>
      </c>
      <c r="BA407" s="22">
        <v>1</v>
      </c>
      <c r="BB407" s="64">
        <f t="shared" si="327"/>
        <v>1</v>
      </c>
      <c r="BD407" s="60">
        <v>-83.22</v>
      </c>
      <c r="BE407" s="60">
        <v>-1.89</v>
      </c>
      <c r="BF407" s="95" t="s">
        <v>311</v>
      </c>
      <c r="BG407" s="95">
        <v>-0.42</v>
      </c>
      <c r="BH407" s="95">
        <v>0</v>
      </c>
      <c r="BI407" s="8">
        <f t="shared" si="328"/>
        <v>-85.53</v>
      </c>
      <c r="BJ407" s="2" t="s">
        <v>91</v>
      </c>
      <c r="BL407" s="70">
        <v>0</v>
      </c>
      <c r="BM407" s="70">
        <v>0</v>
      </c>
      <c r="BO407" s="70">
        <v>0</v>
      </c>
      <c r="BP407" s="70">
        <v>0</v>
      </c>
      <c r="BQ407" s="72"/>
      <c r="BS407" s="61">
        <f t="shared" si="315"/>
        <v>0</v>
      </c>
      <c r="BT407" s="61">
        <f t="shared" si="307"/>
        <v>0</v>
      </c>
      <c r="BU407" s="61">
        <f t="shared" si="308"/>
        <v>0</v>
      </c>
      <c r="BV407" s="61">
        <f t="shared" si="309"/>
        <v>0</v>
      </c>
      <c r="BW407" s="61">
        <f t="shared" si="309"/>
        <v>-0.25</v>
      </c>
      <c r="BX407" s="61">
        <f t="shared" si="319"/>
        <v>-0.25</v>
      </c>
      <c r="BY407" s="61" t="s">
        <v>91</v>
      </c>
      <c r="CA407" s="61">
        <f t="shared" si="330"/>
        <v>0</v>
      </c>
      <c r="CB407" s="61">
        <f t="shared" si="330"/>
        <v>0</v>
      </c>
      <c r="CC407" s="61">
        <f t="shared" si="330"/>
        <v>0</v>
      </c>
      <c r="CD407" s="61">
        <f t="shared" si="329"/>
        <v>0</v>
      </c>
      <c r="CE407" s="61">
        <f t="shared" si="329"/>
        <v>0</v>
      </c>
      <c r="CF407" s="61">
        <f t="shared" si="329"/>
        <v>0</v>
      </c>
      <c r="CG407" s="61">
        <f t="shared" si="329"/>
        <v>0</v>
      </c>
      <c r="CH407" s="61">
        <f t="shared" si="299"/>
        <v>0</v>
      </c>
      <c r="CI407" s="61">
        <f t="shared" si="310"/>
        <v>0</v>
      </c>
      <c r="CJ407" s="61"/>
      <c r="CK407" s="61">
        <f t="shared" si="320"/>
        <v>-3.7610952309312468E-2</v>
      </c>
      <c r="CL407" s="61">
        <f t="shared" si="320"/>
        <v>-3.7610952309312468E-2</v>
      </c>
      <c r="CM407" s="61">
        <f t="shared" si="320"/>
        <v>-3.7610952309312468E-2</v>
      </c>
      <c r="CN407" s="61">
        <f t="shared" si="320"/>
        <v>-3.7610952309312468E-2</v>
      </c>
      <c r="CO407" s="61">
        <f t="shared" si="320"/>
        <v>-3.7610952309312468E-2</v>
      </c>
      <c r="CP407" s="61">
        <f t="shared" si="320"/>
        <v>-3.7610952309312468E-2</v>
      </c>
      <c r="CQ407" s="61">
        <f t="shared" si="320"/>
        <v>-3.7610952309312468E-2</v>
      </c>
      <c r="CR407" s="61">
        <f t="shared" si="320"/>
        <v>-3.7610952309312468E-2</v>
      </c>
      <c r="CS407" s="61">
        <f t="shared" si="312"/>
        <v>-3.7610952309312475E-2</v>
      </c>
      <c r="CT407" s="61">
        <f t="shared" si="313"/>
        <v>-0.25</v>
      </c>
      <c r="CV407" s="61">
        <f t="shared" si="314"/>
        <v>0</v>
      </c>
      <c r="CW407" s="61">
        <f t="shared" si="298"/>
        <v>0</v>
      </c>
      <c r="CX407" s="61"/>
      <c r="CY407" s="61">
        <f t="shared" si="294"/>
        <v>-143175</v>
      </c>
      <c r="CZ407" s="61">
        <f t="shared" si="321"/>
        <v>574899</v>
      </c>
      <c r="DA407" s="61">
        <f t="shared" si="321"/>
        <v>0</v>
      </c>
      <c r="DB407" s="2" t="s">
        <v>86</v>
      </c>
      <c r="DC407" s="2" t="s">
        <v>86</v>
      </c>
      <c r="DD407" s="2" t="s">
        <v>142</v>
      </c>
      <c r="DE407" s="2" t="s">
        <v>181</v>
      </c>
      <c r="DF407" s="3" t="s">
        <v>86</v>
      </c>
      <c r="DG407" s="62">
        <v>42850</v>
      </c>
      <c r="EC407" s="60" t="str">
        <f>VLOOKUP($M407,[1]Detail!$M:$BO,1,0)</f>
        <v>JD8B -F611D11-AA</v>
      </c>
      <c r="ED407" s="60">
        <f>VLOOKUP($M407,[1]Detail!$M:$BO,22,0)</f>
        <v>-85.78</v>
      </c>
      <c r="EE407" s="60">
        <f>VLOOKUP($M407,[1]Detail!$M:$BO,42,0)</f>
        <v>0</v>
      </c>
      <c r="EF407" s="60">
        <f>VLOOKUP($M407,[1]Detail!$M:$BO,45,0)</f>
        <v>-143175</v>
      </c>
      <c r="EH407" s="60">
        <f>ED407-AD407</f>
        <v>0</v>
      </c>
      <c r="EI407" s="60">
        <f>EE407-AG407</f>
        <v>0</v>
      </c>
      <c r="EJ407" s="60">
        <f t="shared" si="325"/>
        <v>0</v>
      </c>
    </row>
    <row r="408" spans="2:140" ht="12.75" hidden="1" customHeight="1">
      <c r="B408" s="99" t="s">
        <v>833</v>
      </c>
      <c r="C408" s="22" t="s">
        <v>834</v>
      </c>
      <c r="D408" s="22" t="s">
        <v>835</v>
      </c>
      <c r="E408" s="2" t="str">
        <f>VLOOKUP($C408,[1]Detail!$C:$AK,6,0)</f>
        <v>PMT1</v>
      </c>
      <c r="F408" s="2" t="str">
        <f>VLOOKUP($C408,[1]Detail!$C:$AK,7,0)</f>
        <v>TH</v>
      </c>
      <c r="G408" s="2" t="str">
        <f>VLOOKUP($C408,[1]Detail!$C:$AK,5,0)</f>
        <v>B</v>
      </c>
      <c r="J408" s="22" t="s">
        <v>126</v>
      </c>
      <c r="K408" s="23">
        <v>8475</v>
      </c>
      <c r="L408" s="22" t="s">
        <v>100</v>
      </c>
      <c r="M408" s="51" t="str">
        <f t="shared" si="287"/>
        <v>JD8B-8475-AA</v>
      </c>
      <c r="O408" s="22">
        <v>0</v>
      </c>
      <c r="P408" s="22">
        <v>1</v>
      </c>
      <c r="Q408" s="22">
        <v>0</v>
      </c>
      <c r="R408" s="22">
        <v>1</v>
      </c>
      <c r="S408" s="22">
        <v>0</v>
      </c>
      <c r="T408" s="22">
        <v>0</v>
      </c>
      <c r="U408" s="22">
        <v>1</v>
      </c>
      <c r="V408" s="22">
        <v>0</v>
      </c>
      <c r="W408" s="64">
        <f t="shared" si="288"/>
        <v>0.44</v>
      </c>
      <c r="Y408" s="8">
        <v>-155.44</v>
      </c>
      <c r="Z408" s="8">
        <v>-3.52</v>
      </c>
      <c r="AA408" s="8">
        <v>-5.78</v>
      </c>
      <c r="AB408" s="8">
        <v>0</v>
      </c>
      <c r="AC408" s="8">
        <v>-6.75</v>
      </c>
      <c r="AD408" s="8">
        <f t="shared" si="318"/>
        <v>-171.49</v>
      </c>
      <c r="AE408" s="2" t="s">
        <v>91</v>
      </c>
      <c r="AG408" s="8">
        <v>-5805000</v>
      </c>
      <c r="AH408" s="8">
        <v>-5805000</v>
      </c>
      <c r="AI408" s="6"/>
      <c r="AJ408" s="70">
        <v>-1706360</v>
      </c>
      <c r="AK408" s="70">
        <v>252955</v>
      </c>
      <c r="AL408" s="72"/>
      <c r="AM408" s="22"/>
      <c r="AO408" s="22" t="s">
        <v>126</v>
      </c>
      <c r="AP408" s="23">
        <v>8475</v>
      </c>
      <c r="AQ408" s="22" t="s">
        <v>100</v>
      </c>
      <c r="AR408" s="51" t="str">
        <f t="shared" si="326"/>
        <v>JD8B-8475-AA</v>
      </c>
      <c r="AS408" s="3"/>
      <c r="AT408" s="22">
        <v>0</v>
      </c>
      <c r="AU408" s="22">
        <v>1</v>
      </c>
      <c r="AV408" s="22">
        <v>0</v>
      </c>
      <c r="AW408" s="22">
        <v>1</v>
      </c>
      <c r="AX408" s="22">
        <v>0</v>
      </c>
      <c r="AY408" s="22">
        <v>0</v>
      </c>
      <c r="AZ408" s="22">
        <v>1</v>
      </c>
      <c r="BA408" s="22">
        <v>0</v>
      </c>
      <c r="BB408" s="64">
        <f t="shared" si="327"/>
        <v>0.44</v>
      </c>
      <c r="BD408" s="60">
        <v>-155.44</v>
      </c>
      <c r="BE408" s="60">
        <v>-3.52</v>
      </c>
      <c r="BF408" s="95">
        <v>-5.78</v>
      </c>
      <c r="BG408" s="95">
        <v>0</v>
      </c>
      <c r="BH408" s="95">
        <v>-6.75</v>
      </c>
      <c r="BI408" s="8">
        <f t="shared" si="328"/>
        <v>-171.49</v>
      </c>
      <c r="BJ408" s="2" t="s">
        <v>91</v>
      </c>
      <c r="BL408" s="70">
        <v>-5805000</v>
      </c>
      <c r="BM408" s="70">
        <v>-5805000</v>
      </c>
      <c r="BO408" s="70">
        <v>-1706360</v>
      </c>
      <c r="BP408" s="70">
        <v>252955</v>
      </c>
      <c r="BQ408" s="72"/>
      <c r="BS408" s="61">
        <f t="shared" si="315"/>
        <v>0</v>
      </c>
      <c r="BT408" s="61">
        <f t="shared" si="307"/>
        <v>0</v>
      </c>
      <c r="BU408" s="61">
        <f t="shared" si="308"/>
        <v>0</v>
      </c>
      <c r="BV408" s="61">
        <f t="shared" si="309"/>
        <v>0</v>
      </c>
      <c r="BW408" s="61">
        <f t="shared" si="309"/>
        <v>0</v>
      </c>
      <c r="BX408" s="61">
        <f t="shared" si="319"/>
        <v>0</v>
      </c>
      <c r="BY408" s="61" t="s">
        <v>91</v>
      </c>
      <c r="CA408" s="61">
        <f t="shared" si="330"/>
        <v>0</v>
      </c>
      <c r="CB408" s="61">
        <f t="shared" si="330"/>
        <v>0</v>
      </c>
      <c r="CC408" s="61">
        <f t="shared" si="330"/>
        <v>0</v>
      </c>
      <c r="CD408" s="61">
        <f t="shared" si="329"/>
        <v>0</v>
      </c>
      <c r="CE408" s="61">
        <f t="shared" si="329"/>
        <v>0</v>
      </c>
      <c r="CF408" s="61">
        <f t="shared" si="329"/>
        <v>0</v>
      </c>
      <c r="CG408" s="61">
        <f t="shared" si="329"/>
        <v>0</v>
      </c>
      <c r="CH408" s="61">
        <f t="shared" si="299"/>
        <v>0</v>
      </c>
      <c r="CI408" s="61">
        <f t="shared" si="310"/>
        <v>0</v>
      </c>
      <c r="CJ408" s="61"/>
      <c r="CK408" s="61">
        <f t="shared" si="320"/>
        <v>0</v>
      </c>
      <c r="CL408" s="61">
        <f t="shared" si="320"/>
        <v>0</v>
      </c>
      <c r="CM408" s="61">
        <f t="shared" si="320"/>
        <v>0</v>
      </c>
      <c r="CN408" s="61">
        <f t="shared" si="320"/>
        <v>0</v>
      </c>
      <c r="CO408" s="61">
        <f t="shared" si="320"/>
        <v>0</v>
      </c>
      <c r="CP408" s="61">
        <f t="shared" si="320"/>
        <v>0</v>
      </c>
      <c r="CQ408" s="61">
        <f t="shared" si="320"/>
        <v>0</v>
      </c>
      <c r="CR408" s="61">
        <f t="shared" si="320"/>
        <v>0</v>
      </c>
      <c r="CS408" s="61">
        <f t="shared" si="312"/>
        <v>0</v>
      </c>
      <c r="CT408" s="61">
        <f t="shared" si="313"/>
        <v>0</v>
      </c>
      <c r="CV408" s="61">
        <f t="shared" si="314"/>
        <v>0</v>
      </c>
      <c r="CW408" s="61">
        <f t="shared" si="298"/>
        <v>0</v>
      </c>
      <c r="CX408" s="61"/>
      <c r="CY408" s="61">
        <f t="shared" si="294"/>
        <v>0</v>
      </c>
      <c r="CZ408" s="61">
        <f t="shared" si="321"/>
        <v>0</v>
      </c>
      <c r="DA408" s="61">
        <f t="shared" si="321"/>
        <v>0</v>
      </c>
      <c r="DB408" s="2" t="s">
        <v>85</v>
      </c>
      <c r="DC408" s="2" t="s">
        <v>86</v>
      </c>
      <c r="DD408" s="2" t="s">
        <v>142</v>
      </c>
      <c r="DE408" s="2" t="s">
        <v>181</v>
      </c>
      <c r="DF408" s="3" t="s">
        <v>86</v>
      </c>
      <c r="DG408" s="62">
        <v>42860</v>
      </c>
      <c r="EC408" s="60"/>
      <c r="ED408" s="60"/>
      <c r="EE408" s="60"/>
      <c r="EF408" s="60"/>
    </row>
    <row r="409" spans="2:140" ht="12.75" hidden="1" customHeight="1">
      <c r="B409" s="99" t="s">
        <v>833</v>
      </c>
      <c r="C409" s="22" t="s">
        <v>834</v>
      </c>
      <c r="D409" s="22" t="s">
        <v>835</v>
      </c>
      <c r="E409" s="2" t="str">
        <f>VLOOKUP($C409,[1]Detail!$C:$AK,6,0)</f>
        <v>PMT1</v>
      </c>
      <c r="F409" s="2" t="str">
        <f>VLOOKUP($C409,[1]Detail!$C:$AK,7,0)</f>
        <v>TH</v>
      </c>
      <c r="G409" s="2" t="str">
        <f>VLOOKUP($C409,[1]Detail!$C:$AK,5,0)</f>
        <v>B</v>
      </c>
      <c r="J409" s="22" t="s">
        <v>126</v>
      </c>
      <c r="K409" s="23">
        <v>8475</v>
      </c>
      <c r="L409" s="22" t="s">
        <v>111</v>
      </c>
      <c r="M409" s="51" t="str">
        <f t="shared" si="287"/>
        <v>JD8B-8475-BA</v>
      </c>
      <c r="O409" s="22">
        <v>0</v>
      </c>
      <c r="P409" s="22">
        <v>0</v>
      </c>
      <c r="Q409" s="22">
        <v>0</v>
      </c>
      <c r="R409" s="22">
        <v>0</v>
      </c>
      <c r="S409" s="22">
        <v>1</v>
      </c>
      <c r="T409" s="22">
        <v>1</v>
      </c>
      <c r="U409" s="22">
        <v>0</v>
      </c>
      <c r="V409" s="22">
        <v>1</v>
      </c>
      <c r="W409" s="64">
        <f t="shared" si="288"/>
        <v>0.28000000000000003</v>
      </c>
      <c r="Y409" s="8">
        <v>-152.13999999999999</v>
      </c>
      <c r="Z409" s="8">
        <v>-3.52</v>
      </c>
      <c r="AA409" s="8">
        <v>-5.78</v>
      </c>
      <c r="AB409" s="8">
        <v>0</v>
      </c>
      <c r="AC409" s="8">
        <v>-4.6900000000000004</v>
      </c>
      <c r="AD409" s="8">
        <f t="shared" si="318"/>
        <v>-166.13</v>
      </c>
      <c r="AE409" s="2" t="s">
        <v>91</v>
      </c>
      <c r="AG409" s="8">
        <v>-5605000</v>
      </c>
      <c r="AH409" s="8">
        <v>-5605000</v>
      </c>
      <c r="AI409" s="6"/>
      <c r="AJ409" s="70">
        <v>-754233</v>
      </c>
      <c r="AK409" s="70">
        <v>160971</v>
      </c>
      <c r="AL409" s="72"/>
      <c r="AM409" s="22"/>
      <c r="AO409" s="22" t="s">
        <v>126</v>
      </c>
      <c r="AP409" s="23">
        <v>8475</v>
      </c>
      <c r="AQ409" s="22" t="s">
        <v>111</v>
      </c>
      <c r="AR409" s="51" t="str">
        <f t="shared" si="326"/>
        <v>JD8B-8475-BA</v>
      </c>
      <c r="AS409" s="3"/>
      <c r="AT409" s="22">
        <v>0</v>
      </c>
      <c r="AU409" s="22">
        <v>0</v>
      </c>
      <c r="AV409" s="22">
        <v>0</v>
      </c>
      <c r="AW409" s="22">
        <v>0</v>
      </c>
      <c r="AX409" s="22">
        <v>1</v>
      </c>
      <c r="AY409" s="22">
        <v>1</v>
      </c>
      <c r="AZ409" s="22">
        <v>0</v>
      </c>
      <c r="BA409" s="22">
        <v>1</v>
      </c>
      <c r="BB409" s="64">
        <f t="shared" si="327"/>
        <v>0.28000000000000003</v>
      </c>
      <c r="BD409" s="60">
        <v>-152.13999999999999</v>
      </c>
      <c r="BE409" s="60">
        <v>-3.52</v>
      </c>
      <c r="BF409" s="95">
        <v>-5.78</v>
      </c>
      <c r="BG409" s="95">
        <v>0</v>
      </c>
      <c r="BH409" s="95">
        <v>-4.6900000000000004</v>
      </c>
      <c r="BI409" s="8">
        <f t="shared" si="328"/>
        <v>-166.13</v>
      </c>
      <c r="BJ409" s="2" t="s">
        <v>91</v>
      </c>
      <c r="BL409" s="70">
        <v>-5605000</v>
      </c>
      <c r="BM409" s="70">
        <v>-5605000</v>
      </c>
      <c r="BO409" s="70">
        <v>-754233</v>
      </c>
      <c r="BP409" s="70">
        <v>160971</v>
      </c>
      <c r="BQ409" s="72"/>
      <c r="BS409" s="61">
        <f t="shared" si="315"/>
        <v>0</v>
      </c>
      <c r="BT409" s="61">
        <f t="shared" si="307"/>
        <v>0</v>
      </c>
      <c r="BU409" s="61">
        <f t="shared" si="308"/>
        <v>0</v>
      </c>
      <c r="BV409" s="61">
        <f t="shared" si="309"/>
        <v>0</v>
      </c>
      <c r="BW409" s="61">
        <f t="shared" si="309"/>
        <v>0</v>
      </c>
      <c r="BX409" s="61">
        <f t="shared" si="319"/>
        <v>0</v>
      </c>
      <c r="BY409" s="61" t="s">
        <v>91</v>
      </c>
      <c r="CA409" s="61">
        <f t="shared" si="330"/>
        <v>0</v>
      </c>
      <c r="CB409" s="61">
        <f t="shared" si="330"/>
        <v>0</v>
      </c>
      <c r="CC409" s="61">
        <f t="shared" si="330"/>
        <v>0</v>
      </c>
      <c r="CD409" s="61">
        <f t="shared" si="329"/>
        <v>0</v>
      </c>
      <c r="CE409" s="61">
        <f t="shared" si="329"/>
        <v>0</v>
      </c>
      <c r="CF409" s="61">
        <f t="shared" si="329"/>
        <v>0</v>
      </c>
      <c r="CG409" s="61">
        <f t="shared" si="329"/>
        <v>0</v>
      </c>
      <c r="CH409" s="61">
        <f t="shared" si="299"/>
        <v>0</v>
      </c>
      <c r="CI409" s="61">
        <f t="shared" si="310"/>
        <v>0</v>
      </c>
      <c r="CJ409" s="61"/>
      <c r="CK409" s="61">
        <f t="shared" si="320"/>
        <v>0</v>
      </c>
      <c r="CL409" s="61">
        <f t="shared" si="320"/>
        <v>0</v>
      </c>
      <c r="CM409" s="61">
        <f t="shared" si="320"/>
        <v>0</v>
      </c>
      <c r="CN409" s="61">
        <f t="shared" si="320"/>
        <v>0</v>
      </c>
      <c r="CO409" s="61">
        <f t="shared" si="320"/>
        <v>0</v>
      </c>
      <c r="CP409" s="61">
        <f t="shared" si="320"/>
        <v>0</v>
      </c>
      <c r="CQ409" s="61">
        <f t="shared" si="320"/>
        <v>0</v>
      </c>
      <c r="CR409" s="61">
        <f t="shared" si="320"/>
        <v>0</v>
      </c>
      <c r="CS409" s="61">
        <f t="shared" si="312"/>
        <v>0</v>
      </c>
      <c r="CT409" s="61">
        <f t="shared" si="313"/>
        <v>0</v>
      </c>
      <c r="CV409" s="61">
        <f t="shared" si="314"/>
        <v>0</v>
      </c>
      <c r="CW409" s="61">
        <f t="shared" si="298"/>
        <v>0</v>
      </c>
      <c r="CX409" s="61"/>
      <c r="CY409" s="61">
        <f t="shared" si="294"/>
        <v>0</v>
      </c>
      <c r="CZ409" s="61">
        <f t="shared" si="321"/>
        <v>0</v>
      </c>
      <c r="DA409" s="61">
        <f t="shared" si="321"/>
        <v>0</v>
      </c>
      <c r="DB409" s="2" t="s">
        <v>85</v>
      </c>
      <c r="DC409" s="2" t="s">
        <v>86</v>
      </c>
      <c r="DD409" s="2" t="s">
        <v>142</v>
      </c>
      <c r="DE409" s="2" t="s">
        <v>181</v>
      </c>
      <c r="DF409" s="3" t="s">
        <v>86</v>
      </c>
      <c r="DG409" s="62">
        <v>42860</v>
      </c>
      <c r="EC409" s="60"/>
      <c r="ED409" s="60"/>
      <c r="EE409" s="60"/>
      <c r="EF409" s="60"/>
    </row>
    <row r="410" spans="2:140" ht="12.75" hidden="1" customHeight="1">
      <c r="B410" s="99" t="s">
        <v>833</v>
      </c>
      <c r="C410" s="22" t="s">
        <v>834</v>
      </c>
      <c r="D410" s="22" t="s">
        <v>835</v>
      </c>
      <c r="E410" s="2" t="str">
        <f>VLOOKUP($C410,[1]Detail!$C:$AK,6,0)</f>
        <v>PMT1</v>
      </c>
      <c r="F410" s="2" t="str">
        <f>VLOOKUP($C410,[1]Detail!$C:$AK,7,0)</f>
        <v>TH</v>
      </c>
      <c r="G410" s="2" t="str">
        <f>VLOOKUP($C410,[1]Detail!$C:$AK,5,0)</f>
        <v>B</v>
      </c>
      <c r="J410" s="22" t="s">
        <v>126</v>
      </c>
      <c r="K410" s="23">
        <v>8475</v>
      </c>
      <c r="L410" s="22" t="s">
        <v>113</v>
      </c>
      <c r="M410" s="51" t="str">
        <f t="shared" si="287"/>
        <v>JD8B-8475-CA</v>
      </c>
      <c r="O410" s="22">
        <v>1</v>
      </c>
      <c r="P410" s="22">
        <v>0</v>
      </c>
      <c r="Q410" s="22">
        <v>1</v>
      </c>
      <c r="R410" s="22">
        <v>0</v>
      </c>
      <c r="S410" s="22">
        <v>0</v>
      </c>
      <c r="T410" s="22">
        <v>0</v>
      </c>
      <c r="U410" s="22">
        <v>0</v>
      </c>
      <c r="V410" s="22">
        <v>0</v>
      </c>
      <c r="W410" s="64">
        <f t="shared" si="288"/>
        <v>0.28000000000000003</v>
      </c>
      <c r="Y410" s="8">
        <v>-161.25</v>
      </c>
      <c r="Z410" s="8">
        <v>-3.52</v>
      </c>
      <c r="AA410" s="8">
        <v>-5.78</v>
      </c>
      <c r="AB410" s="8">
        <v>0</v>
      </c>
      <c r="AC410" s="8">
        <v>0</v>
      </c>
      <c r="AD410" s="8">
        <f t="shared" si="318"/>
        <v>-170.55</v>
      </c>
      <c r="AE410" s="2" t="s">
        <v>91</v>
      </c>
      <c r="AG410" s="8">
        <v>-445000</v>
      </c>
      <c r="AH410" s="8">
        <v>-445000</v>
      </c>
      <c r="AI410" s="6"/>
      <c r="AJ410" s="70">
        <v>0</v>
      </c>
      <c r="AK410" s="70">
        <v>0</v>
      </c>
      <c r="AL410" s="72"/>
      <c r="AM410" s="22"/>
      <c r="AO410" s="22" t="s">
        <v>126</v>
      </c>
      <c r="AP410" s="23">
        <v>8475</v>
      </c>
      <c r="AQ410" s="22" t="s">
        <v>113</v>
      </c>
      <c r="AR410" s="51" t="str">
        <f t="shared" si="326"/>
        <v>JD8B-8475-CA</v>
      </c>
      <c r="AS410" s="3"/>
      <c r="AT410" s="22">
        <v>1</v>
      </c>
      <c r="AU410" s="22">
        <v>0</v>
      </c>
      <c r="AV410" s="22">
        <v>1</v>
      </c>
      <c r="AW410" s="22">
        <v>0</v>
      </c>
      <c r="AX410" s="22">
        <v>0</v>
      </c>
      <c r="AY410" s="22">
        <v>0</v>
      </c>
      <c r="AZ410" s="22">
        <v>0</v>
      </c>
      <c r="BA410" s="22">
        <v>0</v>
      </c>
      <c r="BB410" s="64">
        <f t="shared" si="327"/>
        <v>0.28000000000000003</v>
      </c>
      <c r="BD410" s="60">
        <v>-161.25</v>
      </c>
      <c r="BE410" s="60">
        <v>-3.52</v>
      </c>
      <c r="BF410" s="95">
        <v>-5.78</v>
      </c>
      <c r="BG410" s="95">
        <v>0</v>
      </c>
      <c r="BH410" s="95">
        <v>0</v>
      </c>
      <c r="BI410" s="8">
        <f t="shared" si="328"/>
        <v>-170.55</v>
      </c>
      <c r="BJ410" s="2" t="s">
        <v>91</v>
      </c>
      <c r="BL410" s="70">
        <v>-445000</v>
      </c>
      <c r="BM410" s="70">
        <v>-445000</v>
      </c>
      <c r="BO410" s="70">
        <v>0</v>
      </c>
      <c r="BP410" s="70">
        <v>0</v>
      </c>
      <c r="BQ410" s="72"/>
      <c r="BS410" s="61">
        <f t="shared" si="315"/>
        <v>0</v>
      </c>
      <c r="BT410" s="61">
        <f t="shared" si="307"/>
        <v>0</v>
      </c>
      <c r="BU410" s="61">
        <f t="shared" si="308"/>
        <v>0</v>
      </c>
      <c r="BV410" s="61">
        <f t="shared" si="309"/>
        <v>0</v>
      </c>
      <c r="BW410" s="61">
        <f t="shared" si="309"/>
        <v>0</v>
      </c>
      <c r="BX410" s="61">
        <f t="shared" si="319"/>
        <v>0</v>
      </c>
      <c r="BY410" s="61" t="s">
        <v>91</v>
      </c>
      <c r="CA410" s="61">
        <f t="shared" si="330"/>
        <v>0</v>
      </c>
      <c r="CB410" s="61">
        <f t="shared" si="330"/>
        <v>0</v>
      </c>
      <c r="CC410" s="61">
        <f t="shared" si="330"/>
        <v>0</v>
      </c>
      <c r="CD410" s="61">
        <f t="shared" si="329"/>
        <v>0</v>
      </c>
      <c r="CE410" s="61">
        <f t="shared" si="329"/>
        <v>0</v>
      </c>
      <c r="CF410" s="61">
        <f t="shared" si="329"/>
        <v>0</v>
      </c>
      <c r="CG410" s="61">
        <f t="shared" si="329"/>
        <v>0</v>
      </c>
      <c r="CH410" s="61">
        <f t="shared" si="299"/>
        <v>0</v>
      </c>
      <c r="CI410" s="61">
        <f t="shared" si="310"/>
        <v>0</v>
      </c>
      <c r="CJ410" s="61"/>
      <c r="CK410" s="61">
        <f t="shared" si="320"/>
        <v>0</v>
      </c>
      <c r="CL410" s="61">
        <f t="shared" si="320"/>
        <v>0</v>
      </c>
      <c r="CM410" s="61">
        <f t="shared" si="320"/>
        <v>0</v>
      </c>
      <c r="CN410" s="61">
        <f t="shared" si="320"/>
        <v>0</v>
      </c>
      <c r="CO410" s="61">
        <f t="shared" si="320"/>
        <v>0</v>
      </c>
      <c r="CP410" s="61">
        <f t="shared" si="320"/>
        <v>0</v>
      </c>
      <c r="CQ410" s="61">
        <f t="shared" si="320"/>
        <v>0</v>
      </c>
      <c r="CR410" s="61">
        <f t="shared" si="320"/>
        <v>0</v>
      </c>
      <c r="CS410" s="61">
        <f t="shared" si="312"/>
        <v>0</v>
      </c>
      <c r="CT410" s="61">
        <f t="shared" si="313"/>
        <v>0</v>
      </c>
      <c r="CV410" s="61">
        <f t="shared" si="314"/>
        <v>0</v>
      </c>
      <c r="CW410" s="61">
        <f t="shared" si="298"/>
        <v>0</v>
      </c>
      <c r="CX410" s="61"/>
      <c r="CY410" s="61">
        <f t="shared" si="294"/>
        <v>0</v>
      </c>
      <c r="CZ410" s="61">
        <f t="shared" si="321"/>
        <v>0</v>
      </c>
      <c r="DA410" s="61">
        <f t="shared" si="321"/>
        <v>0</v>
      </c>
      <c r="DB410" s="2" t="s">
        <v>85</v>
      </c>
      <c r="DC410" s="2" t="s">
        <v>86</v>
      </c>
      <c r="DD410" s="2" t="s">
        <v>142</v>
      </c>
      <c r="DE410" s="2" t="s">
        <v>181</v>
      </c>
      <c r="DF410" s="3" t="s">
        <v>86</v>
      </c>
      <c r="DG410" s="62">
        <v>42860</v>
      </c>
      <c r="EC410" s="60"/>
      <c r="ED410" s="60"/>
      <c r="EE410" s="60"/>
      <c r="EF410" s="60"/>
    </row>
    <row r="411" spans="2:140" ht="12.75" hidden="1" customHeight="1">
      <c r="B411" s="99" t="s">
        <v>833</v>
      </c>
      <c r="C411" s="22" t="s">
        <v>834</v>
      </c>
      <c r="D411" s="22" t="s">
        <v>835</v>
      </c>
      <c r="E411" s="2" t="str">
        <f>VLOOKUP($C411,[1]Detail!$C:$AK,6,0)</f>
        <v>PMT1</v>
      </c>
      <c r="F411" s="2" t="str">
        <f>VLOOKUP($C411,[1]Detail!$C:$AK,7,0)</f>
        <v>TH</v>
      </c>
      <c r="G411" s="2" t="str">
        <f>VLOOKUP($C411,[1]Detail!$C:$AK,5,0)</f>
        <v>B</v>
      </c>
      <c r="J411" s="22" t="s">
        <v>126</v>
      </c>
      <c r="K411" s="23">
        <v>8314</v>
      </c>
      <c r="L411" s="22" t="s">
        <v>100</v>
      </c>
      <c r="M411" s="51" t="str">
        <f t="shared" si="287"/>
        <v>JD8B-8314-AA</v>
      </c>
      <c r="O411" s="22">
        <v>1</v>
      </c>
      <c r="P411" s="22">
        <v>1</v>
      </c>
      <c r="Q411" s="22">
        <v>1</v>
      </c>
      <c r="R411" s="22">
        <v>1</v>
      </c>
      <c r="S411" s="22">
        <v>0</v>
      </c>
      <c r="T411" s="22">
        <v>0</v>
      </c>
      <c r="U411" s="22">
        <v>1</v>
      </c>
      <c r="V411" s="22">
        <v>0</v>
      </c>
      <c r="W411" s="64">
        <f t="shared" si="288"/>
        <v>0.72000000000000008</v>
      </c>
      <c r="Y411" s="8">
        <v>-26.29</v>
      </c>
      <c r="Z411" s="8">
        <v>-1.98</v>
      </c>
      <c r="AA411" s="8">
        <v>-4.53</v>
      </c>
      <c r="AB411" s="8">
        <v>0</v>
      </c>
      <c r="AC411" s="8">
        <v>0</v>
      </c>
      <c r="AD411" s="8">
        <f t="shared" si="318"/>
        <v>-32.799999999999997</v>
      </c>
      <c r="AE411" s="2" t="s">
        <v>91</v>
      </c>
      <c r="AG411" s="8">
        <v>-1749000</v>
      </c>
      <c r="AH411" s="8">
        <v>-1749000</v>
      </c>
      <c r="AI411" s="6"/>
      <c r="AJ411" s="70">
        <v>0</v>
      </c>
      <c r="AK411" s="70">
        <v>0</v>
      </c>
      <c r="AL411" s="72"/>
      <c r="AM411" s="22"/>
      <c r="AO411" s="22" t="s">
        <v>126</v>
      </c>
      <c r="AP411" s="23">
        <v>8314</v>
      </c>
      <c r="AQ411" s="22" t="s">
        <v>100</v>
      </c>
      <c r="AR411" s="51" t="str">
        <f t="shared" si="326"/>
        <v>JD8B-8314-AA</v>
      </c>
      <c r="AS411" s="3"/>
      <c r="AT411" s="22">
        <v>1</v>
      </c>
      <c r="AU411" s="22">
        <v>1</v>
      </c>
      <c r="AV411" s="22">
        <v>1</v>
      </c>
      <c r="AW411" s="22">
        <v>1</v>
      </c>
      <c r="AX411" s="22">
        <v>0</v>
      </c>
      <c r="AY411" s="22">
        <v>0</v>
      </c>
      <c r="AZ411" s="22">
        <v>1</v>
      </c>
      <c r="BA411" s="22">
        <v>0</v>
      </c>
      <c r="BB411" s="64">
        <f t="shared" si="327"/>
        <v>0.72000000000000008</v>
      </c>
      <c r="BD411" s="60">
        <v>-26.29</v>
      </c>
      <c r="BE411" s="60">
        <v>-1.98</v>
      </c>
      <c r="BF411" s="95">
        <v>-4.53</v>
      </c>
      <c r="BG411" s="95">
        <v>0</v>
      </c>
      <c r="BH411" s="95">
        <v>0</v>
      </c>
      <c r="BI411" s="8">
        <f t="shared" si="328"/>
        <v>-32.799999999999997</v>
      </c>
      <c r="BJ411" s="2" t="s">
        <v>91</v>
      </c>
      <c r="BL411" s="70">
        <v>-1749000</v>
      </c>
      <c r="BM411" s="70">
        <v>-1749000</v>
      </c>
      <c r="BO411" s="70">
        <v>0</v>
      </c>
      <c r="BP411" s="70">
        <v>0</v>
      </c>
      <c r="BQ411" s="72"/>
      <c r="BS411" s="61">
        <f t="shared" si="315"/>
        <v>0</v>
      </c>
      <c r="BT411" s="61">
        <f t="shared" si="307"/>
        <v>0</v>
      </c>
      <c r="BU411" s="61">
        <f t="shared" si="308"/>
        <v>0</v>
      </c>
      <c r="BV411" s="61">
        <f t="shared" si="309"/>
        <v>0</v>
      </c>
      <c r="BW411" s="61">
        <f t="shared" si="309"/>
        <v>0</v>
      </c>
      <c r="BX411" s="61">
        <f t="shared" si="319"/>
        <v>0</v>
      </c>
      <c r="BY411" s="61" t="s">
        <v>91</v>
      </c>
      <c r="CA411" s="61">
        <f t="shared" si="330"/>
        <v>0</v>
      </c>
      <c r="CB411" s="61">
        <f t="shared" si="330"/>
        <v>0</v>
      </c>
      <c r="CC411" s="61">
        <f t="shared" si="330"/>
        <v>0</v>
      </c>
      <c r="CD411" s="61">
        <f t="shared" si="329"/>
        <v>0</v>
      </c>
      <c r="CE411" s="61">
        <f t="shared" si="329"/>
        <v>0</v>
      </c>
      <c r="CF411" s="61">
        <f t="shared" si="329"/>
        <v>0</v>
      </c>
      <c r="CG411" s="61">
        <f t="shared" si="329"/>
        <v>0</v>
      </c>
      <c r="CH411" s="61">
        <f t="shared" si="299"/>
        <v>0</v>
      </c>
      <c r="CI411" s="61">
        <f t="shared" si="310"/>
        <v>0</v>
      </c>
      <c r="CJ411" s="61"/>
      <c r="CK411" s="61">
        <f t="shared" si="320"/>
        <v>0</v>
      </c>
      <c r="CL411" s="61">
        <f t="shared" si="320"/>
        <v>0</v>
      </c>
      <c r="CM411" s="61">
        <f t="shared" si="320"/>
        <v>0</v>
      </c>
      <c r="CN411" s="61">
        <f t="shared" si="320"/>
        <v>0</v>
      </c>
      <c r="CO411" s="61">
        <f t="shared" si="320"/>
        <v>0</v>
      </c>
      <c r="CP411" s="61">
        <f t="shared" si="320"/>
        <v>0</v>
      </c>
      <c r="CQ411" s="61">
        <f t="shared" si="320"/>
        <v>0</v>
      </c>
      <c r="CR411" s="61">
        <f t="shared" si="320"/>
        <v>0</v>
      </c>
      <c r="CS411" s="61">
        <f t="shared" si="312"/>
        <v>0</v>
      </c>
      <c r="CT411" s="61">
        <f t="shared" si="313"/>
        <v>0</v>
      </c>
      <c r="CV411" s="61">
        <f t="shared" si="314"/>
        <v>0</v>
      </c>
      <c r="CW411" s="61">
        <f t="shared" si="298"/>
        <v>0</v>
      </c>
      <c r="CX411" s="61"/>
      <c r="CY411" s="61">
        <f t="shared" si="294"/>
        <v>0</v>
      </c>
      <c r="CZ411" s="61">
        <f t="shared" si="321"/>
        <v>0</v>
      </c>
      <c r="DA411" s="61">
        <f t="shared" si="321"/>
        <v>0</v>
      </c>
      <c r="DB411" s="2" t="s">
        <v>85</v>
      </c>
      <c r="DC411" s="2" t="s">
        <v>86</v>
      </c>
      <c r="DD411" s="2" t="s">
        <v>142</v>
      </c>
      <c r="DE411" s="2" t="s">
        <v>181</v>
      </c>
      <c r="DF411" s="3" t="s">
        <v>86</v>
      </c>
      <c r="DG411" s="62">
        <v>42860</v>
      </c>
      <c r="EC411" s="60"/>
      <c r="ED411" s="60"/>
      <c r="EE411" s="60"/>
      <c r="EF411" s="60"/>
    </row>
    <row r="412" spans="2:140" ht="12.75" hidden="1" customHeight="1">
      <c r="B412" s="99" t="s">
        <v>833</v>
      </c>
      <c r="C412" s="22" t="s">
        <v>834</v>
      </c>
      <c r="D412" s="22" t="s">
        <v>835</v>
      </c>
      <c r="E412" s="2" t="str">
        <f>VLOOKUP($C412,[1]Detail!$C:$AK,6,0)</f>
        <v>PMT1</v>
      </c>
      <c r="F412" s="2" t="str">
        <f>VLOOKUP($C412,[1]Detail!$C:$AK,7,0)</f>
        <v>TH</v>
      </c>
      <c r="G412" s="2" t="str">
        <f>VLOOKUP($C412,[1]Detail!$C:$AK,5,0)</f>
        <v>B</v>
      </c>
      <c r="J412" s="22" t="s">
        <v>126</v>
      </c>
      <c r="K412" s="23">
        <v>8314</v>
      </c>
      <c r="L412" s="22" t="s">
        <v>111</v>
      </c>
      <c r="M412" s="51" t="str">
        <f t="shared" si="287"/>
        <v>JD8B-8314-BA</v>
      </c>
      <c r="O412" s="22">
        <v>0</v>
      </c>
      <c r="P412" s="22">
        <v>0</v>
      </c>
      <c r="Q412" s="22">
        <v>0</v>
      </c>
      <c r="R412" s="22">
        <v>0</v>
      </c>
      <c r="S412" s="22">
        <v>1</v>
      </c>
      <c r="T412" s="22">
        <v>1</v>
      </c>
      <c r="U412" s="22">
        <v>0</v>
      </c>
      <c r="V412" s="22">
        <v>1</v>
      </c>
      <c r="W412" s="64">
        <f t="shared" si="288"/>
        <v>0.28000000000000003</v>
      </c>
      <c r="Y412" s="8">
        <v>-26.45</v>
      </c>
      <c r="Z412" s="8">
        <v>-1.43</v>
      </c>
      <c r="AA412" s="8">
        <v>-3.53</v>
      </c>
      <c r="AB412" s="8">
        <v>0</v>
      </c>
      <c r="AC412" s="8">
        <v>0</v>
      </c>
      <c r="AD412" s="8">
        <f t="shared" si="318"/>
        <v>-31.41</v>
      </c>
      <c r="AE412" s="2" t="s">
        <v>91</v>
      </c>
      <c r="AG412" s="8">
        <v>-1784000</v>
      </c>
      <c r="AH412" s="8">
        <v>-1784000</v>
      </c>
      <c r="AI412" s="6"/>
      <c r="AJ412" s="70">
        <v>0</v>
      </c>
      <c r="AK412" s="70">
        <v>0</v>
      </c>
      <c r="AL412" s="72"/>
      <c r="AM412" s="22"/>
      <c r="AO412" s="22" t="s">
        <v>126</v>
      </c>
      <c r="AP412" s="23">
        <v>8314</v>
      </c>
      <c r="AQ412" s="22" t="s">
        <v>111</v>
      </c>
      <c r="AR412" s="51" t="str">
        <f t="shared" si="326"/>
        <v>JD8B-8314-BA</v>
      </c>
      <c r="AS412" s="3"/>
      <c r="AT412" s="22">
        <v>0</v>
      </c>
      <c r="AU412" s="22">
        <v>0</v>
      </c>
      <c r="AV412" s="22">
        <v>0</v>
      </c>
      <c r="AW412" s="22">
        <v>0</v>
      </c>
      <c r="AX412" s="22">
        <v>1</v>
      </c>
      <c r="AY412" s="22">
        <v>1</v>
      </c>
      <c r="AZ412" s="22">
        <v>0</v>
      </c>
      <c r="BA412" s="22">
        <v>1</v>
      </c>
      <c r="BB412" s="64">
        <f t="shared" si="327"/>
        <v>0.28000000000000003</v>
      </c>
      <c r="BD412" s="60">
        <v>-26.45</v>
      </c>
      <c r="BE412" s="60">
        <v>-1.43</v>
      </c>
      <c r="BF412" s="95">
        <v>-3.53</v>
      </c>
      <c r="BG412" s="95">
        <v>0</v>
      </c>
      <c r="BH412" s="95">
        <v>0</v>
      </c>
      <c r="BI412" s="8">
        <f t="shared" si="328"/>
        <v>-31.41</v>
      </c>
      <c r="BJ412" s="2" t="s">
        <v>91</v>
      </c>
      <c r="BL412" s="70">
        <v>-1784000</v>
      </c>
      <c r="BM412" s="70">
        <v>-1784000</v>
      </c>
      <c r="BO412" s="70">
        <v>0</v>
      </c>
      <c r="BP412" s="70">
        <v>0</v>
      </c>
      <c r="BQ412" s="72"/>
      <c r="BS412" s="61">
        <f t="shared" si="315"/>
        <v>0</v>
      </c>
      <c r="BT412" s="61">
        <f t="shared" si="307"/>
        <v>0</v>
      </c>
      <c r="BU412" s="61">
        <f t="shared" si="308"/>
        <v>0</v>
      </c>
      <c r="BV412" s="61">
        <f t="shared" si="309"/>
        <v>0</v>
      </c>
      <c r="BW412" s="61">
        <f t="shared" si="309"/>
        <v>0</v>
      </c>
      <c r="BX412" s="61">
        <f t="shared" si="319"/>
        <v>0</v>
      </c>
      <c r="BY412" s="61" t="s">
        <v>91</v>
      </c>
      <c r="CA412" s="61">
        <f t="shared" si="330"/>
        <v>0</v>
      </c>
      <c r="CB412" s="61">
        <f t="shared" si="330"/>
        <v>0</v>
      </c>
      <c r="CC412" s="61">
        <f t="shared" si="330"/>
        <v>0</v>
      </c>
      <c r="CD412" s="61">
        <f t="shared" si="329"/>
        <v>0</v>
      </c>
      <c r="CE412" s="61">
        <f t="shared" si="329"/>
        <v>0</v>
      </c>
      <c r="CF412" s="61">
        <f t="shared" si="329"/>
        <v>0</v>
      </c>
      <c r="CG412" s="61">
        <f t="shared" si="329"/>
        <v>0</v>
      </c>
      <c r="CH412" s="61">
        <f t="shared" si="299"/>
        <v>0</v>
      </c>
      <c r="CI412" s="61">
        <f t="shared" si="310"/>
        <v>0</v>
      </c>
      <c r="CJ412" s="61"/>
      <c r="CK412" s="61">
        <f t="shared" si="320"/>
        <v>0</v>
      </c>
      <c r="CL412" s="61">
        <f t="shared" si="320"/>
        <v>0</v>
      </c>
      <c r="CM412" s="61">
        <f t="shared" si="320"/>
        <v>0</v>
      </c>
      <c r="CN412" s="61">
        <f t="shared" si="320"/>
        <v>0</v>
      </c>
      <c r="CO412" s="61">
        <f t="shared" si="320"/>
        <v>0</v>
      </c>
      <c r="CP412" s="61">
        <f t="shared" si="320"/>
        <v>0</v>
      </c>
      <c r="CQ412" s="61">
        <f t="shared" si="320"/>
        <v>0</v>
      </c>
      <c r="CR412" s="61">
        <f t="shared" si="320"/>
        <v>0</v>
      </c>
      <c r="CS412" s="61">
        <f t="shared" si="312"/>
        <v>0</v>
      </c>
      <c r="CT412" s="61">
        <f t="shared" si="313"/>
        <v>0</v>
      </c>
      <c r="CV412" s="61">
        <f t="shared" si="314"/>
        <v>0</v>
      </c>
      <c r="CW412" s="61">
        <f t="shared" si="298"/>
        <v>0</v>
      </c>
      <c r="CX412" s="61"/>
      <c r="CY412" s="61">
        <f t="shared" si="294"/>
        <v>0</v>
      </c>
      <c r="CZ412" s="61">
        <f t="shared" si="321"/>
        <v>0</v>
      </c>
      <c r="DA412" s="61">
        <f t="shared" si="321"/>
        <v>0</v>
      </c>
      <c r="DB412" s="2" t="s">
        <v>85</v>
      </c>
      <c r="DC412" s="2" t="s">
        <v>86</v>
      </c>
      <c r="DD412" s="2" t="s">
        <v>142</v>
      </c>
      <c r="DE412" s="2" t="s">
        <v>181</v>
      </c>
      <c r="DF412" s="3" t="s">
        <v>86</v>
      </c>
      <c r="DG412" s="62">
        <v>42860</v>
      </c>
      <c r="EC412" s="60"/>
      <c r="ED412" s="60"/>
      <c r="EE412" s="60"/>
      <c r="EF412" s="60"/>
    </row>
    <row r="413" spans="2:140" ht="12.75" hidden="1" customHeight="1">
      <c r="B413" s="99" t="s">
        <v>833</v>
      </c>
      <c r="C413" s="22" t="s">
        <v>834</v>
      </c>
      <c r="D413" s="22" t="s">
        <v>835</v>
      </c>
      <c r="E413" s="2" t="str">
        <f>VLOOKUP($C413,[1]Detail!$C:$AK,6,0)</f>
        <v>PMT1</v>
      </c>
      <c r="F413" s="2" t="str">
        <f>VLOOKUP($C413,[1]Detail!$C:$AK,7,0)</f>
        <v>TH</v>
      </c>
      <c r="G413" s="2" t="str">
        <f>VLOOKUP($C413,[1]Detail!$C:$AK,5,0)</f>
        <v>B</v>
      </c>
      <c r="J413" s="22" t="s">
        <v>126</v>
      </c>
      <c r="K413" s="23">
        <v>8121</v>
      </c>
      <c r="L413" s="22" t="s">
        <v>100</v>
      </c>
      <c r="M413" s="51" t="str">
        <f t="shared" si="287"/>
        <v>JD8B-8121-AA</v>
      </c>
      <c r="O413" s="22">
        <v>0</v>
      </c>
      <c r="P413" s="22">
        <v>0</v>
      </c>
      <c r="Q413" s="22">
        <v>0</v>
      </c>
      <c r="R413" s="22">
        <v>0</v>
      </c>
      <c r="S413" s="22">
        <v>1</v>
      </c>
      <c r="T413" s="22">
        <v>1</v>
      </c>
      <c r="U413" s="22">
        <v>0</v>
      </c>
      <c r="V413" s="22">
        <v>1</v>
      </c>
      <c r="W413" s="64">
        <f t="shared" si="288"/>
        <v>0.28000000000000003</v>
      </c>
      <c r="Y413" s="8">
        <v>-12.91</v>
      </c>
      <c r="Z413" s="8">
        <v>-0.28000000000000003</v>
      </c>
      <c r="AA413" s="8">
        <v>-0.7</v>
      </c>
      <c r="AB413" s="8">
        <v>0</v>
      </c>
      <c r="AC413" s="8">
        <v>0</v>
      </c>
      <c r="AD413" s="8">
        <f t="shared" si="318"/>
        <v>-13.889999999999999</v>
      </c>
      <c r="AE413" s="2" t="s">
        <v>91</v>
      </c>
      <c r="AG413" s="8">
        <f>-821300</f>
        <v>-821300</v>
      </c>
      <c r="AH413" s="8">
        <f>-821300</f>
        <v>-821300</v>
      </c>
      <c r="AI413" s="6"/>
      <c r="AJ413" s="70">
        <v>0</v>
      </c>
      <c r="AK413" s="70">
        <v>0</v>
      </c>
      <c r="AL413" s="72"/>
      <c r="AM413" s="22"/>
      <c r="AO413" s="22" t="s">
        <v>126</v>
      </c>
      <c r="AP413" s="23">
        <v>8121</v>
      </c>
      <c r="AQ413" s="22" t="s">
        <v>100</v>
      </c>
      <c r="AR413" s="51" t="str">
        <f t="shared" si="326"/>
        <v>JD8B-8121-AA</v>
      </c>
      <c r="AS413" s="3"/>
      <c r="AT413" s="22">
        <v>0</v>
      </c>
      <c r="AU413" s="22">
        <v>0</v>
      </c>
      <c r="AV413" s="22">
        <v>0</v>
      </c>
      <c r="AW413" s="22">
        <v>0</v>
      </c>
      <c r="AX413" s="22">
        <v>1</v>
      </c>
      <c r="AY413" s="22">
        <v>1</v>
      </c>
      <c r="AZ413" s="22">
        <v>0</v>
      </c>
      <c r="BA413" s="22">
        <v>1</v>
      </c>
      <c r="BB413" s="64">
        <f t="shared" si="327"/>
        <v>0.28000000000000003</v>
      </c>
      <c r="BD413" s="60">
        <v>-12.91</v>
      </c>
      <c r="BE413" s="60">
        <v>-0.28000000000000003</v>
      </c>
      <c r="BF413" s="95">
        <v>-0.7</v>
      </c>
      <c r="BG413" s="95">
        <v>0</v>
      </c>
      <c r="BH413" s="95">
        <v>0</v>
      </c>
      <c r="BI413" s="8">
        <f t="shared" si="328"/>
        <v>-13.889999999999999</v>
      </c>
      <c r="BJ413" s="2" t="s">
        <v>91</v>
      </c>
      <c r="BL413" s="70">
        <f>-821300</f>
        <v>-821300</v>
      </c>
      <c r="BM413" s="70">
        <f>-821300</f>
        <v>-821300</v>
      </c>
      <c r="BO413" s="70">
        <v>0</v>
      </c>
      <c r="BP413" s="70">
        <v>0</v>
      </c>
      <c r="BQ413" s="72"/>
      <c r="BS413" s="61">
        <f t="shared" si="315"/>
        <v>0</v>
      </c>
      <c r="BT413" s="61">
        <f t="shared" si="307"/>
        <v>0</v>
      </c>
      <c r="BU413" s="61">
        <f t="shared" si="308"/>
        <v>0</v>
      </c>
      <c r="BV413" s="61">
        <f t="shared" si="309"/>
        <v>0</v>
      </c>
      <c r="BW413" s="61">
        <f t="shared" si="309"/>
        <v>0</v>
      </c>
      <c r="BX413" s="61">
        <f t="shared" si="319"/>
        <v>0</v>
      </c>
      <c r="BY413" s="61" t="s">
        <v>91</v>
      </c>
      <c r="CA413" s="61">
        <f t="shared" si="330"/>
        <v>0</v>
      </c>
      <c r="CB413" s="61">
        <f t="shared" si="330"/>
        <v>0</v>
      </c>
      <c r="CC413" s="61">
        <f t="shared" si="330"/>
        <v>0</v>
      </c>
      <c r="CD413" s="61">
        <f t="shared" si="329"/>
        <v>0</v>
      </c>
      <c r="CE413" s="61">
        <f t="shared" si="329"/>
        <v>0</v>
      </c>
      <c r="CF413" s="61">
        <f t="shared" si="329"/>
        <v>0</v>
      </c>
      <c r="CG413" s="61">
        <f t="shared" si="329"/>
        <v>0</v>
      </c>
      <c r="CH413" s="61">
        <f t="shared" si="299"/>
        <v>0</v>
      </c>
      <c r="CI413" s="61">
        <f t="shared" si="310"/>
        <v>0</v>
      </c>
      <c r="CJ413" s="61"/>
      <c r="CK413" s="61">
        <f t="shared" si="320"/>
        <v>0</v>
      </c>
      <c r="CL413" s="61">
        <f t="shared" si="320"/>
        <v>0</v>
      </c>
      <c r="CM413" s="61">
        <f t="shared" si="320"/>
        <v>0</v>
      </c>
      <c r="CN413" s="61">
        <f t="shared" si="320"/>
        <v>0</v>
      </c>
      <c r="CO413" s="61">
        <f t="shared" si="320"/>
        <v>0</v>
      </c>
      <c r="CP413" s="61">
        <f t="shared" si="320"/>
        <v>0</v>
      </c>
      <c r="CQ413" s="61">
        <f t="shared" si="320"/>
        <v>0</v>
      </c>
      <c r="CR413" s="61">
        <f t="shared" si="320"/>
        <v>0</v>
      </c>
      <c r="CS413" s="61">
        <f t="shared" si="312"/>
        <v>0</v>
      </c>
      <c r="CT413" s="61">
        <f t="shared" si="313"/>
        <v>0</v>
      </c>
      <c r="CV413" s="61">
        <f t="shared" si="314"/>
        <v>0</v>
      </c>
      <c r="CW413" s="61">
        <f t="shared" si="298"/>
        <v>0</v>
      </c>
      <c r="CX413" s="61"/>
      <c r="CY413" s="61">
        <f t="shared" si="294"/>
        <v>0</v>
      </c>
      <c r="CZ413" s="61">
        <f t="shared" si="321"/>
        <v>0</v>
      </c>
      <c r="DA413" s="61">
        <f t="shared" si="321"/>
        <v>0</v>
      </c>
      <c r="DB413" s="2" t="s">
        <v>85</v>
      </c>
      <c r="DC413" s="2" t="s">
        <v>86</v>
      </c>
      <c r="DD413" s="2" t="s">
        <v>142</v>
      </c>
      <c r="DE413" s="2" t="s">
        <v>181</v>
      </c>
      <c r="DF413" s="3" t="s">
        <v>86</v>
      </c>
      <c r="DG413" s="62">
        <v>42860</v>
      </c>
      <c r="EC413" s="60"/>
      <c r="ED413" s="60"/>
      <c r="EE413" s="60"/>
      <c r="EF413" s="60"/>
    </row>
    <row r="414" spans="2:140" ht="12.75" hidden="1" customHeight="1">
      <c r="B414" s="99" t="s">
        <v>836</v>
      </c>
      <c r="C414" s="22" t="s">
        <v>834</v>
      </c>
      <c r="D414" s="22" t="s">
        <v>835</v>
      </c>
      <c r="E414" s="2" t="str">
        <f>VLOOKUP($C414,[1]Detail!$C:$AK,6,0)</f>
        <v>PMT1</v>
      </c>
      <c r="F414" s="2" t="str">
        <f>VLOOKUP($C414,[1]Detail!$C:$AK,7,0)</f>
        <v>TH</v>
      </c>
      <c r="G414" s="2" t="str">
        <f>VLOOKUP($C414,[1]Detail!$C:$AK,5,0)</f>
        <v>B</v>
      </c>
      <c r="J414" s="22" t="s">
        <v>126</v>
      </c>
      <c r="K414" s="23">
        <v>8121</v>
      </c>
      <c r="L414" s="22" t="s">
        <v>132</v>
      </c>
      <c r="M414" s="51" t="str">
        <f t="shared" si="287"/>
        <v>JD8B-8121-AB</v>
      </c>
      <c r="O414" s="22">
        <v>0</v>
      </c>
      <c r="P414" s="22">
        <v>0</v>
      </c>
      <c r="Q414" s="22">
        <v>0</v>
      </c>
      <c r="R414" s="22">
        <v>0</v>
      </c>
      <c r="S414" s="22">
        <v>1</v>
      </c>
      <c r="T414" s="22">
        <v>1</v>
      </c>
      <c r="U414" s="22">
        <v>0</v>
      </c>
      <c r="V414" s="22">
        <v>1</v>
      </c>
      <c r="W414" s="64">
        <f t="shared" si="288"/>
        <v>0.28000000000000003</v>
      </c>
      <c r="Y414" s="8">
        <v>-12.91</v>
      </c>
      <c r="Z414" s="8">
        <v>-0.28000000000000003</v>
      </c>
      <c r="AA414" s="8">
        <v>-0.7</v>
      </c>
      <c r="AB414" s="8">
        <v>0</v>
      </c>
      <c r="AC414" s="8">
        <v>0</v>
      </c>
      <c r="AD414" s="8">
        <f t="shared" si="318"/>
        <v>-13.889999999999999</v>
      </c>
      <c r="AE414" s="2" t="s">
        <v>91</v>
      </c>
      <c r="AG414" s="8">
        <f>-821300</f>
        <v>-821300</v>
      </c>
      <c r="AH414" s="8">
        <f>-821300</f>
        <v>-821300</v>
      </c>
      <c r="AI414" s="6"/>
      <c r="AJ414" s="70">
        <v>0</v>
      </c>
      <c r="AK414" s="70">
        <v>0</v>
      </c>
      <c r="AL414" s="72"/>
      <c r="AM414" s="22"/>
      <c r="AO414" s="22" t="s">
        <v>126</v>
      </c>
      <c r="AP414" s="23">
        <v>8121</v>
      </c>
      <c r="AQ414" s="22" t="s">
        <v>100</v>
      </c>
      <c r="AR414" s="51" t="str">
        <f t="shared" si="326"/>
        <v>JD8B-8121-AA</v>
      </c>
      <c r="AS414" s="3"/>
      <c r="AT414" s="22">
        <v>0</v>
      </c>
      <c r="AU414" s="22">
        <v>0</v>
      </c>
      <c r="AV414" s="22">
        <v>0</v>
      </c>
      <c r="AW414" s="22">
        <v>0</v>
      </c>
      <c r="AX414" s="22">
        <v>1</v>
      </c>
      <c r="AY414" s="22">
        <v>1</v>
      </c>
      <c r="AZ414" s="22">
        <v>0</v>
      </c>
      <c r="BA414" s="22">
        <v>1</v>
      </c>
      <c r="BB414" s="64">
        <f t="shared" si="327"/>
        <v>0.28000000000000003</v>
      </c>
      <c r="BD414" s="60">
        <v>-12.91</v>
      </c>
      <c r="BE414" s="60">
        <v>-0.28000000000000003</v>
      </c>
      <c r="BF414" s="95">
        <v>-0.7</v>
      </c>
      <c r="BG414" s="95">
        <v>0</v>
      </c>
      <c r="BH414" s="95">
        <v>0</v>
      </c>
      <c r="BI414" s="8">
        <f t="shared" ref="BI414" si="331">SUM(BD414:BH414)</f>
        <v>-13.889999999999999</v>
      </c>
      <c r="BJ414" s="2" t="s">
        <v>91</v>
      </c>
      <c r="BL414" s="70">
        <f>-821300</f>
        <v>-821300</v>
      </c>
      <c r="BM414" s="70">
        <f>-821300</f>
        <v>-821300</v>
      </c>
      <c r="BO414" s="70">
        <v>0</v>
      </c>
      <c r="BP414" s="70">
        <v>0</v>
      </c>
      <c r="BQ414" s="72"/>
      <c r="BS414" s="61">
        <f t="shared" si="315"/>
        <v>0</v>
      </c>
      <c r="BT414" s="61">
        <f t="shared" si="307"/>
        <v>0</v>
      </c>
      <c r="BU414" s="61">
        <f t="shared" si="308"/>
        <v>0</v>
      </c>
      <c r="BV414" s="61">
        <f t="shared" si="309"/>
        <v>0</v>
      </c>
      <c r="BW414" s="61">
        <f t="shared" si="309"/>
        <v>0</v>
      </c>
      <c r="BX414" s="61">
        <f t="shared" si="319"/>
        <v>0</v>
      </c>
      <c r="BY414" s="61" t="s">
        <v>91</v>
      </c>
      <c r="CA414" s="61">
        <f t="shared" si="330"/>
        <v>0</v>
      </c>
      <c r="CB414" s="61">
        <f t="shared" si="330"/>
        <v>0</v>
      </c>
      <c r="CC414" s="61">
        <f t="shared" si="330"/>
        <v>0</v>
      </c>
      <c r="CD414" s="61">
        <f t="shared" si="329"/>
        <v>0</v>
      </c>
      <c r="CE414" s="61">
        <f t="shared" si="329"/>
        <v>0</v>
      </c>
      <c r="CF414" s="61">
        <f t="shared" si="329"/>
        <v>0</v>
      </c>
      <c r="CG414" s="61">
        <f t="shared" si="329"/>
        <v>0</v>
      </c>
      <c r="CH414" s="61">
        <f t="shared" si="299"/>
        <v>0</v>
      </c>
      <c r="CI414" s="61">
        <f t="shared" si="310"/>
        <v>0</v>
      </c>
      <c r="CJ414" s="61"/>
      <c r="CK414" s="61">
        <f t="shared" si="320"/>
        <v>0</v>
      </c>
      <c r="CL414" s="61">
        <f t="shared" si="320"/>
        <v>0</v>
      </c>
      <c r="CM414" s="61">
        <f t="shared" si="320"/>
        <v>0</v>
      </c>
      <c r="CN414" s="61">
        <f t="shared" si="320"/>
        <v>0</v>
      </c>
      <c r="CO414" s="61">
        <f t="shared" si="320"/>
        <v>0</v>
      </c>
      <c r="CP414" s="61">
        <f t="shared" si="320"/>
        <v>0</v>
      </c>
      <c r="CQ414" s="61">
        <f t="shared" si="320"/>
        <v>0</v>
      </c>
      <c r="CR414" s="61">
        <f t="shared" si="320"/>
        <v>0</v>
      </c>
      <c r="CS414" s="61">
        <f t="shared" si="312"/>
        <v>0</v>
      </c>
      <c r="CT414" s="61">
        <f t="shared" si="313"/>
        <v>0</v>
      </c>
      <c r="CV414" s="61">
        <f t="shared" si="314"/>
        <v>0</v>
      </c>
      <c r="CW414" s="61">
        <f t="shared" ref="CW414" si="332">SUM(AH414)-SUM(BM414)</f>
        <v>0</v>
      </c>
      <c r="CX414" s="61"/>
      <c r="CY414" s="61">
        <f t="shared" ref="CY414" si="333">SUM(AJ414)-SUM(BO414)</f>
        <v>0</v>
      </c>
      <c r="CZ414" s="61">
        <f t="shared" si="321"/>
        <v>0</v>
      </c>
      <c r="DA414" s="61">
        <f t="shared" si="321"/>
        <v>0</v>
      </c>
      <c r="DB414" s="2" t="s">
        <v>86</v>
      </c>
      <c r="DC414" s="2" t="s">
        <v>85</v>
      </c>
      <c r="DD414" s="2" t="s">
        <v>142</v>
      </c>
      <c r="DE414" s="2" t="s">
        <v>837</v>
      </c>
      <c r="DF414" s="3" t="s">
        <v>86</v>
      </c>
      <c r="DG414" s="62">
        <v>43166</v>
      </c>
      <c r="EC414" s="60" t="str">
        <f>VLOOKUP($M414,[1]Detail!$M:$BO,1,0)</f>
        <v>JD8B-8121-AB</v>
      </c>
      <c r="ED414" s="60">
        <f>VLOOKUP($M414,[1]Detail!$M:$BO,22,0)</f>
        <v>-13.889999999999999</v>
      </c>
      <c r="EE414" s="60">
        <f>VLOOKUP($M414,[1]Detail!$M:$BO,42,0)</f>
        <v>-821300</v>
      </c>
      <c r="EF414" s="60">
        <f>VLOOKUP($M414,[1]Detail!$M:$BO,45,0)</f>
        <v>0</v>
      </c>
      <c r="EH414" s="60">
        <f>ED414-AD414</f>
        <v>0</v>
      </c>
      <c r="EI414" s="60">
        <f>EE414-AG414</f>
        <v>0</v>
      </c>
      <c r="EJ414" s="60">
        <f>EF414-AJ414</f>
        <v>0</v>
      </c>
    </row>
    <row r="415" spans="2:140" ht="12.75" hidden="1" customHeight="1">
      <c r="B415" s="99" t="s">
        <v>833</v>
      </c>
      <c r="C415" s="22" t="s">
        <v>834</v>
      </c>
      <c r="D415" s="22" t="s">
        <v>835</v>
      </c>
      <c r="E415" s="2" t="str">
        <f>VLOOKUP($C415,[1]Detail!$C:$AK,6,0)</f>
        <v>PMT1</v>
      </c>
      <c r="F415" s="2" t="str">
        <f>VLOOKUP($C415,[1]Detail!$C:$AK,7,0)</f>
        <v>TH</v>
      </c>
      <c r="G415" s="2" t="str">
        <f>VLOOKUP($C415,[1]Detail!$C:$AK,5,0)</f>
        <v>B</v>
      </c>
      <c r="J415" s="22" t="s">
        <v>126</v>
      </c>
      <c r="K415" s="23">
        <v>8312</v>
      </c>
      <c r="L415" s="22" t="s">
        <v>100</v>
      </c>
      <c r="M415" s="51" t="str">
        <f t="shared" si="287"/>
        <v>JD8B-8312-AA</v>
      </c>
      <c r="O415" s="22">
        <v>1</v>
      </c>
      <c r="P415" s="22">
        <v>1</v>
      </c>
      <c r="Q415" s="22">
        <v>1</v>
      </c>
      <c r="R415" s="22">
        <v>1</v>
      </c>
      <c r="S415" s="22">
        <v>1</v>
      </c>
      <c r="T415" s="22">
        <v>1</v>
      </c>
      <c r="U415" s="22">
        <v>1</v>
      </c>
      <c r="V415" s="22">
        <v>1</v>
      </c>
      <c r="W415" s="64">
        <f t="shared" si="288"/>
        <v>1</v>
      </c>
      <c r="Y415" s="8">
        <v>-27.3</v>
      </c>
      <c r="Z415" s="8">
        <v>-1.34</v>
      </c>
      <c r="AA415" s="8">
        <v>-3.08</v>
      </c>
      <c r="AB415" s="8">
        <v>0</v>
      </c>
      <c r="AC415" s="8">
        <v>0</v>
      </c>
      <c r="AD415" s="8">
        <f t="shared" si="318"/>
        <v>-31.72</v>
      </c>
      <c r="AE415" s="2" t="s">
        <v>91</v>
      </c>
      <c r="AG415" s="8">
        <v>-1776500</v>
      </c>
      <c r="AH415" s="8">
        <v>-1776500</v>
      </c>
      <c r="AI415" s="6"/>
      <c r="AJ415" s="70">
        <v>0</v>
      </c>
      <c r="AK415" s="70">
        <v>0</v>
      </c>
      <c r="AL415" s="72"/>
      <c r="AM415" s="22"/>
      <c r="AO415" s="22" t="s">
        <v>126</v>
      </c>
      <c r="AP415" s="23">
        <v>8312</v>
      </c>
      <c r="AQ415" s="22" t="s">
        <v>100</v>
      </c>
      <c r="AR415" s="51" t="str">
        <f t="shared" si="326"/>
        <v>JD8B-8312-AA</v>
      </c>
      <c r="AS415" s="3"/>
      <c r="AT415" s="22">
        <v>1</v>
      </c>
      <c r="AU415" s="22">
        <v>1</v>
      </c>
      <c r="AV415" s="22">
        <v>1</v>
      </c>
      <c r="AW415" s="22">
        <v>1</v>
      </c>
      <c r="AX415" s="22">
        <v>1</v>
      </c>
      <c r="AY415" s="22">
        <v>1</v>
      </c>
      <c r="AZ415" s="22">
        <v>1</v>
      </c>
      <c r="BA415" s="22">
        <v>1</v>
      </c>
      <c r="BB415" s="64">
        <f t="shared" si="327"/>
        <v>1</v>
      </c>
      <c r="BD415" s="60">
        <v>-27.3</v>
      </c>
      <c r="BE415" s="60">
        <v>-1.34</v>
      </c>
      <c r="BF415" s="95">
        <v>-3.08</v>
      </c>
      <c r="BG415" s="95">
        <v>0</v>
      </c>
      <c r="BH415" s="95">
        <v>0</v>
      </c>
      <c r="BI415" s="8">
        <f t="shared" si="328"/>
        <v>-31.72</v>
      </c>
      <c r="BJ415" s="2" t="s">
        <v>91</v>
      </c>
      <c r="BL415" s="70">
        <v>-1776500</v>
      </c>
      <c r="BM415" s="70">
        <v>-1776500</v>
      </c>
      <c r="BO415" s="70">
        <v>0</v>
      </c>
      <c r="BP415" s="70">
        <v>0</v>
      </c>
      <c r="BQ415" s="72"/>
      <c r="BS415" s="61">
        <f t="shared" si="315"/>
        <v>0</v>
      </c>
      <c r="BT415" s="61">
        <f t="shared" si="307"/>
        <v>0</v>
      </c>
      <c r="BU415" s="61">
        <f t="shared" si="308"/>
        <v>0</v>
      </c>
      <c r="BV415" s="61">
        <f t="shared" si="309"/>
        <v>0</v>
      </c>
      <c r="BW415" s="61">
        <f t="shared" si="309"/>
        <v>0</v>
      </c>
      <c r="BX415" s="61">
        <f t="shared" si="319"/>
        <v>0</v>
      </c>
      <c r="BY415" s="61" t="s">
        <v>91</v>
      </c>
      <c r="CA415" s="61">
        <f t="shared" si="330"/>
        <v>0</v>
      </c>
      <c r="CB415" s="61">
        <f t="shared" si="330"/>
        <v>0</v>
      </c>
      <c r="CC415" s="61">
        <f t="shared" si="330"/>
        <v>0</v>
      </c>
      <c r="CD415" s="61">
        <f t="shared" si="329"/>
        <v>0</v>
      </c>
      <c r="CE415" s="61">
        <f t="shared" si="329"/>
        <v>0</v>
      </c>
      <c r="CF415" s="61">
        <f t="shared" si="329"/>
        <v>0</v>
      </c>
      <c r="CG415" s="61">
        <f t="shared" si="329"/>
        <v>0</v>
      </c>
      <c r="CH415" s="61">
        <f t="shared" si="299"/>
        <v>0</v>
      </c>
      <c r="CI415" s="61">
        <f t="shared" si="310"/>
        <v>0</v>
      </c>
      <c r="CJ415" s="61"/>
      <c r="CK415" s="61">
        <f t="shared" si="320"/>
        <v>0</v>
      </c>
      <c r="CL415" s="61">
        <f t="shared" si="320"/>
        <v>0</v>
      </c>
      <c r="CM415" s="61">
        <f t="shared" si="320"/>
        <v>0</v>
      </c>
      <c r="CN415" s="61">
        <f t="shared" si="320"/>
        <v>0</v>
      </c>
      <c r="CO415" s="61">
        <f t="shared" si="320"/>
        <v>0</v>
      </c>
      <c r="CP415" s="61">
        <f t="shared" si="320"/>
        <v>0</v>
      </c>
      <c r="CQ415" s="61">
        <f t="shared" si="320"/>
        <v>0</v>
      </c>
      <c r="CR415" s="61">
        <f t="shared" si="320"/>
        <v>0</v>
      </c>
      <c r="CS415" s="61">
        <f t="shared" si="312"/>
        <v>0</v>
      </c>
      <c r="CT415" s="61">
        <f t="shared" si="313"/>
        <v>0</v>
      </c>
      <c r="CV415" s="61">
        <f t="shared" si="314"/>
        <v>0</v>
      </c>
      <c r="CW415" s="61">
        <f t="shared" si="298"/>
        <v>0</v>
      </c>
      <c r="CX415" s="61"/>
      <c r="CY415" s="61">
        <f t="shared" si="294"/>
        <v>0</v>
      </c>
      <c r="CZ415" s="61">
        <f t="shared" si="321"/>
        <v>0</v>
      </c>
      <c r="DA415" s="61">
        <f t="shared" si="321"/>
        <v>0</v>
      </c>
      <c r="DB415" s="2" t="s">
        <v>85</v>
      </c>
      <c r="DC415" s="2" t="s">
        <v>86</v>
      </c>
      <c r="DD415" s="2" t="s">
        <v>142</v>
      </c>
      <c r="DE415" s="2" t="s">
        <v>181</v>
      </c>
      <c r="DF415" s="3" t="s">
        <v>86</v>
      </c>
      <c r="DG415" s="62">
        <v>42860</v>
      </c>
      <c r="EC415" s="60"/>
      <c r="ED415" s="60"/>
      <c r="EE415" s="60"/>
      <c r="EF415" s="60"/>
    </row>
    <row r="416" spans="2:140" ht="12.75" hidden="1" customHeight="1">
      <c r="B416" s="99" t="s">
        <v>833</v>
      </c>
      <c r="C416" s="22" t="s">
        <v>834</v>
      </c>
      <c r="D416" s="22" t="s">
        <v>835</v>
      </c>
      <c r="E416" s="2" t="str">
        <f>VLOOKUP($C416,[1]Detail!$C:$AK,6,0)</f>
        <v>PMT1</v>
      </c>
      <c r="F416" s="2" t="str">
        <f>VLOOKUP($C416,[1]Detail!$C:$AK,7,0)</f>
        <v>TH</v>
      </c>
      <c r="G416" s="2" t="str">
        <f>VLOOKUP($C416,[1]Detail!$C:$AK,5,0)</f>
        <v>B</v>
      </c>
      <c r="J416" s="22" t="s">
        <v>126</v>
      </c>
      <c r="K416" s="23" t="s">
        <v>838</v>
      </c>
      <c r="L416" s="22" t="s">
        <v>100</v>
      </c>
      <c r="M416" s="51" t="str">
        <f t="shared" si="287"/>
        <v>JD8B-8A261-AA</v>
      </c>
      <c r="O416" s="22">
        <v>0</v>
      </c>
      <c r="P416" s="22">
        <v>0</v>
      </c>
      <c r="Q416" s="22">
        <v>0</v>
      </c>
      <c r="R416" s="22">
        <v>0</v>
      </c>
      <c r="S416" s="22">
        <v>1</v>
      </c>
      <c r="T416" s="22">
        <v>1</v>
      </c>
      <c r="U416" s="22">
        <v>0</v>
      </c>
      <c r="V416" s="22">
        <v>1</v>
      </c>
      <c r="W416" s="64">
        <f t="shared" si="288"/>
        <v>0.28000000000000003</v>
      </c>
      <c r="Y416" s="8">
        <v>-6.72</v>
      </c>
      <c r="Z416" s="8">
        <v>-0.2</v>
      </c>
      <c r="AA416" s="8">
        <v>-0.25</v>
      </c>
      <c r="AB416" s="8">
        <v>0</v>
      </c>
      <c r="AC416" s="8">
        <v>0</v>
      </c>
      <c r="AD416" s="8">
        <f t="shared" si="318"/>
        <v>-7.17</v>
      </c>
      <c r="AE416" s="2" t="s">
        <v>91</v>
      </c>
      <c r="AG416" s="8">
        <v>0</v>
      </c>
      <c r="AH416" s="8">
        <v>0</v>
      </c>
      <c r="AJ416" s="70">
        <v>0</v>
      </c>
      <c r="AK416" s="70">
        <v>0</v>
      </c>
      <c r="AL416" s="72"/>
      <c r="AM416" s="22"/>
      <c r="AO416" s="22" t="s">
        <v>126</v>
      </c>
      <c r="AP416" s="23" t="s">
        <v>838</v>
      </c>
      <c r="AQ416" s="22" t="s">
        <v>100</v>
      </c>
      <c r="AR416" s="51" t="str">
        <f t="shared" si="326"/>
        <v>JD8B-8A261-AA</v>
      </c>
      <c r="AS416" s="3"/>
      <c r="AT416" s="22">
        <v>0</v>
      </c>
      <c r="AU416" s="22">
        <v>0</v>
      </c>
      <c r="AV416" s="22">
        <v>0</v>
      </c>
      <c r="AW416" s="22">
        <v>0</v>
      </c>
      <c r="AX416" s="22">
        <v>1</v>
      </c>
      <c r="AY416" s="22">
        <v>1</v>
      </c>
      <c r="AZ416" s="22">
        <v>0</v>
      </c>
      <c r="BA416" s="22">
        <v>1</v>
      </c>
      <c r="BB416" s="64">
        <f t="shared" si="327"/>
        <v>0.28000000000000003</v>
      </c>
      <c r="BD416" s="60">
        <v>-6.72</v>
      </c>
      <c r="BE416" s="60">
        <v>-0.2</v>
      </c>
      <c r="BF416" s="95">
        <v>-0.25</v>
      </c>
      <c r="BG416" s="95">
        <v>0</v>
      </c>
      <c r="BH416" s="95">
        <v>0</v>
      </c>
      <c r="BI416" s="8">
        <f t="shared" si="328"/>
        <v>-7.17</v>
      </c>
      <c r="BJ416" s="2" t="s">
        <v>91</v>
      </c>
      <c r="BL416" s="70">
        <v>0</v>
      </c>
      <c r="BM416" s="70">
        <v>0</v>
      </c>
      <c r="BO416" s="70">
        <v>0</v>
      </c>
      <c r="BP416" s="70">
        <v>0</v>
      </c>
      <c r="BQ416" s="72"/>
      <c r="BS416" s="61">
        <f t="shared" si="315"/>
        <v>0</v>
      </c>
      <c r="BT416" s="61">
        <f t="shared" si="307"/>
        <v>0</v>
      </c>
      <c r="BU416" s="61">
        <f t="shared" si="308"/>
        <v>0</v>
      </c>
      <c r="BV416" s="61">
        <f t="shared" si="309"/>
        <v>0</v>
      </c>
      <c r="BW416" s="61">
        <f t="shared" si="309"/>
        <v>0</v>
      </c>
      <c r="BX416" s="61">
        <f t="shared" si="319"/>
        <v>0</v>
      </c>
      <c r="BY416" s="61" t="s">
        <v>91</v>
      </c>
      <c r="CA416" s="61">
        <f t="shared" si="330"/>
        <v>0</v>
      </c>
      <c r="CB416" s="61">
        <f t="shared" si="330"/>
        <v>0</v>
      </c>
      <c r="CC416" s="61">
        <f t="shared" si="330"/>
        <v>0</v>
      </c>
      <c r="CD416" s="61">
        <f t="shared" si="329"/>
        <v>0</v>
      </c>
      <c r="CE416" s="61">
        <f t="shared" si="329"/>
        <v>0</v>
      </c>
      <c r="CF416" s="61">
        <f t="shared" si="329"/>
        <v>0</v>
      </c>
      <c r="CG416" s="61">
        <f t="shared" si="329"/>
        <v>0</v>
      </c>
      <c r="CH416" s="61">
        <f t="shared" si="299"/>
        <v>0</v>
      </c>
      <c r="CI416" s="61">
        <f t="shared" si="310"/>
        <v>0</v>
      </c>
      <c r="CJ416" s="61"/>
      <c r="CK416" s="61">
        <f t="shared" si="320"/>
        <v>0</v>
      </c>
      <c r="CL416" s="61">
        <f t="shared" si="320"/>
        <v>0</v>
      </c>
      <c r="CM416" s="61">
        <f t="shared" si="320"/>
        <v>0</v>
      </c>
      <c r="CN416" s="61">
        <f t="shared" si="320"/>
        <v>0</v>
      </c>
      <c r="CO416" s="61">
        <f t="shared" si="320"/>
        <v>0</v>
      </c>
      <c r="CP416" s="61">
        <f t="shared" si="320"/>
        <v>0</v>
      </c>
      <c r="CQ416" s="61">
        <f t="shared" si="320"/>
        <v>0</v>
      </c>
      <c r="CR416" s="61">
        <f t="shared" si="320"/>
        <v>0</v>
      </c>
      <c r="CS416" s="61">
        <f t="shared" si="312"/>
        <v>0</v>
      </c>
      <c r="CT416" s="61">
        <f t="shared" si="313"/>
        <v>0</v>
      </c>
      <c r="CV416" s="61">
        <f t="shared" si="314"/>
        <v>0</v>
      </c>
      <c r="CW416" s="61">
        <f t="shared" si="298"/>
        <v>0</v>
      </c>
      <c r="CX416" s="61"/>
      <c r="CY416" s="61">
        <f t="shared" si="294"/>
        <v>0</v>
      </c>
      <c r="CZ416" s="61">
        <f t="shared" si="321"/>
        <v>0</v>
      </c>
      <c r="DA416" s="61">
        <f t="shared" si="321"/>
        <v>0</v>
      </c>
      <c r="DB416" s="2" t="s">
        <v>86</v>
      </c>
      <c r="DC416" s="2" t="s">
        <v>86</v>
      </c>
      <c r="DD416" s="2" t="s">
        <v>142</v>
      </c>
      <c r="DE416" s="2" t="s">
        <v>181</v>
      </c>
      <c r="DF416" s="3" t="s">
        <v>86</v>
      </c>
      <c r="DG416" s="62">
        <v>42860</v>
      </c>
      <c r="EC416" s="60" t="str">
        <f>VLOOKUP($M416,[1]Detail!$M:$BO,1,0)</f>
        <v>JD8B-8A261-AA</v>
      </c>
      <c r="ED416" s="60">
        <f>VLOOKUP($M416,[1]Detail!$M:$BO,22,0)</f>
        <v>-7.17</v>
      </c>
      <c r="EE416" s="60">
        <f>VLOOKUP($M416,[1]Detail!$M:$BO,42,0)</f>
        <v>0</v>
      </c>
      <c r="EF416" s="60">
        <f>VLOOKUP($M416,[1]Detail!$M:$BO,45,0)</f>
        <v>0</v>
      </c>
      <c r="EH416" s="60">
        <f>ED416-AD416</f>
        <v>0</v>
      </c>
      <c r="EI416" s="60">
        <f>EE416-AG416</f>
        <v>0</v>
      </c>
      <c r="EJ416" s="60">
        <f t="shared" ref="EJ416:EJ417" si="334">EF416-AJ416</f>
        <v>0</v>
      </c>
    </row>
    <row r="417" spans="2:140" ht="12.75" hidden="1" customHeight="1">
      <c r="B417" s="99" t="s">
        <v>839</v>
      </c>
      <c r="C417" s="22" t="s">
        <v>840</v>
      </c>
      <c r="D417" s="22" t="s">
        <v>841</v>
      </c>
      <c r="E417" s="2" t="str">
        <f>VLOOKUP($C417,[1]Detail!$C:$AK,6,0)</f>
        <v>PMT2</v>
      </c>
      <c r="F417" s="2" t="str">
        <f>VLOOKUP($C417,[1]Detail!$C:$AK,7,0)</f>
        <v>TH</v>
      </c>
      <c r="G417" s="2" t="str">
        <f>VLOOKUP($C417,[1]Detail!$C:$AK,5,0)</f>
        <v>B</v>
      </c>
      <c r="J417" s="22" t="s">
        <v>767</v>
      </c>
      <c r="K417" s="23" t="s">
        <v>842</v>
      </c>
      <c r="L417" s="22" t="s">
        <v>100</v>
      </c>
      <c r="M417" s="51" t="str">
        <f t="shared" si="287"/>
        <v>JD8B -F042B85-AA</v>
      </c>
      <c r="O417" s="22">
        <v>1</v>
      </c>
      <c r="P417" s="22">
        <v>1</v>
      </c>
      <c r="Q417" s="22">
        <v>1</v>
      </c>
      <c r="R417" s="22">
        <v>1</v>
      </c>
      <c r="S417" s="22">
        <v>1</v>
      </c>
      <c r="T417" s="22">
        <v>1</v>
      </c>
      <c r="U417" s="22">
        <v>1</v>
      </c>
      <c r="V417" s="22">
        <v>1</v>
      </c>
      <c r="W417" s="64">
        <f t="shared" si="288"/>
        <v>1</v>
      </c>
      <c r="Y417" s="8">
        <v>-143.51</v>
      </c>
      <c r="Z417" s="8">
        <v>-2.31</v>
      </c>
      <c r="AA417" s="8">
        <v>0</v>
      </c>
      <c r="AB417" s="8">
        <v>-0.75</v>
      </c>
      <c r="AC417" s="8">
        <v>-3.3</v>
      </c>
      <c r="AD417" s="8">
        <f t="shared" si="318"/>
        <v>-149.87</v>
      </c>
      <c r="AE417" s="2" t="s">
        <v>91</v>
      </c>
      <c r="AG417" s="8">
        <v>-460000</v>
      </c>
      <c r="AH417" s="8">
        <v>-460000</v>
      </c>
      <c r="AI417" s="6"/>
      <c r="AJ417" s="70">
        <v>-1841710</v>
      </c>
      <c r="AK417" s="70">
        <v>558000</v>
      </c>
      <c r="AL417" s="72"/>
      <c r="AM417" s="22"/>
      <c r="AO417" s="22" t="s">
        <v>843</v>
      </c>
      <c r="AP417" s="23" t="s">
        <v>844</v>
      </c>
      <c r="AQ417" s="22" t="s">
        <v>845</v>
      </c>
      <c r="AR417" s="51" t="str">
        <f t="shared" si="326"/>
        <v>JD8ED8BB -F042B85-AH</v>
      </c>
      <c r="AS417" s="3"/>
      <c r="AT417" s="22">
        <v>1</v>
      </c>
      <c r="AU417" s="22">
        <v>1</v>
      </c>
      <c r="AV417" s="22">
        <v>1</v>
      </c>
      <c r="AW417" s="22">
        <v>1</v>
      </c>
      <c r="AX417" s="22">
        <v>1</v>
      </c>
      <c r="AY417" s="22">
        <v>1</v>
      </c>
      <c r="AZ417" s="22">
        <v>1</v>
      </c>
      <c r="BA417" s="22">
        <v>1</v>
      </c>
      <c r="BB417" s="64">
        <f t="shared" si="327"/>
        <v>1</v>
      </c>
      <c r="BD417" s="60">
        <v>-140.76</v>
      </c>
      <c r="BE417" s="60">
        <v>-2.31</v>
      </c>
      <c r="BF417" s="95">
        <v>0</v>
      </c>
      <c r="BG417" s="95">
        <v>-0.75</v>
      </c>
      <c r="BH417" s="95">
        <v>0</v>
      </c>
      <c r="BI417" s="8">
        <f t="shared" si="328"/>
        <v>-143.82</v>
      </c>
      <c r="BJ417" s="2" t="s">
        <v>91</v>
      </c>
      <c r="BL417" s="70">
        <v>0</v>
      </c>
      <c r="BM417" s="70">
        <v>0</v>
      </c>
      <c r="BO417" s="70">
        <v>0</v>
      </c>
      <c r="BP417" s="70">
        <v>0</v>
      </c>
      <c r="BQ417" s="72"/>
      <c r="BS417" s="61">
        <f t="shared" si="315"/>
        <v>-2.75</v>
      </c>
      <c r="BT417" s="61">
        <f t="shared" si="307"/>
        <v>0</v>
      </c>
      <c r="BU417" s="61">
        <f t="shared" si="308"/>
        <v>0</v>
      </c>
      <c r="BV417" s="61">
        <f t="shared" si="309"/>
        <v>0</v>
      </c>
      <c r="BW417" s="61">
        <f t="shared" si="309"/>
        <v>-3.3</v>
      </c>
      <c r="BX417" s="61">
        <f t="shared" si="319"/>
        <v>-6.0500000000000114</v>
      </c>
      <c r="BY417" s="61" t="s">
        <v>91</v>
      </c>
      <c r="CA417" s="61">
        <f t="shared" si="330"/>
        <v>-0.41372047540243717</v>
      </c>
      <c r="CB417" s="61">
        <f t="shared" si="330"/>
        <v>-0.41372047540243717</v>
      </c>
      <c r="CC417" s="61">
        <f t="shared" si="330"/>
        <v>-0.41372047540243717</v>
      </c>
      <c r="CD417" s="61">
        <f t="shared" si="329"/>
        <v>-0.41372047540243717</v>
      </c>
      <c r="CE417" s="61">
        <f t="shared" si="329"/>
        <v>-0.41372047540243717</v>
      </c>
      <c r="CF417" s="61">
        <f t="shared" si="329"/>
        <v>-0.41372047540243717</v>
      </c>
      <c r="CG417" s="61">
        <f t="shared" si="329"/>
        <v>-0.41372047540243717</v>
      </c>
      <c r="CH417" s="61">
        <f t="shared" si="299"/>
        <v>-0.41372047540243717</v>
      </c>
      <c r="CI417" s="61">
        <f t="shared" si="310"/>
        <v>-0.41372047540243723</v>
      </c>
      <c r="CJ417" s="61"/>
      <c r="CK417" s="61">
        <f t="shared" si="320"/>
        <v>-0.91018504588536353</v>
      </c>
      <c r="CL417" s="61">
        <f t="shared" si="320"/>
        <v>-0.91018504588536353</v>
      </c>
      <c r="CM417" s="61">
        <f t="shared" si="320"/>
        <v>-0.91018504588536353</v>
      </c>
      <c r="CN417" s="61">
        <f t="shared" si="320"/>
        <v>-0.91018504588536353</v>
      </c>
      <c r="CO417" s="61">
        <f t="shared" si="320"/>
        <v>-0.91018504588536353</v>
      </c>
      <c r="CP417" s="61">
        <f t="shared" si="320"/>
        <v>-0.91018504588536353</v>
      </c>
      <c r="CQ417" s="61">
        <f t="shared" si="320"/>
        <v>-0.91018504588536353</v>
      </c>
      <c r="CR417" s="61">
        <f t="shared" si="320"/>
        <v>-0.91018504588536353</v>
      </c>
      <c r="CS417" s="61">
        <f t="shared" si="312"/>
        <v>-0.91018504588536364</v>
      </c>
      <c r="CT417" s="61">
        <f t="shared" si="313"/>
        <v>-6.0500000000000123</v>
      </c>
      <c r="CV417" s="61">
        <f t="shared" si="314"/>
        <v>-460000</v>
      </c>
      <c r="CW417" s="61">
        <f t="shared" si="298"/>
        <v>-460000</v>
      </c>
      <c r="CX417" s="61"/>
      <c r="CY417" s="61">
        <f t="shared" si="294"/>
        <v>-1841710</v>
      </c>
      <c r="CZ417" s="61">
        <f t="shared" si="321"/>
        <v>558000</v>
      </c>
      <c r="DA417" s="61">
        <f t="shared" si="321"/>
        <v>0</v>
      </c>
      <c r="DB417" s="2" t="s">
        <v>86</v>
      </c>
      <c r="DC417" s="2" t="s">
        <v>86</v>
      </c>
      <c r="DD417" s="2" t="s">
        <v>142</v>
      </c>
      <c r="DE417" s="2" t="s">
        <v>181</v>
      </c>
      <c r="DF417" s="3" t="s">
        <v>86</v>
      </c>
      <c r="DG417" s="62">
        <v>42850</v>
      </c>
      <c r="EC417" s="60" t="str">
        <f>VLOOKUP($M417,[1]Detail!$M:$BO,1,0)</f>
        <v>JD8B -F042B85-AA</v>
      </c>
      <c r="ED417" s="60">
        <f>VLOOKUP($M417,[1]Detail!$M:$BO,22,0)</f>
        <v>-149.87</v>
      </c>
      <c r="EE417" s="60">
        <f>VLOOKUP($M417,[1]Detail!$M:$BO,42,0)</f>
        <v>-460000</v>
      </c>
      <c r="EF417" s="60">
        <f>VLOOKUP($M417,[1]Detail!$M:$BO,45,0)</f>
        <v>-1841710</v>
      </c>
      <c r="EH417" s="60">
        <f>ED417-AD417</f>
        <v>0</v>
      </c>
      <c r="EI417" s="60">
        <f>EE417-AG417</f>
        <v>0</v>
      </c>
      <c r="EJ417" s="60">
        <f t="shared" si="334"/>
        <v>0</v>
      </c>
    </row>
    <row r="418" spans="2:140" ht="12.75" hidden="1" customHeight="1">
      <c r="B418" s="99" t="s">
        <v>846</v>
      </c>
      <c r="C418" s="22" t="s">
        <v>847</v>
      </c>
      <c r="D418" s="22" t="s">
        <v>848</v>
      </c>
      <c r="E418" s="2" t="str">
        <f>VLOOKUP($C418,[1]Detail!$C:$AK,6,0)</f>
        <v>PMT1</v>
      </c>
      <c r="F418" s="2" t="str">
        <f>VLOOKUP($C418,[1]Detail!$C:$AK,7,0)</f>
        <v>TH</v>
      </c>
      <c r="G418" s="2" t="str">
        <f>VLOOKUP($C418,[1]Detail!$C:$AK,5,0)</f>
        <v>D</v>
      </c>
      <c r="J418" s="22" t="s">
        <v>126</v>
      </c>
      <c r="K418" s="23" t="s">
        <v>849</v>
      </c>
      <c r="L418" s="22" t="s">
        <v>100</v>
      </c>
      <c r="M418" s="51" t="str">
        <f t="shared" si="287"/>
        <v>JD8B-F8B384-AA</v>
      </c>
      <c r="O418" s="22">
        <v>1</v>
      </c>
      <c r="P418" s="22">
        <v>1</v>
      </c>
      <c r="Q418" s="22">
        <v>1</v>
      </c>
      <c r="R418" s="22">
        <v>1</v>
      </c>
      <c r="S418" s="22">
        <v>1</v>
      </c>
      <c r="T418" s="22">
        <v>1</v>
      </c>
      <c r="U418" s="22">
        <v>1</v>
      </c>
      <c r="V418" s="22">
        <v>1</v>
      </c>
      <c r="W418" s="64">
        <f t="shared" si="288"/>
        <v>1</v>
      </c>
      <c r="Y418" s="8">
        <v>-43.94</v>
      </c>
      <c r="Z418" s="8">
        <v>-0.71</v>
      </c>
      <c r="AA418" s="8">
        <v>-1.83</v>
      </c>
      <c r="AB418" s="8">
        <v>0</v>
      </c>
      <c r="AC418" s="8">
        <v>0</v>
      </c>
      <c r="AD418" s="8">
        <f t="shared" si="318"/>
        <v>-46.48</v>
      </c>
      <c r="AE418" s="2" t="s">
        <v>91</v>
      </c>
      <c r="AG418" s="8">
        <v>-790000</v>
      </c>
      <c r="AH418" s="8">
        <v>-790000</v>
      </c>
      <c r="AI418" s="6"/>
      <c r="AJ418" s="70">
        <v>0</v>
      </c>
      <c r="AK418" s="70">
        <v>0</v>
      </c>
      <c r="AL418" s="72"/>
      <c r="AM418" s="22" t="s">
        <v>850</v>
      </c>
      <c r="AO418" s="22" t="s">
        <v>770</v>
      </c>
      <c r="AP418" s="23" t="s">
        <v>851</v>
      </c>
      <c r="AQ418" s="22" t="s">
        <v>234</v>
      </c>
      <c r="AR418" s="51" t="str">
        <f t="shared" si="326"/>
        <v>ED8B -F8B384-AC</v>
      </c>
      <c r="AS418" s="3"/>
      <c r="AT418" s="22">
        <v>1</v>
      </c>
      <c r="AU418" s="22">
        <v>1</v>
      </c>
      <c r="AV418" s="22">
        <v>1</v>
      </c>
      <c r="AW418" s="22">
        <v>1</v>
      </c>
      <c r="AX418" s="22">
        <v>1</v>
      </c>
      <c r="AY418" s="22">
        <v>1</v>
      </c>
      <c r="AZ418" s="22">
        <v>1</v>
      </c>
      <c r="BA418" s="22">
        <v>1</v>
      </c>
      <c r="BB418" s="64">
        <f t="shared" si="327"/>
        <v>1</v>
      </c>
      <c r="BD418" s="60">
        <v>-16.649999999999999</v>
      </c>
      <c r="BE418" s="60">
        <v>-0.41</v>
      </c>
      <c r="BF418" s="95">
        <v>-0.83</v>
      </c>
      <c r="BG418" s="95">
        <v>-0.02</v>
      </c>
      <c r="BH418" s="95">
        <v>0</v>
      </c>
      <c r="BI418" s="8">
        <f t="shared" si="328"/>
        <v>-17.909999999999997</v>
      </c>
      <c r="BJ418" s="2" t="s">
        <v>91</v>
      </c>
      <c r="BL418" s="70">
        <v>0</v>
      </c>
      <c r="BM418" s="70">
        <v>0</v>
      </c>
      <c r="BO418" s="70">
        <v>0</v>
      </c>
      <c r="BP418" s="70">
        <v>0</v>
      </c>
      <c r="BQ418" s="72"/>
      <c r="BS418" s="61">
        <f t="shared" si="315"/>
        <v>-27.29</v>
      </c>
      <c r="BT418" s="61">
        <f t="shared" si="307"/>
        <v>-0.3</v>
      </c>
      <c r="BU418" s="61">
        <f t="shared" si="308"/>
        <v>-1</v>
      </c>
      <c r="BV418" s="61">
        <f t="shared" si="309"/>
        <v>0.02</v>
      </c>
      <c r="BW418" s="61">
        <f t="shared" si="309"/>
        <v>0</v>
      </c>
      <c r="BX418" s="61">
        <f t="shared" si="319"/>
        <v>-28.57</v>
      </c>
      <c r="BY418" s="61" t="s">
        <v>91</v>
      </c>
      <c r="CA418" s="61">
        <f t="shared" si="330"/>
        <v>-4.1056115540845495</v>
      </c>
      <c r="CB418" s="61">
        <f t="shared" si="330"/>
        <v>-4.1056115540845495</v>
      </c>
      <c r="CC418" s="61">
        <f t="shared" si="330"/>
        <v>-4.1056115540845495</v>
      </c>
      <c r="CD418" s="61">
        <f t="shared" si="329"/>
        <v>-4.1056115540845495</v>
      </c>
      <c r="CE418" s="61">
        <f t="shared" si="329"/>
        <v>-4.1056115540845495</v>
      </c>
      <c r="CF418" s="61">
        <f t="shared" si="329"/>
        <v>-4.1056115540845495</v>
      </c>
      <c r="CG418" s="61">
        <f t="shared" si="329"/>
        <v>-4.1056115540845495</v>
      </c>
      <c r="CH418" s="61">
        <f t="shared" si="299"/>
        <v>-4.1056115540845495</v>
      </c>
      <c r="CI418" s="61">
        <f t="shared" si="310"/>
        <v>-4.1056115540845504</v>
      </c>
      <c r="CJ418" s="61"/>
      <c r="CK418" s="61">
        <f t="shared" si="320"/>
        <v>-4.2981796299082289</v>
      </c>
      <c r="CL418" s="61">
        <f t="shared" si="320"/>
        <v>-4.2981796299082289</v>
      </c>
      <c r="CM418" s="61">
        <f t="shared" si="320"/>
        <v>-4.2981796299082289</v>
      </c>
      <c r="CN418" s="61">
        <f t="shared" si="320"/>
        <v>-4.2981796299082289</v>
      </c>
      <c r="CO418" s="61">
        <f t="shared" si="320"/>
        <v>-4.2981796299082289</v>
      </c>
      <c r="CP418" s="61">
        <f t="shared" si="320"/>
        <v>-4.2981796299082289</v>
      </c>
      <c r="CQ418" s="61">
        <f t="shared" si="320"/>
        <v>-4.2981796299082289</v>
      </c>
      <c r="CR418" s="61">
        <f t="shared" si="320"/>
        <v>-4.2981796299082289</v>
      </c>
      <c r="CS418" s="61">
        <f t="shared" si="312"/>
        <v>-4.2981796299082289</v>
      </c>
      <c r="CT418" s="61">
        <f t="shared" si="313"/>
        <v>-28.569999999999997</v>
      </c>
      <c r="CV418" s="61">
        <f t="shared" si="314"/>
        <v>-790000</v>
      </c>
      <c r="CW418" s="61">
        <f t="shared" si="298"/>
        <v>-790000</v>
      </c>
      <c r="CX418" s="61"/>
      <c r="CY418" s="61">
        <f t="shared" si="294"/>
        <v>0</v>
      </c>
      <c r="CZ418" s="61">
        <f t="shared" si="321"/>
        <v>0</v>
      </c>
      <c r="DA418" s="61">
        <f t="shared" si="321"/>
        <v>0</v>
      </c>
      <c r="DB418" s="2" t="s">
        <v>85</v>
      </c>
      <c r="DC418" s="2" t="s">
        <v>86</v>
      </c>
      <c r="DD418" s="2" t="s">
        <v>142</v>
      </c>
      <c r="DE418" s="2" t="s">
        <v>181</v>
      </c>
      <c r="DF418" s="3" t="s">
        <v>86</v>
      </c>
      <c r="DG418" s="62">
        <v>42860</v>
      </c>
      <c r="EC418" s="60"/>
      <c r="ED418" s="60"/>
      <c r="EE418" s="60"/>
      <c r="EF418" s="60"/>
    </row>
    <row r="419" spans="2:140" ht="12.75" hidden="1" customHeight="1">
      <c r="B419" s="99" t="s">
        <v>852</v>
      </c>
      <c r="C419" s="22" t="s">
        <v>847</v>
      </c>
      <c r="D419" s="22" t="s">
        <v>848</v>
      </c>
      <c r="E419" s="2" t="str">
        <f>VLOOKUP($C419,[1]Detail!$C:$AK,6,0)</f>
        <v>PMT1</v>
      </c>
      <c r="F419" s="2" t="str">
        <f>VLOOKUP($C419,[1]Detail!$C:$AK,7,0)</f>
        <v>TH</v>
      </c>
      <c r="G419" s="2" t="str">
        <f>VLOOKUP($C419,[1]Detail!$C:$AK,5,0)</f>
        <v>D</v>
      </c>
      <c r="J419" s="22" t="s">
        <v>126</v>
      </c>
      <c r="K419" s="23" t="s">
        <v>849</v>
      </c>
      <c r="L419" s="22" t="s">
        <v>132</v>
      </c>
      <c r="M419" s="51" t="str">
        <f t="shared" si="287"/>
        <v>JD8B-F8B384-AB</v>
      </c>
      <c r="O419" s="22">
        <v>1</v>
      </c>
      <c r="P419" s="22">
        <v>1</v>
      </c>
      <c r="Q419" s="22">
        <v>1</v>
      </c>
      <c r="R419" s="22">
        <v>1</v>
      </c>
      <c r="S419" s="22">
        <v>1</v>
      </c>
      <c r="T419" s="22">
        <v>1</v>
      </c>
      <c r="U419" s="22">
        <v>1</v>
      </c>
      <c r="V419" s="22">
        <v>1</v>
      </c>
      <c r="W419" s="64">
        <f t="shared" si="288"/>
        <v>1</v>
      </c>
      <c r="Y419" s="8">
        <v>-43.94</v>
      </c>
      <c r="Z419" s="8">
        <v>-0.71</v>
      </c>
      <c r="AA419" s="8">
        <v>-1.83</v>
      </c>
      <c r="AB419" s="8">
        <v>0</v>
      </c>
      <c r="AC419" s="8">
        <v>0</v>
      </c>
      <c r="AD419" s="8">
        <f t="shared" si="318"/>
        <v>-46.48</v>
      </c>
      <c r="AE419" s="2" t="s">
        <v>91</v>
      </c>
      <c r="AG419" s="8">
        <v>-790000</v>
      </c>
      <c r="AH419" s="8">
        <v>-790000</v>
      </c>
      <c r="AI419" s="6"/>
      <c r="AJ419" s="70">
        <v>0</v>
      </c>
      <c r="AK419" s="70">
        <v>0</v>
      </c>
      <c r="AL419" s="72"/>
      <c r="AM419" s="22"/>
      <c r="AO419" s="22" t="s">
        <v>126</v>
      </c>
      <c r="AP419" s="23" t="s">
        <v>849</v>
      </c>
      <c r="AQ419" s="22" t="s">
        <v>100</v>
      </c>
      <c r="AR419" s="51" t="str">
        <f t="shared" si="326"/>
        <v>JD8B-F8B384-AA</v>
      </c>
      <c r="AS419" s="3"/>
      <c r="AT419" s="22">
        <v>1</v>
      </c>
      <c r="AU419" s="22">
        <v>1</v>
      </c>
      <c r="AV419" s="22">
        <v>1</v>
      </c>
      <c r="AW419" s="22">
        <v>1</v>
      </c>
      <c r="AX419" s="22">
        <v>1</v>
      </c>
      <c r="AY419" s="22">
        <v>1</v>
      </c>
      <c r="AZ419" s="22">
        <v>1</v>
      </c>
      <c r="BA419" s="22">
        <v>1</v>
      </c>
      <c r="BB419" s="64">
        <f t="shared" si="327"/>
        <v>1</v>
      </c>
      <c r="BD419" s="60">
        <v>-43.94</v>
      </c>
      <c r="BE419" s="60">
        <v>-0.71</v>
      </c>
      <c r="BF419" s="95">
        <v>-1.83</v>
      </c>
      <c r="BG419" s="95">
        <v>0</v>
      </c>
      <c r="BH419" s="95">
        <v>0</v>
      </c>
      <c r="BI419" s="8">
        <f t="shared" si="328"/>
        <v>-46.48</v>
      </c>
      <c r="BJ419" s="2" t="s">
        <v>91</v>
      </c>
      <c r="BL419" s="70">
        <v>-790000</v>
      </c>
      <c r="BM419" s="70">
        <v>-790000</v>
      </c>
      <c r="BO419" s="70">
        <v>0</v>
      </c>
      <c r="BP419" s="70">
        <v>0</v>
      </c>
      <c r="BQ419" s="72"/>
      <c r="BS419" s="61">
        <f t="shared" si="315"/>
        <v>0</v>
      </c>
      <c r="BT419" s="61">
        <f t="shared" si="307"/>
        <v>0</v>
      </c>
      <c r="BU419" s="61">
        <f t="shared" si="308"/>
        <v>0</v>
      </c>
      <c r="BV419" s="61">
        <f t="shared" si="309"/>
        <v>0</v>
      </c>
      <c r="BW419" s="61">
        <f t="shared" si="309"/>
        <v>0</v>
      </c>
      <c r="BX419" s="61">
        <f t="shared" si="319"/>
        <v>0</v>
      </c>
      <c r="BY419" s="61" t="s">
        <v>91</v>
      </c>
      <c r="CA419" s="61">
        <f t="shared" si="330"/>
        <v>0</v>
      </c>
      <c r="CB419" s="61">
        <f t="shared" si="330"/>
        <v>0</v>
      </c>
      <c r="CC419" s="61">
        <f t="shared" si="330"/>
        <v>0</v>
      </c>
      <c r="CD419" s="61">
        <f t="shared" si="329"/>
        <v>0</v>
      </c>
      <c r="CE419" s="61">
        <f t="shared" si="329"/>
        <v>0</v>
      </c>
      <c r="CF419" s="61">
        <f t="shared" si="329"/>
        <v>0</v>
      </c>
      <c r="CG419" s="61">
        <f t="shared" si="329"/>
        <v>0</v>
      </c>
      <c r="CH419" s="61">
        <f t="shared" si="299"/>
        <v>0</v>
      </c>
      <c r="CI419" s="61">
        <f t="shared" si="310"/>
        <v>0</v>
      </c>
      <c r="CJ419" s="61"/>
      <c r="CK419" s="61">
        <f t="shared" si="320"/>
        <v>0</v>
      </c>
      <c r="CL419" s="61">
        <f t="shared" si="320"/>
        <v>0</v>
      </c>
      <c r="CM419" s="61">
        <f t="shared" si="320"/>
        <v>0</v>
      </c>
      <c r="CN419" s="61">
        <f t="shared" si="320"/>
        <v>0</v>
      </c>
      <c r="CO419" s="61">
        <f t="shared" si="320"/>
        <v>0</v>
      </c>
      <c r="CP419" s="61">
        <f t="shared" si="320"/>
        <v>0</v>
      </c>
      <c r="CQ419" s="61">
        <f t="shared" si="320"/>
        <v>0</v>
      </c>
      <c r="CR419" s="61">
        <f t="shared" si="320"/>
        <v>0</v>
      </c>
      <c r="CS419" s="61">
        <f t="shared" si="312"/>
        <v>0</v>
      </c>
      <c r="CT419" s="61">
        <f t="shared" si="313"/>
        <v>0</v>
      </c>
      <c r="CV419" s="61">
        <f t="shared" si="314"/>
        <v>0</v>
      </c>
      <c r="CW419" s="61">
        <f t="shared" si="298"/>
        <v>0</v>
      </c>
      <c r="CX419" s="61"/>
      <c r="CY419" s="61">
        <f t="shared" si="294"/>
        <v>0</v>
      </c>
      <c r="CZ419" s="61">
        <f t="shared" si="321"/>
        <v>0</v>
      </c>
      <c r="DA419" s="61">
        <f t="shared" si="321"/>
        <v>0</v>
      </c>
      <c r="DB419" s="2" t="s">
        <v>86</v>
      </c>
      <c r="DC419" s="2" t="s">
        <v>85</v>
      </c>
      <c r="DD419" s="2" t="s">
        <v>142</v>
      </c>
      <c r="DE419" s="2" t="s">
        <v>181</v>
      </c>
      <c r="DF419" s="3" t="s">
        <v>86</v>
      </c>
      <c r="DG419" s="62">
        <v>42879</v>
      </c>
      <c r="EC419" s="60" t="str">
        <f>VLOOKUP($M419,[1]Detail!$M:$BO,1,0)</f>
        <v>JD8B-F8B384-AB</v>
      </c>
      <c r="ED419" s="60">
        <f>VLOOKUP($M419,[1]Detail!$M:$BO,22,0)</f>
        <v>-46.48</v>
      </c>
      <c r="EE419" s="60">
        <f>VLOOKUP($M419,[1]Detail!$M:$BO,42,0)</f>
        <v>-790000</v>
      </c>
      <c r="EF419" s="60">
        <f>VLOOKUP($M419,[1]Detail!$M:$BO,45,0)</f>
        <v>0</v>
      </c>
      <c r="EH419" s="60">
        <f>ED419-AD419</f>
        <v>0</v>
      </c>
      <c r="EI419" s="60">
        <f>EE419-AG419</f>
        <v>0</v>
      </c>
      <c r="EJ419" s="60">
        <f>EF419-AJ419</f>
        <v>0</v>
      </c>
    </row>
    <row r="420" spans="2:140" ht="12.75" hidden="1" customHeight="1">
      <c r="B420" s="99" t="s">
        <v>853</v>
      </c>
      <c r="C420" s="22" t="s">
        <v>854</v>
      </c>
      <c r="D420" s="22" t="s">
        <v>855</v>
      </c>
      <c r="E420" s="2" t="str">
        <f>VLOOKUP($C420,[1]Detail!$C:$AK,6,0)</f>
        <v>PMT1</v>
      </c>
      <c r="F420" s="2" t="str">
        <f>VLOOKUP($C420,[1]Detail!$C:$AK,7,0)</f>
        <v>TH</v>
      </c>
      <c r="G420" s="2" t="str">
        <f>VLOOKUP($C420,[1]Detail!$C:$AK,5,0)</f>
        <v>D</v>
      </c>
      <c r="J420" s="22" t="s">
        <v>126</v>
      </c>
      <c r="K420" s="23">
        <v>8200</v>
      </c>
      <c r="L420" s="22" t="s">
        <v>100</v>
      </c>
      <c r="M420" s="51" t="str">
        <f t="shared" si="287"/>
        <v>JD8B-8200-AA</v>
      </c>
      <c r="O420" s="94">
        <v>1</v>
      </c>
      <c r="P420" s="94">
        <v>1</v>
      </c>
      <c r="Q420" s="94">
        <v>1</v>
      </c>
      <c r="R420" s="94">
        <v>1</v>
      </c>
      <c r="S420" s="94">
        <v>1</v>
      </c>
      <c r="T420" s="94">
        <v>1</v>
      </c>
      <c r="U420" s="94">
        <v>0</v>
      </c>
      <c r="V420" s="94">
        <v>0</v>
      </c>
      <c r="W420" s="64">
        <f t="shared" si="288"/>
        <v>0.9</v>
      </c>
      <c r="Y420" s="8">
        <v>-155.83000000000001</v>
      </c>
      <c r="Z420" s="8">
        <v>-0.79</v>
      </c>
      <c r="AA420" s="8">
        <v>-2.08</v>
      </c>
      <c r="AB420" s="8">
        <v>0</v>
      </c>
      <c r="AC420" s="8">
        <v>0</v>
      </c>
      <c r="AD420" s="8">
        <f t="shared" si="318"/>
        <v>-158.70000000000002</v>
      </c>
      <c r="AE420" s="2" t="s">
        <v>91</v>
      </c>
      <c r="AG420" s="8">
        <v>-3305000</v>
      </c>
      <c r="AH420" s="8">
        <v>-3305000</v>
      </c>
      <c r="AI420" s="6"/>
      <c r="AJ420" s="70">
        <v>0</v>
      </c>
      <c r="AK420" s="70">
        <v>0</v>
      </c>
      <c r="AL420" s="72">
        <v>0</v>
      </c>
      <c r="AM420" s="22"/>
      <c r="AO420" s="22" t="s">
        <v>126</v>
      </c>
      <c r="AP420" s="23">
        <v>8200</v>
      </c>
      <c r="AQ420" s="22" t="s">
        <v>100</v>
      </c>
      <c r="AR420" s="51" t="str">
        <f t="shared" si="326"/>
        <v>JD8B-8200-AA</v>
      </c>
      <c r="AS420" s="3"/>
      <c r="AT420" s="94">
        <v>1</v>
      </c>
      <c r="AU420" s="94">
        <v>1</v>
      </c>
      <c r="AV420" s="94">
        <v>1</v>
      </c>
      <c r="AW420" s="94">
        <v>1</v>
      </c>
      <c r="AX420" s="94">
        <v>1</v>
      </c>
      <c r="AY420" s="94">
        <v>1</v>
      </c>
      <c r="AZ420" s="94">
        <v>0</v>
      </c>
      <c r="BA420" s="94">
        <v>0</v>
      </c>
      <c r="BB420" s="64">
        <f t="shared" si="327"/>
        <v>0.9</v>
      </c>
      <c r="BD420" s="60">
        <v>-155.83000000000001</v>
      </c>
      <c r="BE420" s="60">
        <v>-0.79</v>
      </c>
      <c r="BF420" s="95">
        <v>-2.08</v>
      </c>
      <c r="BG420" s="95">
        <v>0</v>
      </c>
      <c r="BH420" s="95">
        <v>0</v>
      </c>
      <c r="BI420" s="8">
        <f t="shared" si="328"/>
        <v>-158.70000000000002</v>
      </c>
      <c r="BJ420" s="2" t="s">
        <v>91</v>
      </c>
      <c r="BL420" s="70">
        <v>-3305000</v>
      </c>
      <c r="BM420" s="70">
        <v>-3305000</v>
      </c>
      <c r="BO420" s="70">
        <v>0</v>
      </c>
      <c r="BP420" s="70">
        <v>0</v>
      </c>
      <c r="BQ420" s="72">
        <v>0</v>
      </c>
      <c r="BS420" s="61">
        <f t="shared" si="315"/>
        <v>0</v>
      </c>
      <c r="BT420" s="61">
        <f t="shared" si="307"/>
        <v>0</v>
      </c>
      <c r="BU420" s="61">
        <f t="shared" si="308"/>
        <v>0</v>
      </c>
      <c r="BV420" s="61">
        <f t="shared" si="309"/>
        <v>0</v>
      </c>
      <c r="BW420" s="61">
        <f t="shared" si="309"/>
        <v>0</v>
      </c>
      <c r="BX420" s="61">
        <f t="shared" si="319"/>
        <v>0</v>
      </c>
      <c r="BY420" s="61" t="s">
        <v>91</v>
      </c>
      <c r="CA420" s="61">
        <f t="shared" si="330"/>
        <v>0</v>
      </c>
      <c r="CB420" s="61">
        <f t="shared" si="330"/>
        <v>0</v>
      </c>
      <c r="CC420" s="61">
        <f t="shared" si="330"/>
        <v>0</v>
      </c>
      <c r="CD420" s="61">
        <f t="shared" si="329"/>
        <v>0</v>
      </c>
      <c r="CE420" s="61">
        <f t="shared" si="329"/>
        <v>0</v>
      </c>
      <c r="CF420" s="61">
        <f t="shared" si="329"/>
        <v>0</v>
      </c>
      <c r="CG420" s="61">
        <f t="shared" si="329"/>
        <v>0</v>
      </c>
      <c r="CH420" s="61">
        <f t="shared" si="299"/>
        <v>0</v>
      </c>
      <c r="CI420" s="61">
        <f t="shared" si="310"/>
        <v>0</v>
      </c>
      <c r="CJ420" s="61"/>
      <c r="CK420" s="61">
        <f t="shared" si="320"/>
        <v>0</v>
      </c>
      <c r="CL420" s="61">
        <f t="shared" si="320"/>
        <v>0</v>
      </c>
      <c r="CM420" s="61">
        <f t="shared" si="320"/>
        <v>0</v>
      </c>
      <c r="CN420" s="61">
        <f t="shared" si="320"/>
        <v>0</v>
      </c>
      <c r="CO420" s="61">
        <f t="shared" si="320"/>
        <v>0</v>
      </c>
      <c r="CP420" s="61">
        <f t="shared" si="320"/>
        <v>0</v>
      </c>
      <c r="CQ420" s="61">
        <f t="shared" si="320"/>
        <v>0</v>
      </c>
      <c r="CR420" s="61">
        <f t="shared" si="320"/>
        <v>0</v>
      </c>
      <c r="CS420" s="61">
        <f t="shared" si="312"/>
        <v>0</v>
      </c>
      <c r="CT420" s="61">
        <f t="shared" si="313"/>
        <v>0</v>
      </c>
      <c r="CV420" s="61">
        <f t="shared" si="314"/>
        <v>0</v>
      </c>
      <c r="CW420" s="61">
        <f t="shared" si="298"/>
        <v>0</v>
      </c>
      <c r="CX420" s="61"/>
      <c r="CY420" s="61">
        <f t="shared" si="294"/>
        <v>0</v>
      </c>
      <c r="CZ420" s="61">
        <f t="shared" si="321"/>
        <v>0</v>
      </c>
      <c r="DA420" s="61">
        <f t="shared" si="321"/>
        <v>0</v>
      </c>
      <c r="DB420" s="2" t="s">
        <v>85</v>
      </c>
      <c r="DC420" s="2" t="s">
        <v>86</v>
      </c>
      <c r="DD420" s="2" t="s">
        <v>142</v>
      </c>
      <c r="DE420" s="2" t="s">
        <v>181</v>
      </c>
      <c r="DG420" s="62"/>
      <c r="DZ420" s="3" t="e">
        <v>#N/A</v>
      </c>
      <c r="EC420" s="60"/>
      <c r="ED420" s="60"/>
      <c r="EE420" s="60"/>
      <c r="EF420" s="60"/>
    </row>
    <row r="421" spans="2:140" ht="12.75" hidden="1" customHeight="1">
      <c r="B421" s="99" t="s">
        <v>853</v>
      </c>
      <c r="C421" s="22" t="s">
        <v>854</v>
      </c>
      <c r="D421" s="22" t="s">
        <v>855</v>
      </c>
      <c r="E421" s="2" t="str">
        <f>VLOOKUP($C421,[1]Detail!$C:$AK,6,0)</f>
        <v>PMT1</v>
      </c>
      <c r="F421" s="2" t="str">
        <f>VLOOKUP($C421,[1]Detail!$C:$AK,7,0)</f>
        <v>TH</v>
      </c>
      <c r="G421" s="2" t="str">
        <f>VLOOKUP($C421,[1]Detail!$C:$AK,5,0)</f>
        <v>D</v>
      </c>
      <c r="J421" s="22" t="s">
        <v>126</v>
      </c>
      <c r="K421" s="23">
        <v>8200</v>
      </c>
      <c r="L421" s="22" t="s">
        <v>111</v>
      </c>
      <c r="M421" s="51" t="str">
        <f t="shared" si="287"/>
        <v>JD8B-8200-BA</v>
      </c>
      <c r="O421" s="94">
        <v>0</v>
      </c>
      <c r="P421" s="94">
        <v>0</v>
      </c>
      <c r="Q421" s="94">
        <v>0</v>
      </c>
      <c r="R421" s="94">
        <v>0</v>
      </c>
      <c r="S421" s="94">
        <v>0</v>
      </c>
      <c r="T421" s="94">
        <v>0</v>
      </c>
      <c r="U421" s="94">
        <v>1</v>
      </c>
      <c r="V421" s="94">
        <v>1</v>
      </c>
      <c r="W421" s="64">
        <f t="shared" si="288"/>
        <v>0.1</v>
      </c>
      <c r="Y421" s="8">
        <f>-187.05*0-174.13</f>
        <v>-174.13</v>
      </c>
      <c r="Z421" s="8">
        <v>-1.74</v>
      </c>
      <c r="AA421" s="8">
        <v>-2.08</v>
      </c>
      <c r="AB421" s="8">
        <v>0</v>
      </c>
      <c r="AC421" s="8">
        <v>0</v>
      </c>
      <c r="AD421" s="8">
        <f t="shared" si="318"/>
        <v>-177.95000000000002</v>
      </c>
      <c r="AE421" s="2" t="s">
        <v>91</v>
      </c>
      <c r="AG421" s="8">
        <v>-1155000</v>
      </c>
      <c r="AH421" s="8">
        <v>-1155000</v>
      </c>
      <c r="AI421" s="6"/>
      <c r="AJ421" s="70">
        <v>0</v>
      </c>
      <c r="AK421" s="70">
        <v>0</v>
      </c>
      <c r="AL421" s="72">
        <v>0</v>
      </c>
      <c r="AM421" s="22"/>
      <c r="AO421" s="22" t="s">
        <v>126</v>
      </c>
      <c r="AP421" s="23">
        <v>8200</v>
      </c>
      <c r="AQ421" s="22" t="s">
        <v>111</v>
      </c>
      <c r="AR421" s="51" t="str">
        <f t="shared" si="326"/>
        <v>JD8B-8200-BA</v>
      </c>
      <c r="AS421" s="3"/>
      <c r="AT421" s="94">
        <v>0</v>
      </c>
      <c r="AU421" s="94">
        <v>0</v>
      </c>
      <c r="AV421" s="94">
        <v>0</v>
      </c>
      <c r="AW421" s="94">
        <v>0</v>
      </c>
      <c r="AX421" s="94">
        <v>0</v>
      </c>
      <c r="AY421" s="94">
        <v>0</v>
      </c>
      <c r="AZ421" s="94">
        <v>1</v>
      </c>
      <c r="BA421" s="94">
        <v>1</v>
      </c>
      <c r="BB421" s="64">
        <f t="shared" si="327"/>
        <v>0.1</v>
      </c>
      <c r="BD421" s="60">
        <v>-187.05</v>
      </c>
      <c r="BE421" s="60">
        <v>-1.74</v>
      </c>
      <c r="BF421" s="95">
        <v>-2.08</v>
      </c>
      <c r="BG421" s="95">
        <v>0</v>
      </c>
      <c r="BH421" s="95">
        <v>0</v>
      </c>
      <c r="BI421" s="8">
        <f t="shared" si="328"/>
        <v>-190.87000000000003</v>
      </c>
      <c r="BJ421" s="2" t="s">
        <v>91</v>
      </c>
      <c r="BL421" s="70">
        <v>-1155000</v>
      </c>
      <c r="BM421" s="70">
        <v>-1155000</v>
      </c>
      <c r="BO421" s="70">
        <v>0</v>
      </c>
      <c r="BP421" s="70">
        <v>0</v>
      </c>
      <c r="BQ421" s="72">
        <v>0</v>
      </c>
      <c r="BS421" s="61">
        <f t="shared" si="315"/>
        <v>12.920000000000016</v>
      </c>
      <c r="BT421" s="61">
        <f t="shared" si="307"/>
        <v>0</v>
      </c>
      <c r="BU421" s="61">
        <f t="shared" si="308"/>
        <v>0</v>
      </c>
      <c r="BV421" s="61">
        <f t="shared" si="309"/>
        <v>0</v>
      </c>
      <c r="BW421" s="61">
        <f t="shared" si="309"/>
        <v>0</v>
      </c>
      <c r="BX421" s="61">
        <f t="shared" si="319"/>
        <v>12.920000000000016</v>
      </c>
      <c r="BY421" s="61" t="s">
        <v>91</v>
      </c>
      <c r="CA421" s="61">
        <f t="shared" si="330"/>
        <v>0</v>
      </c>
      <c r="CB421" s="61">
        <f t="shared" si="330"/>
        <v>0</v>
      </c>
      <c r="CC421" s="61">
        <f t="shared" si="330"/>
        <v>0</v>
      </c>
      <c r="CD421" s="61">
        <f t="shared" si="329"/>
        <v>0</v>
      </c>
      <c r="CE421" s="61">
        <f t="shared" si="329"/>
        <v>0</v>
      </c>
      <c r="CF421" s="61">
        <f t="shared" si="329"/>
        <v>0</v>
      </c>
      <c r="CG421" s="61">
        <f t="shared" si="329"/>
        <v>1.9437340153452709</v>
      </c>
      <c r="CH421" s="61">
        <f t="shared" si="299"/>
        <v>1.9437340153452709</v>
      </c>
      <c r="CI421" s="61">
        <f t="shared" si="310"/>
        <v>0.19437340153452709</v>
      </c>
      <c r="CJ421" s="61"/>
      <c r="CK421" s="61">
        <f t="shared" si="320"/>
        <v>0</v>
      </c>
      <c r="CL421" s="61">
        <f t="shared" si="320"/>
        <v>0</v>
      </c>
      <c r="CM421" s="61">
        <f t="shared" si="320"/>
        <v>0</v>
      </c>
      <c r="CN421" s="61">
        <f t="shared" si="320"/>
        <v>0</v>
      </c>
      <c r="CO421" s="61">
        <f t="shared" si="320"/>
        <v>0</v>
      </c>
      <c r="CP421" s="61">
        <f t="shared" si="320"/>
        <v>0</v>
      </c>
      <c r="CQ421" s="61">
        <f t="shared" si="320"/>
        <v>1.9437340153452709</v>
      </c>
      <c r="CR421" s="61">
        <f t="shared" si="320"/>
        <v>1.9437340153452709</v>
      </c>
      <c r="CS421" s="61">
        <f t="shared" si="312"/>
        <v>0.19437340153452709</v>
      </c>
      <c r="CT421" s="61">
        <f t="shared" si="313"/>
        <v>1.2920000000000016</v>
      </c>
      <c r="CV421" s="61">
        <f t="shared" si="314"/>
        <v>0</v>
      </c>
      <c r="CW421" s="61">
        <f t="shared" si="298"/>
        <v>0</v>
      </c>
      <c r="CX421" s="61"/>
      <c r="CY421" s="61">
        <f t="shared" si="294"/>
        <v>0</v>
      </c>
      <c r="CZ421" s="61">
        <f t="shared" si="321"/>
        <v>0</v>
      </c>
      <c r="DA421" s="61">
        <f t="shared" si="321"/>
        <v>0</v>
      </c>
      <c r="DB421" s="2" t="s">
        <v>85</v>
      </c>
      <c r="DC421" s="2" t="s">
        <v>86</v>
      </c>
      <c r="DD421" s="2" t="s">
        <v>142</v>
      </c>
      <c r="DE421" s="2" t="s">
        <v>181</v>
      </c>
      <c r="DG421" s="62"/>
      <c r="DZ421" s="3" t="e">
        <v>#N/A</v>
      </c>
      <c r="EC421" s="60"/>
      <c r="ED421" s="60"/>
      <c r="EE421" s="60"/>
      <c r="EF421" s="60"/>
    </row>
    <row r="422" spans="2:140" ht="12.75" hidden="1" customHeight="1">
      <c r="B422" s="99" t="s">
        <v>856</v>
      </c>
      <c r="C422" s="22" t="s">
        <v>857</v>
      </c>
      <c r="D422" s="22" t="s">
        <v>858</v>
      </c>
      <c r="E422" s="2" t="str">
        <f>VLOOKUP($C422,[1]Detail!$C:$AK,6,0)</f>
        <v>PMT4</v>
      </c>
      <c r="F422" s="2" t="str">
        <f>VLOOKUP($C422,[1]Detail!$C:$AK,7,0)</f>
        <v>PF</v>
      </c>
      <c r="G422" s="2" t="str">
        <f>VLOOKUP($C422,[1]Detail!$C:$AK,5,0)</f>
        <v>B</v>
      </c>
      <c r="J422" s="22" t="s">
        <v>585</v>
      </c>
      <c r="K422" s="23" t="s">
        <v>859</v>
      </c>
      <c r="L422" s="22" t="s">
        <v>100</v>
      </c>
      <c r="M422" s="51" t="str">
        <f t="shared" si="287"/>
        <v>JD81-8W005-AA</v>
      </c>
      <c r="O422" s="22">
        <v>1</v>
      </c>
      <c r="P422" s="22">
        <v>1</v>
      </c>
      <c r="Q422" s="22">
        <v>1</v>
      </c>
      <c r="R422" s="22">
        <v>1</v>
      </c>
      <c r="S422" s="22">
        <v>0</v>
      </c>
      <c r="T422" s="22">
        <v>0</v>
      </c>
      <c r="U422" s="22">
        <v>1</v>
      </c>
      <c r="V422" s="22">
        <v>0</v>
      </c>
      <c r="W422" s="64">
        <f t="shared" si="288"/>
        <v>0.72000000000000008</v>
      </c>
      <c r="Y422" s="8">
        <v>-16.8</v>
      </c>
      <c r="Z422" s="8">
        <v>-0.1</v>
      </c>
      <c r="AA422" s="8">
        <v>-0.2</v>
      </c>
      <c r="AB422" s="8">
        <v>0</v>
      </c>
      <c r="AC422" s="8">
        <v>0</v>
      </c>
      <c r="AD422" s="8">
        <f t="shared" si="318"/>
        <v>-17.100000000000001</v>
      </c>
      <c r="AE422" s="2" t="s">
        <v>91</v>
      </c>
      <c r="AG422" s="8">
        <v>-68000</v>
      </c>
      <c r="AH422" s="8">
        <v>-68000</v>
      </c>
      <c r="AI422" s="6"/>
      <c r="AJ422" s="70">
        <v>0</v>
      </c>
      <c r="AK422" s="70">
        <v>0</v>
      </c>
      <c r="AL422" s="72">
        <v>0</v>
      </c>
      <c r="AM422" s="22"/>
      <c r="AO422" s="22" t="s">
        <v>585</v>
      </c>
      <c r="AP422" s="23" t="s">
        <v>859</v>
      </c>
      <c r="AQ422" s="22" t="s">
        <v>100</v>
      </c>
      <c r="AR422" s="51" t="str">
        <f t="shared" si="326"/>
        <v>JD81-8W005-AA</v>
      </c>
      <c r="AS422" s="3"/>
      <c r="AT422" s="22">
        <v>1</v>
      </c>
      <c r="AU422" s="22">
        <v>1</v>
      </c>
      <c r="AV422" s="22">
        <v>1</v>
      </c>
      <c r="AW422" s="22">
        <v>1</v>
      </c>
      <c r="AX422" s="22">
        <v>0</v>
      </c>
      <c r="AY422" s="22">
        <v>0</v>
      </c>
      <c r="AZ422" s="22">
        <v>1</v>
      </c>
      <c r="BA422" s="22">
        <v>0</v>
      </c>
      <c r="BB422" s="64">
        <f t="shared" si="327"/>
        <v>0.72000000000000008</v>
      </c>
      <c r="BD422" s="60">
        <v>-16.8</v>
      </c>
      <c r="BE422" s="60">
        <v>-0.1</v>
      </c>
      <c r="BF422" s="95">
        <v>-0.2</v>
      </c>
      <c r="BG422" s="95">
        <v>0</v>
      </c>
      <c r="BH422" s="95">
        <v>0</v>
      </c>
      <c r="BI422" s="8">
        <f t="shared" si="328"/>
        <v>-17.100000000000001</v>
      </c>
      <c r="BJ422" s="2" t="s">
        <v>91</v>
      </c>
      <c r="BL422" s="70">
        <v>-68000</v>
      </c>
      <c r="BM422" s="70">
        <v>-68000</v>
      </c>
      <c r="BO422" s="70">
        <v>0</v>
      </c>
      <c r="BP422" s="70">
        <v>0</v>
      </c>
      <c r="BQ422" s="72">
        <v>0</v>
      </c>
      <c r="BS422" s="61">
        <f t="shared" si="315"/>
        <v>0</v>
      </c>
      <c r="BT422" s="61">
        <f t="shared" si="307"/>
        <v>0</v>
      </c>
      <c r="BU422" s="61">
        <f t="shared" si="308"/>
        <v>0</v>
      </c>
      <c r="BV422" s="61">
        <f t="shared" si="309"/>
        <v>0</v>
      </c>
      <c r="BW422" s="61">
        <f t="shared" si="309"/>
        <v>0</v>
      </c>
      <c r="BX422" s="61">
        <f t="shared" si="319"/>
        <v>0</v>
      </c>
      <c r="BY422" s="61" t="s">
        <v>91</v>
      </c>
      <c r="CA422" s="61">
        <f t="shared" si="330"/>
        <v>0</v>
      </c>
      <c r="CB422" s="61">
        <f t="shared" si="330"/>
        <v>0</v>
      </c>
      <c r="CC422" s="61">
        <f t="shared" si="330"/>
        <v>0</v>
      </c>
      <c r="CD422" s="61">
        <f t="shared" si="329"/>
        <v>0</v>
      </c>
      <c r="CE422" s="61">
        <f t="shared" si="329"/>
        <v>0</v>
      </c>
      <c r="CF422" s="61">
        <f t="shared" si="329"/>
        <v>0</v>
      </c>
      <c r="CG422" s="61">
        <f t="shared" si="329"/>
        <v>0</v>
      </c>
      <c r="CH422" s="61">
        <f t="shared" si="299"/>
        <v>0</v>
      </c>
      <c r="CI422" s="61">
        <f t="shared" si="310"/>
        <v>0</v>
      </c>
      <c r="CJ422" s="61"/>
      <c r="CK422" s="61">
        <f t="shared" si="320"/>
        <v>0</v>
      </c>
      <c r="CL422" s="61">
        <f t="shared" si="320"/>
        <v>0</v>
      </c>
      <c r="CM422" s="61">
        <f t="shared" si="320"/>
        <v>0</v>
      </c>
      <c r="CN422" s="61">
        <f t="shared" si="320"/>
        <v>0</v>
      </c>
      <c r="CO422" s="61">
        <f t="shared" si="320"/>
        <v>0</v>
      </c>
      <c r="CP422" s="61">
        <f t="shared" si="320"/>
        <v>0</v>
      </c>
      <c r="CQ422" s="61">
        <f t="shared" si="320"/>
        <v>0</v>
      </c>
      <c r="CR422" s="61">
        <f t="shared" si="320"/>
        <v>0</v>
      </c>
      <c r="CS422" s="61">
        <f t="shared" si="312"/>
        <v>0</v>
      </c>
      <c r="CT422" s="61">
        <f t="shared" si="313"/>
        <v>0</v>
      </c>
      <c r="CV422" s="61">
        <f t="shared" si="314"/>
        <v>0</v>
      </c>
      <c r="CW422" s="61">
        <f t="shared" si="298"/>
        <v>0</v>
      </c>
      <c r="CX422" s="61"/>
      <c r="CY422" s="61">
        <f t="shared" si="294"/>
        <v>0</v>
      </c>
      <c r="CZ422" s="61">
        <f t="shared" si="321"/>
        <v>0</v>
      </c>
      <c r="DA422" s="61">
        <f t="shared" si="321"/>
        <v>0</v>
      </c>
      <c r="DB422" s="2" t="s">
        <v>86</v>
      </c>
      <c r="DC422" s="2" t="s">
        <v>86</v>
      </c>
      <c r="DD422" s="2" t="s">
        <v>142</v>
      </c>
      <c r="DE422" s="2" t="s">
        <v>181</v>
      </c>
      <c r="DF422" s="3" t="s">
        <v>86</v>
      </c>
      <c r="DG422" s="62">
        <v>42893</v>
      </c>
      <c r="EC422" s="60" t="str">
        <f>VLOOKUP($M422,[1]Detail!$M:$BO,1,0)</f>
        <v>JD81-8W005-AA</v>
      </c>
      <c r="ED422" s="60">
        <f>VLOOKUP($M422,[1]Detail!$M:$BO,22,0)</f>
        <v>-17.100000000000001</v>
      </c>
      <c r="EE422" s="60">
        <f>VLOOKUP($M422,[1]Detail!$M:$BO,42,0)</f>
        <v>-68000</v>
      </c>
      <c r="EF422" s="60">
        <f>VLOOKUP($M422,[1]Detail!$M:$BO,45,0)</f>
        <v>0</v>
      </c>
      <c r="EH422" s="60">
        <f>ED422-AD422</f>
        <v>0</v>
      </c>
      <c r="EI422" s="60">
        <f>EE422-AG422</f>
        <v>0</v>
      </c>
      <c r="EJ422" s="60">
        <f>EF422-AJ422</f>
        <v>0</v>
      </c>
    </row>
    <row r="423" spans="2:140" ht="12.75" hidden="1" customHeight="1">
      <c r="B423" s="99" t="s">
        <v>856</v>
      </c>
      <c r="C423" s="22" t="s">
        <v>857</v>
      </c>
      <c r="D423" s="22" t="s">
        <v>858</v>
      </c>
      <c r="E423" s="2" t="str">
        <f>VLOOKUP($C423,[1]Detail!$C:$AK,6,0)</f>
        <v>PMT4</v>
      </c>
      <c r="F423" s="2" t="str">
        <f>VLOOKUP($C423,[1]Detail!$C:$AK,7,0)</f>
        <v>PF</v>
      </c>
      <c r="G423" s="2" t="str">
        <f>VLOOKUP($C423,[1]Detail!$C:$AK,5,0)</f>
        <v>B</v>
      </c>
      <c r="J423" s="22" t="s">
        <v>585</v>
      </c>
      <c r="K423" s="23" t="s">
        <v>860</v>
      </c>
      <c r="L423" s="22" t="s">
        <v>100</v>
      </c>
      <c r="M423" s="51" t="str">
        <f t="shared" si="287"/>
        <v>JD81-8A365-AA</v>
      </c>
      <c r="O423" s="22">
        <v>0</v>
      </c>
      <c r="P423" s="22">
        <v>1</v>
      </c>
      <c r="Q423" s="22">
        <v>0</v>
      </c>
      <c r="R423" s="22">
        <v>1</v>
      </c>
      <c r="S423" s="22">
        <v>0</v>
      </c>
      <c r="T423" s="22">
        <v>0</v>
      </c>
      <c r="U423" s="22">
        <v>1</v>
      </c>
      <c r="V423" s="22">
        <v>0</v>
      </c>
      <c r="W423" s="64">
        <f t="shared" si="288"/>
        <v>0.44</v>
      </c>
      <c r="Y423" s="8">
        <v>-33.840000000000003</v>
      </c>
      <c r="Z423" s="8">
        <v>-0.3</v>
      </c>
      <c r="AA423" s="8">
        <v>-0.6</v>
      </c>
      <c r="AB423" s="8">
        <v>0</v>
      </c>
      <c r="AC423" s="8">
        <v>0</v>
      </c>
      <c r="AD423" s="8">
        <f t="shared" si="318"/>
        <v>-34.74</v>
      </c>
      <c r="AE423" s="2" t="s">
        <v>91</v>
      </c>
      <c r="AG423" s="8">
        <v>-157500</v>
      </c>
      <c r="AH423" s="8">
        <v>-157500</v>
      </c>
      <c r="AI423" s="6"/>
      <c r="AJ423" s="70">
        <v>0</v>
      </c>
      <c r="AK423" s="70">
        <v>0</v>
      </c>
      <c r="AL423" s="72">
        <v>0</v>
      </c>
      <c r="AM423" s="22"/>
      <c r="AO423" s="22" t="s">
        <v>585</v>
      </c>
      <c r="AP423" s="23" t="s">
        <v>860</v>
      </c>
      <c r="AQ423" s="22" t="s">
        <v>100</v>
      </c>
      <c r="AR423" s="51" t="str">
        <f t="shared" si="326"/>
        <v>JD81-8A365-AA</v>
      </c>
      <c r="AS423" s="3"/>
      <c r="AT423" s="22">
        <v>0</v>
      </c>
      <c r="AU423" s="22">
        <v>1</v>
      </c>
      <c r="AV423" s="22">
        <v>0</v>
      </c>
      <c r="AW423" s="22">
        <v>1</v>
      </c>
      <c r="AX423" s="22">
        <v>0</v>
      </c>
      <c r="AY423" s="22">
        <v>0</v>
      </c>
      <c r="AZ423" s="22">
        <v>1</v>
      </c>
      <c r="BA423" s="22">
        <v>0</v>
      </c>
      <c r="BB423" s="64">
        <f t="shared" si="327"/>
        <v>0.44</v>
      </c>
      <c r="BD423" s="60">
        <v>-33.840000000000003</v>
      </c>
      <c r="BE423" s="60">
        <v>-0.3</v>
      </c>
      <c r="BF423" s="95">
        <v>-0.6</v>
      </c>
      <c r="BG423" s="95">
        <v>0</v>
      </c>
      <c r="BH423" s="95">
        <v>0</v>
      </c>
      <c r="BI423" s="8">
        <f t="shared" si="328"/>
        <v>-34.74</v>
      </c>
      <c r="BJ423" s="2" t="s">
        <v>91</v>
      </c>
      <c r="BL423" s="70">
        <v>-157500</v>
      </c>
      <c r="BM423" s="70">
        <v>-157500</v>
      </c>
      <c r="BO423" s="70">
        <v>0</v>
      </c>
      <c r="BP423" s="70">
        <v>0</v>
      </c>
      <c r="BQ423" s="72">
        <v>0</v>
      </c>
      <c r="BS423" s="61">
        <f t="shared" si="315"/>
        <v>0</v>
      </c>
      <c r="BT423" s="61">
        <f t="shared" ref="BT423:BT486" si="335">SUM(Z423)-SUM(BE423)</f>
        <v>0</v>
      </c>
      <c r="BU423" s="61">
        <f t="shared" ref="BU423:BU486" si="336">SUM(AA423)-SUM(BF423)</f>
        <v>0</v>
      </c>
      <c r="BV423" s="61">
        <f t="shared" ref="BV423:BW454" si="337">SUM(AB423)-SUM(BG423)</f>
        <v>0</v>
      </c>
      <c r="BW423" s="61">
        <f t="shared" si="337"/>
        <v>0</v>
      </c>
      <c r="BX423" s="61">
        <f t="shared" si="319"/>
        <v>0</v>
      </c>
      <c r="BY423" s="61" t="s">
        <v>91</v>
      </c>
      <c r="CA423" s="61">
        <f t="shared" si="330"/>
        <v>0</v>
      </c>
      <c r="CB423" s="61">
        <f t="shared" si="330"/>
        <v>0</v>
      </c>
      <c r="CC423" s="61">
        <f t="shared" si="330"/>
        <v>0</v>
      </c>
      <c r="CD423" s="61">
        <f t="shared" si="329"/>
        <v>0</v>
      </c>
      <c r="CE423" s="61">
        <f t="shared" si="329"/>
        <v>0</v>
      </c>
      <c r="CF423" s="61">
        <f t="shared" si="329"/>
        <v>0</v>
      </c>
      <c r="CG423" s="61">
        <f t="shared" si="329"/>
        <v>0</v>
      </c>
      <c r="CH423" s="61">
        <f t="shared" si="299"/>
        <v>0</v>
      </c>
      <c r="CI423" s="61">
        <f t="shared" si="310"/>
        <v>0</v>
      </c>
      <c r="CJ423" s="61"/>
      <c r="CK423" s="61">
        <f t="shared" si="320"/>
        <v>0</v>
      </c>
      <c r="CL423" s="61">
        <f t="shared" si="320"/>
        <v>0</v>
      </c>
      <c r="CM423" s="61">
        <f t="shared" si="320"/>
        <v>0</v>
      </c>
      <c r="CN423" s="61">
        <f t="shared" si="320"/>
        <v>0</v>
      </c>
      <c r="CO423" s="61">
        <f t="shared" si="320"/>
        <v>0</v>
      </c>
      <c r="CP423" s="61">
        <f t="shared" si="320"/>
        <v>0</v>
      </c>
      <c r="CQ423" s="61">
        <f t="shared" si="320"/>
        <v>0</v>
      </c>
      <c r="CR423" s="61">
        <f t="shared" si="320"/>
        <v>0</v>
      </c>
      <c r="CS423" s="61">
        <f t="shared" si="312"/>
        <v>0</v>
      </c>
      <c r="CT423" s="61">
        <f t="shared" si="313"/>
        <v>0</v>
      </c>
      <c r="CV423" s="61">
        <f t="shared" si="314"/>
        <v>0</v>
      </c>
      <c r="CW423" s="61">
        <f t="shared" si="298"/>
        <v>0</v>
      </c>
      <c r="CX423" s="61"/>
      <c r="CY423" s="61">
        <f t="shared" si="294"/>
        <v>0</v>
      </c>
      <c r="CZ423" s="61">
        <f t="shared" si="321"/>
        <v>0</v>
      </c>
      <c r="DA423" s="61">
        <f t="shared" si="321"/>
        <v>0</v>
      </c>
      <c r="DB423" s="2" t="s">
        <v>85</v>
      </c>
      <c r="DC423" s="2" t="s">
        <v>86</v>
      </c>
      <c r="DD423" s="2" t="s">
        <v>142</v>
      </c>
      <c r="DE423" s="2" t="s">
        <v>181</v>
      </c>
      <c r="DF423" s="3" t="s">
        <v>86</v>
      </c>
      <c r="DG423" s="62">
        <v>42893</v>
      </c>
      <c r="EC423" s="60"/>
      <c r="ED423" s="60"/>
      <c r="EE423" s="60"/>
      <c r="EF423" s="60"/>
    </row>
    <row r="424" spans="2:140" ht="12.75" hidden="1" customHeight="1">
      <c r="B424" s="99" t="s">
        <v>861</v>
      </c>
      <c r="C424" s="22" t="s">
        <v>857</v>
      </c>
      <c r="D424" s="22" t="s">
        <v>858</v>
      </c>
      <c r="E424" s="2" t="str">
        <f>VLOOKUP($C424,[1]Detail!$C:$AK,6,0)</f>
        <v>PMT4</v>
      </c>
      <c r="F424" s="2" t="str">
        <f>VLOOKUP($C424,[1]Detail!$C:$AK,7,0)</f>
        <v>PF</v>
      </c>
      <c r="G424" s="2" t="str">
        <f>VLOOKUP($C424,[1]Detail!$C:$AK,5,0)</f>
        <v>B</v>
      </c>
      <c r="J424" s="22" t="s">
        <v>585</v>
      </c>
      <c r="K424" s="23" t="s">
        <v>860</v>
      </c>
      <c r="L424" s="22" t="s">
        <v>132</v>
      </c>
      <c r="M424" s="51" t="str">
        <f t="shared" si="287"/>
        <v>JD81-8A365-AB</v>
      </c>
      <c r="O424" s="22">
        <v>0</v>
      </c>
      <c r="P424" s="22">
        <v>1</v>
      </c>
      <c r="Q424" s="22">
        <v>0</v>
      </c>
      <c r="R424" s="22">
        <v>1</v>
      </c>
      <c r="S424" s="22">
        <v>0</v>
      </c>
      <c r="T424" s="22">
        <v>0</v>
      </c>
      <c r="U424" s="22">
        <v>1</v>
      </c>
      <c r="V424" s="22">
        <v>0</v>
      </c>
      <c r="W424" s="64">
        <f t="shared" si="288"/>
        <v>0.44</v>
      </c>
      <c r="Y424" s="8">
        <f>-33.84-2.05</f>
        <v>-35.89</v>
      </c>
      <c r="Z424" s="8">
        <v>-0.3</v>
      </c>
      <c r="AA424" s="8">
        <v>-0.6</v>
      </c>
      <c r="AB424" s="8">
        <v>0</v>
      </c>
      <c r="AC424" s="8">
        <v>0</v>
      </c>
      <c r="AD424" s="8">
        <f t="shared" si="318"/>
        <v>-36.79</v>
      </c>
      <c r="AE424" s="2" t="s">
        <v>91</v>
      </c>
      <c r="AG424" s="8">
        <f>-46000-157500</f>
        <v>-203500</v>
      </c>
      <c r="AH424" s="8">
        <f>-46000-157500</f>
        <v>-203500</v>
      </c>
      <c r="AI424" s="6"/>
      <c r="AJ424" s="70">
        <v>0</v>
      </c>
      <c r="AK424" s="70">
        <v>0</v>
      </c>
      <c r="AL424" s="72">
        <v>0</v>
      </c>
      <c r="AM424" s="22"/>
      <c r="AO424" s="22" t="s">
        <v>585</v>
      </c>
      <c r="AP424" s="23" t="s">
        <v>860</v>
      </c>
      <c r="AQ424" s="22" t="s">
        <v>100</v>
      </c>
      <c r="AR424" s="51" t="str">
        <f t="shared" si="326"/>
        <v>JD81-8A365-AA</v>
      </c>
      <c r="AS424" s="3"/>
      <c r="AT424" s="22">
        <v>0</v>
      </c>
      <c r="AU424" s="22">
        <v>1</v>
      </c>
      <c r="AV424" s="22">
        <v>0</v>
      </c>
      <c r="AW424" s="22">
        <v>1</v>
      </c>
      <c r="AX424" s="22">
        <v>0</v>
      </c>
      <c r="AY424" s="22">
        <v>0</v>
      </c>
      <c r="AZ424" s="22">
        <v>1</v>
      </c>
      <c r="BA424" s="22">
        <v>0</v>
      </c>
      <c r="BB424" s="64">
        <f t="shared" si="327"/>
        <v>0.44</v>
      </c>
      <c r="BD424" s="60">
        <v>-33.840000000000003</v>
      </c>
      <c r="BE424" s="60">
        <v>-0.3</v>
      </c>
      <c r="BF424" s="95">
        <v>-0.6</v>
      </c>
      <c r="BG424" s="95">
        <v>0</v>
      </c>
      <c r="BH424" s="95">
        <v>0</v>
      </c>
      <c r="BI424" s="8">
        <f t="shared" ref="BI424" si="338">SUM(BD424:BH424)</f>
        <v>-34.74</v>
      </c>
      <c r="BJ424" s="2" t="s">
        <v>91</v>
      </c>
      <c r="BL424" s="70">
        <v>-157500</v>
      </c>
      <c r="BM424" s="70">
        <v>-157500</v>
      </c>
      <c r="BO424" s="70">
        <v>0</v>
      </c>
      <c r="BP424" s="70">
        <v>0</v>
      </c>
      <c r="BQ424" s="72">
        <v>0</v>
      </c>
      <c r="BS424" s="61">
        <f t="shared" ref="BS424:BS455" si="339">SUM(Y424)-SUM(BD424)</f>
        <v>-2.0499999999999972</v>
      </c>
      <c r="BT424" s="61">
        <f t="shared" si="335"/>
        <v>0</v>
      </c>
      <c r="BU424" s="61">
        <f t="shared" si="336"/>
        <v>0</v>
      </c>
      <c r="BV424" s="61">
        <f t="shared" si="337"/>
        <v>0</v>
      </c>
      <c r="BW424" s="61">
        <f t="shared" si="337"/>
        <v>0</v>
      </c>
      <c r="BX424" s="61">
        <f t="shared" si="319"/>
        <v>-2.0499999999999972</v>
      </c>
      <c r="BY424" s="61" t="s">
        <v>91</v>
      </c>
      <c r="CA424" s="61">
        <f t="shared" si="330"/>
        <v>0</v>
      </c>
      <c r="CB424" s="61">
        <f t="shared" si="330"/>
        <v>-0.30840980893636183</v>
      </c>
      <c r="CC424" s="61">
        <f t="shared" si="330"/>
        <v>0</v>
      </c>
      <c r="CD424" s="61">
        <f t="shared" si="329"/>
        <v>-0.30840980893636183</v>
      </c>
      <c r="CE424" s="61">
        <f t="shared" si="329"/>
        <v>0</v>
      </c>
      <c r="CF424" s="61">
        <f t="shared" si="329"/>
        <v>0</v>
      </c>
      <c r="CG424" s="61">
        <f t="shared" si="329"/>
        <v>-0.30840980893636183</v>
      </c>
      <c r="CH424" s="61">
        <f t="shared" si="299"/>
        <v>0</v>
      </c>
      <c r="CI424" s="63">
        <f t="shared" si="310"/>
        <v>-0.13570031593199922</v>
      </c>
      <c r="CJ424" s="61"/>
      <c r="CK424" s="61">
        <f t="shared" si="320"/>
        <v>0</v>
      </c>
      <c r="CL424" s="61">
        <f t="shared" si="320"/>
        <v>-0.30840980893636183</v>
      </c>
      <c r="CM424" s="61">
        <f t="shared" si="320"/>
        <v>0</v>
      </c>
      <c r="CN424" s="61">
        <f t="shared" si="320"/>
        <v>-0.30840980893636183</v>
      </c>
      <c r="CO424" s="61">
        <f t="shared" si="320"/>
        <v>0</v>
      </c>
      <c r="CP424" s="61">
        <f t="shared" si="320"/>
        <v>0</v>
      </c>
      <c r="CQ424" s="61">
        <f t="shared" si="320"/>
        <v>-0.30840980893636183</v>
      </c>
      <c r="CR424" s="61">
        <f t="shared" si="320"/>
        <v>0</v>
      </c>
      <c r="CS424" s="61">
        <f t="shared" si="312"/>
        <v>-0.13570031593199922</v>
      </c>
      <c r="CT424" s="61">
        <f t="shared" si="313"/>
        <v>-0.9019999999999988</v>
      </c>
      <c r="CV424" s="61">
        <f t="shared" si="314"/>
        <v>-46000</v>
      </c>
      <c r="CW424" s="61">
        <f t="shared" ref="CW424" si="340">SUM(AH424)-SUM(BM424)</f>
        <v>-46000</v>
      </c>
      <c r="CX424" s="61"/>
      <c r="CY424" s="61">
        <f t="shared" ref="CY424" si="341">SUM(AJ424)-SUM(BO424)</f>
        <v>0</v>
      </c>
      <c r="CZ424" s="61">
        <f t="shared" si="321"/>
        <v>0</v>
      </c>
      <c r="DA424" s="61">
        <f t="shared" si="321"/>
        <v>0</v>
      </c>
      <c r="DB424" s="2" t="s">
        <v>86</v>
      </c>
      <c r="DC424" s="2" t="s">
        <v>134</v>
      </c>
      <c r="DD424" s="2" t="s">
        <v>142</v>
      </c>
      <c r="DE424" s="2" t="s">
        <v>106</v>
      </c>
      <c r="DF424" s="3" t="s">
        <v>86</v>
      </c>
      <c r="DG424" s="62">
        <v>43068</v>
      </c>
      <c r="EC424" s="60" t="str">
        <f>VLOOKUP($M424,[1]Detail!$M:$BO,1,0)</f>
        <v>JD81-8A365-AB</v>
      </c>
      <c r="ED424" s="60">
        <f>VLOOKUP($M424,[1]Detail!$M:$BO,22,0)</f>
        <v>-36.79</v>
      </c>
      <c r="EE424" s="60">
        <f>VLOOKUP($M424,[1]Detail!$M:$BO,42,0)</f>
        <v>-203500</v>
      </c>
      <c r="EF424" s="60">
        <f>VLOOKUP($M424,[1]Detail!$M:$BO,45,0)</f>
        <v>0</v>
      </c>
      <c r="EH424" s="60">
        <f>ED424-AD424</f>
        <v>0</v>
      </c>
      <c r="EI424" s="60">
        <f>EE424-AG424</f>
        <v>0</v>
      </c>
      <c r="EJ424" s="60">
        <f t="shared" ref="EJ424:EJ425" si="342">EF424-AJ424</f>
        <v>0</v>
      </c>
    </row>
    <row r="425" spans="2:140" ht="12.75" hidden="1" customHeight="1">
      <c r="B425" s="99" t="s">
        <v>861</v>
      </c>
      <c r="C425" s="22" t="s">
        <v>862</v>
      </c>
      <c r="D425" s="22" t="s">
        <v>863</v>
      </c>
      <c r="E425" s="2" t="str">
        <f>VLOOKUP($C425,[1]Detail!$C:$AK,6,0)</f>
        <v>PMT4</v>
      </c>
      <c r="F425" s="2" t="str">
        <f>VLOOKUP($C425,[1]Detail!$C:$AK,7,0)</f>
        <v>PF</v>
      </c>
      <c r="G425" s="2" t="str">
        <f>VLOOKUP($C425,[1]Detail!$C:$AK,5,0)</f>
        <v>B</v>
      </c>
      <c r="J425" s="22" t="s">
        <v>864</v>
      </c>
      <c r="K425" s="23" t="s">
        <v>865</v>
      </c>
      <c r="L425" s="22" t="s">
        <v>182</v>
      </c>
      <c r="M425" s="51" t="str">
        <f t="shared" si="287"/>
        <v>JD81-8A365-BA</v>
      </c>
      <c r="O425" s="22">
        <v>0</v>
      </c>
      <c r="P425" s="22">
        <v>0</v>
      </c>
      <c r="Q425" s="22">
        <v>0</v>
      </c>
      <c r="R425" s="22">
        <v>0</v>
      </c>
      <c r="S425" s="22">
        <v>0</v>
      </c>
      <c r="T425" s="22">
        <v>0</v>
      </c>
      <c r="U425" s="22">
        <v>0</v>
      </c>
      <c r="V425" s="22">
        <v>0</v>
      </c>
      <c r="W425" s="64">
        <f t="shared" si="288"/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f t="shared" si="318"/>
        <v>0</v>
      </c>
      <c r="AE425" s="2" t="s">
        <v>91</v>
      </c>
      <c r="AG425" s="8">
        <f>-116000+10000</f>
        <v>-106000</v>
      </c>
      <c r="AH425" s="8">
        <f>-116000+10000</f>
        <v>-106000</v>
      </c>
      <c r="AI425" s="6"/>
      <c r="AJ425" s="70">
        <v>0</v>
      </c>
      <c r="AK425" s="70">
        <v>0</v>
      </c>
      <c r="AL425" s="72">
        <v>0</v>
      </c>
      <c r="AM425" s="112" t="s">
        <v>866</v>
      </c>
      <c r="AO425" s="22" t="s">
        <v>864</v>
      </c>
      <c r="AP425" s="23" t="s">
        <v>865</v>
      </c>
      <c r="AQ425" s="22" t="s">
        <v>182</v>
      </c>
      <c r="AR425" s="51" t="str">
        <f>TRIM(AO425)&amp;"-"&amp;TRIM(AP425)&amp;"-"&amp;TRIM(AQ425)</f>
        <v>JD81-8A365-BA</v>
      </c>
      <c r="AS425" s="3"/>
      <c r="AT425" s="22">
        <v>1</v>
      </c>
      <c r="AU425" s="22">
        <v>0</v>
      </c>
      <c r="AV425" s="22">
        <v>1</v>
      </c>
      <c r="AW425" s="22">
        <v>0</v>
      </c>
      <c r="AX425" s="22">
        <v>0</v>
      </c>
      <c r="AY425" s="22">
        <v>0</v>
      </c>
      <c r="AZ425" s="22">
        <v>0</v>
      </c>
      <c r="BA425" s="22">
        <v>0</v>
      </c>
      <c r="BB425" s="64">
        <f t="shared" si="327"/>
        <v>0.28000000000000003</v>
      </c>
      <c r="BD425" s="113">
        <v>-32.840000000000003</v>
      </c>
      <c r="BE425" s="113">
        <v>-0.3</v>
      </c>
      <c r="BF425" s="114">
        <v>-0.6</v>
      </c>
      <c r="BG425" s="114">
        <v>0</v>
      </c>
      <c r="BH425" s="114">
        <v>0</v>
      </c>
      <c r="BI425" s="8">
        <f>SUM(BD425:BH425)</f>
        <v>-33.74</v>
      </c>
      <c r="BJ425" s="2" t="s">
        <v>91</v>
      </c>
      <c r="BL425" s="70">
        <v>-116000</v>
      </c>
      <c r="BM425" s="70">
        <v>-116000</v>
      </c>
      <c r="BO425" s="70">
        <v>0</v>
      </c>
      <c r="BP425" s="70">
        <v>0</v>
      </c>
      <c r="BQ425" s="72">
        <v>0</v>
      </c>
      <c r="BS425" s="61">
        <f t="shared" si="339"/>
        <v>32.840000000000003</v>
      </c>
      <c r="BT425" s="61">
        <f t="shared" si="335"/>
        <v>0.3</v>
      </c>
      <c r="BU425" s="61">
        <f t="shared" si="336"/>
        <v>0.6</v>
      </c>
      <c r="BV425" s="61">
        <f t="shared" si="337"/>
        <v>0</v>
      </c>
      <c r="BW425" s="61">
        <f t="shared" si="337"/>
        <v>0</v>
      </c>
      <c r="BX425" s="61">
        <f t="shared" si="319"/>
        <v>33.74</v>
      </c>
      <c r="BY425" s="61" t="s">
        <v>91</v>
      </c>
      <c r="CA425" s="61">
        <f t="shared" si="330"/>
        <v>4.9405746953512866</v>
      </c>
      <c r="CB425" s="61">
        <f t="shared" si="330"/>
        <v>0</v>
      </c>
      <c r="CC425" s="61">
        <f t="shared" si="330"/>
        <v>4.9405746953512866</v>
      </c>
      <c r="CD425" s="61">
        <f t="shared" si="329"/>
        <v>0</v>
      </c>
      <c r="CE425" s="61">
        <f t="shared" si="329"/>
        <v>0</v>
      </c>
      <c r="CF425" s="61">
        <f t="shared" si="329"/>
        <v>0</v>
      </c>
      <c r="CG425" s="61">
        <f t="shared" si="329"/>
        <v>0</v>
      </c>
      <c r="CH425" s="61">
        <f t="shared" si="299"/>
        <v>0</v>
      </c>
      <c r="CI425" s="61">
        <f t="shared" si="310"/>
        <v>1.3833609146983603</v>
      </c>
      <c r="CJ425" s="61"/>
      <c r="CK425" s="61">
        <f t="shared" si="320"/>
        <v>5.0759741236648113</v>
      </c>
      <c r="CL425" s="61">
        <f t="shared" si="320"/>
        <v>0</v>
      </c>
      <c r="CM425" s="61">
        <f t="shared" si="320"/>
        <v>5.0759741236648113</v>
      </c>
      <c r="CN425" s="61">
        <f t="shared" si="320"/>
        <v>0</v>
      </c>
      <c r="CO425" s="61">
        <f t="shared" si="320"/>
        <v>0</v>
      </c>
      <c r="CP425" s="61">
        <f t="shared" si="320"/>
        <v>0</v>
      </c>
      <c r="CQ425" s="61">
        <f t="shared" si="320"/>
        <v>0</v>
      </c>
      <c r="CR425" s="61">
        <f t="shared" si="320"/>
        <v>0</v>
      </c>
      <c r="CS425" s="61">
        <f t="shared" si="312"/>
        <v>1.4212727546261472</v>
      </c>
      <c r="CT425" s="61">
        <f t="shared" si="313"/>
        <v>9.4472000000000005</v>
      </c>
      <c r="CV425" s="61">
        <f t="shared" si="314"/>
        <v>10000</v>
      </c>
      <c r="CW425" s="61">
        <f>SUM(AH425)-SUM(BM425)</f>
        <v>10000</v>
      </c>
      <c r="CX425" s="61"/>
      <c r="CY425" s="61">
        <f>SUM(AJ425)-SUM(BO425)</f>
        <v>0</v>
      </c>
      <c r="CZ425" s="61">
        <f>SUM(AK425)-SUM(BP425)</f>
        <v>0</v>
      </c>
      <c r="DA425" s="61">
        <f>SUM(AL425)-SUM(BQ425)</f>
        <v>0</v>
      </c>
      <c r="DB425" s="2" t="s">
        <v>102</v>
      </c>
      <c r="DC425" s="2" t="s">
        <v>134</v>
      </c>
      <c r="DD425" s="2" t="s">
        <v>142</v>
      </c>
      <c r="DE425" s="2" t="s">
        <v>143</v>
      </c>
      <c r="DF425" s="3" t="s">
        <v>86</v>
      </c>
      <c r="DG425" s="62">
        <v>43068</v>
      </c>
      <c r="EC425" s="60" t="str">
        <f>VLOOKUP($M425,[1]Detail!$M:$BO,1,0)</f>
        <v>JD81-8A365-BA</v>
      </c>
      <c r="ED425" s="60">
        <f>VLOOKUP($M425,[1]Detail!$M:$BO,22,0)</f>
        <v>0</v>
      </c>
      <c r="EE425" s="60">
        <f>VLOOKUP($M425,[1]Detail!$M:$BO,42,0)</f>
        <v>-106000</v>
      </c>
      <c r="EF425" s="60">
        <f>VLOOKUP($M425,[1]Detail!$M:$BO,45,0)</f>
        <v>0</v>
      </c>
      <c r="EH425" s="60">
        <f>ED425-AD425</f>
        <v>0</v>
      </c>
      <c r="EI425" s="60">
        <f>EE425-AG425</f>
        <v>0</v>
      </c>
      <c r="EJ425" s="60">
        <f t="shared" si="342"/>
        <v>0</v>
      </c>
    </row>
    <row r="426" spans="2:140" ht="12.75" hidden="1" customHeight="1">
      <c r="B426" s="99" t="s">
        <v>856</v>
      </c>
      <c r="C426" s="22" t="s">
        <v>857</v>
      </c>
      <c r="D426" s="22" t="s">
        <v>858</v>
      </c>
      <c r="E426" s="2" t="str">
        <f>VLOOKUP($C426,[1]Detail!$C:$AK,6,0)</f>
        <v>PMT4</v>
      </c>
      <c r="F426" s="2" t="str">
        <f>VLOOKUP($C426,[1]Detail!$C:$AK,7,0)</f>
        <v>PF</v>
      </c>
      <c r="G426" s="2" t="str">
        <f>VLOOKUP($C426,[1]Detail!$C:$AK,5,0)</f>
        <v>B</v>
      </c>
      <c r="J426" s="22" t="s">
        <v>585</v>
      </c>
      <c r="K426" s="23" t="s">
        <v>867</v>
      </c>
      <c r="L426" s="22" t="s">
        <v>100</v>
      </c>
      <c r="M426" s="51" t="str">
        <f t="shared" si="287"/>
        <v>JD81-8B274-AA</v>
      </c>
      <c r="O426" s="22">
        <v>1</v>
      </c>
      <c r="P426" s="22">
        <v>1</v>
      </c>
      <c r="Q426" s="22">
        <v>1</v>
      </c>
      <c r="R426" s="22">
        <v>1</v>
      </c>
      <c r="S426" s="22">
        <v>0</v>
      </c>
      <c r="T426" s="22">
        <v>0</v>
      </c>
      <c r="U426" s="22">
        <v>1</v>
      </c>
      <c r="V426" s="22">
        <v>0</v>
      </c>
      <c r="W426" s="64">
        <f t="shared" si="288"/>
        <v>0.72000000000000008</v>
      </c>
      <c r="Y426" s="8">
        <v>-45.29</v>
      </c>
      <c r="Z426" s="8">
        <v>-0.5</v>
      </c>
      <c r="AA426" s="8">
        <v>-1</v>
      </c>
      <c r="AB426" s="8">
        <v>0</v>
      </c>
      <c r="AC426" s="8">
        <v>0</v>
      </c>
      <c r="AD426" s="8">
        <f t="shared" si="318"/>
        <v>-46.79</v>
      </c>
      <c r="AE426" s="2" t="s">
        <v>91</v>
      </c>
      <c r="AG426" s="8">
        <v>-330500</v>
      </c>
      <c r="AH426" s="8">
        <v>-330500</v>
      </c>
      <c r="AI426" s="6"/>
      <c r="AJ426" s="70">
        <v>0</v>
      </c>
      <c r="AK426" s="70">
        <v>0</v>
      </c>
      <c r="AL426" s="72">
        <v>0</v>
      </c>
      <c r="AM426" s="22"/>
      <c r="AO426" s="22" t="s">
        <v>585</v>
      </c>
      <c r="AP426" s="23" t="s">
        <v>867</v>
      </c>
      <c r="AQ426" s="22" t="s">
        <v>100</v>
      </c>
      <c r="AR426" s="51" t="str">
        <f t="shared" si="326"/>
        <v>JD81-8B274-AA</v>
      </c>
      <c r="AS426" s="3"/>
      <c r="AT426" s="22">
        <v>1</v>
      </c>
      <c r="AU426" s="22">
        <v>1</v>
      </c>
      <c r="AV426" s="22">
        <v>1</v>
      </c>
      <c r="AW426" s="22">
        <v>1</v>
      </c>
      <c r="AX426" s="22">
        <v>0</v>
      </c>
      <c r="AY426" s="22">
        <v>0</v>
      </c>
      <c r="AZ426" s="22">
        <v>1</v>
      </c>
      <c r="BA426" s="22">
        <v>0</v>
      </c>
      <c r="BB426" s="64">
        <f t="shared" si="327"/>
        <v>0.72000000000000008</v>
      </c>
      <c r="BD426" s="60">
        <v>-45.29</v>
      </c>
      <c r="BE426" s="60">
        <v>-0.5</v>
      </c>
      <c r="BF426" s="95">
        <v>-1</v>
      </c>
      <c r="BG426" s="95">
        <v>0</v>
      </c>
      <c r="BH426" s="95">
        <v>0</v>
      </c>
      <c r="BI426" s="8">
        <f t="shared" si="328"/>
        <v>-46.79</v>
      </c>
      <c r="BJ426" s="2" t="s">
        <v>91</v>
      </c>
      <c r="BL426" s="70">
        <v>-330500</v>
      </c>
      <c r="BM426" s="70">
        <v>-330500</v>
      </c>
      <c r="BO426" s="70">
        <v>0</v>
      </c>
      <c r="BP426" s="70">
        <v>0</v>
      </c>
      <c r="BQ426" s="72">
        <v>0</v>
      </c>
      <c r="BS426" s="61">
        <f t="shared" si="339"/>
        <v>0</v>
      </c>
      <c r="BT426" s="61">
        <f t="shared" si="335"/>
        <v>0</v>
      </c>
      <c r="BU426" s="61">
        <f t="shared" si="336"/>
        <v>0</v>
      </c>
      <c r="BV426" s="61">
        <f t="shared" si="337"/>
        <v>0</v>
      </c>
      <c r="BW426" s="61">
        <f t="shared" si="337"/>
        <v>0</v>
      </c>
      <c r="BX426" s="61">
        <f t="shared" si="319"/>
        <v>0</v>
      </c>
      <c r="BY426" s="61" t="s">
        <v>91</v>
      </c>
      <c r="CA426" s="61">
        <f t="shared" si="330"/>
        <v>0</v>
      </c>
      <c r="CB426" s="61">
        <f t="shared" si="330"/>
        <v>0</v>
      </c>
      <c r="CC426" s="61">
        <f t="shared" si="330"/>
        <v>0</v>
      </c>
      <c r="CD426" s="61">
        <f t="shared" si="329"/>
        <v>0</v>
      </c>
      <c r="CE426" s="61">
        <f t="shared" si="329"/>
        <v>0</v>
      </c>
      <c r="CF426" s="61">
        <f t="shared" si="329"/>
        <v>0</v>
      </c>
      <c r="CG426" s="61">
        <f t="shared" si="329"/>
        <v>0</v>
      </c>
      <c r="CH426" s="61">
        <f t="shared" si="299"/>
        <v>0</v>
      </c>
      <c r="CI426" s="61">
        <f t="shared" si="310"/>
        <v>0</v>
      </c>
      <c r="CJ426" s="61"/>
      <c r="CK426" s="61">
        <f t="shared" si="320"/>
        <v>0</v>
      </c>
      <c r="CL426" s="61">
        <f t="shared" si="320"/>
        <v>0</v>
      </c>
      <c r="CM426" s="61">
        <f t="shared" si="320"/>
        <v>0</v>
      </c>
      <c r="CN426" s="61">
        <f t="shared" si="320"/>
        <v>0</v>
      </c>
      <c r="CO426" s="61">
        <f t="shared" si="320"/>
        <v>0</v>
      </c>
      <c r="CP426" s="61">
        <f t="shared" si="320"/>
        <v>0</v>
      </c>
      <c r="CQ426" s="61">
        <f t="shared" si="320"/>
        <v>0</v>
      </c>
      <c r="CR426" s="61">
        <f t="shared" ref="CR426:CR489" si="343">(V426*$AD426-BA426*$BI426)/$C$2</f>
        <v>0</v>
      </c>
      <c r="CS426" s="61">
        <f t="shared" si="312"/>
        <v>0</v>
      </c>
      <c r="CT426" s="61">
        <f t="shared" si="313"/>
        <v>0</v>
      </c>
      <c r="CV426" s="61">
        <f t="shared" si="314"/>
        <v>0</v>
      </c>
      <c r="CW426" s="61">
        <f t="shared" si="298"/>
        <v>0</v>
      </c>
      <c r="CX426" s="61"/>
      <c r="CY426" s="61">
        <f t="shared" si="294"/>
        <v>0</v>
      </c>
      <c r="CZ426" s="61">
        <f t="shared" si="321"/>
        <v>0</v>
      </c>
      <c r="DA426" s="61">
        <f t="shared" si="321"/>
        <v>0</v>
      </c>
      <c r="DB426" s="2" t="s">
        <v>85</v>
      </c>
      <c r="DC426" s="2" t="s">
        <v>86</v>
      </c>
      <c r="DD426" s="2" t="s">
        <v>142</v>
      </c>
      <c r="DE426" s="2" t="s">
        <v>181</v>
      </c>
      <c r="DF426" s="3" t="s">
        <v>86</v>
      </c>
      <c r="DG426" s="62">
        <v>42893</v>
      </c>
      <c r="EC426" s="60"/>
      <c r="ED426" s="60"/>
      <c r="EE426" s="60"/>
      <c r="EF426" s="60"/>
    </row>
    <row r="427" spans="2:140" ht="12.75" hidden="1" customHeight="1">
      <c r="B427" s="99" t="s">
        <v>868</v>
      </c>
      <c r="C427" s="22" t="s">
        <v>857</v>
      </c>
      <c r="D427" s="22" t="s">
        <v>858</v>
      </c>
      <c r="E427" s="2" t="str">
        <f>VLOOKUP($C427,[1]Detail!$C:$AK,6,0)</f>
        <v>PMT4</v>
      </c>
      <c r="F427" s="2" t="str">
        <f>VLOOKUP($C427,[1]Detail!$C:$AK,7,0)</f>
        <v>PF</v>
      </c>
      <c r="G427" s="2" t="str">
        <f>VLOOKUP($C427,[1]Detail!$C:$AK,5,0)</f>
        <v>B</v>
      </c>
      <c r="J427" s="22" t="s">
        <v>585</v>
      </c>
      <c r="K427" s="23" t="s">
        <v>867</v>
      </c>
      <c r="L427" s="22" t="s">
        <v>132</v>
      </c>
      <c r="M427" s="51" t="str">
        <f t="shared" ref="M427:M490" si="344">TRIM(J427)&amp;"-"&amp;TRIM(K427)&amp;"-"&amp;TRIM(L427)</f>
        <v>JD81-8B274-AB</v>
      </c>
      <c r="O427" s="22">
        <v>1</v>
      </c>
      <c r="P427" s="22">
        <v>1</v>
      </c>
      <c r="Q427" s="22">
        <v>1</v>
      </c>
      <c r="R427" s="22">
        <v>1</v>
      </c>
      <c r="S427" s="22">
        <v>0</v>
      </c>
      <c r="T427" s="22">
        <v>0</v>
      </c>
      <c r="U427" s="22">
        <v>1</v>
      </c>
      <c r="V427" s="22">
        <v>0</v>
      </c>
      <c r="W427" s="64">
        <f t="shared" ref="W427:W490" si="345">SUMPRODUCT(O427:V427,$O$6:$V$6)</f>
        <v>0.72000000000000008</v>
      </c>
      <c r="Y427" s="8">
        <f>-45.29-1</f>
        <v>-46.29</v>
      </c>
      <c r="Z427" s="8">
        <v>-0.5</v>
      </c>
      <c r="AA427" s="8">
        <v>-1</v>
      </c>
      <c r="AB427" s="8">
        <v>0</v>
      </c>
      <c r="AC427" s="8">
        <v>0</v>
      </c>
      <c r="AD427" s="8">
        <f t="shared" ref="AD427:AD458" si="346">SUM(Y427:AC427)</f>
        <v>-47.79</v>
      </c>
      <c r="AE427" s="2" t="s">
        <v>91</v>
      </c>
      <c r="AG427" s="8">
        <f>-68000-330500</f>
        <v>-398500</v>
      </c>
      <c r="AH427" s="8">
        <f>-68000-330500</f>
        <v>-398500</v>
      </c>
      <c r="AI427" s="6"/>
      <c r="AJ427" s="70">
        <v>0</v>
      </c>
      <c r="AK427" s="70">
        <v>0</v>
      </c>
      <c r="AL427" s="72">
        <v>0</v>
      </c>
      <c r="AM427" s="22"/>
      <c r="AO427" s="22" t="s">
        <v>585</v>
      </c>
      <c r="AP427" s="23" t="s">
        <v>867</v>
      </c>
      <c r="AQ427" s="22" t="s">
        <v>100</v>
      </c>
      <c r="AR427" s="51" t="str">
        <f t="shared" si="326"/>
        <v>JD81-8B274-AA</v>
      </c>
      <c r="AS427" s="3"/>
      <c r="AT427" s="22">
        <v>1</v>
      </c>
      <c r="AU427" s="22">
        <v>1</v>
      </c>
      <c r="AV427" s="22">
        <v>1</v>
      </c>
      <c r="AW427" s="22">
        <v>1</v>
      </c>
      <c r="AX427" s="22">
        <v>0</v>
      </c>
      <c r="AY427" s="22">
        <v>0</v>
      </c>
      <c r="AZ427" s="22">
        <v>1</v>
      </c>
      <c r="BA427" s="22">
        <v>0</v>
      </c>
      <c r="BB427" s="64">
        <f t="shared" si="327"/>
        <v>0.72000000000000008</v>
      </c>
      <c r="BD427" s="60">
        <v>-45.29</v>
      </c>
      <c r="BE427" s="60">
        <v>-0.5</v>
      </c>
      <c r="BF427" s="95">
        <v>-1</v>
      </c>
      <c r="BG427" s="95">
        <v>0</v>
      </c>
      <c r="BH427" s="95">
        <v>0</v>
      </c>
      <c r="BI427" s="8">
        <f t="shared" ref="BI427" si="347">SUM(BD427:BH427)</f>
        <v>-46.79</v>
      </c>
      <c r="BJ427" s="2" t="s">
        <v>91</v>
      </c>
      <c r="BL427" s="70">
        <v>-330500</v>
      </c>
      <c r="BM427" s="70">
        <v>-330500</v>
      </c>
      <c r="BO427" s="70">
        <v>0</v>
      </c>
      <c r="BP427" s="70">
        <v>0</v>
      </c>
      <c r="BQ427" s="72">
        <v>0</v>
      </c>
      <c r="BS427" s="61">
        <f t="shared" si="339"/>
        <v>-1</v>
      </c>
      <c r="BT427" s="61">
        <f t="shared" si="335"/>
        <v>0</v>
      </c>
      <c r="BU427" s="61">
        <f t="shared" si="336"/>
        <v>0</v>
      </c>
      <c r="BV427" s="61">
        <f t="shared" si="337"/>
        <v>0</v>
      </c>
      <c r="BW427" s="61">
        <f t="shared" si="337"/>
        <v>0</v>
      </c>
      <c r="BX427" s="61">
        <f t="shared" ref="BX427:BX458" si="348">SUM(AD427)-SUM(BI427)</f>
        <v>-1</v>
      </c>
      <c r="BY427" s="61" t="s">
        <v>91</v>
      </c>
      <c r="CA427" s="61">
        <f t="shared" si="330"/>
        <v>-0.15044380923724987</v>
      </c>
      <c r="CB427" s="61">
        <f t="shared" si="330"/>
        <v>-0.15044380923724987</v>
      </c>
      <c r="CC427" s="61">
        <f t="shared" si="330"/>
        <v>-0.15044380923724987</v>
      </c>
      <c r="CD427" s="61">
        <f t="shared" si="329"/>
        <v>-0.15044380923724987</v>
      </c>
      <c r="CE427" s="61">
        <f t="shared" si="329"/>
        <v>0</v>
      </c>
      <c r="CF427" s="61">
        <f t="shared" si="329"/>
        <v>0</v>
      </c>
      <c r="CG427" s="61">
        <f t="shared" si="329"/>
        <v>-0.15044380923724987</v>
      </c>
      <c r="CH427" s="61">
        <f t="shared" si="299"/>
        <v>0</v>
      </c>
      <c r="CI427" s="61">
        <f t="shared" si="310"/>
        <v>-0.1083195426508199</v>
      </c>
      <c r="CJ427" s="61"/>
      <c r="CK427" s="61">
        <f t="shared" ref="CK427:CQ458" si="349">(O427*$AD427-AT427*$BI427)/$C$2</f>
        <v>-0.15044380923724987</v>
      </c>
      <c r="CL427" s="61">
        <f t="shared" si="349"/>
        <v>-0.15044380923724987</v>
      </c>
      <c r="CM427" s="61">
        <f t="shared" si="349"/>
        <v>-0.15044380923724987</v>
      </c>
      <c r="CN427" s="61">
        <f t="shared" si="349"/>
        <v>-0.15044380923724987</v>
      </c>
      <c r="CO427" s="61">
        <f t="shared" si="349"/>
        <v>0</v>
      </c>
      <c r="CP427" s="61">
        <f t="shared" si="349"/>
        <v>0</v>
      </c>
      <c r="CQ427" s="61">
        <f t="shared" si="349"/>
        <v>-0.15044380923724987</v>
      </c>
      <c r="CR427" s="61">
        <f t="shared" si="343"/>
        <v>0</v>
      </c>
      <c r="CS427" s="61">
        <f t="shared" si="312"/>
        <v>-0.1083195426508199</v>
      </c>
      <c r="CT427" s="61">
        <f t="shared" si="313"/>
        <v>-0.72</v>
      </c>
      <c r="CV427" s="61">
        <f t="shared" si="314"/>
        <v>-68000</v>
      </c>
      <c r="CW427" s="61">
        <v>-68000</v>
      </c>
      <c r="CX427" s="61"/>
      <c r="CY427" s="61">
        <f t="shared" ref="CY427" si="350">SUM(AJ427)-SUM(BO427)</f>
        <v>0</v>
      </c>
      <c r="CZ427" s="61">
        <f t="shared" ref="CZ427" si="351">SUM(AK427)-SUM(BP427)</f>
        <v>0</v>
      </c>
      <c r="DA427" s="61">
        <f t="shared" si="321"/>
        <v>0</v>
      </c>
      <c r="DB427" s="2" t="s">
        <v>86</v>
      </c>
      <c r="DC427" s="2" t="s">
        <v>86</v>
      </c>
      <c r="DD427" s="2" t="s">
        <v>142</v>
      </c>
      <c r="DE427" s="2" t="s">
        <v>106</v>
      </c>
      <c r="DF427" s="3" t="s">
        <v>86</v>
      </c>
      <c r="DG427" s="62">
        <v>43034</v>
      </c>
      <c r="EC427" s="60" t="str">
        <f>VLOOKUP($M427,[1]Detail!$M:$BO,1,0)</f>
        <v>JD81-8B274-AB</v>
      </c>
      <c r="ED427" s="60">
        <f>VLOOKUP($M427,[1]Detail!$M:$BO,22,0)</f>
        <v>-47.79</v>
      </c>
      <c r="EE427" s="60">
        <f>VLOOKUP($M427,[1]Detail!$M:$BO,42,0)</f>
        <v>-398500</v>
      </c>
      <c r="EF427" s="60">
        <f>VLOOKUP($M427,[1]Detail!$M:$BO,45,0)</f>
        <v>0</v>
      </c>
      <c r="EH427" s="60">
        <f>ED427-AD427</f>
        <v>0</v>
      </c>
      <c r="EI427" s="60">
        <f>EE427-AG427</f>
        <v>0</v>
      </c>
      <c r="EJ427" s="60">
        <f>EF427-AJ427</f>
        <v>0</v>
      </c>
    </row>
    <row r="428" spans="2:140" ht="12.75" hidden="1" customHeight="1">
      <c r="B428" s="99" t="s">
        <v>856</v>
      </c>
      <c r="C428" s="22" t="s">
        <v>857</v>
      </c>
      <c r="D428" s="22" t="s">
        <v>858</v>
      </c>
      <c r="E428" s="2" t="str">
        <f>VLOOKUP($C428,[1]Detail!$C:$AK,6,0)</f>
        <v>PMT4</v>
      </c>
      <c r="F428" s="2" t="str">
        <f>VLOOKUP($C428,[1]Detail!$C:$AK,7,0)</f>
        <v>PF</v>
      </c>
      <c r="G428" s="2" t="str">
        <f>VLOOKUP($C428,[1]Detail!$C:$AK,5,0)</f>
        <v>B</v>
      </c>
      <c r="J428" s="22" t="s">
        <v>585</v>
      </c>
      <c r="K428" s="23" t="s">
        <v>869</v>
      </c>
      <c r="L428" s="22" t="s">
        <v>100</v>
      </c>
      <c r="M428" s="51" t="str">
        <f t="shared" si="344"/>
        <v>JD81-8B273-AA</v>
      </c>
      <c r="O428" s="94">
        <v>1</v>
      </c>
      <c r="P428" s="94">
        <v>1</v>
      </c>
      <c r="Q428" s="94">
        <v>1</v>
      </c>
      <c r="R428" s="94">
        <v>1</v>
      </c>
      <c r="S428" s="94">
        <v>0</v>
      </c>
      <c r="T428" s="94">
        <v>0</v>
      </c>
      <c r="U428" s="94">
        <v>1</v>
      </c>
      <c r="V428" s="94">
        <v>0</v>
      </c>
      <c r="W428" s="64">
        <f t="shared" si="345"/>
        <v>0.72000000000000008</v>
      </c>
      <c r="Y428" s="8">
        <v>-20.6</v>
      </c>
      <c r="Z428" s="8">
        <v>-0.6</v>
      </c>
      <c r="AA428" s="8">
        <v>-1.2</v>
      </c>
      <c r="AB428" s="8">
        <v>0</v>
      </c>
      <c r="AC428" s="8">
        <v>0</v>
      </c>
      <c r="AD428" s="8">
        <f t="shared" si="346"/>
        <v>-22.400000000000002</v>
      </c>
      <c r="AE428" s="2" t="s">
        <v>91</v>
      </c>
      <c r="AG428" s="8">
        <v>-103000</v>
      </c>
      <c r="AH428" s="8">
        <v>-103000</v>
      </c>
      <c r="AI428" s="6"/>
      <c r="AJ428" s="70">
        <v>0</v>
      </c>
      <c r="AK428" s="70">
        <v>0</v>
      </c>
      <c r="AL428" s="72">
        <v>0</v>
      </c>
      <c r="AM428" s="22"/>
      <c r="AO428" s="22" t="s">
        <v>585</v>
      </c>
      <c r="AP428" s="23" t="s">
        <v>869</v>
      </c>
      <c r="AQ428" s="22" t="s">
        <v>100</v>
      </c>
      <c r="AR428" s="51" t="str">
        <f t="shared" si="326"/>
        <v>JD81-8B273-AA</v>
      </c>
      <c r="AS428" s="3"/>
      <c r="AT428" s="22">
        <v>1</v>
      </c>
      <c r="AU428" s="22">
        <v>1</v>
      </c>
      <c r="AV428" s="22">
        <v>1</v>
      </c>
      <c r="AW428" s="22">
        <v>1</v>
      </c>
      <c r="AX428" s="22">
        <v>0</v>
      </c>
      <c r="AY428" s="22">
        <v>0</v>
      </c>
      <c r="AZ428" s="22">
        <v>1</v>
      </c>
      <c r="BA428" s="22">
        <v>0</v>
      </c>
      <c r="BB428" s="64">
        <f t="shared" si="327"/>
        <v>0.72000000000000008</v>
      </c>
      <c r="BD428" s="60">
        <v>-20.6</v>
      </c>
      <c r="BE428" s="60">
        <v>-0.6</v>
      </c>
      <c r="BF428" s="95">
        <v>-1.2</v>
      </c>
      <c r="BG428" s="95">
        <v>0</v>
      </c>
      <c r="BH428" s="95">
        <v>0</v>
      </c>
      <c r="BI428" s="8">
        <f t="shared" si="328"/>
        <v>-22.400000000000002</v>
      </c>
      <c r="BJ428" s="2" t="s">
        <v>91</v>
      </c>
      <c r="BL428" s="70">
        <v>-103000</v>
      </c>
      <c r="BM428" s="70">
        <v>-103000</v>
      </c>
      <c r="BO428" s="70">
        <v>0</v>
      </c>
      <c r="BP428" s="70">
        <v>0</v>
      </c>
      <c r="BQ428" s="72">
        <v>0</v>
      </c>
      <c r="BS428" s="61">
        <f t="shared" si="339"/>
        <v>0</v>
      </c>
      <c r="BT428" s="61">
        <f t="shared" si="335"/>
        <v>0</v>
      </c>
      <c r="BU428" s="61">
        <f t="shared" si="336"/>
        <v>0</v>
      </c>
      <c r="BV428" s="61">
        <f t="shared" si="337"/>
        <v>0</v>
      </c>
      <c r="BW428" s="61">
        <f t="shared" si="337"/>
        <v>0</v>
      </c>
      <c r="BX428" s="61">
        <f t="shared" si="348"/>
        <v>0</v>
      </c>
      <c r="BY428" s="61" t="s">
        <v>91</v>
      </c>
      <c r="CA428" s="61">
        <f t="shared" si="330"/>
        <v>0</v>
      </c>
      <c r="CB428" s="61">
        <f t="shared" si="330"/>
        <v>0</v>
      </c>
      <c r="CC428" s="61">
        <f t="shared" si="330"/>
        <v>0</v>
      </c>
      <c r="CD428" s="61">
        <f t="shared" si="329"/>
        <v>0</v>
      </c>
      <c r="CE428" s="61">
        <f t="shared" si="329"/>
        <v>0</v>
      </c>
      <c r="CF428" s="61">
        <f t="shared" si="329"/>
        <v>0</v>
      </c>
      <c r="CG428" s="61">
        <f t="shared" si="329"/>
        <v>0</v>
      </c>
      <c r="CH428" s="61">
        <f t="shared" si="299"/>
        <v>0</v>
      </c>
      <c r="CI428" s="61">
        <f t="shared" si="310"/>
        <v>0</v>
      </c>
      <c r="CJ428" s="61"/>
      <c r="CK428" s="61">
        <f t="shared" si="349"/>
        <v>0</v>
      </c>
      <c r="CL428" s="61">
        <f t="shared" si="349"/>
        <v>0</v>
      </c>
      <c r="CM428" s="61">
        <f t="shared" si="349"/>
        <v>0</v>
      </c>
      <c r="CN428" s="61">
        <f t="shared" si="349"/>
        <v>0</v>
      </c>
      <c r="CO428" s="61">
        <f t="shared" si="349"/>
        <v>0</v>
      </c>
      <c r="CP428" s="61">
        <f t="shared" si="349"/>
        <v>0</v>
      </c>
      <c r="CQ428" s="61">
        <f t="shared" si="349"/>
        <v>0</v>
      </c>
      <c r="CR428" s="61">
        <f t="shared" si="343"/>
        <v>0</v>
      </c>
      <c r="CS428" s="61">
        <f t="shared" si="312"/>
        <v>0</v>
      </c>
      <c r="CT428" s="61">
        <f t="shared" si="313"/>
        <v>0</v>
      </c>
      <c r="CV428" s="61">
        <f t="shared" si="314"/>
        <v>0</v>
      </c>
      <c r="CW428" s="61">
        <f t="shared" si="298"/>
        <v>0</v>
      </c>
      <c r="CX428" s="61"/>
      <c r="CY428" s="61">
        <f t="shared" si="294"/>
        <v>0</v>
      </c>
      <c r="CZ428" s="61">
        <f t="shared" si="321"/>
        <v>0</v>
      </c>
      <c r="DA428" s="61">
        <f t="shared" si="321"/>
        <v>0</v>
      </c>
      <c r="DB428" s="2" t="s">
        <v>85</v>
      </c>
      <c r="DC428" s="2" t="s">
        <v>86</v>
      </c>
      <c r="DD428" s="2" t="s">
        <v>142</v>
      </c>
      <c r="DE428" s="2" t="s">
        <v>181</v>
      </c>
      <c r="DF428" s="3" t="s">
        <v>86</v>
      </c>
      <c r="DG428" s="62">
        <v>42893</v>
      </c>
      <c r="EC428" s="60"/>
      <c r="ED428" s="60"/>
      <c r="EE428" s="60"/>
      <c r="EF428" s="60"/>
    </row>
    <row r="429" spans="2:140" ht="12.75" hidden="1" customHeight="1">
      <c r="B429" s="99" t="s">
        <v>856</v>
      </c>
      <c r="C429" s="22" t="s">
        <v>857</v>
      </c>
      <c r="D429" s="22" t="s">
        <v>858</v>
      </c>
      <c r="E429" s="2" t="str">
        <f>VLOOKUP($C429,[1]Detail!$C:$AK,6,0)</f>
        <v>PMT4</v>
      </c>
      <c r="F429" s="2" t="str">
        <f>VLOOKUP($C429,[1]Detail!$C:$AK,7,0)</f>
        <v>PF</v>
      </c>
      <c r="G429" s="2" t="str">
        <f>VLOOKUP($C429,[1]Detail!$C:$AK,5,0)</f>
        <v>B</v>
      </c>
      <c r="J429" s="22" t="s">
        <v>585</v>
      </c>
      <c r="K429" s="23" t="s">
        <v>870</v>
      </c>
      <c r="L429" s="22" t="s">
        <v>100</v>
      </c>
      <c r="M429" s="51" t="str">
        <f t="shared" si="344"/>
        <v>JD81-8C351-AA</v>
      </c>
      <c r="O429" s="22">
        <v>0</v>
      </c>
      <c r="P429" s="22">
        <v>1</v>
      </c>
      <c r="Q429" s="22">
        <v>0</v>
      </c>
      <c r="R429" s="22">
        <v>1</v>
      </c>
      <c r="S429" s="22">
        <v>0</v>
      </c>
      <c r="T429" s="22">
        <v>0</v>
      </c>
      <c r="U429" s="22">
        <v>1</v>
      </c>
      <c r="V429" s="22">
        <v>1</v>
      </c>
      <c r="W429" s="64">
        <f t="shared" si="345"/>
        <v>0.49</v>
      </c>
      <c r="Y429" s="8">
        <v>-38.65</v>
      </c>
      <c r="Z429" s="8">
        <v>-0.5</v>
      </c>
      <c r="AA429" s="8">
        <v>-1</v>
      </c>
      <c r="AB429" s="8">
        <v>0</v>
      </c>
      <c r="AC429" s="8">
        <v>0</v>
      </c>
      <c r="AD429" s="8">
        <f t="shared" si="346"/>
        <v>-40.15</v>
      </c>
      <c r="AE429" s="2" t="s">
        <v>91</v>
      </c>
      <c r="AG429" s="8">
        <v>-177500</v>
      </c>
      <c r="AH429" s="8">
        <v>-177500</v>
      </c>
      <c r="AI429" s="6"/>
      <c r="AJ429" s="70">
        <v>0</v>
      </c>
      <c r="AK429" s="70">
        <v>0</v>
      </c>
      <c r="AL429" s="72">
        <v>0</v>
      </c>
      <c r="AM429" s="22"/>
      <c r="AO429" s="22" t="s">
        <v>585</v>
      </c>
      <c r="AP429" s="23" t="s">
        <v>870</v>
      </c>
      <c r="AQ429" s="22" t="s">
        <v>100</v>
      </c>
      <c r="AR429" s="51" t="str">
        <f t="shared" si="326"/>
        <v>JD81-8C351-AA</v>
      </c>
      <c r="AS429" s="3"/>
      <c r="AT429" s="22">
        <v>0</v>
      </c>
      <c r="AU429" s="22">
        <v>1</v>
      </c>
      <c r="AV429" s="22">
        <v>0</v>
      </c>
      <c r="AW429" s="22">
        <v>1</v>
      </c>
      <c r="AX429" s="22">
        <v>0</v>
      </c>
      <c r="AY429" s="22">
        <v>0</v>
      </c>
      <c r="AZ429" s="22">
        <v>1</v>
      </c>
      <c r="BA429" s="22">
        <v>1</v>
      </c>
      <c r="BB429" s="64">
        <f t="shared" si="327"/>
        <v>0.49</v>
      </c>
      <c r="BD429" s="60">
        <v>-38.65</v>
      </c>
      <c r="BE429" s="60">
        <v>-0.5</v>
      </c>
      <c r="BF429" s="95">
        <v>-1</v>
      </c>
      <c r="BG429" s="95">
        <v>0</v>
      </c>
      <c r="BH429" s="95">
        <v>0</v>
      </c>
      <c r="BI429" s="8">
        <f t="shared" si="328"/>
        <v>-40.15</v>
      </c>
      <c r="BJ429" s="2" t="s">
        <v>91</v>
      </c>
      <c r="BL429" s="70">
        <v>-177500</v>
      </c>
      <c r="BM429" s="70">
        <v>-177500</v>
      </c>
      <c r="BO429" s="70">
        <v>0</v>
      </c>
      <c r="BP429" s="70">
        <v>0</v>
      </c>
      <c r="BQ429" s="72">
        <v>0</v>
      </c>
      <c r="BS429" s="61">
        <f t="shared" si="339"/>
        <v>0</v>
      </c>
      <c r="BT429" s="61">
        <f t="shared" si="335"/>
        <v>0</v>
      </c>
      <c r="BU429" s="61">
        <f t="shared" si="336"/>
        <v>0</v>
      </c>
      <c r="BV429" s="61">
        <f t="shared" si="337"/>
        <v>0</v>
      </c>
      <c r="BW429" s="61">
        <f t="shared" si="337"/>
        <v>0</v>
      </c>
      <c r="BX429" s="61">
        <f t="shared" si="348"/>
        <v>0</v>
      </c>
      <c r="BY429" s="61" t="s">
        <v>91</v>
      </c>
      <c r="CA429" s="61">
        <f t="shared" si="330"/>
        <v>0</v>
      </c>
      <c r="CB429" s="61">
        <f t="shared" si="330"/>
        <v>0</v>
      </c>
      <c r="CC429" s="61">
        <f t="shared" si="330"/>
        <v>0</v>
      </c>
      <c r="CD429" s="61">
        <f t="shared" si="329"/>
        <v>0</v>
      </c>
      <c r="CE429" s="61">
        <f t="shared" si="329"/>
        <v>0</v>
      </c>
      <c r="CF429" s="61">
        <f t="shared" si="329"/>
        <v>0</v>
      </c>
      <c r="CG429" s="61">
        <f t="shared" si="329"/>
        <v>0</v>
      </c>
      <c r="CH429" s="61">
        <f t="shared" si="299"/>
        <v>0</v>
      </c>
      <c r="CI429" s="61">
        <f t="shared" si="310"/>
        <v>0</v>
      </c>
      <c r="CJ429" s="61"/>
      <c r="CK429" s="61">
        <f t="shared" si="349"/>
        <v>0</v>
      </c>
      <c r="CL429" s="61">
        <f t="shared" si="349"/>
        <v>0</v>
      </c>
      <c r="CM429" s="61">
        <f t="shared" si="349"/>
        <v>0</v>
      </c>
      <c r="CN429" s="61">
        <f t="shared" si="349"/>
        <v>0</v>
      </c>
      <c r="CO429" s="61">
        <f t="shared" si="349"/>
        <v>0</v>
      </c>
      <c r="CP429" s="61">
        <f t="shared" si="349"/>
        <v>0</v>
      </c>
      <c r="CQ429" s="61">
        <f t="shared" si="349"/>
        <v>0</v>
      </c>
      <c r="CR429" s="61">
        <f t="shared" si="343"/>
        <v>0</v>
      </c>
      <c r="CS429" s="61">
        <f t="shared" si="312"/>
        <v>0</v>
      </c>
      <c r="CT429" s="61">
        <f t="shared" si="313"/>
        <v>0</v>
      </c>
      <c r="CV429" s="61">
        <f t="shared" si="314"/>
        <v>0</v>
      </c>
      <c r="CW429" s="61">
        <f t="shared" si="298"/>
        <v>0</v>
      </c>
      <c r="CX429" s="61"/>
      <c r="CY429" s="61">
        <f t="shared" si="294"/>
        <v>0</v>
      </c>
      <c r="CZ429" s="61">
        <f t="shared" si="321"/>
        <v>0</v>
      </c>
      <c r="DA429" s="61">
        <f t="shared" si="321"/>
        <v>0</v>
      </c>
      <c r="DB429" s="2" t="s">
        <v>85</v>
      </c>
      <c r="DC429" s="2" t="s">
        <v>86</v>
      </c>
      <c r="DD429" s="2" t="s">
        <v>142</v>
      </c>
      <c r="DE429" s="2" t="s">
        <v>181</v>
      </c>
      <c r="DF429" s="3" t="s">
        <v>86</v>
      </c>
      <c r="DG429" s="62">
        <v>42893</v>
      </c>
      <c r="EC429" s="60"/>
      <c r="ED429" s="60"/>
      <c r="EE429" s="60"/>
      <c r="EF429" s="60"/>
    </row>
    <row r="430" spans="2:140" ht="12.75" hidden="1" customHeight="1">
      <c r="B430" s="99" t="s">
        <v>856</v>
      </c>
      <c r="C430" s="22" t="s">
        <v>857</v>
      </c>
      <c r="D430" s="22" t="s">
        <v>858</v>
      </c>
      <c r="E430" s="2" t="str">
        <f>VLOOKUP($C430,[1]Detail!$C:$AK,6,0)</f>
        <v>PMT4</v>
      </c>
      <c r="F430" s="2" t="str">
        <f>VLOOKUP($C430,[1]Detail!$C:$AK,7,0)</f>
        <v>PF</v>
      </c>
      <c r="G430" s="2" t="str">
        <f>VLOOKUP($C430,[1]Detail!$C:$AK,5,0)</f>
        <v>B</v>
      </c>
      <c r="J430" s="22" t="s">
        <v>585</v>
      </c>
      <c r="K430" s="23" t="s">
        <v>870</v>
      </c>
      <c r="L430" s="22" t="s">
        <v>111</v>
      </c>
      <c r="M430" s="51" t="str">
        <f t="shared" si="344"/>
        <v>JD81-8C351-BA</v>
      </c>
      <c r="O430" s="22">
        <v>1</v>
      </c>
      <c r="P430" s="22">
        <v>0</v>
      </c>
      <c r="Q430" s="22">
        <v>1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64">
        <f t="shared" si="345"/>
        <v>0.28000000000000003</v>
      </c>
      <c r="Y430" s="8">
        <v>-36.39</v>
      </c>
      <c r="Z430" s="8">
        <v>-0.5</v>
      </c>
      <c r="AA430" s="8">
        <v>-1</v>
      </c>
      <c r="AB430" s="8">
        <v>0</v>
      </c>
      <c r="AC430" s="8">
        <v>0</v>
      </c>
      <c r="AD430" s="8">
        <f t="shared" si="346"/>
        <v>-37.89</v>
      </c>
      <c r="AE430" s="2" t="s">
        <v>91</v>
      </c>
      <c r="AG430" s="8">
        <v>-161000</v>
      </c>
      <c r="AH430" s="8">
        <v>-161000</v>
      </c>
      <c r="AI430" s="6"/>
      <c r="AJ430" s="70">
        <v>0</v>
      </c>
      <c r="AK430" s="70">
        <v>0</v>
      </c>
      <c r="AL430" s="72">
        <v>0</v>
      </c>
      <c r="AM430" s="22"/>
      <c r="AO430" s="22" t="s">
        <v>585</v>
      </c>
      <c r="AP430" s="23" t="s">
        <v>870</v>
      </c>
      <c r="AQ430" s="22" t="s">
        <v>111</v>
      </c>
      <c r="AR430" s="51" t="str">
        <f>TRIM(AO430)&amp;"-"&amp;TRIM(AP430)&amp;"-"&amp;TRIM(AQ430)</f>
        <v>JD81-8C351-BA</v>
      </c>
      <c r="AS430" s="3"/>
      <c r="AT430" s="22">
        <v>1</v>
      </c>
      <c r="AU430" s="22">
        <v>0</v>
      </c>
      <c r="AV430" s="22">
        <v>1</v>
      </c>
      <c r="AW430" s="22">
        <v>0</v>
      </c>
      <c r="AX430" s="22">
        <v>0</v>
      </c>
      <c r="AY430" s="22">
        <v>0</v>
      </c>
      <c r="AZ430" s="22">
        <v>0</v>
      </c>
      <c r="BA430" s="22">
        <v>0</v>
      </c>
      <c r="BB430" s="64">
        <f t="shared" si="327"/>
        <v>0.28000000000000003</v>
      </c>
      <c r="BD430" s="60">
        <v>-36.39</v>
      </c>
      <c r="BE430" s="60">
        <v>-0.5</v>
      </c>
      <c r="BF430" s="95">
        <v>-1</v>
      </c>
      <c r="BG430" s="95">
        <v>0</v>
      </c>
      <c r="BH430" s="95">
        <v>0</v>
      </c>
      <c r="BI430" s="8">
        <f>SUM(BD430:BH430)</f>
        <v>-37.89</v>
      </c>
      <c r="BJ430" s="2" t="s">
        <v>91</v>
      </c>
      <c r="BL430" s="70">
        <v>-161000</v>
      </c>
      <c r="BM430" s="70">
        <v>-161000</v>
      </c>
      <c r="BO430" s="70">
        <v>0</v>
      </c>
      <c r="BP430" s="70">
        <v>0</v>
      </c>
      <c r="BQ430" s="72">
        <v>0</v>
      </c>
      <c r="BS430" s="61">
        <f t="shared" si="339"/>
        <v>0</v>
      </c>
      <c r="BT430" s="61">
        <f t="shared" si="335"/>
        <v>0</v>
      </c>
      <c r="BU430" s="61">
        <f t="shared" si="336"/>
        <v>0</v>
      </c>
      <c r="BV430" s="61">
        <f t="shared" si="337"/>
        <v>0</v>
      </c>
      <c r="BW430" s="61">
        <f t="shared" si="337"/>
        <v>0</v>
      </c>
      <c r="BX430" s="61">
        <f t="shared" si="348"/>
        <v>0</v>
      </c>
      <c r="BY430" s="61" t="s">
        <v>91</v>
      </c>
      <c r="CA430" s="61">
        <f t="shared" si="330"/>
        <v>0</v>
      </c>
      <c r="CB430" s="61">
        <f t="shared" si="330"/>
        <v>0</v>
      </c>
      <c r="CC430" s="61">
        <f t="shared" si="330"/>
        <v>0</v>
      </c>
      <c r="CD430" s="61">
        <f t="shared" si="329"/>
        <v>0</v>
      </c>
      <c r="CE430" s="61">
        <f t="shared" si="329"/>
        <v>0</v>
      </c>
      <c r="CF430" s="61">
        <f t="shared" si="329"/>
        <v>0</v>
      </c>
      <c r="CG430" s="61">
        <f t="shared" si="329"/>
        <v>0</v>
      </c>
      <c r="CH430" s="61">
        <f t="shared" si="299"/>
        <v>0</v>
      </c>
      <c r="CI430" s="61">
        <f t="shared" si="310"/>
        <v>0</v>
      </c>
      <c r="CJ430" s="61"/>
      <c r="CK430" s="61">
        <f t="shared" si="349"/>
        <v>0</v>
      </c>
      <c r="CL430" s="61">
        <f t="shared" si="349"/>
        <v>0</v>
      </c>
      <c r="CM430" s="61">
        <f t="shared" si="349"/>
        <v>0</v>
      </c>
      <c r="CN430" s="61">
        <f t="shared" si="349"/>
        <v>0</v>
      </c>
      <c r="CO430" s="61">
        <f t="shared" si="349"/>
        <v>0</v>
      </c>
      <c r="CP430" s="61">
        <f t="shared" si="349"/>
        <v>0</v>
      </c>
      <c r="CQ430" s="61">
        <f t="shared" si="349"/>
        <v>0</v>
      </c>
      <c r="CR430" s="61">
        <f t="shared" si="343"/>
        <v>0</v>
      </c>
      <c r="CS430" s="61">
        <f t="shared" si="312"/>
        <v>0</v>
      </c>
      <c r="CT430" s="61">
        <f t="shared" si="313"/>
        <v>0</v>
      </c>
      <c r="CV430" s="61">
        <f t="shared" si="314"/>
        <v>0</v>
      </c>
      <c r="CW430" s="61">
        <f>SUM(AH430)-SUM(BM430)</f>
        <v>0</v>
      </c>
      <c r="CX430" s="61"/>
      <c r="CY430" s="61">
        <f>SUM(AJ430)-SUM(BO430)</f>
        <v>0</v>
      </c>
      <c r="CZ430" s="61">
        <f>SUM(AK430)-SUM(BP430)</f>
        <v>0</v>
      </c>
      <c r="DA430" s="61">
        <f>SUM(AL430)-SUM(BQ430)</f>
        <v>0</v>
      </c>
      <c r="DB430" s="2" t="s">
        <v>85</v>
      </c>
      <c r="DC430" s="2" t="s">
        <v>86</v>
      </c>
      <c r="DD430" s="2" t="s">
        <v>142</v>
      </c>
      <c r="DE430" s="2" t="s">
        <v>181</v>
      </c>
      <c r="DF430" s="3" t="s">
        <v>86</v>
      </c>
      <c r="DG430" s="62">
        <v>42893</v>
      </c>
      <c r="EC430" s="60"/>
      <c r="ED430" s="60"/>
      <c r="EE430" s="60"/>
      <c r="EF430" s="60"/>
    </row>
    <row r="431" spans="2:140" ht="12.75" hidden="1" customHeight="1">
      <c r="B431" s="99" t="s">
        <v>871</v>
      </c>
      <c r="C431" s="22" t="s">
        <v>857</v>
      </c>
      <c r="D431" s="22" t="s">
        <v>858</v>
      </c>
      <c r="E431" s="2" t="str">
        <f>VLOOKUP($C431,[1]Detail!$C:$AK,6,0)</f>
        <v>PMT4</v>
      </c>
      <c r="F431" s="2" t="str">
        <f>VLOOKUP($C431,[1]Detail!$C:$AK,7,0)</f>
        <v>PF</v>
      </c>
      <c r="G431" s="2" t="str">
        <f>VLOOKUP($C431,[1]Detail!$C:$AK,5,0)</f>
        <v>B</v>
      </c>
      <c r="J431" s="22" t="s">
        <v>585</v>
      </c>
      <c r="K431" s="23" t="s">
        <v>870</v>
      </c>
      <c r="L431" s="22" t="s">
        <v>132</v>
      </c>
      <c r="M431" s="51" t="str">
        <f t="shared" si="344"/>
        <v>JD81-8C351-AB</v>
      </c>
      <c r="O431" s="22">
        <v>0</v>
      </c>
      <c r="P431" s="22">
        <v>1</v>
      </c>
      <c r="Q431" s="22">
        <v>0</v>
      </c>
      <c r="R431" s="22">
        <v>1</v>
      </c>
      <c r="S431" s="22">
        <v>0</v>
      </c>
      <c r="T431" s="22">
        <v>0</v>
      </c>
      <c r="U431" s="22">
        <v>1</v>
      </c>
      <c r="V431" s="22">
        <v>1</v>
      </c>
      <c r="W431" s="64">
        <f t="shared" si="345"/>
        <v>0.49</v>
      </c>
      <c r="Y431" s="8">
        <f>-1.7-38.65</f>
        <v>-40.35</v>
      </c>
      <c r="Z431" s="8">
        <v>-0.5</v>
      </c>
      <c r="AA431" s="8">
        <v>-1</v>
      </c>
      <c r="AB431" s="8">
        <v>0</v>
      </c>
      <c r="AC431" s="8">
        <v>0</v>
      </c>
      <c r="AD431" s="8">
        <f t="shared" si="346"/>
        <v>-41.85</v>
      </c>
      <c r="AE431" s="2" t="s">
        <v>91</v>
      </c>
      <c r="AG431" s="8">
        <f>-8000-177500</f>
        <v>-185500</v>
      </c>
      <c r="AH431" s="8">
        <f>-8000-177500</f>
        <v>-185500</v>
      </c>
      <c r="AI431" s="6"/>
      <c r="AJ431" s="70">
        <v>0</v>
      </c>
      <c r="AK431" s="70">
        <v>0</v>
      </c>
      <c r="AL431" s="72">
        <v>0</v>
      </c>
      <c r="AM431" s="22"/>
      <c r="AO431" s="22" t="s">
        <v>585</v>
      </c>
      <c r="AP431" s="23" t="s">
        <v>870</v>
      </c>
      <c r="AQ431" s="22" t="s">
        <v>100</v>
      </c>
      <c r="AR431" s="51" t="str">
        <f t="shared" ref="AR431" si="352">TRIM(AO431)&amp;"-"&amp;TRIM(AP431)&amp;"-"&amp;TRIM(AQ431)</f>
        <v>JD81-8C351-AA</v>
      </c>
      <c r="AS431" s="3"/>
      <c r="AT431" s="22">
        <v>0</v>
      </c>
      <c r="AU431" s="22">
        <v>1</v>
      </c>
      <c r="AV431" s="22">
        <v>0</v>
      </c>
      <c r="AW431" s="22">
        <v>1</v>
      </c>
      <c r="AX431" s="22">
        <v>0</v>
      </c>
      <c r="AY431" s="22">
        <v>0</v>
      </c>
      <c r="AZ431" s="22">
        <v>1</v>
      </c>
      <c r="BA431" s="22">
        <v>1</v>
      </c>
      <c r="BB431" s="64">
        <f t="shared" si="327"/>
        <v>0.49</v>
      </c>
      <c r="BD431" s="8">
        <v>-38.65</v>
      </c>
      <c r="BE431" s="8">
        <v>-0.5</v>
      </c>
      <c r="BF431" s="8">
        <v>-1</v>
      </c>
      <c r="BG431" s="8">
        <v>0</v>
      </c>
      <c r="BH431" s="8">
        <v>0</v>
      </c>
      <c r="BI431" s="8">
        <f t="shared" ref="BI431" si="353">SUM(BD431:BH431)</f>
        <v>-40.15</v>
      </c>
      <c r="BJ431" s="2" t="s">
        <v>91</v>
      </c>
      <c r="BL431" s="8">
        <v>-177500</v>
      </c>
      <c r="BM431" s="8">
        <v>-177500</v>
      </c>
      <c r="BO431" s="70">
        <v>0</v>
      </c>
      <c r="BP431" s="70">
        <v>0</v>
      </c>
      <c r="BQ431" s="72">
        <v>0</v>
      </c>
      <c r="BS431" s="61">
        <f t="shared" si="339"/>
        <v>-1.7000000000000028</v>
      </c>
      <c r="BT431" s="61">
        <f t="shared" si="335"/>
        <v>0</v>
      </c>
      <c r="BU431" s="61">
        <f t="shared" si="336"/>
        <v>0</v>
      </c>
      <c r="BV431" s="61">
        <f t="shared" si="337"/>
        <v>0</v>
      </c>
      <c r="BW431" s="61">
        <f t="shared" si="337"/>
        <v>0</v>
      </c>
      <c r="BX431" s="61">
        <f t="shared" si="348"/>
        <v>-1.7000000000000028</v>
      </c>
      <c r="BY431" s="61" t="s">
        <v>91</v>
      </c>
      <c r="CA431" s="61">
        <f t="shared" si="330"/>
        <v>0</v>
      </c>
      <c r="CB431" s="61">
        <f t="shared" si="330"/>
        <v>-0.25575447570332521</v>
      </c>
      <c r="CC431" s="61">
        <f t="shared" si="330"/>
        <v>0</v>
      </c>
      <c r="CD431" s="61">
        <f t="shared" si="329"/>
        <v>-0.25575447570332521</v>
      </c>
      <c r="CE431" s="61">
        <f t="shared" si="329"/>
        <v>0</v>
      </c>
      <c r="CF431" s="61">
        <f t="shared" si="329"/>
        <v>0</v>
      </c>
      <c r="CG431" s="61">
        <f t="shared" si="329"/>
        <v>-0.25575447570332521</v>
      </c>
      <c r="CH431" s="61">
        <f t="shared" si="299"/>
        <v>-0.25575447570332521</v>
      </c>
      <c r="CI431" s="61">
        <f t="shared" si="310"/>
        <v>-0.12531969309462937</v>
      </c>
      <c r="CJ431" s="61"/>
      <c r="CK431" s="61">
        <f t="shared" si="349"/>
        <v>0</v>
      </c>
      <c r="CL431" s="61">
        <f t="shared" si="349"/>
        <v>-0.25575447570332521</v>
      </c>
      <c r="CM431" s="61">
        <f t="shared" si="349"/>
        <v>0</v>
      </c>
      <c r="CN431" s="61">
        <f t="shared" si="349"/>
        <v>-0.25575447570332521</v>
      </c>
      <c r="CO431" s="61">
        <f t="shared" si="349"/>
        <v>0</v>
      </c>
      <c r="CP431" s="61">
        <f t="shared" si="349"/>
        <v>0</v>
      </c>
      <c r="CQ431" s="61">
        <f t="shared" si="349"/>
        <v>-0.25575447570332521</v>
      </c>
      <c r="CR431" s="61">
        <f t="shared" si="343"/>
        <v>-0.25575447570332521</v>
      </c>
      <c r="CS431" s="61">
        <f t="shared" si="312"/>
        <v>-0.12531969309462937</v>
      </c>
      <c r="CT431" s="61">
        <f t="shared" si="313"/>
        <v>-0.83300000000000141</v>
      </c>
      <c r="CV431" s="61">
        <f t="shared" si="314"/>
        <v>-8000</v>
      </c>
      <c r="CW431" s="61">
        <f t="shared" ref="CW431" si="354">SUM(AH431)-SUM(BM431)</f>
        <v>-8000</v>
      </c>
      <c r="CX431" s="61"/>
      <c r="CY431" s="61">
        <f t="shared" ref="CY431" si="355">SUM(AJ431)-SUM(BO431)</f>
        <v>0</v>
      </c>
      <c r="CZ431" s="61">
        <f t="shared" ref="CZ431:DA431" si="356">SUM(AK431)-SUM(BP431)</f>
        <v>0</v>
      </c>
      <c r="DA431" s="61">
        <f t="shared" si="356"/>
        <v>0</v>
      </c>
      <c r="DB431" s="2" t="s">
        <v>86</v>
      </c>
      <c r="DC431" s="2" t="s">
        <v>85</v>
      </c>
      <c r="DD431" s="2" t="s">
        <v>142</v>
      </c>
      <c r="DE431" s="2" t="s">
        <v>106</v>
      </c>
      <c r="DF431" s="3" t="s">
        <v>86</v>
      </c>
      <c r="DG431" s="62">
        <v>43118</v>
      </c>
      <c r="EC431" s="60" t="str">
        <f>VLOOKUP($M431,[1]Detail!$M:$BO,1,0)</f>
        <v>JD81-8C351-AB</v>
      </c>
      <c r="ED431" s="60">
        <f>VLOOKUP($M431,[1]Detail!$M:$BO,22,0)</f>
        <v>-41.85</v>
      </c>
      <c r="EE431" s="60">
        <f>VLOOKUP($M431,[1]Detail!$M:$BO,42,0)</f>
        <v>-185500</v>
      </c>
      <c r="EF431" s="60">
        <f>VLOOKUP($M431,[1]Detail!$M:$BO,45,0)</f>
        <v>0</v>
      </c>
      <c r="EH431" s="60">
        <f>ED431-AD431</f>
        <v>0</v>
      </c>
      <c r="EI431" s="60">
        <f>EE431-AG431</f>
        <v>0</v>
      </c>
      <c r="EJ431" s="60">
        <f t="shared" ref="EJ431:EJ433" si="357">EF431-AJ431</f>
        <v>0</v>
      </c>
    </row>
    <row r="432" spans="2:140" ht="12.75" hidden="1" customHeight="1">
      <c r="B432" s="99" t="s">
        <v>871</v>
      </c>
      <c r="C432" s="22" t="s">
        <v>857</v>
      </c>
      <c r="D432" s="22" t="s">
        <v>858</v>
      </c>
      <c r="E432" s="2" t="str">
        <f>VLOOKUP($C432,[1]Detail!$C:$AK,6,0)</f>
        <v>PMT4</v>
      </c>
      <c r="F432" s="2" t="str">
        <f>VLOOKUP($C432,[1]Detail!$C:$AK,7,0)</f>
        <v>PF</v>
      </c>
      <c r="G432" s="2" t="str">
        <f>VLOOKUP($C432,[1]Detail!$C:$AK,5,0)</f>
        <v>B</v>
      </c>
      <c r="J432" s="22" t="s">
        <v>585</v>
      </c>
      <c r="K432" s="23" t="s">
        <v>870</v>
      </c>
      <c r="L432" s="22" t="s">
        <v>120</v>
      </c>
      <c r="M432" s="51" t="str">
        <f t="shared" si="344"/>
        <v>JD81-8C351-BB</v>
      </c>
      <c r="O432" s="22">
        <v>1</v>
      </c>
      <c r="P432" s="22">
        <v>0</v>
      </c>
      <c r="Q432" s="22">
        <v>1</v>
      </c>
      <c r="R432" s="22">
        <v>0</v>
      </c>
      <c r="S432" s="22">
        <v>0</v>
      </c>
      <c r="T432" s="22">
        <v>0</v>
      </c>
      <c r="U432" s="22">
        <v>0</v>
      </c>
      <c r="V432" s="22">
        <v>0</v>
      </c>
      <c r="W432" s="64">
        <f t="shared" si="345"/>
        <v>0.28000000000000003</v>
      </c>
      <c r="Y432" s="8">
        <f>-1.7-36.39</f>
        <v>-38.090000000000003</v>
      </c>
      <c r="Z432" s="8">
        <v>-0.5</v>
      </c>
      <c r="AA432" s="8">
        <v>-1</v>
      </c>
      <c r="AB432" s="8">
        <v>0</v>
      </c>
      <c r="AC432" s="8">
        <v>0</v>
      </c>
      <c r="AD432" s="8">
        <f t="shared" si="346"/>
        <v>-39.590000000000003</v>
      </c>
      <c r="AE432" s="2" t="s">
        <v>91</v>
      </c>
      <c r="AG432" s="8">
        <f>-8000-161000</f>
        <v>-169000</v>
      </c>
      <c r="AH432" s="8">
        <f>-8000-161000</f>
        <v>-169000</v>
      </c>
      <c r="AI432" s="6"/>
      <c r="AJ432" s="70">
        <v>0</v>
      </c>
      <c r="AK432" s="70">
        <v>0</v>
      </c>
      <c r="AL432" s="72">
        <v>0</v>
      </c>
      <c r="AM432" s="22"/>
      <c r="AO432" s="22" t="s">
        <v>585</v>
      </c>
      <c r="AP432" s="23" t="s">
        <v>870</v>
      </c>
      <c r="AQ432" s="22" t="s">
        <v>111</v>
      </c>
      <c r="AR432" s="51" t="str">
        <f>TRIM(AO432)&amp;"-"&amp;TRIM(AP432)&amp;"-"&amp;TRIM(AQ432)</f>
        <v>JD81-8C351-BA</v>
      </c>
      <c r="AS432" s="3"/>
      <c r="AT432" s="22">
        <v>1</v>
      </c>
      <c r="AU432" s="22">
        <v>0</v>
      </c>
      <c r="AV432" s="22">
        <v>1</v>
      </c>
      <c r="AW432" s="22">
        <v>0</v>
      </c>
      <c r="AX432" s="22">
        <v>0</v>
      </c>
      <c r="AY432" s="22">
        <v>0</v>
      </c>
      <c r="AZ432" s="22">
        <v>0</v>
      </c>
      <c r="BA432" s="22">
        <v>0</v>
      </c>
      <c r="BB432" s="64">
        <f t="shared" si="327"/>
        <v>0.28000000000000003</v>
      </c>
      <c r="BD432" s="8">
        <v>-36.39</v>
      </c>
      <c r="BE432" s="8">
        <v>-0.5</v>
      </c>
      <c r="BF432" s="8">
        <v>-1</v>
      </c>
      <c r="BG432" s="8">
        <v>0</v>
      </c>
      <c r="BH432" s="8">
        <v>0</v>
      </c>
      <c r="BI432" s="8">
        <f>SUM(BD432:BH432)</f>
        <v>-37.89</v>
      </c>
      <c r="BJ432" s="2" t="s">
        <v>91</v>
      </c>
      <c r="BL432" s="8">
        <v>-161000</v>
      </c>
      <c r="BM432" s="8">
        <v>-161000</v>
      </c>
      <c r="BO432" s="70">
        <v>0</v>
      </c>
      <c r="BP432" s="70">
        <v>0</v>
      </c>
      <c r="BQ432" s="72">
        <v>0</v>
      </c>
      <c r="BS432" s="61">
        <f t="shared" si="339"/>
        <v>-1.7000000000000028</v>
      </c>
      <c r="BT432" s="61">
        <f t="shared" si="335"/>
        <v>0</v>
      </c>
      <c r="BU432" s="61">
        <f t="shared" si="336"/>
        <v>0</v>
      </c>
      <c r="BV432" s="61">
        <f t="shared" si="337"/>
        <v>0</v>
      </c>
      <c r="BW432" s="61">
        <f t="shared" si="337"/>
        <v>0</v>
      </c>
      <c r="BX432" s="61">
        <f t="shared" si="348"/>
        <v>-1.7000000000000028</v>
      </c>
      <c r="BY432" s="61" t="s">
        <v>91</v>
      </c>
      <c r="CA432" s="61">
        <f t="shared" si="330"/>
        <v>-0.25575447570332521</v>
      </c>
      <c r="CB432" s="61">
        <f t="shared" si="330"/>
        <v>0</v>
      </c>
      <c r="CC432" s="61">
        <f t="shared" si="330"/>
        <v>-0.25575447570332521</v>
      </c>
      <c r="CD432" s="61">
        <f t="shared" si="329"/>
        <v>0</v>
      </c>
      <c r="CE432" s="61">
        <f t="shared" si="329"/>
        <v>0</v>
      </c>
      <c r="CF432" s="61">
        <f t="shared" si="329"/>
        <v>0</v>
      </c>
      <c r="CG432" s="61">
        <f t="shared" si="329"/>
        <v>0</v>
      </c>
      <c r="CH432" s="61">
        <f t="shared" si="299"/>
        <v>0</v>
      </c>
      <c r="CI432" s="61">
        <f t="shared" si="310"/>
        <v>-7.1611253196931068E-2</v>
      </c>
      <c r="CJ432" s="61"/>
      <c r="CK432" s="61">
        <f t="shared" si="349"/>
        <v>-0.25575447570332521</v>
      </c>
      <c r="CL432" s="61">
        <f t="shared" si="349"/>
        <v>0</v>
      </c>
      <c r="CM432" s="61">
        <f t="shared" si="349"/>
        <v>-0.25575447570332521</v>
      </c>
      <c r="CN432" s="61">
        <f t="shared" si="349"/>
        <v>0</v>
      </c>
      <c r="CO432" s="61">
        <f t="shared" si="349"/>
        <v>0</v>
      </c>
      <c r="CP432" s="61">
        <f t="shared" si="349"/>
        <v>0</v>
      </c>
      <c r="CQ432" s="61">
        <f t="shared" si="349"/>
        <v>0</v>
      </c>
      <c r="CR432" s="61">
        <f t="shared" si="343"/>
        <v>0</v>
      </c>
      <c r="CS432" s="61">
        <f t="shared" si="312"/>
        <v>-7.1611253196931068E-2</v>
      </c>
      <c r="CT432" s="61">
        <f t="shared" si="313"/>
        <v>-0.47600000000000081</v>
      </c>
      <c r="CV432" s="61">
        <f t="shared" si="314"/>
        <v>-8000</v>
      </c>
      <c r="CW432" s="61">
        <f>SUM(AH432)-SUM(BM432)</f>
        <v>-8000</v>
      </c>
      <c r="CX432" s="61"/>
      <c r="CY432" s="61">
        <f>SUM(AJ432)-SUM(BO432)</f>
        <v>0</v>
      </c>
      <c r="CZ432" s="61">
        <f>SUM(AK432)-SUM(BP432)</f>
        <v>0</v>
      </c>
      <c r="DA432" s="61">
        <f>SUM(AL432)-SUM(BQ432)</f>
        <v>0</v>
      </c>
      <c r="DB432" s="2" t="s">
        <v>86</v>
      </c>
      <c r="DC432" s="2" t="s">
        <v>85</v>
      </c>
      <c r="DD432" s="2" t="s">
        <v>142</v>
      </c>
      <c r="DE432" s="2" t="s">
        <v>106</v>
      </c>
      <c r="DF432" s="3" t="s">
        <v>86</v>
      </c>
      <c r="DG432" s="62">
        <v>43118</v>
      </c>
      <c r="EC432" s="60" t="str">
        <f>VLOOKUP($M432,[1]Detail!$M:$BO,1,0)</f>
        <v>JD81-8C351-BB</v>
      </c>
      <c r="ED432" s="60">
        <f>VLOOKUP($M432,[1]Detail!$M:$BO,22,0)</f>
        <v>-39.590000000000003</v>
      </c>
      <c r="EE432" s="60">
        <f>VLOOKUP($M432,[1]Detail!$M:$BO,42,0)</f>
        <v>-169000</v>
      </c>
      <c r="EF432" s="60">
        <f>VLOOKUP($M432,[1]Detail!$M:$BO,45,0)</f>
        <v>0</v>
      </c>
      <c r="EH432" s="60">
        <f>ED432-AD432</f>
        <v>0</v>
      </c>
      <c r="EI432" s="60">
        <f>EE432-AG432</f>
        <v>0</v>
      </c>
      <c r="EJ432" s="60">
        <f t="shared" si="357"/>
        <v>0</v>
      </c>
    </row>
    <row r="433" spans="2:140" ht="12.75" hidden="1" customHeight="1">
      <c r="B433" s="99" t="s">
        <v>856</v>
      </c>
      <c r="C433" s="22" t="s">
        <v>857</v>
      </c>
      <c r="D433" s="22" t="s">
        <v>858</v>
      </c>
      <c r="E433" s="2" t="str">
        <f>VLOOKUP($C433,[1]Detail!$C:$AK,6,0)</f>
        <v>PMT4</v>
      </c>
      <c r="F433" s="2" t="str">
        <f>VLOOKUP($C433,[1]Detail!$C:$AK,7,0)</f>
        <v>PF</v>
      </c>
      <c r="G433" s="2" t="str">
        <f>VLOOKUP($C433,[1]Detail!$C:$AK,5,0)</f>
        <v>B</v>
      </c>
      <c r="J433" s="22" t="s">
        <v>585</v>
      </c>
      <c r="K433" s="23" t="s">
        <v>872</v>
      </c>
      <c r="L433" s="22" t="s">
        <v>100</v>
      </c>
      <c r="M433" s="51" t="str">
        <f t="shared" si="344"/>
        <v>JD81-18K579-AA</v>
      </c>
      <c r="O433" s="22">
        <v>0</v>
      </c>
      <c r="P433" s="22">
        <v>1</v>
      </c>
      <c r="Q433" s="22">
        <v>0</v>
      </c>
      <c r="R433" s="22">
        <v>1</v>
      </c>
      <c r="S433" s="22">
        <v>0</v>
      </c>
      <c r="T433" s="22">
        <v>0</v>
      </c>
      <c r="U433" s="22">
        <v>1</v>
      </c>
      <c r="V433" s="22">
        <v>1</v>
      </c>
      <c r="W433" s="64">
        <f t="shared" si="345"/>
        <v>0.49</v>
      </c>
      <c r="Y433" s="8">
        <v>-41.06</v>
      </c>
      <c r="Z433" s="8">
        <v>-0.3</v>
      </c>
      <c r="AA433" s="8">
        <v>-0.6</v>
      </c>
      <c r="AB433" s="8">
        <v>0</v>
      </c>
      <c r="AC433" s="8">
        <v>0</v>
      </c>
      <c r="AD433" s="8">
        <f t="shared" si="346"/>
        <v>-41.96</v>
      </c>
      <c r="AE433" s="2" t="s">
        <v>91</v>
      </c>
      <c r="AG433" s="8">
        <v>-601000</v>
      </c>
      <c r="AH433" s="8">
        <v>-601000</v>
      </c>
      <c r="AI433" s="6"/>
      <c r="AJ433" s="70">
        <v>0</v>
      </c>
      <c r="AK433" s="70">
        <v>0</v>
      </c>
      <c r="AL433" s="72">
        <v>0</v>
      </c>
      <c r="AM433" s="22"/>
      <c r="AO433" s="22" t="s">
        <v>585</v>
      </c>
      <c r="AP433" s="23" t="s">
        <v>872</v>
      </c>
      <c r="AQ433" s="22" t="s">
        <v>100</v>
      </c>
      <c r="AR433" s="51" t="str">
        <f t="shared" si="326"/>
        <v>JD81-18K579-AA</v>
      </c>
      <c r="AS433" s="3"/>
      <c r="AT433" s="22">
        <v>0</v>
      </c>
      <c r="AU433" s="22">
        <v>1</v>
      </c>
      <c r="AV433" s="22">
        <v>0</v>
      </c>
      <c r="AW433" s="22">
        <v>1</v>
      </c>
      <c r="AX433" s="22">
        <v>0</v>
      </c>
      <c r="AY433" s="22">
        <v>0</v>
      </c>
      <c r="AZ433" s="22">
        <v>1</v>
      </c>
      <c r="BA433" s="22">
        <v>1</v>
      </c>
      <c r="BB433" s="64">
        <f t="shared" si="327"/>
        <v>0.49</v>
      </c>
      <c r="BD433" s="60">
        <v>-41.06</v>
      </c>
      <c r="BE433" s="60">
        <v>-0.3</v>
      </c>
      <c r="BF433" s="95">
        <v>-0.6</v>
      </c>
      <c r="BG433" s="95">
        <v>0</v>
      </c>
      <c r="BH433" s="95">
        <v>0</v>
      </c>
      <c r="BI433" s="8">
        <f t="shared" si="328"/>
        <v>-41.96</v>
      </c>
      <c r="BJ433" s="2" t="s">
        <v>91</v>
      </c>
      <c r="BL433" s="70">
        <v>-601000</v>
      </c>
      <c r="BM433" s="70">
        <v>-601000</v>
      </c>
      <c r="BO433" s="70">
        <v>0</v>
      </c>
      <c r="BP433" s="70">
        <v>0</v>
      </c>
      <c r="BQ433" s="72">
        <v>0</v>
      </c>
      <c r="BS433" s="61">
        <f t="shared" si="339"/>
        <v>0</v>
      </c>
      <c r="BT433" s="61">
        <f t="shared" si="335"/>
        <v>0</v>
      </c>
      <c r="BU433" s="61">
        <f t="shared" si="336"/>
        <v>0</v>
      </c>
      <c r="BV433" s="61">
        <f t="shared" si="337"/>
        <v>0</v>
      </c>
      <c r="BW433" s="61">
        <f t="shared" si="337"/>
        <v>0</v>
      </c>
      <c r="BX433" s="61">
        <f t="shared" si="348"/>
        <v>0</v>
      </c>
      <c r="BY433" s="61" t="s">
        <v>91</v>
      </c>
      <c r="CA433" s="61">
        <f t="shared" si="330"/>
        <v>0</v>
      </c>
      <c r="CB433" s="61">
        <f t="shared" si="330"/>
        <v>0</v>
      </c>
      <c r="CC433" s="61">
        <f t="shared" si="330"/>
        <v>0</v>
      </c>
      <c r="CD433" s="61">
        <f t="shared" si="329"/>
        <v>0</v>
      </c>
      <c r="CE433" s="61">
        <f t="shared" si="329"/>
        <v>0</v>
      </c>
      <c r="CF433" s="61">
        <f t="shared" si="329"/>
        <v>0</v>
      </c>
      <c r="CG433" s="61">
        <f t="shared" si="329"/>
        <v>0</v>
      </c>
      <c r="CH433" s="61">
        <f t="shared" si="299"/>
        <v>0</v>
      </c>
      <c r="CI433" s="61">
        <f t="shared" si="310"/>
        <v>0</v>
      </c>
      <c r="CJ433" s="61"/>
      <c r="CK433" s="61">
        <f t="shared" si="349"/>
        <v>0</v>
      </c>
      <c r="CL433" s="61">
        <f t="shared" si="349"/>
        <v>0</v>
      </c>
      <c r="CM433" s="61">
        <f t="shared" si="349"/>
        <v>0</v>
      </c>
      <c r="CN433" s="61">
        <f t="shared" si="349"/>
        <v>0</v>
      </c>
      <c r="CO433" s="61">
        <f t="shared" si="349"/>
        <v>0</v>
      </c>
      <c r="CP433" s="61">
        <f t="shared" si="349"/>
        <v>0</v>
      </c>
      <c r="CQ433" s="61">
        <f t="shared" si="349"/>
        <v>0</v>
      </c>
      <c r="CR433" s="61">
        <f t="shared" si="343"/>
        <v>0</v>
      </c>
      <c r="CS433" s="61">
        <f t="shared" si="312"/>
        <v>0</v>
      </c>
      <c r="CT433" s="61">
        <f t="shared" si="313"/>
        <v>0</v>
      </c>
      <c r="CV433" s="61">
        <f t="shared" si="314"/>
        <v>0</v>
      </c>
      <c r="CW433" s="61">
        <f t="shared" si="298"/>
        <v>0</v>
      </c>
      <c r="CX433" s="61"/>
      <c r="CY433" s="61">
        <f t="shared" si="294"/>
        <v>0</v>
      </c>
      <c r="CZ433" s="61">
        <f t="shared" si="321"/>
        <v>0</v>
      </c>
      <c r="DA433" s="61">
        <f t="shared" si="321"/>
        <v>0</v>
      </c>
      <c r="DB433" s="2" t="s">
        <v>86</v>
      </c>
      <c r="DC433" s="2" t="s">
        <v>86</v>
      </c>
      <c r="DD433" s="2" t="s">
        <v>142</v>
      </c>
      <c r="DE433" s="2" t="s">
        <v>181</v>
      </c>
      <c r="DF433" s="3" t="s">
        <v>86</v>
      </c>
      <c r="DG433" s="62">
        <v>42893</v>
      </c>
      <c r="EC433" s="60" t="str">
        <f>VLOOKUP($M433,[1]Detail!$M:$BO,1,0)</f>
        <v>JD81-18K579-AA</v>
      </c>
      <c r="ED433" s="60">
        <f>VLOOKUP($M433,[1]Detail!$M:$BO,22,0)</f>
        <v>-39.590000000000003</v>
      </c>
      <c r="EE433" s="60">
        <f>VLOOKUP($M433,[1]Detail!$M:$BO,42,0)</f>
        <v>-169000</v>
      </c>
      <c r="EF433" s="60">
        <f>VLOOKUP($M433,[1]Detail!$M:$BO,45,0)</f>
        <v>0</v>
      </c>
      <c r="EH433" s="60">
        <f>ED433-AD433</f>
        <v>2.3699999999999974</v>
      </c>
      <c r="EI433" s="60">
        <f>EE433-AG433</f>
        <v>432000</v>
      </c>
      <c r="EJ433" s="60">
        <f t="shared" si="357"/>
        <v>0</v>
      </c>
    </row>
    <row r="434" spans="2:140" ht="12.75" hidden="1" customHeight="1">
      <c r="B434" s="99" t="s">
        <v>856</v>
      </c>
      <c r="C434" s="22" t="s">
        <v>857</v>
      </c>
      <c r="D434" s="22" t="s">
        <v>858</v>
      </c>
      <c r="E434" s="2" t="str">
        <f>VLOOKUP($C434,[1]Detail!$C:$AK,6,0)</f>
        <v>PMT4</v>
      </c>
      <c r="F434" s="2" t="str">
        <f>VLOOKUP($C434,[1]Detail!$C:$AK,7,0)</f>
        <v>PF</v>
      </c>
      <c r="G434" s="2" t="str">
        <f>VLOOKUP($C434,[1]Detail!$C:$AK,5,0)</f>
        <v>B</v>
      </c>
      <c r="J434" s="22" t="s">
        <v>585</v>
      </c>
      <c r="K434" s="23" t="s">
        <v>873</v>
      </c>
      <c r="L434" s="22" t="s">
        <v>100</v>
      </c>
      <c r="M434" s="51" t="str">
        <f t="shared" si="344"/>
        <v>JD81-18K580-AA</v>
      </c>
      <c r="O434" s="22">
        <v>0</v>
      </c>
      <c r="P434" s="22">
        <v>1</v>
      </c>
      <c r="Q434" s="22">
        <v>0</v>
      </c>
      <c r="R434" s="22">
        <v>1</v>
      </c>
      <c r="S434" s="22">
        <v>0</v>
      </c>
      <c r="T434" s="22">
        <v>0</v>
      </c>
      <c r="U434" s="22">
        <v>1</v>
      </c>
      <c r="V434" s="22">
        <v>1</v>
      </c>
      <c r="W434" s="64">
        <f t="shared" si="345"/>
        <v>0.49</v>
      </c>
      <c r="Y434" s="8">
        <v>-31.7</v>
      </c>
      <c r="Z434" s="8">
        <v>-0.3</v>
      </c>
      <c r="AA434" s="8">
        <v>-0.6</v>
      </c>
      <c r="AB434" s="8">
        <v>0</v>
      </c>
      <c r="AC434" s="8">
        <v>0</v>
      </c>
      <c r="AD434" s="8">
        <f t="shared" si="346"/>
        <v>-32.6</v>
      </c>
      <c r="AE434" s="2" t="s">
        <v>91</v>
      </c>
      <c r="AG434" s="8">
        <v>-160000</v>
      </c>
      <c r="AH434" s="8">
        <v>-160000</v>
      </c>
      <c r="AI434" s="6"/>
      <c r="AJ434" s="70">
        <v>0</v>
      </c>
      <c r="AK434" s="70">
        <v>0</v>
      </c>
      <c r="AL434" s="72">
        <v>0</v>
      </c>
      <c r="AM434" s="22"/>
      <c r="AO434" s="22" t="s">
        <v>585</v>
      </c>
      <c r="AP434" s="23" t="s">
        <v>873</v>
      </c>
      <c r="AQ434" s="22" t="s">
        <v>100</v>
      </c>
      <c r="AR434" s="51" t="str">
        <f t="shared" si="326"/>
        <v>JD81-18K580-AA</v>
      </c>
      <c r="AS434" s="3"/>
      <c r="AT434" s="22">
        <v>0</v>
      </c>
      <c r="AU434" s="22">
        <v>1</v>
      </c>
      <c r="AV434" s="22">
        <v>0</v>
      </c>
      <c r="AW434" s="22">
        <v>1</v>
      </c>
      <c r="AX434" s="22">
        <v>0</v>
      </c>
      <c r="AY434" s="22">
        <v>0</v>
      </c>
      <c r="AZ434" s="22">
        <v>1</v>
      </c>
      <c r="BA434" s="22">
        <v>1</v>
      </c>
      <c r="BB434" s="64">
        <f t="shared" si="327"/>
        <v>0.49</v>
      </c>
      <c r="BD434" s="60">
        <v>-31.7</v>
      </c>
      <c r="BE434" s="60">
        <v>-0.3</v>
      </c>
      <c r="BF434" s="95">
        <v>-0.6</v>
      </c>
      <c r="BG434" s="95">
        <v>0</v>
      </c>
      <c r="BH434" s="95">
        <v>0</v>
      </c>
      <c r="BI434" s="8">
        <f t="shared" si="328"/>
        <v>-32.6</v>
      </c>
      <c r="BJ434" s="2" t="s">
        <v>91</v>
      </c>
      <c r="BL434" s="70">
        <v>-160000</v>
      </c>
      <c r="BM434" s="70">
        <v>-160000</v>
      </c>
      <c r="BO434" s="70">
        <v>0</v>
      </c>
      <c r="BP434" s="70">
        <v>0</v>
      </c>
      <c r="BQ434" s="72">
        <v>0</v>
      </c>
      <c r="BS434" s="61">
        <f t="shared" si="339"/>
        <v>0</v>
      </c>
      <c r="BT434" s="61">
        <f t="shared" si="335"/>
        <v>0</v>
      </c>
      <c r="BU434" s="61">
        <f t="shared" si="336"/>
        <v>0</v>
      </c>
      <c r="BV434" s="61">
        <f t="shared" si="337"/>
        <v>0</v>
      </c>
      <c r="BW434" s="61">
        <f t="shared" si="337"/>
        <v>0</v>
      </c>
      <c r="BX434" s="61">
        <f t="shared" si="348"/>
        <v>0</v>
      </c>
      <c r="BY434" s="61" t="s">
        <v>91</v>
      </c>
      <c r="CA434" s="61">
        <f t="shared" si="330"/>
        <v>0</v>
      </c>
      <c r="CB434" s="61">
        <f t="shared" si="330"/>
        <v>0</v>
      </c>
      <c r="CC434" s="61">
        <f t="shared" si="330"/>
        <v>0</v>
      </c>
      <c r="CD434" s="61">
        <f t="shared" si="329"/>
        <v>0</v>
      </c>
      <c r="CE434" s="61">
        <f t="shared" si="329"/>
        <v>0</v>
      </c>
      <c r="CF434" s="61">
        <f t="shared" si="329"/>
        <v>0</v>
      </c>
      <c r="CG434" s="61">
        <f t="shared" si="329"/>
        <v>0</v>
      </c>
      <c r="CH434" s="61">
        <f t="shared" si="299"/>
        <v>0</v>
      </c>
      <c r="CI434" s="61">
        <f t="shared" si="310"/>
        <v>0</v>
      </c>
      <c r="CJ434" s="61"/>
      <c r="CK434" s="61">
        <f t="shared" si="349"/>
        <v>0</v>
      </c>
      <c r="CL434" s="61">
        <f t="shared" si="349"/>
        <v>0</v>
      </c>
      <c r="CM434" s="61">
        <f t="shared" si="349"/>
        <v>0</v>
      </c>
      <c r="CN434" s="61">
        <f t="shared" si="349"/>
        <v>0</v>
      </c>
      <c r="CO434" s="61">
        <f t="shared" si="349"/>
        <v>0</v>
      </c>
      <c r="CP434" s="61">
        <f t="shared" si="349"/>
        <v>0</v>
      </c>
      <c r="CQ434" s="61">
        <f t="shared" si="349"/>
        <v>0</v>
      </c>
      <c r="CR434" s="61">
        <f t="shared" si="343"/>
        <v>0</v>
      </c>
      <c r="CS434" s="61">
        <f t="shared" si="312"/>
        <v>0</v>
      </c>
      <c r="CT434" s="61">
        <f t="shared" si="313"/>
        <v>0</v>
      </c>
      <c r="CV434" s="61">
        <f t="shared" si="314"/>
        <v>0</v>
      </c>
      <c r="CW434" s="61">
        <f t="shared" si="298"/>
        <v>0</v>
      </c>
      <c r="CX434" s="61"/>
      <c r="CY434" s="61">
        <f t="shared" si="294"/>
        <v>0</v>
      </c>
      <c r="CZ434" s="61">
        <f t="shared" si="321"/>
        <v>0</v>
      </c>
      <c r="DA434" s="61">
        <f t="shared" si="321"/>
        <v>0</v>
      </c>
      <c r="DB434" s="2" t="s">
        <v>85</v>
      </c>
      <c r="DC434" s="2" t="s">
        <v>86</v>
      </c>
      <c r="DD434" s="2" t="s">
        <v>142</v>
      </c>
      <c r="DE434" s="2" t="s">
        <v>181</v>
      </c>
      <c r="DF434" s="3" t="s">
        <v>86</v>
      </c>
      <c r="DG434" s="62">
        <v>42893</v>
      </c>
      <c r="EC434" s="60"/>
      <c r="ED434" s="60"/>
      <c r="EE434" s="60"/>
      <c r="EF434" s="60"/>
    </row>
    <row r="435" spans="2:140" ht="12.75" hidden="1" customHeight="1">
      <c r="B435" s="99" t="s">
        <v>856</v>
      </c>
      <c r="C435" s="22" t="s">
        <v>857</v>
      </c>
      <c r="D435" s="22" t="s">
        <v>858</v>
      </c>
      <c r="E435" s="2" t="str">
        <f>VLOOKUP($C435,[1]Detail!$C:$AK,6,0)</f>
        <v>PMT4</v>
      </c>
      <c r="F435" s="2" t="str">
        <f>VLOOKUP($C435,[1]Detail!$C:$AK,7,0)</f>
        <v>PF</v>
      </c>
      <c r="G435" s="2" t="str">
        <f>VLOOKUP($C435,[1]Detail!$C:$AK,5,0)</f>
        <v>B</v>
      </c>
      <c r="J435" s="22" t="s">
        <v>585</v>
      </c>
      <c r="K435" s="23" t="s">
        <v>874</v>
      </c>
      <c r="L435" s="22" t="s">
        <v>100</v>
      </c>
      <c r="M435" s="51" t="str">
        <f t="shared" si="344"/>
        <v>JD81-7G071-AA</v>
      </c>
      <c r="O435" s="22">
        <v>0</v>
      </c>
      <c r="P435" s="22">
        <v>1</v>
      </c>
      <c r="Q435" s="22">
        <v>0</v>
      </c>
      <c r="R435" s="22">
        <v>1</v>
      </c>
      <c r="S435" s="22">
        <v>0</v>
      </c>
      <c r="T435" s="22">
        <v>0</v>
      </c>
      <c r="U435" s="22">
        <v>1</v>
      </c>
      <c r="V435" s="22">
        <v>1</v>
      </c>
      <c r="W435" s="64">
        <f t="shared" si="345"/>
        <v>0.49</v>
      </c>
      <c r="Y435" s="8">
        <v>-6.24</v>
      </c>
      <c r="Z435" s="8">
        <v>-0.1</v>
      </c>
      <c r="AA435" s="8">
        <v>-0.2</v>
      </c>
      <c r="AB435" s="8">
        <v>0</v>
      </c>
      <c r="AC435" s="8">
        <v>0</v>
      </c>
      <c r="AD435" s="8">
        <f t="shared" si="346"/>
        <v>-6.54</v>
      </c>
      <c r="AE435" s="2" t="s">
        <v>91</v>
      </c>
      <c r="AG435" s="8">
        <v>-42000</v>
      </c>
      <c r="AH435" s="8">
        <v>-42000</v>
      </c>
      <c r="AI435" s="6"/>
      <c r="AJ435" s="70">
        <v>0</v>
      </c>
      <c r="AK435" s="70">
        <v>0</v>
      </c>
      <c r="AL435" s="72">
        <v>0</v>
      </c>
      <c r="AM435" s="22"/>
      <c r="AO435" s="22" t="s">
        <v>585</v>
      </c>
      <c r="AP435" s="23" t="s">
        <v>874</v>
      </c>
      <c r="AQ435" s="22" t="s">
        <v>100</v>
      </c>
      <c r="AR435" s="51" t="str">
        <f t="shared" si="326"/>
        <v>JD81-7G071-AA</v>
      </c>
      <c r="AS435" s="3"/>
      <c r="AT435" s="22">
        <v>0</v>
      </c>
      <c r="AU435" s="22">
        <v>1</v>
      </c>
      <c r="AV435" s="22">
        <v>0</v>
      </c>
      <c r="AW435" s="22">
        <v>1</v>
      </c>
      <c r="AX435" s="22">
        <v>0</v>
      </c>
      <c r="AY435" s="22">
        <v>0</v>
      </c>
      <c r="AZ435" s="22">
        <v>1</v>
      </c>
      <c r="BA435" s="22">
        <v>1</v>
      </c>
      <c r="BB435" s="64">
        <f t="shared" si="327"/>
        <v>0.49</v>
      </c>
      <c r="BD435" s="60">
        <v>-6.24</v>
      </c>
      <c r="BE435" s="60">
        <v>-0.1</v>
      </c>
      <c r="BF435" s="95">
        <v>-0.2</v>
      </c>
      <c r="BG435" s="95">
        <v>0</v>
      </c>
      <c r="BH435" s="95">
        <v>0</v>
      </c>
      <c r="BI435" s="8">
        <f t="shared" si="328"/>
        <v>-6.54</v>
      </c>
      <c r="BJ435" s="2" t="s">
        <v>91</v>
      </c>
      <c r="BL435" s="70">
        <v>-42000</v>
      </c>
      <c r="BM435" s="70">
        <v>-42000</v>
      </c>
      <c r="BO435" s="70">
        <v>0</v>
      </c>
      <c r="BP435" s="70">
        <v>0</v>
      </c>
      <c r="BQ435" s="72">
        <v>0</v>
      </c>
      <c r="BS435" s="61">
        <f t="shared" si="339"/>
        <v>0</v>
      </c>
      <c r="BT435" s="61">
        <f t="shared" si="335"/>
        <v>0</v>
      </c>
      <c r="BU435" s="61">
        <f t="shared" si="336"/>
        <v>0</v>
      </c>
      <c r="BV435" s="61">
        <f t="shared" si="337"/>
        <v>0</v>
      </c>
      <c r="BW435" s="61">
        <f t="shared" si="337"/>
        <v>0</v>
      </c>
      <c r="BX435" s="61">
        <f t="shared" si="348"/>
        <v>0</v>
      </c>
      <c r="BY435" s="61" t="s">
        <v>91</v>
      </c>
      <c r="CA435" s="61">
        <f t="shared" si="330"/>
        <v>0</v>
      </c>
      <c r="CB435" s="61">
        <f t="shared" si="330"/>
        <v>0</v>
      </c>
      <c r="CC435" s="61">
        <f t="shared" si="330"/>
        <v>0</v>
      </c>
      <c r="CD435" s="61">
        <f t="shared" si="329"/>
        <v>0</v>
      </c>
      <c r="CE435" s="61">
        <f t="shared" si="329"/>
        <v>0</v>
      </c>
      <c r="CF435" s="61">
        <f t="shared" si="329"/>
        <v>0</v>
      </c>
      <c r="CG435" s="61">
        <f t="shared" si="329"/>
        <v>0</v>
      </c>
      <c r="CH435" s="61">
        <f t="shared" si="299"/>
        <v>0</v>
      </c>
      <c r="CI435" s="61">
        <f t="shared" si="310"/>
        <v>0</v>
      </c>
      <c r="CJ435" s="61"/>
      <c r="CK435" s="61">
        <f t="shared" si="349"/>
        <v>0</v>
      </c>
      <c r="CL435" s="61">
        <f t="shared" si="349"/>
        <v>0</v>
      </c>
      <c r="CM435" s="61">
        <f t="shared" si="349"/>
        <v>0</v>
      </c>
      <c r="CN435" s="61">
        <f t="shared" si="349"/>
        <v>0</v>
      </c>
      <c r="CO435" s="61">
        <f t="shared" si="349"/>
        <v>0</v>
      </c>
      <c r="CP435" s="61">
        <f t="shared" si="349"/>
        <v>0</v>
      </c>
      <c r="CQ435" s="61">
        <f t="shared" si="349"/>
        <v>0</v>
      </c>
      <c r="CR435" s="61">
        <f t="shared" si="343"/>
        <v>0</v>
      </c>
      <c r="CS435" s="61">
        <f t="shared" si="312"/>
        <v>0</v>
      </c>
      <c r="CT435" s="61">
        <f t="shared" si="313"/>
        <v>0</v>
      </c>
      <c r="CV435" s="61">
        <f t="shared" si="314"/>
        <v>0</v>
      </c>
      <c r="CW435" s="61">
        <f t="shared" si="298"/>
        <v>0</v>
      </c>
      <c r="CX435" s="61"/>
      <c r="CY435" s="61">
        <f t="shared" si="294"/>
        <v>0</v>
      </c>
      <c r="CZ435" s="61">
        <f t="shared" si="321"/>
        <v>0</v>
      </c>
      <c r="DA435" s="61">
        <f t="shared" si="321"/>
        <v>0</v>
      </c>
      <c r="DB435" s="2" t="s">
        <v>86</v>
      </c>
      <c r="DC435" s="2" t="s">
        <v>86</v>
      </c>
      <c r="DD435" s="2" t="s">
        <v>142</v>
      </c>
      <c r="DE435" s="2" t="s">
        <v>181</v>
      </c>
      <c r="DF435" s="3" t="s">
        <v>86</v>
      </c>
      <c r="DG435" s="62">
        <v>42893</v>
      </c>
      <c r="EC435" s="60" t="str">
        <f>VLOOKUP($M435,[1]Detail!$M:$BO,1,0)</f>
        <v>JD81-7G071-AA</v>
      </c>
      <c r="ED435" s="60">
        <f>VLOOKUP($M435,[1]Detail!$M:$BO,22,0)</f>
        <v>-6.54</v>
      </c>
      <c r="EE435" s="60">
        <f>VLOOKUP($M435,[1]Detail!$M:$BO,42,0)</f>
        <v>-42000</v>
      </c>
      <c r="EF435" s="60">
        <f>VLOOKUP($M435,[1]Detail!$M:$BO,45,0)</f>
        <v>0</v>
      </c>
      <c r="EH435" s="60">
        <f>ED435-AD435</f>
        <v>0</v>
      </c>
      <c r="EI435" s="60">
        <f>EE435-AG435</f>
        <v>0</v>
      </c>
      <c r="EJ435" s="60">
        <f>EF435-AJ435</f>
        <v>0</v>
      </c>
    </row>
    <row r="436" spans="2:140" ht="12.75" hidden="1" customHeight="1">
      <c r="B436" s="99" t="s">
        <v>856</v>
      </c>
      <c r="C436" s="22" t="s">
        <v>857</v>
      </c>
      <c r="D436" s="22" t="s">
        <v>858</v>
      </c>
      <c r="E436" s="2" t="str">
        <f>VLOOKUP($C436,[1]Detail!$C:$AK,6,0)</f>
        <v>PMT4</v>
      </c>
      <c r="F436" s="2" t="str">
        <f>VLOOKUP($C436,[1]Detail!$C:$AK,7,0)</f>
        <v>PF</v>
      </c>
      <c r="G436" s="2" t="str">
        <f>VLOOKUP($C436,[1]Detail!$C:$AK,5,0)</f>
        <v>B</v>
      </c>
      <c r="J436" s="22" t="s">
        <v>585</v>
      </c>
      <c r="K436" s="23" t="s">
        <v>860</v>
      </c>
      <c r="L436" s="22" t="s">
        <v>111</v>
      </c>
      <c r="M436" s="51" t="str">
        <f t="shared" si="344"/>
        <v>JD81-8A365-BA</v>
      </c>
      <c r="O436" s="22">
        <v>1</v>
      </c>
      <c r="P436" s="22">
        <v>0</v>
      </c>
      <c r="Q436" s="22">
        <v>1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64">
        <f t="shared" si="345"/>
        <v>0.28000000000000003</v>
      </c>
      <c r="Y436" s="8">
        <v>-32.840000000000003</v>
      </c>
      <c r="Z436" s="8">
        <v>-0.3</v>
      </c>
      <c r="AA436" s="8">
        <v>-0.6</v>
      </c>
      <c r="AB436" s="8">
        <v>0</v>
      </c>
      <c r="AC436" s="8">
        <v>0</v>
      </c>
      <c r="AD436" s="8">
        <f t="shared" si="346"/>
        <v>-33.74</v>
      </c>
      <c r="AE436" s="2" t="s">
        <v>91</v>
      </c>
      <c r="AG436" s="8">
        <v>-116000</v>
      </c>
      <c r="AH436" s="8">
        <v>-116000</v>
      </c>
      <c r="AI436" s="6"/>
      <c r="AJ436" s="70">
        <v>0</v>
      </c>
      <c r="AK436" s="70">
        <v>0</v>
      </c>
      <c r="AL436" s="72">
        <v>0</v>
      </c>
      <c r="AM436" s="22"/>
      <c r="AO436" s="22" t="s">
        <v>585</v>
      </c>
      <c r="AP436" s="23" t="s">
        <v>860</v>
      </c>
      <c r="AQ436" s="22" t="s">
        <v>111</v>
      </c>
      <c r="AR436" s="51" t="str">
        <f t="shared" si="326"/>
        <v>JD81-8A365-BA</v>
      </c>
      <c r="AS436" s="3"/>
      <c r="AT436" s="22">
        <v>1</v>
      </c>
      <c r="AU436" s="22">
        <v>0</v>
      </c>
      <c r="AV436" s="22">
        <v>1</v>
      </c>
      <c r="AW436" s="22">
        <v>0</v>
      </c>
      <c r="AX436" s="22">
        <v>0</v>
      </c>
      <c r="AY436" s="22">
        <v>0</v>
      </c>
      <c r="AZ436" s="22">
        <v>0</v>
      </c>
      <c r="BA436" s="22">
        <v>0</v>
      </c>
      <c r="BB436" s="64">
        <f t="shared" si="327"/>
        <v>0.28000000000000003</v>
      </c>
      <c r="BD436" s="60">
        <v>-32.840000000000003</v>
      </c>
      <c r="BE436" s="60">
        <v>-0.3</v>
      </c>
      <c r="BF436" s="95">
        <v>-0.6</v>
      </c>
      <c r="BG436" s="95">
        <v>0</v>
      </c>
      <c r="BH436" s="95">
        <v>0</v>
      </c>
      <c r="BI436" s="8">
        <f t="shared" si="328"/>
        <v>-33.74</v>
      </c>
      <c r="BJ436" s="2" t="s">
        <v>91</v>
      </c>
      <c r="BL436" s="70">
        <v>-116000</v>
      </c>
      <c r="BM436" s="70">
        <v>-116000</v>
      </c>
      <c r="BO436" s="70">
        <v>0</v>
      </c>
      <c r="BP436" s="70">
        <v>0</v>
      </c>
      <c r="BQ436" s="72">
        <v>0</v>
      </c>
      <c r="BS436" s="61">
        <f t="shared" si="339"/>
        <v>0</v>
      </c>
      <c r="BT436" s="61">
        <f t="shared" si="335"/>
        <v>0</v>
      </c>
      <c r="BU436" s="61">
        <f t="shared" si="336"/>
        <v>0</v>
      </c>
      <c r="BV436" s="61">
        <f t="shared" si="337"/>
        <v>0</v>
      </c>
      <c r="BW436" s="61">
        <f t="shared" si="337"/>
        <v>0</v>
      </c>
      <c r="BX436" s="61">
        <f t="shared" si="348"/>
        <v>0</v>
      </c>
      <c r="BY436" s="61" t="s">
        <v>91</v>
      </c>
      <c r="CA436" s="61">
        <f t="shared" si="330"/>
        <v>0</v>
      </c>
      <c r="CB436" s="61">
        <f t="shared" si="330"/>
        <v>0</v>
      </c>
      <c r="CC436" s="61">
        <f t="shared" si="330"/>
        <v>0</v>
      </c>
      <c r="CD436" s="61">
        <f t="shared" si="329"/>
        <v>0</v>
      </c>
      <c r="CE436" s="61">
        <f t="shared" si="329"/>
        <v>0</v>
      </c>
      <c r="CF436" s="61">
        <f t="shared" si="329"/>
        <v>0</v>
      </c>
      <c r="CG436" s="61">
        <f t="shared" si="329"/>
        <v>0</v>
      </c>
      <c r="CH436" s="61">
        <f t="shared" si="299"/>
        <v>0</v>
      </c>
      <c r="CI436" s="61">
        <f t="shared" si="310"/>
        <v>0</v>
      </c>
      <c r="CJ436" s="61"/>
      <c r="CK436" s="61">
        <f t="shared" si="349"/>
        <v>0</v>
      </c>
      <c r="CL436" s="61">
        <f t="shared" si="349"/>
        <v>0</v>
      </c>
      <c r="CM436" s="61">
        <f t="shared" si="349"/>
        <v>0</v>
      </c>
      <c r="CN436" s="61">
        <f t="shared" si="349"/>
        <v>0</v>
      </c>
      <c r="CO436" s="61">
        <f t="shared" si="349"/>
        <v>0</v>
      </c>
      <c r="CP436" s="61">
        <f t="shared" si="349"/>
        <v>0</v>
      </c>
      <c r="CQ436" s="61">
        <f t="shared" si="349"/>
        <v>0</v>
      </c>
      <c r="CR436" s="61">
        <f t="shared" si="343"/>
        <v>0</v>
      </c>
      <c r="CS436" s="61">
        <f t="shared" si="312"/>
        <v>0</v>
      </c>
      <c r="CT436" s="61">
        <f t="shared" si="313"/>
        <v>0</v>
      </c>
      <c r="CV436" s="61">
        <f t="shared" si="314"/>
        <v>0</v>
      </c>
      <c r="CW436" s="61">
        <f t="shared" si="298"/>
        <v>0</v>
      </c>
      <c r="CX436" s="61"/>
      <c r="CY436" s="61">
        <f t="shared" si="294"/>
        <v>0</v>
      </c>
      <c r="CZ436" s="61">
        <f t="shared" si="321"/>
        <v>0</v>
      </c>
      <c r="DA436" s="61">
        <f t="shared" si="321"/>
        <v>0</v>
      </c>
      <c r="DB436" s="2" t="s">
        <v>85</v>
      </c>
      <c r="DC436" s="2" t="s">
        <v>86</v>
      </c>
      <c r="DD436" s="2" t="s">
        <v>142</v>
      </c>
      <c r="DE436" s="2" t="s">
        <v>181</v>
      </c>
      <c r="DF436" s="3" t="s">
        <v>86</v>
      </c>
      <c r="DG436" s="62">
        <v>42893</v>
      </c>
      <c r="EC436" s="60"/>
      <c r="ED436" s="60"/>
      <c r="EE436" s="60"/>
      <c r="EF436" s="60"/>
    </row>
    <row r="437" spans="2:140" ht="12.75" hidden="1" customHeight="1">
      <c r="B437" s="99" t="s">
        <v>856</v>
      </c>
      <c r="C437" s="22" t="s">
        <v>857</v>
      </c>
      <c r="D437" s="22" t="s">
        <v>858</v>
      </c>
      <c r="E437" s="2" t="str">
        <f>VLOOKUP($C437,[1]Detail!$C:$AK,6,0)</f>
        <v>PMT4</v>
      </c>
      <c r="F437" s="2" t="str">
        <f>VLOOKUP($C437,[1]Detail!$C:$AK,7,0)</f>
        <v>PF</v>
      </c>
      <c r="G437" s="2" t="str">
        <f>VLOOKUP($C437,[1]Detail!$C:$AK,5,0)</f>
        <v>B</v>
      </c>
      <c r="J437" s="22" t="s">
        <v>585</v>
      </c>
      <c r="K437" s="23" t="s">
        <v>872</v>
      </c>
      <c r="L437" s="22" t="s">
        <v>111</v>
      </c>
      <c r="M437" s="51" t="str">
        <f t="shared" si="344"/>
        <v>JD81-18K579-BA</v>
      </c>
      <c r="O437" s="22">
        <v>1</v>
      </c>
      <c r="P437" s="22">
        <v>0</v>
      </c>
      <c r="Q437" s="22">
        <v>1</v>
      </c>
      <c r="R437" s="22">
        <v>0</v>
      </c>
      <c r="S437" s="22">
        <v>0</v>
      </c>
      <c r="T437" s="22">
        <v>0</v>
      </c>
      <c r="U437" s="22">
        <v>0</v>
      </c>
      <c r="V437" s="22">
        <v>0</v>
      </c>
      <c r="W437" s="64">
        <f t="shared" si="345"/>
        <v>0.28000000000000003</v>
      </c>
      <c r="Y437" s="8">
        <v>-22.69</v>
      </c>
      <c r="Z437" s="8">
        <v>-0.2</v>
      </c>
      <c r="AA437" s="8">
        <v>-0.4</v>
      </c>
      <c r="AB437" s="8">
        <v>0</v>
      </c>
      <c r="AC437" s="8">
        <v>0</v>
      </c>
      <c r="AD437" s="8">
        <f t="shared" si="346"/>
        <v>-23.29</v>
      </c>
      <c r="AE437" s="2" t="s">
        <v>91</v>
      </c>
      <c r="AG437" s="8">
        <v>-58000</v>
      </c>
      <c r="AH437" s="8">
        <v>-58000</v>
      </c>
      <c r="AI437" s="6"/>
      <c r="AJ437" s="70">
        <v>0</v>
      </c>
      <c r="AK437" s="70">
        <v>0</v>
      </c>
      <c r="AL437" s="72">
        <v>0</v>
      </c>
      <c r="AM437" s="22"/>
      <c r="AO437" s="22" t="s">
        <v>585</v>
      </c>
      <c r="AP437" s="23" t="s">
        <v>872</v>
      </c>
      <c r="AQ437" s="22" t="s">
        <v>111</v>
      </c>
      <c r="AR437" s="51" t="str">
        <f t="shared" si="326"/>
        <v>JD81-18K579-BA</v>
      </c>
      <c r="AS437" s="3"/>
      <c r="AT437" s="22">
        <v>1</v>
      </c>
      <c r="AU437" s="22">
        <v>0</v>
      </c>
      <c r="AV437" s="22">
        <v>1</v>
      </c>
      <c r="AW437" s="22">
        <v>0</v>
      </c>
      <c r="AX437" s="22">
        <v>0</v>
      </c>
      <c r="AY437" s="22">
        <v>0</v>
      </c>
      <c r="AZ437" s="22">
        <v>0</v>
      </c>
      <c r="BA437" s="22">
        <v>0</v>
      </c>
      <c r="BB437" s="64">
        <f t="shared" si="327"/>
        <v>0.28000000000000003</v>
      </c>
      <c r="BD437" s="60">
        <v>-22.69</v>
      </c>
      <c r="BE437" s="60">
        <v>-0.2</v>
      </c>
      <c r="BF437" s="95">
        <v>-0.4</v>
      </c>
      <c r="BG437" s="95">
        <v>0</v>
      </c>
      <c r="BH437" s="95">
        <v>0</v>
      </c>
      <c r="BI437" s="8">
        <f t="shared" si="328"/>
        <v>-23.29</v>
      </c>
      <c r="BJ437" s="2" t="s">
        <v>91</v>
      </c>
      <c r="BL437" s="70">
        <v>-58000</v>
      </c>
      <c r="BM437" s="70">
        <v>-58000</v>
      </c>
      <c r="BO437" s="70">
        <v>0</v>
      </c>
      <c r="BP437" s="70">
        <v>0</v>
      </c>
      <c r="BQ437" s="72">
        <v>0</v>
      </c>
      <c r="BS437" s="61">
        <f t="shared" si="339"/>
        <v>0</v>
      </c>
      <c r="BT437" s="61">
        <f t="shared" si="335"/>
        <v>0</v>
      </c>
      <c r="BU437" s="61">
        <f t="shared" si="336"/>
        <v>0</v>
      </c>
      <c r="BV437" s="61">
        <f t="shared" si="337"/>
        <v>0</v>
      </c>
      <c r="BW437" s="61">
        <f t="shared" si="337"/>
        <v>0</v>
      </c>
      <c r="BX437" s="61">
        <f t="shared" si="348"/>
        <v>0</v>
      </c>
      <c r="BY437" s="61" t="s">
        <v>91</v>
      </c>
      <c r="CA437" s="61">
        <f t="shared" si="330"/>
        <v>0</v>
      </c>
      <c r="CB437" s="61">
        <f t="shared" si="330"/>
        <v>0</v>
      </c>
      <c r="CC437" s="61">
        <f t="shared" si="330"/>
        <v>0</v>
      </c>
      <c r="CD437" s="61">
        <f t="shared" si="329"/>
        <v>0</v>
      </c>
      <c r="CE437" s="61">
        <f t="shared" si="329"/>
        <v>0</v>
      </c>
      <c r="CF437" s="61">
        <f t="shared" si="329"/>
        <v>0</v>
      </c>
      <c r="CG437" s="61">
        <f t="shared" si="329"/>
        <v>0</v>
      </c>
      <c r="CH437" s="61">
        <f t="shared" si="299"/>
        <v>0</v>
      </c>
      <c r="CI437" s="61">
        <f t="shared" si="310"/>
        <v>0</v>
      </c>
      <c r="CJ437" s="61"/>
      <c r="CK437" s="61">
        <f t="shared" si="349"/>
        <v>0</v>
      </c>
      <c r="CL437" s="61">
        <f t="shared" si="349"/>
        <v>0</v>
      </c>
      <c r="CM437" s="61">
        <f t="shared" si="349"/>
        <v>0</v>
      </c>
      <c r="CN437" s="61">
        <f t="shared" si="349"/>
        <v>0</v>
      </c>
      <c r="CO437" s="61">
        <f t="shared" si="349"/>
        <v>0</v>
      </c>
      <c r="CP437" s="61">
        <f t="shared" si="349"/>
        <v>0</v>
      </c>
      <c r="CQ437" s="61">
        <f t="shared" si="349"/>
        <v>0</v>
      </c>
      <c r="CR437" s="61">
        <f t="shared" si="343"/>
        <v>0</v>
      </c>
      <c r="CS437" s="61">
        <f t="shared" si="312"/>
        <v>0</v>
      </c>
      <c r="CT437" s="61">
        <f t="shared" si="313"/>
        <v>0</v>
      </c>
      <c r="CV437" s="61">
        <f t="shared" si="314"/>
        <v>0</v>
      </c>
      <c r="CW437" s="61">
        <f t="shared" si="298"/>
        <v>0</v>
      </c>
      <c r="CX437" s="61"/>
      <c r="CY437" s="61">
        <f t="shared" si="294"/>
        <v>0</v>
      </c>
      <c r="CZ437" s="61">
        <f t="shared" si="321"/>
        <v>0</v>
      </c>
      <c r="DA437" s="61">
        <f t="shared" si="321"/>
        <v>0</v>
      </c>
      <c r="DB437" s="2" t="s">
        <v>86</v>
      </c>
      <c r="DC437" s="2" t="s">
        <v>86</v>
      </c>
      <c r="DD437" s="2" t="s">
        <v>142</v>
      </c>
      <c r="DE437" s="2" t="s">
        <v>181</v>
      </c>
      <c r="DF437" s="3" t="s">
        <v>86</v>
      </c>
      <c r="DG437" s="62">
        <v>42893</v>
      </c>
      <c r="EC437" s="60" t="str">
        <f>VLOOKUP($M437,[1]Detail!$M:$BO,1,0)</f>
        <v>JD81-18K579-BA</v>
      </c>
      <c r="ED437" s="60">
        <f>VLOOKUP($M437,[1]Detail!$M:$BO,22,0)</f>
        <v>-23.29</v>
      </c>
      <c r="EE437" s="60">
        <f>VLOOKUP($M437,[1]Detail!$M:$BO,42,0)</f>
        <v>-58000</v>
      </c>
      <c r="EF437" s="60">
        <f>VLOOKUP($M437,[1]Detail!$M:$BO,45,0)</f>
        <v>0</v>
      </c>
      <c r="EH437" s="60">
        <f>ED437-AD437</f>
        <v>0</v>
      </c>
      <c r="EI437" s="60">
        <f>EE437-AG437</f>
        <v>0</v>
      </c>
      <c r="EJ437" s="60">
        <f t="shared" ref="EJ437:EJ440" si="358">EF437-AJ437</f>
        <v>0</v>
      </c>
    </row>
    <row r="438" spans="2:140" ht="12.75" hidden="1" customHeight="1">
      <c r="B438" s="99" t="s">
        <v>856</v>
      </c>
      <c r="C438" s="22" t="s">
        <v>857</v>
      </c>
      <c r="D438" s="22" t="s">
        <v>858</v>
      </c>
      <c r="E438" s="2" t="str">
        <f>VLOOKUP($C438,[1]Detail!$C:$AK,6,0)</f>
        <v>PMT4</v>
      </c>
      <c r="F438" s="2" t="str">
        <f>VLOOKUP($C438,[1]Detail!$C:$AK,7,0)</f>
        <v>PF</v>
      </c>
      <c r="G438" s="2" t="str">
        <f>VLOOKUP($C438,[1]Detail!$C:$AK,5,0)</f>
        <v>B</v>
      </c>
      <c r="J438" s="22" t="s">
        <v>585</v>
      </c>
      <c r="K438" s="23" t="s">
        <v>873</v>
      </c>
      <c r="L438" s="22" t="s">
        <v>111</v>
      </c>
      <c r="M438" s="51" t="str">
        <f t="shared" si="344"/>
        <v>JD81-18K580-BA</v>
      </c>
      <c r="O438" s="22">
        <v>1</v>
      </c>
      <c r="P438" s="22">
        <v>0</v>
      </c>
      <c r="Q438" s="22">
        <v>1</v>
      </c>
      <c r="R438" s="22">
        <v>0</v>
      </c>
      <c r="S438" s="22">
        <v>0</v>
      </c>
      <c r="T438" s="22">
        <v>0</v>
      </c>
      <c r="U438" s="22">
        <v>0</v>
      </c>
      <c r="V438" s="22">
        <v>0</v>
      </c>
      <c r="W438" s="64">
        <f t="shared" si="345"/>
        <v>0.28000000000000003</v>
      </c>
      <c r="Y438" s="8">
        <v>-17.39</v>
      </c>
      <c r="Z438" s="8">
        <v>-0.2</v>
      </c>
      <c r="AA438" s="8">
        <v>-0.4</v>
      </c>
      <c r="AB438" s="8">
        <v>0</v>
      </c>
      <c r="AC438" s="8">
        <v>0</v>
      </c>
      <c r="AD438" s="8">
        <f t="shared" si="346"/>
        <v>-17.989999999999998</v>
      </c>
      <c r="AE438" s="2" t="s">
        <v>91</v>
      </c>
      <c r="AG438" s="8">
        <v>-56800</v>
      </c>
      <c r="AH438" s="8">
        <v>-56800</v>
      </c>
      <c r="AI438" s="6"/>
      <c r="AJ438" s="70">
        <v>0</v>
      </c>
      <c r="AK438" s="70">
        <v>0</v>
      </c>
      <c r="AL438" s="72">
        <v>0</v>
      </c>
      <c r="AM438" s="22"/>
      <c r="AO438" s="22" t="s">
        <v>585</v>
      </c>
      <c r="AP438" s="23" t="s">
        <v>873</v>
      </c>
      <c r="AQ438" s="22" t="s">
        <v>111</v>
      </c>
      <c r="AR438" s="51" t="str">
        <f t="shared" si="326"/>
        <v>JD81-18K580-BA</v>
      </c>
      <c r="AS438" s="3"/>
      <c r="AT438" s="22">
        <v>1</v>
      </c>
      <c r="AU438" s="22">
        <v>0</v>
      </c>
      <c r="AV438" s="22">
        <v>1</v>
      </c>
      <c r="AW438" s="22">
        <v>0</v>
      </c>
      <c r="AX438" s="22">
        <v>0</v>
      </c>
      <c r="AY438" s="22">
        <v>0</v>
      </c>
      <c r="AZ438" s="22">
        <v>0</v>
      </c>
      <c r="BA438" s="22">
        <v>0</v>
      </c>
      <c r="BB438" s="64">
        <f t="shared" si="327"/>
        <v>0.28000000000000003</v>
      </c>
      <c r="BD438" s="60">
        <v>-17.39</v>
      </c>
      <c r="BE438" s="60">
        <v>-0.2</v>
      </c>
      <c r="BF438" s="95">
        <v>-0.4</v>
      </c>
      <c r="BG438" s="95">
        <v>0</v>
      </c>
      <c r="BH438" s="95">
        <v>0</v>
      </c>
      <c r="BI438" s="8">
        <f t="shared" si="328"/>
        <v>-17.989999999999998</v>
      </c>
      <c r="BJ438" s="2" t="s">
        <v>91</v>
      </c>
      <c r="BL438" s="70">
        <v>-56800</v>
      </c>
      <c r="BM438" s="70">
        <v>-56800</v>
      </c>
      <c r="BO438" s="70">
        <v>0</v>
      </c>
      <c r="BP438" s="70">
        <v>0</v>
      </c>
      <c r="BQ438" s="72">
        <v>0</v>
      </c>
      <c r="BS438" s="61">
        <f t="shared" si="339"/>
        <v>0</v>
      </c>
      <c r="BT438" s="61">
        <f t="shared" si="335"/>
        <v>0</v>
      </c>
      <c r="BU438" s="61">
        <f t="shared" si="336"/>
        <v>0</v>
      </c>
      <c r="BV438" s="61">
        <f t="shared" si="337"/>
        <v>0</v>
      </c>
      <c r="BW438" s="61">
        <f t="shared" si="337"/>
        <v>0</v>
      </c>
      <c r="BX438" s="61">
        <f t="shared" si="348"/>
        <v>0</v>
      </c>
      <c r="BY438" s="61" t="s">
        <v>91</v>
      </c>
      <c r="CA438" s="61">
        <f t="shared" si="330"/>
        <v>0</v>
      </c>
      <c r="CB438" s="61">
        <f t="shared" si="330"/>
        <v>0</v>
      </c>
      <c r="CC438" s="61">
        <f t="shared" si="330"/>
        <v>0</v>
      </c>
      <c r="CD438" s="61">
        <f t="shared" si="329"/>
        <v>0</v>
      </c>
      <c r="CE438" s="61">
        <f t="shared" si="329"/>
        <v>0</v>
      </c>
      <c r="CF438" s="61">
        <f t="shared" si="329"/>
        <v>0</v>
      </c>
      <c r="CG438" s="61">
        <f t="shared" si="329"/>
        <v>0</v>
      </c>
      <c r="CH438" s="61">
        <f t="shared" si="299"/>
        <v>0</v>
      </c>
      <c r="CI438" s="61">
        <f t="shared" si="310"/>
        <v>0</v>
      </c>
      <c r="CJ438" s="61"/>
      <c r="CK438" s="61">
        <f t="shared" si="349"/>
        <v>0</v>
      </c>
      <c r="CL438" s="61">
        <f t="shared" si="349"/>
        <v>0</v>
      </c>
      <c r="CM438" s="61">
        <f t="shared" si="349"/>
        <v>0</v>
      </c>
      <c r="CN438" s="61">
        <f t="shared" si="349"/>
        <v>0</v>
      </c>
      <c r="CO438" s="61">
        <f t="shared" si="349"/>
        <v>0</v>
      </c>
      <c r="CP438" s="61">
        <f t="shared" si="349"/>
        <v>0</v>
      </c>
      <c r="CQ438" s="61">
        <f t="shared" si="349"/>
        <v>0</v>
      </c>
      <c r="CR438" s="61">
        <f t="shared" si="343"/>
        <v>0</v>
      </c>
      <c r="CS438" s="61">
        <f t="shared" si="312"/>
        <v>0</v>
      </c>
      <c r="CT438" s="61">
        <f t="shared" si="313"/>
        <v>0</v>
      </c>
      <c r="CV438" s="61">
        <f t="shared" si="314"/>
        <v>0</v>
      </c>
      <c r="CW438" s="61">
        <f t="shared" si="298"/>
        <v>0</v>
      </c>
      <c r="CX438" s="61"/>
      <c r="CY438" s="61">
        <f t="shared" si="294"/>
        <v>0</v>
      </c>
      <c r="CZ438" s="61">
        <f t="shared" si="321"/>
        <v>0</v>
      </c>
      <c r="DA438" s="61">
        <f t="shared" si="321"/>
        <v>0</v>
      </c>
      <c r="DB438" s="2" t="s">
        <v>86</v>
      </c>
      <c r="DC438" s="2" t="s">
        <v>86</v>
      </c>
      <c r="DD438" s="2" t="s">
        <v>142</v>
      </c>
      <c r="DE438" s="2" t="s">
        <v>181</v>
      </c>
      <c r="DF438" s="3" t="s">
        <v>86</v>
      </c>
      <c r="DG438" s="62">
        <v>42893</v>
      </c>
      <c r="EC438" s="60" t="str">
        <f>VLOOKUP($M438,[1]Detail!$M:$BO,1,0)</f>
        <v>JD81-18K580-BA</v>
      </c>
      <c r="ED438" s="60">
        <f>VLOOKUP($M438,[1]Detail!$M:$BO,22,0)</f>
        <v>-17.989999999999998</v>
      </c>
      <c r="EE438" s="60">
        <f>VLOOKUP($M438,[1]Detail!$M:$BO,42,0)</f>
        <v>-56800</v>
      </c>
      <c r="EF438" s="60">
        <f>VLOOKUP($M438,[1]Detail!$M:$BO,45,0)</f>
        <v>0</v>
      </c>
      <c r="EH438" s="60">
        <f>ED438-AD438</f>
        <v>0</v>
      </c>
      <c r="EI438" s="60">
        <f>EE438-AG438</f>
        <v>0</v>
      </c>
      <c r="EJ438" s="60">
        <f t="shared" si="358"/>
        <v>0</v>
      </c>
    </row>
    <row r="439" spans="2:140" ht="12.75" hidden="1" customHeight="1">
      <c r="B439" s="99" t="s">
        <v>856</v>
      </c>
      <c r="C439" s="22" t="s">
        <v>857</v>
      </c>
      <c r="D439" s="22" t="s">
        <v>858</v>
      </c>
      <c r="E439" s="2" t="str">
        <f>VLOOKUP($C439,[1]Detail!$C:$AK,6,0)</f>
        <v>PMT4</v>
      </c>
      <c r="F439" s="2" t="str">
        <f>VLOOKUP($C439,[1]Detail!$C:$AK,7,0)</f>
        <v>PF</v>
      </c>
      <c r="G439" s="2" t="str">
        <f>VLOOKUP($C439,[1]Detail!$C:$AK,5,0)</f>
        <v>B</v>
      </c>
      <c r="J439" s="22" t="s">
        <v>585</v>
      </c>
      <c r="K439" s="23" t="s">
        <v>859</v>
      </c>
      <c r="L439" s="22" t="s">
        <v>113</v>
      </c>
      <c r="M439" s="51" t="str">
        <f t="shared" si="344"/>
        <v>JD81-8W005-CA</v>
      </c>
      <c r="O439" s="22">
        <v>0</v>
      </c>
      <c r="P439" s="22">
        <v>0</v>
      </c>
      <c r="Q439" s="22">
        <v>0</v>
      </c>
      <c r="R439" s="22">
        <v>0</v>
      </c>
      <c r="S439" s="22">
        <v>1</v>
      </c>
      <c r="T439" s="22">
        <v>1</v>
      </c>
      <c r="U439" s="22">
        <v>0</v>
      </c>
      <c r="V439" s="22">
        <v>1</v>
      </c>
      <c r="W439" s="64">
        <f t="shared" si="345"/>
        <v>0.28000000000000003</v>
      </c>
      <c r="Y439" s="8">
        <v>-32.909999999999997</v>
      </c>
      <c r="Z439" s="8">
        <v>-0.03</v>
      </c>
      <c r="AA439" s="8">
        <v>-0.06</v>
      </c>
      <c r="AB439" s="8">
        <v>0</v>
      </c>
      <c r="AC439" s="8">
        <v>0</v>
      </c>
      <c r="AD439" s="8">
        <f t="shared" si="346"/>
        <v>-33</v>
      </c>
      <c r="AE439" s="2" t="s">
        <v>91</v>
      </c>
      <c r="AG439" s="8">
        <v>-194000</v>
      </c>
      <c r="AH439" s="8">
        <v>-194000</v>
      </c>
      <c r="AI439" s="6"/>
      <c r="AJ439" s="70">
        <v>0</v>
      </c>
      <c r="AK439" s="70">
        <v>0</v>
      </c>
      <c r="AL439" s="72">
        <v>0</v>
      </c>
      <c r="AM439" s="22"/>
      <c r="AO439" s="22" t="s">
        <v>585</v>
      </c>
      <c r="AP439" s="23" t="s">
        <v>859</v>
      </c>
      <c r="AQ439" s="22" t="s">
        <v>113</v>
      </c>
      <c r="AR439" s="51" t="str">
        <f t="shared" si="326"/>
        <v>JD81-8W005-CA</v>
      </c>
      <c r="AS439" s="3"/>
      <c r="AT439" s="22">
        <v>0</v>
      </c>
      <c r="AU439" s="22">
        <v>0</v>
      </c>
      <c r="AV439" s="22">
        <v>0</v>
      </c>
      <c r="AW439" s="22">
        <v>0</v>
      </c>
      <c r="AX439" s="22">
        <v>1</v>
      </c>
      <c r="AY439" s="22">
        <v>1</v>
      </c>
      <c r="AZ439" s="22">
        <v>0</v>
      </c>
      <c r="BA439" s="22">
        <v>1</v>
      </c>
      <c r="BB439" s="64">
        <f t="shared" si="327"/>
        <v>0.28000000000000003</v>
      </c>
      <c r="BD439" s="60">
        <v>-32.909999999999997</v>
      </c>
      <c r="BE439" s="60">
        <v>-0.03</v>
      </c>
      <c r="BF439" s="95">
        <v>-0.06</v>
      </c>
      <c r="BG439" s="95">
        <v>0</v>
      </c>
      <c r="BH439" s="95">
        <v>0</v>
      </c>
      <c r="BI439" s="8">
        <f t="shared" si="328"/>
        <v>-33</v>
      </c>
      <c r="BJ439" s="2" t="s">
        <v>91</v>
      </c>
      <c r="BL439" s="70">
        <v>-194000</v>
      </c>
      <c r="BM439" s="70">
        <v>-194000</v>
      </c>
      <c r="BO439" s="70">
        <v>0</v>
      </c>
      <c r="BP439" s="70">
        <v>0</v>
      </c>
      <c r="BQ439" s="72">
        <v>0</v>
      </c>
      <c r="BS439" s="61">
        <f t="shared" si="339"/>
        <v>0</v>
      </c>
      <c r="BT439" s="61">
        <f t="shared" si="335"/>
        <v>0</v>
      </c>
      <c r="BU439" s="61">
        <f t="shared" si="336"/>
        <v>0</v>
      </c>
      <c r="BV439" s="61">
        <f t="shared" si="337"/>
        <v>0</v>
      </c>
      <c r="BW439" s="61">
        <f t="shared" si="337"/>
        <v>0</v>
      </c>
      <c r="BX439" s="61">
        <f t="shared" si="348"/>
        <v>0</v>
      </c>
      <c r="BY439" s="61" t="s">
        <v>91</v>
      </c>
      <c r="CA439" s="61">
        <f t="shared" si="330"/>
        <v>0</v>
      </c>
      <c r="CB439" s="61">
        <f t="shared" si="330"/>
        <v>0</v>
      </c>
      <c r="CC439" s="61">
        <f t="shared" si="330"/>
        <v>0</v>
      </c>
      <c r="CD439" s="61">
        <f t="shared" si="329"/>
        <v>0</v>
      </c>
      <c r="CE439" s="61">
        <f t="shared" si="329"/>
        <v>0</v>
      </c>
      <c r="CF439" s="61">
        <f t="shared" si="329"/>
        <v>0</v>
      </c>
      <c r="CG439" s="61">
        <f t="shared" si="329"/>
        <v>0</v>
      </c>
      <c r="CH439" s="61">
        <f t="shared" si="299"/>
        <v>0</v>
      </c>
      <c r="CI439" s="61">
        <f t="shared" si="310"/>
        <v>0</v>
      </c>
      <c r="CJ439" s="61"/>
      <c r="CK439" s="61">
        <f t="shared" si="349"/>
        <v>0</v>
      </c>
      <c r="CL439" s="61">
        <f t="shared" si="349"/>
        <v>0</v>
      </c>
      <c r="CM439" s="61">
        <f t="shared" si="349"/>
        <v>0</v>
      </c>
      <c r="CN439" s="61">
        <f t="shared" si="349"/>
        <v>0</v>
      </c>
      <c r="CO439" s="61">
        <f t="shared" si="349"/>
        <v>0</v>
      </c>
      <c r="CP439" s="61">
        <f t="shared" si="349"/>
        <v>0</v>
      </c>
      <c r="CQ439" s="61">
        <f t="shared" si="349"/>
        <v>0</v>
      </c>
      <c r="CR439" s="61">
        <f t="shared" si="343"/>
        <v>0</v>
      </c>
      <c r="CS439" s="61">
        <f t="shared" si="312"/>
        <v>0</v>
      </c>
      <c r="CT439" s="61">
        <f t="shared" si="313"/>
        <v>0</v>
      </c>
      <c r="CV439" s="61">
        <f t="shared" si="314"/>
        <v>0</v>
      </c>
      <c r="CW439" s="61">
        <f t="shared" si="298"/>
        <v>0</v>
      </c>
      <c r="CX439" s="61"/>
      <c r="CY439" s="61">
        <f t="shared" si="294"/>
        <v>0</v>
      </c>
      <c r="CZ439" s="61">
        <f t="shared" si="321"/>
        <v>0</v>
      </c>
      <c r="DA439" s="61">
        <f t="shared" si="321"/>
        <v>0</v>
      </c>
      <c r="DB439" s="2" t="s">
        <v>86</v>
      </c>
      <c r="DC439" s="2" t="s">
        <v>86</v>
      </c>
      <c r="DD439" s="2" t="s">
        <v>142</v>
      </c>
      <c r="DE439" s="2" t="s">
        <v>181</v>
      </c>
      <c r="DF439" s="3" t="s">
        <v>86</v>
      </c>
      <c r="DG439" s="62">
        <v>42893</v>
      </c>
      <c r="EC439" s="60" t="str">
        <f>VLOOKUP($M439,[1]Detail!$M:$BO,1,0)</f>
        <v>JD81-8W005-CA</v>
      </c>
      <c r="ED439" s="60">
        <f>VLOOKUP($M439,[1]Detail!$M:$BO,22,0)</f>
        <v>-33</v>
      </c>
      <c r="EE439" s="60">
        <f>VLOOKUP($M439,[1]Detail!$M:$BO,42,0)</f>
        <v>-194000</v>
      </c>
      <c r="EF439" s="60">
        <f>VLOOKUP($M439,[1]Detail!$M:$BO,45,0)</f>
        <v>0</v>
      </c>
      <c r="EH439" s="60">
        <f>ED439-AD439</f>
        <v>0</v>
      </c>
      <c r="EI439" s="60">
        <f>EE439-AG439</f>
        <v>0</v>
      </c>
      <c r="EJ439" s="60">
        <f t="shared" si="358"/>
        <v>0</v>
      </c>
    </row>
    <row r="440" spans="2:140" ht="12.75" hidden="1" customHeight="1">
      <c r="B440" s="99" t="s">
        <v>856</v>
      </c>
      <c r="C440" s="22" t="s">
        <v>857</v>
      </c>
      <c r="D440" s="22" t="s">
        <v>858</v>
      </c>
      <c r="E440" s="2" t="str">
        <f>VLOOKUP($C440,[1]Detail!$C:$AK,6,0)</f>
        <v>PMT4</v>
      </c>
      <c r="F440" s="2" t="str">
        <f>VLOOKUP($C440,[1]Detail!$C:$AK,7,0)</f>
        <v>PF</v>
      </c>
      <c r="G440" s="2" t="str">
        <f>VLOOKUP($C440,[1]Detail!$C:$AK,5,0)</f>
        <v>B</v>
      </c>
      <c r="J440" s="22" t="s">
        <v>585</v>
      </c>
      <c r="K440" s="23" t="s">
        <v>860</v>
      </c>
      <c r="L440" s="22" t="s">
        <v>113</v>
      </c>
      <c r="M440" s="51" t="str">
        <f t="shared" si="344"/>
        <v>JD81-8A365-CA</v>
      </c>
      <c r="O440" s="22">
        <v>0</v>
      </c>
      <c r="P440" s="22">
        <v>0</v>
      </c>
      <c r="Q440" s="22">
        <v>0</v>
      </c>
      <c r="R440" s="22">
        <v>0</v>
      </c>
      <c r="S440" s="22">
        <v>1</v>
      </c>
      <c r="T440" s="22">
        <v>1</v>
      </c>
      <c r="U440" s="22">
        <v>0</v>
      </c>
      <c r="V440" s="22">
        <v>1</v>
      </c>
      <c r="W440" s="64">
        <f t="shared" si="345"/>
        <v>0.28000000000000003</v>
      </c>
      <c r="Y440" s="8">
        <v>-26.65</v>
      </c>
      <c r="Z440" s="8">
        <v>-0.5</v>
      </c>
      <c r="AA440" s="8">
        <v>-1</v>
      </c>
      <c r="AB440" s="8">
        <v>0</v>
      </c>
      <c r="AC440" s="8">
        <v>0</v>
      </c>
      <c r="AD440" s="8">
        <f t="shared" si="346"/>
        <v>-28.15</v>
      </c>
      <c r="AE440" s="2" t="s">
        <v>91</v>
      </c>
      <c r="AG440" s="8">
        <v>-195400</v>
      </c>
      <c r="AH440" s="8">
        <v>-195400</v>
      </c>
      <c r="AI440" s="6"/>
      <c r="AJ440" s="70">
        <v>0</v>
      </c>
      <c r="AK440" s="70">
        <v>0</v>
      </c>
      <c r="AL440" s="72">
        <v>0</v>
      </c>
      <c r="AM440" s="22"/>
      <c r="AO440" s="22" t="s">
        <v>585</v>
      </c>
      <c r="AP440" s="23" t="s">
        <v>860</v>
      </c>
      <c r="AQ440" s="22" t="s">
        <v>113</v>
      </c>
      <c r="AR440" s="51" t="str">
        <f t="shared" si="326"/>
        <v>JD81-8A365-CA</v>
      </c>
      <c r="AS440" s="3"/>
      <c r="AT440" s="22">
        <v>0</v>
      </c>
      <c r="AU440" s="22">
        <v>0</v>
      </c>
      <c r="AV440" s="22">
        <v>0</v>
      </c>
      <c r="AW440" s="22">
        <v>0</v>
      </c>
      <c r="AX440" s="22">
        <v>1</v>
      </c>
      <c r="AY440" s="22">
        <v>1</v>
      </c>
      <c r="AZ440" s="22">
        <v>0</v>
      </c>
      <c r="BA440" s="22">
        <v>1</v>
      </c>
      <c r="BB440" s="64">
        <f t="shared" si="327"/>
        <v>0.28000000000000003</v>
      </c>
      <c r="BD440" s="60">
        <v>-26.65</v>
      </c>
      <c r="BE440" s="60">
        <v>-0.5</v>
      </c>
      <c r="BF440" s="95">
        <v>-1</v>
      </c>
      <c r="BG440" s="95">
        <v>0</v>
      </c>
      <c r="BH440" s="95">
        <v>0</v>
      </c>
      <c r="BI440" s="8">
        <f t="shared" ref="BI440" si="359">SUM(BD440:BH440)</f>
        <v>-28.15</v>
      </c>
      <c r="BJ440" s="2" t="s">
        <v>91</v>
      </c>
      <c r="BL440" s="70">
        <v>-195400</v>
      </c>
      <c r="BM440" s="70">
        <v>-195400</v>
      </c>
      <c r="BO440" s="70">
        <v>0</v>
      </c>
      <c r="BP440" s="70">
        <v>0</v>
      </c>
      <c r="BQ440" s="72">
        <v>0</v>
      </c>
      <c r="BS440" s="61">
        <f t="shared" si="339"/>
        <v>0</v>
      </c>
      <c r="BT440" s="61">
        <f t="shared" si="335"/>
        <v>0</v>
      </c>
      <c r="BU440" s="61">
        <f t="shared" si="336"/>
        <v>0</v>
      </c>
      <c r="BV440" s="61">
        <f t="shared" si="337"/>
        <v>0</v>
      </c>
      <c r="BW440" s="61">
        <f t="shared" si="337"/>
        <v>0</v>
      </c>
      <c r="BX440" s="61">
        <f t="shared" si="348"/>
        <v>0</v>
      </c>
      <c r="BY440" s="61" t="s">
        <v>91</v>
      </c>
      <c r="CA440" s="61">
        <f t="shared" si="330"/>
        <v>0</v>
      </c>
      <c r="CB440" s="61">
        <f t="shared" si="330"/>
        <v>0</v>
      </c>
      <c r="CC440" s="61">
        <f t="shared" si="330"/>
        <v>0</v>
      </c>
      <c r="CD440" s="61">
        <f t="shared" si="329"/>
        <v>0</v>
      </c>
      <c r="CE440" s="61">
        <f t="shared" si="329"/>
        <v>0</v>
      </c>
      <c r="CF440" s="61">
        <f t="shared" si="329"/>
        <v>0</v>
      </c>
      <c r="CG440" s="61">
        <f t="shared" si="329"/>
        <v>0</v>
      </c>
      <c r="CH440" s="61">
        <f t="shared" si="299"/>
        <v>0</v>
      </c>
      <c r="CI440" s="61">
        <f t="shared" si="310"/>
        <v>0</v>
      </c>
      <c r="CJ440" s="61"/>
      <c r="CK440" s="61">
        <f t="shared" si="349"/>
        <v>0</v>
      </c>
      <c r="CL440" s="61">
        <f t="shared" si="349"/>
        <v>0</v>
      </c>
      <c r="CM440" s="61">
        <f t="shared" si="349"/>
        <v>0</v>
      </c>
      <c r="CN440" s="61">
        <f t="shared" si="349"/>
        <v>0</v>
      </c>
      <c r="CO440" s="61">
        <f t="shared" si="349"/>
        <v>0</v>
      </c>
      <c r="CP440" s="61">
        <f t="shared" si="349"/>
        <v>0</v>
      </c>
      <c r="CQ440" s="61">
        <f t="shared" si="349"/>
        <v>0</v>
      </c>
      <c r="CR440" s="61">
        <f t="shared" si="343"/>
        <v>0</v>
      </c>
      <c r="CS440" s="61">
        <f t="shared" si="312"/>
        <v>0</v>
      </c>
      <c r="CT440" s="61">
        <f t="shared" si="313"/>
        <v>0</v>
      </c>
      <c r="CV440" s="61">
        <f t="shared" si="314"/>
        <v>0</v>
      </c>
      <c r="CW440" s="61">
        <f t="shared" ref="CW440" si="360">SUM(AH440)-SUM(BM440)</f>
        <v>0</v>
      </c>
      <c r="CX440" s="61"/>
      <c r="CY440" s="61">
        <f t="shared" ref="CY440" si="361">SUM(AJ440)-SUM(BO440)</f>
        <v>0</v>
      </c>
      <c r="CZ440" s="61">
        <f t="shared" si="321"/>
        <v>0</v>
      </c>
      <c r="DA440" s="61">
        <f t="shared" si="321"/>
        <v>0</v>
      </c>
      <c r="DB440" s="2" t="s">
        <v>86</v>
      </c>
      <c r="DC440" s="2" t="s">
        <v>86</v>
      </c>
      <c r="DD440" s="2" t="s">
        <v>142</v>
      </c>
      <c r="DE440" s="2" t="s">
        <v>181</v>
      </c>
      <c r="DF440" s="3" t="s">
        <v>86</v>
      </c>
      <c r="DG440" s="62">
        <v>42893</v>
      </c>
      <c r="EC440" s="60" t="str">
        <f>VLOOKUP($M440,[1]Detail!$M:$BO,1,0)</f>
        <v>JD81-8A365-CA</v>
      </c>
      <c r="ED440" s="60">
        <f>VLOOKUP($M440,[1]Detail!$M:$BO,22,0)</f>
        <v>-28.15</v>
      </c>
      <c r="EE440" s="60">
        <f>VLOOKUP($M440,[1]Detail!$M:$BO,42,0)</f>
        <v>-195400</v>
      </c>
      <c r="EF440" s="60">
        <f>VLOOKUP($M440,[1]Detail!$M:$BO,45,0)</f>
        <v>0</v>
      </c>
      <c r="EH440" s="60">
        <f>ED440-AD440</f>
        <v>0</v>
      </c>
      <c r="EI440" s="60">
        <f>EE440-AG440</f>
        <v>0</v>
      </c>
      <c r="EJ440" s="60">
        <f t="shared" si="358"/>
        <v>0</v>
      </c>
    </row>
    <row r="441" spans="2:140" ht="12.75" hidden="1" customHeight="1">
      <c r="B441" s="99" t="s">
        <v>856</v>
      </c>
      <c r="C441" s="22" t="s">
        <v>857</v>
      </c>
      <c r="D441" s="22" t="s">
        <v>858</v>
      </c>
      <c r="E441" s="2" t="str">
        <f>VLOOKUP($C441,[1]Detail!$C:$AK,6,0)</f>
        <v>PMT4</v>
      </c>
      <c r="F441" s="2" t="str">
        <f>VLOOKUP($C441,[1]Detail!$C:$AK,7,0)</f>
        <v>PF</v>
      </c>
      <c r="G441" s="2" t="str">
        <f>VLOOKUP($C441,[1]Detail!$C:$AK,5,0)</f>
        <v>B</v>
      </c>
      <c r="J441" s="22" t="s">
        <v>585</v>
      </c>
      <c r="K441" s="23" t="s">
        <v>867</v>
      </c>
      <c r="L441" s="22" t="s">
        <v>113</v>
      </c>
      <c r="M441" s="51" t="str">
        <f t="shared" si="344"/>
        <v>JD81-8B274-CA</v>
      </c>
      <c r="O441" s="22">
        <v>0</v>
      </c>
      <c r="P441" s="22">
        <v>0</v>
      </c>
      <c r="Q441" s="22">
        <v>0</v>
      </c>
      <c r="R441" s="22">
        <v>0</v>
      </c>
      <c r="S441" s="22">
        <v>1</v>
      </c>
      <c r="T441" s="22">
        <v>1</v>
      </c>
      <c r="U441" s="22">
        <v>0</v>
      </c>
      <c r="V441" s="22">
        <v>1</v>
      </c>
      <c r="W441" s="64">
        <f t="shared" si="345"/>
        <v>0.28000000000000003</v>
      </c>
      <c r="Y441" s="8">
        <v>-27.99</v>
      </c>
      <c r="Z441" s="8">
        <v>-0.5</v>
      </c>
      <c r="AA441" s="8">
        <v>-1</v>
      </c>
      <c r="AB441" s="8">
        <v>0</v>
      </c>
      <c r="AC441" s="8">
        <v>0</v>
      </c>
      <c r="AD441" s="8">
        <f t="shared" si="346"/>
        <v>-29.49</v>
      </c>
      <c r="AE441" s="2" t="s">
        <v>91</v>
      </c>
      <c r="AG441" s="8">
        <v>-352000</v>
      </c>
      <c r="AH441" s="8">
        <v>-352000</v>
      </c>
      <c r="AI441" s="6"/>
      <c r="AJ441" s="70">
        <v>0</v>
      </c>
      <c r="AK441" s="70">
        <v>0</v>
      </c>
      <c r="AL441" s="72">
        <v>0</v>
      </c>
      <c r="AM441" s="22"/>
      <c r="AO441" s="22" t="s">
        <v>585</v>
      </c>
      <c r="AP441" s="23" t="s">
        <v>867</v>
      </c>
      <c r="AQ441" s="22" t="s">
        <v>113</v>
      </c>
      <c r="AR441" s="51" t="str">
        <f t="shared" si="326"/>
        <v>JD81-8B274-CA</v>
      </c>
      <c r="AS441" s="3"/>
      <c r="AT441" s="22">
        <v>0</v>
      </c>
      <c r="AU441" s="22">
        <v>0</v>
      </c>
      <c r="AV441" s="22">
        <v>0</v>
      </c>
      <c r="AW441" s="22">
        <v>0</v>
      </c>
      <c r="AX441" s="22">
        <v>1</v>
      </c>
      <c r="AY441" s="22">
        <v>1</v>
      </c>
      <c r="AZ441" s="22">
        <v>0</v>
      </c>
      <c r="BA441" s="22">
        <v>1</v>
      </c>
      <c r="BB441" s="64">
        <f t="shared" si="327"/>
        <v>0.28000000000000003</v>
      </c>
      <c r="BD441" s="60">
        <v>-27.99</v>
      </c>
      <c r="BE441" s="60">
        <v>-0.5</v>
      </c>
      <c r="BF441" s="95">
        <v>-1</v>
      </c>
      <c r="BG441" s="95">
        <v>0</v>
      </c>
      <c r="BH441" s="95">
        <v>0</v>
      </c>
      <c r="BI441" s="8">
        <f t="shared" si="328"/>
        <v>-29.49</v>
      </c>
      <c r="BJ441" s="2" t="s">
        <v>91</v>
      </c>
      <c r="BL441" s="70">
        <v>-352000</v>
      </c>
      <c r="BM441" s="70">
        <v>-352000</v>
      </c>
      <c r="BO441" s="70">
        <v>0</v>
      </c>
      <c r="BP441" s="70">
        <v>0</v>
      </c>
      <c r="BQ441" s="72">
        <v>0</v>
      </c>
      <c r="BS441" s="61">
        <f t="shared" si="339"/>
        <v>0</v>
      </c>
      <c r="BT441" s="61">
        <f t="shared" si="335"/>
        <v>0</v>
      </c>
      <c r="BU441" s="61">
        <f t="shared" si="336"/>
        <v>0</v>
      </c>
      <c r="BV441" s="61">
        <f t="shared" si="337"/>
        <v>0</v>
      </c>
      <c r="BW441" s="61">
        <f t="shared" si="337"/>
        <v>0</v>
      </c>
      <c r="BX441" s="61">
        <f t="shared" si="348"/>
        <v>0</v>
      </c>
      <c r="BY441" s="61" t="s">
        <v>91</v>
      </c>
      <c r="CA441" s="61">
        <f t="shared" si="330"/>
        <v>0</v>
      </c>
      <c r="CB441" s="61">
        <f t="shared" si="330"/>
        <v>0</v>
      </c>
      <c r="CC441" s="61">
        <f t="shared" si="330"/>
        <v>0</v>
      </c>
      <c r="CD441" s="61">
        <f t="shared" si="329"/>
        <v>0</v>
      </c>
      <c r="CE441" s="61">
        <f t="shared" si="329"/>
        <v>0</v>
      </c>
      <c r="CF441" s="61">
        <f t="shared" si="329"/>
        <v>0</v>
      </c>
      <c r="CG441" s="61">
        <f t="shared" si="329"/>
        <v>0</v>
      </c>
      <c r="CH441" s="61">
        <f t="shared" si="299"/>
        <v>0</v>
      </c>
      <c r="CI441" s="61">
        <f t="shared" si="310"/>
        <v>0</v>
      </c>
      <c r="CJ441" s="61"/>
      <c r="CK441" s="61">
        <f t="shared" si="349"/>
        <v>0</v>
      </c>
      <c r="CL441" s="61">
        <f t="shared" si="349"/>
        <v>0</v>
      </c>
      <c r="CM441" s="61">
        <f t="shared" si="349"/>
        <v>0</v>
      </c>
      <c r="CN441" s="61">
        <f t="shared" si="349"/>
        <v>0</v>
      </c>
      <c r="CO441" s="61">
        <f t="shared" si="349"/>
        <v>0</v>
      </c>
      <c r="CP441" s="61">
        <f t="shared" si="349"/>
        <v>0</v>
      </c>
      <c r="CQ441" s="61">
        <f t="shared" si="349"/>
        <v>0</v>
      </c>
      <c r="CR441" s="61">
        <f t="shared" si="343"/>
        <v>0</v>
      </c>
      <c r="CS441" s="61">
        <f t="shared" si="312"/>
        <v>0</v>
      </c>
      <c r="CT441" s="61">
        <f t="shared" si="313"/>
        <v>0</v>
      </c>
      <c r="CV441" s="61">
        <f t="shared" si="314"/>
        <v>0</v>
      </c>
      <c r="CW441" s="61">
        <f t="shared" si="298"/>
        <v>0</v>
      </c>
      <c r="CX441" s="61"/>
      <c r="CY441" s="61">
        <f t="shared" si="294"/>
        <v>0</v>
      </c>
      <c r="CZ441" s="61">
        <f t="shared" si="321"/>
        <v>0</v>
      </c>
      <c r="DA441" s="61">
        <f t="shared" si="321"/>
        <v>0</v>
      </c>
      <c r="DB441" s="2" t="s">
        <v>85</v>
      </c>
      <c r="DC441" s="2" t="s">
        <v>86</v>
      </c>
      <c r="DD441" s="2" t="s">
        <v>142</v>
      </c>
      <c r="DE441" s="2" t="s">
        <v>181</v>
      </c>
      <c r="DF441" s="3" t="s">
        <v>86</v>
      </c>
      <c r="DG441" s="62">
        <v>42893</v>
      </c>
      <c r="EC441" s="60"/>
      <c r="ED441" s="60"/>
      <c r="EE441" s="60"/>
      <c r="EF441" s="60"/>
    </row>
    <row r="442" spans="2:140" ht="12.75" hidden="1" customHeight="1">
      <c r="B442" s="99" t="s">
        <v>868</v>
      </c>
      <c r="C442" s="22" t="s">
        <v>857</v>
      </c>
      <c r="D442" s="22" t="s">
        <v>858</v>
      </c>
      <c r="E442" s="2" t="str">
        <f>VLOOKUP($C442,[1]Detail!$C:$AK,6,0)</f>
        <v>PMT4</v>
      </c>
      <c r="F442" s="2" t="str">
        <f>VLOOKUP($C442,[1]Detail!$C:$AK,7,0)</f>
        <v>PF</v>
      </c>
      <c r="G442" s="2" t="str">
        <f>VLOOKUP($C442,[1]Detail!$C:$AK,5,0)</f>
        <v>B</v>
      </c>
      <c r="J442" s="22" t="s">
        <v>585</v>
      </c>
      <c r="K442" s="23" t="s">
        <v>867</v>
      </c>
      <c r="L442" s="22" t="s">
        <v>122</v>
      </c>
      <c r="M442" s="51" t="str">
        <f t="shared" si="344"/>
        <v>JD81-8B274-CB</v>
      </c>
      <c r="O442" s="22">
        <v>0</v>
      </c>
      <c r="P442" s="22">
        <v>0</v>
      </c>
      <c r="Q442" s="22">
        <v>0</v>
      </c>
      <c r="R442" s="22">
        <v>0</v>
      </c>
      <c r="S442" s="22">
        <v>1</v>
      </c>
      <c r="T442" s="22">
        <v>1</v>
      </c>
      <c r="U442" s="22">
        <v>0</v>
      </c>
      <c r="V442" s="22">
        <v>1</v>
      </c>
      <c r="W442" s="64">
        <f t="shared" si="345"/>
        <v>0.28000000000000003</v>
      </c>
      <c r="Y442" s="8">
        <v>-27.99</v>
      </c>
      <c r="Z442" s="8">
        <v>-0.5</v>
      </c>
      <c r="AA442" s="8">
        <v>-1</v>
      </c>
      <c r="AB442" s="8">
        <v>0</v>
      </c>
      <c r="AC442" s="8">
        <v>0</v>
      </c>
      <c r="AD442" s="8">
        <f t="shared" si="346"/>
        <v>-29.49</v>
      </c>
      <c r="AE442" s="2" t="s">
        <v>91</v>
      </c>
      <c r="AG442" s="8">
        <f>-352000-8000</f>
        <v>-360000</v>
      </c>
      <c r="AH442" s="8">
        <f>-352000-8000</f>
        <v>-360000</v>
      </c>
      <c r="AI442" s="6"/>
      <c r="AJ442" s="70">
        <v>0</v>
      </c>
      <c r="AK442" s="70">
        <v>0</v>
      </c>
      <c r="AL442" s="72">
        <v>0</v>
      </c>
      <c r="AM442" s="22"/>
      <c r="AO442" s="22" t="s">
        <v>585</v>
      </c>
      <c r="AP442" s="23" t="s">
        <v>867</v>
      </c>
      <c r="AQ442" s="22" t="s">
        <v>113</v>
      </c>
      <c r="AR442" s="51" t="str">
        <f t="shared" si="326"/>
        <v>JD81-8B274-CA</v>
      </c>
      <c r="AS442" s="3"/>
      <c r="AT442" s="22">
        <v>0</v>
      </c>
      <c r="AU442" s="22">
        <v>0</v>
      </c>
      <c r="AV442" s="22">
        <v>0</v>
      </c>
      <c r="AW442" s="22">
        <v>0</v>
      </c>
      <c r="AX442" s="22">
        <v>1</v>
      </c>
      <c r="AY442" s="22">
        <v>1</v>
      </c>
      <c r="AZ442" s="22">
        <v>0</v>
      </c>
      <c r="BA442" s="22">
        <v>1</v>
      </c>
      <c r="BB442" s="64">
        <f t="shared" si="327"/>
        <v>0.28000000000000003</v>
      </c>
      <c r="BD442" s="60">
        <v>-27.99</v>
      </c>
      <c r="BE442" s="60">
        <v>-0.5</v>
      </c>
      <c r="BF442" s="95">
        <v>-1</v>
      </c>
      <c r="BG442" s="95">
        <v>0</v>
      </c>
      <c r="BH442" s="95">
        <v>0</v>
      </c>
      <c r="BI442" s="8">
        <f t="shared" ref="BI442" si="362">SUM(BD442:BH442)</f>
        <v>-29.49</v>
      </c>
      <c r="BJ442" s="2" t="s">
        <v>91</v>
      </c>
      <c r="BL442" s="70">
        <v>-352000</v>
      </c>
      <c r="BM442" s="70">
        <v>-352000</v>
      </c>
      <c r="BO442" s="70">
        <v>0</v>
      </c>
      <c r="BP442" s="70">
        <v>0</v>
      </c>
      <c r="BQ442" s="72">
        <v>0</v>
      </c>
      <c r="BS442" s="61">
        <f t="shared" si="339"/>
        <v>0</v>
      </c>
      <c r="BT442" s="61">
        <f t="shared" si="335"/>
        <v>0</v>
      </c>
      <c r="BU442" s="61">
        <f t="shared" si="336"/>
        <v>0</v>
      </c>
      <c r="BV442" s="61">
        <f t="shared" si="337"/>
        <v>0</v>
      </c>
      <c r="BW442" s="61">
        <f t="shared" si="337"/>
        <v>0</v>
      </c>
      <c r="BX442" s="61">
        <f t="shared" si="348"/>
        <v>0</v>
      </c>
      <c r="BY442" s="61" t="s">
        <v>91</v>
      </c>
      <c r="CA442" s="61">
        <f t="shared" si="330"/>
        <v>0</v>
      </c>
      <c r="CB442" s="61">
        <f t="shared" si="330"/>
        <v>0</v>
      </c>
      <c r="CC442" s="61">
        <f t="shared" si="330"/>
        <v>0</v>
      </c>
      <c r="CD442" s="61">
        <f t="shared" si="329"/>
        <v>0</v>
      </c>
      <c r="CE442" s="61">
        <f t="shared" si="329"/>
        <v>0</v>
      </c>
      <c r="CF442" s="61">
        <f t="shared" si="329"/>
        <v>0</v>
      </c>
      <c r="CG442" s="61">
        <f t="shared" si="329"/>
        <v>0</v>
      </c>
      <c r="CH442" s="61">
        <f t="shared" si="299"/>
        <v>0</v>
      </c>
      <c r="CI442" s="61">
        <f t="shared" si="310"/>
        <v>0</v>
      </c>
      <c r="CJ442" s="61"/>
      <c r="CK442" s="61">
        <f t="shared" si="349"/>
        <v>0</v>
      </c>
      <c r="CL442" s="61">
        <f t="shared" si="349"/>
        <v>0</v>
      </c>
      <c r="CM442" s="61">
        <f t="shared" si="349"/>
        <v>0</v>
      </c>
      <c r="CN442" s="61">
        <f t="shared" si="349"/>
        <v>0</v>
      </c>
      <c r="CO442" s="61">
        <f t="shared" si="349"/>
        <v>0</v>
      </c>
      <c r="CP442" s="61">
        <f t="shared" si="349"/>
        <v>0</v>
      </c>
      <c r="CQ442" s="61">
        <f t="shared" si="349"/>
        <v>0</v>
      </c>
      <c r="CR442" s="61">
        <f t="shared" si="343"/>
        <v>0</v>
      </c>
      <c r="CS442" s="61">
        <f t="shared" si="312"/>
        <v>0</v>
      </c>
      <c r="CT442" s="61">
        <f t="shared" si="313"/>
        <v>0</v>
      </c>
      <c r="CV442" s="61">
        <f t="shared" si="314"/>
        <v>-8000</v>
      </c>
      <c r="CW442" s="61">
        <f t="shared" ref="CW442" si="363">SUM(AH442)-SUM(BM442)</f>
        <v>-8000</v>
      </c>
      <c r="CX442" s="61"/>
      <c r="CY442" s="61">
        <f t="shared" ref="CY442" si="364">SUM(AJ442)-SUM(BO442)</f>
        <v>0</v>
      </c>
      <c r="CZ442" s="61">
        <f t="shared" si="321"/>
        <v>0</v>
      </c>
      <c r="DA442" s="61">
        <f t="shared" si="321"/>
        <v>0</v>
      </c>
      <c r="DB442" s="2" t="s">
        <v>86</v>
      </c>
      <c r="DC442" s="2" t="s">
        <v>86</v>
      </c>
      <c r="DD442" s="2" t="s">
        <v>142</v>
      </c>
      <c r="DE442" s="2" t="s">
        <v>106</v>
      </c>
      <c r="DG442" s="62"/>
      <c r="DZ442" s="3" t="e">
        <v>#N/A</v>
      </c>
      <c r="EC442" s="60" t="str">
        <f>VLOOKUP($M442,[1]Detail!$M:$BO,1,0)</f>
        <v>JD81-8B274-CB</v>
      </c>
      <c r="ED442" s="60">
        <f>VLOOKUP($M442,[1]Detail!$M:$BO,22,0)</f>
        <v>-29.49</v>
      </c>
      <c r="EE442" s="60">
        <f>VLOOKUP($M442,[1]Detail!$M:$BO,42,0)</f>
        <v>-360000</v>
      </c>
      <c r="EF442" s="60">
        <f>VLOOKUP($M442,[1]Detail!$M:$BO,45,0)</f>
        <v>0</v>
      </c>
      <c r="EH442" s="60">
        <f>ED442-AD442</f>
        <v>0</v>
      </c>
      <c r="EI442" s="60">
        <f>EE442-AG442</f>
        <v>0</v>
      </c>
      <c r="EJ442" s="60">
        <f>EF442-AJ442</f>
        <v>0</v>
      </c>
    </row>
    <row r="443" spans="2:140" ht="12.75" hidden="1" customHeight="1">
      <c r="B443" s="99" t="s">
        <v>856</v>
      </c>
      <c r="C443" s="22" t="s">
        <v>857</v>
      </c>
      <c r="D443" s="22" t="s">
        <v>858</v>
      </c>
      <c r="E443" s="2" t="str">
        <f>VLOOKUP($C443,[1]Detail!$C:$AK,6,0)</f>
        <v>PMT4</v>
      </c>
      <c r="F443" s="2" t="str">
        <f>VLOOKUP($C443,[1]Detail!$C:$AK,7,0)</f>
        <v>PF</v>
      </c>
      <c r="G443" s="2" t="str">
        <f>VLOOKUP($C443,[1]Detail!$C:$AK,5,0)</f>
        <v>B</v>
      </c>
      <c r="J443" s="22" t="s">
        <v>585</v>
      </c>
      <c r="K443" s="23" t="s">
        <v>869</v>
      </c>
      <c r="L443" s="22" t="s">
        <v>113</v>
      </c>
      <c r="M443" s="51" t="str">
        <f t="shared" si="344"/>
        <v>JD81-8B273-CA</v>
      </c>
      <c r="O443" s="94">
        <v>0</v>
      </c>
      <c r="P443" s="94">
        <v>0</v>
      </c>
      <c r="Q443" s="94">
        <v>0</v>
      </c>
      <c r="R443" s="94">
        <v>0</v>
      </c>
      <c r="S443" s="94">
        <v>1</v>
      </c>
      <c r="T443" s="94">
        <v>1</v>
      </c>
      <c r="U443" s="94">
        <v>0</v>
      </c>
      <c r="V443" s="94">
        <v>1</v>
      </c>
      <c r="W443" s="64">
        <f t="shared" si="345"/>
        <v>0.28000000000000003</v>
      </c>
      <c r="Y443" s="8">
        <v>-51.42</v>
      </c>
      <c r="Z443" s="8">
        <v>-0.6</v>
      </c>
      <c r="AA443" s="8">
        <v>-1.2</v>
      </c>
      <c r="AB443" s="8">
        <v>0</v>
      </c>
      <c r="AC443" s="8">
        <v>0</v>
      </c>
      <c r="AD443" s="8">
        <f t="shared" si="346"/>
        <v>-53.220000000000006</v>
      </c>
      <c r="AE443" s="2" t="s">
        <v>91</v>
      </c>
      <c r="AG443" s="8">
        <v>-216400</v>
      </c>
      <c r="AH443" s="8">
        <v>-216400</v>
      </c>
      <c r="AI443" s="6"/>
      <c r="AJ443" s="70">
        <v>0</v>
      </c>
      <c r="AK443" s="70">
        <v>0</v>
      </c>
      <c r="AL443" s="72">
        <v>0</v>
      </c>
      <c r="AM443" s="22"/>
      <c r="AO443" s="22" t="s">
        <v>585</v>
      </c>
      <c r="AP443" s="23" t="s">
        <v>869</v>
      </c>
      <c r="AQ443" s="22" t="s">
        <v>113</v>
      </c>
      <c r="AR443" s="51" t="str">
        <f t="shared" si="326"/>
        <v>JD81-8B273-CA</v>
      </c>
      <c r="AS443" s="3"/>
      <c r="AT443" s="22">
        <v>0</v>
      </c>
      <c r="AU443" s="22">
        <v>0</v>
      </c>
      <c r="AV443" s="22">
        <v>0</v>
      </c>
      <c r="AW443" s="22">
        <v>0</v>
      </c>
      <c r="AX443" s="22">
        <v>1</v>
      </c>
      <c r="AY443" s="22">
        <v>1</v>
      </c>
      <c r="AZ443" s="22">
        <v>0</v>
      </c>
      <c r="BA443" s="22">
        <v>1</v>
      </c>
      <c r="BB443" s="64">
        <f t="shared" si="327"/>
        <v>0.28000000000000003</v>
      </c>
      <c r="BD443" s="60">
        <v>-51.42</v>
      </c>
      <c r="BE443" s="60">
        <v>-0.6</v>
      </c>
      <c r="BF443" s="95">
        <v>-1.2</v>
      </c>
      <c r="BG443" s="95">
        <v>0</v>
      </c>
      <c r="BH443" s="95">
        <v>0</v>
      </c>
      <c r="BI443" s="8">
        <f t="shared" si="328"/>
        <v>-53.220000000000006</v>
      </c>
      <c r="BJ443" s="2" t="s">
        <v>91</v>
      </c>
      <c r="BL443" s="70">
        <v>-216400</v>
      </c>
      <c r="BM443" s="70">
        <v>-216400</v>
      </c>
      <c r="BO443" s="70">
        <v>0</v>
      </c>
      <c r="BP443" s="70">
        <v>0</v>
      </c>
      <c r="BQ443" s="72">
        <v>0</v>
      </c>
      <c r="BS443" s="61">
        <f t="shared" si="339"/>
        <v>0</v>
      </c>
      <c r="BT443" s="61">
        <f t="shared" si="335"/>
        <v>0</v>
      </c>
      <c r="BU443" s="61">
        <f t="shared" si="336"/>
        <v>0</v>
      </c>
      <c r="BV443" s="61">
        <f t="shared" si="337"/>
        <v>0</v>
      </c>
      <c r="BW443" s="61">
        <f t="shared" si="337"/>
        <v>0</v>
      </c>
      <c r="BX443" s="61">
        <f t="shared" si="348"/>
        <v>0</v>
      </c>
      <c r="BY443" s="61" t="s">
        <v>91</v>
      </c>
      <c r="CA443" s="61">
        <f t="shared" si="330"/>
        <v>0</v>
      </c>
      <c r="CB443" s="61">
        <f t="shared" si="330"/>
        <v>0</v>
      </c>
      <c r="CC443" s="61">
        <f t="shared" si="330"/>
        <v>0</v>
      </c>
      <c r="CD443" s="61">
        <f t="shared" si="329"/>
        <v>0</v>
      </c>
      <c r="CE443" s="61">
        <f t="shared" si="329"/>
        <v>0</v>
      </c>
      <c r="CF443" s="61">
        <f t="shared" si="329"/>
        <v>0</v>
      </c>
      <c r="CG443" s="61">
        <f t="shared" si="329"/>
        <v>0</v>
      </c>
      <c r="CH443" s="61">
        <f t="shared" si="299"/>
        <v>0</v>
      </c>
      <c r="CI443" s="61">
        <f t="shared" si="310"/>
        <v>0</v>
      </c>
      <c r="CJ443" s="61"/>
      <c r="CK443" s="61">
        <f t="shared" si="349"/>
        <v>0</v>
      </c>
      <c r="CL443" s="61">
        <f t="shared" si="349"/>
        <v>0</v>
      </c>
      <c r="CM443" s="61">
        <f t="shared" si="349"/>
        <v>0</v>
      </c>
      <c r="CN443" s="61">
        <f t="shared" si="349"/>
        <v>0</v>
      </c>
      <c r="CO443" s="61">
        <f t="shared" si="349"/>
        <v>0</v>
      </c>
      <c r="CP443" s="61">
        <f t="shared" si="349"/>
        <v>0</v>
      </c>
      <c r="CQ443" s="61">
        <f t="shared" si="349"/>
        <v>0</v>
      </c>
      <c r="CR443" s="61">
        <f t="shared" si="343"/>
        <v>0</v>
      </c>
      <c r="CS443" s="61">
        <f t="shared" si="312"/>
        <v>0</v>
      </c>
      <c r="CT443" s="61">
        <f t="shared" si="313"/>
        <v>0</v>
      </c>
      <c r="CV443" s="61">
        <f t="shared" si="314"/>
        <v>0</v>
      </c>
      <c r="CW443" s="61">
        <f t="shared" si="298"/>
        <v>0</v>
      </c>
      <c r="CX443" s="61"/>
      <c r="CY443" s="61">
        <f t="shared" si="294"/>
        <v>0</v>
      </c>
      <c r="CZ443" s="61">
        <f t="shared" si="321"/>
        <v>0</v>
      </c>
      <c r="DA443" s="61">
        <f t="shared" si="321"/>
        <v>0</v>
      </c>
      <c r="DB443" s="2" t="s">
        <v>85</v>
      </c>
      <c r="DC443" s="2" t="s">
        <v>86</v>
      </c>
      <c r="DD443" s="2" t="s">
        <v>142</v>
      </c>
      <c r="DE443" s="2" t="s">
        <v>181</v>
      </c>
      <c r="DF443" s="3" t="s">
        <v>86</v>
      </c>
      <c r="DG443" s="62">
        <v>42893</v>
      </c>
      <c r="EC443" s="60"/>
      <c r="ED443" s="60"/>
      <c r="EE443" s="60"/>
      <c r="EF443" s="60"/>
    </row>
    <row r="444" spans="2:140" ht="12.75" hidden="1" customHeight="1">
      <c r="B444" s="99" t="s">
        <v>856</v>
      </c>
      <c r="C444" s="22" t="s">
        <v>857</v>
      </c>
      <c r="D444" s="22" t="s">
        <v>858</v>
      </c>
      <c r="E444" s="2" t="str">
        <f>VLOOKUP($C444,[1]Detail!$C:$AK,6,0)</f>
        <v>PMT4</v>
      </c>
      <c r="F444" s="2" t="str">
        <f>VLOOKUP($C444,[1]Detail!$C:$AK,7,0)</f>
        <v>PF</v>
      </c>
      <c r="G444" s="2" t="str">
        <f>VLOOKUP($C444,[1]Detail!$C:$AK,5,0)</f>
        <v>B</v>
      </c>
      <c r="J444" s="22" t="s">
        <v>585</v>
      </c>
      <c r="K444" s="23" t="s">
        <v>869</v>
      </c>
      <c r="L444" s="22" t="s">
        <v>122</v>
      </c>
      <c r="M444" s="51" t="str">
        <f t="shared" si="344"/>
        <v>JD81-8B273-CB</v>
      </c>
      <c r="O444" s="94">
        <v>0</v>
      </c>
      <c r="P444" s="94">
        <v>0</v>
      </c>
      <c r="Q444" s="94">
        <v>0</v>
      </c>
      <c r="R444" s="94">
        <v>0</v>
      </c>
      <c r="S444" s="94">
        <v>1</v>
      </c>
      <c r="T444" s="94">
        <v>1</v>
      </c>
      <c r="U444" s="94">
        <v>0</v>
      </c>
      <c r="V444" s="94">
        <v>1</v>
      </c>
      <c r="W444" s="64">
        <f t="shared" si="345"/>
        <v>0.28000000000000003</v>
      </c>
      <c r="Y444" s="8">
        <v>-51.42</v>
      </c>
      <c r="Z444" s="8">
        <v>-0.6</v>
      </c>
      <c r="AA444" s="8">
        <v>-1.2</v>
      </c>
      <c r="AB444" s="8">
        <v>0</v>
      </c>
      <c r="AC444" s="8">
        <v>0</v>
      </c>
      <c r="AD444" s="8">
        <f t="shared" si="346"/>
        <v>-53.220000000000006</v>
      </c>
      <c r="AE444" s="2" t="s">
        <v>91</v>
      </c>
      <c r="AG444" s="8">
        <f>-216400-5000</f>
        <v>-221400</v>
      </c>
      <c r="AH444" s="8">
        <f>-216400-5000</f>
        <v>-221400</v>
      </c>
      <c r="AI444" s="6"/>
      <c r="AJ444" s="70">
        <v>0</v>
      </c>
      <c r="AK444" s="70">
        <v>0</v>
      </c>
      <c r="AL444" s="72">
        <v>0</v>
      </c>
      <c r="AM444" s="22"/>
      <c r="AO444" s="22" t="s">
        <v>585</v>
      </c>
      <c r="AP444" s="23" t="s">
        <v>869</v>
      </c>
      <c r="AQ444" s="22" t="s">
        <v>113</v>
      </c>
      <c r="AR444" s="51" t="str">
        <f t="shared" si="326"/>
        <v>JD81-8B273-CA</v>
      </c>
      <c r="AS444" s="3"/>
      <c r="AT444" s="22">
        <v>0</v>
      </c>
      <c r="AU444" s="22">
        <v>0</v>
      </c>
      <c r="AV444" s="22">
        <v>0</v>
      </c>
      <c r="AW444" s="22">
        <v>0</v>
      </c>
      <c r="AX444" s="22">
        <v>1</v>
      </c>
      <c r="AY444" s="22">
        <v>1</v>
      </c>
      <c r="AZ444" s="22">
        <v>0</v>
      </c>
      <c r="BA444" s="22">
        <v>1</v>
      </c>
      <c r="BB444" s="64">
        <f t="shared" si="327"/>
        <v>0.28000000000000003</v>
      </c>
      <c r="BD444" s="8">
        <v>-51.42</v>
      </c>
      <c r="BE444" s="8">
        <v>-0.6</v>
      </c>
      <c r="BF444" s="8">
        <v>-1.2</v>
      </c>
      <c r="BG444" s="8">
        <v>0</v>
      </c>
      <c r="BH444" s="8">
        <v>0</v>
      </c>
      <c r="BI444" s="8">
        <f t="shared" ref="BI444" si="365">SUM(BD444:BH444)</f>
        <v>-53.220000000000006</v>
      </c>
      <c r="BJ444" s="2" t="s">
        <v>91</v>
      </c>
      <c r="BL444" s="70">
        <v>-216400</v>
      </c>
      <c r="BM444" s="70">
        <v>-216400</v>
      </c>
      <c r="BO444" s="70">
        <v>0</v>
      </c>
      <c r="BP444" s="70">
        <v>0</v>
      </c>
      <c r="BQ444" s="72">
        <v>0</v>
      </c>
      <c r="BS444" s="61">
        <f t="shared" si="339"/>
        <v>0</v>
      </c>
      <c r="BT444" s="61">
        <f t="shared" si="335"/>
        <v>0</v>
      </c>
      <c r="BU444" s="61">
        <f t="shared" si="336"/>
        <v>0</v>
      </c>
      <c r="BV444" s="61">
        <f t="shared" si="337"/>
        <v>0</v>
      </c>
      <c r="BW444" s="61">
        <f t="shared" si="337"/>
        <v>0</v>
      </c>
      <c r="BX444" s="61">
        <f t="shared" si="348"/>
        <v>0</v>
      </c>
      <c r="BY444" s="61" t="s">
        <v>91</v>
      </c>
      <c r="CA444" s="61">
        <f t="shared" si="330"/>
        <v>0</v>
      </c>
      <c r="CB444" s="61">
        <f t="shared" si="330"/>
        <v>0</v>
      </c>
      <c r="CC444" s="61">
        <f t="shared" si="330"/>
        <v>0</v>
      </c>
      <c r="CD444" s="61">
        <f t="shared" si="329"/>
        <v>0</v>
      </c>
      <c r="CE444" s="61">
        <f t="shared" si="329"/>
        <v>0</v>
      </c>
      <c r="CF444" s="61">
        <f t="shared" si="329"/>
        <v>0</v>
      </c>
      <c r="CG444" s="61">
        <f t="shared" si="329"/>
        <v>0</v>
      </c>
      <c r="CH444" s="61">
        <f t="shared" si="299"/>
        <v>0</v>
      </c>
      <c r="CI444" s="61">
        <f t="shared" si="310"/>
        <v>0</v>
      </c>
      <c r="CJ444" s="61"/>
      <c r="CK444" s="61">
        <f t="shared" si="349"/>
        <v>0</v>
      </c>
      <c r="CL444" s="61">
        <f t="shared" si="349"/>
        <v>0</v>
      </c>
      <c r="CM444" s="61">
        <f t="shared" si="349"/>
        <v>0</v>
      </c>
      <c r="CN444" s="61">
        <f t="shared" si="349"/>
        <v>0</v>
      </c>
      <c r="CO444" s="61">
        <f t="shared" si="349"/>
        <v>0</v>
      </c>
      <c r="CP444" s="61">
        <f t="shared" si="349"/>
        <v>0</v>
      </c>
      <c r="CQ444" s="61">
        <f t="shared" si="349"/>
        <v>0</v>
      </c>
      <c r="CR444" s="61">
        <f t="shared" si="343"/>
        <v>0</v>
      </c>
      <c r="CS444" s="61">
        <f t="shared" si="312"/>
        <v>0</v>
      </c>
      <c r="CT444" s="61">
        <f t="shared" si="313"/>
        <v>0</v>
      </c>
      <c r="CV444" s="61">
        <f t="shared" si="314"/>
        <v>-5000</v>
      </c>
      <c r="CW444" s="61">
        <f t="shared" ref="CW444" si="366">SUM(AH444)-SUM(BM444)</f>
        <v>-5000</v>
      </c>
      <c r="CX444" s="61"/>
      <c r="CY444" s="61">
        <f t="shared" ref="CY444" si="367">SUM(AJ444)-SUM(BO444)</f>
        <v>0</v>
      </c>
      <c r="CZ444" s="61">
        <f t="shared" si="321"/>
        <v>0</v>
      </c>
      <c r="DA444" s="61">
        <f t="shared" si="321"/>
        <v>0</v>
      </c>
      <c r="DB444" s="2" t="s">
        <v>85</v>
      </c>
      <c r="DC444" s="2" t="s">
        <v>86</v>
      </c>
      <c r="DD444" s="2" t="s">
        <v>142</v>
      </c>
      <c r="DE444" s="2" t="s">
        <v>181</v>
      </c>
      <c r="DF444" s="3" t="s">
        <v>86</v>
      </c>
      <c r="DG444" s="62">
        <v>42893</v>
      </c>
      <c r="EC444" s="60"/>
      <c r="ED444" s="60"/>
      <c r="EE444" s="60"/>
      <c r="EF444" s="60"/>
    </row>
    <row r="445" spans="2:140" ht="12.75" hidden="1" customHeight="1">
      <c r="B445" s="99" t="s">
        <v>856</v>
      </c>
      <c r="C445" s="22" t="s">
        <v>857</v>
      </c>
      <c r="D445" s="22" t="s">
        <v>858</v>
      </c>
      <c r="E445" s="2" t="str">
        <f>VLOOKUP($C445,[1]Detail!$C:$AK,6,0)</f>
        <v>PMT4</v>
      </c>
      <c r="F445" s="2" t="str">
        <f>VLOOKUP($C445,[1]Detail!$C:$AK,7,0)</f>
        <v>PF</v>
      </c>
      <c r="G445" s="2" t="str">
        <f>VLOOKUP($C445,[1]Detail!$C:$AK,5,0)</f>
        <v>B</v>
      </c>
      <c r="J445" s="22" t="s">
        <v>585</v>
      </c>
      <c r="K445" s="23" t="s">
        <v>870</v>
      </c>
      <c r="L445" s="22" t="s">
        <v>113</v>
      </c>
      <c r="M445" s="51" t="str">
        <f t="shared" si="344"/>
        <v>JD81-8C351-CA</v>
      </c>
      <c r="O445" s="22">
        <v>0</v>
      </c>
      <c r="P445" s="22">
        <v>0</v>
      </c>
      <c r="Q445" s="22">
        <v>0</v>
      </c>
      <c r="R445" s="22">
        <v>0</v>
      </c>
      <c r="S445" s="22">
        <v>1</v>
      </c>
      <c r="T445" s="22">
        <v>1</v>
      </c>
      <c r="U445" s="22">
        <v>0</v>
      </c>
      <c r="V445" s="22">
        <v>1</v>
      </c>
      <c r="W445" s="64">
        <f t="shared" si="345"/>
        <v>0.28000000000000003</v>
      </c>
      <c r="Y445" s="8">
        <v>-16.37</v>
      </c>
      <c r="Z445" s="8">
        <v>-0.5</v>
      </c>
      <c r="AA445" s="8">
        <v>-1</v>
      </c>
      <c r="AB445" s="8">
        <v>0</v>
      </c>
      <c r="AC445" s="8">
        <v>0</v>
      </c>
      <c r="AD445" s="8">
        <f t="shared" si="346"/>
        <v>-17.87</v>
      </c>
      <c r="AE445" s="2" t="s">
        <v>91</v>
      </c>
      <c r="AG445" s="8">
        <v>-54000</v>
      </c>
      <c r="AH445" s="8">
        <v>-54000</v>
      </c>
      <c r="AI445" s="6"/>
      <c r="AJ445" s="70">
        <v>0</v>
      </c>
      <c r="AK445" s="70">
        <v>0</v>
      </c>
      <c r="AL445" s="72">
        <v>0</v>
      </c>
      <c r="AM445" s="22"/>
      <c r="AO445" s="22" t="s">
        <v>585</v>
      </c>
      <c r="AP445" s="23" t="s">
        <v>870</v>
      </c>
      <c r="AQ445" s="22" t="s">
        <v>113</v>
      </c>
      <c r="AR445" s="51" t="str">
        <f t="shared" si="326"/>
        <v>JD81-8C351-CA</v>
      </c>
      <c r="AS445" s="3"/>
      <c r="AT445" s="22">
        <v>0</v>
      </c>
      <c r="AU445" s="22">
        <v>0</v>
      </c>
      <c r="AV445" s="22">
        <v>0</v>
      </c>
      <c r="AW445" s="22">
        <v>0</v>
      </c>
      <c r="AX445" s="22">
        <v>1</v>
      </c>
      <c r="AY445" s="22">
        <v>1</v>
      </c>
      <c r="AZ445" s="22">
        <v>0</v>
      </c>
      <c r="BA445" s="22">
        <v>1</v>
      </c>
      <c r="BB445" s="64">
        <f t="shared" si="327"/>
        <v>0.28000000000000003</v>
      </c>
      <c r="BD445" s="60">
        <v>-16.37</v>
      </c>
      <c r="BE445" s="60">
        <v>-0.5</v>
      </c>
      <c r="BF445" s="95">
        <v>-1</v>
      </c>
      <c r="BG445" s="95">
        <v>0</v>
      </c>
      <c r="BH445" s="95">
        <v>0</v>
      </c>
      <c r="BI445" s="8">
        <f t="shared" si="328"/>
        <v>-17.87</v>
      </c>
      <c r="BJ445" s="2" t="s">
        <v>91</v>
      </c>
      <c r="BL445" s="70">
        <v>-54000</v>
      </c>
      <c r="BM445" s="70">
        <v>-54000</v>
      </c>
      <c r="BO445" s="70">
        <v>0</v>
      </c>
      <c r="BP445" s="70">
        <v>0</v>
      </c>
      <c r="BQ445" s="72">
        <v>0</v>
      </c>
      <c r="BS445" s="61">
        <f t="shared" si="339"/>
        <v>0</v>
      </c>
      <c r="BT445" s="61">
        <f t="shared" si="335"/>
        <v>0</v>
      </c>
      <c r="BU445" s="61">
        <f t="shared" si="336"/>
        <v>0</v>
      </c>
      <c r="BV445" s="61">
        <f t="shared" si="337"/>
        <v>0</v>
      </c>
      <c r="BW445" s="61">
        <f t="shared" si="337"/>
        <v>0</v>
      </c>
      <c r="BX445" s="61">
        <f t="shared" si="348"/>
        <v>0</v>
      </c>
      <c r="BY445" s="61" t="s">
        <v>91</v>
      </c>
      <c r="CA445" s="61">
        <f t="shared" si="330"/>
        <v>0</v>
      </c>
      <c r="CB445" s="61">
        <f t="shared" si="330"/>
        <v>0</v>
      </c>
      <c r="CC445" s="61">
        <f t="shared" si="330"/>
        <v>0</v>
      </c>
      <c r="CD445" s="61">
        <f t="shared" si="329"/>
        <v>0</v>
      </c>
      <c r="CE445" s="61">
        <f t="shared" si="329"/>
        <v>0</v>
      </c>
      <c r="CF445" s="61">
        <f t="shared" si="329"/>
        <v>0</v>
      </c>
      <c r="CG445" s="61">
        <f t="shared" si="329"/>
        <v>0</v>
      </c>
      <c r="CH445" s="61">
        <f t="shared" si="299"/>
        <v>0</v>
      </c>
      <c r="CI445" s="61">
        <f t="shared" si="310"/>
        <v>0</v>
      </c>
      <c r="CJ445" s="61"/>
      <c r="CK445" s="61">
        <f t="shared" si="349"/>
        <v>0</v>
      </c>
      <c r="CL445" s="61">
        <f t="shared" si="349"/>
        <v>0</v>
      </c>
      <c r="CM445" s="61">
        <f t="shared" si="349"/>
        <v>0</v>
      </c>
      <c r="CN445" s="61">
        <f t="shared" si="349"/>
        <v>0</v>
      </c>
      <c r="CO445" s="61">
        <f t="shared" si="349"/>
        <v>0</v>
      </c>
      <c r="CP445" s="61">
        <f t="shared" si="349"/>
        <v>0</v>
      </c>
      <c r="CQ445" s="61">
        <f t="shared" si="349"/>
        <v>0</v>
      </c>
      <c r="CR445" s="61">
        <f t="shared" si="343"/>
        <v>0</v>
      </c>
      <c r="CS445" s="61">
        <f t="shared" si="312"/>
        <v>0</v>
      </c>
      <c r="CT445" s="61">
        <f t="shared" si="313"/>
        <v>0</v>
      </c>
      <c r="CV445" s="61">
        <f t="shared" si="314"/>
        <v>0</v>
      </c>
      <c r="CW445" s="61">
        <f t="shared" si="298"/>
        <v>0</v>
      </c>
      <c r="CX445" s="61"/>
      <c r="CY445" s="61">
        <f t="shared" ref="CY445:CY520" si="368">SUM(AJ445)-SUM(BO445)</f>
        <v>0</v>
      </c>
      <c r="CZ445" s="61">
        <f t="shared" si="321"/>
        <v>0</v>
      </c>
      <c r="DA445" s="61">
        <f t="shared" si="321"/>
        <v>0</v>
      </c>
      <c r="DB445" s="2" t="s">
        <v>86</v>
      </c>
      <c r="DC445" s="2" t="s">
        <v>86</v>
      </c>
      <c r="DD445" s="2" t="s">
        <v>142</v>
      </c>
      <c r="DE445" s="2" t="s">
        <v>181</v>
      </c>
      <c r="DF445" s="3" t="s">
        <v>86</v>
      </c>
      <c r="DG445" s="62">
        <v>42893</v>
      </c>
      <c r="EC445" s="60" t="str">
        <f>VLOOKUP($M445,[1]Detail!$M:$BO,1,0)</f>
        <v>JD81-8C351-CA</v>
      </c>
      <c r="ED445" s="60">
        <f>VLOOKUP($M445,[1]Detail!$M:$BO,22,0)</f>
        <v>-17.87</v>
      </c>
      <c r="EE445" s="60">
        <f>VLOOKUP($M445,[1]Detail!$M:$BO,42,0)</f>
        <v>-54000</v>
      </c>
      <c r="EF445" s="60">
        <f>VLOOKUP($M445,[1]Detail!$M:$BO,45,0)</f>
        <v>0</v>
      </c>
      <c r="EH445" s="60">
        <f>ED445-AD445</f>
        <v>0</v>
      </c>
      <c r="EI445" s="60">
        <f>EE445-AG445</f>
        <v>0</v>
      </c>
      <c r="EJ445" s="60">
        <f t="shared" ref="EJ445:EJ447" si="369">EF445-AJ445</f>
        <v>0</v>
      </c>
    </row>
    <row r="446" spans="2:140" ht="12.75" hidden="1" customHeight="1">
      <c r="B446" s="99" t="s">
        <v>856</v>
      </c>
      <c r="C446" s="22" t="s">
        <v>857</v>
      </c>
      <c r="D446" s="22" t="s">
        <v>858</v>
      </c>
      <c r="E446" s="2" t="str">
        <f>VLOOKUP($C446,[1]Detail!$C:$AK,6,0)</f>
        <v>PMT4</v>
      </c>
      <c r="F446" s="2" t="str">
        <f>VLOOKUP($C446,[1]Detail!$C:$AK,7,0)</f>
        <v>PF</v>
      </c>
      <c r="G446" s="2" t="str">
        <f>VLOOKUP($C446,[1]Detail!$C:$AK,5,0)</f>
        <v>B</v>
      </c>
      <c r="J446" s="22" t="s">
        <v>585</v>
      </c>
      <c r="K446" s="23" t="s">
        <v>872</v>
      </c>
      <c r="L446" s="22" t="s">
        <v>113</v>
      </c>
      <c r="M446" s="51" t="str">
        <f t="shared" si="344"/>
        <v>JD81-18K579-CA</v>
      </c>
      <c r="O446" s="22"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1</v>
      </c>
      <c r="U446" s="22">
        <v>0</v>
      </c>
      <c r="V446" s="22">
        <v>1</v>
      </c>
      <c r="W446" s="64">
        <f t="shared" si="345"/>
        <v>0.19</v>
      </c>
      <c r="Y446" s="8">
        <v>-42.39</v>
      </c>
      <c r="Z446" s="8">
        <v>-0.6</v>
      </c>
      <c r="AA446" s="8">
        <v>-1.2</v>
      </c>
      <c r="AB446" s="8">
        <v>0</v>
      </c>
      <c r="AC446" s="8">
        <v>0</v>
      </c>
      <c r="AD446" s="8">
        <f t="shared" si="346"/>
        <v>-44.190000000000005</v>
      </c>
      <c r="AE446" s="2" t="s">
        <v>91</v>
      </c>
      <c r="AG446" s="8">
        <v>-105000</v>
      </c>
      <c r="AH446" s="8">
        <v>-105000</v>
      </c>
      <c r="AI446" s="6"/>
      <c r="AJ446" s="70">
        <v>0</v>
      </c>
      <c r="AK446" s="70">
        <v>0</v>
      </c>
      <c r="AL446" s="72">
        <v>0</v>
      </c>
      <c r="AM446" s="22"/>
      <c r="AO446" s="22" t="s">
        <v>585</v>
      </c>
      <c r="AP446" s="23" t="s">
        <v>872</v>
      </c>
      <c r="AQ446" s="22" t="s">
        <v>113</v>
      </c>
      <c r="AR446" s="51" t="str">
        <f t="shared" si="326"/>
        <v>JD81-18K579-CA</v>
      </c>
      <c r="AS446" s="3"/>
      <c r="AT446" s="22">
        <v>0</v>
      </c>
      <c r="AU446" s="22">
        <v>0</v>
      </c>
      <c r="AV446" s="22">
        <v>0</v>
      </c>
      <c r="AW446" s="22">
        <v>0</v>
      </c>
      <c r="AX446" s="22">
        <v>0</v>
      </c>
      <c r="AY446" s="22">
        <v>1</v>
      </c>
      <c r="AZ446" s="22">
        <v>0</v>
      </c>
      <c r="BA446" s="22">
        <v>1</v>
      </c>
      <c r="BB446" s="64">
        <f t="shared" si="327"/>
        <v>0.19</v>
      </c>
      <c r="BD446" s="60">
        <v>-42.39</v>
      </c>
      <c r="BE446" s="60">
        <v>-0.6</v>
      </c>
      <c r="BF446" s="95">
        <v>-1.2</v>
      </c>
      <c r="BG446" s="95">
        <v>0</v>
      </c>
      <c r="BH446" s="95">
        <v>0</v>
      </c>
      <c r="BI446" s="8">
        <f t="shared" si="328"/>
        <v>-44.190000000000005</v>
      </c>
      <c r="BJ446" s="2" t="s">
        <v>91</v>
      </c>
      <c r="BL446" s="70">
        <v>-105000</v>
      </c>
      <c r="BM446" s="70">
        <v>-105000</v>
      </c>
      <c r="BO446" s="70">
        <v>0</v>
      </c>
      <c r="BP446" s="70">
        <v>0</v>
      </c>
      <c r="BQ446" s="72">
        <v>0</v>
      </c>
      <c r="BS446" s="61">
        <f t="shared" si="339"/>
        <v>0</v>
      </c>
      <c r="BT446" s="61">
        <f t="shared" si="335"/>
        <v>0</v>
      </c>
      <c r="BU446" s="61">
        <f t="shared" si="336"/>
        <v>0</v>
      </c>
      <c r="BV446" s="61">
        <f t="shared" si="337"/>
        <v>0</v>
      </c>
      <c r="BW446" s="61">
        <f t="shared" si="337"/>
        <v>0</v>
      </c>
      <c r="BX446" s="61">
        <f t="shared" si="348"/>
        <v>0</v>
      </c>
      <c r="BY446" s="61" t="s">
        <v>91</v>
      </c>
      <c r="CA446" s="61">
        <f t="shared" si="330"/>
        <v>0</v>
      </c>
      <c r="CB446" s="61">
        <f t="shared" si="330"/>
        <v>0</v>
      </c>
      <c r="CC446" s="61">
        <f t="shared" si="330"/>
        <v>0</v>
      </c>
      <c r="CD446" s="61">
        <f t="shared" si="329"/>
        <v>0</v>
      </c>
      <c r="CE446" s="61">
        <f t="shared" si="329"/>
        <v>0</v>
      </c>
      <c r="CF446" s="61">
        <f t="shared" si="329"/>
        <v>0</v>
      </c>
      <c r="CG446" s="61">
        <f t="shared" si="329"/>
        <v>0</v>
      </c>
      <c r="CH446" s="61">
        <f t="shared" si="299"/>
        <v>0</v>
      </c>
      <c r="CI446" s="61">
        <f t="shared" si="310"/>
        <v>0</v>
      </c>
      <c r="CJ446" s="61"/>
      <c r="CK446" s="61">
        <f t="shared" si="349"/>
        <v>0</v>
      </c>
      <c r="CL446" s="61">
        <f t="shared" si="349"/>
        <v>0</v>
      </c>
      <c r="CM446" s="61">
        <f t="shared" si="349"/>
        <v>0</v>
      </c>
      <c r="CN446" s="61">
        <f t="shared" si="349"/>
        <v>0</v>
      </c>
      <c r="CO446" s="61">
        <f t="shared" si="349"/>
        <v>0</v>
      </c>
      <c r="CP446" s="61">
        <f t="shared" si="349"/>
        <v>0</v>
      </c>
      <c r="CQ446" s="61">
        <f t="shared" si="349"/>
        <v>0</v>
      </c>
      <c r="CR446" s="61">
        <f t="shared" si="343"/>
        <v>0</v>
      </c>
      <c r="CS446" s="61">
        <f t="shared" si="312"/>
        <v>0</v>
      </c>
      <c r="CT446" s="61">
        <f t="shared" si="313"/>
        <v>0</v>
      </c>
      <c r="CV446" s="61">
        <f t="shared" si="314"/>
        <v>0</v>
      </c>
      <c r="CW446" s="61">
        <f t="shared" si="298"/>
        <v>0</v>
      </c>
      <c r="CX446" s="61"/>
      <c r="CY446" s="61">
        <f t="shared" si="368"/>
        <v>0</v>
      </c>
      <c r="CZ446" s="61">
        <f t="shared" si="321"/>
        <v>0</v>
      </c>
      <c r="DA446" s="61">
        <f t="shared" si="321"/>
        <v>0</v>
      </c>
      <c r="DB446" s="2" t="s">
        <v>86</v>
      </c>
      <c r="DC446" s="2" t="s">
        <v>86</v>
      </c>
      <c r="DD446" s="2" t="s">
        <v>142</v>
      </c>
      <c r="DE446" s="2" t="s">
        <v>181</v>
      </c>
      <c r="DF446" s="3" t="s">
        <v>86</v>
      </c>
      <c r="DG446" s="62">
        <v>42893</v>
      </c>
      <c r="EC446" s="60" t="str">
        <f>VLOOKUP($M446,[1]Detail!$M:$BO,1,0)</f>
        <v>JD81-18K579-CA</v>
      </c>
      <c r="ED446" s="60">
        <f>VLOOKUP($M446,[1]Detail!$M:$BO,22,0)</f>
        <v>-44.190000000000005</v>
      </c>
      <c r="EE446" s="60">
        <f>VLOOKUP($M446,[1]Detail!$M:$BO,42,0)</f>
        <v>-105000</v>
      </c>
      <c r="EF446" s="60">
        <f>VLOOKUP($M446,[1]Detail!$M:$BO,45,0)</f>
        <v>0</v>
      </c>
      <c r="EH446" s="60">
        <f>ED446-AD446</f>
        <v>0</v>
      </c>
      <c r="EI446" s="60">
        <f>EE446-AG446</f>
        <v>0</v>
      </c>
      <c r="EJ446" s="60">
        <f t="shared" si="369"/>
        <v>0</v>
      </c>
    </row>
    <row r="447" spans="2:140" ht="12.75" hidden="1" customHeight="1">
      <c r="B447" s="99" t="s">
        <v>856</v>
      </c>
      <c r="C447" s="22" t="s">
        <v>857</v>
      </c>
      <c r="D447" s="22" t="s">
        <v>858</v>
      </c>
      <c r="E447" s="2" t="str">
        <f>VLOOKUP($C447,[1]Detail!$C:$AK,6,0)</f>
        <v>PMT4</v>
      </c>
      <c r="F447" s="2" t="str">
        <f>VLOOKUP($C447,[1]Detail!$C:$AK,7,0)</f>
        <v>PF</v>
      </c>
      <c r="G447" s="2" t="str">
        <f>VLOOKUP($C447,[1]Detail!$C:$AK,5,0)</f>
        <v>B</v>
      </c>
      <c r="J447" s="22" t="s">
        <v>585</v>
      </c>
      <c r="K447" s="23" t="s">
        <v>873</v>
      </c>
      <c r="L447" s="22" t="s">
        <v>113</v>
      </c>
      <c r="M447" s="51" t="str">
        <f t="shared" si="344"/>
        <v>JD81-18K580-CA</v>
      </c>
      <c r="O447" s="22">
        <v>0</v>
      </c>
      <c r="P447" s="22">
        <v>0</v>
      </c>
      <c r="Q447" s="22">
        <v>0</v>
      </c>
      <c r="R447" s="22">
        <v>0</v>
      </c>
      <c r="S447" s="22">
        <v>0</v>
      </c>
      <c r="T447" s="22">
        <v>1</v>
      </c>
      <c r="U447" s="22">
        <v>0</v>
      </c>
      <c r="V447" s="22">
        <v>1</v>
      </c>
      <c r="W447" s="64">
        <f t="shared" si="345"/>
        <v>0.19</v>
      </c>
      <c r="Y447" s="8">
        <f>-38.54*0-24.39</f>
        <v>-24.39</v>
      </c>
      <c r="Z447" s="8">
        <v>-0.1</v>
      </c>
      <c r="AA447" s="8">
        <v>-0.2</v>
      </c>
      <c r="AB447" s="8">
        <v>0</v>
      </c>
      <c r="AC447" s="8">
        <v>0</v>
      </c>
      <c r="AD447" s="8">
        <f t="shared" si="346"/>
        <v>-24.69</v>
      </c>
      <c r="AE447" s="2" t="s">
        <v>91</v>
      </c>
      <c r="AG447" s="8">
        <f>-105000*0-76000</f>
        <v>-76000</v>
      </c>
      <c r="AH447" s="8">
        <f>-105000*0-76000</f>
        <v>-76000</v>
      </c>
      <c r="AI447" s="6"/>
      <c r="AJ447" s="70">
        <v>0</v>
      </c>
      <c r="AK447" s="70">
        <v>0</v>
      </c>
      <c r="AL447" s="72">
        <v>0</v>
      </c>
      <c r="AM447" s="22"/>
      <c r="AO447" s="22" t="s">
        <v>585</v>
      </c>
      <c r="AP447" s="23" t="s">
        <v>873</v>
      </c>
      <c r="AQ447" s="22" t="s">
        <v>113</v>
      </c>
      <c r="AR447" s="51" t="str">
        <f t="shared" si="326"/>
        <v>JD81-18K580-CA</v>
      </c>
      <c r="AS447" s="3"/>
      <c r="AT447" s="22">
        <v>0</v>
      </c>
      <c r="AU447" s="22">
        <v>0</v>
      </c>
      <c r="AV447" s="22">
        <v>0</v>
      </c>
      <c r="AW447" s="22">
        <v>0</v>
      </c>
      <c r="AX447" s="22">
        <v>0</v>
      </c>
      <c r="AY447" s="22">
        <v>1</v>
      </c>
      <c r="AZ447" s="22">
        <v>0</v>
      </c>
      <c r="BA447" s="22">
        <v>1</v>
      </c>
      <c r="BB447" s="64">
        <f t="shared" si="327"/>
        <v>0.19</v>
      </c>
      <c r="BD447" s="60">
        <v>-38.54</v>
      </c>
      <c r="BE447" s="60">
        <v>-0.5</v>
      </c>
      <c r="BF447" s="95">
        <v>-1</v>
      </c>
      <c r="BG447" s="95">
        <v>0</v>
      </c>
      <c r="BH447" s="95">
        <v>0</v>
      </c>
      <c r="BI447" s="8">
        <f t="shared" si="328"/>
        <v>-40.04</v>
      </c>
      <c r="BJ447" s="2" t="s">
        <v>91</v>
      </c>
      <c r="BL447" s="70">
        <v>-105000</v>
      </c>
      <c r="BM447" s="70">
        <v>-105000</v>
      </c>
      <c r="BO447" s="70">
        <v>0</v>
      </c>
      <c r="BP447" s="70">
        <v>0</v>
      </c>
      <c r="BQ447" s="72">
        <v>0</v>
      </c>
      <c r="BS447" s="61">
        <f t="shared" si="339"/>
        <v>14.149999999999999</v>
      </c>
      <c r="BT447" s="61">
        <f t="shared" si="335"/>
        <v>0.4</v>
      </c>
      <c r="BU447" s="61">
        <f t="shared" si="336"/>
        <v>0.8</v>
      </c>
      <c r="BV447" s="61">
        <f t="shared" si="337"/>
        <v>0</v>
      </c>
      <c r="BW447" s="61">
        <f t="shared" si="337"/>
        <v>0</v>
      </c>
      <c r="BX447" s="61">
        <f t="shared" si="348"/>
        <v>15.349999999999998</v>
      </c>
      <c r="BY447" s="61" t="s">
        <v>91</v>
      </c>
      <c r="CA447" s="61">
        <f t="shared" si="330"/>
        <v>0</v>
      </c>
      <c r="CB447" s="61">
        <f t="shared" si="330"/>
        <v>0</v>
      </c>
      <c r="CC447" s="61">
        <f t="shared" si="330"/>
        <v>0</v>
      </c>
      <c r="CD447" s="61">
        <f t="shared" si="329"/>
        <v>0</v>
      </c>
      <c r="CE447" s="61">
        <f t="shared" si="329"/>
        <v>0</v>
      </c>
      <c r="CF447" s="61">
        <f t="shared" si="329"/>
        <v>2.1287799007070856</v>
      </c>
      <c r="CG447" s="61">
        <f t="shared" si="329"/>
        <v>0</v>
      </c>
      <c r="CH447" s="61">
        <f t="shared" si="299"/>
        <v>2.1287799007070856</v>
      </c>
      <c r="CI447" s="61">
        <f t="shared" si="310"/>
        <v>0.40446818113434624</v>
      </c>
      <c r="CJ447" s="61"/>
      <c r="CK447" s="61">
        <f t="shared" si="349"/>
        <v>0</v>
      </c>
      <c r="CL447" s="61">
        <f t="shared" si="349"/>
        <v>0</v>
      </c>
      <c r="CM447" s="61">
        <f t="shared" si="349"/>
        <v>0</v>
      </c>
      <c r="CN447" s="61">
        <f t="shared" si="349"/>
        <v>0</v>
      </c>
      <c r="CO447" s="61">
        <f t="shared" si="349"/>
        <v>0</v>
      </c>
      <c r="CP447" s="61">
        <f t="shared" si="349"/>
        <v>2.3093124717917854</v>
      </c>
      <c r="CQ447" s="61">
        <f t="shared" si="349"/>
        <v>0</v>
      </c>
      <c r="CR447" s="61">
        <f t="shared" si="343"/>
        <v>2.3093124717917854</v>
      </c>
      <c r="CS447" s="61">
        <f t="shared" si="312"/>
        <v>0.43876936964043928</v>
      </c>
      <c r="CT447" s="61">
        <f t="shared" si="313"/>
        <v>2.9165000000000001</v>
      </c>
      <c r="CV447" s="61">
        <f t="shared" si="314"/>
        <v>29000</v>
      </c>
      <c r="CW447" s="61">
        <f t="shared" si="298"/>
        <v>29000</v>
      </c>
      <c r="CX447" s="61"/>
      <c r="CY447" s="61">
        <f t="shared" si="368"/>
        <v>0</v>
      </c>
      <c r="CZ447" s="61">
        <f t="shared" si="321"/>
        <v>0</v>
      </c>
      <c r="DA447" s="61">
        <f t="shared" si="321"/>
        <v>0</v>
      </c>
      <c r="DB447" s="2" t="s">
        <v>86</v>
      </c>
      <c r="DC447" s="2" t="s">
        <v>86</v>
      </c>
      <c r="DD447" s="2" t="s">
        <v>142</v>
      </c>
      <c r="DE447" s="2" t="s">
        <v>181</v>
      </c>
      <c r="DF447" s="3" t="s">
        <v>86</v>
      </c>
      <c r="DG447" s="62">
        <v>42893</v>
      </c>
      <c r="EC447" s="60" t="str">
        <f>VLOOKUP($M447,[1]Detail!$M:$BO,1,0)</f>
        <v>JD81-18K580-CA</v>
      </c>
      <c r="ED447" s="60">
        <f>VLOOKUP($M447,[1]Detail!$M:$BO,22,0)</f>
        <v>-24.69</v>
      </c>
      <c r="EE447" s="60">
        <f>VLOOKUP($M447,[1]Detail!$M:$BO,42,0)</f>
        <v>-76000</v>
      </c>
      <c r="EF447" s="60">
        <f>VLOOKUP($M447,[1]Detail!$M:$BO,45,0)</f>
        <v>0</v>
      </c>
      <c r="EH447" s="60">
        <f>ED447-AD447</f>
        <v>0</v>
      </c>
      <c r="EI447" s="60">
        <f>EE447-AG447</f>
        <v>0</v>
      </c>
      <c r="EJ447" s="60">
        <f t="shared" si="369"/>
        <v>0</v>
      </c>
    </row>
    <row r="448" spans="2:140" ht="12.75" hidden="1" customHeight="1">
      <c r="B448" s="99" t="s">
        <v>856</v>
      </c>
      <c r="C448" s="22" t="s">
        <v>857</v>
      </c>
      <c r="D448" s="22" t="s">
        <v>858</v>
      </c>
      <c r="E448" s="2" t="str">
        <f>VLOOKUP($C448,[1]Detail!$C:$AK,6,0)</f>
        <v>PMT4</v>
      </c>
      <c r="F448" s="2" t="str">
        <f>VLOOKUP($C448,[1]Detail!$C:$AK,7,0)</f>
        <v>PF</v>
      </c>
      <c r="G448" s="2" t="str">
        <f>VLOOKUP($C448,[1]Detail!$C:$AK,5,0)</f>
        <v>B</v>
      </c>
      <c r="J448" s="22" t="s">
        <v>585</v>
      </c>
      <c r="K448" s="23" t="s">
        <v>875</v>
      </c>
      <c r="L448" s="22" t="s">
        <v>113</v>
      </c>
      <c r="M448" s="51" t="str">
        <f t="shared" si="344"/>
        <v>JD81-6B851-CA</v>
      </c>
      <c r="O448" s="22">
        <v>0</v>
      </c>
      <c r="P448" s="22">
        <v>0</v>
      </c>
      <c r="Q448" s="22">
        <v>0</v>
      </c>
      <c r="R448" s="22">
        <v>0</v>
      </c>
      <c r="S448" s="22">
        <v>1</v>
      </c>
      <c r="T448" s="22">
        <v>1</v>
      </c>
      <c r="U448" s="22">
        <v>0</v>
      </c>
      <c r="V448" s="22">
        <v>1</v>
      </c>
      <c r="W448" s="64">
        <f t="shared" si="345"/>
        <v>0.28000000000000003</v>
      </c>
      <c r="Y448" s="8">
        <f>-8.16*0-31.35</f>
        <v>-31.35</v>
      </c>
      <c r="Z448" s="8">
        <v>-0.3</v>
      </c>
      <c r="AA448" s="8">
        <v>-0.6</v>
      </c>
      <c r="AB448" s="8">
        <v>0</v>
      </c>
      <c r="AC448" s="8">
        <v>0</v>
      </c>
      <c r="AD448" s="8">
        <f t="shared" si="346"/>
        <v>-32.25</v>
      </c>
      <c r="AE448" s="2" t="s">
        <v>91</v>
      </c>
      <c r="AG448" s="8">
        <f>-26000*0-205000</f>
        <v>-205000</v>
      </c>
      <c r="AH448" s="8">
        <f>-26000*0-205000</f>
        <v>-205000</v>
      </c>
      <c r="AI448" s="6"/>
      <c r="AJ448" s="70">
        <v>0</v>
      </c>
      <c r="AK448" s="70">
        <v>0</v>
      </c>
      <c r="AL448" s="72">
        <v>0</v>
      </c>
      <c r="AM448" s="22"/>
      <c r="AO448" s="22" t="s">
        <v>585</v>
      </c>
      <c r="AP448" s="23" t="s">
        <v>875</v>
      </c>
      <c r="AQ448" s="22" t="s">
        <v>113</v>
      </c>
      <c r="AR448" s="51" t="str">
        <f t="shared" si="326"/>
        <v>JD81-6B851-CA</v>
      </c>
      <c r="AS448" s="3"/>
      <c r="AT448" s="22">
        <v>0</v>
      </c>
      <c r="AU448" s="22">
        <v>0</v>
      </c>
      <c r="AV448" s="22">
        <v>0</v>
      </c>
      <c r="AW448" s="22">
        <v>0</v>
      </c>
      <c r="AX448" s="22">
        <v>1</v>
      </c>
      <c r="AY448" s="22">
        <v>1</v>
      </c>
      <c r="AZ448" s="22">
        <v>0</v>
      </c>
      <c r="BA448" s="22">
        <v>1</v>
      </c>
      <c r="BB448" s="64">
        <f t="shared" si="327"/>
        <v>0.28000000000000003</v>
      </c>
      <c r="BD448" s="60">
        <v>-8.16</v>
      </c>
      <c r="BE448" s="60">
        <v>-0.2</v>
      </c>
      <c r="BF448" s="95">
        <v>-0.4</v>
      </c>
      <c r="BG448" s="95">
        <v>0</v>
      </c>
      <c r="BH448" s="95">
        <v>0</v>
      </c>
      <c r="BI448" s="8">
        <f t="shared" si="328"/>
        <v>-8.76</v>
      </c>
      <c r="BJ448" s="2" t="s">
        <v>91</v>
      </c>
      <c r="BL448" s="70">
        <v>-26000</v>
      </c>
      <c r="BM448" s="70">
        <v>-26000</v>
      </c>
      <c r="BO448" s="70">
        <v>0</v>
      </c>
      <c r="BP448" s="70">
        <v>0</v>
      </c>
      <c r="BQ448" s="72">
        <v>0</v>
      </c>
      <c r="BS448" s="61">
        <f t="shared" si="339"/>
        <v>-23.19</v>
      </c>
      <c r="BT448" s="61">
        <f t="shared" si="335"/>
        <v>-9.9999999999999978E-2</v>
      </c>
      <c r="BU448" s="61">
        <f t="shared" si="336"/>
        <v>-0.19999999999999996</v>
      </c>
      <c r="BV448" s="61">
        <f t="shared" si="337"/>
        <v>0</v>
      </c>
      <c r="BW448" s="61">
        <f t="shared" si="337"/>
        <v>0</v>
      </c>
      <c r="BX448" s="61">
        <f t="shared" si="348"/>
        <v>-23.490000000000002</v>
      </c>
      <c r="BY448" s="61" t="s">
        <v>91</v>
      </c>
      <c r="CA448" s="61">
        <f t="shared" si="330"/>
        <v>0</v>
      </c>
      <c r="CB448" s="61">
        <f t="shared" si="330"/>
        <v>0</v>
      </c>
      <c r="CC448" s="61">
        <f t="shared" si="330"/>
        <v>0</v>
      </c>
      <c r="CD448" s="61">
        <f t="shared" si="329"/>
        <v>0</v>
      </c>
      <c r="CE448" s="61">
        <f t="shared" si="329"/>
        <v>-3.4887919362118249</v>
      </c>
      <c r="CF448" s="61">
        <f t="shared" si="329"/>
        <v>-3.4887919362118249</v>
      </c>
      <c r="CG448" s="61">
        <f t="shared" si="329"/>
        <v>0</v>
      </c>
      <c r="CH448" s="61">
        <f t="shared" si="299"/>
        <v>-3.4887919362118249</v>
      </c>
      <c r="CI448" s="61">
        <f t="shared" si="310"/>
        <v>-0.9768617421393111</v>
      </c>
      <c r="CJ448" s="61"/>
      <c r="CK448" s="61">
        <f t="shared" si="349"/>
        <v>0</v>
      </c>
      <c r="CL448" s="61">
        <f t="shared" si="349"/>
        <v>0</v>
      </c>
      <c r="CM448" s="61">
        <f t="shared" si="349"/>
        <v>0</v>
      </c>
      <c r="CN448" s="61">
        <f t="shared" si="349"/>
        <v>0</v>
      </c>
      <c r="CO448" s="61">
        <f t="shared" si="349"/>
        <v>-3.5339250789830001</v>
      </c>
      <c r="CP448" s="61">
        <f t="shared" si="349"/>
        <v>-3.5339250789830001</v>
      </c>
      <c r="CQ448" s="61">
        <f t="shared" si="349"/>
        <v>0</v>
      </c>
      <c r="CR448" s="61">
        <f t="shared" si="343"/>
        <v>-3.5339250789830001</v>
      </c>
      <c r="CS448" s="61">
        <f t="shared" si="312"/>
        <v>-0.9894990221152401</v>
      </c>
      <c r="CT448" s="61">
        <f t="shared" si="313"/>
        <v>-6.5772000000000013</v>
      </c>
      <c r="CV448" s="61">
        <f t="shared" si="314"/>
        <v>-179000</v>
      </c>
      <c r="CW448" s="61">
        <f t="shared" si="298"/>
        <v>-179000</v>
      </c>
      <c r="CX448" s="61"/>
      <c r="CY448" s="61">
        <f t="shared" si="368"/>
        <v>0</v>
      </c>
      <c r="CZ448" s="61">
        <f t="shared" si="321"/>
        <v>0</v>
      </c>
      <c r="DA448" s="61">
        <f t="shared" si="321"/>
        <v>0</v>
      </c>
      <c r="DB448" s="2" t="s">
        <v>134</v>
      </c>
      <c r="DC448" s="2" t="s">
        <v>86</v>
      </c>
      <c r="DD448" s="2" t="s">
        <v>142</v>
      </c>
      <c r="DE448" s="2" t="s">
        <v>181</v>
      </c>
      <c r="DF448" s="3" t="s">
        <v>86</v>
      </c>
      <c r="DG448" s="62">
        <v>42893</v>
      </c>
      <c r="EC448" s="60"/>
      <c r="ED448" s="60"/>
      <c r="EE448" s="60"/>
      <c r="EF448" s="60"/>
    </row>
    <row r="449" spans="2:140" ht="12.75" hidden="1" customHeight="1">
      <c r="B449" s="99" t="s">
        <v>856</v>
      </c>
      <c r="C449" s="22" t="s">
        <v>857</v>
      </c>
      <c r="D449" s="22" t="s">
        <v>858</v>
      </c>
      <c r="E449" s="2" t="str">
        <f>VLOOKUP($C449,[1]Detail!$C:$AK,6,0)</f>
        <v>PMT4</v>
      </c>
      <c r="F449" s="2" t="str">
        <f>VLOOKUP($C449,[1]Detail!$C:$AK,7,0)</f>
        <v>PF</v>
      </c>
      <c r="G449" s="2" t="str">
        <f>VLOOKUP($C449,[1]Detail!$C:$AK,5,0)</f>
        <v>B</v>
      </c>
      <c r="J449" s="22" t="s">
        <v>585</v>
      </c>
      <c r="K449" s="23" t="s">
        <v>875</v>
      </c>
      <c r="L449" s="22" t="s">
        <v>115</v>
      </c>
      <c r="M449" s="51" t="str">
        <f t="shared" si="344"/>
        <v>JD81-6B851-DA</v>
      </c>
      <c r="O449" s="22">
        <v>0</v>
      </c>
      <c r="P449" s="22">
        <v>0</v>
      </c>
      <c r="Q449" s="22">
        <v>0</v>
      </c>
      <c r="R449" s="22">
        <v>0</v>
      </c>
      <c r="S449" s="22">
        <v>1</v>
      </c>
      <c r="T449" s="22">
        <v>0</v>
      </c>
      <c r="U449" s="22">
        <v>0</v>
      </c>
      <c r="V449" s="22">
        <v>0</v>
      </c>
      <c r="W449" s="64">
        <f t="shared" si="345"/>
        <v>0.09</v>
      </c>
      <c r="Y449" s="8">
        <v>-8.16</v>
      </c>
      <c r="Z449" s="8">
        <v>-0.2</v>
      </c>
      <c r="AA449" s="8">
        <v>-0.4</v>
      </c>
      <c r="AB449" s="8">
        <v>0</v>
      </c>
      <c r="AC449" s="8">
        <v>0</v>
      </c>
      <c r="AD449" s="8">
        <f t="shared" si="346"/>
        <v>-8.76</v>
      </c>
      <c r="AE449" s="2" t="s">
        <v>91</v>
      </c>
      <c r="AG449" s="8">
        <v>-49360</v>
      </c>
      <c r="AH449" s="8">
        <v>-49360</v>
      </c>
      <c r="AI449" s="6"/>
      <c r="AJ449" s="70">
        <v>0</v>
      </c>
      <c r="AK449" s="70">
        <v>0</v>
      </c>
      <c r="AL449" s="72">
        <v>0</v>
      </c>
      <c r="AM449" s="22"/>
      <c r="AO449" s="22"/>
      <c r="AP449" s="23"/>
      <c r="AQ449" s="22"/>
      <c r="AR449" s="51"/>
      <c r="AS449" s="3"/>
      <c r="AT449" s="22"/>
      <c r="AU449" s="22"/>
      <c r="AV449" s="22"/>
      <c r="AW449" s="22"/>
      <c r="AX449" s="22"/>
      <c r="AY449" s="22"/>
      <c r="AZ449" s="22"/>
      <c r="BA449" s="22"/>
      <c r="BB449" s="64"/>
      <c r="BD449" s="60"/>
      <c r="BE449" s="60"/>
      <c r="BF449" s="95"/>
      <c r="BG449" s="95"/>
      <c r="BH449" s="95"/>
      <c r="BI449" s="8"/>
      <c r="BJ449" s="2" t="s">
        <v>91</v>
      </c>
      <c r="BL449" s="70"/>
      <c r="BM449" s="70"/>
      <c r="BO449" s="70"/>
      <c r="BP449" s="70"/>
      <c r="BQ449" s="72"/>
      <c r="BS449" s="61">
        <f t="shared" si="339"/>
        <v>-8.16</v>
      </c>
      <c r="BT449" s="61">
        <f t="shared" si="335"/>
        <v>-0.2</v>
      </c>
      <c r="BU449" s="61">
        <f t="shared" si="336"/>
        <v>-0.4</v>
      </c>
      <c r="BV449" s="61">
        <f t="shared" si="337"/>
        <v>0</v>
      </c>
      <c r="BW449" s="61">
        <f t="shared" si="337"/>
        <v>0</v>
      </c>
      <c r="BX449" s="61">
        <f t="shared" si="348"/>
        <v>-8.76</v>
      </c>
      <c r="BY449" s="61" t="s">
        <v>91</v>
      </c>
      <c r="CA449" s="61">
        <f t="shared" si="330"/>
        <v>0</v>
      </c>
      <c r="CB449" s="61">
        <f t="shared" si="330"/>
        <v>0</v>
      </c>
      <c r="CC449" s="61">
        <f t="shared" si="330"/>
        <v>0</v>
      </c>
      <c r="CD449" s="61">
        <f t="shared" si="329"/>
        <v>0</v>
      </c>
      <c r="CE449" s="61">
        <f t="shared" si="329"/>
        <v>-1.2276214833759591</v>
      </c>
      <c r="CF449" s="61">
        <f t="shared" si="329"/>
        <v>0</v>
      </c>
      <c r="CG449" s="61">
        <f t="shared" si="329"/>
        <v>0</v>
      </c>
      <c r="CH449" s="61">
        <f t="shared" si="299"/>
        <v>0</v>
      </c>
      <c r="CI449" s="61">
        <f t="shared" si="310"/>
        <v>-0.11048593350383631</v>
      </c>
      <c r="CJ449" s="61"/>
      <c r="CK449" s="61">
        <f t="shared" si="349"/>
        <v>0</v>
      </c>
      <c r="CL449" s="61">
        <f t="shared" si="349"/>
        <v>0</v>
      </c>
      <c r="CM449" s="61">
        <f t="shared" si="349"/>
        <v>0</v>
      </c>
      <c r="CN449" s="61">
        <f t="shared" si="349"/>
        <v>0</v>
      </c>
      <c r="CO449" s="61">
        <f t="shared" si="349"/>
        <v>-1.3178877689183088</v>
      </c>
      <c r="CP449" s="61">
        <f t="shared" si="349"/>
        <v>0</v>
      </c>
      <c r="CQ449" s="61">
        <f t="shared" si="349"/>
        <v>0</v>
      </c>
      <c r="CR449" s="61">
        <f t="shared" si="343"/>
        <v>0</v>
      </c>
      <c r="CS449" s="61">
        <f t="shared" si="312"/>
        <v>-0.11860989920264779</v>
      </c>
      <c r="CT449" s="61">
        <f t="shared" si="313"/>
        <v>-0.78839999999999988</v>
      </c>
      <c r="CV449" s="61">
        <f t="shared" si="314"/>
        <v>-49360</v>
      </c>
      <c r="CW449" s="61">
        <f>SUM(AH449)-SUM(BM449)</f>
        <v>-49360</v>
      </c>
      <c r="CX449" s="61"/>
      <c r="CY449" s="61">
        <f t="shared" ref="CY449:DA451" si="370">SUM(AJ449)-SUM(BO449)</f>
        <v>0</v>
      </c>
      <c r="CZ449" s="61">
        <f t="shared" si="370"/>
        <v>0</v>
      </c>
      <c r="DA449" s="61">
        <f t="shared" si="370"/>
        <v>0</v>
      </c>
      <c r="DB449" s="2" t="s">
        <v>134</v>
      </c>
      <c r="DC449" s="2" t="s">
        <v>86</v>
      </c>
      <c r="DD449" s="2" t="s">
        <v>142</v>
      </c>
      <c r="DE449" s="2" t="s">
        <v>181</v>
      </c>
      <c r="DF449" s="3" t="s">
        <v>86</v>
      </c>
      <c r="DG449" s="62">
        <v>42893</v>
      </c>
      <c r="EC449" s="60"/>
      <c r="ED449" s="60"/>
      <c r="EE449" s="60"/>
      <c r="EF449" s="60"/>
    </row>
    <row r="450" spans="2:140" ht="12.75" hidden="1" customHeight="1">
      <c r="B450" s="115" t="s">
        <v>876</v>
      </c>
      <c r="C450" s="22" t="s">
        <v>862</v>
      </c>
      <c r="D450" s="22" t="s">
        <v>863</v>
      </c>
      <c r="E450" s="2" t="str">
        <f>VLOOKUP($C450,[1]Detail!$C:$AK,6,0)</f>
        <v>PMT4</v>
      </c>
      <c r="F450" s="2" t="str">
        <f>VLOOKUP($C450,[1]Detail!$C:$AK,7,0)</f>
        <v>PF</v>
      </c>
      <c r="G450" s="2" t="str">
        <f>VLOOKUP($C450,[1]Detail!$C:$AK,5,0)</f>
        <v>B</v>
      </c>
      <c r="J450" s="22" t="s">
        <v>864</v>
      </c>
      <c r="K450" s="23" t="s">
        <v>877</v>
      </c>
      <c r="L450" s="22" t="s">
        <v>878</v>
      </c>
      <c r="M450" s="51" t="str">
        <f t="shared" si="344"/>
        <v>JD81-6B851-CB</v>
      </c>
      <c r="O450" s="22">
        <v>0</v>
      </c>
      <c r="P450" s="22">
        <v>0</v>
      </c>
      <c r="Q450" s="22">
        <v>0</v>
      </c>
      <c r="R450" s="22">
        <v>0</v>
      </c>
      <c r="S450" s="22">
        <v>1</v>
      </c>
      <c r="T450" s="22">
        <v>1</v>
      </c>
      <c r="U450" s="22">
        <v>0</v>
      </c>
      <c r="V450" s="22">
        <v>1</v>
      </c>
      <c r="W450" s="64">
        <f t="shared" si="345"/>
        <v>0.28000000000000003</v>
      </c>
      <c r="Y450" s="8">
        <f>-8.16*0-31.35-0.22</f>
        <v>-31.57</v>
      </c>
      <c r="Z450" s="8">
        <v>-0.3</v>
      </c>
      <c r="AA450" s="8">
        <v>-0.6</v>
      </c>
      <c r="AB450" s="8">
        <v>0</v>
      </c>
      <c r="AC450" s="8">
        <v>0</v>
      </c>
      <c r="AD450" s="8">
        <f t="shared" si="346"/>
        <v>-32.47</v>
      </c>
      <c r="AE450" s="2" t="s">
        <v>91</v>
      </c>
      <c r="AG450" s="8">
        <f>-26000*0-205000-34360</f>
        <v>-239360</v>
      </c>
      <c r="AH450" s="8">
        <f>-26000*0-205000-34360</f>
        <v>-239360</v>
      </c>
      <c r="AI450" s="6"/>
      <c r="AJ450" s="70">
        <v>0</v>
      </c>
      <c r="AK450" s="70">
        <v>0</v>
      </c>
      <c r="AL450" s="72">
        <v>0</v>
      </c>
      <c r="AM450" s="22"/>
      <c r="AO450" s="22" t="s">
        <v>864</v>
      </c>
      <c r="AP450" s="23" t="s">
        <v>877</v>
      </c>
      <c r="AQ450" s="22" t="s">
        <v>253</v>
      </c>
      <c r="AR450" s="51" t="str">
        <f>TRIM(AO450)&amp;"-"&amp;TRIM(AP450)&amp;"-"&amp;TRIM(AQ450)</f>
        <v>JD81-6B851-CA</v>
      </c>
      <c r="AS450" s="3"/>
      <c r="AT450" s="22">
        <v>0</v>
      </c>
      <c r="AU450" s="22">
        <v>0</v>
      </c>
      <c r="AV450" s="22">
        <v>0</v>
      </c>
      <c r="AW450" s="22">
        <v>0</v>
      </c>
      <c r="AX450" s="22">
        <v>1</v>
      </c>
      <c r="AY450" s="22">
        <v>1</v>
      </c>
      <c r="AZ450" s="22">
        <v>0</v>
      </c>
      <c r="BA450" s="22">
        <v>1</v>
      </c>
      <c r="BB450" s="64">
        <f>SUMPRODUCT(AT450:BA450,$O$6:$V$6)</f>
        <v>0.28000000000000003</v>
      </c>
      <c r="BD450" s="113">
        <f>-8.16*0-31.35</f>
        <v>-31.35</v>
      </c>
      <c r="BE450" s="113">
        <v>-0.3</v>
      </c>
      <c r="BF450" s="114">
        <v>-0.6</v>
      </c>
      <c r="BG450" s="114">
        <v>0</v>
      </c>
      <c r="BH450" s="114">
        <v>0</v>
      </c>
      <c r="BI450" s="8">
        <f>SUM(BD450:BH450)</f>
        <v>-32.25</v>
      </c>
      <c r="BJ450" s="2" t="s">
        <v>91</v>
      </c>
      <c r="BL450" s="97">
        <f>-26000*0-205000</f>
        <v>-205000</v>
      </c>
      <c r="BM450" s="97">
        <f>-26000*0-205000</f>
        <v>-205000</v>
      </c>
      <c r="BO450" s="70">
        <v>0</v>
      </c>
      <c r="BP450" s="70">
        <v>0</v>
      </c>
      <c r="BQ450" s="72">
        <v>0</v>
      </c>
      <c r="BS450" s="61">
        <f t="shared" si="339"/>
        <v>-0.21999999999999886</v>
      </c>
      <c r="BT450" s="61">
        <f t="shared" si="335"/>
        <v>0</v>
      </c>
      <c r="BU450" s="61">
        <f t="shared" si="336"/>
        <v>0</v>
      </c>
      <c r="BV450" s="61">
        <f t="shared" si="337"/>
        <v>0</v>
      </c>
      <c r="BW450" s="61">
        <f t="shared" si="337"/>
        <v>0</v>
      </c>
      <c r="BX450" s="61">
        <f t="shared" si="348"/>
        <v>-0.21999999999999886</v>
      </c>
      <c r="BY450" s="61" t="s">
        <v>91</v>
      </c>
      <c r="CA450" s="61">
        <f t="shared" si="330"/>
        <v>0</v>
      </c>
      <c r="CB450" s="61">
        <f t="shared" si="330"/>
        <v>0</v>
      </c>
      <c r="CC450" s="61">
        <f t="shared" si="330"/>
        <v>0</v>
      </c>
      <c r="CD450" s="61">
        <f t="shared" si="329"/>
        <v>0</v>
      </c>
      <c r="CE450" s="61">
        <f t="shared" si="329"/>
        <v>-3.3097638032194801E-2</v>
      </c>
      <c r="CF450" s="61">
        <f t="shared" si="329"/>
        <v>-3.3097638032194801E-2</v>
      </c>
      <c r="CG450" s="61">
        <f t="shared" si="329"/>
        <v>0</v>
      </c>
      <c r="CH450" s="61">
        <f t="shared" si="299"/>
        <v>-3.3097638032194801E-2</v>
      </c>
      <c r="CI450" s="61">
        <f t="shared" si="310"/>
        <v>-9.2673386490145452E-3</v>
      </c>
      <c r="CJ450" s="61"/>
      <c r="CK450" s="61">
        <f t="shared" si="349"/>
        <v>0</v>
      </c>
      <c r="CL450" s="61">
        <f t="shared" si="349"/>
        <v>0</v>
      </c>
      <c r="CM450" s="61">
        <f t="shared" si="349"/>
        <v>0</v>
      </c>
      <c r="CN450" s="61">
        <f t="shared" si="349"/>
        <v>0</v>
      </c>
      <c r="CO450" s="61">
        <f t="shared" si="349"/>
        <v>-3.3097638032194801E-2</v>
      </c>
      <c r="CP450" s="61">
        <f t="shared" si="349"/>
        <v>-3.3097638032194801E-2</v>
      </c>
      <c r="CQ450" s="61">
        <f t="shared" si="349"/>
        <v>0</v>
      </c>
      <c r="CR450" s="61">
        <f t="shared" si="343"/>
        <v>-3.3097638032194801E-2</v>
      </c>
      <c r="CS450" s="61">
        <f t="shared" si="312"/>
        <v>-9.2673386490145452E-3</v>
      </c>
      <c r="CT450" s="63">
        <f t="shared" si="313"/>
        <v>-6.1599999999999683E-2</v>
      </c>
      <c r="CV450" s="61">
        <f t="shared" si="314"/>
        <v>-34360</v>
      </c>
      <c r="CW450" s="61">
        <f>SUM(AH450)-SUM(BM450)</f>
        <v>-34360</v>
      </c>
      <c r="CX450" s="61"/>
      <c r="CY450" s="61">
        <f t="shared" si="370"/>
        <v>0</v>
      </c>
      <c r="CZ450" s="61">
        <f t="shared" si="370"/>
        <v>0</v>
      </c>
      <c r="DA450" s="61">
        <f t="shared" si="370"/>
        <v>0</v>
      </c>
      <c r="DB450" s="2" t="s">
        <v>102</v>
      </c>
      <c r="DC450" s="2" t="s">
        <v>134</v>
      </c>
      <c r="DD450" s="2" t="s">
        <v>142</v>
      </c>
      <c r="DE450" s="2" t="s">
        <v>143</v>
      </c>
      <c r="DF450" s="3" t="s">
        <v>86</v>
      </c>
      <c r="DG450" s="62">
        <v>43103</v>
      </c>
      <c r="EC450" s="60" t="str">
        <f>VLOOKUP($M450,[1]Detail!$M:$BO,1,0)</f>
        <v>JD81-6B851-CB</v>
      </c>
      <c r="ED450" s="60">
        <f>VLOOKUP($M450,[1]Detail!$M:$BO,22,0)</f>
        <v>-32.47</v>
      </c>
      <c r="EE450" s="60">
        <f>VLOOKUP($M450,[1]Detail!$M:$BO,42,0)</f>
        <v>-239360</v>
      </c>
      <c r="EF450" s="60">
        <f>VLOOKUP($M450,[1]Detail!$M:$BO,45,0)</f>
        <v>0</v>
      </c>
      <c r="EH450" s="60">
        <f t="shared" ref="EH450:EH460" si="371">ED450-AD450</f>
        <v>0</v>
      </c>
      <c r="EI450" s="60">
        <f t="shared" ref="EI450:EI460" si="372">EE450-AG450</f>
        <v>0</v>
      </c>
      <c r="EJ450" s="60">
        <f t="shared" ref="EJ450:EJ460" si="373">EF450-AJ450</f>
        <v>0</v>
      </c>
    </row>
    <row r="451" spans="2:140" ht="12.75" hidden="1" customHeight="1">
      <c r="B451" s="115" t="s">
        <v>876</v>
      </c>
      <c r="C451" s="22" t="s">
        <v>862</v>
      </c>
      <c r="D451" s="22" t="s">
        <v>863</v>
      </c>
      <c r="E451" s="2" t="str">
        <f>VLOOKUP($C451,[1]Detail!$C:$AK,6,0)</f>
        <v>PMT4</v>
      </c>
      <c r="F451" s="2" t="str">
        <f>VLOOKUP($C451,[1]Detail!$C:$AK,7,0)</f>
        <v>PF</v>
      </c>
      <c r="G451" s="2" t="str">
        <f>VLOOKUP($C451,[1]Detail!$C:$AK,5,0)</f>
        <v>B</v>
      </c>
      <c r="J451" s="22" t="s">
        <v>864</v>
      </c>
      <c r="K451" s="23" t="s">
        <v>877</v>
      </c>
      <c r="L451" s="22" t="s">
        <v>879</v>
      </c>
      <c r="M451" s="51" t="str">
        <f t="shared" si="344"/>
        <v>JD81-6B851-DB</v>
      </c>
      <c r="O451" s="22">
        <v>0</v>
      </c>
      <c r="P451" s="22">
        <v>0</v>
      </c>
      <c r="Q451" s="22">
        <v>0</v>
      </c>
      <c r="R451" s="22">
        <v>0</v>
      </c>
      <c r="S451" s="22">
        <v>1</v>
      </c>
      <c r="T451" s="22">
        <v>0</v>
      </c>
      <c r="U451" s="22">
        <v>0</v>
      </c>
      <c r="V451" s="22">
        <v>0</v>
      </c>
      <c r="W451" s="64">
        <f t="shared" si="345"/>
        <v>0.09</v>
      </c>
      <c r="Y451" s="8">
        <f>-0.89-8.16</f>
        <v>-9.0500000000000007</v>
      </c>
      <c r="Z451" s="8">
        <v>-0.2</v>
      </c>
      <c r="AA451" s="8">
        <v>-0.4</v>
      </c>
      <c r="AB451" s="8">
        <v>0</v>
      </c>
      <c r="AC451" s="8">
        <v>0</v>
      </c>
      <c r="AD451" s="8">
        <f t="shared" si="346"/>
        <v>-9.65</v>
      </c>
      <c r="AE451" s="2" t="s">
        <v>91</v>
      </c>
      <c r="AG451" s="8">
        <f>-49360-30910</f>
        <v>-80270</v>
      </c>
      <c r="AH451" s="8">
        <f>-49360-30910</f>
        <v>-80270</v>
      </c>
      <c r="AI451" s="6"/>
      <c r="AJ451" s="70">
        <v>0</v>
      </c>
      <c r="AK451" s="70">
        <v>0</v>
      </c>
      <c r="AL451" s="72">
        <v>0</v>
      </c>
      <c r="AM451" s="22"/>
      <c r="AO451" s="22" t="s">
        <v>864</v>
      </c>
      <c r="AP451" s="23" t="s">
        <v>877</v>
      </c>
      <c r="AQ451" s="22" t="s">
        <v>880</v>
      </c>
      <c r="AR451" s="51" t="str">
        <f>TRIM(AO451)&amp;"-"&amp;TRIM(AP451)&amp;"-"&amp;TRIM(AQ451)</f>
        <v>JD81-6B851-DA</v>
      </c>
      <c r="AS451" s="3"/>
      <c r="AT451" s="22">
        <v>0</v>
      </c>
      <c r="AU451" s="22">
        <v>0</v>
      </c>
      <c r="AV451" s="22">
        <v>0</v>
      </c>
      <c r="AW451" s="22">
        <v>0</v>
      </c>
      <c r="AX451" s="22">
        <v>1</v>
      </c>
      <c r="AY451" s="22">
        <v>0</v>
      </c>
      <c r="AZ451" s="22">
        <v>0</v>
      </c>
      <c r="BA451" s="22">
        <v>0</v>
      </c>
      <c r="BB451" s="64">
        <f>SUMPRODUCT(AT451:BA451,$O$6:$V$6)</f>
        <v>0.09</v>
      </c>
      <c r="BD451" s="113">
        <v>-8.16</v>
      </c>
      <c r="BE451" s="113">
        <v>-0.2</v>
      </c>
      <c r="BF451" s="114">
        <v>-0.4</v>
      </c>
      <c r="BG451" s="114">
        <v>0</v>
      </c>
      <c r="BH451" s="114">
        <v>0</v>
      </c>
      <c r="BI451" s="8">
        <f>SUM(BD451:BH451)</f>
        <v>-8.76</v>
      </c>
      <c r="BJ451" s="2" t="s">
        <v>91</v>
      </c>
      <c r="BL451" s="97">
        <v>-49360</v>
      </c>
      <c r="BM451" s="97">
        <v>-49360</v>
      </c>
      <c r="BO451" s="70"/>
      <c r="BP451" s="70"/>
      <c r="BQ451" s="72"/>
      <c r="BS451" s="61">
        <f t="shared" si="339"/>
        <v>-0.89000000000000057</v>
      </c>
      <c r="BT451" s="61">
        <f t="shared" si="335"/>
        <v>0</v>
      </c>
      <c r="BU451" s="61">
        <f t="shared" si="336"/>
        <v>0</v>
      </c>
      <c r="BV451" s="61">
        <f t="shared" si="337"/>
        <v>0</v>
      </c>
      <c r="BW451" s="61">
        <f t="shared" si="337"/>
        <v>0</v>
      </c>
      <c r="BX451" s="61">
        <f t="shared" si="348"/>
        <v>-0.89000000000000057</v>
      </c>
      <c r="BY451" s="61" t="s">
        <v>91</v>
      </c>
      <c r="CA451" s="61">
        <f t="shared" si="330"/>
        <v>0</v>
      </c>
      <c r="CB451" s="61">
        <f t="shared" si="330"/>
        <v>0</v>
      </c>
      <c r="CC451" s="61">
        <f t="shared" si="330"/>
        <v>0</v>
      </c>
      <c r="CD451" s="61">
        <f t="shared" si="329"/>
        <v>0</v>
      </c>
      <c r="CE451" s="61">
        <f t="shared" si="329"/>
        <v>-0.13389499022115248</v>
      </c>
      <c r="CF451" s="61">
        <f t="shared" si="329"/>
        <v>0</v>
      </c>
      <c r="CG451" s="61">
        <f t="shared" si="329"/>
        <v>0</v>
      </c>
      <c r="CH451" s="61">
        <f t="shared" si="329"/>
        <v>0</v>
      </c>
      <c r="CI451" s="61">
        <f t="shared" si="310"/>
        <v>-1.2050549119903723E-2</v>
      </c>
      <c r="CJ451" s="61"/>
      <c r="CK451" s="61">
        <f t="shared" si="349"/>
        <v>0</v>
      </c>
      <c r="CL451" s="61">
        <f t="shared" si="349"/>
        <v>0</v>
      </c>
      <c r="CM451" s="61">
        <f t="shared" si="349"/>
        <v>0</v>
      </c>
      <c r="CN451" s="61">
        <f t="shared" si="349"/>
        <v>0</v>
      </c>
      <c r="CO451" s="61">
        <f t="shared" si="349"/>
        <v>-0.13389499022115248</v>
      </c>
      <c r="CP451" s="61">
        <f t="shared" si="349"/>
        <v>0</v>
      </c>
      <c r="CQ451" s="61">
        <f t="shared" si="349"/>
        <v>0</v>
      </c>
      <c r="CR451" s="61">
        <f t="shared" si="343"/>
        <v>0</v>
      </c>
      <c r="CS451" s="61">
        <f t="shared" si="312"/>
        <v>-1.2050549119903723E-2</v>
      </c>
      <c r="CT451" s="63">
        <f t="shared" si="313"/>
        <v>-8.0100000000000046E-2</v>
      </c>
      <c r="CV451" s="61">
        <f t="shared" si="314"/>
        <v>-30910</v>
      </c>
      <c r="CW451" s="61">
        <f>SUM(AH451)-SUM(BM451)</f>
        <v>-30910</v>
      </c>
      <c r="CX451" s="61"/>
      <c r="CY451" s="61">
        <f t="shared" si="370"/>
        <v>0</v>
      </c>
      <c r="CZ451" s="61">
        <f t="shared" si="370"/>
        <v>0</v>
      </c>
      <c r="DA451" s="61">
        <f t="shared" si="370"/>
        <v>0</v>
      </c>
      <c r="DB451" s="2" t="s">
        <v>102</v>
      </c>
      <c r="DC451" s="2" t="s">
        <v>134</v>
      </c>
      <c r="DD451" s="2" t="s">
        <v>142</v>
      </c>
      <c r="DE451" s="2" t="s">
        <v>143</v>
      </c>
      <c r="DF451" s="3" t="s">
        <v>86</v>
      </c>
      <c r="DG451" s="62">
        <v>43103</v>
      </c>
      <c r="EC451" s="60" t="str">
        <f>VLOOKUP($M451,[1]Detail!$M:$BO,1,0)</f>
        <v>JD81-6B851-DB</v>
      </c>
      <c r="ED451" s="60">
        <f>VLOOKUP($M451,[1]Detail!$M:$BO,22,0)</f>
        <v>-9.65</v>
      </c>
      <c r="EE451" s="60">
        <f>VLOOKUP($M451,[1]Detail!$M:$BO,42,0)</f>
        <v>-80270</v>
      </c>
      <c r="EF451" s="60">
        <f>VLOOKUP($M451,[1]Detail!$M:$BO,45,0)</f>
        <v>0</v>
      </c>
      <c r="EH451" s="60">
        <f t="shared" si="371"/>
        <v>0</v>
      </c>
      <c r="EI451" s="60">
        <f t="shared" si="372"/>
        <v>0</v>
      </c>
      <c r="EJ451" s="60">
        <f t="shared" si="373"/>
        <v>0</v>
      </c>
    </row>
    <row r="452" spans="2:140" ht="12.75" hidden="1" customHeight="1">
      <c r="B452" s="99" t="s">
        <v>856</v>
      </c>
      <c r="C452" s="22" t="s">
        <v>857</v>
      </c>
      <c r="D452" s="22" t="s">
        <v>858</v>
      </c>
      <c r="E452" s="2" t="str">
        <f>VLOOKUP($C452,[1]Detail!$C:$AK,6,0)</f>
        <v>PMT4</v>
      </c>
      <c r="F452" s="2" t="str">
        <f>VLOOKUP($C452,[1]Detail!$C:$AK,7,0)</f>
        <v>PF</v>
      </c>
      <c r="G452" s="2" t="str">
        <f>VLOOKUP($C452,[1]Detail!$C:$AK,5,0)</f>
        <v>B</v>
      </c>
      <c r="J452" s="22" t="s">
        <v>585</v>
      </c>
      <c r="K452" s="23" t="s">
        <v>874</v>
      </c>
      <c r="L452" s="22" t="s">
        <v>113</v>
      </c>
      <c r="M452" s="51" t="str">
        <f t="shared" si="344"/>
        <v>JD81-7G071-CA</v>
      </c>
      <c r="O452" s="22">
        <v>0</v>
      </c>
      <c r="P452" s="22">
        <v>0</v>
      </c>
      <c r="Q452" s="22">
        <v>0</v>
      </c>
      <c r="R452" s="22">
        <v>0</v>
      </c>
      <c r="S452" s="22">
        <v>0</v>
      </c>
      <c r="T452" s="22">
        <v>1</v>
      </c>
      <c r="U452" s="22">
        <v>0</v>
      </c>
      <c r="V452" s="22">
        <v>1</v>
      </c>
      <c r="W452" s="64">
        <f t="shared" si="345"/>
        <v>0.19</v>
      </c>
      <c r="Y452" s="8">
        <v>-9.4700000000000006</v>
      </c>
      <c r="Z452" s="8">
        <v>-0.24</v>
      </c>
      <c r="AA452" s="8">
        <v>-0.48</v>
      </c>
      <c r="AB452" s="8">
        <v>0</v>
      </c>
      <c r="AC452" s="8">
        <v>0</v>
      </c>
      <c r="AD452" s="8">
        <f t="shared" si="346"/>
        <v>-10.190000000000001</v>
      </c>
      <c r="AE452" s="2" t="s">
        <v>91</v>
      </c>
      <c r="AG452" s="8">
        <v>-28000</v>
      </c>
      <c r="AH452" s="8">
        <v>-28000</v>
      </c>
      <c r="AI452" s="6"/>
      <c r="AJ452" s="70">
        <v>0</v>
      </c>
      <c r="AK452" s="70">
        <v>0</v>
      </c>
      <c r="AL452" s="72">
        <v>0</v>
      </c>
      <c r="AM452" s="22"/>
      <c r="AO452" s="22" t="s">
        <v>585</v>
      </c>
      <c r="AP452" s="23" t="s">
        <v>874</v>
      </c>
      <c r="AQ452" s="22" t="s">
        <v>113</v>
      </c>
      <c r="AR452" s="51" t="str">
        <f t="shared" si="326"/>
        <v>JD81-7G071-CA</v>
      </c>
      <c r="AS452" s="3"/>
      <c r="AT452" s="22">
        <v>0</v>
      </c>
      <c r="AU452" s="22">
        <v>0</v>
      </c>
      <c r="AV452" s="22">
        <v>0</v>
      </c>
      <c r="AW452" s="22">
        <v>0</v>
      </c>
      <c r="AX452" s="22">
        <v>0</v>
      </c>
      <c r="AY452" s="22">
        <v>1</v>
      </c>
      <c r="AZ452" s="22">
        <v>0</v>
      </c>
      <c r="BA452" s="22">
        <v>1</v>
      </c>
      <c r="BB452" s="64">
        <f>SUMPRODUCT(AT452:BA452,$O$6:$V$6)</f>
        <v>0.19</v>
      </c>
      <c r="BD452" s="60">
        <v>-9.4700000000000006</v>
      </c>
      <c r="BE452" s="60">
        <v>-0.24</v>
      </c>
      <c r="BF452" s="95">
        <v>-0.48</v>
      </c>
      <c r="BG452" s="95">
        <v>0</v>
      </c>
      <c r="BH452" s="95">
        <v>0</v>
      </c>
      <c r="BI452" s="8">
        <f t="shared" si="328"/>
        <v>-10.190000000000001</v>
      </c>
      <c r="BJ452" s="2" t="s">
        <v>91</v>
      </c>
      <c r="BL452" s="70">
        <v>-28000</v>
      </c>
      <c r="BM452" s="70">
        <v>-28000</v>
      </c>
      <c r="BO452" s="70">
        <v>0</v>
      </c>
      <c r="BP452" s="70">
        <v>0</v>
      </c>
      <c r="BQ452" s="72">
        <v>0</v>
      </c>
      <c r="BS452" s="61">
        <f t="shared" si="339"/>
        <v>0</v>
      </c>
      <c r="BT452" s="61">
        <f t="shared" si="335"/>
        <v>0</v>
      </c>
      <c r="BU452" s="61">
        <f t="shared" si="336"/>
        <v>0</v>
      </c>
      <c r="BV452" s="61">
        <f t="shared" si="337"/>
        <v>0</v>
      </c>
      <c r="BW452" s="61">
        <f t="shared" si="337"/>
        <v>0</v>
      </c>
      <c r="BX452" s="61">
        <f t="shared" si="348"/>
        <v>0</v>
      </c>
      <c r="BY452" s="61" t="s">
        <v>91</v>
      </c>
      <c r="CA452" s="61">
        <f t="shared" si="330"/>
        <v>0</v>
      </c>
      <c r="CB452" s="61">
        <f t="shared" si="330"/>
        <v>0</v>
      </c>
      <c r="CC452" s="61">
        <f t="shared" si="330"/>
        <v>0</v>
      </c>
      <c r="CD452" s="61">
        <f t="shared" si="329"/>
        <v>0</v>
      </c>
      <c r="CE452" s="61">
        <f t="shared" si="329"/>
        <v>0</v>
      </c>
      <c r="CF452" s="61">
        <f t="shared" si="329"/>
        <v>0</v>
      </c>
      <c r="CG452" s="61">
        <f t="shared" si="329"/>
        <v>0</v>
      </c>
      <c r="CH452" s="61">
        <f t="shared" si="329"/>
        <v>0</v>
      </c>
      <c r="CI452" s="61">
        <f t="shared" si="310"/>
        <v>0</v>
      </c>
      <c r="CJ452" s="61"/>
      <c r="CK452" s="61">
        <f t="shared" si="349"/>
        <v>0</v>
      </c>
      <c r="CL452" s="61">
        <f t="shared" si="349"/>
        <v>0</v>
      </c>
      <c r="CM452" s="61">
        <f t="shared" si="349"/>
        <v>0</v>
      </c>
      <c r="CN452" s="61">
        <f t="shared" si="349"/>
        <v>0</v>
      </c>
      <c r="CO452" s="61">
        <f t="shared" si="349"/>
        <v>0</v>
      </c>
      <c r="CP452" s="61">
        <f t="shared" si="349"/>
        <v>0</v>
      </c>
      <c r="CQ452" s="61">
        <f t="shared" si="349"/>
        <v>0</v>
      </c>
      <c r="CR452" s="61">
        <f t="shared" si="343"/>
        <v>0</v>
      </c>
      <c r="CS452" s="61">
        <f t="shared" si="312"/>
        <v>0</v>
      </c>
      <c r="CT452" s="61">
        <f t="shared" si="313"/>
        <v>0</v>
      </c>
      <c r="CV452" s="61">
        <f t="shared" si="314"/>
        <v>0</v>
      </c>
      <c r="CW452" s="61">
        <f t="shared" si="298"/>
        <v>0</v>
      </c>
      <c r="CX452" s="61"/>
      <c r="CY452" s="61">
        <f t="shared" si="368"/>
        <v>0</v>
      </c>
      <c r="CZ452" s="61">
        <f t="shared" si="321"/>
        <v>0</v>
      </c>
      <c r="DA452" s="61">
        <f t="shared" si="321"/>
        <v>0</v>
      </c>
      <c r="DB452" s="2" t="s">
        <v>86</v>
      </c>
      <c r="DC452" s="2" t="s">
        <v>86</v>
      </c>
      <c r="DD452" s="2" t="s">
        <v>142</v>
      </c>
      <c r="DE452" s="2" t="s">
        <v>181</v>
      </c>
      <c r="DF452" s="3" t="s">
        <v>86</v>
      </c>
      <c r="DG452" s="62">
        <v>42893</v>
      </c>
      <c r="EC452" s="60" t="str">
        <f>VLOOKUP($M452,[1]Detail!$M:$BO,1,0)</f>
        <v>JD81-7G071-CA</v>
      </c>
      <c r="ED452" s="60">
        <f>VLOOKUP($M452,[1]Detail!$M:$BO,22,0)</f>
        <v>-9.65</v>
      </c>
      <c r="EE452" s="60">
        <f>VLOOKUP($M452,[1]Detail!$M:$BO,42,0)</f>
        <v>-80270</v>
      </c>
      <c r="EF452" s="60">
        <f>VLOOKUP($M452,[1]Detail!$M:$BO,45,0)</f>
        <v>0</v>
      </c>
      <c r="EH452" s="60">
        <f t="shared" si="371"/>
        <v>0.54000000000000092</v>
      </c>
      <c r="EI452" s="60">
        <f t="shared" si="372"/>
        <v>-52270</v>
      </c>
      <c r="EJ452" s="60">
        <f t="shared" si="373"/>
        <v>0</v>
      </c>
    </row>
    <row r="453" spans="2:140" ht="12.75" hidden="1" customHeight="1">
      <c r="B453" s="99" t="s">
        <v>856</v>
      </c>
      <c r="C453" s="22" t="s">
        <v>857</v>
      </c>
      <c r="D453" s="22" t="s">
        <v>858</v>
      </c>
      <c r="E453" s="2" t="str">
        <f>VLOOKUP($C453,[1]Detail!$C:$AK,6,0)</f>
        <v>PMT4</v>
      </c>
      <c r="F453" s="2" t="str">
        <f>VLOOKUP($C453,[1]Detail!$C:$AK,7,0)</f>
        <v>PF</v>
      </c>
      <c r="G453" s="2" t="str">
        <f>VLOOKUP($C453,[1]Detail!$C:$AK,5,0)</f>
        <v>B</v>
      </c>
      <c r="J453" s="22" t="s">
        <v>585</v>
      </c>
      <c r="K453" s="23" t="s">
        <v>872</v>
      </c>
      <c r="L453" s="22" t="s">
        <v>115</v>
      </c>
      <c r="M453" s="51" t="str">
        <f t="shared" si="344"/>
        <v>JD81-18K579-DA</v>
      </c>
      <c r="O453" s="22">
        <v>0</v>
      </c>
      <c r="P453" s="22">
        <v>0</v>
      </c>
      <c r="Q453" s="22">
        <v>0</v>
      </c>
      <c r="R453" s="22">
        <v>0</v>
      </c>
      <c r="S453" s="22">
        <v>1</v>
      </c>
      <c r="T453" s="22">
        <v>0</v>
      </c>
      <c r="U453" s="22">
        <v>0</v>
      </c>
      <c r="V453" s="22">
        <v>0</v>
      </c>
      <c r="W453" s="64">
        <f t="shared" si="345"/>
        <v>0.09</v>
      </c>
      <c r="Y453" s="8">
        <v>-18.03</v>
      </c>
      <c r="Z453" s="8">
        <v>-0.4</v>
      </c>
      <c r="AA453" s="8">
        <v>-0.8</v>
      </c>
      <c r="AB453" s="8">
        <v>0</v>
      </c>
      <c r="AC453" s="8">
        <v>0</v>
      </c>
      <c r="AD453" s="8">
        <f t="shared" si="346"/>
        <v>-19.23</v>
      </c>
      <c r="AE453" s="2" t="s">
        <v>91</v>
      </c>
      <c r="AG453" s="8">
        <v>-44800</v>
      </c>
      <c r="AH453" s="8">
        <v>-44800</v>
      </c>
      <c r="AI453" s="6"/>
      <c r="AJ453" s="70">
        <v>0</v>
      </c>
      <c r="AK453" s="70">
        <v>0</v>
      </c>
      <c r="AL453" s="72">
        <v>0</v>
      </c>
      <c r="AM453" s="22"/>
      <c r="AO453" s="22" t="s">
        <v>585</v>
      </c>
      <c r="AP453" s="23" t="s">
        <v>872</v>
      </c>
      <c r="AQ453" s="22" t="s">
        <v>115</v>
      </c>
      <c r="AR453" s="51" t="str">
        <f t="shared" si="326"/>
        <v>JD81-18K579-DA</v>
      </c>
      <c r="AS453" s="3"/>
      <c r="AT453" s="22">
        <v>0</v>
      </c>
      <c r="AU453" s="22">
        <v>0</v>
      </c>
      <c r="AV453" s="22">
        <v>0</v>
      </c>
      <c r="AW453" s="22">
        <v>0</v>
      </c>
      <c r="AX453" s="22">
        <v>1</v>
      </c>
      <c r="AY453" s="22">
        <v>0</v>
      </c>
      <c r="AZ453" s="22">
        <v>0</v>
      </c>
      <c r="BA453" s="22">
        <v>0</v>
      </c>
      <c r="BB453" s="64">
        <f>SUMPRODUCT(AT453:BA453,$O$6:$V$6)</f>
        <v>0.09</v>
      </c>
      <c r="BD453" s="60">
        <v>-18.03</v>
      </c>
      <c r="BE453" s="60">
        <v>-0.4</v>
      </c>
      <c r="BF453" s="95">
        <v>-0.8</v>
      </c>
      <c r="BG453" s="95">
        <v>0</v>
      </c>
      <c r="BH453" s="95">
        <v>0</v>
      </c>
      <c r="BI453" s="8">
        <f t="shared" si="328"/>
        <v>-19.23</v>
      </c>
      <c r="BJ453" s="2" t="s">
        <v>91</v>
      </c>
      <c r="BL453" s="70">
        <v>-44800</v>
      </c>
      <c r="BM453" s="70">
        <v>-44800</v>
      </c>
      <c r="BO453" s="70">
        <v>0</v>
      </c>
      <c r="BP453" s="70">
        <v>0</v>
      </c>
      <c r="BQ453" s="72">
        <v>0</v>
      </c>
      <c r="BS453" s="61">
        <f t="shared" si="339"/>
        <v>0</v>
      </c>
      <c r="BT453" s="61">
        <f t="shared" si="335"/>
        <v>0</v>
      </c>
      <c r="BU453" s="61">
        <f t="shared" si="336"/>
        <v>0</v>
      </c>
      <c r="BV453" s="61">
        <f t="shared" si="337"/>
        <v>0</v>
      </c>
      <c r="BW453" s="61">
        <f t="shared" si="337"/>
        <v>0</v>
      </c>
      <c r="BX453" s="61">
        <f t="shared" si="348"/>
        <v>0</v>
      </c>
      <c r="BY453" s="61" t="s">
        <v>91</v>
      </c>
      <c r="CA453" s="61">
        <f t="shared" si="330"/>
        <v>0</v>
      </c>
      <c r="CB453" s="61">
        <f t="shared" si="330"/>
        <v>0</v>
      </c>
      <c r="CC453" s="61">
        <f t="shared" si="330"/>
        <v>0</v>
      </c>
      <c r="CD453" s="61">
        <f t="shared" si="329"/>
        <v>0</v>
      </c>
      <c r="CE453" s="61">
        <f t="shared" si="329"/>
        <v>0</v>
      </c>
      <c r="CF453" s="61">
        <f t="shared" si="329"/>
        <v>0</v>
      </c>
      <c r="CG453" s="61">
        <f t="shared" si="329"/>
        <v>0</v>
      </c>
      <c r="CH453" s="61">
        <f t="shared" si="329"/>
        <v>0</v>
      </c>
      <c r="CI453" s="61">
        <f t="shared" si="310"/>
        <v>0</v>
      </c>
      <c r="CJ453" s="61"/>
      <c r="CK453" s="61">
        <f t="shared" si="349"/>
        <v>0</v>
      </c>
      <c r="CL453" s="61">
        <f t="shared" si="349"/>
        <v>0</v>
      </c>
      <c r="CM453" s="61">
        <f t="shared" si="349"/>
        <v>0</v>
      </c>
      <c r="CN453" s="61">
        <f t="shared" si="349"/>
        <v>0</v>
      </c>
      <c r="CO453" s="61">
        <f t="shared" si="349"/>
        <v>0</v>
      </c>
      <c r="CP453" s="61">
        <f t="shared" si="349"/>
        <v>0</v>
      </c>
      <c r="CQ453" s="61">
        <f t="shared" si="349"/>
        <v>0</v>
      </c>
      <c r="CR453" s="61">
        <f t="shared" si="343"/>
        <v>0</v>
      </c>
      <c r="CS453" s="61">
        <f t="shared" si="312"/>
        <v>0</v>
      </c>
      <c r="CT453" s="61">
        <f t="shared" si="313"/>
        <v>0</v>
      </c>
      <c r="CV453" s="61">
        <f t="shared" si="314"/>
        <v>0</v>
      </c>
      <c r="CW453" s="61">
        <f t="shared" si="298"/>
        <v>0</v>
      </c>
      <c r="CX453" s="61"/>
      <c r="CY453" s="61">
        <f t="shared" si="368"/>
        <v>0</v>
      </c>
      <c r="CZ453" s="61">
        <f t="shared" si="321"/>
        <v>0</v>
      </c>
      <c r="DA453" s="61">
        <f t="shared" si="321"/>
        <v>0</v>
      </c>
      <c r="DB453" s="2" t="s">
        <v>86</v>
      </c>
      <c r="DC453" s="2" t="s">
        <v>86</v>
      </c>
      <c r="DD453" s="2" t="s">
        <v>142</v>
      </c>
      <c r="DE453" s="2" t="s">
        <v>181</v>
      </c>
      <c r="DF453" s="3" t="s">
        <v>86</v>
      </c>
      <c r="DG453" s="62">
        <v>42893</v>
      </c>
      <c r="EC453" s="60" t="str">
        <f>VLOOKUP($M453,[1]Detail!$M:$BO,1,0)</f>
        <v>JD81-18K579-DA</v>
      </c>
      <c r="ED453" s="60">
        <f>VLOOKUP($M453,[1]Detail!$M:$BO,22,0)</f>
        <v>-19.23</v>
      </c>
      <c r="EE453" s="60">
        <f>VLOOKUP($M453,[1]Detail!$M:$BO,42,0)</f>
        <v>-44800</v>
      </c>
      <c r="EF453" s="60">
        <f>VLOOKUP($M453,[1]Detail!$M:$BO,45,0)</f>
        <v>0</v>
      </c>
      <c r="EH453" s="60">
        <f t="shared" si="371"/>
        <v>0</v>
      </c>
      <c r="EI453" s="60">
        <f t="shared" si="372"/>
        <v>0</v>
      </c>
      <c r="EJ453" s="60">
        <f t="shared" si="373"/>
        <v>0</v>
      </c>
    </row>
    <row r="454" spans="2:140" ht="12.75" hidden="1" customHeight="1">
      <c r="B454" s="99" t="s">
        <v>856</v>
      </c>
      <c r="C454" s="22" t="s">
        <v>857</v>
      </c>
      <c r="D454" s="22" t="s">
        <v>858</v>
      </c>
      <c r="E454" s="2" t="str">
        <f>VLOOKUP($C454,[1]Detail!$C:$AK,6,0)</f>
        <v>PMT4</v>
      </c>
      <c r="F454" s="2" t="str">
        <f>VLOOKUP($C454,[1]Detail!$C:$AK,7,0)</f>
        <v>PF</v>
      </c>
      <c r="G454" s="2" t="str">
        <f>VLOOKUP($C454,[1]Detail!$C:$AK,5,0)</f>
        <v>B</v>
      </c>
      <c r="J454" s="22" t="s">
        <v>585</v>
      </c>
      <c r="K454" s="23" t="s">
        <v>873</v>
      </c>
      <c r="L454" s="22" t="s">
        <v>115</v>
      </c>
      <c r="M454" s="51" t="str">
        <f t="shared" si="344"/>
        <v>JD81-18K580-DA</v>
      </c>
      <c r="O454" s="22">
        <v>0</v>
      </c>
      <c r="P454" s="22">
        <v>0</v>
      </c>
      <c r="Q454" s="22">
        <v>0</v>
      </c>
      <c r="R454" s="22">
        <v>0</v>
      </c>
      <c r="S454" s="22">
        <v>1</v>
      </c>
      <c r="T454" s="22">
        <v>0</v>
      </c>
      <c r="U454" s="22">
        <v>0</v>
      </c>
      <c r="V454" s="22">
        <v>0</v>
      </c>
      <c r="W454" s="64">
        <f t="shared" si="345"/>
        <v>0.09</v>
      </c>
      <c r="Y454" s="8">
        <v>-18.47</v>
      </c>
      <c r="Z454" s="8">
        <v>-0.4</v>
      </c>
      <c r="AA454" s="8">
        <v>-0.8</v>
      </c>
      <c r="AB454" s="8">
        <v>0</v>
      </c>
      <c r="AC454" s="8">
        <v>0</v>
      </c>
      <c r="AD454" s="8">
        <f t="shared" si="346"/>
        <v>-19.669999999999998</v>
      </c>
      <c r="AE454" s="2" t="s">
        <v>91</v>
      </c>
      <c r="AG454" s="8">
        <v>-44480</v>
      </c>
      <c r="AH454" s="8">
        <v>-44480</v>
      </c>
      <c r="AI454" s="6"/>
      <c r="AJ454" s="70">
        <v>0</v>
      </c>
      <c r="AK454" s="70">
        <v>0</v>
      </c>
      <c r="AL454" s="72">
        <v>0</v>
      </c>
      <c r="AM454" s="22"/>
      <c r="AO454" s="22" t="s">
        <v>585</v>
      </c>
      <c r="AP454" s="23" t="s">
        <v>873</v>
      </c>
      <c r="AQ454" s="22" t="s">
        <v>115</v>
      </c>
      <c r="AR454" s="51" t="str">
        <f t="shared" si="326"/>
        <v>JD81-18K580-DA</v>
      </c>
      <c r="AS454" s="3"/>
      <c r="AT454" s="22">
        <v>0</v>
      </c>
      <c r="AU454" s="22">
        <v>0</v>
      </c>
      <c r="AV454" s="22">
        <v>0</v>
      </c>
      <c r="AW454" s="22">
        <v>0</v>
      </c>
      <c r="AX454" s="22">
        <v>1</v>
      </c>
      <c r="AY454" s="22">
        <v>0</v>
      </c>
      <c r="AZ454" s="22">
        <v>0</v>
      </c>
      <c r="BA454" s="22">
        <v>0</v>
      </c>
      <c r="BB454" s="64">
        <f>SUMPRODUCT(AT454:BA454,$O$6:$V$6)</f>
        <v>0.09</v>
      </c>
      <c r="BD454" s="60">
        <v>-18.47</v>
      </c>
      <c r="BE454" s="60">
        <v>-0.4</v>
      </c>
      <c r="BF454" s="95">
        <v>-0.8</v>
      </c>
      <c r="BG454" s="95">
        <v>0</v>
      </c>
      <c r="BH454" s="95">
        <v>0</v>
      </c>
      <c r="BI454" s="8">
        <f t="shared" si="328"/>
        <v>-19.669999999999998</v>
      </c>
      <c r="BJ454" s="2" t="s">
        <v>91</v>
      </c>
      <c r="BL454" s="70">
        <v>-44480</v>
      </c>
      <c r="BM454" s="70">
        <v>-44480</v>
      </c>
      <c r="BO454" s="70">
        <v>0</v>
      </c>
      <c r="BP454" s="70">
        <v>0</v>
      </c>
      <c r="BQ454" s="72">
        <v>0</v>
      </c>
      <c r="BS454" s="61">
        <f t="shared" si="339"/>
        <v>0</v>
      </c>
      <c r="BT454" s="61">
        <f t="shared" si="335"/>
        <v>0</v>
      </c>
      <c r="BU454" s="61">
        <f t="shared" si="336"/>
        <v>0</v>
      </c>
      <c r="BV454" s="61">
        <f t="shared" si="337"/>
        <v>0</v>
      </c>
      <c r="BW454" s="61">
        <f t="shared" si="337"/>
        <v>0</v>
      </c>
      <c r="BX454" s="61">
        <f t="shared" si="348"/>
        <v>0</v>
      </c>
      <c r="BY454" s="61" t="s">
        <v>91</v>
      </c>
      <c r="CA454" s="61">
        <f t="shared" si="330"/>
        <v>0</v>
      </c>
      <c r="CB454" s="61">
        <f t="shared" si="330"/>
        <v>0</v>
      </c>
      <c r="CC454" s="61">
        <f t="shared" si="330"/>
        <v>0</v>
      </c>
      <c r="CD454" s="61">
        <f t="shared" si="329"/>
        <v>0</v>
      </c>
      <c r="CE454" s="61">
        <f t="shared" si="329"/>
        <v>0</v>
      </c>
      <c r="CF454" s="61">
        <f t="shared" si="329"/>
        <v>0</v>
      </c>
      <c r="CG454" s="61">
        <f t="shared" si="329"/>
        <v>0</v>
      </c>
      <c r="CH454" s="61">
        <f t="shared" si="329"/>
        <v>0</v>
      </c>
      <c r="CI454" s="61">
        <f t="shared" si="310"/>
        <v>0</v>
      </c>
      <c r="CJ454" s="61"/>
      <c r="CK454" s="61">
        <f t="shared" si="349"/>
        <v>0</v>
      </c>
      <c r="CL454" s="61">
        <f t="shared" si="349"/>
        <v>0</v>
      </c>
      <c r="CM454" s="61">
        <f t="shared" si="349"/>
        <v>0</v>
      </c>
      <c r="CN454" s="61">
        <f t="shared" si="349"/>
        <v>0</v>
      </c>
      <c r="CO454" s="61">
        <f t="shared" si="349"/>
        <v>0</v>
      </c>
      <c r="CP454" s="61">
        <f t="shared" si="349"/>
        <v>0</v>
      </c>
      <c r="CQ454" s="61">
        <f t="shared" si="349"/>
        <v>0</v>
      </c>
      <c r="CR454" s="61">
        <f t="shared" si="343"/>
        <v>0</v>
      </c>
      <c r="CS454" s="61">
        <f t="shared" si="312"/>
        <v>0</v>
      </c>
      <c r="CT454" s="61">
        <f t="shared" si="313"/>
        <v>0</v>
      </c>
      <c r="CV454" s="61">
        <f t="shared" si="314"/>
        <v>0</v>
      </c>
      <c r="CW454" s="61">
        <f t="shared" si="298"/>
        <v>0</v>
      </c>
      <c r="CX454" s="61"/>
      <c r="CY454" s="61">
        <f t="shared" si="368"/>
        <v>0</v>
      </c>
      <c r="CZ454" s="61">
        <f t="shared" si="321"/>
        <v>0</v>
      </c>
      <c r="DA454" s="61">
        <f t="shared" si="321"/>
        <v>0</v>
      </c>
      <c r="DB454" s="2" t="s">
        <v>86</v>
      </c>
      <c r="DC454" s="2" t="s">
        <v>86</v>
      </c>
      <c r="DD454" s="2" t="s">
        <v>142</v>
      </c>
      <c r="DE454" s="2" t="s">
        <v>181</v>
      </c>
      <c r="DF454" s="3" t="s">
        <v>86</v>
      </c>
      <c r="DG454" s="62">
        <v>42893</v>
      </c>
      <c r="EC454" s="60" t="str">
        <f>VLOOKUP($M454,[1]Detail!$M:$BO,1,0)</f>
        <v>JD81-18K580-DA</v>
      </c>
      <c r="ED454" s="60">
        <f>VLOOKUP($M454,[1]Detail!$M:$BO,22,0)</f>
        <v>-19.669999999999998</v>
      </c>
      <c r="EE454" s="60">
        <f>VLOOKUP($M454,[1]Detail!$M:$BO,42,0)</f>
        <v>-44480</v>
      </c>
      <c r="EF454" s="60">
        <f>VLOOKUP($M454,[1]Detail!$M:$BO,45,0)</f>
        <v>0</v>
      </c>
      <c r="EH454" s="60">
        <f t="shared" si="371"/>
        <v>0</v>
      </c>
      <c r="EI454" s="60">
        <f t="shared" si="372"/>
        <v>0</v>
      </c>
      <c r="EJ454" s="60">
        <f t="shared" si="373"/>
        <v>0</v>
      </c>
    </row>
    <row r="455" spans="2:140" ht="12.75" hidden="1" customHeight="1">
      <c r="B455" s="99" t="s">
        <v>856</v>
      </c>
      <c r="C455" s="22" t="s">
        <v>857</v>
      </c>
      <c r="D455" s="22" t="s">
        <v>858</v>
      </c>
      <c r="E455" s="2" t="str">
        <f>VLOOKUP($C455,[1]Detail!$C:$AK,6,0)</f>
        <v>PMT4</v>
      </c>
      <c r="F455" s="2" t="str">
        <f>VLOOKUP($C455,[1]Detail!$C:$AK,7,0)</f>
        <v>PF</v>
      </c>
      <c r="G455" s="2" t="str">
        <f>VLOOKUP($C455,[1]Detail!$C:$AK,5,0)</f>
        <v>B</v>
      </c>
      <c r="J455" s="22" t="s">
        <v>585</v>
      </c>
      <c r="K455" s="23" t="s">
        <v>881</v>
      </c>
      <c r="L455" s="22" t="s">
        <v>113</v>
      </c>
      <c r="M455" s="51" t="str">
        <f t="shared" si="344"/>
        <v>JD81-8K501-CA</v>
      </c>
      <c r="O455" s="22">
        <v>0</v>
      </c>
      <c r="P455" s="22">
        <v>0</v>
      </c>
      <c r="Q455" s="22">
        <v>0</v>
      </c>
      <c r="R455" s="22">
        <v>0</v>
      </c>
      <c r="S455" s="22">
        <v>0</v>
      </c>
      <c r="T455" s="22">
        <v>2</v>
      </c>
      <c r="U455" s="22">
        <v>0</v>
      </c>
      <c r="V455" s="22">
        <v>2</v>
      </c>
      <c r="W455" s="64">
        <f t="shared" si="345"/>
        <v>0.38</v>
      </c>
      <c r="Y455" s="8">
        <v>-6.29</v>
      </c>
      <c r="Z455" s="8">
        <v>-0.08</v>
      </c>
      <c r="AA455" s="8">
        <v>-0.15</v>
      </c>
      <c r="AB455" s="8">
        <v>0</v>
      </c>
      <c r="AC455" s="8">
        <v>0</v>
      </c>
      <c r="AD455" s="8">
        <f t="shared" si="346"/>
        <v>-6.5200000000000005</v>
      </c>
      <c r="AE455" s="2" t="s">
        <v>91</v>
      </c>
      <c r="AG455" s="8">
        <v>-25000</v>
      </c>
      <c r="AH455" s="8">
        <v>-25000</v>
      </c>
      <c r="AI455" s="6"/>
      <c r="AJ455" s="70">
        <v>0</v>
      </c>
      <c r="AK455" s="70">
        <v>0</v>
      </c>
      <c r="AL455" s="72">
        <v>0</v>
      </c>
      <c r="AM455" s="22"/>
      <c r="AO455" s="22"/>
      <c r="AP455" s="23"/>
      <c r="AQ455" s="22"/>
      <c r="AR455" s="51"/>
      <c r="AS455" s="3"/>
      <c r="AT455" s="22"/>
      <c r="AU455" s="22"/>
      <c r="AV455" s="22"/>
      <c r="AW455" s="22"/>
      <c r="AX455" s="22"/>
      <c r="AY455" s="22"/>
      <c r="AZ455" s="22"/>
      <c r="BA455" s="22"/>
      <c r="BB455" s="64"/>
      <c r="BD455" s="60"/>
      <c r="BE455" s="60"/>
      <c r="BF455" s="95"/>
      <c r="BG455" s="95"/>
      <c r="BH455" s="95"/>
      <c r="BI455" s="8"/>
      <c r="BJ455" s="2" t="s">
        <v>91</v>
      </c>
      <c r="BL455" s="70"/>
      <c r="BM455" s="70"/>
      <c r="BO455" s="70"/>
      <c r="BP455" s="70"/>
      <c r="BQ455" s="72"/>
      <c r="BS455" s="61">
        <f t="shared" si="339"/>
        <v>-6.29</v>
      </c>
      <c r="BT455" s="61">
        <f t="shared" si="335"/>
        <v>-0.08</v>
      </c>
      <c r="BU455" s="61">
        <f t="shared" si="336"/>
        <v>-0.15</v>
      </c>
      <c r="BV455" s="61">
        <f t="shared" ref="BV455:BW486" si="374">SUM(AB455)-SUM(BG455)</f>
        <v>0</v>
      </c>
      <c r="BW455" s="61">
        <f t="shared" si="374"/>
        <v>0</v>
      </c>
      <c r="BX455" s="61">
        <f t="shared" si="348"/>
        <v>-6.5200000000000005</v>
      </c>
      <c r="BY455" s="61" t="s">
        <v>91</v>
      </c>
      <c r="CA455" s="61">
        <f t="shared" si="330"/>
        <v>0</v>
      </c>
      <c r="CB455" s="61">
        <f t="shared" si="330"/>
        <v>0</v>
      </c>
      <c r="CC455" s="61">
        <f t="shared" si="330"/>
        <v>0</v>
      </c>
      <c r="CD455" s="61">
        <f t="shared" si="329"/>
        <v>0</v>
      </c>
      <c r="CE455" s="61">
        <f t="shared" si="329"/>
        <v>0</v>
      </c>
      <c r="CF455" s="61">
        <f t="shared" si="329"/>
        <v>-1.8925831202046035</v>
      </c>
      <c r="CG455" s="61">
        <f t="shared" si="329"/>
        <v>0</v>
      </c>
      <c r="CH455" s="61">
        <f t="shared" si="329"/>
        <v>-1.8925831202046035</v>
      </c>
      <c r="CI455" s="61">
        <f t="shared" ref="CI455:CI518" si="375">SUMPRODUCT(CA455:CH455,$O$6:$V$6)</f>
        <v>-0.35959079283887474</v>
      </c>
      <c r="CJ455" s="61"/>
      <c r="CK455" s="61">
        <f t="shared" si="349"/>
        <v>0</v>
      </c>
      <c r="CL455" s="61">
        <f t="shared" si="349"/>
        <v>0</v>
      </c>
      <c r="CM455" s="61">
        <f t="shared" si="349"/>
        <v>0</v>
      </c>
      <c r="CN455" s="61">
        <f t="shared" si="349"/>
        <v>0</v>
      </c>
      <c r="CO455" s="61">
        <f t="shared" si="349"/>
        <v>0</v>
      </c>
      <c r="CP455" s="61">
        <f t="shared" si="349"/>
        <v>-1.9617872724537386</v>
      </c>
      <c r="CQ455" s="61">
        <f t="shared" si="349"/>
        <v>0</v>
      </c>
      <c r="CR455" s="61">
        <f t="shared" si="343"/>
        <v>-1.9617872724537386</v>
      </c>
      <c r="CS455" s="61">
        <f t="shared" ref="CS455:CS518" si="376">SUMPRODUCT(CK455:CR455,$O$6:$V$6)</f>
        <v>-0.37273958176621036</v>
      </c>
      <c r="CT455" s="61">
        <f t="shared" ref="CT455:CT518" si="377">CS455*$C$2</f>
        <v>-2.4776000000000002</v>
      </c>
      <c r="CV455" s="61">
        <f t="shared" ref="CV455:CV496" si="378">SUM(AG455)-SUM(BL455)</f>
        <v>-25000</v>
      </c>
      <c r="CW455" s="61">
        <f t="shared" si="298"/>
        <v>-25000</v>
      </c>
      <c r="CX455" s="61"/>
      <c r="CY455" s="61">
        <f t="shared" si="368"/>
        <v>0</v>
      </c>
      <c r="CZ455" s="61">
        <f t="shared" si="321"/>
        <v>0</v>
      </c>
      <c r="DA455" s="61">
        <f t="shared" si="321"/>
        <v>0</v>
      </c>
      <c r="DB455" s="2" t="s">
        <v>86</v>
      </c>
      <c r="DC455" s="2" t="s">
        <v>86</v>
      </c>
      <c r="DD455" s="2" t="s">
        <v>142</v>
      </c>
      <c r="DE455" s="2" t="s">
        <v>181</v>
      </c>
      <c r="DF455" s="3" t="s">
        <v>86</v>
      </c>
      <c r="DG455" s="62">
        <v>42893</v>
      </c>
      <c r="EC455" s="60" t="str">
        <f>VLOOKUP($M455,[1]Detail!$M:$BO,1,0)</f>
        <v>JD81-8K501-CA</v>
      </c>
      <c r="ED455" s="60">
        <f>VLOOKUP($M455,[1]Detail!$M:$BO,22,0)</f>
        <v>-6.5200000000000005</v>
      </c>
      <c r="EE455" s="60">
        <f>VLOOKUP($M455,[1]Detail!$M:$BO,42,0)</f>
        <v>-25000</v>
      </c>
      <c r="EF455" s="60">
        <f>VLOOKUP($M455,[1]Detail!$M:$BO,45,0)</f>
        <v>0</v>
      </c>
      <c r="EH455" s="60">
        <f t="shared" si="371"/>
        <v>0</v>
      </c>
      <c r="EI455" s="60">
        <f t="shared" si="372"/>
        <v>0</v>
      </c>
      <c r="EJ455" s="60">
        <f t="shared" si="373"/>
        <v>0</v>
      </c>
    </row>
    <row r="456" spans="2:140" ht="12.75" hidden="1" customHeight="1">
      <c r="B456" s="99" t="s">
        <v>882</v>
      </c>
      <c r="C456" s="22" t="s">
        <v>883</v>
      </c>
      <c r="D456" s="22" t="s">
        <v>884</v>
      </c>
      <c r="E456" s="2" t="str">
        <f>VLOOKUP($C456,[1]Detail!$C:$AK,6,0)</f>
        <v>PMT3</v>
      </c>
      <c r="F456" s="2" t="str">
        <f>VLOOKUP($C456,[1]Detail!$C:$AK,7,0)</f>
        <v>PF</v>
      </c>
      <c r="G456" s="2" t="str">
        <f>VLOOKUP($C456,[1]Detail!$C:$AK,5,0)</f>
        <v>B</v>
      </c>
      <c r="J456" s="22" t="s">
        <v>98</v>
      </c>
      <c r="K456" s="23" t="s">
        <v>885</v>
      </c>
      <c r="L456" s="22" t="s">
        <v>111</v>
      </c>
      <c r="M456" s="51" t="str">
        <f t="shared" si="344"/>
        <v>JD8C-2234 -BA</v>
      </c>
      <c r="O456" s="22">
        <v>1</v>
      </c>
      <c r="P456" s="22">
        <v>1</v>
      </c>
      <c r="Q456" s="22">
        <v>1</v>
      </c>
      <c r="R456" s="22">
        <v>1</v>
      </c>
      <c r="S456" s="22">
        <v>0</v>
      </c>
      <c r="T456" s="22">
        <v>0</v>
      </c>
      <c r="U456" s="22">
        <v>1</v>
      </c>
      <c r="V456" s="22">
        <v>0</v>
      </c>
      <c r="W456" s="64">
        <f t="shared" si="345"/>
        <v>0.72000000000000008</v>
      </c>
      <c r="Y456" s="8">
        <v>-16.940000000000001</v>
      </c>
      <c r="Z456" s="8">
        <v>-0.18</v>
      </c>
      <c r="AA456" s="8">
        <v>-0.18</v>
      </c>
      <c r="AB456" s="8">
        <v>-0.02</v>
      </c>
      <c r="AC456" s="8">
        <v>0</v>
      </c>
      <c r="AD456" s="8">
        <f t="shared" si="346"/>
        <v>-17.32</v>
      </c>
      <c r="AE456" s="2" t="s">
        <v>91</v>
      </c>
      <c r="AG456" s="8">
        <v>-270920</v>
      </c>
      <c r="AH456" s="8">
        <v>-270920</v>
      </c>
      <c r="AI456" s="6"/>
      <c r="AJ456" s="70">
        <v>0</v>
      </c>
      <c r="AK456" s="70">
        <v>0</v>
      </c>
      <c r="AL456" s="72"/>
      <c r="AM456" s="22"/>
      <c r="AO456" s="22" t="s">
        <v>357</v>
      </c>
      <c r="AP456" s="23" t="s">
        <v>885</v>
      </c>
      <c r="AQ456" s="22" t="s">
        <v>886</v>
      </c>
      <c r="AR456" s="51" t="str">
        <f t="shared" ref="AR456:AR474" si="379">TRIM(AO456)&amp;"-"&amp;TRIM(AP456)&amp;"-"&amp;TRIM(AQ456)</f>
        <v>ED8C-2234 -BE</v>
      </c>
      <c r="AS456" s="3"/>
      <c r="AT456" s="22">
        <v>1</v>
      </c>
      <c r="AU456" s="22">
        <v>1</v>
      </c>
      <c r="AV456" s="22">
        <v>1</v>
      </c>
      <c r="AW456" s="22">
        <v>1</v>
      </c>
      <c r="AX456" s="22">
        <v>0</v>
      </c>
      <c r="AY456" s="22">
        <v>0</v>
      </c>
      <c r="AZ456" s="22">
        <v>1</v>
      </c>
      <c r="BA456" s="22">
        <v>0</v>
      </c>
      <c r="BB456" s="64">
        <f t="shared" ref="BB456:BB474" si="380">SUMPRODUCT(AT456:BA456,$O$6:$V$6)</f>
        <v>0.72000000000000008</v>
      </c>
      <c r="BD456" s="60">
        <v>-17.11</v>
      </c>
      <c r="BE456" s="60">
        <v>-0.18</v>
      </c>
      <c r="BF456" s="95">
        <v>-0.18</v>
      </c>
      <c r="BG456" s="95">
        <v>-0.02</v>
      </c>
      <c r="BH456" s="95">
        <v>0</v>
      </c>
      <c r="BI456" s="8">
        <f t="shared" ref="BI456:BI474" si="381">SUM(BD456:BH456)</f>
        <v>-17.489999999999998</v>
      </c>
      <c r="BJ456" s="2" t="s">
        <v>91</v>
      </c>
      <c r="BL456" s="70">
        <v>0</v>
      </c>
      <c r="BM456" s="70">
        <v>0</v>
      </c>
      <c r="BO456" s="70">
        <v>0</v>
      </c>
      <c r="BP456" s="70">
        <v>0</v>
      </c>
      <c r="BQ456" s="72"/>
      <c r="BS456" s="61">
        <f t="shared" ref="BS456:BS487" si="382">SUM(Y456)-SUM(BD456)</f>
        <v>0.16999999999999815</v>
      </c>
      <c r="BT456" s="61">
        <f t="shared" si="335"/>
        <v>0</v>
      </c>
      <c r="BU456" s="61">
        <f t="shared" si="336"/>
        <v>0</v>
      </c>
      <c r="BV456" s="61">
        <f t="shared" si="374"/>
        <v>0</v>
      </c>
      <c r="BW456" s="61">
        <f t="shared" si="374"/>
        <v>0</v>
      </c>
      <c r="BX456" s="61">
        <f t="shared" si="348"/>
        <v>0.16999999999999815</v>
      </c>
      <c r="BY456" s="61" t="s">
        <v>91</v>
      </c>
      <c r="CA456" s="61">
        <f t="shared" si="330"/>
        <v>2.5575447570332203E-2</v>
      </c>
      <c r="CB456" s="61">
        <f t="shared" si="330"/>
        <v>2.5575447570332203E-2</v>
      </c>
      <c r="CC456" s="61">
        <f t="shared" si="330"/>
        <v>2.5575447570332203E-2</v>
      </c>
      <c r="CD456" s="61">
        <f t="shared" si="329"/>
        <v>2.5575447570332203E-2</v>
      </c>
      <c r="CE456" s="61">
        <f t="shared" si="329"/>
        <v>0</v>
      </c>
      <c r="CF456" s="61">
        <f t="shared" si="329"/>
        <v>0</v>
      </c>
      <c r="CG456" s="61">
        <f t="shared" si="329"/>
        <v>2.5575447570332203E-2</v>
      </c>
      <c r="CH456" s="61">
        <f t="shared" si="329"/>
        <v>0</v>
      </c>
      <c r="CI456" s="61">
        <f t="shared" si="375"/>
        <v>1.841432225063919E-2</v>
      </c>
      <c r="CJ456" s="61"/>
      <c r="CK456" s="61">
        <f t="shared" si="349"/>
        <v>2.5575447570332203E-2</v>
      </c>
      <c r="CL456" s="61">
        <f t="shared" si="349"/>
        <v>2.5575447570332203E-2</v>
      </c>
      <c r="CM456" s="61">
        <f t="shared" si="349"/>
        <v>2.5575447570332203E-2</v>
      </c>
      <c r="CN456" s="61">
        <f t="shared" si="349"/>
        <v>2.5575447570332203E-2</v>
      </c>
      <c r="CO456" s="61">
        <f t="shared" si="349"/>
        <v>0</v>
      </c>
      <c r="CP456" s="61">
        <f t="shared" si="349"/>
        <v>0</v>
      </c>
      <c r="CQ456" s="61">
        <f t="shared" si="349"/>
        <v>2.5575447570332203E-2</v>
      </c>
      <c r="CR456" s="61">
        <f t="shared" si="343"/>
        <v>0</v>
      </c>
      <c r="CS456" s="61">
        <f t="shared" si="376"/>
        <v>1.841432225063919E-2</v>
      </c>
      <c r="CT456" s="61">
        <f t="shared" si="377"/>
        <v>0.1223999999999987</v>
      </c>
      <c r="CV456" s="61">
        <f t="shared" si="378"/>
        <v>-270920</v>
      </c>
      <c r="CW456" s="61">
        <f t="shared" si="298"/>
        <v>-270920</v>
      </c>
      <c r="CX456" s="61"/>
      <c r="CY456" s="61">
        <f t="shared" si="368"/>
        <v>0</v>
      </c>
      <c r="CZ456" s="61">
        <f t="shared" si="321"/>
        <v>0</v>
      </c>
      <c r="DA456" s="61">
        <f t="shared" si="321"/>
        <v>0</v>
      </c>
      <c r="DB456" s="2" t="s">
        <v>86</v>
      </c>
      <c r="DC456" s="2" t="s">
        <v>86</v>
      </c>
      <c r="DD456" s="2" t="s">
        <v>142</v>
      </c>
      <c r="DE456" s="2" t="s">
        <v>181</v>
      </c>
      <c r="DF456" s="3" t="s">
        <v>86</v>
      </c>
      <c r="DG456" s="62">
        <v>42929</v>
      </c>
      <c r="EC456" s="60" t="str">
        <f>VLOOKUP($M456,[1]Detail!$M:$BO,1,0)</f>
        <v>JD8C-2234 -BA</v>
      </c>
      <c r="ED456" s="60">
        <f>VLOOKUP($M456,[1]Detail!$M:$BO,22,0)</f>
        <v>-17.32</v>
      </c>
      <c r="EE456" s="60">
        <f>VLOOKUP($M456,[1]Detail!$M:$BO,42,0)</f>
        <v>-270920</v>
      </c>
      <c r="EF456" s="60">
        <f>VLOOKUP($M456,[1]Detail!$M:$BO,45,0)</f>
        <v>0</v>
      </c>
      <c r="EH456" s="60">
        <f t="shared" si="371"/>
        <v>0</v>
      </c>
      <c r="EI456" s="60">
        <f t="shared" si="372"/>
        <v>0</v>
      </c>
      <c r="EJ456" s="60">
        <f t="shared" si="373"/>
        <v>0</v>
      </c>
    </row>
    <row r="457" spans="2:140" ht="12.75" hidden="1" customHeight="1">
      <c r="B457" s="99" t="s">
        <v>882</v>
      </c>
      <c r="C457" s="22" t="s">
        <v>883</v>
      </c>
      <c r="D457" s="22" t="s">
        <v>884</v>
      </c>
      <c r="E457" s="2" t="str">
        <f>VLOOKUP($C457,[1]Detail!$C:$AK,6,0)</f>
        <v>PMT3</v>
      </c>
      <c r="F457" s="2" t="str">
        <f>VLOOKUP($C457,[1]Detail!$C:$AK,7,0)</f>
        <v>PF</v>
      </c>
      <c r="G457" s="2" t="str">
        <f>VLOOKUP($C457,[1]Detail!$C:$AK,5,0)</f>
        <v>B</v>
      </c>
      <c r="J457" s="22" t="s">
        <v>98</v>
      </c>
      <c r="K457" s="23" t="s">
        <v>885</v>
      </c>
      <c r="L457" s="22" t="s">
        <v>113</v>
      </c>
      <c r="M457" s="51" t="str">
        <f t="shared" si="344"/>
        <v>JD8C-2234 -CA</v>
      </c>
      <c r="O457" s="22">
        <v>0</v>
      </c>
      <c r="P457" s="22">
        <v>0</v>
      </c>
      <c r="Q457" s="22">
        <v>0</v>
      </c>
      <c r="R457" s="22">
        <v>0</v>
      </c>
      <c r="S457" s="22">
        <v>1</v>
      </c>
      <c r="T457" s="22">
        <v>1</v>
      </c>
      <c r="U457" s="22">
        <v>0</v>
      </c>
      <c r="V457" s="22">
        <v>1</v>
      </c>
      <c r="W457" s="64">
        <f t="shared" si="345"/>
        <v>0.28000000000000003</v>
      </c>
      <c r="Y457" s="8">
        <v>-12.85</v>
      </c>
      <c r="Z457" s="8">
        <v>-0.16</v>
      </c>
      <c r="AA457" s="8">
        <v>-0.16</v>
      </c>
      <c r="AB457" s="8">
        <v>-0.04</v>
      </c>
      <c r="AC457" s="8">
        <v>0</v>
      </c>
      <c r="AD457" s="8">
        <f t="shared" si="346"/>
        <v>-13.209999999999999</v>
      </c>
      <c r="AE457" s="2" t="s">
        <v>91</v>
      </c>
      <c r="AG457" s="8">
        <v>-27150</v>
      </c>
      <c r="AH457" s="8">
        <v>-27150</v>
      </c>
      <c r="AI457" s="6"/>
      <c r="AJ457" s="70">
        <v>0</v>
      </c>
      <c r="AK457" s="70">
        <v>0</v>
      </c>
      <c r="AL457" s="72"/>
      <c r="AM457" s="22"/>
      <c r="AO457" s="22" t="s">
        <v>357</v>
      </c>
      <c r="AP457" s="23" t="s">
        <v>885</v>
      </c>
      <c r="AQ457" s="22" t="s">
        <v>234</v>
      </c>
      <c r="AR457" s="51" t="str">
        <f t="shared" si="379"/>
        <v>ED8C-2234 -AC</v>
      </c>
      <c r="AS457" s="3"/>
      <c r="AT457" s="22">
        <v>0</v>
      </c>
      <c r="AU457" s="22">
        <v>0</v>
      </c>
      <c r="AV457" s="22">
        <v>0</v>
      </c>
      <c r="AW457" s="22">
        <v>0</v>
      </c>
      <c r="AX457" s="22">
        <v>1</v>
      </c>
      <c r="AY457" s="22">
        <v>1</v>
      </c>
      <c r="AZ457" s="22">
        <v>0</v>
      </c>
      <c r="BA457" s="22">
        <v>1</v>
      </c>
      <c r="BB457" s="64">
        <f t="shared" si="380"/>
        <v>0.28000000000000003</v>
      </c>
      <c r="BD457" s="60">
        <v>-12.9</v>
      </c>
      <c r="BE457" s="60">
        <v>-0.16</v>
      </c>
      <c r="BF457" s="95">
        <v>-0.16</v>
      </c>
      <c r="BG457" s="95">
        <v>-0.04</v>
      </c>
      <c r="BH457" s="95">
        <v>0</v>
      </c>
      <c r="BI457" s="8">
        <f t="shared" si="381"/>
        <v>-13.26</v>
      </c>
      <c r="BJ457" s="2" t="s">
        <v>91</v>
      </c>
      <c r="BL457" s="70">
        <v>0</v>
      </c>
      <c r="BM457" s="70">
        <v>0</v>
      </c>
      <c r="BO457" s="70">
        <v>0</v>
      </c>
      <c r="BP457" s="70">
        <v>0</v>
      </c>
      <c r="BQ457" s="72"/>
      <c r="BS457" s="61">
        <f t="shared" si="382"/>
        <v>5.0000000000000711E-2</v>
      </c>
      <c r="BT457" s="61">
        <f t="shared" si="335"/>
        <v>0</v>
      </c>
      <c r="BU457" s="61">
        <f t="shared" si="336"/>
        <v>0</v>
      </c>
      <c r="BV457" s="61">
        <f t="shared" si="374"/>
        <v>0</v>
      </c>
      <c r="BW457" s="61">
        <f t="shared" si="374"/>
        <v>0</v>
      </c>
      <c r="BX457" s="61">
        <f t="shared" si="348"/>
        <v>5.0000000000000711E-2</v>
      </c>
      <c r="BY457" s="61" t="s">
        <v>91</v>
      </c>
      <c r="CA457" s="61">
        <f t="shared" si="330"/>
        <v>0</v>
      </c>
      <c r="CB457" s="61">
        <f t="shared" si="330"/>
        <v>0</v>
      </c>
      <c r="CC457" s="61">
        <f t="shared" si="330"/>
        <v>0</v>
      </c>
      <c r="CD457" s="61">
        <f t="shared" si="329"/>
        <v>0</v>
      </c>
      <c r="CE457" s="61">
        <f t="shared" si="329"/>
        <v>7.5221904618626009E-3</v>
      </c>
      <c r="CF457" s="61">
        <f t="shared" si="329"/>
        <v>7.5221904618626009E-3</v>
      </c>
      <c r="CG457" s="61">
        <f t="shared" si="329"/>
        <v>0</v>
      </c>
      <c r="CH457" s="61">
        <f t="shared" si="329"/>
        <v>7.5221904618626009E-3</v>
      </c>
      <c r="CI457" s="61">
        <f t="shared" si="375"/>
        <v>2.1062133293215284E-3</v>
      </c>
      <c r="CJ457" s="61"/>
      <c r="CK457" s="61">
        <f t="shared" si="349"/>
        <v>0</v>
      </c>
      <c r="CL457" s="61">
        <f t="shared" si="349"/>
        <v>0</v>
      </c>
      <c r="CM457" s="61">
        <f t="shared" si="349"/>
        <v>0</v>
      </c>
      <c r="CN457" s="61">
        <f t="shared" si="349"/>
        <v>0</v>
      </c>
      <c r="CO457" s="61">
        <f t="shared" si="349"/>
        <v>7.5221904618626009E-3</v>
      </c>
      <c r="CP457" s="61">
        <f t="shared" si="349"/>
        <v>7.5221904618626009E-3</v>
      </c>
      <c r="CQ457" s="61">
        <f t="shared" si="349"/>
        <v>0</v>
      </c>
      <c r="CR457" s="61">
        <f t="shared" si="343"/>
        <v>7.5221904618626009E-3</v>
      </c>
      <c r="CS457" s="61">
        <f t="shared" si="376"/>
        <v>2.1062133293215284E-3</v>
      </c>
      <c r="CT457" s="61">
        <f t="shared" si="377"/>
        <v>1.40000000000002E-2</v>
      </c>
      <c r="CV457" s="61">
        <f t="shared" si="378"/>
        <v>-27150</v>
      </c>
      <c r="CW457" s="61">
        <f t="shared" ref="CW457:CW526" si="383">SUM(AH457)-SUM(BM457)</f>
        <v>-27150</v>
      </c>
      <c r="CX457" s="61"/>
      <c r="CY457" s="61">
        <f t="shared" si="368"/>
        <v>0</v>
      </c>
      <c r="CZ457" s="61">
        <f t="shared" si="321"/>
        <v>0</v>
      </c>
      <c r="DA457" s="61">
        <f t="shared" si="321"/>
        <v>0</v>
      </c>
      <c r="DB457" s="2" t="s">
        <v>86</v>
      </c>
      <c r="DC457" s="2" t="s">
        <v>86</v>
      </c>
      <c r="DD457" s="2" t="s">
        <v>142</v>
      </c>
      <c r="DE457" s="2" t="s">
        <v>181</v>
      </c>
      <c r="DF457" s="3" t="s">
        <v>86</v>
      </c>
      <c r="DG457" s="62">
        <v>42929</v>
      </c>
      <c r="EC457" s="60" t="str">
        <f>VLOOKUP($M457,[1]Detail!$M:$BO,1,0)</f>
        <v>JD8C-2234 -CA</v>
      </c>
      <c r="ED457" s="60">
        <f>VLOOKUP($M457,[1]Detail!$M:$BO,22,0)</f>
        <v>-13.209999999999999</v>
      </c>
      <c r="EE457" s="60">
        <f>VLOOKUP($M457,[1]Detail!$M:$BO,42,0)</f>
        <v>-27150</v>
      </c>
      <c r="EF457" s="60">
        <f>VLOOKUP($M457,[1]Detail!$M:$BO,45,0)</f>
        <v>0</v>
      </c>
      <c r="EH457" s="60">
        <f t="shared" si="371"/>
        <v>0</v>
      </c>
      <c r="EI457" s="60">
        <f t="shared" si="372"/>
        <v>0</v>
      </c>
      <c r="EJ457" s="60">
        <f t="shared" si="373"/>
        <v>0</v>
      </c>
    </row>
    <row r="458" spans="2:140" ht="12.75" hidden="1" customHeight="1">
      <c r="B458" s="99" t="s">
        <v>882</v>
      </c>
      <c r="C458" s="22" t="s">
        <v>883</v>
      </c>
      <c r="D458" s="22" t="s">
        <v>884</v>
      </c>
      <c r="E458" s="2" t="str">
        <f>VLOOKUP($C458,[1]Detail!$C:$AK,6,0)</f>
        <v>PMT3</v>
      </c>
      <c r="F458" s="2" t="str">
        <f>VLOOKUP($C458,[1]Detail!$C:$AK,7,0)</f>
        <v>PF</v>
      </c>
      <c r="G458" s="2" t="str">
        <f>VLOOKUP($C458,[1]Detail!$C:$AK,5,0)</f>
        <v>B</v>
      </c>
      <c r="J458" s="22" t="s">
        <v>98</v>
      </c>
      <c r="K458" s="23" t="s">
        <v>887</v>
      </c>
      <c r="L458" s="22" t="s">
        <v>100</v>
      </c>
      <c r="M458" s="51" t="str">
        <f t="shared" si="344"/>
        <v>JD8C-2263 -AA</v>
      </c>
      <c r="O458" s="22">
        <v>1</v>
      </c>
      <c r="P458" s="22">
        <v>1</v>
      </c>
      <c r="Q458" s="22">
        <v>1</v>
      </c>
      <c r="R458" s="22">
        <v>1</v>
      </c>
      <c r="S458" s="22">
        <v>1</v>
      </c>
      <c r="T458" s="22">
        <v>1</v>
      </c>
      <c r="U458" s="22">
        <v>1</v>
      </c>
      <c r="V458" s="22">
        <v>1</v>
      </c>
      <c r="W458" s="64">
        <f t="shared" si="345"/>
        <v>1</v>
      </c>
      <c r="Y458" s="8">
        <v>-18.399999999999999</v>
      </c>
      <c r="Z458" s="8">
        <v>-0.22</v>
      </c>
      <c r="AA458" s="8">
        <v>-0.22</v>
      </c>
      <c r="AB458" s="8">
        <v>-7.0000000000000007E-2</v>
      </c>
      <c r="AC458" s="8">
        <v>0</v>
      </c>
      <c r="AD458" s="8">
        <f t="shared" si="346"/>
        <v>-18.909999999999997</v>
      </c>
      <c r="AE458" s="2" t="s">
        <v>91</v>
      </c>
      <c r="AG458" s="8">
        <v>-212260</v>
      </c>
      <c r="AH458" s="8">
        <v>-212260</v>
      </c>
      <c r="AI458" s="6"/>
      <c r="AJ458" s="70">
        <v>0</v>
      </c>
      <c r="AK458" s="70">
        <v>0</v>
      </c>
      <c r="AL458" s="72"/>
      <c r="AM458" s="22"/>
      <c r="AO458" s="22" t="s">
        <v>357</v>
      </c>
      <c r="AP458" s="23" t="s">
        <v>887</v>
      </c>
      <c r="AQ458" s="22" t="s">
        <v>234</v>
      </c>
      <c r="AR458" s="51" t="str">
        <f t="shared" si="379"/>
        <v>ED8C-2263 -AC</v>
      </c>
      <c r="AS458" s="3"/>
      <c r="AT458" s="22">
        <v>1</v>
      </c>
      <c r="AU458" s="22">
        <v>1</v>
      </c>
      <c r="AV458" s="22">
        <v>1</v>
      </c>
      <c r="AW458" s="22">
        <v>1</v>
      </c>
      <c r="AX458" s="22">
        <v>1</v>
      </c>
      <c r="AY458" s="22">
        <v>1</v>
      </c>
      <c r="AZ458" s="22">
        <v>1</v>
      </c>
      <c r="BA458" s="22">
        <v>1</v>
      </c>
      <c r="BB458" s="64">
        <f t="shared" si="380"/>
        <v>1</v>
      </c>
      <c r="BD458" s="60">
        <v>-18.079999999999998</v>
      </c>
      <c r="BE458" s="60">
        <v>-0.22</v>
      </c>
      <c r="BF458" s="95">
        <v>-0.22</v>
      </c>
      <c r="BG458" s="95">
        <v>-7.0000000000000007E-2</v>
      </c>
      <c r="BH458" s="95">
        <v>0</v>
      </c>
      <c r="BI458" s="8">
        <f t="shared" si="381"/>
        <v>-18.589999999999996</v>
      </c>
      <c r="BJ458" s="2" t="s">
        <v>91</v>
      </c>
      <c r="BL458" s="70">
        <v>0</v>
      </c>
      <c r="BM458" s="70">
        <v>0</v>
      </c>
      <c r="BO458" s="70">
        <v>0</v>
      </c>
      <c r="BP458" s="70">
        <v>0</v>
      </c>
      <c r="BQ458" s="72"/>
      <c r="BS458" s="61">
        <f t="shared" si="382"/>
        <v>-0.32000000000000028</v>
      </c>
      <c r="BT458" s="61">
        <f t="shared" si="335"/>
        <v>0</v>
      </c>
      <c r="BU458" s="61">
        <f t="shared" si="336"/>
        <v>0</v>
      </c>
      <c r="BV458" s="61">
        <f t="shared" si="374"/>
        <v>0</v>
      </c>
      <c r="BW458" s="61">
        <f t="shared" si="374"/>
        <v>0</v>
      </c>
      <c r="BX458" s="61">
        <f t="shared" si="348"/>
        <v>-0.32000000000000028</v>
      </c>
      <c r="BY458" s="61" t="s">
        <v>91</v>
      </c>
      <c r="CA458" s="61">
        <f t="shared" si="330"/>
        <v>-4.8142018955920005E-2</v>
      </c>
      <c r="CB458" s="61">
        <f t="shared" si="330"/>
        <v>-4.8142018955920005E-2</v>
      </c>
      <c r="CC458" s="61">
        <f t="shared" si="330"/>
        <v>-4.8142018955920005E-2</v>
      </c>
      <c r="CD458" s="61">
        <f t="shared" si="329"/>
        <v>-4.8142018955920005E-2</v>
      </c>
      <c r="CE458" s="61">
        <f t="shared" si="329"/>
        <v>-4.8142018955920005E-2</v>
      </c>
      <c r="CF458" s="61">
        <f t="shared" si="329"/>
        <v>-4.8142018955920005E-2</v>
      </c>
      <c r="CG458" s="61">
        <f t="shared" si="329"/>
        <v>-4.8142018955920005E-2</v>
      </c>
      <c r="CH458" s="61">
        <f t="shared" si="329"/>
        <v>-4.8142018955920005E-2</v>
      </c>
      <c r="CI458" s="61">
        <f t="shared" si="375"/>
        <v>-4.8142018955920005E-2</v>
      </c>
      <c r="CJ458" s="61"/>
      <c r="CK458" s="61">
        <f t="shared" si="349"/>
        <v>-4.8142018955920005E-2</v>
      </c>
      <c r="CL458" s="61">
        <f t="shared" si="349"/>
        <v>-4.8142018955920005E-2</v>
      </c>
      <c r="CM458" s="61">
        <f t="shared" si="349"/>
        <v>-4.8142018955920005E-2</v>
      </c>
      <c r="CN458" s="61">
        <f t="shared" si="349"/>
        <v>-4.8142018955920005E-2</v>
      </c>
      <c r="CO458" s="61">
        <f t="shared" si="349"/>
        <v>-4.8142018955920005E-2</v>
      </c>
      <c r="CP458" s="61">
        <f t="shared" si="349"/>
        <v>-4.8142018955920005E-2</v>
      </c>
      <c r="CQ458" s="61">
        <f t="shared" si="349"/>
        <v>-4.8142018955920005E-2</v>
      </c>
      <c r="CR458" s="61">
        <f t="shared" si="343"/>
        <v>-4.8142018955920005E-2</v>
      </c>
      <c r="CS458" s="61">
        <f t="shared" si="376"/>
        <v>-4.8142018955920005E-2</v>
      </c>
      <c r="CT458" s="61">
        <f t="shared" si="377"/>
        <v>-0.32000000000000028</v>
      </c>
      <c r="CV458" s="61">
        <f t="shared" si="378"/>
        <v>-212260</v>
      </c>
      <c r="CW458" s="61">
        <f t="shared" si="383"/>
        <v>-212260</v>
      </c>
      <c r="CX458" s="61"/>
      <c r="CY458" s="61">
        <f t="shared" si="368"/>
        <v>0</v>
      </c>
      <c r="CZ458" s="61">
        <f t="shared" si="321"/>
        <v>0</v>
      </c>
      <c r="DA458" s="61">
        <f t="shared" si="321"/>
        <v>0</v>
      </c>
      <c r="DB458" s="2" t="s">
        <v>86</v>
      </c>
      <c r="DC458" s="2" t="s">
        <v>86</v>
      </c>
      <c r="DD458" s="2" t="s">
        <v>142</v>
      </c>
      <c r="DE458" s="2" t="s">
        <v>181</v>
      </c>
      <c r="DF458" s="3" t="s">
        <v>86</v>
      </c>
      <c r="DG458" s="62">
        <v>42929</v>
      </c>
      <c r="EC458" s="60" t="str">
        <f>VLOOKUP($M458,[1]Detail!$M:$BO,1,0)</f>
        <v>JD8C-2263 -AA</v>
      </c>
      <c r="ED458" s="60">
        <f>VLOOKUP($M458,[1]Detail!$M:$BO,22,0)</f>
        <v>-18.909999999999997</v>
      </c>
      <c r="EE458" s="60">
        <f>VLOOKUP($M458,[1]Detail!$M:$BO,42,0)</f>
        <v>-212260</v>
      </c>
      <c r="EF458" s="60">
        <f>VLOOKUP($M458,[1]Detail!$M:$BO,45,0)</f>
        <v>0</v>
      </c>
      <c r="EH458" s="60">
        <f t="shared" si="371"/>
        <v>0</v>
      </c>
      <c r="EI458" s="60">
        <f t="shared" si="372"/>
        <v>0</v>
      </c>
      <c r="EJ458" s="60">
        <f t="shared" si="373"/>
        <v>0</v>
      </c>
    </row>
    <row r="459" spans="2:140" ht="12.75" hidden="1" customHeight="1">
      <c r="B459" s="99" t="s">
        <v>882</v>
      </c>
      <c r="C459" s="22" t="s">
        <v>883</v>
      </c>
      <c r="D459" s="22" t="s">
        <v>884</v>
      </c>
      <c r="E459" s="2" t="str">
        <f>VLOOKUP($C459,[1]Detail!$C:$AK,6,0)</f>
        <v>PMT3</v>
      </c>
      <c r="F459" s="2" t="str">
        <f>VLOOKUP($C459,[1]Detail!$C:$AK,7,0)</f>
        <v>PF</v>
      </c>
      <c r="G459" s="2" t="str">
        <f>VLOOKUP($C459,[1]Detail!$C:$AK,5,0)</f>
        <v>B</v>
      </c>
      <c r="J459" s="22" t="s">
        <v>357</v>
      </c>
      <c r="K459" s="23" t="s">
        <v>888</v>
      </c>
      <c r="L459" s="22" t="s">
        <v>234</v>
      </c>
      <c r="M459" s="51" t="str">
        <f t="shared" si="344"/>
        <v>ED8C-2A040 -AC</v>
      </c>
      <c r="O459" s="22">
        <v>0</v>
      </c>
      <c r="P459" s="22">
        <v>0</v>
      </c>
      <c r="Q459" s="22">
        <v>0</v>
      </c>
      <c r="R459" s="22">
        <v>0</v>
      </c>
      <c r="S459" s="22">
        <v>1</v>
      </c>
      <c r="T459" s="22">
        <v>1</v>
      </c>
      <c r="U459" s="22">
        <v>0</v>
      </c>
      <c r="V459" s="22">
        <v>1</v>
      </c>
      <c r="W459" s="64">
        <f t="shared" si="345"/>
        <v>0.28000000000000003</v>
      </c>
      <c r="Y459" s="8">
        <v>-14.45</v>
      </c>
      <c r="Z459" s="8">
        <v>-0.16</v>
      </c>
      <c r="AA459" s="8">
        <v>-0.16</v>
      </c>
      <c r="AB459" s="8">
        <v>-0.04</v>
      </c>
      <c r="AC459" s="8">
        <v>0</v>
      </c>
      <c r="AD459" s="8">
        <f t="shared" ref="AD459:AD490" si="384">SUM(Y459:AC459)</f>
        <v>-14.809999999999999</v>
      </c>
      <c r="AE459" s="2" t="s">
        <v>91</v>
      </c>
      <c r="AG459" s="8">
        <v>0</v>
      </c>
      <c r="AH459" s="8">
        <v>0</v>
      </c>
      <c r="AJ459" s="70">
        <v>0</v>
      </c>
      <c r="AK459" s="70">
        <v>0</v>
      </c>
      <c r="AL459" s="72"/>
      <c r="AM459" s="22"/>
      <c r="AO459" s="22" t="s">
        <v>357</v>
      </c>
      <c r="AP459" s="23" t="s">
        <v>888</v>
      </c>
      <c r="AQ459" s="22" t="s">
        <v>234</v>
      </c>
      <c r="AR459" s="51" t="str">
        <f t="shared" si="379"/>
        <v>ED8C-2A040 -AC</v>
      </c>
      <c r="AS459" s="3"/>
      <c r="AT459" s="22">
        <v>0</v>
      </c>
      <c r="AU459" s="22">
        <v>0</v>
      </c>
      <c r="AV459" s="22">
        <v>0</v>
      </c>
      <c r="AW459" s="22">
        <v>0</v>
      </c>
      <c r="AX459" s="22">
        <v>1</v>
      </c>
      <c r="AY459" s="22">
        <v>1</v>
      </c>
      <c r="AZ459" s="22">
        <v>0</v>
      </c>
      <c r="BA459" s="22">
        <v>1</v>
      </c>
      <c r="BB459" s="64">
        <f t="shared" si="380"/>
        <v>0.28000000000000003</v>
      </c>
      <c r="BD459" s="60">
        <v>-14.45</v>
      </c>
      <c r="BE459" s="60">
        <v>-0.16</v>
      </c>
      <c r="BF459" s="95">
        <v>-0.16</v>
      </c>
      <c r="BG459" s="95">
        <v>-0.04</v>
      </c>
      <c r="BH459" s="95">
        <v>0</v>
      </c>
      <c r="BI459" s="8">
        <f t="shared" si="381"/>
        <v>-14.809999999999999</v>
      </c>
      <c r="BJ459" s="2" t="s">
        <v>91</v>
      </c>
      <c r="BL459" s="70">
        <v>0</v>
      </c>
      <c r="BM459" s="70">
        <v>0</v>
      </c>
      <c r="BO459" s="70">
        <v>0</v>
      </c>
      <c r="BP459" s="70">
        <v>0</v>
      </c>
      <c r="BQ459" s="72"/>
      <c r="BS459" s="61">
        <f t="shared" si="382"/>
        <v>0</v>
      </c>
      <c r="BT459" s="61">
        <f t="shared" si="335"/>
        <v>0</v>
      </c>
      <c r="BU459" s="61">
        <f t="shared" si="336"/>
        <v>0</v>
      </c>
      <c r="BV459" s="61">
        <f t="shared" si="374"/>
        <v>0</v>
      </c>
      <c r="BW459" s="61">
        <f t="shared" si="374"/>
        <v>0</v>
      </c>
      <c r="BX459" s="61">
        <f t="shared" ref="BX459:BX490" si="385">SUM(AD459)-SUM(BI459)</f>
        <v>0</v>
      </c>
      <c r="BY459" s="61" t="s">
        <v>91</v>
      </c>
      <c r="CA459" s="61">
        <f t="shared" si="330"/>
        <v>0</v>
      </c>
      <c r="CB459" s="61">
        <f t="shared" si="330"/>
        <v>0</v>
      </c>
      <c r="CC459" s="61">
        <f t="shared" si="330"/>
        <v>0</v>
      </c>
      <c r="CD459" s="61">
        <f t="shared" si="329"/>
        <v>0</v>
      </c>
      <c r="CE459" s="61">
        <f t="shared" si="329"/>
        <v>0</v>
      </c>
      <c r="CF459" s="61">
        <f t="shared" si="329"/>
        <v>0</v>
      </c>
      <c r="CG459" s="61">
        <f t="shared" si="329"/>
        <v>0</v>
      </c>
      <c r="CH459" s="61">
        <f t="shared" si="329"/>
        <v>0</v>
      </c>
      <c r="CI459" s="61">
        <f t="shared" si="375"/>
        <v>0</v>
      </c>
      <c r="CJ459" s="61"/>
      <c r="CK459" s="61">
        <f t="shared" ref="CK459:CR490" si="386">(O459*$AD459-AT459*$BI459)/$C$2</f>
        <v>0</v>
      </c>
      <c r="CL459" s="61">
        <f t="shared" si="386"/>
        <v>0</v>
      </c>
      <c r="CM459" s="61">
        <f t="shared" si="386"/>
        <v>0</v>
      </c>
      <c r="CN459" s="61">
        <f t="shared" si="386"/>
        <v>0</v>
      </c>
      <c r="CO459" s="61">
        <f t="shared" si="386"/>
        <v>0</v>
      </c>
      <c r="CP459" s="61">
        <f t="shared" si="386"/>
        <v>0</v>
      </c>
      <c r="CQ459" s="61">
        <f t="shared" si="386"/>
        <v>0</v>
      </c>
      <c r="CR459" s="61">
        <f t="shared" si="343"/>
        <v>0</v>
      </c>
      <c r="CS459" s="61">
        <f t="shared" si="376"/>
        <v>0</v>
      </c>
      <c r="CT459" s="61">
        <f t="shared" si="377"/>
        <v>0</v>
      </c>
      <c r="CV459" s="61">
        <f t="shared" si="378"/>
        <v>0</v>
      </c>
      <c r="CW459" s="61">
        <f t="shared" si="383"/>
        <v>0</v>
      </c>
      <c r="CX459" s="61"/>
      <c r="CY459" s="61">
        <f t="shared" si="368"/>
        <v>0</v>
      </c>
      <c r="CZ459" s="61">
        <f t="shared" si="321"/>
        <v>0</v>
      </c>
      <c r="DA459" s="61">
        <f t="shared" si="321"/>
        <v>0</v>
      </c>
      <c r="DB459" s="2" t="s">
        <v>86</v>
      </c>
      <c r="DC459" s="2" t="s">
        <v>86</v>
      </c>
      <c r="DD459" s="2" t="s">
        <v>142</v>
      </c>
      <c r="DE459" s="2" t="s">
        <v>181</v>
      </c>
      <c r="DF459" s="3" t="s">
        <v>86</v>
      </c>
      <c r="DG459" s="62">
        <v>42929</v>
      </c>
      <c r="EC459" s="60" t="str">
        <f>VLOOKUP($M459,[1]Detail!$M:$BO,1,0)</f>
        <v>ED8C-2A040 -AC</v>
      </c>
      <c r="ED459" s="60">
        <f>VLOOKUP($M459,[1]Detail!$M:$BO,22,0)</f>
        <v>-14.809999999999999</v>
      </c>
      <c r="EE459" s="60">
        <f>VLOOKUP($M459,[1]Detail!$M:$BO,42,0)</f>
        <v>0</v>
      </c>
      <c r="EF459" s="60">
        <f>VLOOKUP($M459,[1]Detail!$M:$BO,45,0)</f>
        <v>0</v>
      </c>
      <c r="EH459" s="60">
        <f t="shared" si="371"/>
        <v>0</v>
      </c>
      <c r="EI459" s="60">
        <f t="shared" si="372"/>
        <v>0</v>
      </c>
      <c r="EJ459" s="60">
        <f t="shared" si="373"/>
        <v>0</v>
      </c>
    </row>
    <row r="460" spans="2:140" ht="12.75" hidden="1" customHeight="1">
      <c r="B460" s="99" t="s">
        <v>882</v>
      </c>
      <c r="C460" s="22" t="s">
        <v>883</v>
      </c>
      <c r="D460" s="22" t="s">
        <v>884</v>
      </c>
      <c r="E460" s="2" t="str">
        <f>VLOOKUP($C460,[1]Detail!$C:$AK,6,0)</f>
        <v>PMT3</v>
      </c>
      <c r="F460" s="2" t="str">
        <f>VLOOKUP($C460,[1]Detail!$C:$AK,7,0)</f>
        <v>PF</v>
      </c>
      <c r="G460" s="2" t="str">
        <f>VLOOKUP($C460,[1]Detail!$C:$AK,5,0)</f>
        <v>B</v>
      </c>
      <c r="J460" s="22" t="s">
        <v>98</v>
      </c>
      <c r="K460" s="23" t="s">
        <v>888</v>
      </c>
      <c r="L460" s="22" t="s">
        <v>111</v>
      </c>
      <c r="M460" s="51" t="str">
        <f t="shared" si="344"/>
        <v>JD8C-2A040 -BA</v>
      </c>
      <c r="O460" s="22">
        <v>1</v>
      </c>
      <c r="P460" s="22">
        <v>1</v>
      </c>
      <c r="Q460" s="22">
        <v>1</v>
      </c>
      <c r="R460" s="22">
        <v>1</v>
      </c>
      <c r="S460" s="22">
        <v>0</v>
      </c>
      <c r="T460" s="22">
        <v>0</v>
      </c>
      <c r="U460" s="22">
        <v>1</v>
      </c>
      <c r="V460" s="22">
        <v>0</v>
      </c>
      <c r="W460" s="64">
        <f t="shared" si="345"/>
        <v>0.72000000000000008</v>
      </c>
      <c r="Y460" s="8">
        <v>-19.11</v>
      </c>
      <c r="Z460" s="8">
        <v>-0.2</v>
      </c>
      <c r="AA460" s="8">
        <v>-0.2</v>
      </c>
      <c r="AB460" s="8">
        <v>-0.27</v>
      </c>
      <c r="AC460" s="8">
        <v>0</v>
      </c>
      <c r="AD460" s="8">
        <f t="shared" si="384"/>
        <v>-19.779999999999998</v>
      </c>
      <c r="AE460" s="2" t="s">
        <v>91</v>
      </c>
      <c r="AG460" s="8">
        <v>-270920</v>
      </c>
      <c r="AH460" s="8">
        <v>-270920</v>
      </c>
      <c r="AI460" s="6"/>
      <c r="AJ460" s="70">
        <v>0</v>
      </c>
      <c r="AK460" s="70">
        <v>0</v>
      </c>
      <c r="AL460" s="72"/>
      <c r="AM460" s="22"/>
      <c r="AO460" s="22" t="s">
        <v>357</v>
      </c>
      <c r="AP460" s="23" t="s">
        <v>888</v>
      </c>
      <c r="AQ460" s="22" t="s">
        <v>886</v>
      </c>
      <c r="AR460" s="51" t="str">
        <f t="shared" si="379"/>
        <v>ED8C-2A040 -BE</v>
      </c>
      <c r="AS460" s="3"/>
      <c r="AT460" s="22">
        <v>1</v>
      </c>
      <c r="AU460" s="22">
        <v>1</v>
      </c>
      <c r="AV460" s="22">
        <v>1</v>
      </c>
      <c r="AW460" s="22">
        <v>1</v>
      </c>
      <c r="AX460" s="22">
        <v>0</v>
      </c>
      <c r="AY460" s="22">
        <v>0</v>
      </c>
      <c r="AZ460" s="22">
        <v>1</v>
      </c>
      <c r="BA460" s="22">
        <v>0</v>
      </c>
      <c r="BB460" s="64">
        <f t="shared" si="380"/>
        <v>0.72000000000000008</v>
      </c>
      <c r="BD460" s="60">
        <v>-19.479999999999997</v>
      </c>
      <c r="BE460" s="60">
        <v>-0.2</v>
      </c>
      <c r="BF460" s="95">
        <v>-0.2</v>
      </c>
      <c r="BG460" s="95">
        <v>-0.27</v>
      </c>
      <c r="BH460" s="95">
        <v>0</v>
      </c>
      <c r="BI460" s="8">
        <f t="shared" si="381"/>
        <v>-20.149999999999995</v>
      </c>
      <c r="BJ460" s="2" t="s">
        <v>91</v>
      </c>
      <c r="BL460" s="70">
        <v>0</v>
      </c>
      <c r="BM460" s="70">
        <v>0</v>
      </c>
      <c r="BO460" s="70">
        <v>0</v>
      </c>
      <c r="BP460" s="70">
        <v>0</v>
      </c>
      <c r="BQ460" s="72"/>
      <c r="BS460" s="61">
        <f t="shared" si="382"/>
        <v>0.36999999999999744</v>
      </c>
      <c r="BT460" s="61">
        <f t="shared" si="335"/>
        <v>0</v>
      </c>
      <c r="BU460" s="61">
        <f t="shared" si="336"/>
        <v>0</v>
      </c>
      <c r="BV460" s="61">
        <f t="shared" si="374"/>
        <v>0</v>
      </c>
      <c r="BW460" s="61">
        <f t="shared" si="374"/>
        <v>0</v>
      </c>
      <c r="BX460" s="61">
        <f t="shared" si="385"/>
        <v>0.36999999999999744</v>
      </c>
      <c r="BY460" s="61" t="s">
        <v>91</v>
      </c>
      <c r="CA460" s="61">
        <f t="shared" si="330"/>
        <v>5.5664209417782072E-2</v>
      </c>
      <c r="CB460" s="61">
        <f t="shared" si="330"/>
        <v>5.5664209417782072E-2</v>
      </c>
      <c r="CC460" s="61">
        <f t="shared" si="330"/>
        <v>5.5664209417782072E-2</v>
      </c>
      <c r="CD460" s="61">
        <f t="shared" si="329"/>
        <v>5.5664209417782072E-2</v>
      </c>
      <c r="CE460" s="61">
        <f t="shared" si="329"/>
        <v>0</v>
      </c>
      <c r="CF460" s="61">
        <f t="shared" si="329"/>
        <v>0</v>
      </c>
      <c r="CG460" s="61">
        <f t="shared" si="329"/>
        <v>5.5664209417782072E-2</v>
      </c>
      <c r="CH460" s="61">
        <f t="shared" si="329"/>
        <v>0</v>
      </c>
      <c r="CI460" s="61">
        <f t="shared" si="375"/>
        <v>4.0078230780803102E-2</v>
      </c>
      <c r="CJ460" s="61"/>
      <c r="CK460" s="61">
        <f t="shared" si="386"/>
        <v>5.5664209417782072E-2</v>
      </c>
      <c r="CL460" s="61">
        <f t="shared" si="386"/>
        <v>5.5664209417782072E-2</v>
      </c>
      <c r="CM460" s="61">
        <f t="shared" si="386"/>
        <v>5.5664209417782072E-2</v>
      </c>
      <c r="CN460" s="61">
        <f t="shared" si="386"/>
        <v>5.5664209417782072E-2</v>
      </c>
      <c r="CO460" s="61">
        <f t="shared" si="386"/>
        <v>0</v>
      </c>
      <c r="CP460" s="61">
        <f t="shared" si="386"/>
        <v>0</v>
      </c>
      <c r="CQ460" s="61">
        <f t="shared" si="386"/>
        <v>5.5664209417782072E-2</v>
      </c>
      <c r="CR460" s="61">
        <f t="shared" si="343"/>
        <v>0</v>
      </c>
      <c r="CS460" s="61">
        <f t="shared" si="376"/>
        <v>4.0078230780803102E-2</v>
      </c>
      <c r="CT460" s="61">
        <f t="shared" si="377"/>
        <v>0.26639999999999825</v>
      </c>
      <c r="CV460" s="61">
        <f t="shared" si="378"/>
        <v>-270920</v>
      </c>
      <c r="CW460" s="61">
        <f t="shared" si="383"/>
        <v>-270920</v>
      </c>
      <c r="CX460" s="61"/>
      <c r="CY460" s="61">
        <f t="shared" si="368"/>
        <v>0</v>
      </c>
      <c r="CZ460" s="61">
        <f t="shared" si="321"/>
        <v>0</v>
      </c>
      <c r="DA460" s="61">
        <f t="shared" si="321"/>
        <v>0</v>
      </c>
      <c r="DB460" s="2" t="s">
        <v>86</v>
      </c>
      <c r="DC460" s="2" t="s">
        <v>86</v>
      </c>
      <c r="DD460" s="2" t="s">
        <v>142</v>
      </c>
      <c r="DE460" s="2" t="s">
        <v>181</v>
      </c>
      <c r="DF460" s="3" t="s">
        <v>86</v>
      </c>
      <c r="DG460" s="62">
        <v>42929</v>
      </c>
      <c r="EC460" s="60" t="str">
        <f>VLOOKUP($M460,[1]Detail!$M:$BO,1,0)</f>
        <v>JD8C-2A040 -BA</v>
      </c>
      <c r="ED460" s="60">
        <f>VLOOKUP($M460,[1]Detail!$M:$BO,22,0)</f>
        <v>-19.779999999999998</v>
      </c>
      <c r="EE460" s="60">
        <f>VLOOKUP($M460,[1]Detail!$M:$BO,42,0)</f>
        <v>-270920</v>
      </c>
      <c r="EF460" s="60">
        <f>VLOOKUP($M460,[1]Detail!$M:$BO,45,0)</f>
        <v>0</v>
      </c>
      <c r="EH460" s="60">
        <f t="shared" si="371"/>
        <v>0</v>
      </c>
      <c r="EI460" s="60">
        <f t="shared" si="372"/>
        <v>0</v>
      </c>
      <c r="EJ460" s="60">
        <f t="shared" si="373"/>
        <v>0</v>
      </c>
    </row>
    <row r="461" spans="2:140" ht="12.75" hidden="1" customHeight="1">
      <c r="B461" s="99" t="s">
        <v>889</v>
      </c>
      <c r="C461" s="22" t="s">
        <v>890</v>
      </c>
      <c r="D461" s="22" t="s">
        <v>891</v>
      </c>
      <c r="E461" s="2" t="str">
        <f>VLOOKUP($C461,[1]Detail!$C:$AK,6,0)</f>
        <v>PMT4</v>
      </c>
      <c r="F461" s="2" t="str">
        <f>VLOOKUP($C461,[1]Detail!$C:$AK,7,0)</f>
        <v>PF</v>
      </c>
      <c r="G461" s="2" t="str">
        <f>VLOOKUP($C461,[1]Detail!$C:$AK,5,0)</f>
        <v>B</v>
      </c>
      <c r="J461" s="22" t="s">
        <v>585</v>
      </c>
      <c r="K461" s="23" t="s">
        <v>892</v>
      </c>
      <c r="L461" s="22" t="s">
        <v>111</v>
      </c>
      <c r="M461" s="51" t="str">
        <f t="shared" si="344"/>
        <v>JD81-5E211-BA</v>
      </c>
      <c r="O461" s="22">
        <v>1</v>
      </c>
      <c r="P461" s="22">
        <v>1</v>
      </c>
      <c r="Q461" s="22">
        <v>1</v>
      </c>
      <c r="R461" s="22">
        <v>1</v>
      </c>
      <c r="S461" s="22">
        <v>0</v>
      </c>
      <c r="T461" s="22">
        <v>0</v>
      </c>
      <c r="U461" s="22">
        <v>1</v>
      </c>
      <c r="V461" s="22">
        <v>0</v>
      </c>
      <c r="W461" s="64">
        <f t="shared" si="345"/>
        <v>0.72000000000000008</v>
      </c>
      <c r="Y461" s="8">
        <v>-340.13</v>
      </c>
      <c r="Z461" s="8">
        <v>-4.9400000000000004</v>
      </c>
      <c r="AA461" s="8">
        <v>-6.59</v>
      </c>
      <c r="AB461" s="8">
        <v>0</v>
      </c>
      <c r="AC461" s="8">
        <v>-2.9</v>
      </c>
      <c r="AD461" s="8">
        <f t="shared" si="384"/>
        <v>-354.55999999999995</v>
      </c>
      <c r="AE461" s="2" t="s">
        <v>91</v>
      </c>
      <c r="AG461" s="8">
        <v>-1370000</v>
      </c>
      <c r="AH461" s="8">
        <v>-2788137.5</v>
      </c>
      <c r="AI461" s="6"/>
      <c r="AJ461" s="70">
        <v>-1200889</v>
      </c>
      <c r="AK461" s="70">
        <v>413928</v>
      </c>
      <c r="AL461" s="72"/>
      <c r="AM461" s="22"/>
      <c r="AO461" s="22" t="s">
        <v>585</v>
      </c>
      <c r="AP461" s="23" t="s">
        <v>892</v>
      </c>
      <c r="AQ461" s="22" t="s">
        <v>111</v>
      </c>
      <c r="AR461" s="51" t="str">
        <f t="shared" si="379"/>
        <v>JD81-5E211-BA</v>
      </c>
      <c r="AS461" s="3"/>
      <c r="AT461" s="22">
        <v>1</v>
      </c>
      <c r="AU461" s="22">
        <v>1</v>
      </c>
      <c r="AV461" s="22">
        <v>1</v>
      </c>
      <c r="AW461" s="22">
        <v>1</v>
      </c>
      <c r="AX461" s="22">
        <v>0</v>
      </c>
      <c r="AY461" s="22">
        <v>0</v>
      </c>
      <c r="AZ461" s="22">
        <v>1</v>
      </c>
      <c r="BA461" s="22">
        <v>0</v>
      </c>
      <c r="BB461" s="64">
        <f t="shared" si="380"/>
        <v>0.72000000000000008</v>
      </c>
      <c r="BD461" s="60">
        <v>-340.13</v>
      </c>
      <c r="BE461" s="60">
        <v>-4.9400000000000004</v>
      </c>
      <c r="BF461" s="95">
        <v>-6.59</v>
      </c>
      <c r="BG461" s="95">
        <v>0</v>
      </c>
      <c r="BH461" s="95">
        <v>-2.9</v>
      </c>
      <c r="BI461" s="8">
        <f t="shared" si="381"/>
        <v>-354.55999999999995</v>
      </c>
      <c r="BJ461" s="2" t="s">
        <v>91</v>
      </c>
      <c r="BL461" s="70">
        <v>-1370000</v>
      </c>
      <c r="BM461" s="70">
        <v>-2788137.5</v>
      </c>
      <c r="BO461" s="70">
        <v>-1200889</v>
      </c>
      <c r="BP461" s="70">
        <v>413928</v>
      </c>
      <c r="BQ461" s="72"/>
      <c r="BS461" s="61">
        <f t="shared" si="382"/>
        <v>0</v>
      </c>
      <c r="BT461" s="61">
        <f t="shared" si="335"/>
        <v>0</v>
      </c>
      <c r="BU461" s="61">
        <f t="shared" si="336"/>
        <v>0</v>
      </c>
      <c r="BV461" s="61">
        <f t="shared" si="374"/>
        <v>0</v>
      </c>
      <c r="BW461" s="61">
        <f t="shared" si="374"/>
        <v>0</v>
      </c>
      <c r="BX461" s="61">
        <f t="shared" si="385"/>
        <v>0</v>
      </c>
      <c r="BY461" s="61" t="s">
        <v>91</v>
      </c>
      <c r="CA461" s="61">
        <f t="shared" si="330"/>
        <v>0</v>
      </c>
      <c r="CB461" s="61">
        <f t="shared" si="330"/>
        <v>0</v>
      </c>
      <c r="CC461" s="61">
        <f t="shared" si="330"/>
        <v>0</v>
      </c>
      <c r="CD461" s="61">
        <f t="shared" si="329"/>
        <v>0</v>
      </c>
      <c r="CE461" s="61">
        <f t="shared" si="329"/>
        <v>0</v>
      </c>
      <c r="CF461" s="61">
        <f t="shared" si="329"/>
        <v>0</v>
      </c>
      <c r="CG461" s="61">
        <f t="shared" si="329"/>
        <v>0</v>
      </c>
      <c r="CH461" s="61">
        <f t="shared" si="329"/>
        <v>0</v>
      </c>
      <c r="CI461" s="61">
        <f t="shared" si="375"/>
        <v>0</v>
      </c>
      <c r="CJ461" s="61"/>
      <c r="CK461" s="61">
        <f t="shared" si="386"/>
        <v>0</v>
      </c>
      <c r="CL461" s="61">
        <f t="shared" si="386"/>
        <v>0</v>
      </c>
      <c r="CM461" s="61">
        <f t="shared" si="386"/>
        <v>0</v>
      </c>
      <c r="CN461" s="61">
        <f t="shared" si="386"/>
        <v>0</v>
      </c>
      <c r="CO461" s="61">
        <f t="shared" si="386"/>
        <v>0</v>
      </c>
      <c r="CP461" s="61">
        <f t="shared" si="386"/>
        <v>0</v>
      </c>
      <c r="CQ461" s="61">
        <f t="shared" si="386"/>
        <v>0</v>
      </c>
      <c r="CR461" s="61">
        <f t="shared" si="343"/>
        <v>0</v>
      </c>
      <c r="CS461" s="61">
        <f t="shared" si="376"/>
        <v>0</v>
      </c>
      <c r="CT461" s="61">
        <f t="shared" si="377"/>
        <v>0</v>
      </c>
      <c r="CV461" s="61">
        <f t="shared" si="378"/>
        <v>0</v>
      </c>
      <c r="CW461" s="61">
        <f t="shared" si="383"/>
        <v>0</v>
      </c>
      <c r="CX461" s="61"/>
      <c r="CY461" s="61">
        <f t="shared" si="368"/>
        <v>0</v>
      </c>
      <c r="CZ461" s="61">
        <f t="shared" si="321"/>
        <v>0</v>
      </c>
      <c r="DA461" s="61">
        <f t="shared" si="321"/>
        <v>0</v>
      </c>
      <c r="DB461" s="2" t="s">
        <v>85</v>
      </c>
      <c r="DC461" s="2" t="s">
        <v>86</v>
      </c>
      <c r="DD461" s="2" t="s">
        <v>142</v>
      </c>
      <c r="DE461" s="2" t="s">
        <v>181</v>
      </c>
      <c r="DF461" s="3" t="s">
        <v>86</v>
      </c>
      <c r="DG461" s="62">
        <v>42879</v>
      </c>
      <c r="EC461" s="60"/>
      <c r="ED461" s="60"/>
      <c r="EE461" s="60"/>
      <c r="EF461" s="60"/>
    </row>
    <row r="462" spans="2:140" ht="12.75" hidden="1" customHeight="1">
      <c r="B462" s="99" t="s">
        <v>889</v>
      </c>
      <c r="C462" s="22" t="s">
        <v>893</v>
      </c>
      <c r="D462" s="22" t="s">
        <v>894</v>
      </c>
      <c r="E462" s="2" t="str">
        <f>VLOOKUP($C462,[1]Detail!$C:$AK,6,0)</f>
        <v>PMT4</v>
      </c>
      <c r="F462" s="2" t="str">
        <f>VLOOKUP($C462,[1]Detail!$C:$AK,7,0)</f>
        <v>PF</v>
      </c>
      <c r="G462" s="2" t="str">
        <f>VLOOKUP($C462,[1]Detail!$C:$AK,5,0)</f>
        <v>B</v>
      </c>
      <c r="J462" s="22" t="s">
        <v>585</v>
      </c>
      <c r="K462" s="23" t="s">
        <v>892</v>
      </c>
      <c r="L462" s="22" t="s">
        <v>113</v>
      </c>
      <c r="M462" s="51" t="str">
        <f t="shared" si="344"/>
        <v>JD81-5E211-CA</v>
      </c>
      <c r="O462" s="22">
        <v>1</v>
      </c>
      <c r="P462" s="22">
        <v>1</v>
      </c>
      <c r="Q462" s="22">
        <v>1</v>
      </c>
      <c r="R462" s="22">
        <v>1</v>
      </c>
      <c r="S462" s="22">
        <v>0</v>
      </c>
      <c r="T462" s="22">
        <v>0</v>
      </c>
      <c r="U462" s="22">
        <v>1</v>
      </c>
      <c r="V462" s="22">
        <v>0</v>
      </c>
      <c r="W462" s="64">
        <f t="shared" si="345"/>
        <v>0.72000000000000008</v>
      </c>
      <c r="Y462" s="8">
        <v>-363.26</v>
      </c>
      <c r="Z462" s="8">
        <v>-4.9400000000000004</v>
      </c>
      <c r="AA462" s="8">
        <v>-6.59</v>
      </c>
      <c r="AB462" s="8">
        <v>0</v>
      </c>
      <c r="AC462" s="8">
        <v>-2.9</v>
      </c>
      <c r="AD462" s="8">
        <f t="shared" si="384"/>
        <v>-377.68999999999994</v>
      </c>
      <c r="AE462" s="2" t="s">
        <v>91</v>
      </c>
      <c r="AG462" s="8">
        <v>0</v>
      </c>
      <c r="AH462" s="8">
        <v>0</v>
      </c>
      <c r="AJ462" s="70" t="s">
        <v>114</v>
      </c>
      <c r="AK462" s="70">
        <v>0</v>
      </c>
      <c r="AL462" s="72"/>
      <c r="AM462" s="22"/>
      <c r="AO462" s="22" t="s">
        <v>585</v>
      </c>
      <c r="AP462" s="23" t="s">
        <v>892</v>
      </c>
      <c r="AQ462" s="22" t="s">
        <v>113</v>
      </c>
      <c r="AR462" s="51" t="str">
        <f t="shared" si="379"/>
        <v>JD81-5E211-CA</v>
      </c>
      <c r="AS462" s="3"/>
      <c r="AT462" s="22">
        <v>1</v>
      </c>
      <c r="AU462" s="22">
        <v>1</v>
      </c>
      <c r="AV462" s="22">
        <v>1</v>
      </c>
      <c r="AW462" s="22">
        <v>1</v>
      </c>
      <c r="AX462" s="22">
        <v>0</v>
      </c>
      <c r="AY462" s="22">
        <v>0</v>
      </c>
      <c r="AZ462" s="22">
        <v>1</v>
      </c>
      <c r="BA462" s="22">
        <v>0</v>
      </c>
      <c r="BB462" s="64">
        <f t="shared" si="380"/>
        <v>0.72000000000000008</v>
      </c>
      <c r="BD462" s="60">
        <v>-363.26</v>
      </c>
      <c r="BE462" s="60">
        <v>-4.9400000000000004</v>
      </c>
      <c r="BF462" s="95">
        <v>-6.59</v>
      </c>
      <c r="BG462" s="95">
        <v>0</v>
      </c>
      <c r="BH462" s="95">
        <v>-2.9</v>
      </c>
      <c r="BI462" s="8">
        <f t="shared" si="381"/>
        <v>-377.68999999999994</v>
      </c>
      <c r="BJ462" s="2" t="s">
        <v>91</v>
      </c>
      <c r="BL462" s="70">
        <v>0</v>
      </c>
      <c r="BM462" s="70">
        <v>0</v>
      </c>
      <c r="BO462" s="70" t="s">
        <v>114</v>
      </c>
      <c r="BP462" s="70">
        <v>0</v>
      </c>
      <c r="BQ462" s="72"/>
      <c r="BS462" s="61">
        <f t="shared" si="382"/>
        <v>0</v>
      </c>
      <c r="BT462" s="61">
        <f t="shared" si="335"/>
        <v>0</v>
      </c>
      <c r="BU462" s="61">
        <f t="shared" si="336"/>
        <v>0</v>
      </c>
      <c r="BV462" s="61">
        <f t="shared" si="374"/>
        <v>0</v>
      </c>
      <c r="BW462" s="61">
        <f t="shared" si="374"/>
        <v>0</v>
      </c>
      <c r="BX462" s="61">
        <f t="shared" si="385"/>
        <v>0</v>
      </c>
      <c r="BY462" s="61" t="s">
        <v>91</v>
      </c>
      <c r="CA462" s="61">
        <f t="shared" si="330"/>
        <v>0</v>
      </c>
      <c r="CB462" s="61">
        <f t="shared" si="330"/>
        <v>0</v>
      </c>
      <c r="CC462" s="61">
        <f t="shared" si="330"/>
        <v>0</v>
      </c>
      <c r="CD462" s="61">
        <f t="shared" si="329"/>
        <v>0</v>
      </c>
      <c r="CE462" s="61">
        <f t="shared" si="329"/>
        <v>0</v>
      </c>
      <c r="CF462" s="61">
        <f t="shared" si="329"/>
        <v>0</v>
      </c>
      <c r="CG462" s="61">
        <f t="shared" si="329"/>
        <v>0</v>
      </c>
      <c r="CH462" s="61">
        <f t="shared" si="329"/>
        <v>0</v>
      </c>
      <c r="CI462" s="61">
        <f t="shared" si="375"/>
        <v>0</v>
      </c>
      <c r="CJ462" s="61"/>
      <c r="CK462" s="61">
        <f t="shared" si="386"/>
        <v>0</v>
      </c>
      <c r="CL462" s="61">
        <f t="shared" si="386"/>
        <v>0</v>
      </c>
      <c r="CM462" s="61">
        <f t="shared" si="386"/>
        <v>0</v>
      </c>
      <c r="CN462" s="61">
        <f t="shared" si="386"/>
        <v>0</v>
      </c>
      <c r="CO462" s="61">
        <f t="shared" si="386"/>
        <v>0</v>
      </c>
      <c r="CP462" s="61">
        <f t="shared" si="386"/>
        <v>0</v>
      </c>
      <c r="CQ462" s="61">
        <f t="shared" si="386"/>
        <v>0</v>
      </c>
      <c r="CR462" s="61">
        <f t="shared" si="343"/>
        <v>0</v>
      </c>
      <c r="CS462" s="61">
        <f t="shared" si="376"/>
        <v>0</v>
      </c>
      <c r="CT462" s="61">
        <f t="shared" si="377"/>
        <v>0</v>
      </c>
      <c r="CV462" s="61">
        <f t="shared" si="378"/>
        <v>0</v>
      </c>
      <c r="CW462" s="61">
        <f t="shared" si="383"/>
        <v>0</v>
      </c>
      <c r="CX462" s="61"/>
      <c r="CY462" s="61">
        <f t="shared" si="368"/>
        <v>0</v>
      </c>
      <c r="CZ462" s="61">
        <f t="shared" si="321"/>
        <v>0</v>
      </c>
      <c r="DA462" s="61">
        <f t="shared" si="321"/>
        <v>0</v>
      </c>
      <c r="DB462" s="2" t="s">
        <v>85</v>
      </c>
      <c r="DC462" s="2" t="s">
        <v>86</v>
      </c>
      <c r="DD462" s="2" t="s">
        <v>142</v>
      </c>
      <c r="DE462" s="2" t="s">
        <v>181</v>
      </c>
      <c r="DF462" s="3" t="s">
        <v>86</v>
      </c>
      <c r="DG462" s="62">
        <v>42879</v>
      </c>
      <c r="EC462" s="60"/>
      <c r="ED462" s="60"/>
      <c r="EE462" s="60"/>
      <c r="EF462" s="60"/>
    </row>
    <row r="463" spans="2:140" ht="12.75" hidden="1" customHeight="1">
      <c r="B463" s="99" t="s">
        <v>895</v>
      </c>
      <c r="C463" s="22" t="s">
        <v>896</v>
      </c>
      <c r="D463" s="22" t="s">
        <v>897</v>
      </c>
      <c r="E463" s="2" t="str">
        <f>VLOOKUP($C463,[1]Detail!$C:$AK,6,0)</f>
        <v>PMT5</v>
      </c>
      <c r="F463" s="2" t="str">
        <f>VLOOKUP($C463,[1]Detail!$C:$AK,7,0)</f>
        <v>TH</v>
      </c>
      <c r="G463" s="2" t="str">
        <f>VLOOKUP($C463,[1]Detail!$C:$AK,5,0)</f>
        <v>B</v>
      </c>
      <c r="J463" s="22" t="s">
        <v>898</v>
      </c>
      <c r="K463" s="23" t="s">
        <v>899</v>
      </c>
      <c r="L463" s="22" t="s">
        <v>113</v>
      </c>
      <c r="M463" s="51" t="str">
        <f t="shared" si="344"/>
        <v>JX6T-11000 -CA</v>
      </c>
      <c r="O463" s="22">
        <v>1</v>
      </c>
      <c r="P463" s="22">
        <v>0</v>
      </c>
      <c r="Q463" s="22">
        <v>1</v>
      </c>
      <c r="R463" s="22">
        <v>0</v>
      </c>
      <c r="S463" s="22">
        <v>1</v>
      </c>
      <c r="T463" s="22">
        <v>0</v>
      </c>
      <c r="U463" s="22">
        <v>0</v>
      </c>
      <c r="V463" s="22">
        <v>0</v>
      </c>
      <c r="W463" s="64">
        <f t="shared" si="345"/>
        <v>0.37</v>
      </c>
      <c r="Y463" s="8">
        <v>-226.09</v>
      </c>
      <c r="Z463" s="8">
        <v>-2.37</v>
      </c>
      <c r="AA463" s="8">
        <v>-0.75</v>
      </c>
      <c r="AB463" s="8">
        <v>0</v>
      </c>
      <c r="AC463" s="8">
        <v>0</v>
      </c>
      <c r="AD463" s="8">
        <f t="shared" si="384"/>
        <v>-229.21</v>
      </c>
      <c r="AE463" s="2" t="s">
        <v>91</v>
      </c>
      <c r="AG463" s="8">
        <v>0</v>
      </c>
      <c r="AH463" s="8">
        <v>0</v>
      </c>
      <c r="AJ463" s="70">
        <v>0</v>
      </c>
      <c r="AK463" s="70">
        <v>0</v>
      </c>
      <c r="AL463" s="72">
        <v>0</v>
      </c>
      <c r="AM463" s="22"/>
      <c r="AO463" s="22" t="s">
        <v>898</v>
      </c>
      <c r="AP463" s="23" t="s">
        <v>899</v>
      </c>
      <c r="AQ463" s="22" t="s">
        <v>113</v>
      </c>
      <c r="AR463" s="51" t="str">
        <f t="shared" si="379"/>
        <v>JX6T-11000 -CA</v>
      </c>
      <c r="AS463" s="3"/>
      <c r="AT463" s="22">
        <v>1</v>
      </c>
      <c r="AU463" s="22">
        <v>0</v>
      </c>
      <c r="AV463" s="22">
        <v>1</v>
      </c>
      <c r="AW463" s="22">
        <v>0</v>
      </c>
      <c r="AX463" s="22">
        <v>1</v>
      </c>
      <c r="AY463" s="22">
        <v>0</v>
      </c>
      <c r="AZ463" s="22">
        <v>0</v>
      </c>
      <c r="BA463" s="22">
        <v>0</v>
      </c>
      <c r="BB463" s="64">
        <f t="shared" si="380"/>
        <v>0.37</v>
      </c>
      <c r="BD463" s="60">
        <v>-226.09</v>
      </c>
      <c r="BE463" s="60">
        <v>-2.37</v>
      </c>
      <c r="BF463" s="95">
        <v>-0.75</v>
      </c>
      <c r="BG463" s="95">
        <v>0</v>
      </c>
      <c r="BH463" s="95">
        <v>0</v>
      </c>
      <c r="BI463" s="8">
        <f t="shared" si="381"/>
        <v>-229.21</v>
      </c>
      <c r="BJ463" s="2" t="s">
        <v>91</v>
      </c>
      <c r="BL463" s="70">
        <v>0</v>
      </c>
      <c r="BM463" s="70">
        <v>0</v>
      </c>
      <c r="BO463" s="70">
        <v>0</v>
      </c>
      <c r="BP463" s="70">
        <v>0</v>
      </c>
      <c r="BQ463" s="72">
        <v>0</v>
      </c>
      <c r="BS463" s="61">
        <f t="shared" si="382"/>
        <v>0</v>
      </c>
      <c r="BT463" s="61">
        <f t="shared" si="335"/>
        <v>0</v>
      </c>
      <c r="BU463" s="61">
        <f t="shared" si="336"/>
        <v>0</v>
      </c>
      <c r="BV463" s="61">
        <f t="shared" si="374"/>
        <v>0</v>
      </c>
      <c r="BW463" s="61">
        <f t="shared" si="374"/>
        <v>0</v>
      </c>
      <c r="BX463" s="61">
        <f t="shared" si="385"/>
        <v>0</v>
      </c>
      <c r="BY463" s="61" t="s">
        <v>91</v>
      </c>
      <c r="CA463" s="61">
        <f t="shared" si="330"/>
        <v>0</v>
      </c>
      <c r="CB463" s="61">
        <f t="shared" si="330"/>
        <v>0</v>
      </c>
      <c r="CC463" s="61">
        <f t="shared" si="330"/>
        <v>0</v>
      </c>
      <c r="CD463" s="61">
        <f t="shared" si="329"/>
        <v>0</v>
      </c>
      <c r="CE463" s="61">
        <f t="shared" si="329"/>
        <v>0</v>
      </c>
      <c r="CF463" s="61">
        <f t="shared" si="329"/>
        <v>0</v>
      </c>
      <c r="CG463" s="61">
        <f t="shared" si="329"/>
        <v>0</v>
      </c>
      <c r="CH463" s="61">
        <f t="shared" si="329"/>
        <v>0</v>
      </c>
      <c r="CI463" s="61">
        <f t="shared" si="375"/>
        <v>0</v>
      </c>
      <c r="CJ463" s="61"/>
      <c r="CK463" s="61">
        <f t="shared" si="386"/>
        <v>0</v>
      </c>
      <c r="CL463" s="61">
        <f t="shared" si="386"/>
        <v>0</v>
      </c>
      <c r="CM463" s="61">
        <f t="shared" si="386"/>
        <v>0</v>
      </c>
      <c r="CN463" s="61">
        <f t="shared" si="386"/>
        <v>0</v>
      </c>
      <c r="CO463" s="61">
        <f t="shared" si="386"/>
        <v>0</v>
      </c>
      <c r="CP463" s="61">
        <f t="shared" si="386"/>
        <v>0</v>
      </c>
      <c r="CQ463" s="61">
        <f t="shared" si="386"/>
        <v>0</v>
      </c>
      <c r="CR463" s="61">
        <f t="shared" si="343"/>
        <v>0</v>
      </c>
      <c r="CS463" s="61">
        <f t="shared" si="376"/>
        <v>0</v>
      </c>
      <c r="CT463" s="61">
        <f t="shared" si="377"/>
        <v>0</v>
      </c>
      <c r="CV463" s="61">
        <f t="shared" si="378"/>
        <v>0</v>
      </c>
      <c r="CW463" s="61">
        <f t="shared" si="383"/>
        <v>0</v>
      </c>
      <c r="CX463" s="61"/>
      <c r="CY463" s="61">
        <f t="shared" si="368"/>
        <v>0</v>
      </c>
      <c r="CZ463" s="61">
        <f t="shared" si="321"/>
        <v>0</v>
      </c>
      <c r="DA463" s="61">
        <f t="shared" si="321"/>
        <v>0</v>
      </c>
      <c r="DB463" s="2" t="s">
        <v>86</v>
      </c>
      <c r="DC463" s="2" t="s">
        <v>86</v>
      </c>
      <c r="DD463" s="2" t="s">
        <v>142</v>
      </c>
      <c r="DE463" s="2" t="s">
        <v>181</v>
      </c>
      <c r="DF463" s="3" t="s">
        <v>86</v>
      </c>
      <c r="DG463" s="62">
        <v>42893</v>
      </c>
      <c r="EC463" s="60" t="str">
        <f>VLOOKUP($M463,[1]Detail!$M:$BO,1,0)</f>
        <v>JX6T-11000 -CA</v>
      </c>
      <c r="ED463" s="60">
        <f>VLOOKUP($M463,[1]Detail!$M:$BO,22,0)</f>
        <v>-229.21</v>
      </c>
      <c r="EE463" s="60">
        <f>VLOOKUP($M463,[1]Detail!$M:$BO,42,0)</f>
        <v>0</v>
      </c>
      <c r="EF463" s="60">
        <f>VLOOKUP($M463,[1]Detail!$M:$BO,45,0)</f>
        <v>0</v>
      </c>
      <c r="EH463" s="60">
        <f>ED463-AD463</f>
        <v>0</v>
      </c>
      <c r="EI463" s="60">
        <f>EE463-AG463</f>
        <v>0</v>
      </c>
      <c r="EJ463" s="60">
        <f t="shared" ref="EJ463:EJ464" si="387">EF463-AJ463</f>
        <v>0</v>
      </c>
    </row>
    <row r="464" spans="2:140" ht="12.75" hidden="1" customHeight="1">
      <c r="B464" s="99" t="s">
        <v>895</v>
      </c>
      <c r="C464" s="22" t="s">
        <v>896</v>
      </c>
      <c r="D464" s="22" t="s">
        <v>900</v>
      </c>
      <c r="E464" s="2" t="str">
        <f>VLOOKUP($C464,[1]Detail!$C:$AK,6,0)</f>
        <v>PMT5</v>
      </c>
      <c r="F464" s="2" t="str">
        <f>VLOOKUP($C464,[1]Detail!$C:$AK,7,0)</f>
        <v>TH</v>
      </c>
      <c r="G464" s="2" t="str">
        <f>VLOOKUP($C464,[1]Detail!$C:$AK,5,0)</f>
        <v>B</v>
      </c>
      <c r="J464" s="22" t="s">
        <v>898</v>
      </c>
      <c r="K464" s="23" t="s">
        <v>899</v>
      </c>
      <c r="L464" s="22" t="s">
        <v>115</v>
      </c>
      <c r="M464" s="51" t="str">
        <f t="shared" si="344"/>
        <v>JX6T-11000 -DA</v>
      </c>
      <c r="O464" s="22">
        <v>0</v>
      </c>
      <c r="P464" s="22">
        <v>1</v>
      </c>
      <c r="Q464" s="22">
        <v>0</v>
      </c>
      <c r="R464" s="22">
        <v>1</v>
      </c>
      <c r="S464" s="22">
        <v>0</v>
      </c>
      <c r="T464" s="22">
        <v>1</v>
      </c>
      <c r="U464" s="22">
        <v>1</v>
      </c>
      <c r="V464" s="22">
        <v>1</v>
      </c>
      <c r="W464" s="64">
        <f t="shared" si="345"/>
        <v>0.63000000000000012</v>
      </c>
      <c r="Y464" s="8">
        <v>-261.41000000000003</v>
      </c>
      <c r="Z464" s="8">
        <v>-2.37</v>
      </c>
      <c r="AA464" s="8">
        <v>-0.75</v>
      </c>
      <c r="AB464" s="8">
        <v>0</v>
      </c>
      <c r="AC464" s="8">
        <v>0</v>
      </c>
      <c r="AD464" s="8">
        <f t="shared" si="384"/>
        <v>-264.53000000000003</v>
      </c>
      <c r="AE464" s="2" t="s">
        <v>91</v>
      </c>
      <c r="AG464" s="8">
        <v>0</v>
      </c>
      <c r="AH464" s="8">
        <v>0</v>
      </c>
      <c r="AJ464" s="70">
        <v>0</v>
      </c>
      <c r="AK464" s="70">
        <v>0</v>
      </c>
      <c r="AL464" s="72">
        <v>0</v>
      </c>
      <c r="AM464" s="22"/>
      <c r="AO464" s="22" t="s">
        <v>898</v>
      </c>
      <c r="AP464" s="23" t="s">
        <v>899</v>
      </c>
      <c r="AQ464" s="22" t="s">
        <v>115</v>
      </c>
      <c r="AR464" s="51" t="str">
        <f t="shared" si="379"/>
        <v>JX6T-11000 -DA</v>
      </c>
      <c r="AS464" s="3"/>
      <c r="AT464" s="22">
        <v>0</v>
      </c>
      <c r="AU464" s="22">
        <v>1</v>
      </c>
      <c r="AV464" s="22">
        <v>0</v>
      </c>
      <c r="AW464" s="22">
        <v>1</v>
      </c>
      <c r="AX464" s="22">
        <v>0</v>
      </c>
      <c r="AY464" s="22">
        <v>1</v>
      </c>
      <c r="AZ464" s="22">
        <v>1</v>
      </c>
      <c r="BA464" s="22">
        <v>1</v>
      </c>
      <c r="BB464" s="64">
        <f t="shared" si="380"/>
        <v>0.63000000000000012</v>
      </c>
      <c r="BD464" s="60">
        <v>-261.39999999999998</v>
      </c>
      <c r="BE464" s="60">
        <v>-2.37</v>
      </c>
      <c r="BF464" s="95">
        <v>-0.75</v>
      </c>
      <c r="BG464" s="95">
        <v>0</v>
      </c>
      <c r="BH464" s="95">
        <v>0</v>
      </c>
      <c r="BI464" s="8">
        <f t="shared" si="381"/>
        <v>-264.52</v>
      </c>
      <c r="BJ464" s="2" t="s">
        <v>91</v>
      </c>
      <c r="BL464" s="70">
        <v>0</v>
      </c>
      <c r="BM464" s="70">
        <v>0</v>
      </c>
      <c r="BO464" s="70">
        <v>0</v>
      </c>
      <c r="BP464" s="70">
        <v>0</v>
      </c>
      <c r="BQ464" s="72">
        <v>0</v>
      </c>
      <c r="BS464" s="61">
        <f t="shared" si="382"/>
        <v>-1.0000000000047748E-2</v>
      </c>
      <c r="BT464" s="61">
        <f t="shared" si="335"/>
        <v>0</v>
      </c>
      <c r="BU464" s="61">
        <f t="shared" si="336"/>
        <v>0</v>
      </c>
      <c r="BV464" s="61">
        <f t="shared" si="374"/>
        <v>0</v>
      </c>
      <c r="BW464" s="61">
        <f t="shared" si="374"/>
        <v>0</v>
      </c>
      <c r="BX464" s="61">
        <f t="shared" si="385"/>
        <v>-1.0000000000047748E-2</v>
      </c>
      <c r="BY464" s="61" t="s">
        <v>91</v>
      </c>
      <c r="CA464" s="61">
        <f t="shared" si="330"/>
        <v>0</v>
      </c>
      <c r="CB464" s="61">
        <f t="shared" si="330"/>
        <v>-1.5044380923796823E-3</v>
      </c>
      <c r="CC464" s="61">
        <f t="shared" si="330"/>
        <v>0</v>
      </c>
      <c r="CD464" s="61">
        <f t="shared" si="329"/>
        <v>-1.5044380923796823E-3</v>
      </c>
      <c r="CE464" s="61">
        <f t="shared" si="329"/>
        <v>0</v>
      </c>
      <c r="CF464" s="61">
        <f t="shared" ref="CF464:CH527" si="388">($Y464*T464-AY464*$BD464)/$C$2</f>
        <v>-1.5044380923796823E-3</v>
      </c>
      <c r="CG464" s="61">
        <f t="shared" si="388"/>
        <v>-1.5044380923796823E-3</v>
      </c>
      <c r="CH464" s="61">
        <f t="shared" si="388"/>
        <v>-1.5044380923796823E-3</v>
      </c>
      <c r="CI464" s="61">
        <f t="shared" si="375"/>
        <v>-9.4779599819919992E-4</v>
      </c>
      <c r="CJ464" s="61"/>
      <c r="CK464" s="61">
        <f t="shared" si="386"/>
        <v>0</v>
      </c>
      <c r="CL464" s="61">
        <f t="shared" si="386"/>
        <v>-1.5044380923796823E-3</v>
      </c>
      <c r="CM464" s="61">
        <f t="shared" si="386"/>
        <v>0</v>
      </c>
      <c r="CN464" s="61">
        <f t="shared" si="386"/>
        <v>-1.5044380923796823E-3</v>
      </c>
      <c r="CO464" s="61">
        <f t="shared" si="386"/>
        <v>0</v>
      </c>
      <c r="CP464" s="61">
        <f t="shared" si="386"/>
        <v>-1.5044380923796823E-3</v>
      </c>
      <c r="CQ464" s="61">
        <f t="shared" si="386"/>
        <v>-1.5044380923796823E-3</v>
      </c>
      <c r="CR464" s="61">
        <f t="shared" si="343"/>
        <v>-1.5044380923796823E-3</v>
      </c>
      <c r="CS464" s="61">
        <f t="shared" si="376"/>
        <v>-9.4779599819919992E-4</v>
      </c>
      <c r="CT464" s="61">
        <f t="shared" si="377"/>
        <v>-6.3000000000300819E-3</v>
      </c>
      <c r="CV464" s="61">
        <f t="shared" si="378"/>
        <v>0</v>
      </c>
      <c r="CW464" s="61">
        <f t="shared" si="383"/>
        <v>0</v>
      </c>
      <c r="CX464" s="61"/>
      <c r="CY464" s="61">
        <f t="shared" si="368"/>
        <v>0</v>
      </c>
      <c r="CZ464" s="61">
        <f t="shared" si="321"/>
        <v>0</v>
      </c>
      <c r="DA464" s="61">
        <f t="shared" si="321"/>
        <v>0</v>
      </c>
      <c r="DB464" s="2" t="s">
        <v>86</v>
      </c>
      <c r="DC464" s="2" t="s">
        <v>86</v>
      </c>
      <c r="DD464" s="2" t="s">
        <v>142</v>
      </c>
      <c r="DE464" s="2" t="s">
        <v>181</v>
      </c>
      <c r="DF464" s="3" t="s">
        <v>86</v>
      </c>
      <c r="DG464" s="62">
        <v>42893</v>
      </c>
      <c r="EC464" s="60" t="str">
        <f>VLOOKUP($M464,[1]Detail!$M:$BO,1,0)</f>
        <v>JX6T-11000 -DA</v>
      </c>
      <c r="ED464" s="60">
        <f>VLOOKUP($M464,[1]Detail!$M:$BO,22,0)</f>
        <v>-264.53000000000003</v>
      </c>
      <c r="EE464" s="60">
        <f>VLOOKUP($M464,[1]Detail!$M:$BO,42,0)</f>
        <v>0</v>
      </c>
      <c r="EF464" s="60">
        <f>VLOOKUP($M464,[1]Detail!$M:$BO,45,0)</f>
        <v>0</v>
      </c>
      <c r="EH464" s="60">
        <f>ED464-AD464</f>
        <v>0</v>
      </c>
      <c r="EI464" s="60">
        <f>EE464-AG464</f>
        <v>0</v>
      </c>
      <c r="EJ464" s="60">
        <f t="shared" si="387"/>
        <v>0</v>
      </c>
    </row>
    <row r="465" spans="2:140" ht="12.75" hidden="1" customHeight="1">
      <c r="B465" s="99" t="s">
        <v>901</v>
      </c>
      <c r="C465" s="22" t="s">
        <v>902</v>
      </c>
      <c r="D465" s="22" t="s">
        <v>903</v>
      </c>
      <c r="E465" s="2" t="str">
        <f>VLOOKUP($C465,[1]Detail!$C:$AK,6,0)</f>
        <v>PMT2</v>
      </c>
      <c r="F465" s="2" t="str">
        <f>VLOOKUP($C465,[1]Detail!$C:$AK,7,0)</f>
        <v>PF</v>
      </c>
      <c r="G465" s="2" t="str">
        <f>VLOOKUP($C465,[1]Detail!$C:$AK,5,0)</f>
        <v>B</v>
      </c>
      <c r="J465" s="22" t="s">
        <v>126</v>
      </c>
      <c r="K465" s="23" t="s">
        <v>904</v>
      </c>
      <c r="L465" s="22" t="s">
        <v>111</v>
      </c>
      <c r="M465" s="51" t="str">
        <f t="shared" si="344"/>
        <v>JD8B-19B555 -BA</v>
      </c>
      <c r="O465" s="22">
        <v>0</v>
      </c>
      <c r="P465" s="22">
        <v>0</v>
      </c>
      <c r="Q465" s="22">
        <v>0</v>
      </c>
      <c r="R465" s="22">
        <v>0</v>
      </c>
      <c r="S465" s="22">
        <v>0</v>
      </c>
      <c r="T465" s="22">
        <v>0</v>
      </c>
      <c r="U465" s="22">
        <v>1</v>
      </c>
      <c r="V465" s="22">
        <v>0</v>
      </c>
      <c r="W465" s="64">
        <f t="shared" si="345"/>
        <v>0.05</v>
      </c>
      <c r="Y465" s="8">
        <v>-706.27</v>
      </c>
      <c r="Z465" s="8">
        <v>-5.2</v>
      </c>
      <c r="AA465" s="8">
        <v>-4.68</v>
      </c>
      <c r="AB465" s="8">
        <v>-2.4700000000000002</v>
      </c>
      <c r="AC465" s="8">
        <v>-0.25</v>
      </c>
      <c r="AD465" s="8">
        <f t="shared" si="384"/>
        <v>-718.87</v>
      </c>
      <c r="AE465" s="2" t="s">
        <v>91</v>
      </c>
      <c r="AG465" s="8">
        <v>-94146</v>
      </c>
      <c r="AH465" s="8">
        <v>-94146</v>
      </c>
      <c r="AI465" s="6"/>
      <c r="AJ465" s="70">
        <v>-47748</v>
      </c>
      <c r="AK465" s="70">
        <v>189717</v>
      </c>
      <c r="AL465" s="72"/>
      <c r="AM465" s="22"/>
      <c r="AO465" s="22" t="s">
        <v>128</v>
      </c>
      <c r="AP465" s="23" t="s">
        <v>904</v>
      </c>
      <c r="AQ465" s="22" t="s">
        <v>886</v>
      </c>
      <c r="AR465" s="51" t="str">
        <f t="shared" si="379"/>
        <v>ED8B-19B555 -BE</v>
      </c>
      <c r="AS465" s="3"/>
      <c r="AT465" s="22">
        <v>0</v>
      </c>
      <c r="AU465" s="22">
        <v>0</v>
      </c>
      <c r="AV465" s="22">
        <v>0</v>
      </c>
      <c r="AW465" s="22">
        <v>0</v>
      </c>
      <c r="AX465" s="22">
        <v>0</v>
      </c>
      <c r="AY465" s="22">
        <v>0</v>
      </c>
      <c r="AZ465" s="22">
        <v>1</v>
      </c>
      <c r="BA465" s="22">
        <v>0</v>
      </c>
      <c r="BB465" s="64">
        <f t="shared" si="380"/>
        <v>0.05</v>
      </c>
      <c r="BD465" s="60">
        <v>-700.69999999999993</v>
      </c>
      <c r="BE465" s="60">
        <v>-5.2</v>
      </c>
      <c r="BF465" s="95">
        <v>-4.68</v>
      </c>
      <c r="BG465" s="95">
        <v>-2.4700000000000002</v>
      </c>
      <c r="BH465" s="95">
        <v>0</v>
      </c>
      <c r="BI465" s="8">
        <f t="shared" si="381"/>
        <v>-713.05</v>
      </c>
      <c r="BJ465" s="2" t="s">
        <v>91</v>
      </c>
      <c r="BL465" s="70">
        <v>0</v>
      </c>
      <c r="BM465" s="70">
        <v>0</v>
      </c>
      <c r="BO465" s="70">
        <v>0</v>
      </c>
      <c r="BP465" s="70">
        <v>0</v>
      </c>
      <c r="BQ465" s="72"/>
      <c r="BS465" s="61">
        <f t="shared" si="382"/>
        <v>-5.57000000000005</v>
      </c>
      <c r="BT465" s="61">
        <f t="shared" si="335"/>
        <v>0</v>
      </c>
      <c r="BU465" s="61">
        <f t="shared" si="336"/>
        <v>0</v>
      </c>
      <c r="BV465" s="61">
        <f t="shared" si="374"/>
        <v>0</v>
      </c>
      <c r="BW465" s="61">
        <f t="shared" si="374"/>
        <v>-0.25</v>
      </c>
      <c r="BX465" s="61">
        <f t="shared" si="385"/>
        <v>-5.82000000000005</v>
      </c>
      <c r="BY465" s="61" t="s">
        <v>91</v>
      </c>
      <c r="CA465" s="61">
        <f t="shared" si="330"/>
        <v>0</v>
      </c>
      <c r="CB465" s="61">
        <f t="shared" si="330"/>
        <v>0</v>
      </c>
      <c r="CC465" s="61">
        <f t="shared" si="330"/>
        <v>0</v>
      </c>
      <c r="CD465" s="61">
        <f t="shared" si="330"/>
        <v>0</v>
      </c>
      <c r="CE465" s="61">
        <f t="shared" si="330"/>
        <v>0</v>
      </c>
      <c r="CF465" s="61">
        <f t="shared" si="388"/>
        <v>0</v>
      </c>
      <c r="CG465" s="61">
        <f t="shared" si="388"/>
        <v>-0.83797201745148941</v>
      </c>
      <c r="CH465" s="61">
        <f t="shared" si="388"/>
        <v>0</v>
      </c>
      <c r="CI465" s="61">
        <f t="shared" si="375"/>
        <v>-4.1898600872574472E-2</v>
      </c>
      <c r="CJ465" s="61"/>
      <c r="CK465" s="61">
        <f t="shared" si="386"/>
        <v>0</v>
      </c>
      <c r="CL465" s="61">
        <f t="shared" si="386"/>
        <v>0</v>
      </c>
      <c r="CM465" s="61">
        <f t="shared" si="386"/>
        <v>0</v>
      </c>
      <c r="CN465" s="61">
        <f t="shared" si="386"/>
        <v>0</v>
      </c>
      <c r="CO465" s="61">
        <f t="shared" si="386"/>
        <v>0</v>
      </c>
      <c r="CP465" s="61">
        <f t="shared" si="386"/>
        <v>0</v>
      </c>
      <c r="CQ465" s="61">
        <f t="shared" si="386"/>
        <v>-0.87558296976080185</v>
      </c>
      <c r="CR465" s="61">
        <f t="shared" si="343"/>
        <v>0</v>
      </c>
      <c r="CS465" s="61">
        <f t="shared" si="376"/>
        <v>-4.3779148488040098E-2</v>
      </c>
      <c r="CT465" s="61">
        <f t="shared" si="377"/>
        <v>-0.29100000000000253</v>
      </c>
      <c r="CV465" s="61">
        <f t="shared" si="378"/>
        <v>-94146</v>
      </c>
      <c r="CW465" s="61">
        <f t="shared" si="383"/>
        <v>-94146</v>
      </c>
      <c r="CX465" s="61"/>
      <c r="CY465" s="61">
        <f t="shared" si="368"/>
        <v>-47748</v>
      </c>
      <c r="CZ465" s="61">
        <f t="shared" si="321"/>
        <v>189717</v>
      </c>
      <c r="DA465" s="61">
        <f t="shared" si="321"/>
        <v>0</v>
      </c>
      <c r="DB465" s="2" t="s">
        <v>85</v>
      </c>
      <c r="DC465" s="2" t="s">
        <v>86</v>
      </c>
      <c r="DD465" s="2" t="s">
        <v>142</v>
      </c>
      <c r="DE465" s="2" t="s">
        <v>181</v>
      </c>
      <c r="DF465" s="3" t="s">
        <v>86</v>
      </c>
      <c r="DG465" s="62">
        <v>42893</v>
      </c>
      <c r="EC465" s="60"/>
      <c r="ED465" s="60"/>
      <c r="EE465" s="60"/>
      <c r="EF465" s="60"/>
    </row>
    <row r="466" spans="2:140" ht="12.75" hidden="1" customHeight="1">
      <c r="B466" s="99" t="s">
        <v>901</v>
      </c>
      <c r="C466" s="22" t="s">
        <v>902</v>
      </c>
      <c r="D466" s="22" t="s">
        <v>903</v>
      </c>
      <c r="E466" s="2" t="str">
        <f>VLOOKUP($C466,[1]Detail!$C:$AK,6,0)</f>
        <v>PMT2</v>
      </c>
      <c r="F466" s="2" t="str">
        <f>VLOOKUP($C466,[1]Detail!$C:$AK,7,0)</f>
        <v>PF</v>
      </c>
      <c r="G466" s="2" t="str">
        <f>VLOOKUP($C466,[1]Detail!$C:$AK,5,0)</f>
        <v>B</v>
      </c>
      <c r="J466" s="22" t="s">
        <v>126</v>
      </c>
      <c r="K466" s="23" t="s">
        <v>904</v>
      </c>
      <c r="L466" s="22" t="s">
        <v>113</v>
      </c>
      <c r="M466" s="51" t="str">
        <f t="shared" si="344"/>
        <v>JD8B-19B555 -CA</v>
      </c>
      <c r="O466" s="22">
        <v>0</v>
      </c>
      <c r="P466" s="22">
        <v>0</v>
      </c>
      <c r="Q466" s="22">
        <v>0</v>
      </c>
      <c r="R466" s="22">
        <v>0</v>
      </c>
      <c r="S466" s="22">
        <v>1</v>
      </c>
      <c r="T466" s="22">
        <v>1</v>
      </c>
      <c r="U466" s="22">
        <v>0</v>
      </c>
      <c r="V466" s="22">
        <v>1</v>
      </c>
      <c r="W466" s="64">
        <f t="shared" si="345"/>
        <v>0.28000000000000003</v>
      </c>
      <c r="Y466" s="8">
        <v>-1066.3399999999999</v>
      </c>
      <c r="Z466" s="8">
        <v>-5.2</v>
      </c>
      <c r="AA466" s="8">
        <v>-4.68</v>
      </c>
      <c r="AB466" s="8">
        <v>-2.4700000000000002</v>
      </c>
      <c r="AC466" s="8">
        <v>-0.25</v>
      </c>
      <c r="AD466" s="8">
        <f t="shared" si="384"/>
        <v>-1078.94</v>
      </c>
      <c r="AE466" s="2" t="s">
        <v>91</v>
      </c>
      <c r="AG466" s="8" t="s">
        <v>643</v>
      </c>
      <c r="AH466" s="8"/>
      <c r="AJ466" s="70" t="s">
        <v>114</v>
      </c>
      <c r="AK466" s="70"/>
      <c r="AL466" s="72"/>
      <c r="AM466" s="22" t="s">
        <v>905</v>
      </c>
      <c r="AO466" s="22" t="s">
        <v>128</v>
      </c>
      <c r="AP466" s="23" t="s">
        <v>904</v>
      </c>
      <c r="AQ466" s="22" t="s">
        <v>886</v>
      </c>
      <c r="AR466" s="51" t="str">
        <f t="shared" si="379"/>
        <v>ED8B-19B555 -BE</v>
      </c>
      <c r="AS466" s="3"/>
      <c r="AT466" s="22">
        <v>0</v>
      </c>
      <c r="AU466" s="22">
        <v>0</v>
      </c>
      <c r="AV466" s="22">
        <v>0</v>
      </c>
      <c r="AW466" s="22">
        <v>0</v>
      </c>
      <c r="AX466" s="22">
        <v>1</v>
      </c>
      <c r="AY466" s="22">
        <v>1</v>
      </c>
      <c r="AZ466" s="22">
        <v>0</v>
      </c>
      <c r="BA466" s="22">
        <v>1</v>
      </c>
      <c r="BB466" s="64">
        <f t="shared" si="380"/>
        <v>0.28000000000000003</v>
      </c>
      <c r="BD466" s="60">
        <v>-700.69999999999993</v>
      </c>
      <c r="BE466" s="60">
        <v>-5.2</v>
      </c>
      <c r="BF466" s="95">
        <v>-4.68</v>
      </c>
      <c r="BG466" s="95">
        <v>-2.4700000000000002</v>
      </c>
      <c r="BH466" s="95">
        <v>0</v>
      </c>
      <c r="BI466" s="8">
        <f t="shared" si="381"/>
        <v>-713.05</v>
      </c>
      <c r="BJ466" s="2" t="s">
        <v>91</v>
      </c>
      <c r="BL466" s="70">
        <v>0</v>
      </c>
      <c r="BM466" s="70">
        <v>0</v>
      </c>
      <c r="BO466" s="70">
        <v>0</v>
      </c>
      <c r="BP466" s="70">
        <v>0</v>
      </c>
      <c r="BQ466" s="72"/>
      <c r="BS466" s="61">
        <f t="shared" si="382"/>
        <v>-365.64</v>
      </c>
      <c r="BT466" s="61">
        <f t="shared" si="335"/>
        <v>0</v>
      </c>
      <c r="BU466" s="61">
        <f t="shared" si="336"/>
        <v>0</v>
      </c>
      <c r="BV466" s="61">
        <f t="shared" si="374"/>
        <v>0</v>
      </c>
      <c r="BW466" s="61">
        <f t="shared" si="374"/>
        <v>-0.25</v>
      </c>
      <c r="BX466" s="61">
        <f t="shared" si="385"/>
        <v>-365.8900000000001</v>
      </c>
      <c r="BY466" s="61" t="s">
        <v>91</v>
      </c>
      <c r="CA466" s="61">
        <f t="shared" si="330"/>
        <v>0</v>
      </c>
      <c r="CB466" s="61">
        <f t="shared" si="330"/>
        <v>0</v>
      </c>
      <c r="CC466" s="61">
        <f t="shared" si="330"/>
        <v>0</v>
      </c>
      <c r="CD466" s="61">
        <f t="shared" si="330"/>
        <v>0</v>
      </c>
      <c r="CE466" s="61">
        <f t="shared" si="330"/>
        <v>-55.008274409508047</v>
      </c>
      <c r="CF466" s="61">
        <f t="shared" si="388"/>
        <v>-55.008274409508047</v>
      </c>
      <c r="CG466" s="61">
        <f t="shared" si="388"/>
        <v>0</v>
      </c>
      <c r="CH466" s="61">
        <f t="shared" si="388"/>
        <v>-55.008274409508047</v>
      </c>
      <c r="CI466" s="61">
        <f t="shared" si="375"/>
        <v>-15.402316834662253</v>
      </c>
      <c r="CJ466" s="61"/>
      <c r="CK466" s="61">
        <f t="shared" si="386"/>
        <v>0</v>
      </c>
      <c r="CL466" s="61">
        <f t="shared" si="386"/>
        <v>0</v>
      </c>
      <c r="CM466" s="61">
        <f t="shared" si="386"/>
        <v>0</v>
      </c>
      <c r="CN466" s="61">
        <f t="shared" si="386"/>
        <v>0</v>
      </c>
      <c r="CO466" s="61">
        <f t="shared" si="386"/>
        <v>-55.045885361817376</v>
      </c>
      <c r="CP466" s="61">
        <f t="shared" si="386"/>
        <v>-55.045885361817376</v>
      </c>
      <c r="CQ466" s="61">
        <f t="shared" si="386"/>
        <v>0</v>
      </c>
      <c r="CR466" s="61">
        <f t="shared" si="343"/>
        <v>-55.045885361817376</v>
      </c>
      <c r="CS466" s="61">
        <f t="shared" si="376"/>
        <v>-15.412847901308867</v>
      </c>
      <c r="CT466" s="61">
        <f t="shared" si="377"/>
        <v>-102.44920000000005</v>
      </c>
      <c r="CV466" s="61">
        <f t="shared" si="378"/>
        <v>0</v>
      </c>
      <c r="CW466" s="61">
        <f t="shared" si="383"/>
        <v>0</v>
      </c>
      <c r="CX466" s="61"/>
      <c r="CY466" s="61">
        <f t="shared" si="368"/>
        <v>0</v>
      </c>
      <c r="CZ466" s="61">
        <f t="shared" si="321"/>
        <v>0</v>
      </c>
      <c r="DA466" s="61">
        <f t="shared" si="321"/>
        <v>0</v>
      </c>
      <c r="DB466" s="2" t="s">
        <v>85</v>
      </c>
      <c r="DC466" s="2" t="s">
        <v>86</v>
      </c>
      <c r="DD466" s="2" t="s">
        <v>142</v>
      </c>
      <c r="DE466" s="2" t="s">
        <v>181</v>
      </c>
      <c r="DF466" s="3" t="s">
        <v>86</v>
      </c>
      <c r="DG466" s="62">
        <v>42893</v>
      </c>
      <c r="EC466" s="60"/>
      <c r="ED466" s="60"/>
      <c r="EE466" s="60"/>
      <c r="EF466" s="60"/>
    </row>
    <row r="467" spans="2:140" ht="12.75" hidden="1" customHeight="1">
      <c r="B467" s="99" t="s">
        <v>906</v>
      </c>
      <c r="C467" s="22" t="s">
        <v>902</v>
      </c>
      <c r="D467" s="22" t="s">
        <v>903</v>
      </c>
      <c r="E467" s="2" t="str">
        <f>VLOOKUP($C467,[1]Detail!$C:$AK,6,0)</f>
        <v>PMT2</v>
      </c>
      <c r="F467" s="2" t="str">
        <f>VLOOKUP($C467,[1]Detail!$C:$AK,7,0)</f>
        <v>PF</v>
      </c>
      <c r="G467" s="2" t="str">
        <f>VLOOKUP($C467,[1]Detail!$C:$AK,5,0)</f>
        <v>B</v>
      </c>
      <c r="J467" s="22" t="s">
        <v>126</v>
      </c>
      <c r="K467" s="23" t="s">
        <v>904</v>
      </c>
      <c r="L467" s="22" t="s">
        <v>111</v>
      </c>
      <c r="M467" s="51" t="str">
        <f t="shared" si="344"/>
        <v>JD8B-19B555 -BA</v>
      </c>
      <c r="O467" s="22">
        <v>0</v>
      </c>
      <c r="P467" s="22">
        <v>0</v>
      </c>
      <c r="Q467" s="22">
        <v>0</v>
      </c>
      <c r="R467" s="22">
        <v>0</v>
      </c>
      <c r="S467" s="22">
        <v>1</v>
      </c>
      <c r="T467" s="22">
        <v>1</v>
      </c>
      <c r="U467" s="22">
        <v>1</v>
      </c>
      <c r="V467" s="22">
        <v>1</v>
      </c>
      <c r="W467" s="64">
        <f t="shared" si="345"/>
        <v>0.33</v>
      </c>
      <c r="Y467" s="8">
        <v>-706.27</v>
      </c>
      <c r="Z467" s="8">
        <v>-5.2</v>
      </c>
      <c r="AA467" s="8">
        <v>-4.68</v>
      </c>
      <c r="AB467" s="8">
        <v>-2.4700000000000002</v>
      </c>
      <c r="AC467" s="8">
        <v>-0.25</v>
      </c>
      <c r="AD467" s="8">
        <f t="shared" si="384"/>
        <v>-718.87</v>
      </c>
      <c r="AE467" s="2" t="s">
        <v>91</v>
      </c>
      <c r="AG467" s="8">
        <v>-94146</v>
      </c>
      <c r="AH467" s="8">
        <v>-94146</v>
      </c>
      <c r="AI467" s="6"/>
      <c r="AJ467" s="70">
        <v>-47748</v>
      </c>
      <c r="AK467" s="70">
        <v>189717</v>
      </c>
      <c r="AL467" s="72"/>
      <c r="AM467" s="22"/>
      <c r="AO467" s="22" t="s">
        <v>126</v>
      </c>
      <c r="AP467" s="23" t="s">
        <v>904</v>
      </c>
      <c r="AQ467" s="22" t="s">
        <v>111</v>
      </c>
      <c r="AR467" s="51" t="str">
        <f t="shared" si="379"/>
        <v>JD8B-19B555 -BA</v>
      </c>
      <c r="AS467" s="3"/>
      <c r="AT467" s="22">
        <v>0</v>
      </c>
      <c r="AU467" s="22">
        <v>0</v>
      </c>
      <c r="AV467" s="22">
        <v>0</v>
      </c>
      <c r="AW467" s="22">
        <v>0</v>
      </c>
      <c r="AX467" s="22">
        <v>0</v>
      </c>
      <c r="AY467" s="22">
        <v>0</v>
      </c>
      <c r="AZ467" s="22">
        <v>1</v>
      </c>
      <c r="BA467" s="22">
        <v>0</v>
      </c>
      <c r="BB467" s="64">
        <f t="shared" si="380"/>
        <v>0.05</v>
      </c>
      <c r="BD467" s="60">
        <v>-706.27</v>
      </c>
      <c r="BE467" s="60">
        <v>-5.2</v>
      </c>
      <c r="BF467" s="95">
        <v>-4.68</v>
      </c>
      <c r="BG467" s="95">
        <v>-2.4700000000000002</v>
      </c>
      <c r="BH467" s="95">
        <v>-0.25</v>
      </c>
      <c r="BI467" s="8">
        <f t="shared" si="381"/>
        <v>-718.87</v>
      </c>
      <c r="BJ467" s="2" t="s">
        <v>91</v>
      </c>
      <c r="BL467" s="70">
        <v>-94146</v>
      </c>
      <c r="BM467" s="70">
        <v>-94146</v>
      </c>
      <c r="BO467" s="70">
        <v>-47748</v>
      </c>
      <c r="BP467" s="70">
        <v>189717</v>
      </c>
      <c r="BQ467" s="72"/>
      <c r="BS467" s="61">
        <f t="shared" si="382"/>
        <v>0</v>
      </c>
      <c r="BT467" s="61">
        <f t="shared" si="335"/>
        <v>0</v>
      </c>
      <c r="BU467" s="61">
        <f t="shared" si="336"/>
        <v>0</v>
      </c>
      <c r="BV467" s="61">
        <f t="shared" si="374"/>
        <v>0</v>
      </c>
      <c r="BW467" s="61">
        <f t="shared" si="374"/>
        <v>0</v>
      </c>
      <c r="BX467" s="61">
        <f t="shared" si="385"/>
        <v>0</v>
      </c>
      <c r="BY467" s="61" t="s">
        <v>91</v>
      </c>
      <c r="CA467" s="61">
        <f t="shared" si="330"/>
        <v>0</v>
      </c>
      <c r="CB467" s="61">
        <f t="shared" si="330"/>
        <v>0</v>
      </c>
      <c r="CC467" s="61">
        <f t="shared" si="330"/>
        <v>0</v>
      </c>
      <c r="CD467" s="61">
        <f t="shared" si="330"/>
        <v>0</v>
      </c>
      <c r="CE467" s="61">
        <f t="shared" si="330"/>
        <v>-106.25394914999247</v>
      </c>
      <c r="CF467" s="61">
        <f t="shared" si="388"/>
        <v>-106.25394914999247</v>
      </c>
      <c r="CG467" s="61">
        <f t="shared" si="388"/>
        <v>0</v>
      </c>
      <c r="CH467" s="61">
        <f t="shared" si="388"/>
        <v>-106.25394914999247</v>
      </c>
      <c r="CI467" s="61">
        <f t="shared" si="375"/>
        <v>-29.751105761997891</v>
      </c>
      <c r="CJ467" s="61"/>
      <c r="CK467" s="61">
        <f t="shared" si="386"/>
        <v>0</v>
      </c>
      <c r="CL467" s="61">
        <f t="shared" si="386"/>
        <v>0</v>
      </c>
      <c r="CM467" s="61">
        <f t="shared" si="386"/>
        <v>0</v>
      </c>
      <c r="CN467" s="61">
        <f t="shared" si="386"/>
        <v>0</v>
      </c>
      <c r="CO467" s="61">
        <f t="shared" si="386"/>
        <v>-108.14954114638182</v>
      </c>
      <c r="CP467" s="61">
        <f t="shared" si="386"/>
        <v>-108.14954114638182</v>
      </c>
      <c r="CQ467" s="61">
        <f t="shared" si="386"/>
        <v>0</v>
      </c>
      <c r="CR467" s="61">
        <f t="shared" si="343"/>
        <v>-108.14954114638182</v>
      </c>
      <c r="CS467" s="61">
        <f t="shared" si="376"/>
        <v>-30.281871520986911</v>
      </c>
      <c r="CT467" s="61">
        <f t="shared" si="377"/>
        <v>-201.28360000000001</v>
      </c>
      <c r="CV467" s="61">
        <f t="shared" si="378"/>
        <v>0</v>
      </c>
      <c r="CW467" s="61">
        <f t="shared" si="383"/>
        <v>0</v>
      </c>
      <c r="CX467" s="61"/>
      <c r="CY467" s="61">
        <f t="shared" si="368"/>
        <v>0</v>
      </c>
      <c r="CZ467" s="61">
        <f t="shared" si="321"/>
        <v>0</v>
      </c>
      <c r="DA467" s="61">
        <f t="shared" si="321"/>
        <v>0</v>
      </c>
      <c r="DB467" s="2" t="s">
        <v>86</v>
      </c>
      <c r="DC467" s="2" t="s">
        <v>85</v>
      </c>
      <c r="DD467" s="2" t="s">
        <v>142</v>
      </c>
      <c r="DE467" s="2" t="s">
        <v>181</v>
      </c>
      <c r="DF467" s="3" t="s">
        <v>86</v>
      </c>
      <c r="DG467" s="62">
        <v>42893</v>
      </c>
      <c r="EC467" s="60" t="str">
        <f>VLOOKUP($M467,[1]Detail!$M:$BO,1,0)</f>
        <v>JD8B-19B555 -BA</v>
      </c>
      <c r="ED467" s="60">
        <f>VLOOKUP($M467,[1]Detail!$M:$BO,22,0)</f>
        <v>-718.87</v>
      </c>
      <c r="EE467" s="60">
        <f>VLOOKUP($M467,[1]Detail!$M:$BO,42,0)</f>
        <v>-94146</v>
      </c>
      <c r="EF467" s="60">
        <f>VLOOKUP($M467,[1]Detail!$M:$BO,45,0)</f>
        <v>-47748</v>
      </c>
      <c r="EH467" s="60">
        <f>ED467-AD467</f>
        <v>0</v>
      </c>
      <c r="EI467" s="60">
        <f>EE467-AG467</f>
        <v>0</v>
      </c>
      <c r="EJ467" s="60">
        <f t="shared" ref="EJ467:EJ471" si="389">EF467-AJ467</f>
        <v>0</v>
      </c>
    </row>
    <row r="468" spans="2:140" ht="12.75" hidden="1" customHeight="1">
      <c r="B468" s="99" t="s">
        <v>906</v>
      </c>
      <c r="C468" s="22" t="s">
        <v>902</v>
      </c>
      <c r="D468" s="22" t="s">
        <v>903</v>
      </c>
      <c r="E468" s="2" t="str">
        <f>VLOOKUP($C468,[1]Detail!$C:$AK,6,0)</f>
        <v>PMT2</v>
      </c>
      <c r="F468" s="2" t="str">
        <f>VLOOKUP($C468,[1]Detail!$C:$AK,7,0)</f>
        <v>PF</v>
      </c>
      <c r="G468" s="2" t="str">
        <f>VLOOKUP($C468,[1]Detail!$C:$AK,5,0)</f>
        <v>B</v>
      </c>
      <c r="J468" s="22" t="s">
        <v>126</v>
      </c>
      <c r="K468" s="23" t="s">
        <v>904</v>
      </c>
      <c r="L468" s="22" t="s">
        <v>113</v>
      </c>
      <c r="M468" s="51" t="str">
        <f t="shared" si="344"/>
        <v>JD8B-19B555 -CA</v>
      </c>
      <c r="O468" s="22">
        <v>0</v>
      </c>
      <c r="P468" s="22">
        <v>0</v>
      </c>
      <c r="Q468" s="22">
        <v>0</v>
      </c>
      <c r="R468" s="22">
        <v>0</v>
      </c>
      <c r="S468" s="22">
        <v>0</v>
      </c>
      <c r="T468" s="22">
        <v>0</v>
      </c>
      <c r="U468" s="22">
        <v>0</v>
      </c>
      <c r="V468" s="22">
        <v>0</v>
      </c>
      <c r="W468" s="64">
        <f t="shared" si="345"/>
        <v>0</v>
      </c>
      <c r="Y468" s="8">
        <f>-1066.34*0</f>
        <v>0</v>
      </c>
      <c r="Z468" s="8">
        <f>-5.2*0</f>
        <v>0</v>
      </c>
      <c r="AA468" s="8">
        <f>-4.68*0</f>
        <v>0</v>
      </c>
      <c r="AB468" s="8">
        <f>-2.47*0</f>
        <v>0</v>
      </c>
      <c r="AC468" s="8">
        <f>-0.25*0</f>
        <v>0</v>
      </c>
      <c r="AD468" s="8">
        <f t="shared" si="384"/>
        <v>0</v>
      </c>
      <c r="AE468" s="2" t="s">
        <v>91</v>
      </c>
      <c r="AG468" s="8" t="s">
        <v>643</v>
      </c>
      <c r="AH468" s="8"/>
      <c r="AJ468" s="70" t="s">
        <v>114</v>
      </c>
      <c r="AK468" s="70"/>
      <c r="AL468" s="72"/>
      <c r="AM468" s="22"/>
      <c r="AO468" s="22" t="s">
        <v>126</v>
      </c>
      <c r="AP468" s="23" t="s">
        <v>904</v>
      </c>
      <c r="AQ468" s="22" t="s">
        <v>113</v>
      </c>
      <c r="AR468" s="51" t="str">
        <f t="shared" si="379"/>
        <v>JD8B-19B555 -CA</v>
      </c>
      <c r="AS468" s="3"/>
      <c r="AT468" s="22">
        <v>0</v>
      </c>
      <c r="AU468" s="22">
        <v>0</v>
      </c>
      <c r="AV468" s="22">
        <v>0</v>
      </c>
      <c r="AW468" s="22">
        <v>0</v>
      </c>
      <c r="AX468" s="22">
        <v>1</v>
      </c>
      <c r="AY468" s="22">
        <v>1</v>
      </c>
      <c r="AZ468" s="22">
        <v>0</v>
      </c>
      <c r="BA468" s="22">
        <v>1</v>
      </c>
      <c r="BB468" s="64">
        <f t="shared" si="380"/>
        <v>0.28000000000000003</v>
      </c>
      <c r="BD468" s="60">
        <v>-1066.3399999999999</v>
      </c>
      <c r="BE468" s="60">
        <v>-5.2</v>
      </c>
      <c r="BF468" s="95">
        <v>-4.68</v>
      </c>
      <c r="BG468" s="95">
        <v>-2.4700000000000002</v>
      </c>
      <c r="BH468" s="95">
        <v>-0.25</v>
      </c>
      <c r="BI468" s="8">
        <f t="shared" si="381"/>
        <v>-1078.94</v>
      </c>
      <c r="BJ468" s="2" t="s">
        <v>91</v>
      </c>
      <c r="BL468" s="70" t="s">
        <v>643</v>
      </c>
      <c r="BM468" s="70"/>
      <c r="BO468" s="70" t="s">
        <v>114</v>
      </c>
      <c r="BP468" s="70"/>
      <c r="BQ468" s="72"/>
      <c r="BS468" s="61">
        <f t="shared" si="382"/>
        <v>1066.3399999999999</v>
      </c>
      <c r="BT468" s="61">
        <f t="shared" si="335"/>
        <v>5.2</v>
      </c>
      <c r="BU468" s="61">
        <f t="shared" si="336"/>
        <v>4.68</v>
      </c>
      <c r="BV468" s="61">
        <f t="shared" si="374"/>
        <v>2.4700000000000002</v>
      </c>
      <c r="BW468" s="61">
        <f t="shared" si="374"/>
        <v>0.25</v>
      </c>
      <c r="BX468" s="61">
        <f t="shared" si="385"/>
        <v>1078.94</v>
      </c>
      <c r="BY468" s="61" t="s">
        <v>91</v>
      </c>
      <c r="CA468" s="61">
        <f t="shared" si="330"/>
        <v>0</v>
      </c>
      <c r="CB468" s="61">
        <f t="shared" si="330"/>
        <v>0</v>
      </c>
      <c r="CC468" s="61">
        <f t="shared" si="330"/>
        <v>0</v>
      </c>
      <c r="CD468" s="61">
        <f t="shared" si="330"/>
        <v>0</v>
      </c>
      <c r="CE468" s="61">
        <f t="shared" si="330"/>
        <v>160.42425154204903</v>
      </c>
      <c r="CF468" s="61">
        <f t="shared" si="388"/>
        <v>160.42425154204903</v>
      </c>
      <c r="CG468" s="61">
        <f t="shared" si="388"/>
        <v>0</v>
      </c>
      <c r="CH468" s="61">
        <f t="shared" si="388"/>
        <v>160.42425154204903</v>
      </c>
      <c r="CI468" s="61">
        <f t="shared" si="375"/>
        <v>44.918790431773736</v>
      </c>
      <c r="CJ468" s="61"/>
      <c r="CK468" s="61">
        <f t="shared" si="386"/>
        <v>0</v>
      </c>
      <c r="CL468" s="61">
        <f t="shared" si="386"/>
        <v>0</v>
      </c>
      <c r="CM468" s="61">
        <f t="shared" si="386"/>
        <v>0</v>
      </c>
      <c r="CN468" s="61">
        <f t="shared" si="386"/>
        <v>0</v>
      </c>
      <c r="CO468" s="61">
        <f t="shared" si="386"/>
        <v>162.31984353843839</v>
      </c>
      <c r="CP468" s="61">
        <f t="shared" si="386"/>
        <v>162.31984353843839</v>
      </c>
      <c r="CQ468" s="61">
        <f t="shared" si="386"/>
        <v>0</v>
      </c>
      <c r="CR468" s="61">
        <f t="shared" si="343"/>
        <v>162.31984353843839</v>
      </c>
      <c r="CS468" s="61">
        <f t="shared" si="376"/>
        <v>45.449556190762756</v>
      </c>
      <c r="CT468" s="61">
        <f t="shared" si="377"/>
        <v>302.10320000000007</v>
      </c>
      <c r="CV468" s="61">
        <f t="shared" si="378"/>
        <v>0</v>
      </c>
      <c r="CW468" s="61">
        <f t="shared" si="383"/>
        <v>0</v>
      </c>
      <c r="CX468" s="61"/>
      <c r="CY468" s="61">
        <f t="shared" si="368"/>
        <v>0</v>
      </c>
      <c r="CZ468" s="61">
        <f t="shared" si="321"/>
        <v>0</v>
      </c>
      <c r="DA468" s="61">
        <f t="shared" si="321"/>
        <v>0</v>
      </c>
      <c r="DB468" s="2" t="s">
        <v>86</v>
      </c>
      <c r="DC468" s="2" t="s">
        <v>85</v>
      </c>
      <c r="DD468" s="2" t="s">
        <v>142</v>
      </c>
      <c r="DE468" s="2" t="s">
        <v>181</v>
      </c>
      <c r="DF468" s="3" t="s">
        <v>86</v>
      </c>
      <c r="DG468" s="62">
        <v>42893</v>
      </c>
      <c r="EC468" s="60" t="str">
        <f>VLOOKUP($M468,[1]Detail!$M:$BO,1,0)</f>
        <v>JD8B-19B555 -CA</v>
      </c>
      <c r="ED468" s="60">
        <f>VLOOKUP($M468,[1]Detail!$M:$BO,22,0)</f>
        <v>0</v>
      </c>
      <c r="EE468" s="60" t="str">
        <f>VLOOKUP($M468,[1]Detail!$M:$BO,42,0)</f>
        <v>incl. in above</v>
      </c>
      <c r="EF468" s="60" t="str">
        <f>VLOOKUP($M468,[1]Detail!$M:$BO,45,0)</f>
        <v>incl. in above</v>
      </c>
      <c r="EH468" s="60">
        <f>ED468-AD468</f>
        <v>0</v>
      </c>
      <c r="EI468" s="60" t="e">
        <f>EE468-AG468</f>
        <v>#VALUE!</v>
      </c>
      <c r="EJ468" s="60" t="e">
        <f t="shared" si="389"/>
        <v>#VALUE!</v>
      </c>
    </row>
    <row r="469" spans="2:140" ht="12.75" hidden="1" customHeight="1">
      <c r="B469" s="99" t="s">
        <v>907</v>
      </c>
      <c r="C469" s="22" t="s">
        <v>902</v>
      </c>
      <c r="D469" s="22" t="s">
        <v>908</v>
      </c>
      <c r="E469" s="2" t="str">
        <f>VLOOKUP($C469,[1]Detail!$C:$AK,6,0)</f>
        <v>PMT2</v>
      </c>
      <c r="F469" s="2" t="str">
        <f>VLOOKUP($C469,[1]Detail!$C:$AK,7,0)</f>
        <v>PF</v>
      </c>
      <c r="G469" s="2" t="str">
        <f>VLOOKUP($C469,[1]Detail!$C:$AK,5,0)</f>
        <v>B</v>
      </c>
      <c r="J469" s="22" t="s">
        <v>138</v>
      </c>
      <c r="K469" s="23" t="s">
        <v>909</v>
      </c>
      <c r="L469" s="22" t="s">
        <v>180</v>
      </c>
      <c r="M469" s="51" t="str">
        <f t="shared" si="344"/>
        <v>JD8B-19B555 -AA</v>
      </c>
      <c r="O469" s="22">
        <v>1</v>
      </c>
      <c r="P469" s="22">
        <v>1</v>
      </c>
      <c r="Q469" s="22">
        <v>1</v>
      </c>
      <c r="R469" s="22">
        <v>1</v>
      </c>
      <c r="S469" s="22">
        <v>0</v>
      </c>
      <c r="T469" s="22">
        <v>0</v>
      </c>
      <c r="U469" s="22">
        <v>0</v>
      </c>
      <c r="V469" s="22">
        <v>0</v>
      </c>
      <c r="W469" s="64">
        <f t="shared" si="345"/>
        <v>0.67</v>
      </c>
      <c r="Y469" s="8">
        <v>-695</v>
      </c>
      <c r="Z469" s="8">
        <v>-1.85</v>
      </c>
      <c r="AA469" s="8">
        <v>-5.13</v>
      </c>
      <c r="AB469" s="8">
        <v>-4.2300000000000004</v>
      </c>
      <c r="AC469" s="8">
        <f>-0.25*0</f>
        <v>0</v>
      </c>
      <c r="AD469" s="8">
        <f t="shared" si="384"/>
        <v>-706.21</v>
      </c>
      <c r="AE469" s="2" t="s">
        <v>91</v>
      </c>
      <c r="AG469" s="8">
        <v>-333000</v>
      </c>
      <c r="AH469" s="8">
        <v>-333000</v>
      </c>
      <c r="AI469" s="6"/>
      <c r="AJ469" s="70">
        <v>0</v>
      </c>
      <c r="AK469" s="70">
        <v>0</v>
      </c>
      <c r="AL469" s="72"/>
      <c r="AM469" s="22"/>
      <c r="AO469" s="22" t="s">
        <v>128</v>
      </c>
      <c r="AP469" s="23" t="s">
        <v>904</v>
      </c>
      <c r="AQ469" s="22" t="s">
        <v>234</v>
      </c>
      <c r="AR469" s="51" t="str">
        <f t="shared" si="379"/>
        <v>ED8B-19B555 -AC</v>
      </c>
      <c r="AS469" s="3"/>
      <c r="AT469" s="22">
        <v>1</v>
      </c>
      <c r="AU469" s="22">
        <v>1</v>
      </c>
      <c r="AV469" s="22">
        <v>0</v>
      </c>
      <c r="AW469" s="22">
        <v>0</v>
      </c>
      <c r="AX469" s="22">
        <v>0</v>
      </c>
      <c r="AY469" s="22">
        <v>0</v>
      </c>
      <c r="AZ469" s="22">
        <v>0</v>
      </c>
      <c r="BA469" s="22">
        <v>0</v>
      </c>
      <c r="BB469" s="64">
        <f t="shared" si="380"/>
        <v>0.30000000000000004</v>
      </c>
      <c r="BD469" s="60">
        <v>-606.33000000000004</v>
      </c>
      <c r="BE469" s="60">
        <v>-1.85</v>
      </c>
      <c r="BF469" s="95">
        <v>-5.13</v>
      </c>
      <c r="BG469" s="95">
        <v>-4.2300000000000004</v>
      </c>
      <c r="BH469" s="95">
        <v>0</v>
      </c>
      <c r="BI469" s="8">
        <f t="shared" si="381"/>
        <v>-617.54000000000008</v>
      </c>
      <c r="BJ469" s="2" t="s">
        <v>91</v>
      </c>
      <c r="BL469" s="70"/>
      <c r="BM469" s="70"/>
      <c r="BO469" s="70"/>
      <c r="BP469" s="70"/>
      <c r="BQ469" s="72"/>
      <c r="BS469" s="61">
        <f t="shared" si="382"/>
        <v>-88.669999999999959</v>
      </c>
      <c r="BT469" s="61">
        <f t="shared" si="335"/>
        <v>0</v>
      </c>
      <c r="BU469" s="61">
        <f t="shared" si="336"/>
        <v>0</v>
      </c>
      <c r="BV469" s="61">
        <f t="shared" si="374"/>
        <v>0</v>
      </c>
      <c r="BW469" s="61">
        <f t="shared" si="374"/>
        <v>0</v>
      </c>
      <c r="BX469" s="61">
        <f t="shared" si="385"/>
        <v>-88.669999999999959</v>
      </c>
      <c r="BY469" s="61" t="s">
        <v>91</v>
      </c>
      <c r="CA469" s="61">
        <f t="shared" ref="CA469:CE532" si="390">($Y469*O469-AT469*$BD469)/$C$2</f>
        <v>-13.339852565066941</v>
      </c>
      <c r="CB469" s="61">
        <f t="shared" si="390"/>
        <v>-13.339852565066941</v>
      </c>
      <c r="CC469" s="61">
        <f t="shared" si="390"/>
        <v>-104.55844741988867</v>
      </c>
      <c r="CD469" s="61">
        <f t="shared" si="390"/>
        <v>-104.55844741988867</v>
      </c>
      <c r="CE469" s="61">
        <f t="shared" si="390"/>
        <v>0</v>
      </c>
      <c r="CF469" s="61">
        <f t="shared" si="388"/>
        <v>0</v>
      </c>
      <c r="CG469" s="61">
        <f t="shared" si="388"/>
        <v>0</v>
      </c>
      <c r="CH469" s="61">
        <f t="shared" si="388"/>
        <v>0</v>
      </c>
      <c r="CI469" s="61">
        <f t="shared" si="375"/>
        <v>-42.688581314878888</v>
      </c>
      <c r="CJ469" s="61"/>
      <c r="CK469" s="61">
        <f t="shared" si="386"/>
        <v>-13.339852565066941</v>
      </c>
      <c r="CL469" s="61">
        <f t="shared" si="386"/>
        <v>-13.339852565066941</v>
      </c>
      <c r="CM469" s="61">
        <f t="shared" si="386"/>
        <v>-106.24492252143824</v>
      </c>
      <c r="CN469" s="61">
        <f t="shared" si="386"/>
        <v>-106.24492252143824</v>
      </c>
      <c r="CO469" s="61">
        <f t="shared" si="386"/>
        <v>0</v>
      </c>
      <c r="CP469" s="61">
        <f t="shared" si="386"/>
        <v>0</v>
      </c>
      <c r="CQ469" s="61">
        <f t="shared" si="386"/>
        <v>0</v>
      </c>
      <c r="CR469" s="61">
        <f t="shared" si="343"/>
        <v>0</v>
      </c>
      <c r="CS469" s="61">
        <f t="shared" si="376"/>
        <v>-43.312577102452238</v>
      </c>
      <c r="CT469" s="61">
        <f t="shared" si="377"/>
        <v>-287.89870000000002</v>
      </c>
      <c r="CV469" s="61">
        <f t="shared" si="378"/>
        <v>-333000</v>
      </c>
      <c r="CW469" s="61">
        <f t="shared" si="383"/>
        <v>-333000</v>
      </c>
      <c r="CX469" s="61"/>
      <c r="CY469" s="61">
        <f t="shared" si="368"/>
        <v>0</v>
      </c>
      <c r="CZ469" s="61">
        <f t="shared" si="321"/>
        <v>0</v>
      </c>
      <c r="DA469" s="61">
        <f t="shared" si="321"/>
        <v>0</v>
      </c>
      <c r="DB469" s="2" t="s">
        <v>86</v>
      </c>
      <c r="DC469" s="2" t="s">
        <v>85</v>
      </c>
      <c r="DD469" s="2" t="s">
        <v>142</v>
      </c>
      <c r="DE469" s="2" t="s">
        <v>264</v>
      </c>
      <c r="DF469" s="3" t="s">
        <v>86</v>
      </c>
      <c r="DG469" s="62">
        <v>42922</v>
      </c>
      <c r="EC469" s="60" t="str">
        <f>VLOOKUP($M469,[1]Detail!$M:$BO,1,0)</f>
        <v>JD8B-19B555 -AA</v>
      </c>
      <c r="ED469" s="60">
        <f>VLOOKUP($M469,[1]Detail!$M:$BO,22,0)</f>
        <v>-706.21</v>
      </c>
      <c r="EE469" s="60">
        <f>VLOOKUP($M469,[1]Detail!$M:$BO,42,0)</f>
        <v>-333000</v>
      </c>
      <c r="EF469" s="60">
        <f>VLOOKUP($M469,[1]Detail!$M:$BO,45,0)</f>
        <v>0</v>
      </c>
      <c r="EH469" s="60">
        <f>ED469-AD469</f>
        <v>0</v>
      </c>
      <c r="EI469" s="60">
        <f>EE469-AG469</f>
        <v>0</v>
      </c>
      <c r="EJ469" s="60">
        <f t="shared" si="389"/>
        <v>0</v>
      </c>
    </row>
    <row r="470" spans="2:140" ht="12.75" hidden="1" customHeight="1">
      <c r="B470" s="99" t="s">
        <v>910</v>
      </c>
      <c r="C470" s="22" t="s">
        <v>911</v>
      </c>
      <c r="D470" s="22" t="s">
        <v>912</v>
      </c>
      <c r="E470" s="2" t="str">
        <f>VLOOKUP($C470,[1]Detail!$C:$AK,6,0)</f>
        <v>PMT3</v>
      </c>
      <c r="F470" s="2" t="str">
        <f>VLOOKUP($C470,[1]Detail!$C:$AK,7,0)</f>
        <v>PF</v>
      </c>
      <c r="G470" s="2" t="str">
        <f>VLOOKUP($C470,[1]Detail!$C:$AK,5,0)</f>
        <v>J</v>
      </c>
      <c r="J470" s="22" t="s">
        <v>913</v>
      </c>
      <c r="K470" s="23" t="s">
        <v>914</v>
      </c>
      <c r="L470" s="22" t="s">
        <v>100</v>
      </c>
      <c r="M470" s="51" t="str">
        <f t="shared" si="344"/>
        <v>JD8C -5019-AA</v>
      </c>
      <c r="O470" s="22">
        <v>1</v>
      </c>
      <c r="P470" s="22">
        <v>1</v>
      </c>
      <c r="Q470" s="22">
        <v>1</v>
      </c>
      <c r="R470" s="22">
        <v>1</v>
      </c>
      <c r="S470" s="22">
        <v>1</v>
      </c>
      <c r="T470" s="22">
        <v>1</v>
      </c>
      <c r="U470" s="22">
        <v>1</v>
      </c>
      <c r="V470" s="22">
        <v>1</v>
      </c>
      <c r="W470" s="64">
        <f t="shared" si="345"/>
        <v>1</v>
      </c>
      <c r="Y470" s="8">
        <v>-352.76</v>
      </c>
      <c r="Z470" s="8">
        <v>-5.99</v>
      </c>
      <c r="AA470" s="8">
        <v>-7.3</v>
      </c>
      <c r="AB470" s="8">
        <v>0</v>
      </c>
      <c r="AC470" s="8">
        <v>0</v>
      </c>
      <c r="AD470" s="8">
        <f t="shared" si="384"/>
        <v>-366.05</v>
      </c>
      <c r="AE470" s="2" t="s">
        <v>91</v>
      </c>
      <c r="AG470" s="8">
        <v>-997500</v>
      </c>
      <c r="AH470" s="8">
        <v>-997500</v>
      </c>
      <c r="AI470" s="6"/>
      <c r="AJ470" s="70">
        <v>0</v>
      </c>
      <c r="AK470" s="70">
        <v>0</v>
      </c>
      <c r="AL470" s="72">
        <v>0</v>
      </c>
      <c r="AM470" s="22" t="s">
        <v>915</v>
      </c>
      <c r="AO470" s="22" t="s">
        <v>374</v>
      </c>
      <c r="AP470" s="23" t="s">
        <v>914</v>
      </c>
      <c r="AQ470" s="22" t="s">
        <v>916</v>
      </c>
      <c r="AR470" s="51" t="str">
        <f t="shared" si="379"/>
        <v>BV61-5019-BPE</v>
      </c>
      <c r="AS470" s="3"/>
      <c r="AT470" s="22">
        <v>1</v>
      </c>
      <c r="AU470" s="22">
        <v>1</v>
      </c>
      <c r="AV470" s="22">
        <v>1</v>
      </c>
      <c r="AW470" s="22">
        <v>1</v>
      </c>
      <c r="AX470" s="22">
        <v>1</v>
      </c>
      <c r="AY470" s="22">
        <v>1</v>
      </c>
      <c r="AZ470" s="22">
        <v>1</v>
      </c>
      <c r="BA470" s="22">
        <v>1</v>
      </c>
      <c r="BB470" s="64">
        <f t="shared" si="380"/>
        <v>1</v>
      </c>
      <c r="BD470" s="60">
        <v>-350.04999999999995</v>
      </c>
      <c r="BE470" s="60">
        <v>-5.99</v>
      </c>
      <c r="BF470" s="95">
        <v>-7.3</v>
      </c>
      <c r="BG470" s="95">
        <v>0</v>
      </c>
      <c r="BH470" s="95">
        <v>0</v>
      </c>
      <c r="BI470" s="8">
        <f t="shared" si="381"/>
        <v>-363.34</v>
      </c>
      <c r="BJ470" s="2" t="s">
        <v>91</v>
      </c>
      <c r="BL470" s="70">
        <v>0</v>
      </c>
      <c r="BM470" s="70">
        <v>0</v>
      </c>
      <c r="BO470" s="70">
        <v>0</v>
      </c>
      <c r="BP470" s="70">
        <v>0</v>
      </c>
      <c r="BQ470" s="72">
        <v>0</v>
      </c>
      <c r="BS470" s="61">
        <f t="shared" si="382"/>
        <v>-2.7100000000000364</v>
      </c>
      <c r="BT470" s="61">
        <f t="shared" si="335"/>
        <v>0</v>
      </c>
      <c r="BU470" s="61">
        <f t="shared" si="336"/>
        <v>0</v>
      </c>
      <c r="BV470" s="61">
        <f t="shared" si="374"/>
        <v>0</v>
      </c>
      <c r="BW470" s="61">
        <f t="shared" si="374"/>
        <v>0</v>
      </c>
      <c r="BX470" s="61">
        <f t="shared" si="385"/>
        <v>-2.7100000000000364</v>
      </c>
      <c r="BY470" s="61" t="s">
        <v>91</v>
      </c>
      <c r="CA470" s="61">
        <f t="shared" si="390"/>
        <v>-0.40770272303295263</v>
      </c>
      <c r="CB470" s="61">
        <f t="shared" si="390"/>
        <v>-0.40770272303295263</v>
      </c>
      <c r="CC470" s="61">
        <f t="shared" si="390"/>
        <v>-0.40770272303295263</v>
      </c>
      <c r="CD470" s="61">
        <f t="shared" si="390"/>
        <v>-0.40770272303295263</v>
      </c>
      <c r="CE470" s="61">
        <f t="shared" si="390"/>
        <v>-0.40770272303295263</v>
      </c>
      <c r="CF470" s="61">
        <f t="shared" si="388"/>
        <v>-0.40770272303295263</v>
      </c>
      <c r="CG470" s="61">
        <f t="shared" si="388"/>
        <v>-0.40770272303295263</v>
      </c>
      <c r="CH470" s="61">
        <f t="shared" si="388"/>
        <v>-0.40770272303295263</v>
      </c>
      <c r="CI470" s="61">
        <f t="shared" si="375"/>
        <v>-0.40770272303295263</v>
      </c>
      <c r="CJ470" s="61"/>
      <c r="CK470" s="61">
        <f t="shared" si="386"/>
        <v>-0.40770272303295263</v>
      </c>
      <c r="CL470" s="61">
        <f t="shared" si="386"/>
        <v>-0.40770272303295263</v>
      </c>
      <c r="CM470" s="61">
        <f t="shared" si="386"/>
        <v>-0.40770272303295263</v>
      </c>
      <c r="CN470" s="61">
        <f t="shared" si="386"/>
        <v>-0.40770272303295263</v>
      </c>
      <c r="CO470" s="61">
        <f t="shared" si="386"/>
        <v>-0.40770272303295263</v>
      </c>
      <c r="CP470" s="61">
        <f t="shared" si="386"/>
        <v>-0.40770272303295263</v>
      </c>
      <c r="CQ470" s="61">
        <f t="shared" si="386"/>
        <v>-0.40770272303295263</v>
      </c>
      <c r="CR470" s="61">
        <f t="shared" si="343"/>
        <v>-0.40770272303295263</v>
      </c>
      <c r="CS470" s="61">
        <f t="shared" si="376"/>
        <v>-0.40770272303295263</v>
      </c>
      <c r="CT470" s="61">
        <f t="shared" si="377"/>
        <v>-2.7100000000000364</v>
      </c>
      <c r="CV470" s="61">
        <f t="shared" si="378"/>
        <v>-997500</v>
      </c>
      <c r="CW470" s="61">
        <f t="shared" si="383"/>
        <v>-997500</v>
      </c>
      <c r="CX470" s="61"/>
      <c r="CY470" s="61">
        <f t="shared" si="368"/>
        <v>0</v>
      </c>
      <c r="CZ470" s="61">
        <f t="shared" si="321"/>
        <v>0</v>
      </c>
      <c r="DA470" s="61">
        <f t="shared" si="321"/>
        <v>0</v>
      </c>
      <c r="DB470" s="2" t="s">
        <v>86</v>
      </c>
      <c r="DC470" s="2" t="s">
        <v>86</v>
      </c>
      <c r="DD470" s="2" t="s">
        <v>142</v>
      </c>
      <c r="DE470" s="2" t="s">
        <v>181</v>
      </c>
      <c r="DF470" s="3" t="s">
        <v>86</v>
      </c>
      <c r="DG470" s="62">
        <v>42915</v>
      </c>
      <c r="EC470" s="60" t="str">
        <f>VLOOKUP($M470,[1]Detail!$M:$BO,1,0)</f>
        <v>JD8C -5019-AA</v>
      </c>
      <c r="ED470" s="60">
        <f>VLOOKUP($M470,[1]Detail!$M:$BO,22,0)</f>
        <v>-366.05</v>
      </c>
      <c r="EE470" s="60">
        <f>VLOOKUP($M470,[1]Detail!$M:$BO,42,0)</f>
        <v>-997500</v>
      </c>
      <c r="EF470" s="60">
        <f>VLOOKUP($M470,[1]Detail!$M:$BO,45,0)</f>
        <v>0</v>
      </c>
      <c r="EH470" s="60">
        <f>ED470-AD470</f>
        <v>0</v>
      </c>
      <c r="EI470" s="60">
        <f>EE470-AG470</f>
        <v>0</v>
      </c>
      <c r="EJ470" s="60">
        <f t="shared" si="389"/>
        <v>0</v>
      </c>
    </row>
    <row r="471" spans="2:140" ht="12.75" hidden="1" customHeight="1">
      <c r="B471" s="99" t="s">
        <v>917</v>
      </c>
      <c r="C471" s="22" t="s">
        <v>108</v>
      </c>
      <c r="D471" s="22" t="s">
        <v>918</v>
      </c>
      <c r="E471" s="2" t="str">
        <f>VLOOKUP($C471,[1]Detail!$C:$AK,6,0)</f>
        <v>PMT5</v>
      </c>
      <c r="F471" s="2" t="str">
        <f>VLOOKUP($C471,[1]Detail!$C:$AK,7,0)</f>
        <v>TH</v>
      </c>
      <c r="G471" s="2" t="str">
        <f>VLOOKUP($C471,[1]Detail!$C:$AK,5,0)</f>
        <v>B</v>
      </c>
      <c r="J471" s="22" t="s">
        <v>919</v>
      </c>
      <c r="K471" s="23" t="s">
        <v>920</v>
      </c>
      <c r="L471" s="23" t="s">
        <v>100</v>
      </c>
      <c r="M471" s="51" t="str">
        <f t="shared" si="344"/>
        <v>HS7T-14B006-AA</v>
      </c>
      <c r="O471" s="22">
        <v>3</v>
      </c>
      <c r="P471" s="22">
        <v>3</v>
      </c>
      <c r="Q471" s="22">
        <v>3</v>
      </c>
      <c r="R471" s="22">
        <v>3</v>
      </c>
      <c r="S471" s="22">
        <v>3</v>
      </c>
      <c r="T471" s="22">
        <v>3</v>
      </c>
      <c r="U471" s="22">
        <v>3</v>
      </c>
      <c r="V471" s="22">
        <v>3</v>
      </c>
      <c r="W471" s="64">
        <f t="shared" si="345"/>
        <v>3</v>
      </c>
      <c r="Y471" s="8">
        <v>-20.81</v>
      </c>
      <c r="Z471" s="8">
        <v>-0.4</v>
      </c>
      <c r="AA471" s="8">
        <v>-0.7</v>
      </c>
      <c r="AB471" s="8">
        <v>0</v>
      </c>
      <c r="AC471" s="8">
        <v>0</v>
      </c>
      <c r="AD471" s="8">
        <f t="shared" si="384"/>
        <v>-21.909999999999997</v>
      </c>
      <c r="AE471" s="2" t="s">
        <v>91</v>
      </c>
      <c r="AG471" s="8">
        <v>0</v>
      </c>
      <c r="AH471" s="8">
        <v>0</v>
      </c>
      <c r="AJ471" s="70">
        <v>0</v>
      </c>
      <c r="AK471" s="70">
        <v>0</v>
      </c>
      <c r="AL471" s="72"/>
      <c r="AM471" s="22"/>
      <c r="AO471" s="22" t="s">
        <v>919</v>
      </c>
      <c r="AP471" s="23" t="s">
        <v>920</v>
      </c>
      <c r="AQ471" s="22" t="s">
        <v>100</v>
      </c>
      <c r="AR471" s="51" t="str">
        <f t="shared" si="379"/>
        <v>HS7T-14B006-AA</v>
      </c>
      <c r="AS471" s="3"/>
      <c r="AT471" s="22">
        <v>3</v>
      </c>
      <c r="AU471" s="22">
        <v>3</v>
      </c>
      <c r="AV471" s="22">
        <v>3</v>
      </c>
      <c r="AW471" s="22">
        <v>3</v>
      </c>
      <c r="AX471" s="22">
        <v>3</v>
      </c>
      <c r="AY471" s="22">
        <v>3</v>
      </c>
      <c r="AZ471" s="22">
        <v>3</v>
      </c>
      <c r="BA471" s="22">
        <v>3</v>
      </c>
      <c r="BB471" s="64">
        <f t="shared" si="380"/>
        <v>3</v>
      </c>
      <c r="BD471" s="60">
        <v>-20.81</v>
      </c>
      <c r="BE471" s="60">
        <v>-0.4</v>
      </c>
      <c r="BF471" s="95">
        <v>-0.7</v>
      </c>
      <c r="BG471" s="95">
        <v>0</v>
      </c>
      <c r="BH471" s="95">
        <v>0</v>
      </c>
      <c r="BI471" s="8">
        <f t="shared" si="381"/>
        <v>-21.909999999999997</v>
      </c>
      <c r="BJ471" s="2" t="s">
        <v>91</v>
      </c>
      <c r="BL471" s="70">
        <v>0</v>
      </c>
      <c r="BM471" s="70">
        <v>0</v>
      </c>
      <c r="BO471" s="70">
        <v>0</v>
      </c>
      <c r="BP471" s="70">
        <v>0</v>
      </c>
      <c r="BQ471" s="72"/>
      <c r="BS471" s="61">
        <f t="shared" si="382"/>
        <v>0</v>
      </c>
      <c r="BT471" s="61">
        <f t="shared" si="335"/>
        <v>0</v>
      </c>
      <c r="BU471" s="61">
        <f t="shared" si="336"/>
        <v>0</v>
      </c>
      <c r="BV471" s="61">
        <f t="shared" si="374"/>
        <v>0</v>
      </c>
      <c r="BW471" s="61">
        <f t="shared" si="374"/>
        <v>0</v>
      </c>
      <c r="BX471" s="61">
        <f t="shared" si="385"/>
        <v>0</v>
      </c>
      <c r="BY471" s="61" t="s">
        <v>91</v>
      </c>
      <c r="CA471" s="61">
        <f t="shared" si="390"/>
        <v>0</v>
      </c>
      <c r="CB471" s="61">
        <f t="shared" si="390"/>
        <v>0</v>
      </c>
      <c r="CC471" s="61">
        <f t="shared" si="390"/>
        <v>0</v>
      </c>
      <c r="CD471" s="61">
        <f t="shared" si="390"/>
        <v>0</v>
      </c>
      <c r="CE471" s="61">
        <f t="shared" si="390"/>
        <v>0</v>
      </c>
      <c r="CF471" s="61">
        <f t="shared" si="388"/>
        <v>0</v>
      </c>
      <c r="CG471" s="61">
        <f t="shared" si="388"/>
        <v>0</v>
      </c>
      <c r="CH471" s="61">
        <f t="shared" si="388"/>
        <v>0</v>
      </c>
      <c r="CI471" s="61">
        <f t="shared" si="375"/>
        <v>0</v>
      </c>
      <c r="CJ471" s="61"/>
      <c r="CK471" s="61">
        <f t="shared" si="386"/>
        <v>0</v>
      </c>
      <c r="CL471" s="61">
        <f t="shared" si="386"/>
        <v>0</v>
      </c>
      <c r="CM471" s="61">
        <f t="shared" si="386"/>
        <v>0</v>
      </c>
      <c r="CN471" s="61">
        <f t="shared" si="386"/>
        <v>0</v>
      </c>
      <c r="CO471" s="61">
        <f t="shared" si="386"/>
        <v>0</v>
      </c>
      <c r="CP471" s="61">
        <f t="shared" si="386"/>
        <v>0</v>
      </c>
      <c r="CQ471" s="61">
        <f t="shared" si="386"/>
        <v>0</v>
      </c>
      <c r="CR471" s="61">
        <f t="shared" si="343"/>
        <v>0</v>
      </c>
      <c r="CS471" s="61">
        <f t="shared" si="376"/>
        <v>0</v>
      </c>
      <c r="CT471" s="61">
        <f t="shared" si="377"/>
        <v>0</v>
      </c>
      <c r="CV471" s="61">
        <f t="shared" si="378"/>
        <v>0</v>
      </c>
      <c r="CW471" s="61">
        <f t="shared" si="383"/>
        <v>0</v>
      </c>
      <c r="CX471" s="61"/>
      <c r="CY471" s="61">
        <f t="shared" si="368"/>
        <v>0</v>
      </c>
      <c r="CZ471" s="61">
        <f t="shared" si="321"/>
        <v>0</v>
      </c>
      <c r="DA471" s="61">
        <f t="shared" si="321"/>
        <v>0</v>
      </c>
      <c r="DB471" s="2" t="s">
        <v>86</v>
      </c>
      <c r="DC471" s="2" t="s">
        <v>86</v>
      </c>
      <c r="DD471" s="2" t="s">
        <v>142</v>
      </c>
      <c r="DE471" s="2" t="s">
        <v>181</v>
      </c>
      <c r="DF471" s="3" t="s">
        <v>86</v>
      </c>
      <c r="DG471" s="62">
        <v>42893</v>
      </c>
      <c r="EC471" s="60" t="str">
        <f>VLOOKUP($M471,[1]Detail!$M:$BO,1,0)</f>
        <v>HS7T-14B006-AA</v>
      </c>
      <c r="ED471" s="60">
        <f>VLOOKUP($M471,[1]Detail!$M:$BO,22,0)</f>
        <v>-21.909999999999997</v>
      </c>
      <c r="EE471" s="60">
        <f>VLOOKUP($M471,[1]Detail!$M:$BO,42,0)</f>
        <v>0</v>
      </c>
      <c r="EF471" s="60">
        <f>VLOOKUP($M471,[1]Detail!$M:$BO,45,0)</f>
        <v>0</v>
      </c>
      <c r="EH471" s="60">
        <f>ED471-AD471</f>
        <v>0</v>
      </c>
      <c r="EI471" s="60">
        <f>EE471-AG471</f>
        <v>0</v>
      </c>
      <c r="EJ471" s="60">
        <f t="shared" si="389"/>
        <v>0</v>
      </c>
    </row>
    <row r="472" spans="2:140" ht="12.75" hidden="1" customHeight="1">
      <c r="B472" s="99" t="s">
        <v>917</v>
      </c>
      <c r="C472" s="22" t="s">
        <v>108</v>
      </c>
      <c r="D472" s="22" t="s">
        <v>918</v>
      </c>
      <c r="E472" s="2" t="str">
        <f>VLOOKUP($C472,[1]Detail!$C:$AK,6,0)</f>
        <v>PMT5</v>
      </c>
      <c r="F472" s="2" t="str">
        <f>VLOOKUP($C472,[1]Detail!$C:$AK,7,0)</f>
        <v>TH</v>
      </c>
      <c r="G472" s="2" t="str">
        <f>VLOOKUP($C472,[1]Detail!$C:$AK,5,0)</f>
        <v>B</v>
      </c>
      <c r="J472" s="22" t="s">
        <v>110</v>
      </c>
      <c r="K472" s="23" t="s">
        <v>921</v>
      </c>
      <c r="L472" s="22" t="s">
        <v>113</v>
      </c>
      <c r="M472" s="51" t="str">
        <f t="shared" si="344"/>
        <v>JD8T-14B321-CA</v>
      </c>
      <c r="O472" s="22">
        <v>1</v>
      </c>
      <c r="P472" s="22">
        <v>1</v>
      </c>
      <c r="Q472" s="22">
        <v>1</v>
      </c>
      <c r="R472" s="22">
        <v>1</v>
      </c>
      <c r="S472" s="22">
        <v>1</v>
      </c>
      <c r="T472" s="22">
        <v>1</v>
      </c>
      <c r="U472" s="22">
        <v>1</v>
      </c>
      <c r="V472" s="22">
        <v>1</v>
      </c>
      <c r="W472" s="64">
        <f t="shared" si="345"/>
        <v>1</v>
      </c>
      <c r="Y472" s="8">
        <f>-192.79*0-188.38</f>
        <v>-188.38</v>
      </c>
      <c r="Z472" s="8">
        <v>-0.8</v>
      </c>
      <c r="AA472" s="8">
        <v>-3.8</v>
      </c>
      <c r="AB472" s="8">
        <v>0</v>
      </c>
      <c r="AC472" s="8">
        <v>-4.2300000000000004</v>
      </c>
      <c r="AD472" s="8">
        <f t="shared" si="384"/>
        <v>-197.21</v>
      </c>
      <c r="AE472" s="2" t="s">
        <v>91</v>
      </c>
      <c r="AG472" s="8">
        <v>0</v>
      </c>
      <c r="AH472" s="8">
        <v>0</v>
      </c>
      <c r="AJ472" s="70">
        <f>-4260503.71*0-2432463</f>
        <v>-2432463</v>
      </c>
      <c r="AK472" s="70">
        <v>574899</v>
      </c>
      <c r="AL472" s="72"/>
      <c r="AM472" s="22"/>
      <c r="AO472" s="22" t="s">
        <v>110</v>
      </c>
      <c r="AP472" s="23" t="s">
        <v>921</v>
      </c>
      <c r="AQ472" s="22" t="s">
        <v>113</v>
      </c>
      <c r="AR472" s="51" t="str">
        <f t="shared" si="379"/>
        <v>JD8T-14B321-CA</v>
      </c>
      <c r="AS472" s="3"/>
      <c r="AT472" s="22">
        <v>0</v>
      </c>
      <c r="AU472" s="22">
        <v>1</v>
      </c>
      <c r="AV472" s="22">
        <v>0</v>
      </c>
      <c r="AW472" s="22">
        <v>1</v>
      </c>
      <c r="AX472" s="22">
        <v>0</v>
      </c>
      <c r="AY472" s="22">
        <v>1</v>
      </c>
      <c r="AZ472" s="22">
        <v>1</v>
      </c>
      <c r="BA472" s="22">
        <v>1</v>
      </c>
      <c r="BB472" s="116">
        <f t="shared" si="380"/>
        <v>0.63000000000000012</v>
      </c>
      <c r="BD472" s="60">
        <v>-192.79</v>
      </c>
      <c r="BE472" s="60">
        <v>-0.8</v>
      </c>
      <c r="BF472" s="95">
        <v>-3.8</v>
      </c>
      <c r="BG472" s="95">
        <v>0</v>
      </c>
      <c r="BH472" s="95">
        <v>-7.41</v>
      </c>
      <c r="BI472" s="8">
        <f t="shared" si="381"/>
        <v>-204.8</v>
      </c>
      <c r="BJ472" s="2" t="s">
        <v>91</v>
      </c>
      <c r="BL472" s="70">
        <v>0</v>
      </c>
      <c r="BM472" s="70">
        <v>0</v>
      </c>
      <c r="BO472" s="70">
        <v>-4260503.71</v>
      </c>
      <c r="BP472" s="70">
        <v>574899</v>
      </c>
      <c r="BQ472" s="72"/>
      <c r="BS472" s="61">
        <f t="shared" si="382"/>
        <v>4.4099999999999966</v>
      </c>
      <c r="BT472" s="61">
        <f t="shared" si="335"/>
        <v>0</v>
      </c>
      <c r="BU472" s="61">
        <f t="shared" si="336"/>
        <v>0</v>
      </c>
      <c r="BV472" s="61">
        <f t="shared" si="374"/>
        <v>0</v>
      </c>
      <c r="BW472" s="61">
        <f t="shared" si="374"/>
        <v>3.1799999999999997</v>
      </c>
      <c r="BX472" s="61">
        <f t="shared" si="385"/>
        <v>7.5900000000000034</v>
      </c>
      <c r="BY472" s="61" t="s">
        <v>91</v>
      </c>
      <c r="CA472" s="61">
        <f t="shared" si="390"/>
        <v>-28.340604784113133</v>
      </c>
      <c r="CB472" s="61">
        <f t="shared" si="390"/>
        <v>0.66345719873627151</v>
      </c>
      <c r="CC472" s="61">
        <f t="shared" si="390"/>
        <v>-28.340604784113133</v>
      </c>
      <c r="CD472" s="61">
        <f t="shared" si="390"/>
        <v>0.66345719873627151</v>
      </c>
      <c r="CE472" s="61">
        <f t="shared" si="390"/>
        <v>-28.340604784113133</v>
      </c>
      <c r="CF472" s="61">
        <f t="shared" si="388"/>
        <v>0.66345719873627151</v>
      </c>
      <c r="CG472" s="61">
        <f t="shared" si="388"/>
        <v>0.66345719873627151</v>
      </c>
      <c r="CH472" s="61">
        <f t="shared" si="388"/>
        <v>0.66345719873627151</v>
      </c>
      <c r="CI472" s="61">
        <f t="shared" si="375"/>
        <v>-10.068045734918007</v>
      </c>
      <c r="CJ472" s="61"/>
      <c r="CK472" s="61">
        <f t="shared" si="386"/>
        <v>-29.66902361967805</v>
      </c>
      <c r="CL472" s="61">
        <f t="shared" si="386"/>
        <v>1.141868512110727</v>
      </c>
      <c r="CM472" s="61">
        <f t="shared" si="386"/>
        <v>-29.66902361967805</v>
      </c>
      <c r="CN472" s="61">
        <f t="shared" si="386"/>
        <v>1.141868512110727</v>
      </c>
      <c r="CO472" s="61">
        <f t="shared" si="386"/>
        <v>-29.66902361967805</v>
      </c>
      <c r="CP472" s="61">
        <f t="shared" si="386"/>
        <v>1.141868512110727</v>
      </c>
      <c r="CQ472" s="61">
        <f t="shared" si="386"/>
        <v>1.141868512110727</v>
      </c>
      <c r="CR472" s="61">
        <f t="shared" si="343"/>
        <v>1.141868512110727</v>
      </c>
      <c r="CS472" s="61">
        <f t="shared" si="376"/>
        <v>-10.258161576651119</v>
      </c>
      <c r="CT472" s="61">
        <f t="shared" si="377"/>
        <v>-68.185999999999993</v>
      </c>
      <c r="CV472" s="61">
        <f t="shared" si="378"/>
        <v>0</v>
      </c>
      <c r="CW472" s="61">
        <f t="shared" si="383"/>
        <v>0</v>
      </c>
      <c r="CX472" s="61"/>
      <c r="CY472" s="61">
        <f t="shared" si="368"/>
        <v>1828040.71</v>
      </c>
      <c r="CZ472" s="61">
        <f t="shared" ref="CZ472:DA541" si="391">SUM(AK472)-SUM(BP472)</f>
        <v>0</v>
      </c>
      <c r="DA472" s="61">
        <f t="shared" si="391"/>
        <v>0</v>
      </c>
      <c r="DB472" s="2" t="s">
        <v>85</v>
      </c>
      <c r="DC472" s="2" t="s">
        <v>86</v>
      </c>
      <c r="DD472" s="2" t="s">
        <v>142</v>
      </c>
      <c r="DE472" s="2" t="s">
        <v>181</v>
      </c>
      <c r="DF472" s="3" t="s">
        <v>86</v>
      </c>
      <c r="DG472" s="62">
        <v>42893</v>
      </c>
      <c r="EC472" s="60"/>
      <c r="ED472" s="60"/>
      <c r="EE472" s="60"/>
      <c r="EF472" s="60"/>
    </row>
    <row r="473" spans="2:140" ht="12.75" hidden="1" customHeight="1">
      <c r="B473" s="99" t="s">
        <v>917</v>
      </c>
      <c r="C473" s="22" t="s">
        <v>108</v>
      </c>
      <c r="D473" s="22" t="s">
        <v>918</v>
      </c>
      <c r="E473" s="2" t="str">
        <f>VLOOKUP($C473,[1]Detail!$C:$AK,6,0)</f>
        <v>PMT5</v>
      </c>
      <c r="F473" s="2" t="str">
        <f>VLOOKUP($C473,[1]Detail!$C:$AK,7,0)</f>
        <v>TH</v>
      </c>
      <c r="G473" s="2" t="str">
        <f>VLOOKUP($C473,[1]Detail!$C:$AK,5,0)</f>
        <v>B</v>
      </c>
      <c r="J473" s="22" t="s">
        <v>110</v>
      </c>
      <c r="K473" s="23" t="s">
        <v>921</v>
      </c>
      <c r="L473" s="22" t="s">
        <v>111</v>
      </c>
      <c r="M473" s="51" t="str">
        <f t="shared" si="344"/>
        <v>JD8T-14B321-BA</v>
      </c>
      <c r="O473" s="22">
        <v>0</v>
      </c>
      <c r="P473" s="22">
        <v>0</v>
      </c>
      <c r="Q473" s="22">
        <v>0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64">
        <f t="shared" si="345"/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f t="shared" si="384"/>
        <v>0</v>
      </c>
      <c r="AE473" s="2" t="s">
        <v>91</v>
      </c>
      <c r="AG473" s="8">
        <v>0</v>
      </c>
      <c r="AH473" s="8">
        <v>0</v>
      </c>
      <c r="AJ473" s="70">
        <v>0</v>
      </c>
      <c r="AK473" s="70">
        <v>0</v>
      </c>
      <c r="AL473" s="72"/>
      <c r="AM473" s="22"/>
      <c r="AO473" s="22" t="s">
        <v>110</v>
      </c>
      <c r="AP473" s="23" t="s">
        <v>921</v>
      </c>
      <c r="AQ473" s="22" t="s">
        <v>111</v>
      </c>
      <c r="AR473" s="51" t="str">
        <f t="shared" si="379"/>
        <v>JD8T-14B321-BA</v>
      </c>
      <c r="AS473" s="3"/>
      <c r="AT473" s="22">
        <v>1</v>
      </c>
      <c r="AU473" s="22">
        <v>0</v>
      </c>
      <c r="AV473" s="22">
        <v>1</v>
      </c>
      <c r="AW473" s="22">
        <v>0</v>
      </c>
      <c r="AX473" s="22">
        <v>1</v>
      </c>
      <c r="AY473" s="22">
        <v>0</v>
      </c>
      <c r="AZ473" s="22">
        <v>0</v>
      </c>
      <c r="BA473" s="22">
        <v>0</v>
      </c>
      <c r="BB473" s="116">
        <f t="shared" si="380"/>
        <v>0.37</v>
      </c>
      <c r="BD473" s="60">
        <v>-183</v>
      </c>
      <c r="BE473" s="60">
        <v>-0.8</v>
      </c>
      <c r="BF473" s="95">
        <v>-3.8</v>
      </c>
      <c r="BG473" s="95">
        <v>0</v>
      </c>
      <c r="BH473" s="95">
        <v>-7.41</v>
      </c>
      <c r="BI473" s="8">
        <f t="shared" si="381"/>
        <v>-195.01000000000002</v>
      </c>
      <c r="BJ473" s="2" t="s">
        <v>91</v>
      </c>
      <c r="BL473" s="70">
        <v>0</v>
      </c>
      <c r="BM473" s="70">
        <v>0</v>
      </c>
      <c r="BO473" s="70" t="s">
        <v>634</v>
      </c>
      <c r="BP473" s="70">
        <v>0</v>
      </c>
      <c r="BQ473" s="72"/>
      <c r="BS473" s="61">
        <f t="shared" si="382"/>
        <v>183</v>
      </c>
      <c r="BT473" s="61">
        <f t="shared" si="335"/>
        <v>0.8</v>
      </c>
      <c r="BU473" s="61">
        <f t="shared" si="336"/>
        <v>3.8</v>
      </c>
      <c r="BV473" s="61">
        <f t="shared" si="374"/>
        <v>0</v>
      </c>
      <c r="BW473" s="61">
        <f t="shared" si="374"/>
        <v>7.41</v>
      </c>
      <c r="BX473" s="61">
        <f t="shared" si="385"/>
        <v>195.01000000000002</v>
      </c>
      <c r="BY473" s="61" t="s">
        <v>91</v>
      </c>
      <c r="CA473" s="61">
        <f t="shared" si="390"/>
        <v>27.531217090416728</v>
      </c>
      <c r="CB473" s="61">
        <f t="shared" si="390"/>
        <v>0</v>
      </c>
      <c r="CC473" s="61">
        <f t="shared" si="390"/>
        <v>27.531217090416728</v>
      </c>
      <c r="CD473" s="61">
        <f t="shared" si="390"/>
        <v>0</v>
      </c>
      <c r="CE473" s="61">
        <f t="shared" si="390"/>
        <v>27.531217090416728</v>
      </c>
      <c r="CF473" s="61">
        <f t="shared" si="388"/>
        <v>0</v>
      </c>
      <c r="CG473" s="61">
        <f t="shared" si="388"/>
        <v>0</v>
      </c>
      <c r="CH473" s="61">
        <f t="shared" si="388"/>
        <v>0</v>
      </c>
      <c r="CI473" s="61">
        <f t="shared" si="375"/>
        <v>10.18655032345419</v>
      </c>
      <c r="CJ473" s="61"/>
      <c r="CK473" s="61">
        <f t="shared" si="386"/>
        <v>29.338047239356101</v>
      </c>
      <c r="CL473" s="61">
        <f t="shared" si="386"/>
        <v>0</v>
      </c>
      <c r="CM473" s="61">
        <f t="shared" si="386"/>
        <v>29.338047239356101</v>
      </c>
      <c r="CN473" s="61">
        <f t="shared" si="386"/>
        <v>0</v>
      </c>
      <c r="CO473" s="61">
        <f t="shared" si="386"/>
        <v>29.338047239356101</v>
      </c>
      <c r="CP473" s="61">
        <f t="shared" si="386"/>
        <v>0</v>
      </c>
      <c r="CQ473" s="61">
        <f t="shared" si="386"/>
        <v>0</v>
      </c>
      <c r="CR473" s="61">
        <f t="shared" si="343"/>
        <v>0</v>
      </c>
      <c r="CS473" s="61">
        <f t="shared" si="376"/>
        <v>10.855077478561757</v>
      </c>
      <c r="CT473" s="61">
        <f t="shared" si="377"/>
        <v>72.153700000000001</v>
      </c>
      <c r="CV473" s="61">
        <f t="shared" si="378"/>
        <v>0</v>
      </c>
      <c r="CW473" s="61">
        <f t="shared" si="383"/>
        <v>0</v>
      </c>
      <c r="CX473" s="61"/>
      <c r="CY473" s="61">
        <f t="shared" si="368"/>
        <v>0</v>
      </c>
      <c r="CZ473" s="61">
        <f t="shared" si="391"/>
        <v>0</v>
      </c>
      <c r="DA473" s="61">
        <f t="shared" si="391"/>
        <v>0</v>
      </c>
      <c r="DB473" s="2" t="s">
        <v>86</v>
      </c>
      <c r="DC473" s="2" t="s">
        <v>86</v>
      </c>
      <c r="DD473" s="2" t="s">
        <v>142</v>
      </c>
      <c r="DE473" s="2" t="s">
        <v>181</v>
      </c>
      <c r="DF473" s="3" t="s">
        <v>86</v>
      </c>
      <c r="DG473" s="62">
        <v>42893</v>
      </c>
      <c r="EC473" s="60" t="str">
        <f>VLOOKUP($M473,[1]Detail!$M:$BO,1,0)</f>
        <v>JD8T-14B321-BA</v>
      </c>
      <c r="ED473" s="60">
        <f>VLOOKUP($M473,[1]Detail!$M:$BO,22,0)</f>
        <v>0</v>
      </c>
      <c r="EE473" s="60">
        <f>VLOOKUP($M473,[1]Detail!$M:$BO,42,0)</f>
        <v>0</v>
      </c>
      <c r="EF473" s="60">
        <f>VLOOKUP($M473,[1]Detail!$M:$BO,45,0)</f>
        <v>0</v>
      </c>
      <c r="EH473" s="60">
        <f>ED473-AD473</f>
        <v>0</v>
      </c>
      <c r="EI473" s="60">
        <f>EE473-AG473</f>
        <v>0</v>
      </c>
      <c r="EJ473" s="60">
        <f>EF473-AJ473</f>
        <v>0</v>
      </c>
    </row>
    <row r="474" spans="2:140" ht="12.75" hidden="1" customHeight="1">
      <c r="B474" s="99" t="s">
        <v>922</v>
      </c>
      <c r="C474" s="22" t="s">
        <v>108</v>
      </c>
      <c r="D474" s="22" t="s">
        <v>918</v>
      </c>
      <c r="E474" s="2" t="str">
        <f>VLOOKUP($C474,[1]Detail!$C:$AK,6,0)</f>
        <v>PMT5</v>
      </c>
      <c r="F474" s="2" t="str">
        <f>VLOOKUP($C474,[1]Detail!$C:$AK,7,0)</f>
        <v>TH</v>
      </c>
      <c r="G474" s="2" t="str">
        <f>VLOOKUP($C474,[1]Detail!$C:$AK,5,0)</f>
        <v>B</v>
      </c>
      <c r="J474" s="22" t="s">
        <v>110</v>
      </c>
      <c r="K474" s="23" t="s">
        <v>921</v>
      </c>
      <c r="L474" s="22" t="s">
        <v>122</v>
      </c>
      <c r="M474" s="51" t="str">
        <f t="shared" si="344"/>
        <v>JD8T-14B321-CB</v>
      </c>
      <c r="O474" s="22">
        <v>1</v>
      </c>
      <c r="P474" s="22">
        <v>1</v>
      </c>
      <c r="Q474" s="22">
        <v>1</v>
      </c>
      <c r="R474" s="22">
        <v>1</v>
      </c>
      <c r="S474" s="22">
        <v>1</v>
      </c>
      <c r="T474" s="22">
        <v>1</v>
      </c>
      <c r="U474" s="22">
        <v>1</v>
      </c>
      <c r="V474" s="22">
        <v>1</v>
      </c>
      <c r="W474" s="64">
        <f t="shared" si="345"/>
        <v>1</v>
      </c>
      <c r="Y474" s="8">
        <f>-192.79*0-188.38</f>
        <v>-188.38</v>
      </c>
      <c r="Z474" s="8">
        <v>-0.8</v>
      </c>
      <c r="AA474" s="8">
        <v>-3.8</v>
      </c>
      <c r="AB474" s="8">
        <v>0</v>
      </c>
      <c r="AC474" s="8">
        <v>-4.2300000000000004</v>
      </c>
      <c r="AD474" s="8">
        <f t="shared" si="384"/>
        <v>-197.21</v>
      </c>
      <c r="AE474" s="2" t="s">
        <v>91</v>
      </c>
      <c r="AG474" s="8">
        <v>0</v>
      </c>
      <c r="AH474" s="8">
        <v>0</v>
      </c>
      <c r="AJ474" s="70">
        <f>-4260503.71*0-2432463</f>
        <v>-2432463</v>
      </c>
      <c r="AK474" s="70">
        <v>574899</v>
      </c>
      <c r="AL474" s="72"/>
      <c r="AM474" s="22"/>
      <c r="AO474" s="22" t="s">
        <v>110</v>
      </c>
      <c r="AP474" s="23" t="s">
        <v>921</v>
      </c>
      <c r="AQ474" s="22" t="s">
        <v>113</v>
      </c>
      <c r="AR474" s="51" t="str">
        <f t="shared" si="379"/>
        <v>JD8T-14B321-CA</v>
      </c>
      <c r="AS474" s="3"/>
      <c r="AT474" s="22">
        <v>1</v>
      </c>
      <c r="AU474" s="22">
        <v>1</v>
      </c>
      <c r="AV474" s="22">
        <v>1</v>
      </c>
      <c r="AW474" s="22">
        <v>1</v>
      </c>
      <c r="AX474" s="22">
        <v>1</v>
      </c>
      <c r="AY474" s="22">
        <v>1</v>
      </c>
      <c r="AZ474" s="22">
        <v>1</v>
      </c>
      <c r="BA474" s="22">
        <v>1</v>
      </c>
      <c r="BB474" s="116">
        <f t="shared" si="380"/>
        <v>1</v>
      </c>
      <c r="BD474" s="60">
        <f>-192.79*0-188.38</f>
        <v>-188.38</v>
      </c>
      <c r="BE474" s="60">
        <v>-0.8</v>
      </c>
      <c r="BF474" s="95">
        <v>-3.8</v>
      </c>
      <c r="BG474" s="95">
        <v>0</v>
      </c>
      <c r="BH474" s="95">
        <v>-4.2300000000000004</v>
      </c>
      <c r="BI474" s="8">
        <f t="shared" si="381"/>
        <v>-197.21</v>
      </c>
      <c r="BJ474" s="2" t="s">
        <v>91</v>
      </c>
      <c r="BL474" s="70">
        <v>0</v>
      </c>
      <c r="BM474" s="70">
        <v>0</v>
      </c>
      <c r="BO474" s="70">
        <f>-4260503.71*0-2432463</f>
        <v>-2432463</v>
      </c>
      <c r="BP474" s="70">
        <v>574899</v>
      </c>
      <c r="BQ474" s="72"/>
      <c r="BS474" s="61">
        <f t="shared" si="382"/>
        <v>0</v>
      </c>
      <c r="BT474" s="61">
        <f t="shared" si="335"/>
        <v>0</v>
      </c>
      <c r="BU474" s="61">
        <f t="shared" si="336"/>
        <v>0</v>
      </c>
      <c r="BV474" s="61">
        <f t="shared" si="374"/>
        <v>0</v>
      </c>
      <c r="BW474" s="61">
        <f t="shared" si="374"/>
        <v>0</v>
      </c>
      <c r="BX474" s="61">
        <f t="shared" si="385"/>
        <v>0</v>
      </c>
      <c r="BY474" s="61" t="s">
        <v>91</v>
      </c>
      <c r="CA474" s="61">
        <f t="shared" si="390"/>
        <v>0</v>
      </c>
      <c r="CB474" s="61">
        <f t="shared" si="390"/>
        <v>0</v>
      </c>
      <c r="CC474" s="61">
        <f t="shared" si="390"/>
        <v>0</v>
      </c>
      <c r="CD474" s="61">
        <f t="shared" si="390"/>
        <v>0</v>
      </c>
      <c r="CE474" s="61">
        <f t="shared" si="390"/>
        <v>0</v>
      </c>
      <c r="CF474" s="61">
        <f t="shared" si="388"/>
        <v>0</v>
      </c>
      <c r="CG474" s="61">
        <f t="shared" si="388"/>
        <v>0</v>
      </c>
      <c r="CH474" s="61">
        <f t="shared" si="388"/>
        <v>0</v>
      </c>
      <c r="CI474" s="61">
        <f t="shared" si="375"/>
        <v>0</v>
      </c>
      <c r="CJ474" s="61"/>
      <c r="CK474" s="61">
        <f t="shared" si="386"/>
        <v>0</v>
      </c>
      <c r="CL474" s="61">
        <f t="shared" si="386"/>
        <v>0</v>
      </c>
      <c r="CM474" s="61">
        <f t="shared" si="386"/>
        <v>0</v>
      </c>
      <c r="CN474" s="61">
        <f t="shared" si="386"/>
        <v>0</v>
      </c>
      <c r="CO474" s="61">
        <f t="shared" si="386"/>
        <v>0</v>
      </c>
      <c r="CP474" s="61">
        <f t="shared" si="386"/>
        <v>0</v>
      </c>
      <c r="CQ474" s="61">
        <f t="shared" si="386"/>
        <v>0</v>
      </c>
      <c r="CR474" s="61">
        <f t="shared" si="343"/>
        <v>0</v>
      </c>
      <c r="CS474" s="61">
        <f t="shared" si="376"/>
        <v>0</v>
      </c>
      <c r="CT474" s="61">
        <f t="shared" si="377"/>
        <v>0</v>
      </c>
      <c r="CV474" s="61">
        <f t="shared" si="378"/>
        <v>0</v>
      </c>
      <c r="CW474" s="61">
        <f t="shared" si="383"/>
        <v>0</v>
      </c>
      <c r="CX474" s="61"/>
      <c r="CY474" s="61">
        <f t="shared" si="368"/>
        <v>0</v>
      </c>
      <c r="CZ474" s="61">
        <f t="shared" si="391"/>
        <v>0</v>
      </c>
      <c r="DA474" s="61">
        <f t="shared" si="391"/>
        <v>0</v>
      </c>
      <c r="DB474" s="2" t="s">
        <v>85</v>
      </c>
      <c r="DC474" s="2" t="s">
        <v>85</v>
      </c>
      <c r="DD474" s="2" t="s">
        <v>142</v>
      </c>
      <c r="DE474" s="2" t="s">
        <v>181</v>
      </c>
      <c r="DF474" s="3" t="s">
        <v>86</v>
      </c>
      <c r="DG474" s="62">
        <v>42893</v>
      </c>
      <c r="EC474" s="60"/>
      <c r="ED474" s="60"/>
      <c r="EE474" s="60"/>
      <c r="EF474" s="60"/>
    </row>
    <row r="475" spans="2:140" ht="12.75" hidden="1" customHeight="1">
      <c r="B475" s="99" t="s">
        <v>923</v>
      </c>
      <c r="C475" s="22" t="s">
        <v>108</v>
      </c>
      <c r="D475" s="22" t="s">
        <v>918</v>
      </c>
      <c r="E475" s="2" t="str">
        <f>VLOOKUP($C475,[1]Detail!$C:$AK,6,0)</f>
        <v>PMT5</v>
      </c>
      <c r="F475" s="2" t="str">
        <f>VLOOKUP($C475,[1]Detail!$C:$AK,7,0)</f>
        <v>TH</v>
      </c>
      <c r="G475" s="2" t="str">
        <f>VLOOKUP($C475,[1]Detail!$C:$AK,5,0)</f>
        <v>B</v>
      </c>
      <c r="J475" s="22" t="s">
        <v>110</v>
      </c>
      <c r="K475" s="23" t="s">
        <v>921</v>
      </c>
      <c r="L475" s="22" t="s">
        <v>924</v>
      </c>
      <c r="M475" s="51" t="str">
        <f t="shared" si="344"/>
        <v>JD8T-14B321-CC</v>
      </c>
      <c r="O475" s="22">
        <v>1</v>
      </c>
      <c r="P475" s="22">
        <v>1</v>
      </c>
      <c r="Q475" s="22">
        <v>1</v>
      </c>
      <c r="R475" s="22">
        <v>1</v>
      </c>
      <c r="S475" s="22">
        <v>1</v>
      </c>
      <c r="T475" s="22">
        <v>1</v>
      </c>
      <c r="U475" s="22">
        <v>1</v>
      </c>
      <c r="V475" s="22">
        <v>1</v>
      </c>
      <c r="W475" s="64">
        <f t="shared" si="345"/>
        <v>1</v>
      </c>
      <c r="Y475" s="8">
        <f>-192.79*0-188.38</f>
        <v>-188.38</v>
      </c>
      <c r="Z475" s="8">
        <v>-0.8</v>
      </c>
      <c r="AA475" s="8">
        <v>-3.8</v>
      </c>
      <c r="AB475" s="8">
        <v>0</v>
      </c>
      <c r="AC475" s="8">
        <v>-4.2300000000000004</v>
      </c>
      <c r="AD475" s="8">
        <f t="shared" si="384"/>
        <v>-197.21</v>
      </c>
      <c r="AE475" s="2" t="s">
        <v>91</v>
      </c>
      <c r="AG475" s="8">
        <v>0</v>
      </c>
      <c r="AH475" s="8">
        <v>0</v>
      </c>
      <c r="AJ475" s="70">
        <f>-4260503.71*0-2432463</f>
        <v>-2432463</v>
      </c>
      <c r="AK475" s="70">
        <v>574899</v>
      </c>
      <c r="AL475" s="72"/>
      <c r="AM475" s="22"/>
      <c r="AO475" s="22" t="s">
        <v>110</v>
      </c>
      <c r="AP475" s="23" t="s">
        <v>921</v>
      </c>
      <c r="AQ475" s="22" t="s">
        <v>122</v>
      </c>
      <c r="AR475" s="51" t="s">
        <v>925</v>
      </c>
      <c r="AS475" s="3"/>
      <c r="AT475" s="22">
        <v>1</v>
      </c>
      <c r="AU475" s="22">
        <v>1</v>
      </c>
      <c r="AV475" s="22">
        <v>1</v>
      </c>
      <c r="AW475" s="22">
        <v>1</v>
      </c>
      <c r="AX475" s="22">
        <v>1</v>
      </c>
      <c r="AY475" s="22">
        <v>1</v>
      </c>
      <c r="AZ475" s="22">
        <v>1</v>
      </c>
      <c r="BA475" s="22">
        <v>1</v>
      </c>
      <c r="BB475" s="116">
        <v>1</v>
      </c>
      <c r="BD475" s="60">
        <v>-188.38</v>
      </c>
      <c r="BE475" s="60">
        <v>-0.8</v>
      </c>
      <c r="BF475" s="95">
        <v>-3.8</v>
      </c>
      <c r="BG475" s="95">
        <v>0</v>
      </c>
      <c r="BH475" s="95">
        <v>-4.2300000000000004</v>
      </c>
      <c r="BI475" s="8">
        <v>-197.21</v>
      </c>
      <c r="BJ475" s="2" t="s">
        <v>91</v>
      </c>
      <c r="BL475" s="70">
        <v>0</v>
      </c>
      <c r="BM475" s="70">
        <v>0</v>
      </c>
      <c r="BO475" s="70">
        <v>-2432463</v>
      </c>
      <c r="BP475" s="70">
        <v>574899</v>
      </c>
      <c r="BQ475" s="72"/>
      <c r="BS475" s="61">
        <f t="shared" si="382"/>
        <v>0</v>
      </c>
      <c r="BT475" s="61">
        <f t="shared" si="335"/>
        <v>0</v>
      </c>
      <c r="BU475" s="61">
        <f t="shared" si="336"/>
        <v>0</v>
      </c>
      <c r="BV475" s="61">
        <f t="shared" si="374"/>
        <v>0</v>
      </c>
      <c r="BW475" s="61">
        <f t="shared" si="374"/>
        <v>0</v>
      </c>
      <c r="BX475" s="61">
        <f t="shared" si="385"/>
        <v>0</v>
      </c>
      <c r="BY475" s="61" t="s">
        <v>91</v>
      </c>
      <c r="CA475" s="61">
        <f t="shared" si="390"/>
        <v>0</v>
      </c>
      <c r="CB475" s="61">
        <f t="shared" si="390"/>
        <v>0</v>
      </c>
      <c r="CC475" s="61">
        <f t="shared" si="390"/>
        <v>0</v>
      </c>
      <c r="CD475" s="61">
        <f t="shared" si="390"/>
        <v>0</v>
      </c>
      <c r="CE475" s="61">
        <f t="shared" si="390"/>
        <v>0</v>
      </c>
      <c r="CF475" s="61">
        <f t="shared" si="388"/>
        <v>0</v>
      </c>
      <c r="CG475" s="61">
        <f t="shared" si="388"/>
        <v>0</v>
      </c>
      <c r="CH475" s="61">
        <f t="shared" si="388"/>
        <v>0</v>
      </c>
      <c r="CI475" s="61">
        <f t="shared" si="375"/>
        <v>0</v>
      </c>
      <c r="CJ475" s="61"/>
      <c r="CK475" s="61">
        <f t="shared" si="386"/>
        <v>0</v>
      </c>
      <c r="CL475" s="61">
        <f t="shared" si="386"/>
        <v>0</v>
      </c>
      <c r="CM475" s="61">
        <f t="shared" si="386"/>
        <v>0</v>
      </c>
      <c r="CN475" s="61">
        <f t="shared" si="386"/>
        <v>0</v>
      </c>
      <c r="CO475" s="61">
        <f t="shared" si="386"/>
        <v>0</v>
      </c>
      <c r="CP475" s="61">
        <f t="shared" si="386"/>
        <v>0</v>
      </c>
      <c r="CQ475" s="61">
        <f t="shared" si="386"/>
        <v>0</v>
      </c>
      <c r="CR475" s="61">
        <f t="shared" si="343"/>
        <v>0</v>
      </c>
      <c r="CS475" s="61">
        <f t="shared" si="376"/>
        <v>0</v>
      </c>
      <c r="CT475" s="61">
        <f t="shared" si="377"/>
        <v>0</v>
      </c>
      <c r="CV475" s="61">
        <f t="shared" si="378"/>
        <v>0</v>
      </c>
      <c r="CW475" s="61">
        <f t="shared" si="383"/>
        <v>0</v>
      </c>
      <c r="CX475" s="61"/>
      <c r="CY475" s="61">
        <f t="shared" si="368"/>
        <v>0</v>
      </c>
      <c r="CZ475" s="61">
        <f t="shared" si="391"/>
        <v>0</v>
      </c>
      <c r="DA475" s="61">
        <f t="shared" si="391"/>
        <v>0</v>
      </c>
      <c r="DB475" s="2" t="s">
        <v>85</v>
      </c>
      <c r="DC475" s="2" t="s">
        <v>85</v>
      </c>
      <c r="DD475" s="2" t="s">
        <v>142</v>
      </c>
      <c r="DE475" s="2" t="s">
        <v>257</v>
      </c>
      <c r="DF475" s="3" t="s">
        <v>86</v>
      </c>
      <c r="DG475" s="62">
        <v>42893</v>
      </c>
      <c r="EC475" s="60"/>
      <c r="ED475" s="60"/>
      <c r="EE475" s="60"/>
      <c r="EF475" s="60"/>
    </row>
    <row r="476" spans="2:140" ht="12.75" hidden="1" customHeight="1">
      <c r="B476" s="99" t="s">
        <v>926</v>
      </c>
      <c r="C476" s="22" t="s">
        <v>108</v>
      </c>
      <c r="D476" s="22" t="s">
        <v>918</v>
      </c>
      <c r="E476" s="2" t="str">
        <f>VLOOKUP($C476,[1]Detail!$C:$AK,6,0)</f>
        <v>PMT5</v>
      </c>
      <c r="F476" s="2" t="str">
        <f>VLOOKUP($C476,[1]Detail!$C:$AK,7,0)</f>
        <v>TH</v>
      </c>
      <c r="G476" s="2" t="str">
        <f>VLOOKUP($C476,[1]Detail!$C:$AK,5,0)</f>
        <v>B</v>
      </c>
      <c r="J476" s="22" t="s">
        <v>110</v>
      </c>
      <c r="K476" s="23" t="s">
        <v>921</v>
      </c>
      <c r="L476" s="22" t="s">
        <v>927</v>
      </c>
      <c r="M476" s="51" t="str">
        <f t="shared" si="344"/>
        <v>JD8T-14B321-CD</v>
      </c>
      <c r="O476" s="22">
        <v>1</v>
      </c>
      <c r="P476" s="22">
        <v>1</v>
      </c>
      <c r="Q476" s="22">
        <v>1</v>
      </c>
      <c r="R476" s="22">
        <v>1</v>
      </c>
      <c r="S476" s="22">
        <v>1</v>
      </c>
      <c r="T476" s="22">
        <v>1</v>
      </c>
      <c r="U476" s="22">
        <v>1</v>
      </c>
      <c r="V476" s="22">
        <v>1</v>
      </c>
      <c r="W476" s="64">
        <f t="shared" si="345"/>
        <v>1</v>
      </c>
      <c r="Y476" s="8">
        <f>-192.79*0-188.38</f>
        <v>-188.38</v>
      </c>
      <c r="Z476" s="8">
        <v>-0.8</v>
      </c>
      <c r="AA476" s="8">
        <v>-3.8</v>
      </c>
      <c r="AB476" s="8">
        <v>0</v>
      </c>
      <c r="AC476" s="8">
        <v>-4.2300000000000004</v>
      </c>
      <c r="AD476" s="8">
        <f t="shared" si="384"/>
        <v>-197.21</v>
      </c>
      <c r="AE476" s="2" t="s">
        <v>91</v>
      </c>
      <c r="AG476" s="8">
        <v>0</v>
      </c>
      <c r="AH476" s="8">
        <v>0</v>
      </c>
      <c r="AJ476" s="70">
        <f>-4260503.71*0-2432463</f>
        <v>-2432463</v>
      </c>
      <c r="AK476" s="70">
        <v>574899</v>
      </c>
      <c r="AL476" s="72"/>
      <c r="AM476" s="22"/>
      <c r="AO476" s="22" t="s">
        <v>110</v>
      </c>
      <c r="AP476" s="23" t="s">
        <v>921</v>
      </c>
      <c r="AQ476" s="22" t="s">
        <v>924</v>
      </c>
      <c r="AR476" s="51" t="str">
        <f t="shared" ref="AR476:AR539" si="392">TRIM(AO476)&amp;"-"&amp;TRIM(AP476)&amp;"-"&amp;TRIM(AQ476)</f>
        <v>JD8T-14B321-CC</v>
      </c>
      <c r="AS476" s="3"/>
      <c r="AT476" s="22">
        <v>1</v>
      </c>
      <c r="AU476" s="22">
        <v>1</v>
      </c>
      <c r="AV476" s="22">
        <v>1</v>
      </c>
      <c r="AW476" s="22">
        <v>1</v>
      </c>
      <c r="AX476" s="22">
        <v>1</v>
      </c>
      <c r="AY476" s="22">
        <v>1</v>
      </c>
      <c r="AZ476" s="22">
        <v>1</v>
      </c>
      <c r="BA476" s="22">
        <v>1</v>
      </c>
      <c r="BB476" s="64">
        <f t="shared" ref="BB476:BB539" si="393">SUMPRODUCT(AT476:BA476,$O$6:$V$6)</f>
        <v>1</v>
      </c>
      <c r="BD476" s="8">
        <f>-192.79*0-188.38</f>
        <v>-188.38</v>
      </c>
      <c r="BE476" s="8">
        <v>-0.8</v>
      </c>
      <c r="BF476" s="8">
        <v>-3.8</v>
      </c>
      <c r="BG476" s="8">
        <v>0</v>
      </c>
      <c r="BH476" s="8">
        <v>-4.2300000000000004</v>
      </c>
      <c r="BI476" s="8">
        <f t="shared" ref="BI476" si="394">SUM(BD476:BH476)</f>
        <v>-197.21</v>
      </c>
      <c r="BJ476" s="2" t="s">
        <v>91</v>
      </c>
      <c r="BL476" s="8">
        <v>0</v>
      </c>
      <c r="BM476" s="8">
        <v>0</v>
      </c>
      <c r="BO476" s="70">
        <f>-4260503.71*0-2432463</f>
        <v>-2432463</v>
      </c>
      <c r="BP476" s="70">
        <v>574899</v>
      </c>
      <c r="BQ476" s="72"/>
      <c r="BR476" s="22"/>
      <c r="BS476" s="61">
        <f t="shared" si="382"/>
        <v>0</v>
      </c>
      <c r="BT476" s="61">
        <f t="shared" si="335"/>
        <v>0</v>
      </c>
      <c r="BU476" s="61">
        <f t="shared" si="336"/>
        <v>0</v>
      </c>
      <c r="BV476" s="61">
        <f t="shared" si="374"/>
        <v>0</v>
      </c>
      <c r="BW476" s="61">
        <f t="shared" si="374"/>
        <v>0</v>
      </c>
      <c r="BX476" s="61">
        <f t="shared" si="385"/>
        <v>0</v>
      </c>
      <c r="BY476" s="61" t="s">
        <v>91</v>
      </c>
      <c r="CA476" s="61">
        <f t="shared" si="390"/>
        <v>0</v>
      </c>
      <c r="CB476" s="61">
        <f t="shared" si="390"/>
        <v>0</v>
      </c>
      <c r="CC476" s="61">
        <f t="shared" si="390"/>
        <v>0</v>
      </c>
      <c r="CD476" s="61">
        <f t="shared" si="390"/>
        <v>0</v>
      </c>
      <c r="CE476" s="61">
        <f t="shared" si="390"/>
        <v>0</v>
      </c>
      <c r="CF476" s="61">
        <f t="shared" si="388"/>
        <v>0</v>
      </c>
      <c r="CG476" s="61">
        <f t="shared" si="388"/>
        <v>0</v>
      </c>
      <c r="CH476" s="61">
        <f t="shared" si="388"/>
        <v>0</v>
      </c>
      <c r="CI476" s="61">
        <f t="shared" si="375"/>
        <v>0</v>
      </c>
      <c r="CJ476" s="61"/>
      <c r="CK476" s="61">
        <f t="shared" si="386"/>
        <v>0</v>
      </c>
      <c r="CL476" s="61">
        <f t="shared" si="386"/>
        <v>0</v>
      </c>
      <c r="CM476" s="61">
        <f t="shared" si="386"/>
        <v>0</v>
      </c>
      <c r="CN476" s="61">
        <f t="shared" si="386"/>
        <v>0</v>
      </c>
      <c r="CO476" s="61">
        <f t="shared" si="386"/>
        <v>0</v>
      </c>
      <c r="CP476" s="61">
        <f t="shared" si="386"/>
        <v>0</v>
      </c>
      <c r="CQ476" s="61">
        <f t="shared" si="386"/>
        <v>0</v>
      </c>
      <c r="CR476" s="61">
        <f t="shared" si="343"/>
        <v>0</v>
      </c>
      <c r="CS476" s="61">
        <f t="shared" si="376"/>
        <v>0</v>
      </c>
      <c r="CT476" s="61">
        <f t="shared" si="377"/>
        <v>0</v>
      </c>
      <c r="CV476" s="61">
        <f t="shared" si="378"/>
        <v>0</v>
      </c>
      <c r="CW476" s="61">
        <f t="shared" ref="CW476" si="395">SUM(AH476)-SUM(BM476)</f>
        <v>0</v>
      </c>
      <c r="CX476" s="61"/>
      <c r="CY476" s="61">
        <f t="shared" si="368"/>
        <v>0</v>
      </c>
      <c r="CZ476" s="61">
        <f t="shared" si="391"/>
        <v>0</v>
      </c>
      <c r="DA476" s="61">
        <f t="shared" si="391"/>
        <v>0</v>
      </c>
      <c r="DB476" s="2" t="s">
        <v>86</v>
      </c>
      <c r="DC476" s="2" t="s">
        <v>85</v>
      </c>
      <c r="DD476" s="2" t="s">
        <v>142</v>
      </c>
      <c r="DE476" s="2" t="s">
        <v>928</v>
      </c>
      <c r="DF476" s="3" t="s">
        <v>86</v>
      </c>
      <c r="DG476" s="62" t="s">
        <v>929</v>
      </c>
      <c r="EC476" s="60" t="str">
        <f>VLOOKUP($M476,[1]Detail!$M:$BO,1,0)</f>
        <v>JD8T-14B321-CD</v>
      </c>
      <c r="ED476" s="60">
        <f>VLOOKUP($M476,[1]Detail!$M:$BO,22,0)</f>
        <v>-197.21</v>
      </c>
      <c r="EE476" s="60">
        <f>VLOOKUP($M476,[1]Detail!$M:$BO,42,0)</f>
        <v>0</v>
      </c>
      <c r="EF476" s="60">
        <f>VLOOKUP($M476,[1]Detail!$M:$BO,45,0)</f>
        <v>-2432463</v>
      </c>
      <c r="EH476" s="60">
        <f>ED476-AD476</f>
        <v>0</v>
      </c>
      <c r="EI476" s="60">
        <f>EE476-AG476</f>
        <v>0</v>
      </c>
      <c r="EJ476" s="60">
        <f t="shared" ref="EJ476" si="396">EF476-AJ476</f>
        <v>0</v>
      </c>
    </row>
    <row r="477" spans="2:140" ht="12.75" hidden="1" customHeight="1">
      <c r="B477" s="99" t="s">
        <v>930</v>
      </c>
      <c r="C477" s="22" t="s">
        <v>931</v>
      </c>
      <c r="D477" s="22" t="s">
        <v>932</v>
      </c>
      <c r="E477" s="2" t="str">
        <f>VLOOKUP($C477,[1]Detail!$C:$AK,6,0)</f>
        <v>PMT1</v>
      </c>
      <c r="F477" s="2" t="str">
        <f>VLOOKUP($C477,[1]Detail!$C:$AK,7,0)</f>
        <v>TH</v>
      </c>
      <c r="G477" s="2" t="str">
        <f>VLOOKUP($C477,[1]Detail!$C:$AK,5,0)</f>
        <v>D</v>
      </c>
      <c r="J477" s="22" t="s">
        <v>126</v>
      </c>
      <c r="K477" s="23" t="s">
        <v>933</v>
      </c>
      <c r="L477" s="22" t="s">
        <v>100</v>
      </c>
      <c r="M477" s="51" t="str">
        <f t="shared" si="344"/>
        <v>JD8B-R43156 -AA</v>
      </c>
      <c r="O477" s="22">
        <v>0</v>
      </c>
      <c r="P477" s="22">
        <v>0</v>
      </c>
      <c r="Q477" s="22">
        <v>0</v>
      </c>
      <c r="R477" s="22">
        <v>0</v>
      </c>
      <c r="S477" s="22">
        <v>1</v>
      </c>
      <c r="T477" s="22">
        <v>1</v>
      </c>
      <c r="U477" s="22">
        <v>0</v>
      </c>
      <c r="V477" s="22">
        <v>1</v>
      </c>
      <c r="W477" s="64">
        <f t="shared" si="345"/>
        <v>0.28000000000000003</v>
      </c>
      <c r="Y477" s="8">
        <v>-7.96</v>
      </c>
      <c r="Z477" s="8">
        <v>-0.15</v>
      </c>
      <c r="AA477" s="8">
        <v>-0.1</v>
      </c>
      <c r="AB477" s="8">
        <v>0</v>
      </c>
      <c r="AC477" s="8">
        <v>0</v>
      </c>
      <c r="AD477" s="8">
        <f t="shared" si="384"/>
        <v>-8.2099999999999991</v>
      </c>
      <c r="AE477" s="2" t="s">
        <v>91</v>
      </c>
      <c r="AG477" s="8">
        <v>-110000</v>
      </c>
      <c r="AH477" s="8">
        <v>-110000</v>
      </c>
      <c r="AI477" s="6"/>
      <c r="AJ477" s="70">
        <v>0</v>
      </c>
      <c r="AK477" s="70">
        <v>0</v>
      </c>
      <c r="AL477" s="72">
        <v>0</v>
      </c>
      <c r="AM477" s="22"/>
      <c r="AO477" s="22" t="s">
        <v>126</v>
      </c>
      <c r="AP477" s="23" t="s">
        <v>933</v>
      </c>
      <c r="AQ477" s="22" t="s">
        <v>100</v>
      </c>
      <c r="AR477" s="51" t="str">
        <f t="shared" si="392"/>
        <v>JD8B-R43156 -AA</v>
      </c>
      <c r="AS477" s="3"/>
      <c r="AT477" s="22">
        <v>0</v>
      </c>
      <c r="AU477" s="22">
        <v>0</v>
      </c>
      <c r="AV477" s="22">
        <v>0</v>
      </c>
      <c r="AW477" s="22">
        <v>0</v>
      </c>
      <c r="AX477" s="22">
        <v>1</v>
      </c>
      <c r="AY477" s="22">
        <v>1</v>
      </c>
      <c r="AZ477" s="22">
        <v>0</v>
      </c>
      <c r="BA477" s="22">
        <v>1</v>
      </c>
      <c r="BB477" s="116">
        <f t="shared" si="393"/>
        <v>0.28000000000000003</v>
      </c>
      <c r="BD477" s="60">
        <v>-7.96</v>
      </c>
      <c r="BE477" s="60">
        <v>-0.15</v>
      </c>
      <c r="BF477" s="95">
        <v>-0.1</v>
      </c>
      <c r="BG477" s="95">
        <v>0</v>
      </c>
      <c r="BH477" s="95">
        <v>0</v>
      </c>
      <c r="BI477" s="8">
        <f t="shared" ref="BI477:BI540" si="397">SUM(BD477:BH477)</f>
        <v>-8.2099999999999991</v>
      </c>
      <c r="BJ477" s="2" t="s">
        <v>91</v>
      </c>
      <c r="BL477" s="70">
        <v>-110000</v>
      </c>
      <c r="BM477" s="70">
        <v>-110000</v>
      </c>
      <c r="BO477" s="70">
        <v>0</v>
      </c>
      <c r="BP477" s="70">
        <v>0</v>
      </c>
      <c r="BQ477" s="72">
        <v>0</v>
      </c>
      <c r="BS477" s="61">
        <f t="shared" si="382"/>
        <v>0</v>
      </c>
      <c r="BT477" s="61">
        <f t="shared" si="335"/>
        <v>0</v>
      </c>
      <c r="BU477" s="61">
        <f t="shared" si="336"/>
        <v>0</v>
      </c>
      <c r="BV477" s="61">
        <f t="shared" si="374"/>
        <v>0</v>
      </c>
      <c r="BW477" s="61">
        <f t="shared" si="374"/>
        <v>0</v>
      </c>
      <c r="BX477" s="61">
        <f t="shared" si="385"/>
        <v>0</v>
      </c>
      <c r="BY477" s="61" t="s">
        <v>91</v>
      </c>
      <c r="CA477" s="61">
        <f t="shared" si="390"/>
        <v>0</v>
      </c>
      <c r="CB477" s="61">
        <f t="shared" si="390"/>
        <v>0</v>
      </c>
      <c r="CC477" s="61">
        <f t="shared" si="390"/>
        <v>0</v>
      </c>
      <c r="CD477" s="61">
        <f t="shared" si="390"/>
        <v>0</v>
      </c>
      <c r="CE477" s="61">
        <f t="shared" si="390"/>
        <v>0</v>
      </c>
      <c r="CF477" s="61">
        <f t="shared" si="388"/>
        <v>0</v>
      </c>
      <c r="CG477" s="61">
        <f t="shared" si="388"/>
        <v>0</v>
      </c>
      <c r="CH477" s="61">
        <f t="shared" si="388"/>
        <v>0</v>
      </c>
      <c r="CI477" s="61">
        <f t="shared" si="375"/>
        <v>0</v>
      </c>
      <c r="CJ477" s="61"/>
      <c r="CK477" s="61">
        <f t="shared" si="386"/>
        <v>0</v>
      </c>
      <c r="CL477" s="61">
        <f t="shared" si="386"/>
        <v>0</v>
      </c>
      <c r="CM477" s="61">
        <f t="shared" si="386"/>
        <v>0</v>
      </c>
      <c r="CN477" s="61">
        <f t="shared" si="386"/>
        <v>0</v>
      </c>
      <c r="CO477" s="61">
        <f t="shared" si="386"/>
        <v>0</v>
      </c>
      <c r="CP477" s="61">
        <f t="shared" si="386"/>
        <v>0</v>
      </c>
      <c r="CQ477" s="61">
        <f t="shared" si="386"/>
        <v>0</v>
      </c>
      <c r="CR477" s="61">
        <f t="shared" si="343"/>
        <v>0</v>
      </c>
      <c r="CS477" s="61">
        <f t="shared" si="376"/>
        <v>0</v>
      </c>
      <c r="CT477" s="61">
        <f t="shared" si="377"/>
        <v>0</v>
      </c>
      <c r="CV477" s="61">
        <f t="shared" si="378"/>
        <v>0</v>
      </c>
      <c r="CW477" s="61">
        <f t="shared" si="383"/>
        <v>0</v>
      </c>
      <c r="CX477" s="61"/>
      <c r="CY477" s="61">
        <f t="shared" si="368"/>
        <v>0</v>
      </c>
      <c r="CZ477" s="61">
        <f t="shared" si="391"/>
        <v>0</v>
      </c>
      <c r="DA477" s="61">
        <f t="shared" si="391"/>
        <v>0</v>
      </c>
      <c r="DB477" s="2" t="s">
        <v>85</v>
      </c>
      <c r="DC477" s="2" t="s">
        <v>86</v>
      </c>
      <c r="DD477" s="2" t="s">
        <v>142</v>
      </c>
      <c r="DE477" s="2" t="s">
        <v>181</v>
      </c>
      <c r="DF477" s="3" t="s">
        <v>86</v>
      </c>
      <c r="DG477" s="62">
        <v>42893</v>
      </c>
      <c r="EC477" s="60"/>
      <c r="ED477" s="60"/>
      <c r="EE477" s="60"/>
      <c r="EF477" s="60"/>
      <c r="EH477" s="60"/>
      <c r="EI477" s="60"/>
      <c r="EJ477" s="60"/>
    </row>
    <row r="478" spans="2:140" ht="12.75" hidden="1" customHeight="1">
      <c r="B478" s="99" t="s">
        <v>934</v>
      </c>
      <c r="C478" s="22" t="s">
        <v>931</v>
      </c>
      <c r="D478" s="22" t="s">
        <v>932</v>
      </c>
      <c r="E478" s="2" t="str">
        <f>VLOOKUP($C478,[1]Detail!$C:$AK,6,0)</f>
        <v>PMT1</v>
      </c>
      <c r="F478" s="2" t="str">
        <f>VLOOKUP($C478,[1]Detail!$C:$AK,7,0)</f>
        <v>TH</v>
      </c>
      <c r="G478" s="2" t="str">
        <f>VLOOKUP($C478,[1]Detail!$C:$AK,5,0)</f>
        <v>D</v>
      </c>
      <c r="J478" s="22" t="s">
        <v>126</v>
      </c>
      <c r="K478" s="23" t="s">
        <v>933</v>
      </c>
      <c r="L478" s="22" t="s">
        <v>132</v>
      </c>
      <c r="M478" s="51" t="str">
        <f t="shared" si="344"/>
        <v>JD8B-R43156 -AB</v>
      </c>
      <c r="O478" s="22">
        <v>0</v>
      </c>
      <c r="P478" s="22">
        <v>0</v>
      </c>
      <c r="Q478" s="22">
        <v>0</v>
      </c>
      <c r="R478" s="22">
        <v>0</v>
      </c>
      <c r="S478" s="22">
        <v>1</v>
      </c>
      <c r="T478" s="22">
        <v>1</v>
      </c>
      <c r="U478" s="22">
        <v>0</v>
      </c>
      <c r="V478" s="22">
        <v>1</v>
      </c>
      <c r="W478" s="64">
        <f t="shared" si="345"/>
        <v>0.28000000000000003</v>
      </c>
      <c r="Y478" s="8">
        <f>-7.96*0-8.16</f>
        <v>-8.16</v>
      </c>
      <c r="Z478" s="8">
        <v>-0.15</v>
      </c>
      <c r="AA478" s="8">
        <v>-0.1</v>
      </c>
      <c r="AB478" s="8">
        <v>0</v>
      </c>
      <c r="AC478" s="8">
        <v>0</v>
      </c>
      <c r="AD478" s="8">
        <f t="shared" si="384"/>
        <v>-8.41</v>
      </c>
      <c r="AE478" s="2" t="s">
        <v>91</v>
      </c>
      <c r="AG478" s="8">
        <f>-110000*0-210000</f>
        <v>-210000</v>
      </c>
      <c r="AH478" s="8">
        <f>-110000*0-210000</f>
        <v>-210000</v>
      </c>
      <c r="AI478" s="6"/>
      <c r="AJ478" s="70">
        <v>0</v>
      </c>
      <c r="AK478" s="70">
        <v>0</v>
      </c>
      <c r="AL478" s="72">
        <v>0</v>
      </c>
      <c r="AM478" s="22"/>
      <c r="AO478" s="22" t="s">
        <v>126</v>
      </c>
      <c r="AP478" s="23" t="s">
        <v>933</v>
      </c>
      <c r="AQ478" s="22" t="s">
        <v>100</v>
      </c>
      <c r="AR478" s="51" t="str">
        <f t="shared" si="392"/>
        <v>JD8B-R43156 -AA</v>
      </c>
      <c r="AS478" s="3"/>
      <c r="AT478" s="22">
        <v>0</v>
      </c>
      <c r="AU478" s="22">
        <v>0</v>
      </c>
      <c r="AV478" s="22">
        <v>0</v>
      </c>
      <c r="AW478" s="22">
        <v>0</v>
      </c>
      <c r="AX478" s="22">
        <v>1</v>
      </c>
      <c r="AY478" s="22">
        <v>1</v>
      </c>
      <c r="AZ478" s="22">
        <v>0</v>
      </c>
      <c r="BA478" s="22">
        <v>1</v>
      </c>
      <c r="BB478" s="116">
        <f t="shared" si="393"/>
        <v>0.28000000000000003</v>
      </c>
      <c r="BD478" s="60">
        <v>-7.96</v>
      </c>
      <c r="BE478" s="60">
        <v>-0.15</v>
      </c>
      <c r="BF478" s="95">
        <v>-0.1</v>
      </c>
      <c r="BG478" s="95">
        <v>0</v>
      </c>
      <c r="BH478" s="95">
        <v>0</v>
      </c>
      <c r="BI478" s="8">
        <f t="shared" si="397"/>
        <v>-8.2099999999999991</v>
      </c>
      <c r="BJ478" s="2" t="s">
        <v>91</v>
      </c>
      <c r="BL478" s="70">
        <v>-110000</v>
      </c>
      <c r="BM478" s="70">
        <v>-110000</v>
      </c>
      <c r="BO478" s="70">
        <v>0</v>
      </c>
      <c r="BP478" s="70">
        <v>0</v>
      </c>
      <c r="BQ478" s="72">
        <v>0</v>
      </c>
      <c r="BS478" s="61">
        <f t="shared" si="382"/>
        <v>-0.20000000000000018</v>
      </c>
      <c r="BT478" s="61">
        <f t="shared" si="335"/>
        <v>0</v>
      </c>
      <c r="BU478" s="61">
        <f t="shared" si="336"/>
        <v>0</v>
      </c>
      <c r="BV478" s="61">
        <f t="shared" si="374"/>
        <v>0</v>
      </c>
      <c r="BW478" s="61">
        <f t="shared" si="374"/>
        <v>0</v>
      </c>
      <c r="BX478" s="61">
        <f t="shared" si="385"/>
        <v>-0.20000000000000107</v>
      </c>
      <c r="BY478" s="61" t="s">
        <v>91</v>
      </c>
      <c r="CA478" s="61">
        <f t="shared" si="390"/>
        <v>0</v>
      </c>
      <c r="CB478" s="61">
        <f t="shared" si="390"/>
        <v>0</v>
      </c>
      <c r="CC478" s="61">
        <f t="shared" si="390"/>
        <v>0</v>
      </c>
      <c r="CD478" s="61">
        <f t="shared" si="390"/>
        <v>0</v>
      </c>
      <c r="CE478" s="61">
        <f t="shared" si="390"/>
        <v>-3.0088761847450005E-2</v>
      </c>
      <c r="CF478" s="61">
        <f t="shared" si="388"/>
        <v>-3.0088761847450005E-2</v>
      </c>
      <c r="CG478" s="61">
        <f t="shared" si="388"/>
        <v>0</v>
      </c>
      <c r="CH478" s="61">
        <f t="shared" si="388"/>
        <v>-3.0088761847450005E-2</v>
      </c>
      <c r="CI478" s="61">
        <f t="shared" si="375"/>
        <v>-8.4248533172860025E-3</v>
      </c>
      <c r="CJ478" s="61"/>
      <c r="CK478" s="61">
        <f t="shared" si="386"/>
        <v>0</v>
      </c>
      <c r="CL478" s="61">
        <f t="shared" si="386"/>
        <v>0</v>
      </c>
      <c r="CM478" s="61">
        <f t="shared" si="386"/>
        <v>0</v>
      </c>
      <c r="CN478" s="61">
        <f t="shared" si="386"/>
        <v>0</v>
      </c>
      <c r="CO478" s="61">
        <f t="shared" si="386"/>
        <v>-3.0088761847450136E-2</v>
      </c>
      <c r="CP478" s="61">
        <f t="shared" si="386"/>
        <v>-3.0088761847450136E-2</v>
      </c>
      <c r="CQ478" s="61">
        <f t="shared" si="386"/>
        <v>0</v>
      </c>
      <c r="CR478" s="61">
        <f t="shared" si="343"/>
        <v>-3.0088761847450136E-2</v>
      </c>
      <c r="CS478" s="61">
        <f t="shared" si="376"/>
        <v>-8.424853317286039E-3</v>
      </c>
      <c r="CT478" s="61">
        <f t="shared" si="377"/>
        <v>-5.6000000000000306E-2</v>
      </c>
      <c r="CV478" s="61">
        <f t="shared" si="378"/>
        <v>-100000</v>
      </c>
      <c r="CW478" s="61">
        <f t="shared" si="383"/>
        <v>-100000</v>
      </c>
      <c r="CX478" s="61"/>
      <c r="CY478" s="61">
        <f t="shared" si="368"/>
        <v>0</v>
      </c>
      <c r="CZ478" s="61">
        <f t="shared" si="391"/>
        <v>0</v>
      </c>
      <c r="DA478" s="61">
        <f t="shared" si="391"/>
        <v>0</v>
      </c>
      <c r="DB478" s="2" t="s">
        <v>85</v>
      </c>
      <c r="DC478" s="2" t="s">
        <v>86</v>
      </c>
      <c r="DD478" s="2" t="s">
        <v>142</v>
      </c>
      <c r="DE478" s="2" t="s">
        <v>181</v>
      </c>
      <c r="DF478" s="3" t="s">
        <v>86</v>
      </c>
      <c r="DG478" s="62">
        <v>42893</v>
      </c>
      <c r="EC478" s="60"/>
      <c r="ED478" s="60"/>
      <c r="EE478" s="60"/>
      <c r="EF478" s="60"/>
    </row>
    <row r="479" spans="2:140" ht="12.75" hidden="1" customHeight="1">
      <c r="B479" s="99" t="s">
        <v>935</v>
      </c>
      <c r="C479" s="22" t="s">
        <v>936</v>
      </c>
      <c r="D479" s="22" t="s">
        <v>937</v>
      </c>
      <c r="E479" s="2" t="str">
        <f>VLOOKUP($C479,[1]Detail!$C:$AK,6,0)</f>
        <v>PMT1</v>
      </c>
      <c r="F479" s="2" t="str">
        <f>VLOOKUP($C479,[1]Detail!$C:$AK,7,0)</f>
        <v>TH</v>
      </c>
      <c r="G479" s="2" t="str">
        <f>VLOOKUP($C479,[1]Detail!$C:$AK,5,0)</f>
        <v>B</v>
      </c>
      <c r="J479" s="22" t="s">
        <v>110</v>
      </c>
      <c r="K479" s="23" t="s">
        <v>938</v>
      </c>
      <c r="L479" s="22" t="s">
        <v>111</v>
      </c>
      <c r="M479" s="51" t="str">
        <f t="shared" si="344"/>
        <v>JD8T-19B514-BA</v>
      </c>
      <c r="O479" s="22">
        <v>1</v>
      </c>
      <c r="P479" s="22">
        <v>1</v>
      </c>
      <c r="Q479" s="22">
        <v>1</v>
      </c>
      <c r="R479" s="22">
        <v>1</v>
      </c>
      <c r="S479" s="22">
        <v>0</v>
      </c>
      <c r="T479" s="22">
        <v>0</v>
      </c>
      <c r="U479" s="22">
        <v>0</v>
      </c>
      <c r="V479" s="22">
        <v>0</v>
      </c>
      <c r="W479" s="64">
        <f t="shared" si="345"/>
        <v>0.67</v>
      </c>
      <c r="Y479" s="8">
        <v>-44.68</v>
      </c>
      <c r="Z479" s="8">
        <v>-0.69</v>
      </c>
      <c r="AA479" s="8">
        <v>-0.39</v>
      </c>
      <c r="AB479" s="8">
        <v>0</v>
      </c>
      <c r="AC479" s="8">
        <v>-2.23</v>
      </c>
      <c r="AD479" s="8">
        <f t="shared" si="384"/>
        <v>-47.989999999999995</v>
      </c>
      <c r="AE479" s="2" t="s">
        <v>91</v>
      </c>
      <c r="AG479" s="8">
        <f>-747122.4*0-3289442.4</f>
        <v>-3289442.4</v>
      </c>
      <c r="AH479" s="8">
        <v>-747122.4</v>
      </c>
      <c r="AI479" s="6"/>
      <c r="AJ479" s="70">
        <v>-1280833</v>
      </c>
      <c r="AK479" s="70">
        <v>574899</v>
      </c>
      <c r="AL479" s="72"/>
      <c r="AM479" s="22" t="s">
        <v>939</v>
      </c>
      <c r="AO479" s="22" t="s">
        <v>110</v>
      </c>
      <c r="AP479" s="23" t="s">
        <v>938</v>
      </c>
      <c r="AQ479" s="22" t="s">
        <v>111</v>
      </c>
      <c r="AR479" s="51" t="str">
        <f t="shared" si="392"/>
        <v>JD8T-19B514-BA</v>
      </c>
      <c r="AS479" s="3"/>
      <c r="AT479" s="22">
        <v>1</v>
      </c>
      <c r="AU479" s="22">
        <v>1</v>
      </c>
      <c r="AV479" s="22">
        <v>1</v>
      </c>
      <c r="AW479" s="22">
        <v>1</v>
      </c>
      <c r="AX479" s="22">
        <v>0</v>
      </c>
      <c r="AY479" s="22">
        <v>0</v>
      </c>
      <c r="AZ479" s="22">
        <v>0</v>
      </c>
      <c r="BA479" s="22">
        <v>0</v>
      </c>
      <c r="BB479" s="116">
        <f t="shared" si="393"/>
        <v>0.67</v>
      </c>
      <c r="BD479" s="60">
        <v>-44.68</v>
      </c>
      <c r="BE479" s="60">
        <v>-0.69</v>
      </c>
      <c r="BF479" s="95">
        <v>-0.39</v>
      </c>
      <c r="BG479" s="95">
        <v>0</v>
      </c>
      <c r="BH479" s="95">
        <v>-2.23</v>
      </c>
      <c r="BI479" s="8">
        <f t="shared" si="397"/>
        <v>-47.989999999999995</v>
      </c>
      <c r="BJ479" s="2" t="s">
        <v>91</v>
      </c>
      <c r="BL479" s="70">
        <v>-747122.4</v>
      </c>
      <c r="BM479" s="70">
        <v>-747122.4</v>
      </c>
      <c r="BO479" s="70">
        <v>-1280833</v>
      </c>
      <c r="BP479" s="70">
        <v>574899</v>
      </c>
      <c r="BQ479" s="72"/>
      <c r="BS479" s="61">
        <f t="shared" si="382"/>
        <v>0</v>
      </c>
      <c r="BT479" s="61">
        <f t="shared" si="335"/>
        <v>0</v>
      </c>
      <c r="BU479" s="61">
        <f t="shared" si="336"/>
        <v>0</v>
      </c>
      <c r="BV479" s="61">
        <f t="shared" si="374"/>
        <v>0</v>
      </c>
      <c r="BW479" s="61">
        <f t="shared" si="374"/>
        <v>0</v>
      </c>
      <c r="BX479" s="61">
        <f t="shared" si="385"/>
        <v>0</v>
      </c>
      <c r="BY479" s="61" t="s">
        <v>91</v>
      </c>
      <c r="CA479" s="61">
        <f t="shared" si="390"/>
        <v>0</v>
      </c>
      <c r="CB479" s="61">
        <f t="shared" si="390"/>
        <v>0</v>
      </c>
      <c r="CC479" s="61">
        <f t="shared" si="390"/>
        <v>0</v>
      </c>
      <c r="CD479" s="61">
        <f t="shared" si="390"/>
        <v>0</v>
      </c>
      <c r="CE479" s="61">
        <f t="shared" si="390"/>
        <v>0</v>
      </c>
      <c r="CF479" s="61">
        <f t="shared" si="388"/>
        <v>0</v>
      </c>
      <c r="CG479" s="61">
        <f t="shared" si="388"/>
        <v>0</v>
      </c>
      <c r="CH479" s="61">
        <f t="shared" si="388"/>
        <v>0</v>
      </c>
      <c r="CI479" s="61">
        <f t="shared" si="375"/>
        <v>0</v>
      </c>
      <c r="CJ479" s="61"/>
      <c r="CK479" s="61">
        <f t="shared" si="386"/>
        <v>0</v>
      </c>
      <c r="CL479" s="61">
        <f t="shared" si="386"/>
        <v>0</v>
      </c>
      <c r="CM479" s="61">
        <f t="shared" si="386"/>
        <v>0</v>
      </c>
      <c r="CN479" s="61">
        <f t="shared" si="386"/>
        <v>0</v>
      </c>
      <c r="CO479" s="61">
        <f t="shared" si="386"/>
        <v>0</v>
      </c>
      <c r="CP479" s="61">
        <f t="shared" si="386"/>
        <v>0</v>
      </c>
      <c r="CQ479" s="61">
        <f t="shared" si="386"/>
        <v>0</v>
      </c>
      <c r="CR479" s="61">
        <f t="shared" si="343"/>
        <v>0</v>
      </c>
      <c r="CS479" s="61">
        <f t="shared" si="376"/>
        <v>0</v>
      </c>
      <c r="CT479" s="61">
        <f t="shared" si="377"/>
        <v>0</v>
      </c>
      <c r="CV479" s="61">
        <f t="shared" si="378"/>
        <v>-2542320</v>
      </c>
      <c r="CW479" s="61">
        <f t="shared" si="383"/>
        <v>0</v>
      </c>
      <c r="CX479" s="61"/>
      <c r="CY479" s="61">
        <f t="shared" si="368"/>
        <v>0</v>
      </c>
      <c r="CZ479" s="61">
        <f t="shared" si="391"/>
        <v>0</v>
      </c>
      <c r="DA479" s="61">
        <f t="shared" si="391"/>
        <v>0</v>
      </c>
      <c r="DB479" s="2" t="s">
        <v>85</v>
      </c>
      <c r="DC479" s="2" t="s">
        <v>86</v>
      </c>
      <c r="DD479" s="2" t="s">
        <v>142</v>
      </c>
      <c r="DE479" s="2" t="s">
        <v>181</v>
      </c>
      <c r="DF479" s="3" t="s">
        <v>86</v>
      </c>
      <c r="DG479" s="62">
        <v>42879</v>
      </c>
      <c r="EC479" s="60"/>
      <c r="ED479" s="60"/>
      <c r="EE479" s="60"/>
      <c r="EF479" s="60"/>
    </row>
    <row r="480" spans="2:140" ht="12.75" hidden="1" customHeight="1">
      <c r="B480" s="99" t="s">
        <v>935</v>
      </c>
      <c r="C480" s="22" t="s">
        <v>936</v>
      </c>
      <c r="D480" s="22" t="s">
        <v>937</v>
      </c>
      <c r="E480" s="2" t="str">
        <f>VLOOKUP($C480,[1]Detail!$C:$AK,6,0)</f>
        <v>PMT1</v>
      </c>
      <c r="F480" s="2" t="str">
        <f>VLOOKUP($C480,[1]Detail!$C:$AK,7,0)</f>
        <v>TH</v>
      </c>
      <c r="G480" s="2" t="str">
        <f>VLOOKUP($C480,[1]Detail!$C:$AK,5,0)</f>
        <v>B</v>
      </c>
      <c r="J480" s="22" t="s">
        <v>110</v>
      </c>
      <c r="K480" s="23" t="s">
        <v>938</v>
      </c>
      <c r="L480" s="22" t="s">
        <v>100</v>
      </c>
      <c r="M480" s="51" t="str">
        <f t="shared" si="344"/>
        <v>JD8T-19B514-AA</v>
      </c>
      <c r="O480" s="22">
        <v>0</v>
      </c>
      <c r="P480" s="22">
        <v>0</v>
      </c>
      <c r="Q480" s="22">
        <v>0</v>
      </c>
      <c r="R480" s="22">
        <v>0</v>
      </c>
      <c r="S480" s="22">
        <v>1</v>
      </c>
      <c r="T480" s="22">
        <v>1</v>
      </c>
      <c r="U480" s="22">
        <v>1</v>
      </c>
      <c r="V480" s="22">
        <v>1</v>
      </c>
      <c r="W480" s="64">
        <f t="shared" si="345"/>
        <v>0.33</v>
      </c>
      <c r="Y480" s="8">
        <v>-51.74</v>
      </c>
      <c r="Z480" s="8">
        <v>-0.69</v>
      </c>
      <c r="AA480" s="8">
        <v>-0.39</v>
      </c>
      <c r="AB480" s="8">
        <v>0</v>
      </c>
      <c r="AC480" s="8">
        <v>-2.23</v>
      </c>
      <c r="AD480" s="8">
        <f t="shared" si="384"/>
        <v>-55.05</v>
      </c>
      <c r="AE480" s="2" t="s">
        <v>91</v>
      </c>
      <c r="AG480" s="8">
        <v>-3463757.6</v>
      </c>
      <c r="AH480" s="8">
        <v>-3463757.6</v>
      </c>
      <c r="AI480" s="6"/>
      <c r="AJ480" s="70" t="s">
        <v>940</v>
      </c>
      <c r="AK480" s="70"/>
      <c r="AL480" s="72"/>
      <c r="AM480" s="22"/>
      <c r="AO480" s="22" t="s">
        <v>110</v>
      </c>
      <c r="AP480" s="23" t="s">
        <v>938</v>
      </c>
      <c r="AQ480" s="22" t="s">
        <v>100</v>
      </c>
      <c r="AR480" s="51" t="str">
        <f t="shared" si="392"/>
        <v>JD8T-19B514-AA</v>
      </c>
      <c r="AS480" s="3"/>
      <c r="AT480" s="22">
        <v>0</v>
      </c>
      <c r="AU480" s="22">
        <v>0</v>
      </c>
      <c r="AV480" s="22">
        <v>0</v>
      </c>
      <c r="AW480" s="22">
        <v>0</v>
      </c>
      <c r="AX480" s="22">
        <v>1</v>
      </c>
      <c r="AY480" s="22">
        <v>1</v>
      </c>
      <c r="AZ480" s="22">
        <v>1</v>
      </c>
      <c r="BA480" s="22">
        <v>1</v>
      </c>
      <c r="BB480" s="116">
        <f t="shared" si="393"/>
        <v>0.33</v>
      </c>
      <c r="BD480" s="60">
        <v>-51.74</v>
      </c>
      <c r="BE480" s="60">
        <v>-0.69</v>
      </c>
      <c r="BF480" s="95">
        <v>-0.39</v>
      </c>
      <c r="BG480" s="95">
        <v>0</v>
      </c>
      <c r="BH480" s="95">
        <v>-2.23</v>
      </c>
      <c r="BI480" s="8">
        <f t="shared" si="397"/>
        <v>-55.05</v>
      </c>
      <c r="BJ480" s="2" t="s">
        <v>91</v>
      </c>
      <c r="BL480" s="70">
        <v>-3463757.6</v>
      </c>
      <c r="BM480" s="70">
        <v>-3463757.6</v>
      </c>
      <c r="BO480" s="70" t="s">
        <v>941</v>
      </c>
      <c r="BP480" s="70"/>
      <c r="BQ480" s="72"/>
      <c r="BS480" s="61">
        <f t="shared" si="382"/>
        <v>0</v>
      </c>
      <c r="BT480" s="61">
        <f t="shared" si="335"/>
        <v>0</v>
      </c>
      <c r="BU480" s="61">
        <f t="shared" si="336"/>
        <v>0</v>
      </c>
      <c r="BV480" s="61">
        <f t="shared" si="374"/>
        <v>0</v>
      </c>
      <c r="BW480" s="61">
        <f t="shared" si="374"/>
        <v>0</v>
      </c>
      <c r="BX480" s="61">
        <f t="shared" si="385"/>
        <v>0</v>
      </c>
      <c r="BY480" s="61" t="s">
        <v>91</v>
      </c>
      <c r="CA480" s="61">
        <f t="shared" si="390"/>
        <v>0</v>
      </c>
      <c r="CB480" s="61">
        <f t="shared" si="390"/>
        <v>0</v>
      </c>
      <c r="CC480" s="61">
        <f t="shared" si="390"/>
        <v>0</v>
      </c>
      <c r="CD480" s="61">
        <f t="shared" si="390"/>
        <v>0</v>
      </c>
      <c r="CE480" s="61">
        <f t="shared" si="390"/>
        <v>0</v>
      </c>
      <c r="CF480" s="61">
        <f t="shared" si="388"/>
        <v>0</v>
      </c>
      <c r="CG480" s="61">
        <f t="shared" si="388"/>
        <v>0</v>
      </c>
      <c r="CH480" s="61">
        <f t="shared" si="388"/>
        <v>0</v>
      </c>
      <c r="CI480" s="61">
        <f t="shared" si="375"/>
        <v>0</v>
      </c>
      <c r="CJ480" s="61"/>
      <c r="CK480" s="61">
        <f t="shared" si="386"/>
        <v>0</v>
      </c>
      <c r="CL480" s="61">
        <f t="shared" si="386"/>
        <v>0</v>
      </c>
      <c r="CM480" s="61">
        <f t="shared" si="386"/>
        <v>0</v>
      </c>
      <c r="CN480" s="61">
        <f t="shared" si="386"/>
        <v>0</v>
      </c>
      <c r="CO480" s="61">
        <f t="shared" si="386"/>
        <v>0</v>
      </c>
      <c r="CP480" s="61">
        <f t="shared" si="386"/>
        <v>0</v>
      </c>
      <c r="CQ480" s="61">
        <f t="shared" si="386"/>
        <v>0</v>
      </c>
      <c r="CR480" s="61">
        <f t="shared" si="343"/>
        <v>0</v>
      </c>
      <c r="CS480" s="61">
        <f t="shared" si="376"/>
        <v>0</v>
      </c>
      <c r="CT480" s="61">
        <f t="shared" si="377"/>
        <v>0</v>
      </c>
      <c r="CV480" s="61">
        <f t="shared" si="378"/>
        <v>0</v>
      </c>
      <c r="CW480" s="61">
        <f t="shared" si="383"/>
        <v>0</v>
      </c>
      <c r="CX480" s="61"/>
      <c r="CY480" s="61">
        <f t="shared" si="368"/>
        <v>0</v>
      </c>
      <c r="CZ480" s="61">
        <f t="shared" si="391"/>
        <v>0</v>
      </c>
      <c r="DA480" s="61">
        <f t="shared" si="391"/>
        <v>0</v>
      </c>
      <c r="DB480" s="2" t="s">
        <v>85</v>
      </c>
      <c r="DC480" s="2" t="s">
        <v>86</v>
      </c>
      <c r="DD480" s="2" t="s">
        <v>142</v>
      </c>
      <c r="DE480" s="2" t="s">
        <v>181</v>
      </c>
      <c r="DF480" s="3" t="s">
        <v>86</v>
      </c>
      <c r="DG480" s="62">
        <v>42879</v>
      </c>
      <c r="EC480" s="60"/>
      <c r="ED480" s="60"/>
      <c r="EE480" s="60"/>
      <c r="EF480" s="60"/>
    </row>
    <row r="481" spans="2:140" ht="12.75" hidden="1" customHeight="1">
      <c r="B481" s="99" t="s">
        <v>942</v>
      </c>
      <c r="C481" s="22" t="s">
        <v>936</v>
      </c>
      <c r="D481" s="22" t="s">
        <v>937</v>
      </c>
      <c r="E481" s="2" t="str">
        <f>VLOOKUP($C481,[1]Detail!$C:$AK,6,0)</f>
        <v>PMT1</v>
      </c>
      <c r="F481" s="2" t="str">
        <f>VLOOKUP($C481,[1]Detail!$C:$AK,7,0)</f>
        <v>TH</v>
      </c>
      <c r="G481" s="2" t="str">
        <f>VLOOKUP($C481,[1]Detail!$C:$AK,5,0)</f>
        <v>B</v>
      </c>
      <c r="J481" s="22" t="s">
        <v>110</v>
      </c>
      <c r="K481" s="23" t="s">
        <v>938</v>
      </c>
      <c r="L481" s="22" t="s">
        <v>120</v>
      </c>
      <c r="M481" s="51" t="str">
        <f t="shared" si="344"/>
        <v>JD8T-19B514-BB</v>
      </c>
      <c r="O481" s="22">
        <v>1</v>
      </c>
      <c r="P481" s="22">
        <v>1</v>
      </c>
      <c r="Q481" s="22">
        <v>1</v>
      </c>
      <c r="R481" s="22">
        <v>1</v>
      </c>
      <c r="S481" s="22">
        <v>0</v>
      </c>
      <c r="T481" s="22">
        <v>0</v>
      </c>
      <c r="U481" s="22">
        <v>0</v>
      </c>
      <c r="V481" s="22">
        <v>0</v>
      </c>
      <c r="W481" s="64">
        <f t="shared" si="345"/>
        <v>0.67</v>
      </c>
      <c r="Y481" s="8">
        <f>-44.68*0-48.53</f>
        <v>-48.53</v>
      </c>
      <c r="Z481" s="8">
        <v>-0.69</v>
      </c>
      <c r="AA481" s="8">
        <v>-0.39</v>
      </c>
      <c r="AB481" s="8">
        <v>0</v>
      </c>
      <c r="AC481" s="8">
        <v>-2.23</v>
      </c>
      <c r="AD481" s="8">
        <f t="shared" si="384"/>
        <v>-51.839999999999996</v>
      </c>
      <c r="AE481" s="2" t="s">
        <v>91</v>
      </c>
      <c r="AG481" s="8">
        <f>-747122.4*0-3289442.4</f>
        <v>-3289442.4</v>
      </c>
      <c r="AH481" s="8">
        <v>-747122.4</v>
      </c>
      <c r="AI481" s="6"/>
      <c r="AJ481" s="70">
        <v>-686526</v>
      </c>
      <c r="AK481" s="70">
        <v>308146</v>
      </c>
      <c r="AL481" s="72"/>
      <c r="AM481" s="22"/>
      <c r="AO481" s="22" t="s">
        <v>110</v>
      </c>
      <c r="AP481" s="23" t="s">
        <v>938</v>
      </c>
      <c r="AQ481" s="22" t="s">
        <v>111</v>
      </c>
      <c r="AR481" s="51" t="str">
        <f t="shared" si="392"/>
        <v>JD8T-19B514-BA</v>
      </c>
      <c r="AS481" s="3"/>
      <c r="AT481" s="22">
        <v>1</v>
      </c>
      <c r="AU481" s="22">
        <v>1</v>
      </c>
      <c r="AV481" s="22">
        <v>1</v>
      </c>
      <c r="AW481" s="22">
        <v>1</v>
      </c>
      <c r="AX481" s="22">
        <v>0</v>
      </c>
      <c r="AY481" s="22">
        <v>0</v>
      </c>
      <c r="AZ481" s="22">
        <v>0</v>
      </c>
      <c r="BA481" s="22">
        <v>0</v>
      </c>
      <c r="BB481" s="116">
        <f t="shared" si="393"/>
        <v>0.67</v>
      </c>
      <c r="BD481" s="60">
        <v>-44.68</v>
      </c>
      <c r="BE481" s="60">
        <v>-0.69</v>
      </c>
      <c r="BF481" s="95">
        <v>-0.39</v>
      </c>
      <c r="BG481" s="95">
        <v>0</v>
      </c>
      <c r="BH481" s="95">
        <v>-2.23</v>
      </c>
      <c r="BI481" s="8">
        <f t="shared" si="397"/>
        <v>-47.989999999999995</v>
      </c>
      <c r="BJ481" s="2" t="s">
        <v>91</v>
      </c>
      <c r="BL481" s="70">
        <f>-747122.4*0-3289442.4</f>
        <v>-3289442.4</v>
      </c>
      <c r="BM481" s="70">
        <v>-747122.4</v>
      </c>
      <c r="BO481" s="70">
        <v>-1280833</v>
      </c>
      <c r="BP481" s="70">
        <v>574899</v>
      </c>
      <c r="BQ481" s="72"/>
      <c r="BS481" s="61">
        <f t="shared" si="382"/>
        <v>-3.8500000000000014</v>
      </c>
      <c r="BT481" s="61">
        <f t="shared" si="335"/>
        <v>0</v>
      </c>
      <c r="BU481" s="61">
        <f t="shared" si="336"/>
        <v>0</v>
      </c>
      <c r="BV481" s="61">
        <f t="shared" si="374"/>
        <v>0</v>
      </c>
      <c r="BW481" s="61">
        <f t="shared" si="374"/>
        <v>0</v>
      </c>
      <c r="BX481" s="61">
        <f t="shared" si="385"/>
        <v>-3.8500000000000014</v>
      </c>
      <c r="BY481" s="61" t="s">
        <v>91</v>
      </c>
      <c r="CA481" s="61">
        <f t="shared" si="390"/>
        <v>-0.57920866556341222</v>
      </c>
      <c r="CB481" s="61">
        <f t="shared" si="390"/>
        <v>-0.57920866556341222</v>
      </c>
      <c r="CC481" s="61">
        <f t="shared" si="390"/>
        <v>-0.57920866556341222</v>
      </c>
      <c r="CD481" s="61">
        <f t="shared" si="390"/>
        <v>-0.57920866556341222</v>
      </c>
      <c r="CE481" s="61">
        <f t="shared" si="390"/>
        <v>0</v>
      </c>
      <c r="CF481" s="61">
        <f t="shared" si="388"/>
        <v>0</v>
      </c>
      <c r="CG481" s="61">
        <f t="shared" si="388"/>
        <v>0</v>
      </c>
      <c r="CH481" s="61">
        <f t="shared" si="388"/>
        <v>0</v>
      </c>
      <c r="CI481" s="61">
        <f t="shared" si="375"/>
        <v>-0.38806980592748619</v>
      </c>
      <c r="CJ481" s="61"/>
      <c r="CK481" s="61">
        <f t="shared" si="386"/>
        <v>-0.57920866556341222</v>
      </c>
      <c r="CL481" s="61">
        <f t="shared" si="386"/>
        <v>-0.57920866556341222</v>
      </c>
      <c r="CM481" s="61">
        <f t="shared" si="386"/>
        <v>-0.57920866556341222</v>
      </c>
      <c r="CN481" s="61">
        <f t="shared" si="386"/>
        <v>-0.57920866556341222</v>
      </c>
      <c r="CO481" s="61">
        <f t="shared" si="386"/>
        <v>0</v>
      </c>
      <c r="CP481" s="61">
        <f t="shared" si="386"/>
        <v>0</v>
      </c>
      <c r="CQ481" s="61">
        <f t="shared" si="386"/>
        <v>0</v>
      </c>
      <c r="CR481" s="61">
        <f t="shared" si="343"/>
        <v>0</v>
      </c>
      <c r="CS481" s="61">
        <f t="shared" si="376"/>
        <v>-0.38806980592748619</v>
      </c>
      <c r="CT481" s="61">
        <f t="shared" si="377"/>
        <v>-2.5795000000000008</v>
      </c>
      <c r="CV481" s="61">
        <f t="shared" si="378"/>
        <v>0</v>
      </c>
      <c r="CW481" s="61">
        <f t="shared" si="383"/>
        <v>0</v>
      </c>
      <c r="CX481" s="61"/>
      <c r="CY481" s="61">
        <f t="shared" si="368"/>
        <v>594307</v>
      </c>
      <c r="CZ481" s="61">
        <f t="shared" si="391"/>
        <v>-266753</v>
      </c>
      <c r="DA481" s="61">
        <f t="shared" si="391"/>
        <v>0</v>
      </c>
      <c r="DB481" s="2" t="s">
        <v>85</v>
      </c>
      <c r="DC481" s="2" t="s">
        <v>85</v>
      </c>
      <c r="DD481" s="2" t="s">
        <v>142</v>
      </c>
      <c r="DE481" s="2" t="s">
        <v>181</v>
      </c>
      <c r="DG481" s="62"/>
      <c r="DZ481" s="3" t="e">
        <v>#N/A</v>
      </c>
      <c r="EC481" s="60"/>
      <c r="ED481" s="60"/>
      <c r="EE481" s="60"/>
      <c r="EF481" s="60"/>
    </row>
    <row r="482" spans="2:140" ht="12.75" hidden="1" customHeight="1">
      <c r="B482" s="99" t="s">
        <v>942</v>
      </c>
      <c r="C482" s="22" t="s">
        <v>936</v>
      </c>
      <c r="D482" s="22" t="s">
        <v>937</v>
      </c>
      <c r="E482" s="2" t="str">
        <f>VLOOKUP($C482,[1]Detail!$C:$AK,6,0)</f>
        <v>PMT1</v>
      </c>
      <c r="F482" s="2" t="str">
        <f>VLOOKUP($C482,[1]Detail!$C:$AK,7,0)</f>
        <v>TH</v>
      </c>
      <c r="G482" s="2" t="str">
        <f>VLOOKUP($C482,[1]Detail!$C:$AK,5,0)</f>
        <v>B</v>
      </c>
      <c r="J482" s="22" t="s">
        <v>110</v>
      </c>
      <c r="K482" s="23" t="s">
        <v>938</v>
      </c>
      <c r="L482" s="22" t="s">
        <v>132</v>
      </c>
      <c r="M482" s="51" t="str">
        <f t="shared" si="344"/>
        <v>JD8T-19B514-AB</v>
      </c>
      <c r="O482" s="22">
        <v>0</v>
      </c>
      <c r="P482" s="22">
        <v>0</v>
      </c>
      <c r="Q482" s="22">
        <v>0</v>
      </c>
      <c r="R482" s="22">
        <v>0</v>
      </c>
      <c r="S482" s="22">
        <v>1</v>
      </c>
      <c r="T482" s="22">
        <v>1</v>
      </c>
      <c r="U482" s="22">
        <v>1</v>
      </c>
      <c r="V482" s="22">
        <v>1</v>
      </c>
      <c r="W482" s="64">
        <f t="shared" si="345"/>
        <v>0.33</v>
      </c>
      <c r="Y482" s="8">
        <f>-51.74*0-55.58</f>
        <v>-55.58</v>
      </c>
      <c r="Z482" s="8">
        <v>-0.69</v>
      </c>
      <c r="AA482" s="8">
        <v>-0.39</v>
      </c>
      <c r="AB482" s="8">
        <v>0</v>
      </c>
      <c r="AC482" s="8">
        <v>-2.23</v>
      </c>
      <c r="AD482" s="8">
        <f t="shared" si="384"/>
        <v>-58.889999999999993</v>
      </c>
      <c r="AE482" s="2" t="s">
        <v>91</v>
      </c>
      <c r="AG482" s="8">
        <v>-3463757.6</v>
      </c>
      <c r="AH482" s="8">
        <v>-3463757.6</v>
      </c>
      <c r="AI482" s="6"/>
      <c r="AJ482" s="70">
        <v>-594307</v>
      </c>
      <c r="AK482" s="70">
        <v>266753</v>
      </c>
      <c r="AL482" s="72"/>
      <c r="AM482" s="22"/>
      <c r="AO482" s="22" t="s">
        <v>110</v>
      </c>
      <c r="AP482" s="23" t="s">
        <v>938</v>
      </c>
      <c r="AQ482" s="22" t="s">
        <v>100</v>
      </c>
      <c r="AR482" s="51" t="str">
        <f t="shared" si="392"/>
        <v>JD8T-19B514-AA</v>
      </c>
      <c r="AS482" s="3"/>
      <c r="AT482" s="22">
        <v>0</v>
      </c>
      <c r="AU482" s="22">
        <v>0</v>
      </c>
      <c r="AV482" s="22">
        <v>0</v>
      </c>
      <c r="AW482" s="22">
        <v>0</v>
      </c>
      <c r="AX482" s="22">
        <v>1</v>
      </c>
      <c r="AY482" s="22">
        <v>1</v>
      </c>
      <c r="AZ482" s="22">
        <v>1</v>
      </c>
      <c r="BA482" s="22">
        <v>1</v>
      </c>
      <c r="BB482" s="116">
        <f t="shared" si="393"/>
        <v>0.33</v>
      </c>
      <c r="BD482" s="60">
        <v>-51.74</v>
      </c>
      <c r="BE482" s="60">
        <v>-0.69</v>
      </c>
      <c r="BF482" s="95">
        <v>-0.39</v>
      </c>
      <c r="BG482" s="95">
        <v>0</v>
      </c>
      <c r="BH482" s="95">
        <v>-2.23</v>
      </c>
      <c r="BI482" s="8">
        <f t="shared" si="397"/>
        <v>-55.05</v>
      </c>
      <c r="BJ482" s="2" t="s">
        <v>91</v>
      </c>
      <c r="BL482" s="70">
        <v>-3463757.6</v>
      </c>
      <c r="BM482" s="70">
        <v>-3463757.6</v>
      </c>
      <c r="BO482" s="70" t="s">
        <v>940</v>
      </c>
      <c r="BP482" s="70"/>
      <c r="BQ482" s="72"/>
      <c r="BS482" s="61">
        <f t="shared" si="382"/>
        <v>-3.8399999999999963</v>
      </c>
      <c r="BT482" s="61">
        <f t="shared" si="335"/>
        <v>0</v>
      </c>
      <c r="BU482" s="61">
        <f t="shared" si="336"/>
        <v>0</v>
      </c>
      <c r="BV482" s="61">
        <f t="shared" si="374"/>
        <v>0</v>
      </c>
      <c r="BW482" s="61">
        <f t="shared" si="374"/>
        <v>0</v>
      </c>
      <c r="BX482" s="61">
        <f t="shared" si="385"/>
        <v>-3.8399999999999963</v>
      </c>
      <c r="BY482" s="61" t="s">
        <v>91</v>
      </c>
      <c r="CA482" s="61">
        <f t="shared" si="390"/>
        <v>0</v>
      </c>
      <c r="CB482" s="61">
        <f t="shared" si="390"/>
        <v>0</v>
      </c>
      <c r="CC482" s="61">
        <f t="shared" si="390"/>
        <v>0</v>
      </c>
      <c r="CD482" s="61">
        <f t="shared" si="390"/>
        <v>0</v>
      </c>
      <c r="CE482" s="61">
        <f t="shared" si="390"/>
        <v>-0.577704227471039</v>
      </c>
      <c r="CF482" s="61">
        <f t="shared" si="388"/>
        <v>-0.577704227471039</v>
      </c>
      <c r="CG482" s="61">
        <f t="shared" si="388"/>
        <v>-0.577704227471039</v>
      </c>
      <c r="CH482" s="61">
        <f t="shared" si="388"/>
        <v>-0.577704227471039</v>
      </c>
      <c r="CI482" s="61">
        <f t="shared" si="375"/>
        <v>-0.19064239506544289</v>
      </c>
      <c r="CJ482" s="61"/>
      <c r="CK482" s="61">
        <f t="shared" si="386"/>
        <v>0</v>
      </c>
      <c r="CL482" s="61">
        <f t="shared" si="386"/>
        <v>0</v>
      </c>
      <c r="CM482" s="61">
        <f t="shared" si="386"/>
        <v>0</v>
      </c>
      <c r="CN482" s="61">
        <f t="shared" si="386"/>
        <v>0</v>
      </c>
      <c r="CO482" s="61">
        <f t="shared" si="386"/>
        <v>-0.577704227471039</v>
      </c>
      <c r="CP482" s="61">
        <f t="shared" si="386"/>
        <v>-0.577704227471039</v>
      </c>
      <c r="CQ482" s="61">
        <f t="shared" si="386"/>
        <v>-0.577704227471039</v>
      </c>
      <c r="CR482" s="61">
        <f t="shared" si="343"/>
        <v>-0.577704227471039</v>
      </c>
      <c r="CS482" s="61">
        <f t="shared" si="376"/>
        <v>-0.19064239506544289</v>
      </c>
      <c r="CT482" s="61">
        <f t="shared" si="377"/>
        <v>-1.267199999999999</v>
      </c>
      <c r="CV482" s="61">
        <f t="shared" si="378"/>
        <v>0</v>
      </c>
      <c r="CW482" s="61">
        <f t="shared" si="383"/>
        <v>0</v>
      </c>
      <c r="CX482" s="61"/>
      <c r="CY482" s="61">
        <f t="shared" si="368"/>
        <v>-594307</v>
      </c>
      <c r="CZ482" s="61">
        <f t="shared" si="391"/>
        <v>266753</v>
      </c>
      <c r="DA482" s="61">
        <f t="shared" si="391"/>
        <v>0</v>
      </c>
      <c r="DB482" s="2" t="s">
        <v>85</v>
      </c>
      <c r="DC482" s="2" t="s">
        <v>85</v>
      </c>
      <c r="DD482" s="2" t="s">
        <v>142</v>
      </c>
      <c r="DE482" s="2" t="s">
        <v>181</v>
      </c>
      <c r="DG482" s="62"/>
      <c r="DZ482" s="3" t="e">
        <v>#N/A</v>
      </c>
      <c r="EC482" s="60"/>
      <c r="ED482" s="60"/>
      <c r="EE482" s="60"/>
      <c r="EF482" s="60"/>
    </row>
    <row r="483" spans="2:140" ht="12.75" hidden="1" customHeight="1">
      <c r="B483" s="99" t="s">
        <v>943</v>
      </c>
      <c r="C483" s="22" t="s">
        <v>944</v>
      </c>
      <c r="D483" s="22" t="s">
        <v>945</v>
      </c>
      <c r="E483" s="2" t="str">
        <f>VLOOKUP($C483,[1]Detail!$C:$AK,6,0)</f>
        <v>PMT1</v>
      </c>
      <c r="F483" s="2" t="str">
        <f>VLOOKUP($C483,[1]Detail!$C:$AK,7,0)</f>
        <v>TH</v>
      </c>
      <c r="G483" s="2" t="str">
        <f>VLOOKUP($C483,[1]Detail!$C:$AK,5,0)</f>
        <v>B</v>
      </c>
      <c r="J483" s="22" t="s">
        <v>126</v>
      </c>
      <c r="K483" s="23" t="s">
        <v>946</v>
      </c>
      <c r="L483" s="22" t="s">
        <v>100</v>
      </c>
      <c r="M483" s="51" t="str">
        <f t="shared" si="344"/>
        <v>JD8B-16A770-AA</v>
      </c>
      <c r="O483" s="22">
        <v>1</v>
      </c>
      <c r="P483" s="22">
        <v>1</v>
      </c>
      <c r="Q483" s="22">
        <v>1</v>
      </c>
      <c r="R483" s="22">
        <v>1</v>
      </c>
      <c r="S483" s="22">
        <v>1</v>
      </c>
      <c r="T483" s="22">
        <v>1</v>
      </c>
      <c r="U483" s="22">
        <v>1</v>
      </c>
      <c r="V483" s="22">
        <v>1</v>
      </c>
      <c r="W483" s="64">
        <f t="shared" si="345"/>
        <v>1</v>
      </c>
      <c r="Y483" s="8">
        <v>-7.74</v>
      </c>
      <c r="Z483" s="8">
        <v>-0.25</v>
      </c>
      <c r="AA483" s="8">
        <v>-0.25</v>
      </c>
      <c r="AB483" s="8">
        <v>0</v>
      </c>
      <c r="AC483" s="8">
        <v>0</v>
      </c>
      <c r="AD483" s="8">
        <f t="shared" si="384"/>
        <v>-8.24</v>
      </c>
      <c r="AE483" s="2" t="s">
        <v>91</v>
      </c>
      <c r="AG483" s="8">
        <v>0</v>
      </c>
      <c r="AH483" s="8">
        <v>0</v>
      </c>
      <c r="AJ483" s="70">
        <v>0</v>
      </c>
      <c r="AK483" s="70">
        <v>0</v>
      </c>
      <c r="AL483" s="72"/>
      <c r="AM483" s="22"/>
      <c r="AO483" s="22" t="s">
        <v>128</v>
      </c>
      <c r="AP483" s="23" t="s">
        <v>946</v>
      </c>
      <c r="AQ483" s="22" t="s">
        <v>132</v>
      </c>
      <c r="AR483" s="51" t="str">
        <f t="shared" si="392"/>
        <v>ED8B-16A770-AB</v>
      </c>
      <c r="AS483" s="3"/>
      <c r="AT483" s="22">
        <v>1</v>
      </c>
      <c r="AU483" s="22">
        <v>1</v>
      </c>
      <c r="AV483" s="22">
        <v>1</v>
      </c>
      <c r="AW483" s="22">
        <v>1</v>
      </c>
      <c r="AX483" s="22">
        <v>1</v>
      </c>
      <c r="AY483" s="22">
        <v>1</v>
      </c>
      <c r="AZ483" s="22">
        <v>1</v>
      </c>
      <c r="BA483" s="22">
        <v>1</v>
      </c>
      <c r="BB483" s="116">
        <f t="shared" si="393"/>
        <v>1</v>
      </c>
      <c r="BD483" s="60">
        <f>-7.74+0.45</f>
        <v>-7.29</v>
      </c>
      <c r="BE483" s="60">
        <v>-0.25</v>
      </c>
      <c r="BF483" s="95">
        <v>-0.25</v>
      </c>
      <c r="BG483" s="95">
        <v>0</v>
      </c>
      <c r="BH483" s="95">
        <v>0</v>
      </c>
      <c r="BI483" s="8">
        <f t="shared" si="397"/>
        <v>-7.79</v>
      </c>
      <c r="BJ483" s="2" t="s">
        <v>91</v>
      </c>
      <c r="BL483" s="70">
        <v>0</v>
      </c>
      <c r="BM483" s="70">
        <v>0</v>
      </c>
      <c r="BO483" s="70">
        <v>0</v>
      </c>
      <c r="BP483" s="70">
        <v>0</v>
      </c>
      <c r="BQ483" s="72"/>
      <c r="BS483" s="61">
        <f t="shared" si="382"/>
        <v>-0.45000000000000018</v>
      </c>
      <c r="BT483" s="61">
        <f t="shared" si="335"/>
        <v>0</v>
      </c>
      <c r="BU483" s="61">
        <f t="shared" si="336"/>
        <v>0</v>
      </c>
      <c r="BV483" s="61">
        <f t="shared" si="374"/>
        <v>0</v>
      </c>
      <c r="BW483" s="61">
        <f t="shared" si="374"/>
        <v>0</v>
      </c>
      <c r="BX483" s="61">
        <f t="shared" si="385"/>
        <v>-0.45000000000000018</v>
      </c>
      <c r="BY483" s="61" t="s">
        <v>91</v>
      </c>
      <c r="CA483" s="61">
        <f t="shared" si="390"/>
        <v>-6.7699714156762472E-2</v>
      </c>
      <c r="CB483" s="61">
        <f t="shared" si="390"/>
        <v>-6.7699714156762472E-2</v>
      </c>
      <c r="CC483" s="61">
        <f t="shared" si="390"/>
        <v>-6.7699714156762472E-2</v>
      </c>
      <c r="CD483" s="61">
        <f t="shared" si="390"/>
        <v>-6.7699714156762472E-2</v>
      </c>
      <c r="CE483" s="61">
        <f t="shared" si="390"/>
        <v>-6.7699714156762472E-2</v>
      </c>
      <c r="CF483" s="61">
        <f t="shared" si="388"/>
        <v>-6.7699714156762472E-2</v>
      </c>
      <c r="CG483" s="61">
        <f t="shared" si="388"/>
        <v>-6.7699714156762472E-2</v>
      </c>
      <c r="CH483" s="61">
        <f t="shared" si="388"/>
        <v>-6.7699714156762472E-2</v>
      </c>
      <c r="CI483" s="61">
        <f t="shared" si="375"/>
        <v>-6.7699714156762486E-2</v>
      </c>
      <c r="CJ483" s="61"/>
      <c r="CK483" s="61">
        <f t="shared" si="386"/>
        <v>-6.7699714156762472E-2</v>
      </c>
      <c r="CL483" s="61">
        <f t="shared" si="386"/>
        <v>-6.7699714156762472E-2</v>
      </c>
      <c r="CM483" s="61">
        <f t="shared" si="386"/>
        <v>-6.7699714156762472E-2</v>
      </c>
      <c r="CN483" s="61">
        <f t="shared" si="386"/>
        <v>-6.7699714156762472E-2</v>
      </c>
      <c r="CO483" s="61">
        <f t="shared" si="386"/>
        <v>-6.7699714156762472E-2</v>
      </c>
      <c r="CP483" s="61">
        <f t="shared" si="386"/>
        <v>-6.7699714156762472E-2</v>
      </c>
      <c r="CQ483" s="61">
        <f t="shared" si="386"/>
        <v>-6.7699714156762472E-2</v>
      </c>
      <c r="CR483" s="61">
        <f t="shared" si="343"/>
        <v>-6.7699714156762472E-2</v>
      </c>
      <c r="CS483" s="61">
        <f t="shared" si="376"/>
        <v>-6.7699714156762486E-2</v>
      </c>
      <c r="CT483" s="61">
        <f t="shared" si="377"/>
        <v>-0.45000000000000029</v>
      </c>
      <c r="CV483" s="61">
        <f t="shared" si="378"/>
        <v>0</v>
      </c>
      <c r="CW483" s="61">
        <f t="shared" si="383"/>
        <v>0</v>
      </c>
      <c r="CX483" s="61"/>
      <c r="CY483" s="61">
        <f t="shared" si="368"/>
        <v>0</v>
      </c>
      <c r="CZ483" s="61">
        <f t="shared" si="391"/>
        <v>0</v>
      </c>
      <c r="DA483" s="61">
        <f t="shared" si="391"/>
        <v>0</v>
      </c>
      <c r="DB483" s="2" t="s">
        <v>85</v>
      </c>
      <c r="DC483" s="2" t="s">
        <v>118</v>
      </c>
      <c r="DD483" s="2" t="s">
        <v>142</v>
      </c>
      <c r="DE483" s="2" t="s">
        <v>181</v>
      </c>
      <c r="DG483" s="62"/>
      <c r="DZ483" s="3" t="e">
        <v>#N/A</v>
      </c>
      <c r="EC483" s="60"/>
      <c r="ED483" s="60"/>
      <c r="EE483" s="60"/>
      <c r="EF483" s="60"/>
    </row>
    <row r="484" spans="2:140" ht="12.75" hidden="1" customHeight="1">
      <c r="B484" s="99" t="s">
        <v>943</v>
      </c>
      <c r="C484" s="22" t="s">
        <v>944</v>
      </c>
      <c r="D484" s="22" t="s">
        <v>945</v>
      </c>
      <c r="E484" s="2" t="str">
        <f>VLOOKUP($C484,[1]Detail!$C:$AK,6,0)</f>
        <v>PMT1</v>
      </c>
      <c r="F484" s="2" t="str">
        <f>VLOOKUP($C484,[1]Detail!$C:$AK,7,0)</f>
        <v>TH</v>
      </c>
      <c r="G484" s="2" t="str">
        <f>VLOOKUP($C484,[1]Detail!$C:$AK,5,0)</f>
        <v>B</v>
      </c>
      <c r="J484" s="22" t="s">
        <v>126</v>
      </c>
      <c r="K484" s="23" t="s">
        <v>947</v>
      </c>
      <c r="L484" s="22" t="s">
        <v>100</v>
      </c>
      <c r="M484" s="51" t="str">
        <f t="shared" si="344"/>
        <v>JD8B-16C657-AA</v>
      </c>
      <c r="O484" s="22">
        <v>1</v>
      </c>
      <c r="P484" s="22">
        <v>1</v>
      </c>
      <c r="Q484" s="22">
        <v>1</v>
      </c>
      <c r="R484" s="22">
        <v>1</v>
      </c>
      <c r="S484" s="22">
        <v>1</v>
      </c>
      <c r="T484" s="22">
        <v>1</v>
      </c>
      <c r="U484" s="22">
        <v>1</v>
      </c>
      <c r="V484" s="22">
        <v>1</v>
      </c>
      <c r="W484" s="64">
        <f t="shared" si="345"/>
        <v>1</v>
      </c>
      <c r="Y484" s="8">
        <v>-11.99</v>
      </c>
      <c r="Z484" s="8">
        <v>-0.25</v>
      </c>
      <c r="AA484" s="8">
        <v>-0.8</v>
      </c>
      <c r="AB484" s="8">
        <v>0</v>
      </c>
      <c r="AC484" s="8">
        <v>0</v>
      </c>
      <c r="AD484" s="8">
        <f t="shared" si="384"/>
        <v>-13.040000000000001</v>
      </c>
      <c r="AE484" s="2" t="s">
        <v>91</v>
      </c>
      <c r="AG484" s="8">
        <v>0</v>
      </c>
      <c r="AH484" s="8">
        <v>0</v>
      </c>
      <c r="AJ484" s="70">
        <v>0</v>
      </c>
      <c r="AK484" s="70">
        <v>0</v>
      </c>
      <c r="AL484" s="72"/>
      <c r="AM484" s="22"/>
      <c r="AO484" s="22" t="s">
        <v>128</v>
      </c>
      <c r="AP484" s="23" t="s">
        <v>947</v>
      </c>
      <c r="AQ484" s="22" t="s">
        <v>162</v>
      </c>
      <c r="AR484" s="51" t="str">
        <f t="shared" si="392"/>
        <v>ED8B-16C657-AD</v>
      </c>
      <c r="AS484" s="3"/>
      <c r="AT484" s="22">
        <v>1</v>
      </c>
      <c r="AU484" s="22">
        <v>1</v>
      </c>
      <c r="AV484" s="22">
        <v>1</v>
      </c>
      <c r="AW484" s="22">
        <v>1</v>
      </c>
      <c r="AX484" s="22">
        <v>1</v>
      </c>
      <c r="AY484" s="22">
        <v>1</v>
      </c>
      <c r="AZ484" s="22">
        <v>1</v>
      </c>
      <c r="BA484" s="22">
        <v>1</v>
      </c>
      <c r="BB484" s="116">
        <f t="shared" si="393"/>
        <v>1</v>
      </c>
      <c r="BD484" s="60">
        <f>-11.99+0.45</f>
        <v>-11.540000000000001</v>
      </c>
      <c r="BE484" s="60">
        <v>-0.25</v>
      </c>
      <c r="BF484" s="95">
        <v>-0.8</v>
      </c>
      <c r="BG484" s="95">
        <v>0</v>
      </c>
      <c r="BH484" s="95">
        <v>0</v>
      </c>
      <c r="BI484" s="8">
        <f t="shared" si="397"/>
        <v>-12.590000000000002</v>
      </c>
      <c r="BJ484" s="2" t="s">
        <v>91</v>
      </c>
      <c r="BL484" s="70">
        <v>0</v>
      </c>
      <c r="BM484" s="70">
        <v>0</v>
      </c>
      <c r="BO484" s="70">
        <v>0</v>
      </c>
      <c r="BP484" s="70">
        <v>0</v>
      </c>
      <c r="BQ484" s="72"/>
      <c r="BS484" s="61">
        <f t="shared" si="382"/>
        <v>-0.44999999999999929</v>
      </c>
      <c r="BT484" s="61">
        <f t="shared" si="335"/>
        <v>0</v>
      </c>
      <c r="BU484" s="61">
        <f t="shared" si="336"/>
        <v>0</v>
      </c>
      <c r="BV484" s="61">
        <f t="shared" si="374"/>
        <v>0</v>
      </c>
      <c r="BW484" s="61">
        <f t="shared" si="374"/>
        <v>0</v>
      </c>
      <c r="BX484" s="61">
        <f t="shared" si="385"/>
        <v>-0.44999999999999929</v>
      </c>
      <c r="BY484" s="61" t="s">
        <v>91</v>
      </c>
      <c r="CA484" s="61">
        <f t="shared" si="390"/>
        <v>-6.7699714156762333E-2</v>
      </c>
      <c r="CB484" s="61">
        <f t="shared" si="390"/>
        <v>-6.7699714156762333E-2</v>
      </c>
      <c r="CC484" s="61">
        <f t="shared" si="390"/>
        <v>-6.7699714156762333E-2</v>
      </c>
      <c r="CD484" s="61">
        <f t="shared" si="390"/>
        <v>-6.7699714156762333E-2</v>
      </c>
      <c r="CE484" s="61">
        <f t="shared" si="390"/>
        <v>-6.7699714156762333E-2</v>
      </c>
      <c r="CF484" s="61">
        <f t="shared" si="388"/>
        <v>-6.7699714156762333E-2</v>
      </c>
      <c r="CG484" s="61">
        <f t="shared" si="388"/>
        <v>-6.7699714156762333E-2</v>
      </c>
      <c r="CH484" s="61">
        <f t="shared" si="388"/>
        <v>-6.7699714156762333E-2</v>
      </c>
      <c r="CI484" s="61">
        <f t="shared" si="375"/>
        <v>-6.7699714156762333E-2</v>
      </c>
      <c r="CJ484" s="61"/>
      <c r="CK484" s="61">
        <f t="shared" si="386"/>
        <v>-6.7699714156762333E-2</v>
      </c>
      <c r="CL484" s="61">
        <f t="shared" si="386"/>
        <v>-6.7699714156762333E-2</v>
      </c>
      <c r="CM484" s="61">
        <f t="shared" si="386"/>
        <v>-6.7699714156762333E-2</v>
      </c>
      <c r="CN484" s="61">
        <f t="shared" si="386"/>
        <v>-6.7699714156762333E-2</v>
      </c>
      <c r="CO484" s="61">
        <f t="shared" si="386"/>
        <v>-6.7699714156762333E-2</v>
      </c>
      <c r="CP484" s="61">
        <f t="shared" si="386"/>
        <v>-6.7699714156762333E-2</v>
      </c>
      <c r="CQ484" s="61">
        <f t="shared" si="386"/>
        <v>-6.7699714156762333E-2</v>
      </c>
      <c r="CR484" s="61">
        <f t="shared" si="343"/>
        <v>-6.7699714156762333E-2</v>
      </c>
      <c r="CS484" s="61">
        <f t="shared" si="376"/>
        <v>-6.7699714156762333E-2</v>
      </c>
      <c r="CT484" s="61">
        <f t="shared" si="377"/>
        <v>-0.44999999999999923</v>
      </c>
      <c r="CV484" s="61">
        <f t="shared" si="378"/>
        <v>0</v>
      </c>
      <c r="CW484" s="61">
        <f t="shared" si="383"/>
        <v>0</v>
      </c>
      <c r="CX484" s="61"/>
      <c r="CY484" s="61">
        <f t="shared" si="368"/>
        <v>0</v>
      </c>
      <c r="CZ484" s="61">
        <f t="shared" si="391"/>
        <v>0</v>
      </c>
      <c r="DA484" s="61">
        <f t="shared" si="391"/>
        <v>0</v>
      </c>
      <c r="DB484" s="2" t="s">
        <v>85</v>
      </c>
      <c r="DC484" s="2" t="s">
        <v>118</v>
      </c>
      <c r="DD484" s="2" t="s">
        <v>142</v>
      </c>
      <c r="DE484" s="2" t="s">
        <v>181</v>
      </c>
      <c r="DG484" s="62"/>
      <c r="DZ484" s="3" t="e">
        <v>#N/A</v>
      </c>
      <c r="EC484" s="60"/>
      <c r="ED484" s="60"/>
      <c r="EE484" s="60"/>
      <c r="EF484" s="60"/>
    </row>
    <row r="485" spans="2:140" ht="12.75" hidden="1" customHeight="1">
      <c r="B485" s="99" t="s">
        <v>948</v>
      </c>
      <c r="C485" s="22" t="s">
        <v>944</v>
      </c>
      <c r="D485" s="22" t="s">
        <v>945</v>
      </c>
      <c r="E485" s="2" t="str">
        <f>VLOOKUP($C485,[1]Detail!$C:$AK,6,0)</f>
        <v>PMT1</v>
      </c>
      <c r="F485" s="2" t="str">
        <f>VLOOKUP($C485,[1]Detail!$C:$AK,7,0)</f>
        <v>TH</v>
      </c>
      <c r="G485" s="2" t="str">
        <f>VLOOKUP($C485,[1]Detail!$C:$AK,5,0)</f>
        <v>B</v>
      </c>
      <c r="J485" s="22" t="s">
        <v>126</v>
      </c>
      <c r="K485" s="23" t="s">
        <v>947</v>
      </c>
      <c r="L485" s="22" t="s">
        <v>132</v>
      </c>
      <c r="M485" s="51" t="str">
        <f t="shared" si="344"/>
        <v>JD8B-16C657-AB</v>
      </c>
      <c r="O485" s="22">
        <v>1</v>
      </c>
      <c r="P485" s="22">
        <v>1</v>
      </c>
      <c r="Q485" s="22">
        <v>1</v>
      </c>
      <c r="R485" s="22">
        <v>1</v>
      </c>
      <c r="S485" s="22">
        <v>1</v>
      </c>
      <c r="T485" s="22">
        <v>1</v>
      </c>
      <c r="U485" s="22">
        <v>1</v>
      </c>
      <c r="V485" s="22">
        <v>1</v>
      </c>
      <c r="W485" s="64">
        <f t="shared" si="345"/>
        <v>1</v>
      </c>
      <c r="Y485" s="8">
        <v>-11.99</v>
      </c>
      <c r="Z485" s="8">
        <v>-0.25</v>
      </c>
      <c r="AA485" s="8">
        <v>-0.8</v>
      </c>
      <c r="AB485" s="8">
        <v>0</v>
      </c>
      <c r="AC485" s="8">
        <v>0</v>
      </c>
      <c r="AD485" s="8">
        <f t="shared" si="384"/>
        <v>-13.040000000000001</v>
      </c>
      <c r="AE485" s="2" t="s">
        <v>91</v>
      </c>
      <c r="AG485" s="8">
        <v>0</v>
      </c>
      <c r="AH485" s="8">
        <v>0</v>
      </c>
      <c r="AJ485" s="70">
        <v>0</v>
      </c>
      <c r="AK485" s="70">
        <v>0</v>
      </c>
      <c r="AL485" s="72"/>
      <c r="AM485" s="22"/>
      <c r="AO485" s="22" t="s">
        <v>126</v>
      </c>
      <c r="AP485" s="23" t="s">
        <v>947</v>
      </c>
      <c r="AQ485" s="22" t="s">
        <v>100</v>
      </c>
      <c r="AR485" s="51" t="str">
        <f t="shared" si="392"/>
        <v>JD8B-16C657-AA</v>
      </c>
      <c r="AS485" s="3"/>
      <c r="AT485" s="22">
        <v>1</v>
      </c>
      <c r="AU485" s="22">
        <v>1</v>
      </c>
      <c r="AV485" s="22">
        <v>1</v>
      </c>
      <c r="AW485" s="22">
        <v>1</v>
      </c>
      <c r="AX485" s="22">
        <v>1</v>
      </c>
      <c r="AY485" s="22">
        <v>1</v>
      </c>
      <c r="AZ485" s="22">
        <v>1</v>
      </c>
      <c r="BA485" s="22">
        <v>1</v>
      </c>
      <c r="BB485" s="64">
        <f t="shared" si="393"/>
        <v>1</v>
      </c>
      <c r="BD485" s="8">
        <v>-11.99</v>
      </c>
      <c r="BE485" s="8">
        <v>-0.25</v>
      </c>
      <c r="BF485" s="8">
        <v>-0.8</v>
      </c>
      <c r="BG485" s="8">
        <v>0</v>
      </c>
      <c r="BH485" s="8">
        <v>0</v>
      </c>
      <c r="BI485" s="8">
        <f t="shared" si="397"/>
        <v>-13.040000000000001</v>
      </c>
      <c r="BJ485" s="2" t="s">
        <v>91</v>
      </c>
      <c r="BL485" s="70">
        <v>0</v>
      </c>
      <c r="BM485" s="70">
        <v>0</v>
      </c>
      <c r="BO485" s="70">
        <v>0</v>
      </c>
      <c r="BP485" s="70">
        <v>0</v>
      </c>
      <c r="BQ485" s="72"/>
      <c r="BS485" s="61">
        <f t="shared" si="382"/>
        <v>0</v>
      </c>
      <c r="BT485" s="61">
        <f t="shared" si="335"/>
        <v>0</v>
      </c>
      <c r="BU485" s="61">
        <f t="shared" si="336"/>
        <v>0</v>
      </c>
      <c r="BV485" s="61">
        <f t="shared" si="374"/>
        <v>0</v>
      </c>
      <c r="BW485" s="61">
        <f t="shared" si="374"/>
        <v>0</v>
      </c>
      <c r="BX485" s="61">
        <f t="shared" si="385"/>
        <v>0</v>
      </c>
      <c r="BY485" s="61" t="s">
        <v>91</v>
      </c>
      <c r="CA485" s="61">
        <f t="shared" si="390"/>
        <v>0</v>
      </c>
      <c r="CB485" s="61">
        <f t="shared" si="390"/>
        <v>0</v>
      </c>
      <c r="CC485" s="61">
        <f t="shared" si="390"/>
        <v>0</v>
      </c>
      <c r="CD485" s="61">
        <f t="shared" si="390"/>
        <v>0</v>
      </c>
      <c r="CE485" s="61">
        <f t="shared" si="390"/>
        <v>0</v>
      </c>
      <c r="CF485" s="61">
        <f t="shared" si="388"/>
        <v>0</v>
      </c>
      <c r="CG485" s="61">
        <f t="shared" si="388"/>
        <v>0</v>
      </c>
      <c r="CH485" s="61">
        <f t="shared" si="388"/>
        <v>0</v>
      </c>
      <c r="CI485" s="61">
        <f t="shared" si="375"/>
        <v>0</v>
      </c>
      <c r="CJ485" s="61"/>
      <c r="CK485" s="61">
        <f t="shared" si="386"/>
        <v>0</v>
      </c>
      <c r="CL485" s="61">
        <f t="shared" si="386"/>
        <v>0</v>
      </c>
      <c r="CM485" s="61">
        <f t="shared" si="386"/>
        <v>0</v>
      </c>
      <c r="CN485" s="61">
        <f t="shared" si="386"/>
        <v>0</v>
      </c>
      <c r="CO485" s="61">
        <f t="shared" si="386"/>
        <v>0</v>
      </c>
      <c r="CP485" s="61">
        <f t="shared" si="386"/>
        <v>0</v>
      </c>
      <c r="CQ485" s="61">
        <f t="shared" si="386"/>
        <v>0</v>
      </c>
      <c r="CR485" s="61">
        <f t="shared" si="343"/>
        <v>0</v>
      </c>
      <c r="CS485" s="61">
        <f t="shared" si="376"/>
        <v>0</v>
      </c>
      <c r="CT485" s="61">
        <f t="shared" si="377"/>
        <v>0</v>
      </c>
      <c r="CV485" s="61">
        <f t="shared" si="378"/>
        <v>0</v>
      </c>
      <c r="CW485" s="61">
        <f t="shared" si="383"/>
        <v>0</v>
      </c>
      <c r="CX485" s="61"/>
      <c r="CY485" s="61">
        <f t="shared" si="368"/>
        <v>0</v>
      </c>
      <c r="CZ485" s="61">
        <f t="shared" si="391"/>
        <v>0</v>
      </c>
      <c r="DA485" s="61">
        <f t="shared" si="391"/>
        <v>0</v>
      </c>
      <c r="DB485" s="2" t="s">
        <v>86</v>
      </c>
      <c r="DC485" s="2" t="s">
        <v>289</v>
      </c>
      <c r="DD485" s="2" t="s">
        <v>142</v>
      </c>
      <c r="DE485" s="2" t="s">
        <v>106</v>
      </c>
      <c r="DF485" s="3" t="s">
        <v>86</v>
      </c>
      <c r="DG485" s="62">
        <v>43124</v>
      </c>
      <c r="EC485" s="60" t="str">
        <f>VLOOKUP($M485,[1]Detail!$M:$BO,1,0)</f>
        <v>JD8B-16C657-AB</v>
      </c>
      <c r="ED485" s="60">
        <f>VLOOKUP($M485,[1]Detail!$M:$BO,22,0)</f>
        <v>-13.040000000000001</v>
      </c>
      <c r="EE485" s="60">
        <f>VLOOKUP($M485,[1]Detail!$M:$BO,42,0)</f>
        <v>0</v>
      </c>
      <c r="EF485" s="60">
        <f>VLOOKUP($M485,[1]Detail!$M:$BO,45,0)</f>
        <v>0</v>
      </c>
      <c r="EH485" s="60">
        <f>ED485-AD485</f>
        <v>0</v>
      </c>
      <c r="EI485" s="60">
        <f>EE485-AG485</f>
        <v>0</v>
      </c>
      <c r="EJ485" s="60">
        <f>EF485-AJ485</f>
        <v>0</v>
      </c>
    </row>
    <row r="486" spans="2:140" ht="12.75" hidden="1" customHeight="1">
      <c r="B486" s="99" t="s">
        <v>949</v>
      </c>
      <c r="C486" s="22" t="s">
        <v>950</v>
      </c>
      <c r="D486" s="22" t="s">
        <v>951</v>
      </c>
      <c r="E486" s="2" t="str">
        <f>VLOOKUP($C486,[1]Detail!$C:$AK,6,0)</f>
        <v>PMT1</v>
      </c>
      <c r="F486" s="2" t="str">
        <f>VLOOKUP($C486,[1]Detail!$C:$AK,7,0)</f>
        <v>TH</v>
      </c>
      <c r="G486" s="2" t="str">
        <f>VLOOKUP($C486,[1]Detail!$C:$AK,5,0)</f>
        <v>B</v>
      </c>
      <c r="J486" s="22" t="s">
        <v>126</v>
      </c>
      <c r="K486" s="23" t="s">
        <v>952</v>
      </c>
      <c r="L486" s="22" t="s">
        <v>100</v>
      </c>
      <c r="M486" s="51" t="str">
        <f t="shared" si="344"/>
        <v>JD8B-F20898-AA</v>
      </c>
      <c r="O486" s="22">
        <v>0</v>
      </c>
      <c r="P486" s="22">
        <v>0</v>
      </c>
      <c r="Q486" s="22">
        <v>0</v>
      </c>
      <c r="R486" s="22">
        <v>0</v>
      </c>
      <c r="S486" s="22">
        <v>0</v>
      </c>
      <c r="T486" s="22">
        <v>0</v>
      </c>
      <c r="U486" s="22">
        <v>1</v>
      </c>
      <c r="V486" s="22">
        <v>1</v>
      </c>
      <c r="W486" s="64">
        <f t="shared" si="345"/>
        <v>0.1</v>
      </c>
      <c r="Y486" s="8">
        <v>-16.02</v>
      </c>
      <c r="Z486" s="8">
        <v>-0.66</v>
      </c>
      <c r="AA486" s="8">
        <v>-0.16</v>
      </c>
      <c r="AB486" s="8">
        <v>0</v>
      </c>
      <c r="AC486" s="8">
        <v>-0.16</v>
      </c>
      <c r="AD486" s="8">
        <f t="shared" si="384"/>
        <v>-17</v>
      </c>
      <c r="AE486" s="2" t="s">
        <v>91</v>
      </c>
      <c r="AG486" s="8">
        <v>-822500</v>
      </c>
      <c r="AH486" s="8">
        <v>-822500</v>
      </c>
      <c r="AI486" s="6"/>
      <c r="AJ486" s="70">
        <v>-88750</v>
      </c>
      <c r="AK486" s="70">
        <v>574899</v>
      </c>
      <c r="AL486" s="72"/>
      <c r="AM486" s="22"/>
      <c r="AO486" s="22" t="s">
        <v>126</v>
      </c>
      <c r="AP486" s="23" t="s">
        <v>952</v>
      </c>
      <c r="AQ486" s="22" t="s">
        <v>100</v>
      </c>
      <c r="AR486" s="51" t="str">
        <f t="shared" si="392"/>
        <v>JD8B-F20898-AA</v>
      </c>
      <c r="AS486" s="3"/>
      <c r="AT486" s="22">
        <v>0</v>
      </c>
      <c r="AU486" s="22">
        <v>0</v>
      </c>
      <c r="AV486" s="22">
        <v>0</v>
      </c>
      <c r="AW486" s="22">
        <v>0</v>
      </c>
      <c r="AX486" s="22">
        <v>0</v>
      </c>
      <c r="AY486" s="22">
        <v>0</v>
      </c>
      <c r="AZ486" s="22">
        <v>1</v>
      </c>
      <c r="BA486" s="22">
        <v>1</v>
      </c>
      <c r="BB486" s="116">
        <f t="shared" si="393"/>
        <v>0.1</v>
      </c>
      <c r="BD486" s="60">
        <v>-16.02</v>
      </c>
      <c r="BE486" s="60">
        <v>-0.66</v>
      </c>
      <c r="BF486" s="95">
        <v>-0.16</v>
      </c>
      <c r="BG486" s="95">
        <v>0</v>
      </c>
      <c r="BH486" s="95">
        <v>-0.16</v>
      </c>
      <c r="BI486" s="8">
        <f t="shared" si="397"/>
        <v>-17</v>
      </c>
      <c r="BJ486" s="2" t="s">
        <v>91</v>
      </c>
      <c r="BL486" s="70">
        <v>-822500</v>
      </c>
      <c r="BM486" s="70">
        <v>-822500</v>
      </c>
      <c r="BO486" s="70">
        <v>-88750</v>
      </c>
      <c r="BP486" s="70">
        <v>574899</v>
      </c>
      <c r="BQ486" s="72"/>
      <c r="BS486" s="61">
        <f t="shared" si="382"/>
        <v>0</v>
      </c>
      <c r="BT486" s="61">
        <f t="shared" si="335"/>
        <v>0</v>
      </c>
      <c r="BU486" s="61">
        <f t="shared" si="336"/>
        <v>0</v>
      </c>
      <c r="BV486" s="61">
        <f t="shared" si="374"/>
        <v>0</v>
      </c>
      <c r="BW486" s="61">
        <f t="shared" si="374"/>
        <v>0</v>
      </c>
      <c r="BX486" s="61">
        <f t="shared" si="385"/>
        <v>0</v>
      </c>
      <c r="BY486" s="61" t="s">
        <v>91</v>
      </c>
      <c r="CA486" s="61">
        <f t="shared" si="390"/>
        <v>0</v>
      </c>
      <c r="CB486" s="61">
        <f t="shared" si="390"/>
        <v>0</v>
      </c>
      <c r="CC486" s="61">
        <f t="shared" si="390"/>
        <v>0</v>
      </c>
      <c r="CD486" s="61">
        <f t="shared" si="390"/>
        <v>0</v>
      </c>
      <c r="CE486" s="61">
        <f t="shared" si="390"/>
        <v>0</v>
      </c>
      <c r="CF486" s="61">
        <f t="shared" si="388"/>
        <v>0</v>
      </c>
      <c r="CG486" s="61">
        <f t="shared" si="388"/>
        <v>0</v>
      </c>
      <c r="CH486" s="61">
        <f t="shared" si="388"/>
        <v>0</v>
      </c>
      <c r="CI486" s="61">
        <f t="shared" si="375"/>
        <v>0</v>
      </c>
      <c r="CJ486" s="61"/>
      <c r="CK486" s="61">
        <f t="shared" si="386"/>
        <v>0</v>
      </c>
      <c r="CL486" s="61">
        <f t="shared" si="386"/>
        <v>0</v>
      </c>
      <c r="CM486" s="61">
        <f t="shared" si="386"/>
        <v>0</v>
      </c>
      <c r="CN486" s="61">
        <f t="shared" si="386"/>
        <v>0</v>
      </c>
      <c r="CO486" s="61">
        <f t="shared" si="386"/>
        <v>0</v>
      </c>
      <c r="CP486" s="61">
        <f t="shared" si="386"/>
        <v>0</v>
      </c>
      <c r="CQ486" s="61">
        <f t="shared" si="386"/>
        <v>0</v>
      </c>
      <c r="CR486" s="61">
        <f t="shared" si="343"/>
        <v>0</v>
      </c>
      <c r="CS486" s="61">
        <f t="shared" si="376"/>
        <v>0</v>
      </c>
      <c r="CT486" s="61">
        <f t="shared" si="377"/>
        <v>0</v>
      </c>
      <c r="CV486" s="61">
        <f t="shared" si="378"/>
        <v>0</v>
      </c>
      <c r="CW486" s="61">
        <f t="shared" si="383"/>
        <v>0</v>
      </c>
      <c r="CX486" s="61"/>
      <c r="CY486" s="61">
        <f t="shared" si="368"/>
        <v>0</v>
      </c>
      <c r="CZ486" s="61">
        <f t="shared" si="391"/>
        <v>0</v>
      </c>
      <c r="DA486" s="61">
        <f t="shared" si="391"/>
        <v>0</v>
      </c>
      <c r="DB486" s="2" t="s">
        <v>85</v>
      </c>
      <c r="DC486" s="2" t="s">
        <v>86</v>
      </c>
      <c r="DD486" s="2" t="s">
        <v>142</v>
      </c>
      <c r="DE486" s="2" t="s">
        <v>181</v>
      </c>
      <c r="DF486" s="3" t="s">
        <v>86</v>
      </c>
      <c r="DG486" s="62">
        <v>42908</v>
      </c>
      <c r="EC486" s="60"/>
      <c r="ED486" s="60"/>
      <c r="EE486" s="60"/>
      <c r="EF486" s="60"/>
    </row>
    <row r="487" spans="2:140" ht="12.75" hidden="1" customHeight="1">
      <c r="B487" s="99" t="s">
        <v>949</v>
      </c>
      <c r="C487" s="22" t="s">
        <v>950</v>
      </c>
      <c r="D487" s="22" t="s">
        <v>951</v>
      </c>
      <c r="E487" s="2" t="str">
        <f>VLOOKUP($C487,[1]Detail!$C:$AK,6,0)</f>
        <v>PMT1</v>
      </c>
      <c r="F487" s="2" t="str">
        <f>VLOOKUP($C487,[1]Detail!$C:$AK,7,0)</f>
        <v>TH</v>
      </c>
      <c r="G487" s="2" t="str">
        <f>VLOOKUP($C487,[1]Detail!$C:$AK,5,0)</f>
        <v>B</v>
      </c>
      <c r="J487" s="22" t="s">
        <v>126</v>
      </c>
      <c r="K487" s="23" t="s">
        <v>953</v>
      </c>
      <c r="L487" s="22" t="s">
        <v>100</v>
      </c>
      <c r="M487" s="51" t="str">
        <f t="shared" si="344"/>
        <v>JD8B-F20899-AA</v>
      </c>
      <c r="O487" s="22">
        <v>0</v>
      </c>
      <c r="P487" s="22">
        <v>0</v>
      </c>
      <c r="Q487" s="22">
        <v>0</v>
      </c>
      <c r="R487" s="22">
        <v>0</v>
      </c>
      <c r="S487" s="22">
        <v>0</v>
      </c>
      <c r="T487" s="22">
        <v>0</v>
      </c>
      <c r="U487" s="22">
        <v>1</v>
      </c>
      <c r="V487" s="22">
        <v>1</v>
      </c>
      <c r="W487" s="64">
        <f t="shared" si="345"/>
        <v>0.1</v>
      </c>
      <c r="Y487" s="8">
        <v>-16.02</v>
      </c>
      <c r="Z487" s="8">
        <v>-0.66</v>
      </c>
      <c r="AA487" s="8">
        <v>-0.16</v>
      </c>
      <c r="AB487" s="8">
        <v>0</v>
      </c>
      <c r="AC487" s="8">
        <v>-0.16</v>
      </c>
      <c r="AD487" s="8">
        <f t="shared" si="384"/>
        <v>-17</v>
      </c>
      <c r="AE487" s="2" t="s">
        <v>91</v>
      </c>
      <c r="AG487" s="8">
        <v>-822500</v>
      </c>
      <c r="AH487" s="8">
        <v>-822500</v>
      </c>
      <c r="AI487" s="6"/>
      <c r="AJ487" s="70">
        <v>-88750</v>
      </c>
      <c r="AK487" s="70">
        <v>574899</v>
      </c>
      <c r="AL487" s="72"/>
      <c r="AM487" s="22"/>
      <c r="AO487" s="22" t="s">
        <v>126</v>
      </c>
      <c r="AP487" s="23" t="s">
        <v>953</v>
      </c>
      <c r="AQ487" s="22" t="s">
        <v>100</v>
      </c>
      <c r="AR487" s="51" t="str">
        <f t="shared" si="392"/>
        <v>JD8B-F20899-AA</v>
      </c>
      <c r="AS487" s="3"/>
      <c r="AT487" s="22">
        <v>0</v>
      </c>
      <c r="AU487" s="22">
        <v>0</v>
      </c>
      <c r="AV487" s="22">
        <v>0</v>
      </c>
      <c r="AW487" s="22">
        <v>0</v>
      </c>
      <c r="AX487" s="22">
        <v>0</v>
      </c>
      <c r="AY487" s="22">
        <v>0</v>
      </c>
      <c r="AZ487" s="22">
        <v>1</v>
      </c>
      <c r="BA487" s="22">
        <v>1</v>
      </c>
      <c r="BB487" s="116">
        <f t="shared" si="393"/>
        <v>0.1</v>
      </c>
      <c r="BD487" s="60">
        <v>-16.02</v>
      </c>
      <c r="BE487" s="60">
        <v>-0.66</v>
      </c>
      <c r="BF487" s="95">
        <v>-0.16</v>
      </c>
      <c r="BG487" s="95">
        <v>0</v>
      </c>
      <c r="BH487" s="95">
        <v>-0.16</v>
      </c>
      <c r="BI487" s="8">
        <f t="shared" si="397"/>
        <v>-17</v>
      </c>
      <c r="BJ487" s="2" t="s">
        <v>91</v>
      </c>
      <c r="BL487" s="70">
        <v>-822500</v>
      </c>
      <c r="BM487" s="70">
        <v>-822500</v>
      </c>
      <c r="BO487" s="70">
        <v>-88750</v>
      </c>
      <c r="BP487" s="70">
        <v>574899</v>
      </c>
      <c r="BQ487" s="72"/>
      <c r="BS487" s="61">
        <f t="shared" si="382"/>
        <v>0</v>
      </c>
      <c r="BT487" s="61">
        <f t="shared" ref="BT487:BT518" si="398">SUM(Z487)-SUM(BE487)</f>
        <v>0</v>
      </c>
      <c r="BU487" s="61">
        <f t="shared" ref="BU487:BU518" si="399">SUM(AA487)-SUM(BF487)</f>
        <v>0</v>
      </c>
      <c r="BV487" s="61">
        <f t="shared" ref="BV487:BW518" si="400">SUM(AB487)-SUM(BG487)</f>
        <v>0</v>
      </c>
      <c r="BW487" s="61">
        <f t="shared" si="400"/>
        <v>0</v>
      </c>
      <c r="BX487" s="61">
        <f t="shared" si="385"/>
        <v>0</v>
      </c>
      <c r="BY487" s="61" t="s">
        <v>91</v>
      </c>
      <c r="CA487" s="61">
        <f t="shared" si="390"/>
        <v>0</v>
      </c>
      <c r="CB487" s="61">
        <f t="shared" si="390"/>
        <v>0</v>
      </c>
      <c r="CC487" s="61">
        <f t="shared" si="390"/>
        <v>0</v>
      </c>
      <c r="CD487" s="61">
        <f t="shared" si="390"/>
        <v>0</v>
      </c>
      <c r="CE487" s="61">
        <f t="shared" si="390"/>
        <v>0</v>
      </c>
      <c r="CF487" s="61">
        <f t="shared" si="388"/>
        <v>0</v>
      </c>
      <c r="CG487" s="61">
        <f t="shared" si="388"/>
        <v>0</v>
      </c>
      <c r="CH487" s="61">
        <f t="shared" si="388"/>
        <v>0</v>
      </c>
      <c r="CI487" s="61">
        <f t="shared" si="375"/>
        <v>0</v>
      </c>
      <c r="CJ487" s="61"/>
      <c r="CK487" s="61">
        <f t="shared" si="386"/>
        <v>0</v>
      </c>
      <c r="CL487" s="61">
        <f t="shared" si="386"/>
        <v>0</v>
      </c>
      <c r="CM487" s="61">
        <f t="shared" si="386"/>
        <v>0</v>
      </c>
      <c r="CN487" s="61">
        <f t="shared" si="386"/>
        <v>0</v>
      </c>
      <c r="CO487" s="61">
        <f t="shared" si="386"/>
        <v>0</v>
      </c>
      <c r="CP487" s="61">
        <f t="shared" si="386"/>
        <v>0</v>
      </c>
      <c r="CQ487" s="61">
        <f t="shared" si="386"/>
        <v>0</v>
      </c>
      <c r="CR487" s="61">
        <f t="shared" si="343"/>
        <v>0</v>
      </c>
      <c r="CS487" s="61">
        <f t="shared" si="376"/>
        <v>0</v>
      </c>
      <c r="CT487" s="61">
        <f t="shared" si="377"/>
        <v>0</v>
      </c>
      <c r="CV487" s="61">
        <f t="shared" si="378"/>
        <v>0</v>
      </c>
      <c r="CW487" s="61">
        <f t="shared" si="383"/>
        <v>0</v>
      </c>
      <c r="CX487" s="61"/>
      <c r="CY487" s="61">
        <f t="shared" si="368"/>
        <v>0</v>
      </c>
      <c r="CZ487" s="61">
        <f t="shared" si="391"/>
        <v>0</v>
      </c>
      <c r="DA487" s="61">
        <f t="shared" si="391"/>
        <v>0</v>
      </c>
      <c r="DB487" s="2" t="s">
        <v>85</v>
      </c>
      <c r="DC487" s="2" t="s">
        <v>86</v>
      </c>
      <c r="DD487" s="2" t="s">
        <v>142</v>
      </c>
      <c r="DE487" s="2" t="s">
        <v>181</v>
      </c>
      <c r="DF487" s="3" t="s">
        <v>86</v>
      </c>
      <c r="DG487" s="62">
        <v>42908</v>
      </c>
      <c r="EC487" s="60"/>
      <c r="ED487" s="60"/>
      <c r="EE487" s="60"/>
      <c r="EF487" s="60"/>
    </row>
    <row r="488" spans="2:140" ht="12.75" hidden="1" customHeight="1">
      <c r="B488" s="99" t="s">
        <v>949</v>
      </c>
      <c r="C488" s="22" t="s">
        <v>950</v>
      </c>
      <c r="D488" s="22" t="s">
        <v>951</v>
      </c>
      <c r="E488" s="2" t="str">
        <f>VLOOKUP($C488,[1]Detail!$C:$AK,6,0)</f>
        <v>PMT1</v>
      </c>
      <c r="F488" s="2" t="str">
        <f>VLOOKUP($C488,[1]Detail!$C:$AK,7,0)</f>
        <v>TH</v>
      </c>
      <c r="G488" s="2" t="str">
        <f>VLOOKUP($C488,[1]Detail!$C:$AK,5,0)</f>
        <v>B</v>
      </c>
      <c r="J488" s="22" t="s">
        <v>126</v>
      </c>
      <c r="K488" s="23" t="s">
        <v>954</v>
      </c>
      <c r="L488" s="22" t="s">
        <v>100</v>
      </c>
      <c r="M488" s="51" t="str">
        <f t="shared" si="344"/>
        <v>JD8B-F254A40-AA</v>
      </c>
      <c r="O488" s="22">
        <v>0</v>
      </c>
      <c r="P488" s="22">
        <v>0</v>
      </c>
      <c r="Q488" s="22">
        <v>0</v>
      </c>
      <c r="R488" s="22">
        <v>0</v>
      </c>
      <c r="S488" s="22">
        <v>0</v>
      </c>
      <c r="T488" s="22">
        <v>0</v>
      </c>
      <c r="U488" s="22">
        <v>1</v>
      </c>
      <c r="V488" s="22">
        <v>1</v>
      </c>
      <c r="W488" s="64">
        <f t="shared" si="345"/>
        <v>0.1</v>
      </c>
      <c r="Y488" s="8">
        <v>-15.74</v>
      </c>
      <c r="Z488" s="8">
        <v>-0.66</v>
      </c>
      <c r="AA488" s="8">
        <v>-0.16</v>
      </c>
      <c r="AB488" s="8">
        <v>0</v>
      </c>
      <c r="AC488" s="8">
        <v>-0.16</v>
      </c>
      <c r="AD488" s="8">
        <f t="shared" si="384"/>
        <v>-16.72</v>
      </c>
      <c r="AE488" s="2" t="s">
        <v>91</v>
      </c>
      <c r="AG488" s="8">
        <v>-822500</v>
      </c>
      <c r="AH488" s="8">
        <v>-822500</v>
      </c>
      <c r="AI488" s="6"/>
      <c r="AJ488" s="70">
        <v>-88750</v>
      </c>
      <c r="AK488" s="70">
        <v>574899</v>
      </c>
      <c r="AL488" s="72"/>
      <c r="AM488" s="22"/>
      <c r="AO488" s="22" t="s">
        <v>126</v>
      </c>
      <c r="AP488" s="23" t="s">
        <v>954</v>
      </c>
      <c r="AQ488" s="22" t="s">
        <v>100</v>
      </c>
      <c r="AR488" s="51" t="str">
        <f t="shared" si="392"/>
        <v>JD8B-F254A40-AA</v>
      </c>
      <c r="AS488" s="3"/>
      <c r="AT488" s="22">
        <v>0</v>
      </c>
      <c r="AU488" s="22">
        <v>0</v>
      </c>
      <c r="AV488" s="22">
        <v>0</v>
      </c>
      <c r="AW488" s="22">
        <v>0</v>
      </c>
      <c r="AX488" s="22">
        <v>0</v>
      </c>
      <c r="AY488" s="22">
        <v>0</v>
      </c>
      <c r="AZ488" s="22">
        <v>1</v>
      </c>
      <c r="BA488" s="22">
        <v>1</v>
      </c>
      <c r="BB488" s="116">
        <f t="shared" si="393"/>
        <v>0.1</v>
      </c>
      <c r="BD488" s="60">
        <v>-15.74</v>
      </c>
      <c r="BE488" s="60">
        <v>-0.66</v>
      </c>
      <c r="BF488" s="95">
        <v>-0.16</v>
      </c>
      <c r="BG488" s="95">
        <v>0</v>
      </c>
      <c r="BH488" s="95">
        <v>-0.16</v>
      </c>
      <c r="BI488" s="8">
        <f t="shared" si="397"/>
        <v>-16.72</v>
      </c>
      <c r="BJ488" s="2" t="s">
        <v>91</v>
      </c>
      <c r="BL488" s="70">
        <v>-822500</v>
      </c>
      <c r="BM488" s="70">
        <v>-822500</v>
      </c>
      <c r="BO488" s="70">
        <v>-88750</v>
      </c>
      <c r="BP488" s="70">
        <v>574899</v>
      </c>
      <c r="BQ488" s="72"/>
      <c r="BS488" s="61">
        <f t="shared" ref="BS488:BS519" si="401">SUM(Y488)-SUM(BD488)</f>
        <v>0</v>
      </c>
      <c r="BT488" s="61">
        <f t="shared" si="398"/>
        <v>0</v>
      </c>
      <c r="BU488" s="61">
        <f t="shared" si="399"/>
        <v>0</v>
      </c>
      <c r="BV488" s="61">
        <f t="shared" si="400"/>
        <v>0</v>
      </c>
      <c r="BW488" s="61">
        <f t="shared" si="400"/>
        <v>0</v>
      </c>
      <c r="BX488" s="61">
        <f t="shared" si="385"/>
        <v>0</v>
      </c>
      <c r="BY488" s="61" t="s">
        <v>91</v>
      </c>
      <c r="CA488" s="61">
        <f t="shared" si="390"/>
        <v>0</v>
      </c>
      <c r="CB488" s="61">
        <f t="shared" si="390"/>
        <v>0</v>
      </c>
      <c r="CC488" s="61">
        <f t="shared" si="390"/>
        <v>0</v>
      </c>
      <c r="CD488" s="61">
        <f t="shared" si="390"/>
        <v>0</v>
      </c>
      <c r="CE488" s="61">
        <f t="shared" si="390"/>
        <v>0</v>
      </c>
      <c r="CF488" s="61">
        <f t="shared" si="388"/>
        <v>0</v>
      </c>
      <c r="CG488" s="61">
        <f t="shared" si="388"/>
        <v>0</v>
      </c>
      <c r="CH488" s="61">
        <f t="shared" si="388"/>
        <v>0</v>
      </c>
      <c r="CI488" s="61">
        <f t="shared" si="375"/>
        <v>0</v>
      </c>
      <c r="CJ488" s="61"/>
      <c r="CK488" s="61">
        <f t="shared" si="386"/>
        <v>0</v>
      </c>
      <c r="CL488" s="61">
        <f t="shared" si="386"/>
        <v>0</v>
      </c>
      <c r="CM488" s="61">
        <f t="shared" si="386"/>
        <v>0</v>
      </c>
      <c r="CN488" s="61">
        <f t="shared" si="386"/>
        <v>0</v>
      </c>
      <c r="CO488" s="61">
        <f t="shared" si="386"/>
        <v>0</v>
      </c>
      <c r="CP488" s="61">
        <f t="shared" si="386"/>
        <v>0</v>
      </c>
      <c r="CQ488" s="61">
        <f t="shared" si="386"/>
        <v>0</v>
      </c>
      <c r="CR488" s="61">
        <f t="shared" si="343"/>
        <v>0</v>
      </c>
      <c r="CS488" s="61">
        <f t="shared" si="376"/>
        <v>0</v>
      </c>
      <c r="CT488" s="61">
        <f t="shared" si="377"/>
        <v>0</v>
      </c>
      <c r="CV488" s="61">
        <f t="shared" si="378"/>
        <v>0</v>
      </c>
      <c r="CW488" s="61">
        <f t="shared" si="383"/>
        <v>0</v>
      </c>
      <c r="CX488" s="61"/>
      <c r="CY488" s="61">
        <f t="shared" si="368"/>
        <v>0</v>
      </c>
      <c r="CZ488" s="61">
        <f t="shared" si="391"/>
        <v>0</v>
      </c>
      <c r="DA488" s="61">
        <f t="shared" si="391"/>
        <v>0</v>
      </c>
      <c r="DB488" s="2" t="s">
        <v>85</v>
      </c>
      <c r="DC488" s="2" t="s">
        <v>86</v>
      </c>
      <c r="DD488" s="2" t="s">
        <v>142</v>
      </c>
      <c r="DE488" s="2" t="s">
        <v>181</v>
      </c>
      <c r="DF488" s="3" t="s">
        <v>86</v>
      </c>
      <c r="DG488" s="62">
        <v>42908</v>
      </c>
      <c r="EC488" s="60"/>
      <c r="ED488" s="60"/>
      <c r="EE488" s="60"/>
      <c r="EF488" s="60"/>
    </row>
    <row r="489" spans="2:140" ht="12.75" hidden="1" customHeight="1">
      <c r="B489" s="99" t="s">
        <v>949</v>
      </c>
      <c r="C489" s="22" t="s">
        <v>950</v>
      </c>
      <c r="D489" s="22" t="s">
        <v>951</v>
      </c>
      <c r="E489" s="2" t="str">
        <f>VLOOKUP($C489,[1]Detail!$C:$AK,6,0)</f>
        <v>PMT1</v>
      </c>
      <c r="F489" s="2" t="str">
        <f>VLOOKUP($C489,[1]Detail!$C:$AK,7,0)</f>
        <v>TH</v>
      </c>
      <c r="G489" s="2" t="str">
        <f>VLOOKUP($C489,[1]Detail!$C:$AK,5,0)</f>
        <v>B</v>
      </c>
      <c r="J489" s="22" t="s">
        <v>126</v>
      </c>
      <c r="K489" s="23" t="s">
        <v>955</v>
      </c>
      <c r="L489" s="22" t="s">
        <v>100</v>
      </c>
      <c r="M489" s="51" t="str">
        <f t="shared" si="344"/>
        <v>JD8B-F254A41-AA</v>
      </c>
      <c r="O489" s="22">
        <v>0</v>
      </c>
      <c r="P489" s="22">
        <v>0</v>
      </c>
      <c r="Q489" s="22">
        <v>0</v>
      </c>
      <c r="R489" s="22">
        <v>0</v>
      </c>
      <c r="S489" s="22">
        <v>0</v>
      </c>
      <c r="T489" s="22">
        <v>0</v>
      </c>
      <c r="U489" s="22">
        <v>1</v>
      </c>
      <c r="V489" s="22">
        <v>1</v>
      </c>
      <c r="W489" s="64">
        <f t="shared" si="345"/>
        <v>0.1</v>
      </c>
      <c r="Y489" s="8">
        <v>-15.74</v>
      </c>
      <c r="Z489" s="8">
        <v>-0.66</v>
      </c>
      <c r="AA489" s="8">
        <v>-0.16</v>
      </c>
      <c r="AB489" s="8">
        <v>0</v>
      </c>
      <c r="AC489" s="8">
        <v>-0.16</v>
      </c>
      <c r="AD489" s="8">
        <f t="shared" si="384"/>
        <v>-16.72</v>
      </c>
      <c r="AE489" s="2" t="s">
        <v>91</v>
      </c>
      <c r="AG489" s="8">
        <v>-822500</v>
      </c>
      <c r="AH489" s="8">
        <v>-822500</v>
      </c>
      <c r="AI489" s="6"/>
      <c r="AJ489" s="70">
        <v>-88750</v>
      </c>
      <c r="AK489" s="70">
        <v>574899</v>
      </c>
      <c r="AL489" s="72"/>
      <c r="AM489" s="22"/>
      <c r="AO489" s="22" t="s">
        <v>126</v>
      </c>
      <c r="AP489" s="23" t="s">
        <v>955</v>
      </c>
      <c r="AQ489" s="22" t="s">
        <v>100</v>
      </c>
      <c r="AR489" s="51" t="str">
        <f t="shared" si="392"/>
        <v>JD8B-F254A41-AA</v>
      </c>
      <c r="AS489" s="3"/>
      <c r="AT489" s="22">
        <v>0</v>
      </c>
      <c r="AU489" s="22">
        <v>0</v>
      </c>
      <c r="AV489" s="22">
        <v>0</v>
      </c>
      <c r="AW489" s="22">
        <v>0</v>
      </c>
      <c r="AX489" s="22">
        <v>0</v>
      </c>
      <c r="AY489" s="22">
        <v>0</v>
      </c>
      <c r="AZ489" s="22">
        <v>1</v>
      </c>
      <c r="BA489" s="22">
        <v>1</v>
      </c>
      <c r="BB489" s="116">
        <f t="shared" si="393"/>
        <v>0.1</v>
      </c>
      <c r="BD489" s="60">
        <v>-15.74</v>
      </c>
      <c r="BE489" s="60">
        <v>-0.66</v>
      </c>
      <c r="BF489" s="95">
        <v>-0.16</v>
      </c>
      <c r="BG489" s="95">
        <v>0</v>
      </c>
      <c r="BH489" s="95">
        <v>-0.16</v>
      </c>
      <c r="BI489" s="8">
        <f t="shared" si="397"/>
        <v>-16.72</v>
      </c>
      <c r="BJ489" s="2" t="s">
        <v>91</v>
      </c>
      <c r="BL489" s="70">
        <v>-822500</v>
      </c>
      <c r="BM489" s="70">
        <v>-822500</v>
      </c>
      <c r="BO489" s="70">
        <v>-88750</v>
      </c>
      <c r="BP489" s="70">
        <v>574899</v>
      </c>
      <c r="BQ489" s="72"/>
      <c r="BS489" s="61">
        <f t="shared" si="401"/>
        <v>0</v>
      </c>
      <c r="BT489" s="61">
        <f t="shared" si="398"/>
        <v>0</v>
      </c>
      <c r="BU489" s="61">
        <f t="shared" si="399"/>
        <v>0</v>
      </c>
      <c r="BV489" s="61">
        <f t="shared" si="400"/>
        <v>0</v>
      </c>
      <c r="BW489" s="61">
        <f t="shared" si="400"/>
        <v>0</v>
      </c>
      <c r="BX489" s="61">
        <f t="shared" si="385"/>
        <v>0</v>
      </c>
      <c r="BY489" s="61" t="s">
        <v>91</v>
      </c>
      <c r="CA489" s="61">
        <f t="shared" si="390"/>
        <v>0</v>
      </c>
      <c r="CB489" s="61">
        <f t="shared" si="390"/>
        <v>0</v>
      </c>
      <c r="CC489" s="61">
        <f t="shared" si="390"/>
        <v>0</v>
      </c>
      <c r="CD489" s="61">
        <f t="shared" si="390"/>
        <v>0</v>
      </c>
      <c r="CE489" s="61">
        <f t="shared" si="390"/>
        <v>0</v>
      </c>
      <c r="CF489" s="61">
        <f t="shared" si="388"/>
        <v>0</v>
      </c>
      <c r="CG489" s="61">
        <f t="shared" si="388"/>
        <v>0</v>
      </c>
      <c r="CH489" s="61">
        <f t="shared" si="388"/>
        <v>0</v>
      </c>
      <c r="CI489" s="61">
        <f t="shared" si="375"/>
        <v>0</v>
      </c>
      <c r="CJ489" s="61"/>
      <c r="CK489" s="61">
        <f t="shared" si="386"/>
        <v>0</v>
      </c>
      <c r="CL489" s="61">
        <f t="shared" si="386"/>
        <v>0</v>
      </c>
      <c r="CM489" s="61">
        <f t="shared" si="386"/>
        <v>0</v>
      </c>
      <c r="CN489" s="61">
        <f t="shared" si="386"/>
        <v>0</v>
      </c>
      <c r="CO489" s="61">
        <f t="shared" si="386"/>
        <v>0</v>
      </c>
      <c r="CP489" s="61">
        <f t="shared" si="386"/>
        <v>0</v>
      </c>
      <c r="CQ489" s="61">
        <f t="shared" si="386"/>
        <v>0</v>
      </c>
      <c r="CR489" s="61">
        <f t="shared" si="343"/>
        <v>0</v>
      </c>
      <c r="CS489" s="61">
        <f t="shared" si="376"/>
        <v>0</v>
      </c>
      <c r="CT489" s="61">
        <f t="shared" si="377"/>
        <v>0</v>
      </c>
      <c r="CV489" s="61">
        <f t="shared" si="378"/>
        <v>0</v>
      </c>
      <c r="CW489" s="61">
        <f t="shared" si="383"/>
        <v>0</v>
      </c>
      <c r="CX489" s="61"/>
      <c r="CY489" s="61">
        <f t="shared" si="368"/>
        <v>0</v>
      </c>
      <c r="CZ489" s="61">
        <f t="shared" si="391"/>
        <v>0</v>
      </c>
      <c r="DA489" s="61">
        <f t="shared" si="391"/>
        <v>0</v>
      </c>
      <c r="DB489" s="2" t="s">
        <v>85</v>
      </c>
      <c r="DC489" s="2" t="s">
        <v>86</v>
      </c>
      <c r="DD489" s="2" t="s">
        <v>142</v>
      </c>
      <c r="DE489" s="2" t="s">
        <v>181</v>
      </c>
      <c r="DF489" s="3" t="s">
        <v>86</v>
      </c>
      <c r="DG489" s="62">
        <v>42908</v>
      </c>
      <c r="EC489" s="60"/>
      <c r="ED489" s="60"/>
      <c r="EE489" s="60"/>
      <c r="EF489" s="60"/>
    </row>
    <row r="490" spans="2:140" ht="12.75" hidden="1" customHeight="1">
      <c r="B490" s="99" t="s">
        <v>949</v>
      </c>
      <c r="C490" s="22" t="s">
        <v>950</v>
      </c>
      <c r="D490" s="22" t="s">
        <v>951</v>
      </c>
      <c r="E490" s="2" t="str">
        <f>VLOOKUP($C490,[1]Detail!$C:$AK,6,0)</f>
        <v>PMT1</v>
      </c>
      <c r="F490" s="2" t="str">
        <f>VLOOKUP($C490,[1]Detail!$C:$AK,7,0)</f>
        <v>TH</v>
      </c>
      <c r="G490" s="2" t="str">
        <f>VLOOKUP($C490,[1]Detail!$C:$AK,5,0)</f>
        <v>B</v>
      </c>
      <c r="J490" s="22" t="s">
        <v>126</v>
      </c>
      <c r="K490" s="23" t="s">
        <v>956</v>
      </c>
      <c r="L490" s="22" t="s">
        <v>100</v>
      </c>
      <c r="M490" s="51" t="str">
        <f t="shared" si="344"/>
        <v>JD8B-F254A42-AA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1</v>
      </c>
      <c r="V490" s="22">
        <v>1</v>
      </c>
      <c r="W490" s="64">
        <f t="shared" si="345"/>
        <v>0.1</v>
      </c>
      <c r="Y490" s="8">
        <v>-14.24</v>
      </c>
      <c r="Z490" s="8">
        <v>-0.91</v>
      </c>
      <c r="AA490" s="8">
        <v>-0.16</v>
      </c>
      <c r="AB490" s="8">
        <v>0</v>
      </c>
      <c r="AC490" s="8">
        <v>-0.16</v>
      </c>
      <c r="AD490" s="8">
        <f t="shared" si="384"/>
        <v>-15.47</v>
      </c>
      <c r="AE490" s="2" t="s">
        <v>91</v>
      </c>
      <c r="AG490" s="8">
        <v>-815000</v>
      </c>
      <c r="AH490" s="8">
        <v>-815000</v>
      </c>
      <c r="AI490" s="6"/>
      <c r="AJ490" s="70">
        <v>-88750</v>
      </c>
      <c r="AK490" s="70">
        <v>574899</v>
      </c>
      <c r="AL490" s="72"/>
      <c r="AM490" s="22"/>
      <c r="AO490" s="22" t="s">
        <v>126</v>
      </c>
      <c r="AP490" s="23" t="s">
        <v>956</v>
      </c>
      <c r="AQ490" s="22" t="s">
        <v>100</v>
      </c>
      <c r="AR490" s="51" t="str">
        <f t="shared" si="392"/>
        <v>JD8B-F254A42-AA</v>
      </c>
      <c r="AS490" s="3"/>
      <c r="AT490" s="22">
        <v>0</v>
      </c>
      <c r="AU490" s="22">
        <v>0</v>
      </c>
      <c r="AV490" s="22">
        <v>0</v>
      </c>
      <c r="AW490" s="22">
        <v>0</v>
      </c>
      <c r="AX490" s="22">
        <v>0</v>
      </c>
      <c r="AY490" s="22">
        <v>0</v>
      </c>
      <c r="AZ490" s="22">
        <v>1</v>
      </c>
      <c r="BA490" s="22">
        <v>1</v>
      </c>
      <c r="BB490" s="116">
        <f t="shared" si="393"/>
        <v>0.1</v>
      </c>
      <c r="BD490" s="60">
        <v>-14.24</v>
      </c>
      <c r="BE490" s="60">
        <v>-0.91</v>
      </c>
      <c r="BF490" s="95">
        <v>-0.16</v>
      </c>
      <c r="BG490" s="95">
        <v>0</v>
      </c>
      <c r="BH490" s="95">
        <v>-0.16</v>
      </c>
      <c r="BI490" s="8">
        <f t="shared" si="397"/>
        <v>-15.47</v>
      </c>
      <c r="BJ490" s="2" t="s">
        <v>91</v>
      </c>
      <c r="BL490" s="70">
        <v>-815000</v>
      </c>
      <c r="BM490" s="70">
        <v>-815000</v>
      </c>
      <c r="BO490" s="70">
        <v>-88750</v>
      </c>
      <c r="BP490" s="70">
        <v>574899</v>
      </c>
      <c r="BQ490" s="72"/>
      <c r="BS490" s="61">
        <f t="shared" si="401"/>
        <v>0</v>
      </c>
      <c r="BT490" s="61">
        <f t="shared" si="398"/>
        <v>0</v>
      </c>
      <c r="BU490" s="61">
        <f t="shared" si="399"/>
        <v>0</v>
      </c>
      <c r="BV490" s="61">
        <f t="shared" si="400"/>
        <v>0</v>
      </c>
      <c r="BW490" s="61">
        <f t="shared" si="400"/>
        <v>0</v>
      </c>
      <c r="BX490" s="61">
        <f t="shared" si="385"/>
        <v>0</v>
      </c>
      <c r="BY490" s="61" t="s">
        <v>91</v>
      </c>
      <c r="CA490" s="61">
        <f t="shared" si="390"/>
        <v>0</v>
      </c>
      <c r="CB490" s="61">
        <f t="shared" si="390"/>
        <v>0</v>
      </c>
      <c r="CC490" s="61">
        <f t="shared" si="390"/>
        <v>0</v>
      </c>
      <c r="CD490" s="61">
        <f t="shared" si="390"/>
        <v>0</v>
      </c>
      <c r="CE490" s="61">
        <f t="shared" si="390"/>
        <v>0</v>
      </c>
      <c r="CF490" s="61">
        <f t="shared" si="388"/>
        <v>0</v>
      </c>
      <c r="CG490" s="61">
        <f t="shared" si="388"/>
        <v>0</v>
      </c>
      <c r="CH490" s="61">
        <f t="shared" si="388"/>
        <v>0</v>
      </c>
      <c r="CI490" s="61">
        <f t="shared" si="375"/>
        <v>0</v>
      </c>
      <c r="CJ490" s="61"/>
      <c r="CK490" s="61">
        <f t="shared" si="386"/>
        <v>0</v>
      </c>
      <c r="CL490" s="61">
        <f t="shared" si="386"/>
        <v>0</v>
      </c>
      <c r="CM490" s="61">
        <f t="shared" si="386"/>
        <v>0</v>
      </c>
      <c r="CN490" s="61">
        <f t="shared" si="386"/>
        <v>0</v>
      </c>
      <c r="CO490" s="61">
        <f t="shared" si="386"/>
        <v>0</v>
      </c>
      <c r="CP490" s="61">
        <f t="shared" si="386"/>
        <v>0</v>
      </c>
      <c r="CQ490" s="61">
        <f t="shared" si="386"/>
        <v>0</v>
      </c>
      <c r="CR490" s="61">
        <f t="shared" si="386"/>
        <v>0</v>
      </c>
      <c r="CS490" s="61">
        <f t="shared" si="376"/>
        <v>0</v>
      </c>
      <c r="CT490" s="61">
        <f t="shared" si="377"/>
        <v>0</v>
      </c>
      <c r="CV490" s="61">
        <f t="shared" si="378"/>
        <v>0</v>
      </c>
      <c r="CW490" s="61">
        <f t="shared" si="383"/>
        <v>0</v>
      </c>
      <c r="CX490" s="61"/>
      <c r="CY490" s="61">
        <f t="shared" si="368"/>
        <v>0</v>
      </c>
      <c r="CZ490" s="61">
        <f t="shared" si="391"/>
        <v>0</v>
      </c>
      <c r="DA490" s="61">
        <f t="shared" si="391"/>
        <v>0</v>
      </c>
      <c r="DB490" s="2" t="s">
        <v>85</v>
      </c>
      <c r="DC490" s="2" t="s">
        <v>86</v>
      </c>
      <c r="DD490" s="2" t="s">
        <v>142</v>
      </c>
      <c r="DE490" s="2" t="s">
        <v>181</v>
      </c>
      <c r="DF490" s="3" t="s">
        <v>86</v>
      </c>
      <c r="DG490" s="62">
        <v>42908</v>
      </c>
      <c r="EC490" s="60"/>
      <c r="ED490" s="60"/>
      <c r="EE490" s="60"/>
      <c r="EF490" s="60"/>
    </row>
    <row r="491" spans="2:140" ht="12.75" hidden="1" customHeight="1">
      <c r="B491" s="99" t="s">
        <v>949</v>
      </c>
      <c r="C491" s="22" t="s">
        <v>950</v>
      </c>
      <c r="D491" s="22" t="s">
        <v>951</v>
      </c>
      <c r="E491" s="2" t="str">
        <f>VLOOKUP($C491,[1]Detail!$C:$AK,6,0)</f>
        <v>PMT1</v>
      </c>
      <c r="F491" s="2" t="str">
        <f>VLOOKUP($C491,[1]Detail!$C:$AK,7,0)</f>
        <v>TH</v>
      </c>
      <c r="G491" s="2" t="str">
        <f>VLOOKUP($C491,[1]Detail!$C:$AK,5,0)</f>
        <v>B</v>
      </c>
      <c r="J491" s="22" t="s">
        <v>126</v>
      </c>
      <c r="K491" s="23" t="s">
        <v>957</v>
      </c>
      <c r="L491" s="22" t="s">
        <v>100</v>
      </c>
      <c r="M491" s="51" t="str">
        <f t="shared" ref="M491:M554" si="402">TRIM(J491)&amp;"-"&amp;TRIM(K491)&amp;"-"&amp;TRIM(L491)</f>
        <v>JD8B-F254A43-AA</v>
      </c>
      <c r="O491" s="22">
        <v>0</v>
      </c>
      <c r="P491" s="22">
        <v>0</v>
      </c>
      <c r="Q491" s="22">
        <v>0</v>
      </c>
      <c r="R491" s="22">
        <v>0</v>
      </c>
      <c r="S491" s="22">
        <v>0</v>
      </c>
      <c r="T491" s="22">
        <v>0</v>
      </c>
      <c r="U491" s="22">
        <v>1</v>
      </c>
      <c r="V491" s="22">
        <v>1</v>
      </c>
      <c r="W491" s="64">
        <f t="shared" ref="W491:W540" si="403">SUMPRODUCT(O491:V491,$O$6:$V$6)</f>
        <v>0.1</v>
      </c>
      <c r="Y491" s="8">
        <v>-14.24</v>
      </c>
      <c r="Z491" s="8">
        <v>-0.91</v>
      </c>
      <c r="AA491" s="8">
        <v>-0.16</v>
      </c>
      <c r="AB491" s="8">
        <v>0</v>
      </c>
      <c r="AC491" s="8">
        <v>-0.16</v>
      </c>
      <c r="AD491" s="8">
        <f t="shared" ref="AD491:AD522" si="404">SUM(Y491:AC491)</f>
        <v>-15.47</v>
      </c>
      <c r="AE491" s="2" t="s">
        <v>91</v>
      </c>
      <c r="AG491" s="8">
        <v>-815000</v>
      </c>
      <c r="AH491" s="8">
        <v>-815000</v>
      </c>
      <c r="AI491" s="6"/>
      <c r="AJ491" s="70">
        <v>-88750</v>
      </c>
      <c r="AK491" s="70">
        <v>574899</v>
      </c>
      <c r="AL491" s="72"/>
      <c r="AM491" s="22"/>
      <c r="AO491" s="22" t="s">
        <v>126</v>
      </c>
      <c r="AP491" s="23" t="s">
        <v>957</v>
      </c>
      <c r="AQ491" s="22" t="s">
        <v>100</v>
      </c>
      <c r="AR491" s="51" t="str">
        <f t="shared" si="392"/>
        <v>JD8B-F254A43-AA</v>
      </c>
      <c r="AS491" s="3"/>
      <c r="AT491" s="22">
        <v>0</v>
      </c>
      <c r="AU491" s="22">
        <v>0</v>
      </c>
      <c r="AV491" s="22">
        <v>0</v>
      </c>
      <c r="AW491" s="22">
        <v>0</v>
      </c>
      <c r="AX491" s="22">
        <v>0</v>
      </c>
      <c r="AY491" s="22">
        <v>0</v>
      </c>
      <c r="AZ491" s="22">
        <v>1</v>
      </c>
      <c r="BA491" s="22">
        <v>1</v>
      </c>
      <c r="BB491" s="116">
        <f t="shared" si="393"/>
        <v>0.1</v>
      </c>
      <c r="BD491" s="60">
        <v>-14.24</v>
      </c>
      <c r="BE491" s="60">
        <v>-0.91</v>
      </c>
      <c r="BF491" s="95">
        <v>-0.16</v>
      </c>
      <c r="BG491" s="95">
        <v>0</v>
      </c>
      <c r="BH491" s="95">
        <v>-0.16</v>
      </c>
      <c r="BI491" s="8">
        <f t="shared" si="397"/>
        <v>-15.47</v>
      </c>
      <c r="BJ491" s="2" t="s">
        <v>91</v>
      </c>
      <c r="BL491" s="70">
        <v>-815000</v>
      </c>
      <c r="BM491" s="70">
        <v>-815000</v>
      </c>
      <c r="BO491" s="70">
        <v>-88750</v>
      </c>
      <c r="BP491" s="70">
        <v>574899</v>
      </c>
      <c r="BQ491" s="72"/>
      <c r="BS491" s="61">
        <f t="shared" si="401"/>
        <v>0</v>
      </c>
      <c r="BT491" s="61">
        <f t="shared" si="398"/>
        <v>0</v>
      </c>
      <c r="BU491" s="61">
        <f t="shared" si="399"/>
        <v>0</v>
      </c>
      <c r="BV491" s="61">
        <f t="shared" si="400"/>
        <v>0</v>
      </c>
      <c r="BW491" s="61">
        <f t="shared" si="400"/>
        <v>0</v>
      </c>
      <c r="BX491" s="61">
        <f t="shared" ref="BX491:BX522" si="405">SUM(AD491)-SUM(BI491)</f>
        <v>0</v>
      </c>
      <c r="BY491" s="61" t="s">
        <v>91</v>
      </c>
      <c r="CA491" s="61">
        <f t="shared" si="390"/>
        <v>0</v>
      </c>
      <c r="CB491" s="61">
        <f t="shared" si="390"/>
        <v>0</v>
      </c>
      <c r="CC491" s="61">
        <f t="shared" si="390"/>
        <v>0</v>
      </c>
      <c r="CD491" s="61">
        <f t="shared" si="390"/>
        <v>0</v>
      </c>
      <c r="CE491" s="61">
        <f t="shared" si="390"/>
        <v>0</v>
      </c>
      <c r="CF491" s="61">
        <f t="shared" si="388"/>
        <v>0</v>
      </c>
      <c r="CG491" s="61">
        <f t="shared" si="388"/>
        <v>0</v>
      </c>
      <c r="CH491" s="61">
        <f t="shared" si="388"/>
        <v>0</v>
      </c>
      <c r="CI491" s="61">
        <f t="shared" si="375"/>
        <v>0</v>
      </c>
      <c r="CJ491" s="61"/>
      <c r="CK491" s="61">
        <f t="shared" ref="CK491:CR522" si="406">(O491*$AD491-AT491*$BI491)/$C$2</f>
        <v>0</v>
      </c>
      <c r="CL491" s="61">
        <f t="shared" si="406"/>
        <v>0</v>
      </c>
      <c r="CM491" s="61">
        <f t="shared" si="406"/>
        <v>0</v>
      </c>
      <c r="CN491" s="61">
        <f t="shared" si="406"/>
        <v>0</v>
      </c>
      <c r="CO491" s="61">
        <f t="shared" si="406"/>
        <v>0</v>
      </c>
      <c r="CP491" s="61">
        <f t="shared" si="406"/>
        <v>0</v>
      </c>
      <c r="CQ491" s="61">
        <f t="shared" si="406"/>
        <v>0</v>
      </c>
      <c r="CR491" s="61">
        <f t="shared" si="406"/>
        <v>0</v>
      </c>
      <c r="CS491" s="61">
        <f t="shared" si="376"/>
        <v>0</v>
      </c>
      <c r="CT491" s="61">
        <f t="shared" si="377"/>
        <v>0</v>
      </c>
      <c r="CV491" s="61">
        <f t="shared" si="378"/>
        <v>0</v>
      </c>
      <c r="CW491" s="61">
        <f t="shared" si="383"/>
        <v>0</v>
      </c>
      <c r="CX491" s="61"/>
      <c r="CY491" s="61">
        <f t="shared" si="368"/>
        <v>0</v>
      </c>
      <c r="CZ491" s="61">
        <f t="shared" si="391"/>
        <v>0</v>
      </c>
      <c r="DA491" s="61">
        <f t="shared" si="391"/>
        <v>0</v>
      </c>
      <c r="DB491" s="2" t="s">
        <v>85</v>
      </c>
      <c r="DC491" s="2" t="s">
        <v>86</v>
      </c>
      <c r="DD491" s="2" t="s">
        <v>142</v>
      </c>
      <c r="DE491" s="2" t="s">
        <v>181</v>
      </c>
      <c r="DF491" s="3" t="s">
        <v>86</v>
      </c>
      <c r="DG491" s="62">
        <v>42908</v>
      </c>
      <c r="EC491" s="60"/>
      <c r="ED491" s="60"/>
      <c r="EE491" s="60"/>
      <c r="EF491" s="60"/>
    </row>
    <row r="492" spans="2:140" ht="12.75" hidden="1" customHeight="1">
      <c r="B492" s="99" t="s">
        <v>958</v>
      </c>
      <c r="C492" s="22" t="s">
        <v>959</v>
      </c>
      <c r="D492" s="22" t="s">
        <v>960</v>
      </c>
      <c r="E492" s="2" t="str">
        <f>VLOOKUP($C492,[1]Detail!$C:$AK,6,0)</f>
        <v>PMT1</v>
      </c>
      <c r="F492" s="2" t="str">
        <f>VLOOKUP($C492,[1]Detail!$C:$AK,7,0)</f>
        <v>TH</v>
      </c>
      <c r="G492" s="2" t="str">
        <f>VLOOKUP($C492,[1]Detail!$C:$AK,5,0)</f>
        <v>D</v>
      </c>
      <c r="J492" s="22" t="s">
        <v>126</v>
      </c>
      <c r="K492" s="23" t="s">
        <v>961</v>
      </c>
      <c r="L492" s="22" t="s">
        <v>100</v>
      </c>
      <c r="M492" s="51" t="str">
        <f t="shared" si="402"/>
        <v>JD8B-F20848-AA</v>
      </c>
      <c r="O492" s="22">
        <v>1</v>
      </c>
      <c r="P492" s="22">
        <v>1</v>
      </c>
      <c r="Q492" s="22">
        <v>1</v>
      </c>
      <c r="R492" s="22">
        <v>1</v>
      </c>
      <c r="S492" s="22">
        <v>1</v>
      </c>
      <c r="T492" s="22">
        <v>1</v>
      </c>
      <c r="U492" s="22">
        <v>1</v>
      </c>
      <c r="V492" s="22">
        <v>1</v>
      </c>
      <c r="W492" s="64">
        <f t="shared" si="403"/>
        <v>1</v>
      </c>
      <c r="Y492" s="8">
        <v>-39.659999999999997</v>
      </c>
      <c r="Z492" s="8">
        <v>-1.51</v>
      </c>
      <c r="AA492" s="8">
        <v>-0.9</v>
      </c>
      <c r="AB492" s="8">
        <v>0</v>
      </c>
      <c r="AC492" s="8">
        <v>0</v>
      </c>
      <c r="AD492" s="8">
        <f t="shared" si="404"/>
        <v>-42.069999999999993</v>
      </c>
      <c r="AE492" s="2" t="s">
        <v>91</v>
      </c>
      <c r="AG492" s="8">
        <v>-344000</v>
      </c>
      <c r="AH492" s="8">
        <v>-344000</v>
      </c>
      <c r="AI492" s="6"/>
      <c r="AJ492" s="70">
        <v>0</v>
      </c>
      <c r="AK492" s="70">
        <v>0</v>
      </c>
      <c r="AL492" s="72">
        <v>0</v>
      </c>
      <c r="AM492" s="22"/>
      <c r="AO492" s="22" t="s">
        <v>126</v>
      </c>
      <c r="AP492" s="23" t="s">
        <v>961</v>
      </c>
      <c r="AQ492" s="22" t="s">
        <v>100</v>
      </c>
      <c r="AR492" s="51" t="str">
        <f t="shared" si="392"/>
        <v>JD8B-F20848-AA</v>
      </c>
      <c r="AS492" s="3"/>
      <c r="AT492" s="22">
        <v>1</v>
      </c>
      <c r="AU492" s="22">
        <v>1</v>
      </c>
      <c r="AV492" s="22">
        <v>1</v>
      </c>
      <c r="AW492" s="22">
        <v>1</v>
      </c>
      <c r="AX492" s="22">
        <v>1</v>
      </c>
      <c r="AY492" s="22">
        <v>1</v>
      </c>
      <c r="AZ492" s="22">
        <v>1</v>
      </c>
      <c r="BA492" s="22">
        <v>1</v>
      </c>
      <c r="BB492" s="116">
        <f t="shared" si="393"/>
        <v>1</v>
      </c>
      <c r="BD492" s="60">
        <v>-39.659999999999997</v>
      </c>
      <c r="BE492" s="60">
        <v>-1.51</v>
      </c>
      <c r="BF492" s="95">
        <v>-0.9</v>
      </c>
      <c r="BG492" s="95">
        <v>0</v>
      </c>
      <c r="BH492" s="95">
        <v>0</v>
      </c>
      <c r="BI492" s="8">
        <f t="shared" si="397"/>
        <v>-42.069999999999993</v>
      </c>
      <c r="BJ492" s="2" t="s">
        <v>91</v>
      </c>
      <c r="BL492" s="70">
        <v>-344000</v>
      </c>
      <c r="BM492" s="70">
        <v>-344000</v>
      </c>
      <c r="BO492" s="70">
        <v>0</v>
      </c>
      <c r="BP492" s="70">
        <v>0</v>
      </c>
      <c r="BQ492" s="72">
        <v>0</v>
      </c>
      <c r="BS492" s="61">
        <f t="shared" si="401"/>
        <v>0</v>
      </c>
      <c r="BT492" s="61">
        <f t="shared" si="398"/>
        <v>0</v>
      </c>
      <c r="BU492" s="61">
        <f t="shared" si="399"/>
        <v>0</v>
      </c>
      <c r="BV492" s="61">
        <f t="shared" si="400"/>
        <v>0</v>
      </c>
      <c r="BW492" s="61">
        <f t="shared" si="400"/>
        <v>0</v>
      </c>
      <c r="BX492" s="61">
        <f t="shared" si="405"/>
        <v>0</v>
      </c>
      <c r="BY492" s="61" t="s">
        <v>91</v>
      </c>
      <c r="CA492" s="61">
        <f t="shared" si="390"/>
        <v>0</v>
      </c>
      <c r="CB492" s="61">
        <f t="shared" si="390"/>
        <v>0</v>
      </c>
      <c r="CC492" s="61">
        <f t="shared" si="390"/>
        <v>0</v>
      </c>
      <c r="CD492" s="61">
        <f t="shared" si="390"/>
        <v>0</v>
      </c>
      <c r="CE492" s="61">
        <f t="shared" si="390"/>
        <v>0</v>
      </c>
      <c r="CF492" s="61">
        <f t="shared" si="388"/>
        <v>0</v>
      </c>
      <c r="CG492" s="61">
        <f t="shared" si="388"/>
        <v>0</v>
      </c>
      <c r="CH492" s="61">
        <f t="shared" si="388"/>
        <v>0</v>
      </c>
      <c r="CI492" s="61">
        <f t="shared" si="375"/>
        <v>0</v>
      </c>
      <c r="CJ492" s="61"/>
      <c r="CK492" s="61">
        <f t="shared" si="406"/>
        <v>0</v>
      </c>
      <c r="CL492" s="61">
        <f t="shared" si="406"/>
        <v>0</v>
      </c>
      <c r="CM492" s="61">
        <f t="shared" si="406"/>
        <v>0</v>
      </c>
      <c r="CN492" s="61">
        <f t="shared" si="406"/>
        <v>0</v>
      </c>
      <c r="CO492" s="61">
        <f t="shared" si="406"/>
        <v>0</v>
      </c>
      <c r="CP492" s="61">
        <f t="shared" si="406"/>
        <v>0</v>
      </c>
      <c r="CQ492" s="61">
        <f t="shared" si="406"/>
        <v>0</v>
      </c>
      <c r="CR492" s="61">
        <f t="shared" si="406"/>
        <v>0</v>
      </c>
      <c r="CS492" s="61">
        <f t="shared" si="376"/>
        <v>0</v>
      </c>
      <c r="CT492" s="61">
        <f t="shared" si="377"/>
        <v>0</v>
      </c>
      <c r="CV492" s="61">
        <f t="shared" si="378"/>
        <v>0</v>
      </c>
      <c r="CW492" s="61">
        <f t="shared" si="383"/>
        <v>0</v>
      </c>
      <c r="CX492" s="61"/>
      <c r="CY492" s="61">
        <f t="shared" si="368"/>
        <v>0</v>
      </c>
      <c r="CZ492" s="61">
        <f t="shared" si="391"/>
        <v>0</v>
      </c>
      <c r="DA492" s="61">
        <f t="shared" si="391"/>
        <v>0</v>
      </c>
      <c r="DB492" s="2" t="s">
        <v>86</v>
      </c>
      <c r="DC492" s="2" t="s">
        <v>86</v>
      </c>
      <c r="DD492" s="2" t="s">
        <v>142</v>
      </c>
      <c r="DE492" s="2" t="s">
        <v>181</v>
      </c>
      <c r="DG492" s="62"/>
      <c r="DZ492" s="3" t="e">
        <v>#N/A</v>
      </c>
      <c r="EC492" s="60" t="str">
        <f>VLOOKUP($M492,[1]Detail!$M:$BO,1,0)</f>
        <v>JD8B-F20848-AA</v>
      </c>
      <c r="ED492" s="60">
        <f>VLOOKUP($M492,[1]Detail!$M:$BO,22,0)</f>
        <v>-40.109999999999992</v>
      </c>
      <c r="EE492" s="60">
        <f>VLOOKUP($M492,[1]Detail!$M:$BO,42,0)</f>
        <v>-344000</v>
      </c>
      <c r="EF492" s="60">
        <f>VLOOKUP($M492,[1]Detail!$M:$BO,45,0)</f>
        <v>0</v>
      </c>
      <c r="EH492" s="60">
        <f>ED492-AD492</f>
        <v>1.9600000000000009</v>
      </c>
      <c r="EI492" s="60">
        <f>EE492-AG492</f>
        <v>0</v>
      </c>
      <c r="EJ492" s="60">
        <f t="shared" ref="EJ492:EJ495" si="407">EF492-AJ492</f>
        <v>0</v>
      </c>
    </row>
    <row r="493" spans="2:140" ht="12.75" hidden="1" customHeight="1">
      <c r="B493" s="99" t="s">
        <v>958</v>
      </c>
      <c r="C493" s="22" t="s">
        <v>959</v>
      </c>
      <c r="D493" s="22" t="s">
        <v>960</v>
      </c>
      <c r="E493" s="2" t="str">
        <f>VLOOKUP($C493,[1]Detail!$C:$AK,6,0)</f>
        <v>PMT1</v>
      </c>
      <c r="F493" s="2" t="str">
        <f>VLOOKUP($C493,[1]Detail!$C:$AK,7,0)</f>
        <v>TH</v>
      </c>
      <c r="G493" s="2" t="str">
        <f>VLOOKUP($C493,[1]Detail!$C:$AK,5,0)</f>
        <v>D</v>
      </c>
      <c r="J493" s="22" t="s">
        <v>126</v>
      </c>
      <c r="K493" s="23" t="s">
        <v>962</v>
      </c>
      <c r="L493" s="22" t="s">
        <v>100</v>
      </c>
      <c r="M493" s="51" t="str">
        <f t="shared" si="402"/>
        <v>JD8B-F20849-AA</v>
      </c>
      <c r="O493" s="22">
        <v>1</v>
      </c>
      <c r="P493" s="22">
        <v>1</v>
      </c>
      <c r="Q493" s="22">
        <v>1</v>
      </c>
      <c r="R493" s="22">
        <v>1</v>
      </c>
      <c r="S493" s="22">
        <v>1</v>
      </c>
      <c r="T493" s="22">
        <v>1</v>
      </c>
      <c r="U493" s="22">
        <v>1</v>
      </c>
      <c r="V493" s="22">
        <v>1</v>
      </c>
      <c r="W493" s="64">
        <f t="shared" si="403"/>
        <v>1</v>
      </c>
      <c r="Y493" s="8">
        <v>-39.659999999999997</v>
      </c>
      <c r="Z493" s="8">
        <v>-1.51</v>
      </c>
      <c r="AA493" s="8">
        <v>-0.9</v>
      </c>
      <c r="AB493" s="8">
        <v>0</v>
      </c>
      <c r="AC493" s="8">
        <v>0</v>
      </c>
      <c r="AD493" s="8">
        <f t="shared" si="404"/>
        <v>-42.069999999999993</v>
      </c>
      <c r="AE493" s="2" t="s">
        <v>91</v>
      </c>
      <c r="AG493" s="8">
        <v>-344000</v>
      </c>
      <c r="AH493" s="8">
        <v>-344000</v>
      </c>
      <c r="AI493" s="6"/>
      <c r="AJ493" s="70">
        <v>0</v>
      </c>
      <c r="AK493" s="70">
        <v>0</v>
      </c>
      <c r="AL493" s="72">
        <v>0</v>
      </c>
      <c r="AM493" s="22"/>
      <c r="AO493" s="22" t="s">
        <v>126</v>
      </c>
      <c r="AP493" s="23" t="s">
        <v>962</v>
      </c>
      <c r="AQ493" s="22" t="s">
        <v>100</v>
      </c>
      <c r="AR493" s="51" t="str">
        <f t="shared" si="392"/>
        <v>JD8B-F20849-AA</v>
      </c>
      <c r="AS493" s="3"/>
      <c r="AT493" s="22">
        <v>1</v>
      </c>
      <c r="AU493" s="22">
        <v>1</v>
      </c>
      <c r="AV493" s="22">
        <v>1</v>
      </c>
      <c r="AW493" s="22">
        <v>1</v>
      </c>
      <c r="AX493" s="22">
        <v>1</v>
      </c>
      <c r="AY493" s="22">
        <v>1</v>
      </c>
      <c r="AZ493" s="22">
        <v>1</v>
      </c>
      <c r="BA493" s="22">
        <v>1</v>
      </c>
      <c r="BB493" s="116">
        <f t="shared" si="393"/>
        <v>1</v>
      </c>
      <c r="BD493" s="60">
        <v>-39.659999999999997</v>
      </c>
      <c r="BE493" s="60">
        <v>-1.51</v>
      </c>
      <c r="BF493" s="95">
        <v>-0.9</v>
      </c>
      <c r="BG493" s="95">
        <v>0</v>
      </c>
      <c r="BH493" s="95">
        <v>0</v>
      </c>
      <c r="BI493" s="8">
        <f t="shared" si="397"/>
        <v>-42.069999999999993</v>
      </c>
      <c r="BJ493" s="2" t="s">
        <v>91</v>
      </c>
      <c r="BL493" s="70">
        <v>-344000</v>
      </c>
      <c r="BM493" s="70">
        <v>-344000</v>
      </c>
      <c r="BO493" s="70">
        <v>0</v>
      </c>
      <c r="BP493" s="70">
        <v>0</v>
      </c>
      <c r="BQ493" s="72">
        <v>0</v>
      </c>
      <c r="BS493" s="61">
        <f t="shared" si="401"/>
        <v>0</v>
      </c>
      <c r="BT493" s="61">
        <f t="shared" si="398"/>
        <v>0</v>
      </c>
      <c r="BU493" s="61">
        <f t="shared" si="399"/>
        <v>0</v>
      </c>
      <c r="BV493" s="61">
        <f t="shared" si="400"/>
        <v>0</v>
      </c>
      <c r="BW493" s="61">
        <f t="shared" si="400"/>
        <v>0</v>
      </c>
      <c r="BX493" s="61">
        <f t="shared" si="405"/>
        <v>0</v>
      </c>
      <c r="BY493" s="61" t="s">
        <v>91</v>
      </c>
      <c r="CA493" s="61">
        <f t="shared" si="390"/>
        <v>0</v>
      </c>
      <c r="CB493" s="61">
        <f t="shared" si="390"/>
        <v>0</v>
      </c>
      <c r="CC493" s="61">
        <f t="shared" si="390"/>
        <v>0</v>
      </c>
      <c r="CD493" s="61">
        <f t="shared" si="390"/>
        <v>0</v>
      </c>
      <c r="CE493" s="61">
        <f t="shared" si="390"/>
        <v>0</v>
      </c>
      <c r="CF493" s="61">
        <f t="shared" si="388"/>
        <v>0</v>
      </c>
      <c r="CG493" s="61">
        <f t="shared" si="388"/>
        <v>0</v>
      </c>
      <c r="CH493" s="61">
        <f t="shared" si="388"/>
        <v>0</v>
      </c>
      <c r="CI493" s="61">
        <f t="shared" si="375"/>
        <v>0</v>
      </c>
      <c r="CJ493" s="61"/>
      <c r="CK493" s="61">
        <f t="shared" si="406"/>
        <v>0</v>
      </c>
      <c r="CL493" s="61">
        <f t="shared" si="406"/>
        <v>0</v>
      </c>
      <c r="CM493" s="61">
        <f t="shared" si="406"/>
        <v>0</v>
      </c>
      <c r="CN493" s="61">
        <f t="shared" si="406"/>
        <v>0</v>
      </c>
      <c r="CO493" s="61">
        <f t="shared" si="406"/>
        <v>0</v>
      </c>
      <c r="CP493" s="61">
        <f t="shared" si="406"/>
        <v>0</v>
      </c>
      <c r="CQ493" s="61">
        <f t="shared" si="406"/>
        <v>0</v>
      </c>
      <c r="CR493" s="61">
        <f t="shared" si="406"/>
        <v>0</v>
      </c>
      <c r="CS493" s="61">
        <f t="shared" si="376"/>
        <v>0</v>
      </c>
      <c r="CT493" s="61">
        <f t="shared" si="377"/>
        <v>0</v>
      </c>
      <c r="CV493" s="61">
        <f t="shared" si="378"/>
        <v>0</v>
      </c>
      <c r="CW493" s="61">
        <f t="shared" si="383"/>
        <v>0</v>
      </c>
      <c r="CX493" s="61"/>
      <c r="CY493" s="61">
        <f t="shared" si="368"/>
        <v>0</v>
      </c>
      <c r="CZ493" s="61">
        <f t="shared" si="391"/>
        <v>0</v>
      </c>
      <c r="DA493" s="61">
        <f t="shared" si="391"/>
        <v>0</v>
      </c>
      <c r="DB493" s="2" t="s">
        <v>86</v>
      </c>
      <c r="DC493" s="2" t="s">
        <v>86</v>
      </c>
      <c r="DD493" s="2" t="s">
        <v>142</v>
      </c>
      <c r="DE493" s="2" t="s">
        <v>181</v>
      </c>
      <c r="DG493" s="62"/>
      <c r="DZ493" s="3" t="e">
        <v>#N/A</v>
      </c>
      <c r="EC493" s="60" t="str">
        <f>VLOOKUP($M493,[1]Detail!$M:$BO,1,0)</f>
        <v>JD8B-F20849-AA</v>
      </c>
      <c r="ED493" s="60">
        <f>VLOOKUP($M493,[1]Detail!$M:$BO,22,0)</f>
        <v>-40.109999999999992</v>
      </c>
      <c r="EE493" s="60">
        <f>VLOOKUP($M493,[1]Detail!$M:$BO,42,0)</f>
        <v>-344000</v>
      </c>
      <c r="EF493" s="60">
        <f>VLOOKUP($M493,[1]Detail!$M:$BO,45,0)</f>
        <v>0</v>
      </c>
      <c r="EH493" s="60">
        <f>ED493-AD493</f>
        <v>1.9600000000000009</v>
      </c>
      <c r="EI493" s="60">
        <f>EE493-AG493</f>
        <v>0</v>
      </c>
      <c r="EJ493" s="60">
        <f t="shared" si="407"/>
        <v>0</v>
      </c>
    </row>
    <row r="494" spans="2:140" ht="12.75" hidden="1" customHeight="1">
      <c r="B494" s="99" t="s">
        <v>958</v>
      </c>
      <c r="C494" s="22" t="s">
        <v>959</v>
      </c>
      <c r="D494" s="22" t="s">
        <v>960</v>
      </c>
      <c r="E494" s="2" t="str">
        <f>VLOOKUP($C494,[1]Detail!$C:$AK,6,0)</f>
        <v>PMT1</v>
      </c>
      <c r="F494" s="2" t="str">
        <f>VLOOKUP($C494,[1]Detail!$C:$AK,7,0)</f>
        <v>TH</v>
      </c>
      <c r="G494" s="2" t="str">
        <f>VLOOKUP($C494,[1]Detail!$C:$AK,5,0)</f>
        <v>D</v>
      </c>
      <c r="J494" s="22" t="s">
        <v>126</v>
      </c>
      <c r="K494" s="23" t="s">
        <v>963</v>
      </c>
      <c r="L494" s="22" t="s">
        <v>100</v>
      </c>
      <c r="M494" s="51" t="str">
        <f t="shared" si="402"/>
        <v>JD8B-F25334-AA</v>
      </c>
      <c r="O494" s="22">
        <v>1</v>
      </c>
      <c r="P494" s="22">
        <v>1</v>
      </c>
      <c r="Q494" s="22">
        <v>1</v>
      </c>
      <c r="R494" s="22">
        <v>1</v>
      </c>
      <c r="S494" s="22">
        <v>1</v>
      </c>
      <c r="T494" s="22">
        <v>1</v>
      </c>
      <c r="U494" s="22">
        <v>1</v>
      </c>
      <c r="V494" s="22">
        <v>1</v>
      </c>
      <c r="W494" s="64">
        <f t="shared" si="403"/>
        <v>1</v>
      </c>
      <c r="Y494" s="8">
        <v>-23.18</v>
      </c>
      <c r="Z494" s="8">
        <v>-1.2</v>
      </c>
      <c r="AA494" s="8">
        <v>-0.64</v>
      </c>
      <c r="AB494" s="8">
        <v>0</v>
      </c>
      <c r="AC494" s="8">
        <v>0</v>
      </c>
      <c r="AD494" s="8">
        <f t="shared" si="404"/>
        <v>-25.02</v>
      </c>
      <c r="AE494" s="2" t="s">
        <v>91</v>
      </c>
      <c r="AG494" s="8">
        <v>-362300</v>
      </c>
      <c r="AH494" s="8">
        <v>-362300</v>
      </c>
      <c r="AI494" s="6"/>
      <c r="AJ494" s="70">
        <v>0</v>
      </c>
      <c r="AK494" s="70">
        <v>0</v>
      </c>
      <c r="AL494" s="72">
        <v>0</v>
      </c>
      <c r="AM494" s="22"/>
      <c r="AN494" s="70"/>
      <c r="AO494" s="22" t="s">
        <v>126</v>
      </c>
      <c r="AP494" s="23" t="s">
        <v>963</v>
      </c>
      <c r="AQ494" s="22" t="s">
        <v>100</v>
      </c>
      <c r="AR494" s="51" t="str">
        <f t="shared" si="392"/>
        <v>JD8B-F25334-AA</v>
      </c>
      <c r="AS494" s="3"/>
      <c r="AT494" s="22">
        <v>1</v>
      </c>
      <c r="AU494" s="22">
        <v>1</v>
      </c>
      <c r="AV494" s="22">
        <v>1</v>
      </c>
      <c r="AW494" s="22">
        <v>1</v>
      </c>
      <c r="AX494" s="22">
        <v>1</v>
      </c>
      <c r="AY494" s="22">
        <v>1</v>
      </c>
      <c r="AZ494" s="22">
        <v>1</v>
      </c>
      <c r="BA494" s="22">
        <v>1</v>
      </c>
      <c r="BB494" s="116">
        <f t="shared" si="393"/>
        <v>1</v>
      </c>
      <c r="BD494" s="60">
        <v>-23.18</v>
      </c>
      <c r="BE494" s="60">
        <v>-1.2</v>
      </c>
      <c r="BF494" s="95">
        <v>-0.64</v>
      </c>
      <c r="BG494" s="95">
        <v>0</v>
      </c>
      <c r="BH494" s="95">
        <v>0</v>
      </c>
      <c r="BI494" s="8">
        <f t="shared" si="397"/>
        <v>-25.02</v>
      </c>
      <c r="BJ494" s="2" t="s">
        <v>91</v>
      </c>
      <c r="BL494" s="70">
        <v>-362300</v>
      </c>
      <c r="BM494" s="70">
        <v>-362300</v>
      </c>
      <c r="BO494" s="70">
        <v>0</v>
      </c>
      <c r="BP494" s="70">
        <v>0</v>
      </c>
      <c r="BQ494" s="72">
        <v>0</v>
      </c>
      <c r="BS494" s="61">
        <f t="shared" si="401"/>
        <v>0</v>
      </c>
      <c r="BT494" s="61">
        <f t="shared" si="398"/>
        <v>0</v>
      </c>
      <c r="BU494" s="61">
        <f t="shared" si="399"/>
        <v>0</v>
      </c>
      <c r="BV494" s="61">
        <f t="shared" si="400"/>
        <v>0</v>
      </c>
      <c r="BW494" s="61">
        <f t="shared" si="400"/>
        <v>0</v>
      </c>
      <c r="BX494" s="61">
        <f t="shared" si="405"/>
        <v>0</v>
      </c>
      <c r="BY494" s="61" t="s">
        <v>91</v>
      </c>
      <c r="CA494" s="61">
        <f t="shared" si="390"/>
        <v>0</v>
      </c>
      <c r="CB494" s="61">
        <f t="shared" si="390"/>
        <v>0</v>
      </c>
      <c r="CC494" s="61">
        <f t="shared" si="390"/>
        <v>0</v>
      </c>
      <c r="CD494" s="61">
        <f t="shared" si="390"/>
        <v>0</v>
      </c>
      <c r="CE494" s="61">
        <f t="shared" si="390"/>
        <v>0</v>
      </c>
      <c r="CF494" s="61">
        <f t="shared" si="388"/>
        <v>0</v>
      </c>
      <c r="CG494" s="61">
        <f t="shared" si="388"/>
        <v>0</v>
      </c>
      <c r="CH494" s="61">
        <f t="shared" si="388"/>
        <v>0</v>
      </c>
      <c r="CI494" s="61">
        <f t="shared" si="375"/>
        <v>0</v>
      </c>
      <c r="CJ494" s="61"/>
      <c r="CK494" s="61">
        <f t="shared" si="406"/>
        <v>0</v>
      </c>
      <c r="CL494" s="61">
        <f t="shared" si="406"/>
        <v>0</v>
      </c>
      <c r="CM494" s="61">
        <f t="shared" si="406"/>
        <v>0</v>
      </c>
      <c r="CN494" s="61">
        <f t="shared" si="406"/>
        <v>0</v>
      </c>
      <c r="CO494" s="61">
        <f t="shared" si="406"/>
        <v>0</v>
      </c>
      <c r="CP494" s="61">
        <f t="shared" si="406"/>
        <v>0</v>
      </c>
      <c r="CQ494" s="61">
        <f t="shared" si="406"/>
        <v>0</v>
      </c>
      <c r="CR494" s="61">
        <f t="shared" si="406"/>
        <v>0</v>
      </c>
      <c r="CS494" s="61">
        <f t="shared" si="376"/>
        <v>0</v>
      </c>
      <c r="CT494" s="61">
        <f t="shared" si="377"/>
        <v>0</v>
      </c>
      <c r="CV494" s="61">
        <f t="shared" si="378"/>
        <v>0</v>
      </c>
      <c r="CW494" s="61">
        <f t="shared" si="383"/>
        <v>0</v>
      </c>
      <c r="CX494" s="61"/>
      <c r="CY494" s="61">
        <f t="shared" si="368"/>
        <v>0</v>
      </c>
      <c r="CZ494" s="61">
        <f t="shared" si="391"/>
        <v>0</v>
      </c>
      <c r="DA494" s="61">
        <f t="shared" si="391"/>
        <v>0</v>
      </c>
      <c r="DB494" s="2" t="s">
        <v>86</v>
      </c>
      <c r="DC494" s="2" t="s">
        <v>86</v>
      </c>
      <c r="DD494" s="2" t="s">
        <v>142</v>
      </c>
      <c r="DE494" s="2" t="s">
        <v>181</v>
      </c>
      <c r="DG494" s="62"/>
      <c r="DZ494" s="3" t="e">
        <v>#N/A</v>
      </c>
      <c r="EC494" s="60" t="str">
        <f>VLOOKUP($M494,[1]Detail!$M:$BO,1,0)</f>
        <v>JD8B-F25334-AA</v>
      </c>
      <c r="ED494" s="60">
        <f>VLOOKUP($M494,[1]Detail!$M:$BO,22,0)</f>
        <v>-23.623999999999999</v>
      </c>
      <c r="EE494" s="60">
        <f>VLOOKUP($M494,[1]Detail!$M:$BO,42,0)</f>
        <v>-362300</v>
      </c>
      <c r="EF494" s="60">
        <f>VLOOKUP($M494,[1]Detail!$M:$BO,45,0)</f>
        <v>0</v>
      </c>
      <c r="EH494" s="60">
        <f>ED494-AD494</f>
        <v>1.3960000000000008</v>
      </c>
      <c r="EI494" s="60">
        <f>EE494-AG494</f>
        <v>0</v>
      </c>
      <c r="EJ494" s="60">
        <f t="shared" si="407"/>
        <v>0</v>
      </c>
    </row>
    <row r="495" spans="2:140" ht="12.75" hidden="1" customHeight="1">
      <c r="B495" s="99" t="s">
        <v>958</v>
      </c>
      <c r="C495" s="22" t="s">
        <v>959</v>
      </c>
      <c r="D495" s="22" t="s">
        <v>960</v>
      </c>
      <c r="E495" s="2" t="str">
        <f>VLOOKUP($C495,[1]Detail!$C:$AK,6,0)</f>
        <v>PMT1</v>
      </c>
      <c r="F495" s="2" t="str">
        <f>VLOOKUP($C495,[1]Detail!$C:$AK,7,0)</f>
        <v>TH</v>
      </c>
      <c r="G495" s="2" t="str">
        <f>VLOOKUP($C495,[1]Detail!$C:$AK,5,0)</f>
        <v>D</v>
      </c>
      <c r="J495" s="22" t="s">
        <v>126</v>
      </c>
      <c r="K495" s="23" t="s">
        <v>964</v>
      </c>
      <c r="L495" s="22" t="s">
        <v>100</v>
      </c>
      <c r="M495" s="51" t="str">
        <f t="shared" si="402"/>
        <v>JD8B-F25335-AA</v>
      </c>
      <c r="O495" s="22">
        <v>1</v>
      </c>
      <c r="P495" s="22">
        <v>1</v>
      </c>
      <c r="Q495" s="22">
        <v>1</v>
      </c>
      <c r="R495" s="22">
        <v>1</v>
      </c>
      <c r="S495" s="22">
        <v>1</v>
      </c>
      <c r="T495" s="22">
        <v>1</v>
      </c>
      <c r="U495" s="22">
        <v>1</v>
      </c>
      <c r="V495" s="22">
        <v>1</v>
      </c>
      <c r="W495" s="64">
        <f t="shared" si="403"/>
        <v>1</v>
      </c>
      <c r="Y495" s="8">
        <v>-23.18</v>
      </c>
      <c r="Z495" s="8">
        <v>-1.2</v>
      </c>
      <c r="AA495" s="8">
        <v>-0.64</v>
      </c>
      <c r="AB495" s="8">
        <v>0</v>
      </c>
      <c r="AC495" s="8">
        <v>0</v>
      </c>
      <c r="AD495" s="8">
        <f t="shared" si="404"/>
        <v>-25.02</v>
      </c>
      <c r="AE495" s="2" t="s">
        <v>91</v>
      </c>
      <c r="AG495" s="8">
        <v>-362300</v>
      </c>
      <c r="AH495" s="8">
        <v>-362300</v>
      </c>
      <c r="AI495" s="6"/>
      <c r="AJ495" s="70">
        <v>0</v>
      </c>
      <c r="AK495" s="70">
        <v>0</v>
      </c>
      <c r="AL495" s="72">
        <v>0</v>
      </c>
      <c r="AM495" s="22"/>
      <c r="AN495" s="70"/>
      <c r="AO495" s="22" t="s">
        <v>126</v>
      </c>
      <c r="AP495" s="23" t="s">
        <v>964</v>
      </c>
      <c r="AQ495" s="22" t="s">
        <v>100</v>
      </c>
      <c r="AR495" s="51" t="str">
        <f t="shared" si="392"/>
        <v>JD8B-F25335-AA</v>
      </c>
      <c r="AS495" s="3"/>
      <c r="AT495" s="22">
        <v>1</v>
      </c>
      <c r="AU495" s="22">
        <v>1</v>
      </c>
      <c r="AV495" s="22">
        <v>1</v>
      </c>
      <c r="AW495" s="22">
        <v>1</v>
      </c>
      <c r="AX495" s="22">
        <v>1</v>
      </c>
      <c r="AY495" s="22">
        <v>1</v>
      </c>
      <c r="AZ495" s="22">
        <v>1</v>
      </c>
      <c r="BA495" s="22">
        <v>1</v>
      </c>
      <c r="BB495" s="116">
        <f t="shared" si="393"/>
        <v>1</v>
      </c>
      <c r="BD495" s="60">
        <v>-23.18</v>
      </c>
      <c r="BE495" s="60">
        <v>-1.2</v>
      </c>
      <c r="BF495" s="95">
        <v>-0.64</v>
      </c>
      <c r="BG495" s="95">
        <v>0</v>
      </c>
      <c r="BH495" s="95">
        <v>0</v>
      </c>
      <c r="BI495" s="8">
        <f t="shared" si="397"/>
        <v>-25.02</v>
      </c>
      <c r="BJ495" s="2" t="s">
        <v>91</v>
      </c>
      <c r="BL495" s="70">
        <v>-362300</v>
      </c>
      <c r="BM495" s="70">
        <v>-362300</v>
      </c>
      <c r="BO495" s="70">
        <v>0</v>
      </c>
      <c r="BP495" s="70">
        <v>0</v>
      </c>
      <c r="BQ495" s="72">
        <v>0</v>
      </c>
      <c r="BS495" s="61">
        <f t="shared" si="401"/>
        <v>0</v>
      </c>
      <c r="BT495" s="61">
        <f t="shared" si="398"/>
        <v>0</v>
      </c>
      <c r="BU495" s="61">
        <f t="shared" si="399"/>
        <v>0</v>
      </c>
      <c r="BV495" s="61">
        <f t="shared" si="400"/>
        <v>0</v>
      </c>
      <c r="BW495" s="61">
        <f t="shared" si="400"/>
        <v>0</v>
      </c>
      <c r="BX495" s="61">
        <f t="shared" si="405"/>
        <v>0</v>
      </c>
      <c r="BY495" s="61" t="s">
        <v>91</v>
      </c>
      <c r="CA495" s="61">
        <f t="shared" si="390"/>
        <v>0</v>
      </c>
      <c r="CB495" s="61">
        <f t="shared" si="390"/>
        <v>0</v>
      </c>
      <c r="CC495" s="61">
        <f t="shared" si="390"/>
        <v>0</v>
      </c>
      <c r="CD495" s="61">
        <f t="shared" si="390"/>
        <v>0</v>
      </c>
      <c r="CE495" s="61">
        <f t="shared" si="390"/>
        <v>0</v>
      </c>
      <c r="CF495" s="61">
        <f t="shared" si="388"/>
        <v>0</v>
      </c>
      <c r="CG495" s="61">
        <f t="shared" si="388"/>
        <v>0</v>
      </c>
      <c r="CH495" s="61">
        <f t="shared" si="388"/>
        <v>0</v>
      </c>
      <c r="CI495" s="61">
        <f t="shared" si="375"/>
        <v>0</v>
      </c>
      <c r="CJ495" s="61"/>
      <c r="CK495" s="61">
        <f t="shared" si="406"/>
        <v>0</v>
      </c>
      <c r="CL495" s="61">
        <f t="shared" si="406"/>
        <v>0</v>
      </c>
      <c r="CM495" s="61">
        <f t="shared" si="406"/>
        <v>0</v>
      </c>
      <c r="CN495" s="61">
        <f t="shared" si="406"/>
        <v>0</v>
      </c>
      <c r="CO495" s="61">
        <f t="shared" si="406"/>
        <v>0</v>
      </c>
      <c r="CP495" s="61">
        <f t="shared" si="406"/>
        <v>0</v>
      </c>
      <c r="CQ495" s="61">
        <f t="shared" si="406"/>
        <v>0</v>
      </c>
      <c r="CR495" s="61">
        <f t="shared" si="406"/>
        <v>0</v>
      </c>
      <c r="CS495" s="61">
        <f t="shared" si="376"/>
        <v>0</v>
      </c>
      <c r="CT495" s="61">
        <f t="shared" si="377"/>
        <v>0</v>
      </c>
      <c r="CV495" s="61">
        <f t="shared" si="378"/>
        <v>0</v>
      </c>
      <c r="CW495" s="61">
        <f t="shared" si="383"/>
        <v>0</v>
      </c>
      <c r="CX495" s="61"/>
      <c r="CY495" s="61">
        <f t="shared" si="368"/>
        <v>0</v>
      </c>
      <c r="CZ495" s="61">
        <f t="shared" si="391"/>
        <v>0</v>
      </c>
      <c r="DA495" s="61">
        <f t="shared" si="391"/>
        <v>0</v>
      </c>
      <c r="DB495" s="2" t="s">
        <v>86</v>
      </c>
      <c r="DC495" s="2" t="s">
        <v>86</v>
      </c>
      <c r="DD495" s="2" t="s">
        <v>142</v>
      </c>
      <c r="DE495" s="2" t="s">
        <v>181</v>
      </c>
      <c r="DG495" s="62"/>
      <c r="DZ495" s="3" t="e">
        <v>#N/A</v>
      </c>
      <c r="EC495" s="60" t="str">
        <f>VLOOKUP($M495,[1]Detail!$M:$BO,1,0)</f>
        <v>JD8B-F25335-AA</v>
      </c>
      <c r="ED495" s="60">
        <f>VLOOKUP($M495,[1]Detail!$M:$BO,22,0)</f>
        <v>-23.623999999999999</v>
      </c>
      <c r="EE495" s="60">
        <f>VLOOKUP($M495,[1]Detail!$M:$BO,42,0)</f>
        <v>-362300</v>
      </c>
      <c r="EF495" s="60">
        <f>VLOOKUP($M495,[1]Detail!$M:$BO,45,0)</f>
        <v>0</v>
      </c>
      <c r="EH495" s="60">
        <f>ED495-AD495</f>
        <v>1.3960000000000008</v>
      </c>
      <c r="EI495" s="60">
        <f>EE495-AG495</f>
        <v>0</v>
      </c>
      <c r="EJ495" s="60">
        <f t="shared" si="407"/>
        <v>0</v>
      </c>
    </row>
    <row r="496" spans="2:140" ht="12.75" hidden="1" customHeight="1">
      <c r="B496" s="99" t="s">
        <v>965</v>
      </c>
      <c r="C496" s="22" t="s">
        <v>966</v>
      </c>
      <c r="D496" s="22" t="s">
        <v>967</v>
      </c>
      <c r="E496" s="2" t="s">
        <v>968</v>
      </c>
      <c r="F496" s="2" t="s">
        <v>969</v>
      </c>
      <c r="G496" s="2" t="s">
        <v>331</v>
      </c>
      <c r="J496" s="22" t="s">
        <v>138</v>
      </c>
      <c r="K496" s="23">
        <v>20562</v>
      </c>
      <c r="L496" s="22" t="s">
        <v>141</v>
      </c>
      <c r="M496" s="51" t="str">
        <f t="shared" si="402"/>
        <v>JD8B-20562-AB</v>
      </c>
      <c r="O496" s="22">
        <v>1</v>
      </c>
      <c r="P496" s="22">
        <v>1</v>
      </c>
      <c r="Q496" s="22"/>
      <c r="R496" s="22"/>
      <c r="S496" s="22"/>
      <c r="T496" s="22"/>
      <c r="U496" s="22"/>
      <c r="V496" s="22"/>
      <c r="W496" s="64">
        <f t="shared" si="403"/>
        <v>0.30000000000000004</v>
      </c>
      <c r="Y496" s="8">
        <v>-24.89</v>
      </c>
      <c r="Z496" s="8">
        <v>0</v>
      </c>
      <c r="AA496" s="8">
        <v>-0.26</v>
      </c>
      <c r="AB496" s="8">
        <v>0</v>
      </c>
      <c r="AC496" s="8">
        <v>-1.03</v>
      </c>
      <c r="AD496" s="8">
        <f t="shared" si="404"/>
        <v>-26.180000000000003</v>
      </c>
      <c r="AE496" s="2" t="s">
        <v>91</v>
      </c>
      <c r="AG496" s="8">
        <v>-202750</v>
      </c>
      <c r="AH496" s="8">
        <v>-202750</v>
      </c>
      <c r="AI496" s="6"/>
      <c r="AJ496" s="70">
        <v>-739994</v>
      </c>
      <c r="AK496" s="70">
        <v>718441</v>
      </c>
      <c r="AL496" s="72"/>
      <c r="AM496" s="22"/>
      <c r="AN496" s="70"/>
      <c r="AO496" s="22" t="s">
        <v>138</v>
      </c>
      <c r="AP496" s="23">
        <v>20562</v>
      </c>
      <c r="AQ496" s="22" t="s">
        <v>100</v>
      </c>
      <c r="AR496" s="51" t="str">
        <f t="shared" si="392"/>
        <v>JD8B-20562-AA</v>
      </c>
      <c r="AS496" s="3"/>
      <c r="AT496" s="22">
        <v>1</v>
      </c>
      <c r="AU496" s="22">
        <v>1</v>
      </c>
      <c r="AV496" s="22"/>
      <c r="AW496" s="22"/>
      <c r="AX496" s="22"/>
      <c r="AY496" s="22"/>
      <c r="AZ496" s="22"/>
      <c r="BA496" s="22"/>
      <c r="BB496" s="116">
        <f t="shared" si="393"/>
        <v>0.30000000000000004</v>
      </c>
      <c r="BD496" s="105">
        <v>-24.89</v>
      </c>
      <c r="BE496" s="105">
        <v>0</v>
      </c>
      <c r="BF496" s="105">
        <v>-0.26</v>
      </c>
      <c r="BG496" s="105">
        <v>0</v>
      </c>
      <c r="BH496" s="105">
        <v>-1.03</v>
      </c>
      <c r="BI496" s="8">
        <f t="shared" si="397"/>
        <v>-26.180000000000003</v>
      </c>
      <c r="BJ496" s="2" t="s">
        <v>91</v>
      </c>
      <c r="BL496" s="70">
        <v>-202750</v>
      </c>
      <c r="BM496" s="70">
        <v>-202750</v>
      </c>
      <c r="BO496" s="70">
        <v>-739994</v>
      </c>
      <c r="BP496" s="70">
        <v>430229.06976744189</v>
      </c>
      <c r="BQ496" s="72"/>
      <c r="BS496" s="61">
        <f t="shared" si="401"/>
        <v>0</v>
      </c>
      <c r="BT496" s="61">
        <f t="shared" si="398"/>
        <v>0</v>
      </c>
      <c r="BU496" s="61">
        <f t="shared" si="399"/>
        <v>0</v>
      </c>
      <c r="BV496" s="61">
        <f t="shared" si="400"/>
        <v>0</v>
      </c>
      <c r="BW496" s="61">
        <f t="shared" si="400"/>
        <v>0</v>
      </c>
      <c r="BX496" s="61">
        <f t="shared" si="405"/>
        <v>0</v>
      </c>
      <c r="BY496" s="61" t="s">
        <v>91</v>
      </c>
      <c r="CA496" s="61">
        <f t="shared" si="390"/>
        <v>0</v>
      </c>
      <c r="CB496" s="61">
        <f t="shared" si="390"/>
        <v>0</v>
      </c>
      <c r="CC496" s="61">
        <f t="shared" si="390"/>
        <v>0</v>
      </c>
      <c r="CD496" s="61">
        <f t="shared" si="390"/>
        <v>0</v>
      </c>
      <c r="CE496" s="61">
        <f t="shared" si="390"/>
        <v>0</v>
      </c>
      <c r="CF496" s="61">
        <f t="shared" si="388"/>
        <v>0</v>
      </c>
      <c r="CG496" s="61">
        <f t="shared" si="388"/>
        <v>0</v>
      </c>
      <c r="CH496" s="61">
        <f t="shared" si="388"/>
        <v>0</v>
      </c>
      <c r="CI496" s="61">
        <f t="shared" si="375"/>
        <v>0</v>
      </c>
      <c r="CJ496" s="61"/>
      <c r="CK496" s="61">
        <f t="shared" si="406"/>
        <v>0</v>
      </c>
      <c r="CL496" s="61">
        <f t="shared" si="406"/>
        <v>0</v>
      </c>
      <c r="CM496" s="61">
        <f t="shared" si="406"/>
        <v>0</v>
      </c>
      <c r="CN496" s="61">
        <f t="shared" si="406"/>
        <v>0</v>
      </c>
      <c r="CO496" s="61">
        <f t="shared" si="406"/>
        <v>0</v>
      </c>
      <c r="CP496" s="61">
        <f t="shared" si="406"/>
        <v>0</v>
      </c>
      <c r="CQ496" s="61">
        <f t="shared" si="406"/>
        <v>0</v>
      </c>
      <c r="CR496" s="61">
        <f t="shared" si="406"/>
        <v>0</v>
      </c>
      <c r="CS496" s="61">
        <f t="shared" si="376"/>
        <v>0</v>
      </c>
      <c r="CT496" s="61">
        <f t="shared" si="377"/>
        <v>0</v>
      </c>
      <c r="CV496" s="61">
        <f t="shared" si="378"/>
        <v>0</v>
      </c>
      <c r="CW496" s="61">
        <f t="shared" si="383"/>
        <v>0</v>
      </c>
      <c r="CX496" s="61"/>
      <c r="CY496" s="61">
        <f t="shared" si="368"/>
        <v>0</v>
      </c>
      <c r="CZ496" s="61">
        <f t="shared" si="391"/>
        <v>288211.93023255811</v>
      </c>
      <c r="DA496" s="61">
        <f t="shared" si="391"/>
        <v>0</v>
      </c>
      <c r="DB496" s="2" t="s">
        <v>85</v>
      </c>
      <c r="DC496" s="2" t="s">
        <v>86</v>
      </c>
      <c r="DD496" s="2" t="s">
        <v>142</v>
      </c>
      <c r="DE496" s="2" t="s">
        <v>264</v>
      </c>
      <c r="DG496" s="62"/>
      <c r="DZ496" s="3" t="e">
        <v>#N/A</v>
      </c>
      <c r="EC496" s="60"/>
      <c r="ED496" s="60"/>
      <c r="EE496" s="60"/>
      <c r="EF496" s="60"/>
    </row>
    <row r="497" spans="2:140" ht="12.75" hidden="1" customHeight="1">
      <c r="B497" s="99" t="s">
        <v>965</v>
      </c>
      <c r="C497" s="22" t="s">
        <v>966</v>
      </c>
      <c r="D497" s="22" t="s">
        <v>967</v>
      </c>
      <c r="E497" s="2" t="s">
        <v>968</v>
      </c>
      <c r="F497" s="2" t="s">
        <v>969</v>
      </c>
      <c r="G497" s="2" t="s">
        <v>331</v>
      </c>
      <c r="J497" s="22" t="s">
        <v>138</v>
      </c>
      <c r="K497" s="23">
        <v>20562</v>
      </c>
      <c r="L497" s="22" t="s">
        <v>970</v>
      </c>
      <c r="M497" s="51" t="str">
        <f t="shared" si="402"/>
        <v>JD8B-20562-BB</v>
      </c>
      <c r="O497" s="22"/>
      <c r="P497" s="22"/>
      <c r="Q497" s="22">
        <v>1</v>
      </c>
      <c r="R497" s="22">
        <v>1</v>
      </c>
      <c r="S497" s="22">
        <v>1</v>
      </c>
      <c r="T497" s="22">
        <v>1</v>
      </c>
      <c r="U497" s="22">
        <v>1</v>
      </c>
      <c r="V497" s="22">
        <v>1</v>
      </c>
      <c r="W497" s="64">
        <f t="shared" si="403"/>
        <v>0.70000000000000007</v>
      </c>
      <c r="Y497" s="8">
        <v>-33.369999999999997</v>
      </c>
      <c r="Z497" s="8">
        <v>0</v>
      </c>
      <c r="AA497" s="8">
        <v>-0.46</v>
      </c>
      <c r="AB497" s="8">
        <v>0</v>
      </c>
      <c r="AC497" s="8">
        <v>-0.69</v>
      </c>
      <c r="AD497" s="8">
        <f t="shared" si="404"/>
        <v>-34.519999999999996</v>
      </c>
      <c r="AE497" s="2" t="s">
        <v>91</v>
      </c>
      <c r="AG497" s="8">
        <v>-202750</v>
      </c>
      <c r="AH497" s="8">
        <v>-202750</v>
      </c>
      <c r="AI497" s="6"/>
      <c r="AJ497" s="70">
        <v>-739994</v>
      </c>
      <c r="AK497" s="70">
        <v>1072455</v>
      </c>
      <c r="AL497" s="72"/>
      <c r="AM497" s="22"/>
      <c r="AN497" s="70"/>
      <c r="AO497" s="22" t="s">
        <v>126</v>
      </c>
      <c r="AP497" s="23">
        <v>20562</v>
      </c>
      <c r="AQ497" s="22" t="s">
        <v>111</v>
      </c>
      <c r="AR497" s="51" t="str">
        <f t="shared" si="392"/>
        <v>JD8B-20562-BA</v>
      </c>
      <c r="AS497" s="3"/>
      <c r="AT497" s="22"/>
      <c r="AU497" s="22"/>
      <c r="AV497" s="22">
        <v>1</v>
      </c>
      <c r="AW497" s="22">
        <v>1</v>
      </c>
      <c r="AX497" s="22">
        <v>1</v>
      </c>
      <c r="AY497" s="22">
        <v>1</v>
      </c>
      <c r="AZ497" s="22">
        <v>1</v>
      </c>
      <c r="BA497" s="22">
        <v>1</v>
      </c>
      <c r="BB497" s="116">
        <f t="shared" si="393"/>
        <v>0.70000000000000007</v>
      </c>
      <c r="BD497" s="105">
        <v>-33.369999999999997</v>
      </c>
      <c r="BE497" s="105">
        <v>0</v>
      </c>
      <c r="BF497" s="105">
        <v>-0.46</v>
      </c>
      <c r="BG497" s="105">
        <v>0</v>
      </c>
      <c r="BH497" s="105">
        <v>-0.69</v>
      </c>
      <c r="BI497" s="8">
        <f t="shared" si="397"/>
        <v>-34.519999999999996</v>
      </c>
      <c r="BJ497" s="2" t="s">
        <v>91</v>
      </c>
      <c r="BL497" s="70" t="s">
        <v>940</v>
      </c>
      <c r="BM497" s="70" t="s">
        <v>940</v>
      </c>
      <c r="BO497" s="70" t="s">
        <v>940</v>
      </c>
      <c r="BP497" s="70" t="s">
        <v>940</v>
      </c>
      <c r="BQ497" s="72"/>
      <c r="BS497" s="61">
        <f t="shared" si="401"/>
        <v>0</v>
      </c>
      <c r="BT497" s="61">
        <f t="shared" si="398"/>
        <v>0</v>
      </c>
      <c r="BU497" s="61">
        <f t="shared" si="399"/>
        <v>0</v>
      </c>
      <c r="BV497" s="61">
        <f t="shared" si="400"/>
        <v>0</v>
      </c>
      <c r="BW497" s="61">
        <f t="shared" si="400"/>
        <v>0</v>
      </c>
      <c r="BX497" s="61">
        <f t="shared" si="405"/>
        <v>0</v>
      </c>
      <c r="BY497" s="61" t="s">
        <v>91</v>
      </c>
      <c r="CA497" s="61">
        <f t="shared" si="390"/>
        <v>0</v>
      </c>
      <c r="CB497" s="61">
        <f t="shared" si="390"/>
        <v>0</v>
      </c>
      <c r="CC497" s="61">
        <f t="shared" si="390"/>
        <v>0</v>
      </c>
      <c r="CD497" s="61">
        <f t="shared" si="390"/>
        <v>0</v>
      </c>
      <c r="CE497" s="61">
        <f t="shared" si="390"/>
        <v>0</v>
      </c>
      <c r="CF497" s="61">
        <f t="shared" si="388"/>
        <v>0</v>
      </c>
      <c r="CG497" s="61">
        <f t="shared" si="388"/>
        <v>0</v>
      </c>
      <c r="CH497" s="61">
        <f t="shared" si="388"/>
        <v>0</v>
      </c>
      <c r="CI497" s="61">
        <f t="shared" si="375"/>
        <v>0</v>
      </c>
      <c r="CJ497" s="61"/>
      <c r="CK497" s="61">
        <f t="shared" si="406"/>
        <v>0</v>
      </c>
      <c r="CL497" s="61">
        <f t="shared" si="406"/>
        <v>0</v>
      </c>
      <c r="CM497" s="61">
        <f t="shared" si="406"/>
        <v>0</v>
      </c>
      <c r="CN497" s="61">
        <f t="shared" si="406"/>
        <v>0</v>
      </c>
      <c r="CO497" s="61">
        <f t="shared" si="406"/>
        <v>0</v>
      </c>
      <c r="CP497" s="61">
        <f t="shared" si="406"/>
        <v>0</v>
      </c>
      <c r="CQ497" s="61">
        <f t="shared" si="406"/>
        <v>0</v>
      </c>
      <c r="CR497" s="61">
        <f t="shared" si="406"/>
        <v>0</v>
      </c>
      <c r="CS497" s="61">
        <f t="shared" si="376"/>
        <v>0</v>
      </c>
      <c r="CT497" s="61">
        <f t="shared" si="377"/>
        <v>0</v>
      </c>
      <c r="CV497" s="61" t="e">
        <f>SUM(#REF!)-SUM(BL497)</f>
        <v>#REF!</v>
      </c>
      <c r="CW497" s="61" t="e">
        <f>SUM(#REF!)-SUM(BM497)</f>
        <v>#REF!</v>
      </c>
      <c r="CX497" s="61"/>
      <c r="CY497" s="61">
        <f t="shared" si="368"/>
        <v>-739994</v>
      </c>
      <c r="CZ497" s="61">
        <f t="shared" si="391"/>
        <v>1072455</v>
      </c>
      <c r="DA497" s="61">
        <f t="shared" si="391"/>
        <v>0</v>
      </c>
      <c r="DB497" s="2" t="s">
        <v>85</v>
      </c>
      <c r="DC497" s="2" t="s">
        <v>86</v>
      </c>
      <c r="DD497" s="2" t="s">
        <v>142</v>
      </c>
      <c r="DE497" s="2" t="s">
        <v>264</v>
      </c>
      <c r="DG497" s="62"/>
      <c r="DZ497" s="3" t="e">
        <v>#N/A</v>
      </c>
      <c r="EC497" s="60"/>
      <c r="ED497" s="60"/>
      <c r="EE497" s="60"/>
      <c r="EF497" s="60"/>
    </row>
    <row r="498" spans="2:140" ht="12.75" hidden="1" customHeight="1">
      <c r="B498" s="99" t="s">
        <v>965</v>
      </c>
      <c r="C498" s="22" t="s">
        <v>966</v>
      </c>
      <c r="D498" s="22" t="s">
        <v>967</v>
      </c>
      <c r="E498" s="2" t="s">
        <v>968</v>
      </c>
      <c r="F498" s="2" t="s">
        <v>969</v>
      </c>
      <c r="G498" s="2" t="s">
        <v>331</v>
      </c>
      <c r="J498" s="22" t="s">
        <v>138</v>
      </c>
      <c r="K498" s="23">
        <v>20563</v>
      </c>
      <c r="L498" s="22" t="s">
        <v>141</v>
      </c>
      <c r="M498" s="51" t="str">
        <f t="shared" si="402"/>
        <v>JD8B-20563-AB</v>
      </c>
      <c r="O498" s="22">
        <v>1</v>
      </c>
      <c r="P498" s="22">
        <v>1</v>
      </c>
      <c r="Q498" s="22"/>
      <c r="R498" s="22"/>
      <c r="S498" s="22"/>
      <c r="T498" s="22"/>
      <c r="U498" s="22"/>
      <c r="V498" s="22"/>
      <c r="W498" s="64">
        <f t="shared" si="403"/>
        <v>0.30000000000000004</v>
      </c>
      <c r="Y498" s="8">
        <v>-24.89</v>
      </c>
      <c r="Z498" s="8">
        <v>0</v>
      </c>
      <c r="AA498" s="8">
        <v>-0.26</v>
      </c>
      <c r="AB498" s="8">
        <v>0</v>
      </c>
      <c r="AC498" s="8">
        <v>-1.03</v>
      </c>
      <c r="AD498" s="8">
        <f t="shared" si="404"/>
        <v>-26.180000000000003</v>
      </c>
      <c r="AE498" s="2" t="s">
        <v>91</v>
      </c>
      <c r="AG498" s="8" t="s">
        <v>940</v>
      </c>
      <c r="AH498" s="8" t="s">
        <v>940</v>
      </c>
      <c r="AI498" s="6"/>
      <c r="AJ498" s="70">
        <v>-739994</v>
      </c>
      <c r="AK498" s="70">
        <v>718441</v>
      </c>
      <c r="AL498" s="72"/>
      <c r="AM498" s="22"/>
      <c r="AN498" s="70"/>
      <c r="AO498" s="22" t="s">
        <v>126</v>
      </c>
      <c r="AP498" s="23">
        <v>20563</v>
      </c>
      <c r="AQ498" s="22" t="s">
        <v>100</v>
      </c>
      <c r="AR498" s="51" t="str">
        <f t="shared" si="392"/>
        <v>JD8B-20563-AA</v>
      </c>
      <c r="AS498" s="3"/>
      <c r="AT498" s="22">
        <v>1</v>
      </c>
      <c r="AU498" s="22">
        <v>1</v>
      </c>
      <c r="AV498" s="22"/>
      <c r="AW498" s="22"/>
      <c r="AX498" s="22"/>
      <c r="AY498" s="22"/>
      <c r="AZ498" s="22"/>
      <c r="BA498" s="22"/>
      <c r="BB498" s="116">
        <f t="shared" si="393"/>
        <v>0.30000000000000004</v>
      </c>
      <c r="BD498" s="105">
        <v>-24.89</v>
      </c>
      <c r="BE498" s="105">
        <v>0</v>
      </c>
      <c r="BF498" s="105">
        <v>-0.26</v>
      </c>
      <c r="BG498" s="105">
        <v>0</v>
      </c>
      <c r="BH498" s="105">
        <v>-1.03</v>
      </c>
      <c r="BI498" s="8">
        <f t="shared" si="397"/>
        <v>-26.180000000000003</v>
      </c>
      <c r="BJ498" s="2" t="s">
        <v>91</v>
      </c>
      <c r="BL498" s="70">
        <v>-202750</v>
      </c>
      <c r="BM498" s="70">
        <v>-202750</v>
      </c>
      <c r="BO498" s="70">
        <v>-739994</v>
      </c>
      <c r="BP498" s="70">
        <v>430229.06976744189</v>
      </c>
      <c r="BQ498" s="72"/>
      <c r="BS498" s="61">
        <f t="shared" si="401"/>
        <v>0</v>
      </c>
      <c r="BT498" s="61">
        <f t="shared" si="398"/>
        <v>0</v>
      </c>
      <c r="BU498" s="61">
        <f t="shared" si="399"/>
        <v>0</v>
      </c>
      <c r="BV498" s="61">
        <f t="shared" si="400"/>
        <v>0</v>
      </c>
      <c r="BW498" s="61">
        <f t="shared" si="400"/>
        <v>0</v>
      </c>
      <c r="BX498" s="61">
        <f t="shared" si="405"/>
        <v>0</v>
      </c>
      <c r="BY498" s="61" t="s">
        <v>91</v>
      </c>
      <c r="CA498" s="61">
        <f t="shared" si="390"/>
        <v>0</v>
      </c>
      <c r="CB498" s="61">
        <f t="shared" si="390"/>
        <v>0</v>
      </c>
      <c r="CC498" s="61">
        <f t="shared" si="390"/>
        <v>0</v>
      </c>
      <c r="CD498" s="61">
        <f t="shared" si="390"/>
        <v>0</v>
      </c>
      <c r="CE498" s="61">
        <f t="shared" si="390"/>
        <v>0</v>
      </c>
      <c r="CF498" s="61">
        <f t="shared" si="388"/>
        <v>0</v>
      </c>
      <c r="CG498" s="61">
        <f t="shared" si="388"/>
        <v>0</v>
      </c>
      <c r="CH498" s="61">
        <f t="shared" si="388"/>
        <v>0</v>
      </c>
      <c r="CI498" s="61">
        <f t="shared" si="375"/>
        <v>0</v>
      </c>
      <c r="CJ498" s="61"/>
      <c r="CK498" s="61">
        <f t="shared" si="406"/>
        <v>0</v>
      </c>
      <c r="CL498" s="61">
        <f t="shared" si="406"/>
        <v>0</v>
      </c>
      <c r="CM498" s="61">
        <f t="shared" si="406"/>
        <v>0</v>
      </c>
      <c r="CN498" s="61">
        <f t="shared" si="406"/>
        <v>0</v>
      </c>
      <c r="CO498" s="61">
        <f t="shared" si="406"/>
        <v>0</v>
      </c>
      <c r="CP498" s="61">
        <f t="shared" si="406"/>
        <v>0</v>
      </c>
      <c r="CQ498" s="61">
        <f t="shared" si="406"/>
        <v>0</v>
      </c>
      <c r="CR498" s="61">
        <f t="shared" si="406"/>
        <v>0</v>
      </c>
      <c r="CS498" s="61">
        <f t="shared" si="376"/>
        <v>0</v>
      </c>
      <c r="CT498" s="61">
        <f t="shared" si="377"/>
        <v>0</v>
      </c>
      <c r="CV498" s="61">
        <f>SUM(AG497)-SUM(BL498)</f>
        <v>0</v>
      </c>
      <c r="CW498" s="61">
        <f>SUM(AH497)-SUM(BM498)</f>
        <v>0</v>
      </c>
      <c r="CX498" s="61"/>
      <c r="CY498" s="61">
        <f t="shared" si="368"/>
        <v>0</v>
      </c>
      <c r="CZ498" s="61">
        <f t="shared" si="391"/>
        <v>288211.93023255811</v>
      </c>
      <c r="DA498" s="61">
        <f t="shared" si="391"/>
        <v>0</v>
      </c>
      <c r="DB498" s="2" t="s">
        <v>85</v>
      </c>
      <c r="DC498" s="2" t="s">
        <v>86</v>
      </c>
      <c r="DD498" s="2" t="s">
        <v>142</v>
      </c>
      <c r="DE498" s="2" t="s">
        <v>264</v>
      </c>
      <c r="DG498" s="62"/>
      <c r="DZ498" s="3" t="e">
        <v>#N/A</v>
      </c>
      <c r="EC498" s="60"/>
      <c r="ED498" s="60"/>
      <c r="EE498" s="60"/>
      <c r="EF498" s="60"/>
    </row>
    <row r="499" spans="2:140" ht="12.75" hidden="1" customHeight="1">
      <c r="B499" s="99" t="s">
        <v>965</v>
      </c>
      <c r="C499" s="22" t="s">
        <v>966</v>
      </c>
      <c r="D499" s="22" t="s">
        <v>967</v>
      </c>
      <c r="E499" s="2" t="s">
        <v>968</v>
      </c>
      <c r="F499" s="2" t="s">
        <v>969</v>
      </c>
      <c r="G499" s="2" t="s">
        <v>331</v>
      </c>
      <c r="J499" s="22" t="s">
        <v>138</v>
      </c>
      <c r="K499" s="23">
        <v>20563</v>
      </c>
      <c r="L499" s="22" t="s">
        <v>970</v>
      </c>
      <c r="M499" s="51" t="str">
        <f t="shared" si="402"/>
        <v>JD8B-20563-BB</v>
      </c>
      <c r="O499" s="22"/>
      <c r="P499" s="22"/>
      <c r="Q499" s="22">
        <v>1</v>
      </c>
      <c r="R499" s="22">
        <v>1</v>
      </c>
      <c r="S499" s="22">
        <v>1</v>
      </c>
      <c r="T499" s="22">
        <v>1</v>
      </c>
      <c r="U499" s="22">
        <v>1</v>
      </c>
      <c r="V499" s="22">
        <v>1</v>
      </c>
      <c r="W499" s="64">
        <f t="shared" si="403"/>
        <v>0.70000000000000007</v>
      </c>
      <c r="Y499" s="8">
        <v>-33.369999999999997</v>
      </c>
      <c r="Z499" s="8">
        <v>0</v>
      </c>
      <c r="AA499" s="8">
        <v>-0.46</v>
      </c>
      <c r="AB499" s="8">
        <v>0</v>
      </c>
      <c r="AC499" s="8">
        <v>-0.69</v>
      </c>
      <c r="AD499" s="8">
        <f t="shared" si="404"/>
        <v>-34.519999999999996</v>
      </c>
      <c r="AE499" s="2" t="s">
        <v>91</v>
      </c>
      <c r="AG499" s="8" t="s">
        <v>940</v>
      </c>
      <c r="AH499" s="8" t="s">
        <v>940</v>
      </c>
      <c r="AI499" s="6"/>
      <c r="AJ499" s="70">
        <v>-739994</v>
      </c>
      <c r="AK499" s="70">
        <v>1072455</v>
      </c>
      <c r="AL499" s="72"/>
      <c r="AM499" s="22"/>
      <c r="AN499" s="70"/>
      <c r="AO499" s="22" t="s">
        <v>126</v>
      </c>
      <c r="AP499" s="23">
        <v>20563</v>
      </c>
      <c r="AQ499" s="22" t="s">
        <v>111</v>
      </c>
      <c r="AR499" s="51" t="str">
        <f t="shared" si="392"/>
        <v>JD8B-20563-BA</v>
      </c>
      <c r="AS499" s="3"/>
      <c r="AT499" s="22"/>
      <c r="AU499" s="22"/>
      <c r="AV499" s="22">
        <v>1</v>
      </c>
      <c r="AW499" s="22">
        <v>1</v>
      </c>
      <c r="AX499" s="22">
        <v>1</v>
      </c>
      <c r="AY499" s="22">
        <v>1</v>
      </c>
      <c r="AZ499" s="22">
        <v>1</v>
      </c>
      <c r="BA499" s="22">
        <v>1</v>
      </c>
      <c r="BB499" s="116">
        <f t="shared" si="393"/>
        <v>0.70000000000000007</v>
      </c>
      <c r="BD499" s="105">
        <v>-33.369999999999997</v>
      </c>
      <c r="BE499" s="105">
        <v>0</v>
      </c>
      <c r="BF499" s="105">
        <v>-0.46</v>
      </c>
      <c r="BG499" s="105">
        <v>0</v>
      </c>
      <c r="BH499" s="105">
        <v>-0.69</v>
      </c>
      <c r="BI499" s="8">
        <f t="shared" si="397"/>
        <v>-34.519999999999996</v>
      </c>
      <c r="BJ499" s="2" t="s">
        <v>91</v>
      </c>
      <c r="BL499" s="70" t="s">
        <v>940</v>
      </c>
      <c r="BM499" s="70" t="s">
        <v>940</v>
      </c>
      <c r="BO499" s="70" t="s">
        <v>940</v>
      </c>
      <c r="BP499" s="70" t="s">
        <v>940</v>
      </c>
      <c r="BQ499" s="72"/>
      <c r="BS499" s="61">
        <f t="shared" si="401"/>
        <v>0</v>
      </c>
      <c r="BT499" s="61">
        <f t="shared" si="398"/>
        <v>0</v>
      </c>
      <c r="BU499" s="61">
        <f t="shared" si="399"/>
        <v>0</v>
      </c>
      <c r="BV499" s="61">
        <f t="shared" si="400"/>
        <v>0</v>
      </c>
      <c r="BW499" s="61">
        <f t="shared" si="400"/>
        <v>0</v>
      </c>
      <c r="BX499" s="61">
        <f t="shared" si="405"/>
        <v>0</v>
      </c>
      <c r="BY499" s="61" t="s">
        <v>91</v>
      </c>
      <c r="CA499" s="61">
        <f t="shared" si="390"/>
        <v>0</v>
      </c>
      <c r="CB499" s="61">
        <f t="shared" si="390"/>
        <v>0</v>
      </c>
      <c r="CC499" s="61">
        <f t="shared" si="390"/>
        <v>0</v>
      </c>
      <c r="CD499" s="61">
        <f t="shared" si="390"/>
        <v>0</v>
      </c>
      <c r="CE499" s="61">
        <f t="shared" si="390"/>
        <v>0</v>
      </c>
      <c r="CF499" s="61">
        <f t="shared" si="388"/>
        <v>0</v>
      </c>
      <c r="CG499" s="61">
        <f t="shared" si="388"/>
        <v>0</v>
      </c>
      <c r="CH499" s="61">
        <f t="shared" si="388"/>
        <v>0</v>
      </c>
      <c r="CI499" s="61">
        <f t="shared" si="375"/>
        <v>0</v>
      </c>
      <c r="CJ499" s="61"/>
      <c r="CK499" s="61">
        <f t="shared" si="406"/>
        <v>0</v>
      </c>
      <c r="CL499" s="61">
        <f t="shared" si="406"/>
        <v>0</v>
      </c>
      <c r="CM499" s="61">
        <f t="shared" si="406"/>
        <v>0</v>
      </c>
      <c r="CN499" s="61">
        <f t="shared" si="406"/>
        <v>0</v>
      </c>
      <c r="CO499" s="61">
        <f t="shared" si="406"/>
        <v>0</v>
      </c>
      <c r="CP499" s="61">
        <f t="shared" si="406"/>
        <v>0</v>
      </c>
      <c r="CQ499" s="61">
        <f t="shared" si="406"/>
        <v>0</v>
      </c>
      <c r="CR499" s="61">
        <f t="shared" si="406"/>
        <v>0</v>
      </c>
      <c r="CS499" s="61">
        <f t="shared" si="376"/>
        <v>0</v>
      </c>
      <c r="CT499" s="61">
        <f t="shared" si="377"/>
        <v>0</v>
      </c>
      <c r="CV499" s="61">
        <f t="shared" ref="CV499:CV540" si="408">SUM(AG499)-SUM(BL499)</f>
        <v>0</v>
      </c>
      <c r="CW499" s="61">
        <f t="shared" si="383"/>
        <v>0</v>
      </c>
      <c r="CX499" s="61"/>
      <c r="CY499" s="61">
        <f t="shared" si="368"/>
        <v>-739994</v>
      </c>
      <c r="CZ499" s="61">
        <f t="shared" si="391"/>
        <v>1072455</v>
      </c>
      <c r="DA499" s="61">
        <f t="shared" si="391"/>
        <v>0</v>
      </c>
      <c r="DB499" s="2" t="s">
        <v>85</v>
      </c>
      <c r="DC499" s="2" t="s">
        <v>86</v>
      </c>
      <c r="DD499" s="2" t="s">
        <v>142</v>
      </c>
      <c r="DE499" s="2" t="s">
        <v>264</v>
      </c>
      <c r="DG499" s="62"/>
      <c r="DZ499" s="3" t="e">
        <v>#N/A</v>
      </c>
      <c r="EC499" s="60"/>
      <c r="ED499" s="60"/>
      <c r="EE499" s="60"/>
      <c r="EF499" s="60"/>
    </row>
    <row r="500" spans="2:140" ht="12.75" hidden="1" customHeight="1">
      <c r="B500" s="99" t="s">
        <v>965</v>
      </c>
      <c r="C500" s="22" t="s">
        <v>966</v>
      </c>
      <c r="D500" s="22" t="s">
        <v>967</v>
      </c>
      <c r="E500" s="2" t="s">
        <v>968</v>
      </c>
      <c r="F500" s="2" t="s">
        <v>969</v>
      </c>
      <c r="G500" s="2" t="s">
        <v>331</v>
      </c>
      <c r="J500" s="22" t="s">
        <v>138</v>
      </c>
      <c r="K500" s="23">
        <v>21510</v>
      </c>
      <c r="L500" s="22" t="s">
        <v>970</v>
      </c>
      <c r="M500" s="51" t="str">
        <f t="shared" si="402"/>
        <v>JD8B-21510-BB</v>
      </c>
      <c r="O500" s="22"/>
      <c r="P500" s="22"/>
      <c r="Q500" s="22"/>
      <c r="R500" s="22"/>
      <c r="S500" s="22"/>
      <c r="T500" s="22"/>
      <c r="U500" s="22">
        <v>1</v>
      </c>
      <c r="V500" s="22">
        <v>1</v>
      </c>
      <c r="W500" s="64">
        <f t="shared" si="403"/>
        <v>0.1</v>
      </c>
      <c r="Y500" s="8">
        <v>-74.686632247197011</v>
      </c>
      <c r="Z500" s="8">
        <v>-5.18</v>
      </c>
      <c r="AA500" s="8">
        <v>-1.5</v>
      </c>
      <c r="AB500" s="8">
        <v>0</v>
      </c>
      <c r="AC500" s="8">
        <v>-2.98</v>
      </c>
      <c r="AD500" s="8">
        <f t="shared" si="404"/>
        <v>-84.346632247197007</v>
      </c>
      <c r="AE500" s="2" t="s">
        <v>91</v>
      </c>
      <c r="AG500" s="8">
        <v>-2987362</v>
      </c>
      <c r="AH500" s="8">
        <v>-2987362</v>
      </c>
      <c r="AI500" s="6"/>
      <c r="AJ500" s="70">
        <v>-1262951</v>
      </c>
      <c r="AK500" s="70">
        <v>423809.06040268455</v>
      </c>
      <c r="AL500" s="72"/>
      <c r="AM500" s="22"/>
      <c r="AN500" s="70"/>
      <c r="AO500" s="22" t="s">
        <v>126</v>
      </c>
      <c r="AP500" s="23">
        <v>21510</v>
      </c>
      <c r="AQ500" s="22" t="s">
        <v>111</v>
      </c>
      <c r="AR500" s="51" t="str">
        <f t="shared" si="392"/>
        <v>JD8B-21510-BA</v>
      </c>
      <c r="AS500" s="3"/>
      <c r="AT500" s="22"/>
      <c r="AU500" s="22"/>
      <c r="AV500" s="22"/>
      <c r="AW500" s="22"/>
      <c r="AX500" s="22"/>
      <c r="AY500" s="22"/>
      <c r="AZ500" s="22">
        <v>1</v>
      </c>
      <c r="BA500" s="22">
        <v>1</v>
      </c>
      <c r="BB500" s="116">
        <f t="shared" si="393"/>
        <v>0.1</v>
      </c>
      <c r="BD500" s="105">
        <v>-74.686632247197011</v>
      </c>
      <c r="BE500" s="105">
        <v>-5.18</v>
      </c>
      <c r="BF500" s="105">
        <v>-1.5</v>
      </c>
      <c r="BG500" s="105">
        <v>0</v>
      </c>
      <c r="BH500" s="105">
        <v>-2.98</v>
      </c>
      <c r="BI500" s="8">
        <f t="shared" si="397"/>
        <v>-84.346632247197007</v>
      </c>
      <c r="BJ500" s="2" t="s">
        <v>91</v>
      </c>
      <c r="BL500" s="70">
        <v>-2987362</v>
      </c>
      <c r="BM500" s="70">
        <v>-2987362</v>
      </c>
      <c r="BO500" s="70">
        <v>-1262951</v>
      </c>
      <c r="BP500" s="70">
        <v>423809.06040268455</v>
      </c>
      <c r="BQ500" s="72"/>
      <c r="BS500" s="61">
        <f t="shared" si="401"/>
        <v>0</v>
      </c>
      <c r="BT500" s="61">
        <f t="shared" si="398"/>
        <v>0</v>
      </c>
      <c r="BU500" s="61">
        <f t="shared" si="399"/>
        <v>0</v>
      </c>
      <c r="BV500" s="61">
        <f t="shared" si="400"/>
        <v>0</v>
      </c>
      <c r="BW500" s="61">
        <f t="shared" si="400"/>
        <v>0</v>
      </c>
      <c r="BX500" s="61">
        <f t="shared" si="405"/>
        <v>0</v>
      </c>
      <c r="BY500" s="61" t="s">
        <v>91</v>
      </c>
      <c r="CA500" s="61">
        <f t="shared" si="390"/>
        <v>0</v>
      </c>
      <c r="CB500" s="61">
        <f t="shared" si="390"/>
        <v>0</v>
      </c>
      <c r="CC500" s="61">
        <f t="shared" si="390"/>
        <v>0</v>
      </c>
      <c r="CD500" s="61">
        <f t="shared" si="390"/>
        <v>0</v>
      </c>
      <c r="CE500" s="61">
        <f t="shared" si="390"/>
        <v>0</v>
      </c>
      <c r="CF500" s="61">
        <f t="shared" si="388"/>
        <v>0</v>
      </c>
      <c r="CG500" s="61">
        <f t="shared" si="388"/>
        <v>0</v>
      </c>
      <c r="CH500" s="61">
        <f t="shared" si="388"/>
        <v>0</v>
      </c>
      <c r="CI500" s="61">
        <f t="shared" si="375"/>
        <v>0</v>
      </c>
      <c r="CJ500" s="61"/>
      <c r="CK500" s="61">
        <f t="shared" si="406"/>
        <v>0</v>
      </c>
      <c r="CL500" s="61">
        <f t="shared" si="406"/>
        <v>0</v>
      </c>
      <c r="CM500" s="61">
        <f t="shared" si="406"/>
        <v>0</v>
      </c>
      <c r="CN500" s="61">
        <f t="shared" si="406"/>
        <v>0</v>
      </c>
      <c r="CO500" s="61">
        <f t="shared" si="406"/>
        <v>0</v>
      </c>
      <c r="CP500" s="61">
        <f t="shared" si="406"/>
        <v>0</v>
      </c>
      <c r="CQ500" s="61">
        <f t="shared" si="406"/>
        <v>0</v>
      </c>
      <c r="CR500" s="61">
        <f t="shared" si="406"/>
        <v>0</v>
      </c>
      <c r="CS500" s="61">
        <f t="shared" si="376"/>
        <v>0</v>
      </c>
      <c r="CT500" s="61">
        <f t="shared" si="377"/>
        <v>0</v>
      </c>
      <c r="CV500" s="61">
        <f t="shared" si="408"/>
        <v>0</v>
      </c>
      <c r="CW500" s="61">
        <f t="shared" si="383"/>
        <v>0</v>
      </c>
      <c r="CX500" s="61"/>
      <c r="CY500" s="61">
        <f t="shared" si="368"/>
        <v>0</v>
      </c>
      <c r="CZ500" s="61">
        <f t="shared" si="391"/>
        <v>0</v>
      </c>
      <c r="DA500" s="61">
        <f t="shared" si="391"/>
        <v>0</v>
      </c>
      <c r="DB500" s="2" t="s">
        <v>85</v>
      </c>
      <c r="DC500" s="2" t="s">
        <v>86</v>
      </c>
      <c r="DD500" s="2" t="s">
        <v>142</v>
      </c>
      <c r="DE500" s="2" t="s">
        <v>264</v>
      </c>
      <c r="DG500" s="62"/>
      <c r="DZ500" s="3" t="e">
        <v>#N/A</v>
      </c>
      <c r="EC500" s="60"/>
      <c r="ED500" s="60"/>
      <c r="EE500" s="60"/>
      <c r="EF500" s="60"/>
      <c r="EH500" s="60"/>
      <c r="EI500" s="60"/>
      <c r="EJ500" s="60"/>
    </row>
    <row r="501" spans="2:140" ht="12.75" hidden="1" customHeight="1">
      <c r="B501" s="99" t="s">
        <v>971</v>
      </c>
      <c r="C501" s="22" t="s">
        <v>966</v>
      </c>
      <c r="D501" s="22" t="s">
        <v>967</v>
      </c>
      <c r="E501" s="2" t="s">
        <v>968</v>
      </c>
      <c r="F501" s="2" t="s">
        <v>969</v>
      </c>
      <c r="G501" s="2" t="s">
        <v>331</v>
      </c>
      <c r="J501" s="22" t="s">
        <v>138</v>
      </c>
      <c r="K501" s="23">
        <v>21510</v>
      </c>
      <c r="L501" s="22" t="s">
        <v>599</v>
      </c>
      <c r="M501" s="51" t="str">
        <f t="shared" si="402"/>
        <v>JD8B-21510-BC</v>
      </c>
      <c r="O501" s="22"/>
      <c r="P501" s="22"/>
      <c r="Q501" s="22"/>
      <c r="R501" s="22"/>
      <c r="S501" s="22"/>
      <c r="T501" s="22"/>
      <c r="U501" s="22">
        <v>1</v>
      </c>
      <c r="V501" s="22">
        <v>1</v>
      </c>
      <c r="W501" s="64">
        <f t="shared" si="403"/>
        <v>0.1</v>
      </c>
      <c r="Y501" s="8">
        <v>-76.569999999999993</v>
      </c>
      <c r="Z501" s="8">
        <v>-5.18</v>
      </c>
      <c r="AA501" s="8">
        <v>-1.5</v>
      </c>
      <c r="AB501" s="8">
        <v>0</v>
      </c>
      <c r="AC501" s="8">
        <v>-2.98</v>
      </c>
      <c r="AD501" s="8">
        <f t="shared" si="404"/>
        <v>-86.23</v>
      </c>
      <c r="AE501" s="2" t="s">
        <v>91</v>
      </c>
      <c r="AG501" s="8">
        <v>-3087632</v>
      </c>
      <c r="AH501" s="8">
        <v>-3087632</v>
      </c>
      <c r="AI501" s="6"/>
      <c r="AJ501" s="70">
        <v>-1262951</v>
      </c>
      <c r="AK501" s="70">
        <v>423809.06040268455</v>
      </c>
      <c r="AL501" s="72"/>
      <c r="AM501" s="22"/>
      <c r="AN501" s="70"/>
      <c r="AO501" s="22" t="s">
        <v>126</v>
      </c>
      <c r="AP501" s="23">
        <v>21510</v>
      </c>
      <c r="AQ501" s="22" t="s">
        <v>120</v>
      </c>
      <c r="AR501" s="51" t="str">
        <f t="shared" si="392"/>
        <v>JD8B-21510-BB</v>
      </c>
      <c r="AS501" s="3"/>
      <c r="AT501" s="22"/>
      <c r="AU501" s="22"/>
      <c r="AV501" s="22"/>
      <c r="AW501" s="22"/>
      <c r="AX501" s="22"/>
      <c r="AY501" s="22"/>
      <c r="AZ501" s="22">
        <v>1</v>
      </c>
      <c r="BA501" s="22">
        <v>1</v>
      </c>
      <c r="BB501" s="116">
        <f t="shared" si="393"/>
        <v>0.1</v>
      </c>
      <c r="BD501" s="8">
        <v>-74.686632247197011</v>
      </c>
      <c r="BE501" s="8">
        <v>-5.18</v>
      </c>
      <c r="BF501" s="8">
        <v>-1.5</v>
      </c>
      <c r="BG501" s="8">
        <v>0</v>
      </c>
      <c r="BH501" s="8">
        <v>-2.98</v>
      </c>
      <c r="BI501" s="8">
        <f t="shared" si="397"/>
        <v>-84.346632247197007</v>
      </c>
      <c r="BJ501" s="2" t="s">
        <v>91</v>
      </c>
      <c r="BL501" s="70">
        <v>-2987362</v>
      </c>
      <c r="BM501" s="70">
        <v>-2987362</v>
      </c>
      <c r="BO501" s="70">
        <v>-1262951</v>
      </c>
      <c r="BP501" s="70">
        <v>423809.06040268455</v>
      </c>
      <c r="BQ501" s="72"/>
      <c r="BS501" s="61">
        <f t="shared" si="401"/>
        <v>-1.8833677528029824</v>
      </c>
      <c r="BT501" s="61">
        <f t="shared" si="398"/>
        <v>0</v>
      </c>
      <c r="BU501" s="61">
        <f t="shared" si="399"/>
        <v>0</v>
      </c>
      <c r="BV501" s="61">
        <f t="shared" si="400"/>
        <v>0</v>
      </c>
      <c r="BW501" s="61">
        <f t="shared" si="400"/>
        <v>0</v>
      </c>
      <c r="BX501" s="61">
        <f t="shared" si="405"/>
        <v>-1.8833677528029966</v>
      </c>
      <c r="BY501" s="61" t="s">
        <v>91</v>
      </c>
      <c r="CA501" s="61">
        <f t="shared" si="390"/>
        <v>0</v>
      </c>
      <c r="CB501" s="61">
        <f t="shared" si="390"/>
        <v>0</v>
      </c>
      <c r="CC501" s="61">
        <f t="shared" si="390"/>
        <v>0</v>
      </c>
      <c r="CD501" s="61">
        <f t="shared" si="390"/>
        <v>0</v>
      </c>
      <c r="CE501" s="61">
        <f t="shared" si="390"/>
        <v>0</v>
      </c>
      <c r="CF501" s="61">
        <f t="shared" si="388"/>
        <v>0</v>
      </c>
      <c r="CG501" s="61">
        <f t="shared" si="388"/>
        <v>-0.28334101892627989</v>
      </c>
      <c r="CH501" s="61">
        <f t="shared" si="388"/>
        <v>-0.28334101892627989</v>
      </c>
      <c r="CI501" s="61">
        <f t="shared" si="375"/>
        <v>-2.8334101892627989E-2</v>
      </c>
      <c r="CJ501" s="61"/>
      <c r="CK501" s="61">
        <f t="shared" si="406"/>
        <v>0</v>
      </c>
      <c r="CL501" s="61">
        <f t="shared" si="406"/>
        <v>0</v>
      </c>
      <c r="CM501" s="61">
        <f t="shared" si="406"/>
        <v>0</v>
      </c>
      <c r="CN501" s="61">
        <f t="shared" si="406"/>
        <v>0</v>
      </c>
      <c r="CO501" s="61">
        <f t="shared" si="406"/>
        <v>0</v>
      </c>
      <c r="CP501" s="61">
        <f t="shared" si="406"/>
        <v>0</v>
      </c>
      <c r="CQ501" s="61">
        <f t="shared" si="406"/>
        <v>-0.283341018926282</v>
      </c>
      <c r="CR501" s="61">
        <f t="shared" si="406"/>
        <v>-0.283341018926282</v>
      </c>
      <c r="CS501" s="61">
        <f t="shared" si="376"/>
        <v>-2.8334101892628201E-2</v>
      </c>
      <c r="CT501" s="61">
        <f t="shared" si="377"/>
        <v>-0.18833677528029966</v>
      </c>
      <c r="CV501" s="61">
        <f t="shared" si="408"/>
        <v>-100270</v>
      </c>
      <c r="CW501" s="61">
        <f t="shared" ref="CW501" si="409">SUM(AH501)-SUM(BM501)</f>
        <v>-100270</v>
      </c>
      <c r="CX501" s="61"/>
      <c r="CY501" s="61">
        <f t="shared" ref="CY501" si="410">SUM(AJ501)-SUM(BO501)</f>
        <v>0</v>
      </c>
      <c r="CZ501" s="61">
        <f t="shared" si="391"/>
        <v>0</v>
      </c>
      <c r="DA501" s="61">
        <f t="shared" si="391"/>
        <v>0</v>
      </c>
      <c r="DB501" s="2" t="s">
        <v>86</v>
      </c>
      <c r="DC501" s="2" t="s">
        <v>85</v>
      </c>
      <c r="DD501" s="2" t="s">
        <v>142</v>
      </c>
      <c r="DE501" s="2" t="s">
        <v>972</v>
      </c>
      <c r="DG501" s="62"/>
      <c r="DZ501" s="3" t="e">
        <v>#N/A</v>
      </c>
      <c r="EC501" s="60" t="str">
        <f>VLOOKUP($M501,[1]Detail!$M:$BO,1,0)</f>
        <v>JD8B-21510-BC</v>
      </c>
      <c r="ED501" s="60">
        <f>VLOOKUP($M501,[1]Detail!$M:$BO,22,0)</f>
        <v>-86.23</v>
      </c>
      <c r="EE501" s="60">
        <f>VLOOKUP($M501,[1]Detail!$M:$BO,42,0)</f>
        <v>-3087632</v>
      </c>
      <c r="EF501" s="60">
        <f>VLOOKUP($M501,[1]Detail!$M:$BO,45,0)</f>
        <v>-1262951</v>
      </c>
      <c r="EH501" s="60">
        <f>ED501-AD501</f>
        <v>0</v>
      </c>
      <c r="EI501" s="60">
        <f>EE501-AG501</f>
        <v>0</v>
      </c>
      <c r="EJ501" s="60">
        <f t="shared" ref="EJ501" si="411">EF501-AJ501</f>
        <v>0</v>
      </c>
    </row>
    <row r="502" spans="2:140" ht="11.25" hidden="1" customHeight="1">
      <c r="B502" s="99" t="s">
        <v>965</v>
      </c>
      <c r="C502" s="22" t="s">
        <v>966</v>
      </c>
      <c r="D502" s="22" t="s">
        <v>967</v>
      </c>
      <c r="E502" s="2" t="s">
        <v>968</v>
      </c>
      <c r="F502" s="2" t="s">
        <v>969</v>
      </c>
      <c r="G502" s="2" t="s">
        <v>331</v>
      </c>
      <c r="J502" s="22" t="s">
        <v>138</v>
      </c>
      <c r="K502" s="23">
        <v>21511</v>
      </c>
      <c r="L502" s="22" t="s">
        <v>970</v>
      </c>
      <c r="M502" s="51" t="str">
        <f t="shared" si="402"/>
        <v>JD8B-21511-BB</v>
      </c>
      <c r="O502" s="22"/>
      <c r="P502" s="22"/>
      <c r="Q502" s="22"/>
      <c r="R502" s="22"/>
      <c r="S502" s="22"/>
      <c r="T502" s="22"/>
      <c r="U502" s="22">
        <v>1</v>
      </c>
      <c r="V502" s="22">
        <v>1</v>
      </c>
      <c r="W502" s="64">
        <f t="shared" si="403"/>
        <v>0.1</v>
      </c>
      <c r="Y502" s="8">
        <v>-74.686632247197011</v>
      </c>
      <c r="Z502" s="8">
        <v>-5.18</v>
      </c>
      <c r="AA502" s="8">
        <v>-1.5</v>
      </c>
      <c r="AB502" s="8">
        <v>0</v>
      </c>
      <c r="AC502" s="8">
        <v>-2.98</v>
      </c>
      <c r="AD502" s="8">
        <f t="shared" si="404"/>
        <v>-84.346632247197007</v>
      </c>
      <c r="AE502" s="2" t="s">
        <v>91</v>
      </c>
      <c r="AG502" s="8" t="s">
        <v>973</v>
      </c>
      <c r="AH502" s="8" t="s">
        <v>973</v>
      </c>
      <c r="AI502" s="6"/>
      <c r="AJ502" s="70" t="s">
        <v>973</v>
      </c>
      <c r="AK502" s="70" t="s">
        <v>973</v>
      </c>
      <c r="AL502" s="72"/>
      <c r="AM502" s="22"/>
      <c r="AN502" s="70"/>
      <c r="AO502" s="22" t="s">
        <v>138</v>
      </c>
      <c r="AP502" s="23">
        <v>21511</v>
      </c>
      <c r="AQ502" s="22" t="s">
        <v>111</v>
      </c>
      <c r="AR502" s="51" t="str">
        <f t="shared" si="392"/>
        <v>JD8B-21511-BA</v>
      </c>
      <c r="AS502" s="3"/>
      <c r="AT502" s="22"/>
      <c r="AU502" s="22"/>
      <c r="AV502" s="22"/>
      <c r="AW502" s="22"/>
      <c r="AX502" s="22"/>
      <c r="AY502" s="22"/>
      <c r="AZ502" s="22">
        <v>1</v>
      </c>
      <c r="BA502" s="22">
        <v>1</v>
      </c>
      <c r="BB502" s="116">
        <f t="shared" si="393"/>
        <v>0.1</v>
      </c>
      <c r="BD502" s="105">
        <v>-74.686632247197011</v>
      </c>
      <c r="BE502" s="105">
        <v>-5.18</v>
      </c>
      <c r="BF502" s="105">
        <v>-1.5</v>
      </c>
      <c r="BG502" s="105">
        <v>0</v>
      </c>
      <c r="BH502" s="105">
        <v>-2.98</v>
      </c>
      <c r="BI502" s="8">
        <f t="shared" si="397"/>
        <v>-84.346632247197007</v>
      </c>
      <c r="BJ502" s="2" t="s">
        <v>91</v>
      </c>
      <c r="BL502" s="70" t="s">
        <v>973</v>
      </c>
      <c r="BM502" s="70" t="s">
        <v>973</v>
      </c>
      <c r="BO502" s="70" t="s">
        <v>973</v>
      </c>
      <c r="BP502" s="70" t="s">
        <v>973</v>
      </c>
      <c r="BQ502" s="72"/>
      <c r="BS502" s="61">
        <f t="shared" si="401"/>
        <v>0</v>
      </c>
      <c r="BT502" s="61">
        <f t="shared" si="398"/>
        <v>0</v>
      </c>
      <c r="BU502" s="61">
        <f t="shared" si="399"/>
        <v>0</v>
      </c>
      <c r="BV502" s="61">
        <f t="shared" si="400"/>
        <v>0</v>
      </c>
      <c r="BW502" s="61">
        <f t="shared" si="400"/>
        <v>0</v>
      </c>
      <c r="BX502" s="61">
        <f t="shared" si="405"/>
        <v>0</v>
      </c>
      <c r="BY502" s="61" t="s">
        <v>91</v>
      </c>
      <c r="CA502" s="61">
        <f t="shared" si="390"/>
        <v>0</v>
      </c>
      <c r="CB502" s="61">
        <f t="shared" si="390"/>
        <v>0</v>
      </c>
      <c r="CC502" s="61">
        <f t="shared" si="390"/>
        <v>0</v>
      </c>
      <c r="CD502" s="61">
        <f t="shared" si="390"/>
        <v>0</v>
      </c>
      <c r="CE502" s="61">
        <f t="shared" si="390"/>
        <v>0</v>
      </c>
      <c r="CF502" s="61">
        <f t="shared" si="388"/>
        <v>0</v>
      </c>
      <c r="CG502" s="61">
        <f t="shared" si="388"/>
        <v>0</v>
      </c>
      <c r="CH502" s="61">
        <f t="shared" si="388"/>
        <v>0</v>
      </c>
      <c r="CI502" s="61">
        <f t="shared" si="375"/>
        <v>0</v>
      </c>
      <c r="CJ502" s="61"/>
      <c r="CK502" s="61">
        <f t="shared" si="406"/>
        <v>0</v>
      </c>
      <c r="CL502" s="61">
        <f t="shared" si="406"/>
        <v>0</v>
      </c>
      <c r="CM502" s="61">
        <f t="shared" si="406"/>
        <v>0</v>
      </c>
      <c r="CN502" s="61">
        <f t="shared" si="406"/>
        <v>0</v>
      </c>
      <c r="CO502" s="61">
        <f t="shared" si="406"/>
        <v>0</v>
      </c>
      <c r="CP502" s="61">
        <f t="shared" si="406"/>
        <v>0</v>
      </c>
      <c r="CQ502" s="61">
        <f t="shared" si="406"/>
        <v>0</v>
      </c>
      <c r="CR502" s="61">
        <f t="shared" si="406"/>
        <v>0</v>
      </c>
      <c r="CS502" s="61">
        <f t="shared" si="376"/>
        <v>0</v>
      </c>
      <c r="CT502" s="61">
        <f t="shared" si="377"/>
        <v>0</v>
      </c>
      <c r="CV502" s="61">
        <f t="shared" si="408"/>
        <v>0</v>
      </c>
      <c r="CW502" s="61">
        <f t="shared" si="383"/>
        <v>0</v>
      </c>
      <c r="CX502" s="61"/>
      <c r="CY502" s="61">
        <f t="shared" si="368"/>
        <v>0</v>
      </c>
      <c r="CZ502" s="61">
        <f t="shared" si="391"/>
        <v>0</v>
      </c>
      <c r="DA502" s="61">
        <f t="shared" si="391"/>
        <v>0</v>
      </c>
      <c r="DB502" s="2" t="s">
        <v>85</v>
      </c>
      <c r="DC502" s="2" t="s">
        <v>86</v>
      </c>
      <c r="DD502" s="2" t="s">
        <v>142</v>
      </c>
      <c r="DE502" s="2" t="s">
        <v>264</v>
      </c>
      <c r="DG502" s="62"/>
      <c r="DZ502" s="3" t="e">
        <v>#N/A</v>
      </c>
      <c r="EC502" s="60"/>
      <c r="ED502" s="60"/>
      <c r="EE502" s="60"/>
      <c r="EF502" s="60"/>
    </row>
    <row r="503" spans="2:140" ht="12.75" hidden="1" customHeight="1">
      <c r="B503" s="99" t="s">
        <v>971</v>
      </c>
      <c r="C503" s="22" t="s">
        <v>966</v>
      </c>
      <c r="D503" s="22" t="s">
        <v>967</v>
      </c>
      <c r="E503" s="2" t="s">
        <v>968</v>
      </c>
      <c r="F503" s="2" t="s">
        <v>969</v>
      </c>
      <c r="G503" s="2" t="s">
        <v>331</v>
      </c>
      <c r="J503" s="22" t="s">
        <v>138</v>
      </c>
      <c r="K503" s="23">
        <v>21511</v>
      </c>
      <c r="L503" s="22" t="s">
        <v>599</v>
      </c>
      <c r="M503" s="51" t="str">
        <f t="shared" si="402"/>
        <v>JD8B-21511-BC</v>
      </c>
      <c r="O503" s="22"/>
      <c r="P503" s="22"/>
      <c r="Q503" s="22"/>
      <c r="R503" s="22"/>
      <c r="S503" s="22"/>
      <c r="T503" s="22"/>
      <c r="U503" s="22">
        <v>1</v>
      </c>
      <c r="V503" s="22">
        <v>1</v>
      </c>
      <c r="W503" s="64">
        <f t="shared" si="403"/>
        <v>0.1</v>
      </c>
      <c r="Y503" s="8">
        <v>-76.569999999999993</v>
      </c>
      <c r="Z503" s="8">
        <v>-5.18</v>
      </c>
      <c r="AA503" s="8">
        <v>-1.5</v>
      </c>
      <c r="AB503" s="8">
        <v>0</v>
      </c>
      <c r="AC503" s="8">
        <v>-2.98</v>
      </c>
      <c r="AD503" s="8">
        <f t="shared" si="404"/>
        <v>-86.23</v>
      </c>
      <c r="AE503" s="2" t="s">
        <v>91</v>
      </c>
      <c r="AG503" s="8" t="s">
        <v>973</v>
      </c>
      <c r="AH503" s="8" t="s">
        <v>973</v>
      </c>
      <c r="AI503" s="6"/>
      <c r="AJ503" s="70" t="s">
        <v>973</v>
      </c>
      <c r="AK503" s="70" t="s">
        <v>973</v>
      </c>
      <c r="AL503" s="72"/>
      <c r="AM503" s="22"/>
      <c r="AN503" s="70"/>
      <c r="AO503" s="22" t="s">
        <v>138</v>
      </c>
      <c r="AP503" s="23">
        <v>21511</v>
      </c>
      <c r="AQ503" s="22" t="s">
        <v>120</v>
      </c>
      <c r="AR503" s="51" t="str">
        <f t="shared" si="392"/>
        <v>JD8B-21511-BB</v>
      </c>
      <c r="AS503" s="3"/>
      <c r="AT503" s="22"/>
      <c r="AU503" s="22"/>
      <c r="AV503" s="22"/>
      <c r="AW503" s="22"/>
      <c r="AX503" s="22"/>
      <c r="AY503" s="22"/>
      <c r="AZ503" s="22">
        <v>1</v>
      </c>
      <c r="BA503" s="22">
        <v>1</v>
      </c>
      <c r="BB503" s="116">
        <f t="shared" si="393"/>
        <v>0.1</v>
      </c>
      <c r="BD503" s="8">
        <v>-74.686632247197011</v>
      </c>
      <c r="BE503" s="8">
        <v>-5.18</v>
      </c>
      <c r="BF503" s="8">
        <v>-1.5</v>
      </c>
      <c r="BG503" s="8">
        <v>0</v>
      </c>
      <c r="BH503" s="8">
        <v>-2.98</v>
      </c>
      <c r="BI503" s="8">
        <f t="shared" si="397"/>
        <v>-84.346632247197007</v>
      </c>
      <c r="BJ503" s="2" t="s">
        <v>91</v>
      </c>
      <c r="BL503" s="70" t="s">
        <v>973</v>
      </c>
      <c r="BM503" s="70" t="s">
        <v>973</v>
      </c>
      <c r="BO503" s="70" t="s">
        <v>973</v>
      </c>
      <c r="BP503" s="70" t="s">
        <v>973</v>
      </c>
      <c r="BQ503" s="72"/>
      <c r="BS503" s="61">
        <f t="shared" si="401"/>
        <v>-1.8833677528029824</v>
      </c>
      <c r="BT503" s="61">
        <f t="shared" si="398"/>
        <v>0</v>
      </c>
      <c r="BU503" s="61">
        <f t="shared" si="399"/>
        <v>0</v>
      </c>
      <c r="BV503" s="61">
        <f t="shared" si="400"/>
        <v>0</v>
      </c>
      <c r="BW503" s="61">
        <f t="shared" si="400"/>
        <v>0</v>
      </c>
      <c r="BX503" s="61">
        <f t="shared" si="405"/>
        <v>-1.8833677528029966</v>
      </c>
      <c r="BY503" s="61" t="s">
        <v>91</v>
      </c>
      <c r="CA503" s="61">
        <f t="shared" si="390"/>
        <v>0</v>
      </c>
      <c r="CB503" s="61">
        <f t="shared" si="390"/>
        <v>0</v>
      </c>
      <c r="CC503" s="61">
        <f t="shared" si="390"/>
        <v>0</v>
      </c>
      <c r="CD503" s="61">
        <f t="shared" si="390"/>
        <v>0</v>
      </c>
      <c r="CE503" s="61">
        <f t="shared" si="390"/>
        <v>0</v>
      </c>
      <c r="CF503" s="61">
        <f t="shared" si="388"/>
        <v>0</v>
      </c>
      <c r="CG503" s="61">
        <f t="shared" si="388"/>
        <v>-0.28334101892627989</v>
      </c>
      <c r="CH503" s="61">
        <f t="shared" si="388"/>
        <v>-0.28334101892627989</v>
      </c>
      <c r="CI503" s="61">
        <f t="shared" si="375"/>
        <v>-2.8334101892627989E-2</v>
      </c>
      <c r="CJ503" s="61"/>
      <c r="CK503" s="61">
        <f t="shared" si="406"/>
        <v>0</v>
      </c>
      <c r="CL503" s="61">
        <f t="shared" si="406"/>
        <v>0</v>
      </c>
      <c r="CM503" s="61">
        <f t="shared" si="406"/>
        <v>0</v>
      </c>
      <c r="CN503" s="61">
        <f t="shared" si="406"/>
        <v>0</v>
      </c>
      <c r="CO503" s="61">
        <f t="shared" si="406"/>
        <v>0</v>
      </c>
      <c r="CP503" s="61">
        <f t="shared" si="406"/>
        <v>0</v>
      </c>
      <c r="CQ503" s="61">
        <f t="shared" si="406"/>
        <v>-0.283341018926282</v>
      </c>
      <c r="CR503" s="61">
        <f t="shared" si="406"/>
        <v>-0.283341018926282</v>
      </c>
      <c r="CS503" s="61">
        <f t="shared" si="376"/>
        <v>-2.8334101892628201E-2</v>
      </c>
      <c r="CT503" s="61">
        <f t="shared" si="377"/>
        <v>-0.18833677528029966</v>
      </c>
      <c r="CV503" s="61">
        <f t="shared" si="408"/>
        <v>0</v>
      </c>
      <c r="CW503" s="61">
        <f t="shared" ref="CW503" si="412">SUM(AH503)-SUM(BM503)</f>
        <v>0</v>
      </c>
      <c r="CX503" s="61"/>
      <c r="CY503" s="61">
        <f t="shared" ref="CY503" si="413">SUM(AJ503)-SUM(BO503)</f>
        <v>0</v>
      </c>
      <c r="CZ503" s="61">
        <f t="shared" si="391"/>
        <v>0</v>
      </c>
      <c r="DA503" s="61">
        <f t="shared" si="391"/>
        <v>0</v>
      </c>
      <c r="DB503" s="2" t="s">
        <v>86</v>
      </c>
      <c r="DC503" s="2" t="s">
        <v>85</v>
      </c>
      <c r="DD503" s="2" t="s">
        <v>142</v>
      </c>
      <c r="DE503" s="2" t="s">
        <v>106</v>
      </c>
      <c r="DG503" s="62"/>
      <c r="DZ503" s="3" t="e">
        <v>#N/A</v>
      </c>
      <c r="EC503" s="60" t="str">
        <f>VLOOKUP($M503,[1]Detail!$M:$BO,1,0)</f>
        <v>JD8B-21511-BC</v>
      </c>
      <c r="ED503" s="60">
        <f>VLOOKUP($M503,[1]Detail!$M:$BO,22,0)</f>
        <v>-86.23</v>
      </c>
      <c r="EE503" s="60" t="str">
        <f>VLOOKUP($M503,[1]Detail!$M:$BO,42,0)</f>
        <v xml:space="preserve">Incl.in 21510 </v>
      </c>
      <c r="EF503" s="60" t="str">
        <f>VLOOKUP($M503,[1]Detail!$M:$BO,45,0)</f>
        <v xml:space="preserve">Incl.in 21510 </v>
      </c>
      <c r="EH503" s="60">
        <f>ED503-AD503</f>
        <v>0</v>
      </c>
      <c r="EI503" s="60" t="e">
        <f>EE503-AG503</f>
        <v>#VALUE!</v>
      </c>
      <c r="EJ503" s="60" t="e">
        <f>EF503-AJ503</f>
        <v>#VALUE!</v>
      </c>
    </row>
    <row r="504" spans="2:140" ht="12.75" hidden="1" customHeight="1">
      <c r="B504" s="99" t="s">
        <v>965</v>
      </c>
      <c r="C504" s="22" t="s">
        <v>966</v>
      </c>
      <c r="D504" s="22" t="s">
        <v>967</v>
      </c>
      <c r="E504" s="2" t="s">
        <v>968</v>
      </c>
      <c r="F504" s="2" t="s">
        <v>969</v>
      </c>
      <c r="G504" s="2" t="s">
        <v>331</v>
      </c>
      <c r="J504" s="22" t="s">
        <v>138</v>
      </c>
      <c r="K504" s="23">
        <v>25824</v>
      </c>
      <c r="L504" s="22" t="s">
        <v>970</v>
      </c>
      <c r="M504" s="51" t="str">
        <f t="shared" si="402"/>
        <v>JD8B-25824-BB</v>
      </c>
      <c r="O504" s="22"/>
      <c r="P504" s="22"/>
      <c r="Q504" s="22"/>
      <c r="R504" s="22"/>
      <c r="S504" s="22"/>
      <c r="T504" s="22"/>
      <c r="U504" s="22">
        <v>1</v>
      </c>
      <c r="V504" s="22">
        <v>1</v>
      </c>
      <c r="W504" s="64">
        <f t="shared" si="403"/>
        <v>0.1</v>
      </c>
      <c r="Y504" s="8">
        <v>-54.928380679964633</v>
      </c>
      <c r="Z504" s="8">
        <v>-5.27</v>
      </c>
      <c r="AA504" s="8">
        <v>-1.38</v>
      </c>
      <c r="AB504" s="8">
        <v>0</v>
      </c>
      <c r="AC504" s="8">
        <v>-2.98</v>
      </c>
      <c r="AD504" s="8">
        <f t="shared" si="404"/>
        <v>-64.558380679964628</v>
      </c>
      <c r="AE504" s="2" t="s">
        <v>91</v>
      </c>
      <c r="AG504" s="8">
        <v>-2472362</v>
      </c>
      <c r="AH504" s="8">
        <v>-2472362</v>
      </c>
      <c r="AI504" s="6"/>
      <c r="AJ504" s="70">
        <v>-1262942</v>
      </c>
      <c r="AK504" s="70">
        <v>423806.04026845639</v>
      </c>
      <c r="AL504" s="72"/>
      <c r="AM504" s="22"/>
      <c r="AO504" s="22" t="s">
        <v>126</v>
      </c>
      <c r="AP504" s="23">
        <v>25824</v>
      </c>
      <c r="AQ504" s="22" t="s">
        <v>111</v>
      </c>
      <c r="AR504" s="51" t="str">
        <f t="shared" si="392"/>
        <v>JD8B-25824-BA</v>
      </c>
      <c r="AS504" s="3"/>
      <c r="AT504" s="22"/>
      <c r="AU504" s="22"/>
      <c r="AV504" s="22"/>
      <c r="AW504" s="22"/>
      <c r="AX504" s="22"/>
      <c r="AY504" s="22"/>
      <c r="AZ504" s="22">
        <v>1</v>
      </c>
      <c r="BA504" s="22">
        <v>1</v>
      </c>
      <c r="BB504" s="116">
        <f t="shared" si="393"/>
        <v>0.1</v>
      </c>
      <c r="BD504" s="105">
        <v>-54.928380679964633</v>
      </c>
      <c r="BE504" s="105">
        <v>-5.27</v>
      </c>
      <c r="BF504" s="105">
        <v>-1.38</v>
      </c>
      <c r="BG504" s="105">
        <v>0</v>
      </c>
      <c r="BH504" s="105">
        <v>-2.98</v>
      </c>
      <c r="BI504" s="8">
        <f t="shared" si="397"/>
        <v>-64.558380679964628</v>
      </c>
      <c r="BJ504" s="2" t="s">
        <v>91</v>
      </c>
      <c r="BL504" s="70">
        <v>-2472362</v>
      </c>
      <c r="BM504" s="70">
        <v>-2472362</v>
      </c>
      <c r="BO504" s="70">
        <v>-1262942</v>
      </c>
      <c r="BP504" s="70">
        <v>423806.04026845639</v>
      </c>
      <c r="BQ504" s="72"/>
      <c r="BS504" s="61">
        <f t="shared" si="401"/>
        <v>0</v>
      </c>
      <c r="BT504" s="61">
        <f t="shared" si="398"/>
        <v>0</v>
      </c>
      <c r="BU504" s="61">
        <f t="shared" si="399"/>
        <v>0</v>
      </c>
      <c r="BV504" s="61">
        <f t="shared" si="400"/>
        <v>0</v>
      </c>
      <c r="BW504" s="61">
        <f t="shared" si="400"/>
        <v>0</v>
      </c>
      <c r="BX504" s="61">
        <f t="shared" si="405"/>
        <v>0</v>
      </c>
      <c r="BY504" s="61" t="s">
        <v>91</v>
      </c>
      <c r="CA504" s="61">
        <f t="shared" si="390"/>
        <v>0</v>
      </c>
      <c r="CB504" s="61">
        <f t="shared" si="390"/>
        <v>0</v>
      </c>
      <c r="CC504" s="61">
        <f t="shared" si="390"/>
        <v>0</v>
      </c>
      <c r="CD504" s="61">
        <f t="shared" si="390"/>
        <v>0</v>
      </c>
      <c r="CE504" s="61">
        <f t="shared" si="390"/>
        <v>0</v>
      </c>
      <c r="CF504" s="61">
        <f t="shared" si="388"/>
        <v>0</v>
      </c>
      <c r="CG504" s="61">
        <f t="shared" si="388"/>
        <v>0</v>
      </c>
      <c r="CH504" s="61">
        <f t="shared" si="388"/>
        <v>0</v>
      </c>
      <c r="CI504" s="61">
        <f t="shared" si="375"/>
        <v>0</v>
      </c>
      <c r="CJ504" s="61"/>
      <c r="CK504" s="61">
        <f t="shared" si="406"/>
        <v>0</v>
      </c>
      <c r="CL504" s="61">
        <f t="shared" si="406"/>
        <v>0</v>
      </c>
      <c r="CM504" s="61">
        <f t="shared" si="406"/>
        <v>0</v>
      </c>
      <c r="CN504" s="61">
        <f t="shared" si="406"/>
        <v>0</v>
      </c>
      <c r="CO504" s="61">
        <f t="shared" si="406"/>
        <v>0</v>
      </c>
      <c r="CP504" s="61">
        <f t="shared" si="406"/>
        <v>0</v>
      </c>
      <c r="CQ504" s="61">
        <f t="shared" si="406"/>
        <v>0</v>
      </c>
      <c r="CR504" s="61">
        <f t="shared" si="406"/>
        <v>0</v>
      </c>
      <c r="CS504" s="61">
        <f t="shared" si="376"/>
        <v>0</v>
      </c>
      <c r="CT504" s="61">
        <f t="shared" si="377"/>
        <v>0</v>
      </c>
      <c r="CV504" s="61">
        <f t="shared" si="408"/>
        <v>0</v>
      </c>
      <c r="CW504" s="61">
        <f t="shared" si="383"/>
        <v>0</v>
      </c>
      <c r="CX504" s="61"/>
      <c r="CY504" s="61">
        <f t="shared" si="368"/>
        <v>0</v>
      </c>
      <c r="CZ504" s="61">
        <f t="shared" si="391"/>
        <v>0</v>
      </c>
      <c r="DA504" s="61">
        <f t="shared" si="391"/>
        <v>0</v>
      </c>
      <c r="DB504" s="2" t="s">
        <v>85</v>
      </c>
      <c r="DC504" s="2" t="s">
        <v>85</v>
      </c>
      <c r="DD504" s="2" t="s">
        <v>142</v>
      </c>
      <c r="DE504" s="2" t="s">
        <v>264</v>
      </c>
      <c r="DG504" s="62"/>
      <c r="DZ504" s="3" t="e">
        <v>#N/A</v>
      </c>
      <c r="EC504" s="60"/>
      <c r="ED504" s="60"/>
      <c r="EE504" s="60"/>
      <c r="EF504" s="60"/>
    </row>
    <row r="505" spans="2:140" ht="12.75" hidden="1" customHeight="1">
      <c r="B505" s="99" t="s">
        <v>965</v>
      </c>
      <c r="C505" s="22" t="s">
        <v>966</v>
      </c>
      <c r="D505" s="22" t="s">
        <v>967</v>
      </c>
      <c r="E505" s="2" t="s">
        <v>968</v>
      </c>
      <c r="F505" s="2" t="s">
        <v>969</v>
      </c>
      <c r="G505" s="2" t="s">
        <v>331</v>
      </c>
      <c r="J505" s="22" t="s">
        <v>138</v>
      </c>
      <c r="K505" s="23">
        <v>25825</v>
      </c>
      <c r="L505" s="22" t="s">
        <v>970</v>
      </c>
      <c r="M505" s="51" t="str">
        <f t="shared" si="402"/>
        <v>JD8B-25825-BB</v>
      </c>
      <c r="O505" s="22"/>
      <c r="P505" s="22"/>
      <c r="Q505" s="22"/>
      <c r="R505" s="22"/>
      <c r="S505" s="22"/>
      <c r="T505" s="22"/>
      <c r="U505" s="22">
        <v>1</v>
      </c>
      <c r="V505" s="22">
        <v>1</v>
      </c>
      <c r="W505" s="64">
        <f t="shared" si="403"/>
        <v>0.1</v>
      </c>
      <c r="Y505" s="8">
        <v>-54.928380679964633</v>
      </c>
      <c r="Z505" s="8">
        <v>-5.27</v>
      </c>
      <c r="AA505" s="8">
        <v>-1.38</v>
      </c>
      <c r="AB505" s="8">
        <v>0</v>
      </c>
      <c r="AC505" s="8">
        <v>-2.98</v>
      </c>
      <c r="AD505" s="8">
        <f t="shared" si="404"/>
        <v>-64.558380679964628</v>
      </c>
      <c r="AE505" s="2" t="s">
        <v>91</v>
      </c>
      <c r="AG505" s="8" t="s">
        <v>940</v>
      </c>
      <c r="AH505" s="8" t="s">
        <v>940</v>
      </c>
      <c r="AJ505" s="70" t="s">
        <v>940</v>
      </c>
      <c r="AK505" s="70" t="s">
        <v>940</v>
      </c>
      <c r="AL505" s="72"/>
      <c r="AM505" s="22"/>
      <c r="AO505" s="22" t="s">
        <v>138</v>
      </c>
      <c r="AP505" s="23">
        <v>25825</v>
      </c>
      <c r="AQ505" s="22" t="s">
        <v>111</v>
      </c>
      <c r="AR505" s="51" t="str">
        <f t="shared" si="392"/>
        <v>JD8B-25825-BA</v>
      </c>
      <c r="AS505" s="3"/>
      <c r="AT505" s="22"/>
      <c r="AU505" s="22"/>
      <c r="AV505" s="22"/>
      <c r="AW505" s="22"/>
      <c r="AX505" s="22"/>
      <c r="AY505" s="22"/>
      <c r="AZ505" s="22">
        <v>1</v>
      </c>
      <c r="BA505" s="22">
        <v>1</v>
      </c>
      <c r="BB505" s="116">
        <f t="shared" si="393"/>
        <v>0.1</v>
      </c>
      <c r="BD505" s="105">
        <v>-54.928380679964633</v>
      </c>
      <c r="BE505" s="105">
        <v>-5.27</v>
      </c>
      <c r="BF505" s="105">
        <v>-1.38</v>
      </c>
      <c r="BG505" s="105">
        <v>0</v>
      </c>
      <c r="BH505" s="105">
        <v>-2.98</v>
      </c>
      <c r="BI505" s="8">
        <f t="shared" si="397"/>
        <v>-64.558380679964628</v>
      </c>
      <c r="BJ505" s="2" t="s">
        <v>91</v>
      </c>
      <c r="BL505" s="70" t="s">
        <v>940</v>
      </c>
      <c r="BM505" s="70" t="s">
        <v>940</v>
      </c>
      <c r="BO505" s="70" t="s">
        <v>940</v>
      </c>
      <c r="BP505" s="70" t="s">
        <v>940</v>
      </c>
      <c r="BQ505" s="72"/>
      <c r="BS505" s="61">
        <f t="shared" si="401"/>
        <v>0</v>
      </c>
      <c r="BT505" s="61">
        <f t="shared" si="398"/>
        <v>0</v>
      </c>
      <c r="BU505" s="61">
        <f t="shared" si="399"/>
        <v>0</v>
      </c>
      <c r="BV505" s="61">
        <f t="shared" si="400"/>
        <v>0</v>
      </c>
      <c r="BW505" s="61">
        <f t="shared" si="400"/>
        <v>0</v>
      </c>
      <c r="BX505" s="61">
        <f t="shared" si="405"/>
        <v>0</v>
      </c>
      <c r="BY505" s="61" t="s">
        <v>91</v>
      </c>
      <c r="CA505" s="61">
        <f t="shared" si="390"/>
        <v>0</v>
      </c>
      <c r="CB505" s="61">
        <f t="shared" si="390"/>
        <v>0</v>
      </c>
      <c r="CC505" s="61">
        <f t="shared" si="390"/>
        <v>0</v>
      </c>
      <c r="CD505" s="61">
        <f t="shared" si="390"/>
        <v>0</v>
      </c>
      <c r="CE505" s="61">
        <f t="shared" si="390"/>
        <v>0</v>
      </c>
      <c r="CF505" s="61">
        <f t="shared" si="388"/>
        <v>0</v>
      </c>
      <c r="CG505" s="61">
        <f t="shared" si="388"/>
        <v>0</v>
      </c>
      <c r="CH505" s="61">
        <f t="shared" si="388"/>
        <v>0</v>
      </c>
      <c r="CI505" s="61">
        <f t="shared" si="375"/>
        <v>0</v>
      </c>
      <c r="CJ505" s="61"/>
      <c r="CK505" s="61">
        <f t="shared" si="406"/>
        <v>0</v>
      </c>
      <c r="CL505" s="61">
        <f t="shared" si="406"/>
        <v>0</v>
      </c>
      <c r="CM505" s="61">
        <f t="shared" si="406"/>
        <v>0</v>
      </c>
      <c r="CN505" s="61">
        <f t="shared" si="406"/>
        <v>0</v>
      </c>
      <c r="CO505" s="61">
        <f t="shared" si="406"/>
        <v>0</v>
      </c>
      <c r="CP505" s="61">
        <f t="shared" si="406"/>
        <v>0</v>
      </c>
      <c r="CQ505" s="61">
        <f t="shared" si="406"/>
        <v>0</v>
      </c>
      <c r="CR505" s="61">
        <f t="shared" si="406"/>
        <v>0</v>
      </c>
      <c r="CS505" s="61">
        <f t="shared" si="376"/>
        <v>0</v>
      </c>
      <c r="CT505" s="61">
        <f t="shared" si="377"/>
        <v>0</v>
      </c>
      <c r="CV505" s="61">
        <f t="shared" si="408"/>
        <v>0</v>
      </c>
      <c r="CW505" s="61">
        <f t="shared" si="383"/>
        <v>0</v>
      </c>
      <c r="CX505" s="61"/>
      <c r="CY505" s="61">
        <f t="shared" si="368"/>
        <v>0</v>
      </c>
      <c r="CZ505" s="61">
        <f t="shared" si="391"/>
        <v>0</v>
      </c>
      <c r="DA505" s="61">
        <f t="shared" si="391"/>
        <v>0</v>
      </c>
      <c r="DB505" s="2" t="s">
        <v>85</v>
      </c>
      <c r="DC505" s="2" t="s">
        <v>85</v>
      </c>
      <c r="DD505" s="2" t="s">
        <v>142</v>
      </c>
      <c r="DE505" s="2" t="s">
        <v>264</v>
      </c>
      <c r="DG505" s="62"/>
      <c r="DZ505" s="3" t="e">
        <v>#N/A</v>
      </c>
      <c r="EC505" s="60"/>
      <c r="ED505" s="60"/>
      <c r="EE505" s="60"/>
      <c r="EF505" s="60"/>
    </row>
    <row r="506" spans="2:140" ht="12.75" hidden="1" customHeight="1">
      <c r="B506" s="99" t="s">
        <v>974</v>
      </c>
      <c r="C506" s="22" t="s">
        <v>975</v>
      </c>
      <c r="D506" s="22" t="s">
        <v>976</v>
      </c>
      <c r="E506" s="2" t="s">
        <v>968</v>
      </c>
      <c r="F506" s="2" t="s">
        <v>969</v>
      </c>
      <c r="G506" s="2" t="s">
        <v>331</v>
      </c>
      <c r="J506" s="22" t="s">
        <v>138</v>
      </c>
      <c r="K506" s="23" t="s">
        <v>977</v>
      </c>
      <c r="L506" s="22" t="s">
        <v>83</v>
      </c>
      <c r="M506" s="51" t="str">
        <f t="shared" si="402"/>
        <v>JD8B-17682-AAW</v>
      </c>
      <c r="O506" s="94">
        <v>1</v>
      </c>
      <c r="P506" s="94">
        <v>1</v>
      </c>
      <c r="Q506" s="94">
        <v>0</v>
      </c>
      <c r="R506" s="94">
        <v>0</v>
      </c>
      <c r="S506" s="94">
        <v>0</v>
      </c>
      <c r="T506" s="94">
        <v>0</v>
      </c>
      <c r="U506" s="94">
        <v>0</v>
      </c>
      <c r="V506" s="94">
        <v>0</v>
      </c>
      <c r="W506" s="64">
        <f t="shared" si="403"/>
        <v>0.30000000000000004</v>
      </c>
      <c r="Y506" s="8">
        <v>-114.49979999999999</v>
      </c>
      <c r="Z506" s="8">
        <v>-1.3495999999999999</v>
      </c>
      <c r="AA506" s="8">
        <v>-4.3099999999999996</v>
      </c>
      <c r="AB506" s="8">
        <v>0</v>
      </c>
      <c r="AC506" s="8">
        <v>0</v>
      </c>
      <c r="AD506" s="8">
        <f t="shared" si="404"/>
        <v>-120.15939999999999</v>
      </c>
      <c r="AE506" s="2" t="s">
        <v>91</v>
      </c>
      <c r="AG506" s="8">
        <v>-3536850</v>
      </c>
      <c r="AH506" s="8">
        <v>-3536850</v>
      </c>
      <c r="AI506" s="6"/>
      <c r="AJ506" s="117">
        <v>0</v>
      </c>
      <c r="AK506" s="117">
        <v>0</v>
      </c>
      <c r="AL506" s="72"/>
      <c r="AM506" s="22"/>
      <c r="AO506" s="22" t="s">
        <v>138</v>
      </c>
      <c r="AP506" s="85" t="s">
        <v>977</v>
      </c>
      <c r="AQ506" s="22" t="s">
        <v>83</v>
      </c>
      <c r="AR506" s="51" t="str">
        <f t="shared" si="392"/>
        <v>JD8B-17682-AAW</v>
      </c>
      <c r="AS506" s="3"/>
      <c r="AT506" s="22">
        <v>1</v>
      </c>
      <c r="AU506" s="22">
        <v>1</v>
      </c>
      <c r="AV506" s="22">
        <v>0</v>
      </c>
      <c r="AW506" s="22">
        <v>0</v>
      </c>
      <c r="AX506" s="22">
        <v>0</v>
      </c>
      <c r="AY506" s="22">
        <v>0</v>
      </c>
      <c r="AZ506" s="22">
        <v>0</v>
      </c>
      <c r="BA506" s="22">
        <v>0</v>
      </c>
      <c r="BB506" s="64">
        <f t="shared" si="393"/>
        <v>0.30000000000000004</v>
      </c>
      <c r="BD506" s="60">
        <v>-114.49979999999999</v>
      </c>
      <c r="BE506" s="60">
        <v>-1.3495999999999999</v>
      </c>
      <c r="BF506" s="95">
        <v>-4.3099999999999996</v>
      </c>
      <c r="BG506" s="95">
        <v>0</v>
      </c>
      <c r="BH506" s="95">
        <v>0</v>
      </c>
      <c r="BI506" s="8">
        <f t="shared" si="397"/>
        <v>-120.15939999999999</v>
      </c>
      <c r="BJ506" s="2" t="s">
        <v>91</v>
      </c>
      <c r="BL506" s="70">
        <v>-3536850</v>
      </c>
      <c r="BM506" s="70">
        <v>-3536850</v>
      </c>
      <c r="BO506" s="117">
        <v>0</v>
      </c>
      <c r="BP506" s="117">
        <v>0</v>
      </c>
      <c r="BQ506" s="72"/>
      <c r="BS506" s="61">
        <f t="shared" si="401"/>
        <v>0</v>
      </c>
      <c r="BT506" s="61">
        <f t="shared" si="398"/>
        <v>0</v>
      </c>
      <c r="BU506" s="61">
        <f t="shared" si="399"/>
        <v>0</v>
      </c>
      <c r="BV506" s="61">
        <f t="shared" si="400"/>
        <v>0</v>
      </c>
      <c r="BW506" s="61">
        <f t="shared" si="400"/>
        <v>0</v>
      </c>
      <c r="BX506" s="61">
        <f t="shared" si="405"/>
        <v>0</v>
      </c>
      <c r="BY506" s="61" t="s">
        <v>91</v>
      </c>
      <c r="CA506" s="61">
        <f t="shared" si="390"/>
        <v>0</v>
      </c>
      <c r="CB506" s="61">
        <f t="shared" si="390"/>
        <v>0</v>
      </c>
      <c r="CC506" s="61">
        <f t="shared" si="390"/>
        <v>0</v>
      </c>
      <c r="CD506" s="61">
        <f t="shared" si="390"/>
        <v>0</v>
      </c>
      <c r="CE506" s="61">
        <f t="shared" si="390"/>
        <v>0</v>
      </c>
      <c r="CF506" s="61">
        <f t="shared" si="388"/>
        <v>0</v>
      </c>
      <c r="CG506" s="61">
        <f t="shared" si="388"/>
        <v>0</v>
      </c>
      <c r="CH506" s="61">
        <f t="shared" si="388"/>
        <v>0</v>
      </c>
      <c r="CI506" s="61">
        <f t="shared" si="375"/>
        <v>0</v>
      </c>
      <c r="CJ506" s="61"/>
      <c r="CK506" s="61">
        <f t="shared" si="406"/>
        <v>0</v>
      </c>
      <c r="CL506" s="61">
        <f t="shared" si="406"/>
        <v>0</v>
      </c>
      <c r="CM506" s="61">
        <f t="shared" si="406"/>
        <v>0</v>
      </c>
      <c r="CN506" s="61">
        <f t="shared" si="406"/>
        <v>0</v>
      </c>
      <c r="CO506" s="61">
        <f t="shared" si="406"/>
        <v>0</v>
      </c>
      <c r="CP506" s="61">
        <f t="shared" si="406"/>
        <v>0</v>
      </c>
      <c r="CQ506" s="61">
        <f t="shared" si="406"/>
        <v>0</v>
      </c>
      <c r="CR506" s="61">
        <f t="shared" si="406"/>
        <v>0</v>
      </c>
      <c r="CS506" s="61">
        <f t="shared" si="376"/>
        <v>0</v>
      </c>
      <c r="CT506" s="61">
        <f t="shared" si="377"/>
        <v>0</v>
      </c>
      <c r="CV506" s="61">
        <f t="shared" si="408"/>
        <v>0</v>
      </c>
      <c r="CW506" s="61">
        <f t="shared" si="383"/>
        <v>0</v>
      </c>
      <c r="CX506" s="61"/>
      <c r="CY506" s="61">
        <f t="shared" si="368"/>
        <v>0</v>
      </c>
      <c r="CZ506" s="61">
        <f t="shared" si="391"/>
        <v>0</v>
      </c>
      <c r="DA506" s="61">
        <f t="shared" si="391"/>
        <v>0</v>
      </c>
      <c r="DB506" s="2" t="s">
        <v>85</v>
      </c>
      <c r="DC506" s="2" t="s">
        <v>86</v>
      </c>
      <c r="DD506" s="2" t="s">
        <v>142</v>
      </c>
      <c r="DE506" s="2" t="s">
        <v>264</v>
      </c>
      <c r="DG506" s="62"/>
      <c r="DZ506" s="3" t="e">
        <v>#N/A</v>
      </c>
      <c r="EC506" s="60"/>
      <c r="ED506" s="60"/>
      <c r="EE506" s="60"/>
      <c r="EF506" s="60"/>
    </row>
    <row r="507" spans="2:140" ht="12.75" hidden="1" customHeight="1">
      <c r="B507" s="99" t="s">
        <v>974</v>
      </c>
      <c r="C507" s="22" t="s">
        <v>975</v>
      </c>
      <c r="D507" s="22" t="s">
        <v>976</v>
      </c>
      <c r="E507" s="2" t="s">
        <v>968</v>
      </c>
      <c r="F507" s="2" t="s">
        <v>969</v>
      </c>
      <c r="G507" s="2" t="s">
        <v>331</v>
      </c>
      <c r="J507" s="22" t="s">
        <v>138</v>
      </c>
      <c r="K507" s="23" t="s">
        <v>978</v>
      </c>
      <c r="L507" s="22" t="s">
        <v>83</v>
      </c>
      <c r="M507" s="51" t="str">
        <f t="shared" si="402"/>
        <v>JD8B-17683-AAW</v>
      </c>
      <c r="O507" s="94">
        <v>1</v>
      </c>
      <c r="P507" s="94">
        <v>1</v>
      </c>
      <c r="Q507" s="94">
        <v>0</v>
      </c>
      <c r="R507" s="94">
        <v>0</v>
      </c>
      <c r="S507" s="94">
        <v>0</v>
      </c>
      <c r="T507" s="94">
        <v>0</v>
      </c>
      <c r="U507" s="94">
        <v>0</v>
      </c>
      <c r="V507" s="94">
        <v>0</v>
      </c>
      <c r="W507" s="64">
        <f t="shared" si="403"/>
        <v>0.30000000000000004</v>
      </c>
      <c r="Y507" s="8">
        <v>-114.49979999999999</v>
      </c>
      <c r="Z507" s="8">
        <v>-1.3495999999999999</v>
      </c>
      <c r="AA507" s="8">
        <v>-4.3099999999999996</v>
      </c>
      <c r="AB507" s="8"/>
      <c r="AC507" s="8">
        <v>0</v>
      </c>
      <c r="AD507" s="8">
        <f t="shared" si="404"/>
        <v>-120.15939999999999</v>
      </c>
      <c r="AE507" s="2" t="s">
        <v>91</v>
      </c>
      <c r="AG507" s="8" t="s">
        <v>940</v>
      </c>
      <c r="AH507" s="8" t="s">
        <v>940</v>
      </c>
      <c r="AJ507" s="117">
        <v>0</v>
      </c>
      <c r="AK507" s="117">
        <v>0</v>
      </c>
      <c r="AL507" s="72"/>
      <c r="AM507" s="22"/>
      <c r="AO507" s="22" t="s">
        <v>138</v>
      </c>
      <c r="AP507" s="85" t="s">
        <v>978</v>
      </c>
      <c r="AQ507" s="22" t="s">
        <v>83</v>
      </c>
      <c r="AR507" s="51" t="str">
        <f t="shared" si="392"/>
        <v>JD8B-17683-AAW</v>
      </c>
      <c r="AS507" s="3"/>
      <c r="AT507" s="22">
        <v>1</v>
      </c>
      <c r="AU507" s="22">
        <v>1</v>
      </c>
      <c r="AV507" s="22">
        <v>0</v>
      </c>
      <c r="AW507" s="22">
        <v>0</v>
      </c>
      <c r="AX507" s="22">
        <v>0</v>
      </c>
      <c r="AY507" s="22">
        <v>0</v>
      </c>
      <c r="AZ507" s="22">
        <v>0</v>
      </c>
      <c r="BA507" s="22">
        <v>0</v>
      </c>
      <c r="BB507" s="64">
        <f t="shared" si="393"/>
        <v>0.30000000000000004</v>
      </c>
      <c r="BD507" s="60">
        <v>-114.49979999999999</v>
      </c>
      <c r="BE507" s="60">
        <v>-1.3495999999999999</v>
      </c>
      <c r="BF507" s="95">
        <v>-4.3099999999999996</v>
      </c>
      <c r="BG507" s="95"/>
      <c r="BH507" s="95">
        <v>0</v>
      </c>
      <c r="BI507" s="8">
        <f t="shared" si="397"/>
        <v>-120.15939999999999</v>
      </c>
      <c r="BJ507" s="2" t="s">
        <v>91</v>
      </c>
      <c r="BL507" s="70" t="s">
        <v>940</v>
      </c>
      <c r="BM507" s="70" t="s">
        <v>940</v>
      </c>
      <c r="BO507" s="117">
        <v>0</v>
      </c>
      <c r="BP507" s="117">
        <v>0</v>
      </c>
      <c r="BQ507" s="72"/>
      <c r="BS507" s="61">
        <f t="shared" si="401"/>
        <v>0</v>
      </c>
      <c r="BT507" s="61">
        <f t="shared" si="398"/>
        <v>0</v>
      </c>
      <c r="BU507" s="61">
        <f t="shared" si="399"/>
        <v>0</v>
      </c>
      <c r="BV507" s="61">
        <f t="shared" si="400"/>
        <v>0</v>
      </c>
      <c r="BW507" s="61">
        <f t="shared" si="400"/>
        <v>0</v>
      </c>
      <c r="BX507" s="61">
        <f t="shared" si="405"/>
        <v>0</v>
      </c>
      <c r="BY507" s="61" t="s">
        <v>91</v>
      </c>
      <c r="CA507" s="61">
        <f t="shared" si="390"/>
        <v>0</v>
      </c>
      <c r="CB507" s="61">
        <f t="shared" si="390"/>
        <v>0</v>
      </c>
      <c r="CC507" s="61">
        <f t="shared" si="390"/>
        <v>0</v>
      </c>
      <c r="CD507" s="61">
        <f t="shared" si="390"/>
        <v>0</v>
      </c>
      <c r="CE507" s="61">
        <f t="shared" si="390"/>
        <v>0</v>
      </c>
      <c r="CF507" s="61">
        <f t="shared" si="388"/>
        <v>0</v>
      </c>
      <c r="CG507" s="61">
        <f t="shared" si="388"/>
        <v>0</v>
      </c>
      <c r="CH507" s="61">
        <f t="shared" si="388"/>
        <v>0</v>
      </c>
      <c r="CI507" s="61">
        <f t="shared" si="375"/>
        <v>0</v>
      </c>
      <c r="CJ507" s="61"/>
      <c r="CK507" s="61">
        <f t="shared" si="406"/>
        <v>0</v>
      </c>
      <c r="CL507" s="61">
        <f t="shared" si="406"/>
        <v>0</v>
      </c>
      <c r="CM507" s="61">
        <f t="shared" si="406"/>
        <v>0</v>
      </c>
      <c r="CN507" s="61">
        <f t="shared" si="406"/>
        <v>0</v>
      </c>
      <c r="CO507" s="61">
        <f t="shared" si="406"/>
        <v>0</v>
      </c>
      <c r="CP507" s="61">
        <f t="shared" si="406"/>
        <v>0</v>
      </c>
      <c r="CQ507" s="61">
        <f t="shared" si="406"/>
        <v>0</v>
      </c>
      <c r="CR507" s="61">
        <f t="shared" si="406"/>
        <v>0</v>
      </c>
      <c r="CS507" s="61">
        <f t="shared" si="376"/>
        <v>0</v>
      </c>
      <c r="CT507" s="61">
        <f t="shared" si="377"/>
        <v>0</v>
      </c>
      <c r="CV507" s="61">
        <f t="shared" si="408"/>
        <v>0</v>
      </c>
      <c r="CW507" s="61">
        <f t="shared" si="383"/>
        <v>0</v>
      </c>
      <c r="CX507" s="61"/>
      <c r="CY507" s="61">
        <f t="shared" si="368"/>
        <v>0</v>
      </c>
      <c r="CZ507" s="61">
        <f t="shared" si="391"/>
        <v>0</v>
      </c>
      <c r="DA507" s="61">
        <f t="shared" si="391"/>
        <v>0</v>
      </c>
      <c r="DB507" s="2" t="s">
        <v>85</v>
      </c>
      <c r="DC507" s="2" t="s">
        <v>86</v>
      </c>
      <c r="DD507" s="2" t="s">
        <v>142</v>
      </c>
      <c r="DE507" s="2" t="s">
        <v>264</v>
      </c>
      <c r="DG507" s="62"/>
      <c r="DZ507" s="3" t="e">
        <v>#N/A</v>
      </c>
      <c r="EC507" s="60"/>
      <c r="ED507" s="60"/>
      <c r="EE507" s="60"/>
      <c r="EF507" s="60"/>
    </row>
    <row r="508" spans="2:140" ht="12.75" hidden="1" customHeight="1">
      <c r="B508" s="99" t="s">
        <v>979</v>
      </c>
      <c r="C508" s="22" t="s">
        <v>975</v>
      </c>
      <c r="D508" s="22" t="s">
        <v>976</v>
      </c>
      <c r="E508" s="2" t="s">
        <v>968</v>
      </c>
      <c r="F508" s="2" t="s">
        <v>969</v>
      </c>
      <c r="G508" s="2" t="s">
        <v>331</v>
      </c>
      <c r="J508" s="22" t="s">
        <v>138</v>
      </c>
      <c r="K508" s="23" t="s">
        <v>977</v>
      </c>
      <c r="L508" s="22" t="s">
        <v>208</v>
      </c>
      <c r="M508" s="51" t="str">
        <f t="shared" si="402"/>
        <v>JD8B-17682-BAW</v>
      </c>
      <c r="O508" s="94"/>
      <c r="P508" s="94"/>
      <c r="Q508" s="94">
        <v>1</v>
      </c>
      <c r="R508" s="94">
        <v>1</v>
      </c>
      <c r="S508" s="94">
        <v>1</v>
      </c>
      <c r="T508" s="94">
        <v>1</v>
      </c>
      <c r="U508" s="94">
        <v>0</v>
      </c>
      <c r="V508" s="94">
        <v>0</v>
      </c>
      <c r="W508" s="64">
        <f t="shared" si="403"/>
        <v>0.6</v>
      </c>
      <c r="Y508" s="8">
        <v>-121.9957</v>
      </c>
      <c r="Z508" s="8">
        <v>-1.3495999999999999</v>
      </c>
      <c r="AA508" s="8">
        <v>-4.3099999999999996</v>
      </c>
      <c r="AB508" s="8">
        <v>0</v>
      </c>
      <c r="AC508" s="8">
        <v>0</v>
      </c>
      <c r="AD508" s="8">
        <f t="shared" si="404"/>
        <v>-127.6553</v>
      </c>
      <c r="AE508" s="2" t="s">
        <v>91</v>
      </c>
      <c r="AG508" s="8" t="s">
        <v>940</v>
      </c>
      <c r="AH508" s="8" t="s">
        <v>940</v>
      </c>
      <c r="AJ508" s="117">
        <v>0</v>
      </c>
      <c r="AK508" s="117">
        <v>0</v>
      </c>
      <c r="AL508" s="72"/>
      <c r="AM508" s="22"/>
      <c r="AO508" s="22" t="s">
        <v>138</v>
      </c>
      <c r="AP508" s="23" t="s">
        <v>977</v>
      </c>
      <c r="AQ508" s="22" t="s">
        <v>208</v>
      </c>
      <c r="AR508" s="51" t="str">
        <f t="shared" si="392"/>
        <v>JD8B-17682-BAW</v>
      </c>
      <c r="AS508" s="3"/>
      <c r="AT508" s="22"/>
      <c r="AU508" s="22"/>
      <c r="AV508" s="22">
        <v>1</v>
      </c>
      <c r="AW508" s="22">
        <v>1</v>
      </c>
      <c r="AX508" s="22">
        <v>1</v>
      </c>
      <c r="AY508" s="22">
        <v>1</v>
      </c>
      <c r="AZ508" s="22">
        <v>0</v>
      </c>
      <c r="BA508" s="22">
        <v>0</v>
      </c>
      <c r="BB508" s="64">
        <f t="shared" si="393"/>
        <v>0.6</v>
      </c>
      <c r="BD508" s="60">
        <v>-121.9957</v>
      </c>
      <c r="BE508" s="60">
        <v>-1.3495999999999999</v>
      </c>
      <c r="BF508" s="95">
        <v>-4.3099999999999996</v>
      </c>
      <c r="BG508" s="95">
        <v>0</v>
      </c>
      <c r="BH508" s="95">
        <v>0</v>
      </c>
      <c r="BI508" s="8">
        <f t="shared" si="397"/>
        <v>-127.6553</v>
      </c>
      <c r="BJ508" s="2" t="s">
        <v>91</v>
      </c>
      <c r="BL508" s="70" t="s">
        <v>940</v>
      </c>
      <c r="BM508" s="70" t="s">
        <v>940</v>
      </c>
      <c r="BO508" s="117">
        <v>0</v>
      </c>
      <c r="BP508" s="117">
        <v>0</v>
      </c>
      <c r="BQ508" s="72"/>
      <c r="BS508" s="61">
        <f t="shared" si="401"/>
        <v>0</v>
      </c>
      <c r="BT508" s="61">
        <f t="shared" si="398"/>
        <v>0</v>
      </c>
      <c r="BU508" s="61">
        <f t="shared" si="399"/>
        <v>0</v>
      </c>
      <c r="BV508" s="61">
        <f t="shared" si="400"/>
        <v>0</v>
      </c>
      <c r="BW508" s="61">
        <f t="shared" si="400"/>
        <v>0</v>
      </c>
      <c r="BX508" s="61">
        <f t="shared" si="405"/>
        <v>0</v>
      </c>
      <c r="BY508" s="61" t="s">
        <v>91</v>
      </c>
      <c r="CA508" s="61">
        <f t="shared" si="390"/>
        <v>0</v>
      </c>
      <c r="CB508" s="61">
        <f t="shared" si="390"/>
        <v>0</v>
      </c>
      <c r="CC508" s="61">
        <f t="shared" si="390"/>
        <v>0</v>
      </c>
      <c r="CD508" s="61">
        <f t="shared" si="390"/>
        <v>0</v>
      </c>
      <c r="CE508" s="61">
        <f t="shared" si="390"/>
        <v>0</v>
      </c>
      <c r="CF508" s="61">
        <f t="shared" si="388"/>
        <v>0</v>
      </c>
      <c r="CG508" s="61">
        <f t="shared" si="388"/>
        <v>0</v>
      </c>
      <c r="CH508" s="61">
        <f t="shared" si="388"/>
        <v>0</v>
      </c>
      <c r="CI508" s="61">
        <f t="shared" si="375"/>
        <v>0</v>
      </c>
      <c r="CJ508" s="61"/>
      <c r="CK508" s="61">
        <f t="shared" si="406"/>
        <v>0</v>
      </c>
      <c r="CL508" s="61">
        <f t="shared" si="406"/>
        <v>0</v>
      </c>
      <c r="CM508" s="61">
        <f t="shared" si="406"/>
        <v>0</v>
      </c>
      <c r="CN508" s="61">
        <f t="shared" si="406"/>
        <v>0</v>
      </c>
      <c r="CO508" s="61">
        <f t="shared" si="406"/>
        <v>0</v>
      </c>
      <c r="CP508" s="61">
        <f t="shared" si="406"/>
        <v>0</v>
      </c>
      <c r="CQ508" s="61">
        <f t="shared" si="406"/>
        <v>0</v>
      </c>
      <c r="CR508" s="61">
        <f t="shared" si="406"/>
        <v>0</v>
      </c>
      <c r="CS508" s="61">
        <f t="shared" si="376"/>
        <v>0</v>
      </c>
      <c r="CT508" s="61">
        <f t="shared" si="377"/>
        <v>0</v>
      </c>
      <c r="CV508" s="61">
        <f t="shared" si="408"/>
        <v>0</v>
      </c>
      <c r="CW508" s="61">
        <f t="shared" si="383"/>
        <v>0</v>
      </c>
      <c r="CX508" s="61"/>
      <c r="CY508" s="61">
        <f t="shared" si="368"/>
        <v>0</v>
      </c>
      <c r="CZ508" s="61">
        <f t="shared" si="391"/>
        <v>0</v>
      </c>
      <c r="DA508" s="61">
        <f t="shared" si="391"/>
        <v>0</v>
      </c>
      <c r="DB508" s="2" t="s">
        <v>85</v>
      </c>
      <c r="DC508" s="2" t="s">
        <v>86</v>
      </c>
      <c r="DD508" s="2" t="s">
        <v>142</v>
      </c>
      <c r="DE508" s="2" t="s">
        <v>264</v>
      </c>
      <c r="DG508" s="62"/>
      <c r="DZ508" s="3" t="e">
        <v>#N/A</v>
      </c>
      <c r="EC508" s="60"/>
      <c r="ED508" s="60"/>
      <c r="EE508" s="60"/>
      <c r="EF508" s="60"/>
    </row>
    <row r="509" spans="2:140" ht="12.75" hidden="1" customHeight="1">
      <c r="B509" s="99" t="s">
        <v>974</v>
      </c>
      <c r="C509" s="22" t="s">
        <v>975</v>
      </c>
      <c r="D509" s="22" t="s">
        <v>976</v>
      </c>
      <c r="E509" s="2" t="s">
        <v>968</v>
      </c>
      <c r="F509" s="2" t="s">
        <v>969</v>
      </c>
      <c r="G509" s="2" t="s">
        <v>331</v>
      </c>
      <c r="J509" s="22" t="s">
        <v>138</v>
      </c>
      <c r="K509" s="23" t="s">
        <v>978</v>
      </c>
      <c r="L509" s="22" t="s">
        <v>208</v>
      </c>
      <c r="M509" s="51" t="str">
        <f t="shared" si="402"/>
        <v>JD8B-17683-BAW</v>
      </c>
      <c r="O509" s="94"/>
      <c r="P509" s="94"/>
      <c r="Q509" s="94">
        <v>1</v>
      </c>
      <c r="R509" s="94">
        <v>1</v>
      </c>
      <c r="S509" s="94">
        <v>1</v>
      </c>
      <c r="T509" s="94">
        <v>1</v>
      </c>
      <c r="U509" s="94">
        <v>0</v>
      </c>
      <c r="V509" s="94">
        <v>0</v>
      </c>
      <c r="W509" s="64">
        <f t="shared" si="403"/>
        <v>0.6</v>
      </c>
      <c r="Y509" s="8">
        <v>-121.9957</v>
      </c>
      <c r="Z509" s="8">
        <v>-1.3495999999999999</v>
      </c>
      <c r="AA509" s="8">
        <v>-4.3099999999999996</v>
      </c>
      <c r="AB509" s="8">
        <v>0</v>
      </c>
      <c r="AC509" s="8">
        <v>0</v>
      </c>
      <c r="AD509" s="8">
        <f t="shared" si="404"/>
        <v>-127.6553</v>
      </c>
      <c r="AE509" s="2" t="s">
        <v>91</v>
      </c>
      <c r="AG509" s="8" t="s">
        <v>940</v>
      </c>
      <c r="AH509" s="8" t="s">
        <v>940</v>
      </c>
      <c r="AJ509" s="117">
        <v>0</v>
      </c>
      <c r="AK509" s="117">
        <v>0</v>
      </c>
      <c r="AL509" s="72"/>
      <c r="AM509" s="22"/>
      <c r="AO509" s="22" t="s">
        <v>138</v>
      </c>
      <c r="AP509" s="23" t="s">
        <v>978</v>
      </c>
      <c r="AQ509" s="22" t="s">
        <v>208</v>
      </c>
      <c r="AR509" s="51" t="str">
        <f t="shared" si="392"/>
        <v>JD8B-17683-BAW</v>
      </c>
      <c r="AS509" s="3"/>
      <c r="AT509" s="22"/>
      <c r="AU509" s="22"/>
      <c r="AV509" s="22">
        <v>1</v>
      </c>
      <c r="AW509" s="22">
        <v>1</v>
      </c>
      <c r="AX509" s="22">
        <v>1</v>
      </c>
      <c r="AY509" s="22">
        <v>1</v>
      </c>
      <c r="AZ509" s="22">
        <v>0</v>
      </c>
      <c r="BA509" s="22">
        <v>0</v>
      </c>
      <c r="BB509" s="64">
        <f t="shared" si="393"/>
        <v>0.6</v>
      </c>
      <c r="BD509" s="60">
        <v>-121.9957</v>
      </c>
      <c r="BE509" s="60">
        <v>-1.3495999999999999</v>
      </c>
      <c r="BF509" s="95">
        <v>-4.3099999999999996</v>
      </c>
      <c r="BG509" s="95">
        <v>0</v>
      </c>
      <c r="BH509" s="95">
        <v>0</v>
      </c>
      <c r="BI509" s="8">
        <f t="shared" si="397"/>
        <v>-127.6553</v>
      </c>
      <c r="BJ509" s="2" t="s">
        <v>91</v>
      </c>
      <c r="BL509" s="70" t="s">
        <v>940</v>
      </c>
      <c r="BM509" s="70" t="s">
        <v>940</v>
      </c>
      <c r="BO509" s="117">
        <v>0</v>
      </c>
      <c r="BP509" s="117">
        <v>0</v>
      </c>
      <c r="BQ509" s="72"/>
      <c r="BS509" s="61">
        <f t="shared" si="401"/>
        <v>0</v>
      </c>
      <c r="BT509" s="61">
        <f t="shared" si="398"/>
        <v>0</v>
      </c>
      <c r="BU509" s="61">
        <f t="shared" si="399"/>
        <v>0</v>
      </c>
      <c r="BV509" s="61">
        <f t="shared" si="400"/>
        <v>0</v>
      </c>
      <c r="BW509" s="61">
        <f t="shared" si="400"/>
        <v>0</v>
      </c>
      <c r="BX509" s="61">
        <f t="shared" si="405"/>
        <v>0</v>
      </c>
      <c r="BY509" s="61" t="s">
        <v>91</v>
      </c>
      <c r="CA509" s="61">
        <f t="shared" si="390"/>
        <v>0</v>
      </c>
      <c r="CB509" s="61">
        <f t="shared" si="390"/>
        <v>0</v>
      </c>
      <c r="CC509" s="61">
        <f t="shared" si="390"/>
        <v>0</v>
      </c>
      <c r="CD509" s="61">
        <f t="shared" si="390"/>
        <v>0</v>
      </c>
      <c r="CE509" s="61">
        <f t="shared" si="390"/>
        <v>0</v>
      </c>
      <c r="CF509" s="61">
        <f t="shared" si="388"/>
        <v>0</v>
      </c>
      <c r="CG509" s="61">
        <f t="shared" si="388"/>
        <v>0</v>
      </c>
      <c r="CH509" s="61">
        <f t="shared" si="388"/>
        <v>0</v>
      </c>
      <c r="CI509" s="61">
        <f t="shared" si="375"/>
        <v>0</v>
      </c>
      <c r="CJ509" s="61"/>
      <c r="CK509" s="61">
        <f t="shared" si="406"/>
        <v>0</v>
      </c>
      <c r="CL509" s="61">
        <f t="shared" si="406"/>
        <v>0</v>
      </c>
      <c r="CM509" s="61">
        <f t="shared" si="406"/>
        <v>0</v>
      </c>
      <c r="CN509" s="61">
        <f t="shared" si="406"/>
        <v>0</v>
      </c>
      <c r="CO509" s="61">
        <f t="shared" si="406"/>
        <v>0</v>
      </c>
      <c r="CP509" s="61">
        <f t="shared" si="406"/>
        <v>0</v>
      </c>
      <c r="CQ509" s="61">
        <f t="shared" si="406"/>
        <v>0</v>
      </c>
      <c r="CR509" s="61">
        <f t="shared" si="406"/>
        <v>0</v>
      </c>
      <c r="CS509" s="61">
        <f t="shared" si="376"/>
        <v>0</v>
      </c>
      <c r="CT509" s="61">
        <f t="shared" si="377"/>
        <v>0</v>
      </c>
      <c r="CV509" s="61">
        <f t="shared" si="408"/>
        <v>0</v>
      </c>
      <c r="CW509" s="61">
        <f t="shared" si="383"/>
        <v>0</v>
      </c>
      <c r="CX509" s="61"/>
      <c r="CY509" s="61">
        <f t="shared" si="368"/>
        <v>0</v>
      </c>
      <c r="CZ509" s="61">
        <f t="shared" si="391"/>
        <v>0</v>
      </c>
      <c r="DA509" s="61">
        <f t="shared" si="391"/>
        <v>0</v>
      </c>
      <c r="DB509" s="2" t="s">
        <v>85</v>
      </c>
      <c r="DC509" s="2" t="s">
        <v>86</v>
      </c>
      <c r="DD509" s="2" t="s">
        <v>142</v>
      </c>
      <c r="DE509" s="2" t="s">
        <v>264</v>
      </c>
      <c r="DG509" s="62"/>
      <c r="DZ509" s="3" t="e">
        <v>#N/A</v>
      </c>
      <c r="EC509" s="60"/>
      <c r="ED509" s="60"/>
      <c r="EE509" s="60"/>
      <c r="EF509" s="60"/>
    </row>
    <row r="510" spans="2:140" ht="12.75" hidden="1" customHeight="1">
      <c r="B510" s="99" t="s">
        <v>974</v>
      </c>
      <c r="C510" s="22" t="s">
        <v>975</v>
      </c>
      <c r="D510" s="22" t="s">
        <v>976</v>
      </c>
      <c r="E510" s="2" t="s">
        <v>968</v>
      </c>
      <c r="F510" s="2" t="s">
        <v>969</v>
      </c>
      <c r="G510" s="2" t="s">
        <v>331</v>
      </c>
      <c r="J510" s="22" t="s">
        <v>138</v>
      </c>
      <c r="K510" s="23" t="s">
        <v>977</v>
      </c>
      <c r="L510" s="22" t="s">
        <v>203</v>
      </c>
      <c r="M510" s="51" t="str">
        <f t="shared" si="402"/>
        <v>JD8B-17682-CAW</v>
      </c>
      <c r="O510" s="94"/>
      <c r="P510" s="94"/>
      <c r="Q510" s="94"/>
      <c r="R510" s="94"/>
      <c r="S510" s="94"/>
      <c r="T510" s="94"/>
      <c r="U510" s="94">
        <v>1</v>
      </c>
      <c r="V510" s="94">
        <v>1</v>
      </c>
      <c r="W510" s="64">
        <f t="shared" si="403"/>
        <v>0.1</v>
      </c>
      <c r="Y510" s="8">
        <v>-203.2466</v>
      </c>
      <c r="Z510" s="8">
        <v>-1.3495999999999999</v>
      </c>
      <c r="AA510" s="8">
        <v>-4.3099999999999996</v>
      </c>
      <c r="AB510" s="8">
        <v>0</v>
      </c>
      <c r="AC510" s="8">
        <v>0</v>
      </c>
      <c r="AD510" s="8">
        <f t="shared" si="404"/>
        <v>-208.90620000000001</v>
      </c>
      <c r="AE510" s="2" t="s">
        <v>91</v>
      </c>
      <c r="AG510" s="8" t="s">
        <v>940</v>
      </c>
      <c r="AH510" s="8" t="s">
        <v>940</v>
      </c>
      <c r="AJ510" s="117">
        <v>0</v>
      </c>
      <c r="AK510" s="117">
        <v>0</v>
      </c>
      <c r="AL510" s="72"/>
      <c r="AM510" s="22"/>
      <c r="AO510" s="22" t="s">
        <v>138</v>
      </c>
      <c r="AP510" s="23" t="s">
        <v>977</v>
      </c>
      <c r="AQ510" s="22" t="s">
        <v>203</v>
      </c>
      <c r="AR510" s="51" t="str">
        <f t="shared" si="392"/>
        <v>JD8B-17682-CAW</v>
      </c>
      <c r="AS510" s="3"/>
      <c r="AT510" s="22"/>
      <c r="AU510" s="22"/>
      <c r="AV510" s="22"/>
      <c r="AW510" s="22"/>
      <c r="AX510" s="22"/>
      <c r="AY510" s="22"/>
      <c r="AZ510" s="22">
        <v>1</v>
      </c>
      <c r="BA510" s="22">
        <v>1</v>
      </c>
      <c r="BB510" s="64">
        <f t="shared" si="393"/>
        <v>0.1</v>
      </c>
      <c r="BD510" s="60">
        <v>-203.2466</v>
      </c>
      <c r="BE510" s="60">
        <v>-1.3495999999999999</v>
      </c>
      <c r="BF510" s="95">
        <v>-4.3099999999999996</v>
      </c>
      <c r="BG510" s="95">
        <v>0</v>
      </c>
      <c r="BH510" s="95">
        <v>0</v>
      </c>
      <c r="BI510" s="8">
        <f t="shared" si="397"/>
        <v>-208.90620000000001</v>
      </c>
      <c r="BJ510" s="2" t="s">
        <v>91</v>
      </c>
      <c r="BL510" s="70" t="s">
        <v>940</v>
      </c>
      <c r="BM510" s="70" t="s">
        <v>940</v>
      </c>
      <c r="BO510" s="117">
        <v>0</v>
      </c>
      <c r="BP510" s="117">
        <v>0</v>
      </c>
      <c r="BQ510" s="72"/>
      <c r="BS510" s="61">
        <f t="shared" si="401"/>
        <v>0</v>
      </c>
      <c r="BT510" s="61">
        <f t="shared" si="398"/>
        <v>0</v>
      </c>
      <c r="BU510" s="61">
        <f t="shared" si="399"/>
        <v>0</v>
      </c>
      <c r="BV510" s="61">
        <f t="shared" si="400"/>
        <v>0</v>
      </c>
      <c r="BW510" s="61">
        <f t="shared" si="400"/>
        <v>0</v>
      </c>
      <c r="BX510" s="61">
        <f t="shared" si="405"/>
        <v>0</v>
      </c>
      <c r="BY510" s="61" t="s">
        <v>91</v>
      </c>
      <c r="CA510" s="61">
        <f t="shared" si="390"/>
        <v>0</v>
      </c>
      <c r="CB510" s="61">
        <f t="shared" si="390"/>
        <v>0</v>
      </c>
      <c r="CC510" s="61">
        <f t="shared" si="390"/>
        <v>0</v>
      </c>
      <c r="CD510" s="61">
        <f t="shared" si="390"/>
        <v>0</v>
      </c>
      <c r="CE510" s="61">
        <f t="shared" si="390"/>
        <v>0</v>
      </c>
      <c r="CF510" s="61">
        <f t="shared" si="388"/>
        <v>0</v>
      </c>
      <c r="CG510" s="61">
        <f t="shared" si="388"/>
        <v>0</v>
      </c>
      <c r="CH510" s="61">
        <f t="shared" si="388"/>
        <v>0</v>
      </c>
      <c r="CI510" s="61">
        <f t="shared" si="375"/>
        <v>0</v>
      </c>
      <c r="CJ510" s="61"/>
      <c r="CK510" s="61">
        <f t="shared" si="406"/>
        <v>0</v>
      </c>
      <c r="CL510" s="61">
        <f t="shared" si="406"/>
        <v>0</v>
      </c>
      <c r="CM510" s="61">
        <f t="shared" si="406"/>
        <v>0</v>
      </c>
      <c r="CN510" s="61">
        <f t="shared" si="406"/>
        <v>0</v>
      </c>
      <c r="CO510" s="61">
        <f t="shared" si="406"/>
        <v>0</v>
      </c>
      <c r="CP510" s="61">
        <f t="shared" si="406"/>
        <v>0</v>
      </c>
      <c r="CQ510" s="61">
        <f t="shared" si="406"/>
        <v>0</v>
      </c>
      <c r="CR510" s="61">
        <f t="shared" si="406"/>
        <v>0</v>
      </c>
      <c r="CS510" s="61">
        <f t="shared" si="376"/>
        <v>0</v>
      </c>
      <c r="CT510" s="61">
        <f t="shared" si="377"/>
        <v>0</v>
      </c>
      <c r="CV510" s="61">
        <f t="shared" si="408"/>
        <v>0</v>
      </c>
      <c r="CW510" s="61">
        <f t="shared" si="383"/>
        <v>0</v>
      </c>
      <c r="CX510" s="61"/>
      <c r="CY510" s="61">
        <f t="shared" si="368"/>
        <v>0</v>
      </c>
      <c r="CZ510" s="61">
        <f t="shared" si="391"/>
        <v>0</v>
      </c>
      <c r="DA510" s="61">
        <f t="shared" si="391"/>
        <v>0</v>
      </c>
      <c r="DB510" s="2" t="s">
        <v>85</v>
      </c>
      <c r="DC510" s="2" t="s">
        <v>86</v>
      </c>
      <c r="DD510" s="2" t="s">
        <v>142</v>
      </c>
      <c r="DE510" s="2" t="s">
        <v>264</v>
      </c>
      <c r="DG510" s="62"/>
      <c r="DZ510" s="3" t="e">
        <v>#N/A</v>
      </c>
      <c r="EC510" s="60"/>
      <c r="ED510" s="60"/>
      <c r="EE510" s="60"/>
      <c r="EF510" s="60"/>
    </row>
    <row r="511" spans="2:140" ht="12.75" hidden="1" customHeight="1">
      <c r="B511" s="99" t="s">
        <v>974</v>
      </c>
      <c r="C511" s="22" t="s">
        <v>975</v>
      </c>
      <c r="D511" s="22" t="s">
        <v>976</v>
      </c>
      <c r="E511" s="2" t="s">
        <v>968</v>
      </c>
      <c r="F511" s="2" t="s">
        <v>969</v>
      </c>
      <c r="G511" s="2" t="s">
        <v>331</v>
      </c>
      <c r="J511" s="22" t="s">
        <v>138</v>
      </c>
      <c r="K511" s="23" t="s">
        <v>978</v>
      </c>
      <c r="L511" s="22" t="s">
        <v>203</v>
      </c>
      <c r="M511" s="51" t="str">
        <f t="shared" si="402"/>
        <v>JD8B-17683-CAW</v>
      </c>
      <c r="O511" s="94"/>
      <c r="P511" s="94"/>
      <c r="Q511" s="94"/>
      <c r="R511" s="94"/>
      <c r="S511" s="94"/>
      <c r="T511" s="94"/>
      <c r="U511" s="94">
        <v>1</v>
      </c>
      <c r="V511" s="94">
        <v>1</v>
      </c>
      <c r="W511" s="64">
        <f t="shared" si="403"/>
        <v>0.1</v>
      </c>
      <c r="Y511" s="8">
        <v>-203.2466</v>
      </c>
      <c r="Z511" s="8">
        <v>-1.3495999999999999</v>
      </c>
      <c r="AA511" s="8">
        <v>-4.3099999999999996</v>
      </c>
      <c r="AB511" s="8">
        <v>0</v>
      </c>
      <c r="AC511" s="8">
        <v>0</v>
      </c>
      <c r="AD511" s="8">
        <f t="shared" si="404"/>
        <v>-208.90620000000001</v>
      </c>
      <c r="AE511" s="2" t="s">
        <v>91</v>
      </c>
      <c r="AG511" s="8" t="s">
        <v>940</v>
      </c>
      <c r="AH511" s="8" t="s">
        <v>940</v>
      </c>
      <c r="AJ511" s="117">
        <v>0</v>
      </c>
      <c r="AK511" s="117">
        <v>0</v>
      </c>
      <c r="AL511" s="72"/>
      <c r="AM511" s="22"/>
      <c r="AO511" s="22" t="s">
        <v>138</v>
      </c>
      <c r="AP511" s="23" t="s">
        <v>978</v>
      </c>
      <c r="AQ511" s="22" t="s">
        <v>203</v>
      </c>
      <c r="AR511" s="51" t="str">
        <f t="shared" si="392"/>
        <v>JD8B-17683-CAW</v>
      </c>
      <c r="AS511" s="3"/>
      <c r="AT511" s="22"/>
      <c r="AU511" s="22"/>
      <c r="AV511" s="22"/>
      <c r="AW511" s="22"/>
      <c r="AX511" s="22"/>
      <c r="AY511" s="22"/>
      <c r="AZ511" s="22">
        <v>1</v>
      </c>
      <c r="BA511" s="22">
        <v>1</v>
      </c>
      <c r="BB511" s="64">
        <f t="shared" si="393"/>
        <v>0.1</v>
      </c>
      <c r="BD511" s="60">
        <v>-203.2466</v>
      </c>
      <c r="BE511" s="60">
        <v>-1.3495999999999999</v>
      </c>
      <c r="BF511" s="95">
        <v>-4.3099999999999996</v>
      </c>
      <c r="BG511" s="95">
        <v>0</v>
      </c>
      <c r="BH511" s="95">
        <v>0</v>
      </c>
      <c r="BI511" s="8">
        <f t="shared" si="397"/>
        <v>-208.90620000000001</v>
      </c>
      <c r="BJ511" s="2" t="s">
        <v>91</v>
      </c>
      <c r="BL511" s="70" t="s">
        <v>940</v>
      </c>
      <c r="BM511" s="70" t="s">
        <v>940</v>
      </c>
      <c r="BO511" s="117">
        <v>0</v>
      </c>
      <c r="BP511" s="117">
        <v>0</v>
      </c>
      <c r="BQ511" s="72"/>
      <c r="BS511" s="61">
        <f t="shared" si="401"/>
        <v>0</v>
      </c>
      <c r="BT511" s="61">
        <f t="shared" si="398"/>
        <v>0</v>
      </c>
      <c r="BU511" s="61">
        <f t="shared" si="399"/>
        <v>0</v>
      </c>
      <c r="BV511" s="61">
        <f t="shared" si="400"/>
        <v>0</v>
      </c>
      <c r="BW511" s="61">
        <f t="shared" si="400"/>
        <v>0</v>
      </c>
      <c r="BX511" s="61">
        <f t="shared" si="405"/>
        <v>0</v>
      </c>
      <c r="BY511" s="61" t="s">
        <v>91</v>
      </c>
      <c r="CA511" s="61">
        <f t="shared" si="390"/>
        <v>0</v>
      </c>
      <c r="CB511" s="61">
        <f t="shared" si="390"/>
        <v>0</v>
      </c>
      <c r="CC511" s="61">
        <f t="shared" si="390"/>
        <v>0</v>
      </c>
      <c r="CD511" s="61">
        <f t="shared" si="390"/>
        <v>0</v>
      </c>
      <c r="CE511" s="61">
        <f t="shared" si="390"/>
        <v>0</v>
      </c>
      <c r="CF511" s="61">
        <f t="shared" si="388"/>
        <v>0</v>
      </c>
      <c r="CG511" s="61">
        <f t="shared" si="388"/>
        <v>0</v>
      </c>
      <c r="CH511" s="61">
        <f t="shared" si="388"/>
        <v>0</v>
      </c>
      <c r="CI511" s="61">
        <f t="shared" si="375"/>
        <v>0</v>
      </c>
      <c r="CJ511" s="61"/>
      <c r="CK511" s="61">
        <f t="shared" si="406"/>
        <v>0</v>
      </c>
      <c r="CL511" s="61">
        <f t="shared" si="406"/>
        <v>0</v>
      </c>
      <c r="CM511" s="61">
        <f t="shared" si="406"/>
        <v>0</v>
      </c>
      <c r="CN511" s="61">
        <f t="shared" si="406"/>
        <v>0</v>
      </c>
      <c r="CO511" s="61">
        <f t="shared" si="406"/>
        <v>0</v>
      </c>
      <c r="CP511" s="61">
        <f t="shared" si="406"/>
        <v>0</v>
      </c>
      <c r="CQ511" s="61">
        <f t="shared" si="406"/>
        <v>0</v>
      </c>
      <c r="CR511" s="61">
        <f t="shared" si="406"/>
        <v>0</v>
      </c>
      <c r="CS511" s="61">
        <f t="shared" si="376"/>
        <v>0</v>
      </c>
      <c r="CT511" s="61">
        <f t="shared" si="377"/>
        <v>0</v>
      </c>
      <c r="CV511" s="61">
        <f t="shared" si="408"/>
        <v>0</v>
      </c>
      <c r="CW511" s="61">
        <f t="shared" si="383"/>
        <v>0</v>
      </c>
      <c r="CX511" s="61"/>
      <c r="CY511" s="61">
        <f t="shared" si="368"/>
        <v>0</v>
      </c>
      <c r="CZ511" s="61">
        <f t="shared" si="391"/>
        <v>0</v>
      </c>
      <c r="DA511" s="61">
        <f t="shared" si="391"/>
        <v>0</v>
      </c>
      <c r="DB511" s="2" t="s">
        <v>85</v>
      </c>
      <c r="DC511" s="2" t="s">
        <v>86</v>
      </c>
      <c r="DD511" s="2" t="s">
        <v>142</v>
      </c>
      <c r="DE511" s="2" t="s">
        <v>264</v>
      </c>
      <c r="DG511" s="62"/>
      <c r="DZ511" s="3" t="e">
        <v>#N/A</v>
      </c>
      <c r="EC511" s="60"/>
      <c r="ED511" s="60"/>
      <c r="EE511" s="60"/>
      <c r="EF511" s="60"/>
    </row>
    <row r="512" spans="2:140" ht="12.75" hidden="1" customHeight="1">
      <c r="B512" s="93" t="s">
        <v>980</v>
      </c>
      <c r="C512" s="22" t="s">
        <v>981</v>
      </c>
      <c r="D512" s="22" t="s">
        <v>982</v>
      </c>
      <c r="E512" s="2" t="s">
        <v>968</v>
      </c>
      <c r="F512" s="2" t="s">
        <v>330</v>
      </c>
      <c r="G512" s="2" t="s">
        <v>983</v>
      </c>
      <c r="J512" s="22" t="s">
        <v>576</v>
      </c>
      <c r="K512" s="23" t="s">
        <v>984</v>
      </c>
      <c r="L512" s="22" t="s">
        <v>132</v>
      </c>
      <c r="M512" s="51" t="str">
        <f t="shared" si="402"/>
        <v>3M51-10A792-AB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64">
        <f t="shared" si="403"/>
        <v>0</v>
      </c>
      <c r="Y512" s="8">
        <v>-0.26</v>
      </c>
      <c r="Z512" s="8">
        <v>-0.04</v>
      </c>
      <c r="AA512" s="8">
        <v>-0.04</v>
      </c>
      <c r="AB512" s="8">
        <v>0</v>
      </c>
      <c r="AC512" s="8">
        <v>0</v>
      </c>
      <c r="AD512" s="8">
        <f t="shared" si="404"/>
        <v>-0.33999999999999997</v>
      </c>
      <c r="AE512" s="2" t="s">
        <v>91</v>
      </c>
      <c r="AG512" s="8"/>
      <c r="AH512" s="8"/>
      <c r="AJ512" s="70"/>
      <c r="AK512" s="70"/>
      <c r="AL512" s="72"/>
      <c r="AM512" s="22"/>
      <c r="AO512" s="22" t="s">
        <v>576</v>
      </c>
      <c r="AP512" s="23" t="s">
        <v>984</v>
      </c>
      <c r="AQ512" s="22" t="s">
        <v>132</v>
      </c>
      <c r="AR512" s="51" t="str">
        <f t="shared" si="392"/>
        <v>3M51-10A792-AB</v>
      </c>
      <c r="AS512" s="3"/>
      <c r="AT512" s="22"/>
      <c r="AU512" s="22">
        <v>1</v>
      </c>
      <c r="AV512" s="22"/>
      <c r="AW512" s="22">
        <v>1</v>
      </c>
      <c r="AX512" s="22"/>
      <c r="AY512" s="22"/>
      <c r="AZ512" s="22"/>
      <c r="BA512" s="22"/>
      <c r="BB512" s="64">
        <f t="shared" si="393"/>
        <v>0.39</v>
      </c>
      <c r="BD512" s="60">
        <v>-0.26</v>
      </c>
      <c r="BE512" s="60">
        <v>-0.04</v>
      </c>
      <c r="BF512" s="60">
        <v>-0.04</v>
      </c>
      <c r="BG512" s="95">
        <v>0</v>
      </c>
      <c r="BH512" s="95">
        <v>0</v>
      </c>
      <c r="BI512" s="8">
        <f t="shared" si="397"/>
        <v>-0.33999999999999997</v>
      </c>
      <c r="BJ512" s="2" t="s">
        <v>91</v>
      </c>
      <c r="BL512" s="70"/>
      <c r="BM512" s="70"/>
      <c r="BO512" s="70"/>
      <c r="BP512" s="70"/>
      <c r="BQ512" s="72"/>
      <c r="BS512" s="61">
        <f t="shared" si="401"/>
        <v>0</v>
      </c>
      <c r="BT512" s="61">
        <f t="shared" si="398"/>
        <v>0</v>
      </c>
      <c r="BU512" s="61">
        <f t="shared" si="399"/>
        <v>0</v>
      </c>
      <c r="BV512" s="61">
        <f t="shared" si="400"/>
        <v>0</v>
      </c>
      <c r="BW512" s="61">
        <f t="shared" si="400"/>
        <v>0</v>
      </c>
      <c r="BX512" s="61">
        <f t="shared" si="405"/>
        <v>0</v>
      </c>
      <c r="BY512" s="61" t="s">
        <v>91</v>
      </c>
      <c r="CA512" s="61">
        <f t="shared" si="390"/>
        <v>0</v>
      </c>
      <c r="CB512" s="61">
        <f t="shared" si="390"/>
        <v>3.911539040168497E-2</v>
      </c>
      <c r="CC512" s="61">
        <f t="shared" si="390"/>
        <v>0</v>
      </c>
      <c r="CD512" s="61">
        <f t="shared" si="390"/>
        <v>3.911539040168497E-2</v>
      </c>
      <c r="CE512" s="61">
        <f t="shared" si="390"/>
        <v>0</v>
      </c>
      <c r="CF512" s="61">
        <f t="shared" si="388"/>
        <v>0</v>
      </c>
      <c r="CG512" s="61">
        <f t="shared" si="388"/>
        <v>0</v>
      </c>
      <c r="CH512" s="61">
        <f t="shared" si="388"/>
        <v>0</v>
      </c>
      <c r="CI512" s="61">
        <f t="shared" si="375"/>
        <v>1.525500225665714E-2</v>
      </c>
      <c r="CJ512" s="61"/>
      <c r="CK512" s="61">
        <f t="shared" si="406"/>
        <v>0</v>
      </c>
      <c r="CL512" s="61">
        <f t="shared" si="406"/>
        <v>5.1150895140664954E-2</v>
      </c>
      <c r="CM512" s="61">
        <f t="shared" si="406"/>
        <v>0</v>
      </c>
      <c r="CN512" s="61">
        <f t="shared" si="406"/>
        <v>5.1150895140664954E-2</v>
      </c>
      <c r="CO512" s="61">
        <f t="shared" si="406"/>
        <v>0</v>
      </c>
      <c r="CP512" s="61">
        <f t="shared" si="406"/>
        <v>0</v>
      </c>
      <c r="CQ512" s="61">
        <f t="shared" si="406"/>
        <v>0</v>
      </c>
      <c r="CR512" s="61">
        <f t="shared" si="406"/>
        <v>0</v>
      </c>
      <c r="CS512" s="61">
        <f t="shared" si="376"/>
        <v>1.9948849104859334E-2</v>
      </c>
      <c r="CT512" s="61">
        <f t="shared" si="377"/>
        <v>0.1326</v>
      </c>
      <c r="CV512" s="61">
        <f t="shared" si="408"/>
        <v>0</v>
      </c>
      <c r="CW512" s="61">
        <f t="shared" si="383"/>
        <v>0</v>
      </c>
      <c r="CX512" s="61"/>
      <c r="CY512" s="61">
        <f t="shared" si="368"/>
        <v>0</v>
      </c>
      <c r="CZ512" s="61">
        <f t="shared" si="391"/>
        <v>0</v>
      </c>
      <c r="DA512" s="61">
        <f t="shared" si="391"/>
        <v>0</v>
      </c>
      <c r="DB512" s="2" t="s">
        <v>86</v>
      </c>
      <c r="DC512" s="2" t="s">
        <v>86</v>
      </c>
      <c r="DD512" s="2" t="s">
        <v>142</v>
      </c>
      <c r="DE512" s="2" t="s">
        <v>264</v>
      </c>
      <c r="DG512" s="62"/>
      <c r="DZ512" s="3" t="e">
        <v>#N/A</v>
      </c>
      <c r="EC512" s="60" t="e">
        <f>VLOOKUP($M512,[1]Detail!$M:$BO,1,0)</f>
        <v>#N/A</v>
      </c>
      <c r="ED512" s="60" t="e">
        <f>VLOOKUP($M512,[1]Detail!$M:$BO,22,0)</f>
        <v>#N/A</v>
      </c>
      <c r="EE512" s="60" t="e">
        <f>VLOOKUP($M512,[1]Detail!$M:$BO,42,0)</f>
        <v>#N/A</v>
      </c>
      <c r="EF512" s="60" t="e">
        <f>VLOOKUP($M512,[1]Detail!$M:$BO,45,0)</f>
        <v>#N/A</v>
      </c>
      <c r="EH512" s="60" t="e">
        <f>ED512-AD512</f>
        <v>#N/A</v>
      </c>
      <c r="EI512" s="60" t="e">
        <f>EE512-AG512</f>
        <v>#N/A</v>
      </c>
      <c r="EJ512" s="60" t="e">
        <f t="shared" ref="EJ512:EJ515" si="414">EF512-AJ512</f>
        <v>#N/A</v>
      </c>
    </row>
    <row r="513" spans="2:140" ht="12.75" hidden="1" customHeight="1">
      <c r="B513" s="93" t="s">
        <v>980</v>
      </c>
      <c r="C513" s="22" t="s">
        <v>981</v>
      </c>
      <c r="D513" s="22" t="s">
        <v>982</v>
      </c>
      <c r="E513" s="2" t="s">
        <v>968</v>
      </c>
      <c r="F513" s="2" t="s">
        <v>330</v>
      </c>
      <c r="G513" s="2" t="s">
        <v>983</v>
      </c>
      <c r="J513" s="22" t="s">
        <v>985</v>
      </c>
      <c r="K513" s="23" t="s">
        <v>984</v>
      </c>
      <c r="L513" s="22" t="s">
        <v>100</v>
      </c>
      <c r="M513" s="51" t="str">
        <f t="shared" si="402"/>
        <v>CV61-10A792-AA</v>
      </c>
      <c r="O513" s="98">
        <v>0</v>
      </c>
      <c r="P513" s="98">
        <v>0</v>
      </c>
      <c r="Q513" s="98">
        <v>0</v>
      </c>
      <c r="R513" s="98">
        <v>0</v>
      </c>
      <c r="S513" s="98">
        <v>0</v>
      </c>
      <c r="T513" s="98">
        <v>0</v>
      </c>
      <c r="U513" s="98">
        <v>0</v>
      </c>
      <c r="V513" s="98">
        <v>0</v>
      </c>
      <c r="W513" s="64">
        <f t="shared" si="403"/>
        <v>0</v>
      </c>
      <c r="Y513" s="8">
        <v>-0.78</v>
      </c>
      <c r="Z513" s="8">
        <v>-0.05</v>
      </c>
      <c r="AA513" s="8">
        <v>-0.08</v>
      </c>
      <c r="AB513" s="8"/>
      <c r="AC513" s="8"/>
      <c r="AD513" s="8">
        <f t="shared" si="404"/>
        <v>-0.91</v>
      </c>
      <c r="AE513" s="2" t="s">
        <v>91</v>
      </c>
      <c r="AG513" s="8"/>
      <c r="AH513" s="8"/>
      <c r="AJ513" s="70"/>
      <c r="AK513" s="70"/>
      <c r="AL513" s="72"/>
      <c r="AM513" s="22"/>
      <c r="AO513" s="22" t="s">
        <v>985</v>
      </c>
      <c r="AP513" s="23" t="s">
        <v>984</v>
      </c>
      <c r="AQ513" s="22" t="s">
        <v>100</v>
      </c>
      <c r="AR513" s="51" t="str">
        <f t="shared" si="392"/>
        <v>CV61-10A792-AA</v>
      </c>
      <c r="AS513" s="3"/>
      <c r="AT513" s="22">
        <v>1</v>
      </c>
      <c r="AU513" s="22"/>
      <c r="AV513" s="22">
        <v>1</v>
      </c>
      <c r="AW513" s="22"/>
      <c r="AX513" s="22"/>
      <c r="AY513" s="22"/>
      <c r="AZ513" s="22"/>
      <c r="BA513" s="22"/>
      <c r="BB513" s="64">
        <f t="shared" si="393"/>
        <v>0.28000000000000003</v>
      </c>
      <c r="BD513" s="60">
        <v>-0.78</v>
      </c>
      <c r="BE513" s="60">
        <v>-0.05</v>
      </c>
      <c r="BF513" s="95">
        <v>-0.08</v>
      </c>
      <c r="BG513" s="95">
        <v>0</v>
      </c>
      <c r="BH513" s="95">
        <v>0</v>
      </c>
      <c r="BI513" s="8">
        <f t="shared" si="397"/>
        <v>-0.91</v>
      </c>
      <c r="BJ513" s="2" t="s">
        <v>91</v>
      </c>
      <c r="BL513" s="70"/>
      <c r="BM513" s="70"/>
      <c r="BO513" s="70"/>
      <c r="BP513" s="70"/>
      <c r="BQ513" s="72"/>
      <c r="BS513" s="61">
        <f t="shared" si="401"/>
        <v>0</v>
      </c>
      <c r="BT513" s="61">
        <f t="shared" si="398"/>
        <v>0</v>
      </c>
      <c r="BU513" s="61">
        <f t="shared" si="399"/>
        <v>0</v>
      </c>
      <c r="BV513" s="61">
        <f t="shared" si="400"/>
        <v>0</v>
      </c>
      <c r="BW513" s="61">
        <f t="shared" si="400"/>
        <v>0</v>
      </c>
      <c r="BX513" s="61">
        <f t="shared" si="405"/>
        <v>0</v>
      </c>
      <c r="BY513" s="61" t="s">
        <v>91</v>
      </c>
      <c r="CA513" s="61">
        <f t="shared" si="390"/>
        <v>0.11734617120505492</v>
      </c>
      <c r="CB513" s="61">
        <f t="shared" si="390"/>
        <v>0</v>
      </c>
      <c r="CC513" s="61">
        <f t="shared" si="390"/>
        <v>0.11734617120505492</v>
      </c>
      <c r="CD513" s="61">
        <f t="shared" si="390"/>
        <v>0</v>
      </c>
      <c r="CE513" s="61">
        <f t="shared" si="390"/>
        <v>0</v>
      </c>
      <c r="CF513" s="61">
        <f t="shared" si="388"/>
        <v>0</v>
      </c>
      <c r="CG513" s="61">
        <f t="shared" si="388"/>
        <v>0</v>
      </c>
      <c r="CH513" s="61">
        <f t="shared" si="388"/>
        <v>0</v>
      </c>
      <c r="CI513" s="61">
        <f t="shared" si="375"/>
        <v>3.2856927937415382E-2</v>
      </c>
      <c r="CJ513" s="61"/>
      <c r="CK513" s="61">
        <f t="shared" si="406"/>
        <v>0.13690386640589738</v>
      </c>
      <c r="CL513" s="61">
        <f t="shared" si="406"/>
        <v>0</v>
      </c>
      <c r="CM513" s="61">
        <f t="shared" si="406"/>
        <v>0.13690386640589738</v>
      </c>
      <c r="CN513" s="61">
        <f t="shared" si="406"/>
        <v>0</v>
      </c>
      <c r="CO513" s="61">
        <f t="shared" si="406"/>
        <v>0</v>
      </c>
      <c r="CP513" s="61">
        <f t="shared" si="406"/>
        <v>0</v>
      </c>
      <c r="CQ513" s="61">
        <f t="shared" si="406"/>
        <v>0</v>
      </c>
      <c r="CR513" s="61">
        <f t="shared" si="406"/>
        <v>0</v>
      </c>
      <c r="CS513" s="61">
        <f t="shared" si="376"/>
        <v>3.8333082593651271E-2</v>
      </c>
      <c r="CT513" s="61">
        <f t="shared" si="377"/>
        <v>0.25480000000000003</v>
      </c>
      <c r="CV513" s="61">
        <f t="shared" si="408"/>
        <v>0</v>
      </c>
      <c r="CW513" s="61">
        <f t="shared" si="383"/>
        <v>0</v>
      </c>
      <c r="CX513" s="61"/>
      <c r="CY513" s="61">
        <f t="shared" si="368"/>
        <v>0</v>
      </c>
      <c r="CZ513" s="61">
        <f t="shared" si="391"/>
        <v>0</v>
      </c>
      <c r="DA513" s="61">
        <f t="shared" si="391"/>
        <v>0</v>
      </c>
      <c r="DB513" s="2" t="s">
        <v>86</v>
      </c>
      <c r="DC513" s="2" t="s">
        <v>86</v>
      </c>
      <c r="DD513" s="2" t="s">
        <v>142</v>
      </c>
      <c r="DE513" s="2" t="s">
        <v>264</v>
      </c>
      <c r="DG513" s="62"/>
      <c r="DZ513" s="3" t="e">
        <v>#N/A</v>
      </c>
      <c r="EC513" s="60" t="e">
        <f>VLOOKUP($M513,[1]Detail!$M:$BO,1,0)</f>
        <v>#N/A</v>
      </c>
      <c r="ED513" s="60" t="e">
        <f>VLOOKUP($M513,[1]Detail!$M:$BO,22,0)</f>
        <v>#N/A</v>
      </c>
      <c r="EE513" s="60" t="e">
        <f>VLOOKUP($M513,[1]Detail!$M:$BO,42,0)</f>
        <v>#N/A</v>
      </c>
      <c r="EF513" s="60" t="e">
        <f>VLOOKUP($M513,[1]Detail!$M:$BO,45,0)</f>
        <v>#N/A</v>
      </c>
      <c r="EH513" s="60" t="e">
        <f>ED513-AD513</f>
        <v>#N/A</v>
      </c>
      <c r="EI513" s="60" t="e">
        <f>EE513-AG513</f>
        <v>#N/A</v>
      </c>
      <c r="EJ513" s="60" t="e">
        <f t="shared" si="414"/>
        <v>#N/A</v>
      </c>
    </row>
    <row r="514" spans="2:140" ht="12.75" hidden="1" customHeight="1">
      <c r="B514" s="93" t="s">
        <v>980</v>
      </c>
      <c r="C514" s="22" t="s">
        <v>981</v>
      </c>
      <c r="D514" s="22" t="s">
        <v>982</v>
      </c>
      <c r="E514" s="2" t="s">
        <v>968</v>
      </c>
      <c r="F514" s="2" t="s">
        <v>330</v>
      </c>
      <c r="G514" s="2" t="s">
        <v>983</v>
      </c>
      <c r="J514" s="22" t="s">
        <v>128</v>
      </c>
      <c r="K514" s="23" t="s">
        <v>984</v>
      </c>
      <c r="L514" s="22" t="s">
        <v>100</v>
      </c>
      <c r="M514" s="51" t="str">
        <f t="shared" si="402"/>
        <v>ED8B-10A792-AA</v>
      </c>
      <c r="O514" s="98">
        <v>0</v>
      </c>
      <c r="P514" s="98">
        <v>0</v>
      </c>
      <c r="Q514" s="98">
        <v>0</v>
      </c>
      <c r="R514" s="98">
        <v>0</v>
      </c>
      <c r="S514" s="98">
        <v>0</v>
      </c>
      <c r="T514" s="98">
        <v>0</v>
      </c>
      <c r="U514" s="98">
        <v>0</v>
      </c>
      <c r="V514" s="98">
        <v>0</v>
      </c>
      <c r="W514" s="64">
        <f t="shared" si="403"/>
        <v>0</v>
      </c>
      <c r="Y514" s="8">
        <v>-0.97</v>
      </c>
      <c r="Z514" s="8">
        <v>-0.05</v>
      </c>
      <c r="AA514" s="8">
        <v>-0.08</v>
      </c>
      <c r="AB514" s="8"/>
      <c r="AC514" s="8"/>
      <c r="AD514" s="8">
        <f t="shared" si="404"/>
        <v>-1.1000000000000001</v>
      </c>
      <c r="AE514" s="2" t="s">
        <v>91</v>
      </c>
      <c r="AG514" s="8">
        <v>-145200</v>
      </c>
      <c r="AH514" s="8">
        <v>-145200</v>
      </c>
      <c r="AI514" s="6"/>
      <c r="AJ514" s="70"/>
      <c r="AK514" s="70"/>
      <c r="AL514" s="72"/>
      <c r="AM514" s="22"/>
      <c r="AO514" s="22" t="s">
        <v>128</v>
      </c>
      <c r="AP514" s="23" t="s">
        <v>984</v>
      </c>
      <c r="AQ514" s="22" t="s">
        <v>100</v>
      </c>
      <c r="AR514" s="51" t="str">
        <f t="shared" si="392"/>
        <v>ED8B-10A792-AA</v>
      </c>
      <c r="AS514" s="3"/>
      <c r="AT514" s="22">
        <v>1</v>
      </c>
      <c r="AU514" s="22"/>
      <c r="AV514" s="22">
        <v>1</v>
      </c>
      <c r="AW514" s="22"/>
      <c r="AX514" s="22"/>
      <c r="AY514" s="22"/>
      <c r="AZ514" s="22"/>
      <c r="BA514" s="22"/>
      <c r="BB514" s="64">
        <f t="shared" si="393"/>
        <v>0.28000000000000003</v>
      </c>
      <c r="BD514" s="60">
        <v>-0.97</v>
      </c>
      <c r="BE514" s="60">
        <v>-0.05</v>
      </c>
      <c r="BF514" s="95">
        <v>-0.08</v>
      </c>
      <c r="BG514" s="95">
        <v>0</v>
      </c>
      <c r="BH514" s="95">
        <v>0</v>
      </c>
      <c r="BI514" s="8">
        <f t="shared" si="397"/>
        <v>-1.1000000000000001</v>
      </c>
      <c r="BJ514" s="2" t="s">
        <v>91</v>
      </c>
      <c r="BL514" s="70">
        <v>-145200</v>
      </c>
      <c r="BM514" s="70">
        <v>-145200</v>
      </c>
      <c r="BO514" s="70"/>
      <c r="BP514" s="70"/>
      <c r="BQ514" s="72"/>
      <c r="BS514" s="61">
        <f t="shared" si="401"/>
        <v>0</v>
      </c>
      <c r="BT514" s="61">
        <f t="shared" si="398"/>
        <v>0</v>
      </c>
      <c r="BU514" s="61">
        <f t="shared" si="399"/>
        <v>0</v>
      </c>
      <c r="BV514" s="61">
        <f t="shared" si="400"/>
        <v>0</v>
      </c>
      <c r="BW514" s="61">
        <f t="shared" si="400"/>
        <v>0</v>
      </c>
      <c r="BX514" s="61">
        <f t="shared" si="405"/>
        <v>0</v>
      </c>
      <c r="BY514" s="61" t="s">
        <v>91</v>
      </c>
      <c r="CA514" s="61">
        <f t="shared" si="390"/>
        <v>0.14593049496013238</v>
      </c>
      <c r="CB514" s="61">
        <f t="shared" si="390"/>
        <v>0</v>
      </c>
      <c r="CC514" s="61">
        <f t="shared" si="390"/>
        <v>0.14593049496013238</v>
      </c>
      <c r="CD514" s="61">
        <f t="shared" si="390"/>
        <v>0</v>
      </c>
      <c r="CE514" s="61">
        <f t="shared" si="390"/>
        <v>0</v>
      </c>
      <c r="CF514" s="61">
        <f t="shared" si="388"/>
        <v>0</v>
      </c>
      <c r="CG514" s="61">
        <f t="shared" si="388"/>
        <v>0</v>
      </c>
      <c r="CH514" s="61">
        <f t="shared" si="388"/>
        <v>0</v>
      </c>
      <c r="CI514" s="61">
        <f t="shared" si="375"/>
        <v>4.0860538588837071E-2</v>
      </c>
      <c r="CJ514" s="61"/>
      <c r="CK514" s="61">
        <f t="shared" si="406"/>
        <v>0.16548819016097488</v>
      </c>
      <c r="CL514" s="61">
        <f t="shared" si="406"/>
        <v>0</v>
      </c>
      <c r="CM514" s="61">
        <f t="shared" si="406"/>
        <v>0.16548819016097488</v>
      </c>
      <c r="CN514" s="61">
        <f t="shared" si="406"/>
        <v>0</v>
      </c>
      <c r="CO514" s="61">
        <f t="shared" si="406"/>
        <v>0</v>
      </c>
      <c r="CP514" s="61">
        <f t="shared" si="406"/>
        <v>0</v>
      </c>
      <c r="CQ514" s="61">
        <f t="shared" si="406"/>
        <v>0</v>
      </c>
      <c r="CR514" s="61">
        <f t="shared" si="406"/>
        <v>0</v>
      </c>
      <c r="CS514" s="61">
        <f t="shared" si="376"/>
        <v>4.6336693245072974E-2</v>
      </c>
      <c r="CT514" s="61">
        <f t="shared" si="377"/>
        <v>0.30800000000000005</v>
      </c>
      <c r="CV514" s="61">
        <f t="shared" si="408"/>
        <v>0</v>
      </c>
      <c r="CW514" s="61">
        <f t="shared" si="383"/>
        <v>0</v>
      </c>
      <c r="CX514" s="61"/>
      <c r="CY514" s="61">
        <f t="shared" si="368"/>
        <v>0</v>
      </c>
      <c r="CZ514" s="61">
        <f t="shared" si="391"/>
        <v>0</v>
      </c>
      <c r="DA514" s="61">
        <f t="shared" si="391"/>
        <v>0</v>
      </c>
      <c r="DB514" s="2" t="s">
        <v>86</v>
      </c>
      <c r="DC514" s="2" t="s">
        <v>86</v>
      </c>
      <c r="DD514" s="2" t="s">
        <v>142</v>
      </c>
      <c r="DE514" s="2" t="s">
        <v>264</v>
      </c>
      <c r="DG514" s="62"/>
      <c r="DZ514" s="3" t="e">
        <v>#N/A</v>
      </c>
      <c r="EC514" s="60" t="e">
        <f>VLOOKUP($M514,[1]Detail!$M:$BO,1,0)</f>
        <v>#N/A</v>
      </c>
      <c r="ED514" s="60" t="e">
        <f>VLOOKUP($M514,[1]Detail!$M:$BO,22,0)</f>
        <v>#N/A</v>
      </c>
      <c r="EE514" s="60" t="e">
        <f>VLOOKUP($M514,[1]Detail!$M:$BO,42,0)</f>
        <v>#N/A</v>
      </c>
      <c r="EF514" s="60" t="e">
        <f>VLOOKUP($M514,[1]Detail!$M:$BO,45,0)</f>
        <v>#N/A</v>
      </c>
      <c r="EH514" s="60" t="e">
        <f>ED514-AD514</f>
        <v>#N/A</v>
      </c>
      <c r="EI514" s="60" t="e">
        <f>EE514-AG514</f>
        <v>#N/A</v>
      </c>
      <c r="EJ514" s="60" t="e">
        <f t="shared" si="414"/>
        <v>#N/A</v>
      </c>
    </row>
    <row r="515" spans="2:140" ht="12.75" hidden="1" customHeight="1">
      <c r="B515" s="99" t="s">
        <v>986</v>
      </c>
      <c r="C515" s="2" t="s">
        <v>966</v>
      </c>
      <c r="D515" s="86" t="s">
        <v>967</v>
      </c>
      <c r="E515" s="87" t="s">
        <v>968</v>
      </c>
      <c r="F515" s="2" t="s">
        <v>969</v>
      </c>
      <c r="G515" s="118" t="s">
        <v>987</v>
      </c>
      <c r="J515" s="22" t="s">
        <v>126</v>
      </c>
      <c r="K515" s="23">
        <v>20562</v>
      </c>
      <c r="L515" s="22" t="s">
        <v>234</v>
      </c>
      <c r="M515" s="51" t="str">
        <f t="shared" si="402"/>
        <v>JD8B-20562-AC</v>
      </c>
      <c r="O515" s="22">
        <v>1</v>
      </c>
      <c r="P515" s="22">
        <v>1</v>
      </c>
      <c r="Q515" s="22"/>
      <c r="R515" s="22"/>
      <c r="S515" s="22"/>
      <c r="T515" s="22"/>
      <c r="U515" s="22"/>
      <c r="V515" s="22"/>
      <c r="W515" s="64">
        <f t="shared" si="403"/>
        <v>0.30000000000000004</v>
      </c>
      <c r="Y515" s="8">
        <v>-24.32</v>
      </c>
      <c r="Z515" s="8">
        <v>0</v>
      </c>
      <c r="AA515" s="8">
        <v>-0.26</v>
      </c>
      <c r="AB515" s="8"/>
      <c r="AC515" s="8">
        <v>-1.03</v>
      </c>
      <c r="AD515" s="8">
        <f t="shared" si="404"/>
        <v>-25.610000000000003</v>
      </c>
      <c r="AE515" s="2" t="s">
        <v>91</v>
      </c>
      <c r="AG515" s="70">
        <v>-202750</v>
      </c>
      <c r="AH515" s="70">
        <v>-202750</v>
      </c>
      <c r="AJ515" s="70">
        <v>-739994</v>
      </c>
      <c r="AK515" s="70">
        <v>430229.06976744189</v>
      </c>
      <c r="AL515" s="72"/>
      <c r="AM515" s="22"/>
      <c r="AO515" s="22" t="s">
        <v>126</v>
      </c>
      <c r="AP515" s="23">
        <v>20562</v>
      </c>
      <c r="AQ515" s="22" t="s">
        <v>132</v>
      </c>
      <c r="AR515" s="51" t="str">
        <f t="shared" si="392"/>
        <v>JD8B-20562-AB</v>
      </c>
      <c r="AS515" s="3"/>
      <c r="AT515" s="22">
        <v>1</v>
      </c>
      <c r="AU515" s="22">
        <v>1</v>
      </c>
      <c r="AV515" s="22"/>
      <c r="AW515" s="22"/>
      <c r="AX515" s="22"/>
      <c r="AY515" s="22"/>
      <c r="AZ515" s="22"/>
      <c r="BA515" s="22"/>
      <c r="BB515" s="64">
        <f t="shared" si="393"/>
        <v>0.30000000000000004</v>
      </c>
      <c r="BD515" s="105">
        <v>-24.89</v>
      </c>
      <c r="BE515" s="105">
        <v>0</v>
      </c>
      <c r="BF515" s="105">
        <v>-0.26</v>
      </c>
      <c r="BG515" s="105">
        <v>0</v>
      </c>
      <c r="BH515" s="105">
        <v>-1.03</v>
      </c>
      <c r="BI515" s="8">
        <f t="shared" si="397"/>
        <v>-26.180000000000003</v>
      </c>
      <c r="BJ515" s="2" t="s">
        <v>91</v>
      </c>
      <c r="BL515" s="70">
        <v>-202750</v>
      </c>
      <c r="BM515" s="70">
        <v>-202750</v>
      </c>
      <c r="BO515" s="70">
        <v>-739994</v>
      </c>
      <c r="BP515" s="70">
        <v>430229.06976744189</v>
      </c>
      <c r="BQ515" s="72"/>
      <c r="BS515" s="61">
        <f t="shared" si="401"/>
        <v>0.57000000000000028</v>
      </c>
      <c r="BT515" s="61">
        <f t="shared" si="398"/>
        <v>0</v>
      </c>
      <c r="BU515" s="61">
        <f t="shared" si="399"/>
        <v>0</v>
      </c>
      <c r="BV515" s="61">
        <f t="shared" si="400"/>
        <v>0</v>
      </c>
      <c r="BW515" s="61">
        <f t="shared" si="400"/>
        <v>0</v>
      </c>
      <c r="BX515" s="61">
        <f t="shared" si="405"/>
        <v>0.57000000000000028</v>
      </c>
      <c r="BY515" s="61" t="s">
        <v>91</v>
      </c>
      <c r="CA515" s="61">
        <f t="shared" si="390"/>
        <v>8.5752971265232472E-2</v>
      </c>
      <c r="CB515" s="61">
        <f t="shared" si="390"/>
        <v>8.5752971265232472E-2</v>
      </c>
      <c r="CC515" s="61">
        <f t="shared" si="390"/>
        <v>0</v>
      </c>
      <c r="CD515" s="61">
        <f t="shared" si="390"/>
        <v>0</v>
      </c>
      <c r="CE515" s="61">
        <f t="shared" si="390"/>
        <v>0</v>
      </c>
      <c r="CF515" s="61">
        <f t="shared" si="388"/>
        <v>0</v>
      </c>
      <c r="CG515" s="61">
        <f t="shared" si="388"/>
        <v>0</v>
      </c>
      <c r="CH515" s="61">
        <f t="shared" si="388"/>
        <v>0</v>
      </c>
      <c r="CI515" s="61">
        <f t="shared" si="375"/>
        <v>2.5725891379569744E-2</v>
      </c>
      <c r="CJ515" s="61"/>
      <c r="CK515" s="61">
        <f t="shared" si="406"/>
        <v>8.5752971265232472E-2</v>
      </c>
      <c r="CL515" s="61">
        <f t="shared" si="406"/>
        <v>8.5752971265232472E-2</v>
      </c>
      <c r="CM515" s="61">
        <f t="shared" si="406"/>
        <v>0</v>
      </c>
      <c r="CN515" s="61">
        <f t="shared" si="406"/>
        <v>0</v>
      </c>
      <c r="CO515" s="61">
        <f t="shared" si="406"/>
        <v>0</v>
      </c>
      <c r="CP515" s="61">
        <f t="shared" si="406"/>
        <v>0</v>
      </c>
      <c r="CQ515" s="61">
        <f t="shared" si="406"/>
        <v>0</v>
      </c>
      <c r="CR515" s="61">
        <f t="shared" si="406"/>
        <v>0</v>
      </c>
      <c r="CS515" s="61">
        <f t="shared" si="376"/>
        <v>2.5725891379569744E-2</v>
      </c>
      <c r="CT515" s="61">
        <f t="shared" si="377"/>
        <v>0.1710000000000001</v>
      </c>
      <c r="CV515" s="61">
        <f t="shared" si="408"/>
        <v>0</v>
      </c>
      <c r="CW515" s="61">
        <f t="shared" si="383"/>
        <v>0</v>
      </c>
      <c r="CX515" s="61"/>
      <c r="CY515" s="61">
        <f t="shared" si="368"/>
        <v>0</v>
      </c>
      <c r="CZ515" s="61">
        <f t="shared" si="391"/>
        <v>0</v>
      </c>
      <c r="DA515" s="61">
        <f t="shared" si="391"/>
        <v>0</v>
      </c>
      <c r="DB515" s="2" t="s">
        <v>86</v>
      </c>
      <c r="DC515" s="2" t="s">
        <v>85</v>
      </c>
      <c r="DD515" s="2" t="s">
        <v>142</v>
      </c>
      <c r="DE515" s="2" t="s">
        <v>264</v>
      </c>
      <c r="DG515" s="62"/>
      <c r="DZ515" s="3" t="e">
        <v>#N/A</v>
      </c>
      <c r="EC515" s="60" t="str">
        <f>VLOOKUP($M515,[1]Detail!$M:$BO,1,0)</f>
        <v>JD8B-20562-AC</v>
      </c>
      <c r="ED515" s="60">
        <f>VLOOKUP($M515,[1]Detail!$M:$BO,22,0)</f>
        <v>-25.610000000000003</v>
      </c>
      <c r="EE515" s="60">
        <f>VLOOKUP($M515,[1]Detail!$M:$BO,42,0)</f>
        <v>-202750</v>
      </c>
      <c r="EF515" s="60">
        <f>VLOOKUP($M515,[1]Detail!$M:$BO,45,0)</f>
        <v>-739994</v>
      </c>
      <c r="EH515" s="60">
        <f>ED515-AD515</f>
        <v>0</v>
      </c>
      <c r="EI515" s="60">
        <f>EE515-AG515</f>
        <v>0</v>
      </c>
      <c r="EJ515" s="60">
        <f t="shared" si="414"/>
        <v>0</v>
      </c>
    </row>
    <row r="516" spans="2:140" ht="12.75" hidden="1" customHeight="1">
      <c r="B516" s="99" t="s">
        <v>986</v>
      </c>
      <c r="C516" s="2" t="s">
        <v>966</v>
      </c>
      <c r="D516" s="86" t="s">
        <v>967</v>
      </c>
      <c r="E516" s="87" t="s">
        <v>968</v>
      </c>
      <c r="F516" s="2" t="s">
        <v>969</v>
      </c>
      <c r="G516" s="118" t="s">
        <v>987</v>
      </c>
      <c r="J516" s="22" t="s">
        <v>126</v>
      </c>
      <c r="K516" s="23">
        <v>20562</v>
      </c>
      <c r="L516" s="22" t="s">
        <v>599</v>
      </c>
      <c r="M516" s="51" t="str">
        <f t="shared" si="402"/>
        <v>JD8B-20562-BC</v>
      </c>
      <c r="O516" s="22"/>
      <c r="P516" s="22"/>
      <c r="Q516" s="22">
        <v>1</v>
      </c>
      <c r="R516" s="22">
        <v>1</v>
      </c>
      <c r="S516" s="22">
        <v>1</v>
      </c>
      <c r="T516" s="22">
        <v>1</v>
      </c>
      <c r="U516" s="22">
        <v>1</v>
      </c>
      <c r="V516" s="22">
        <v>1</v>
      </c>
      <c r="W516" s="64">
        <f t="shared" si="403"/>
        <v>0.70000000000000007</v>
      </c>
      <c r="Y516" s="8">
        <v>-32.82</v>
      </c>
      <c r="Z516" s="8">
        <v>0</v>
      </c>
      <c r="AA516" s="8">
        <v>-0.46</v>
      </c>
      <c r="AB516" s="8"/>
      <c r="AC516" s="8">
        <v>-0.69</v>
      </c>
      <c r="AD516" s="8">
        <f t="shared" si="404"/>
        <v>-33.97</v>
      </c>
      <c r="AE516" s="2" t="s">
        <v>91</v>
      </c>
      <c r="AG516" s="70" t="s">
        <v>940</v>
      </c>
      <c r="AH516" s="70" t="s">
        <v>940</v>
      </c>
      <c r="AJ516" s="70" t="s">
        <v>940</v>
      </c>
      <c r="AK516" s="70" t="s">
        <v>940</v>
      </c>
      <c r="AL516" s="72"/>
      <c r="AM516" s="22"/>
      <c r="AO516" s="22" t="s">
        <v>126</v>
      </c>
      <c r="AP516" s="23">
        <v>20562</v>
      </c>
      <c r="AQ516" s="22" t="s">
        <v>120</v>
      </c>
      <c r="AR516" s="51" t="str">
        <f t="shared" si="392"/>
        <v>JD8B-20562-BB</v>
      </c>
      <c r="AS516" s="3"/>
      <c r="AT516" s="22"/>
      <c r="AU516" s="22"/>
      <c r="AV516" s="22">
        <v>1</v>
      </c>
      <c r="AW516" s="22">
        <v>1</v>
      </c>
      <c r="AX516" s="22">
        <v>1</v>
      </c>
      <c r="AY516" s="22">
        <v>1</v>
      </c>
      <c r="AZ516" s="22">
        <v>1</v>
      </c>
      <c r="BA516" s="22">
        <v>1</v>
      </c>
      <c r="BB516" s="64">
        <f t="shared" si="393"/>
        <v>0.70000000000000007</v>
      </c>
      <c r="BD516" s="105">
        <v>-33.369999999999997</v>
      </c>
      <c r="BE516" s="105">
        <v>0</v>
      </c>
      <c r="BF516" s="105">
        <v>-0.46</v>
      </c>
      <c r="BG516" s="105">
        <v>0</v>
      </c>
      <c r="BH516" s="105">
        <v>-0.69</v>
      </c>
      <c r="BI516" s="8">
        <f t="shared" si="397"/>
        <v>-34.519999999999996</v>
      </c>
      <c r="BJ516" s="2" t="s">
        <v>91</v>
      </c>
      <c r="BL516" s="70" t="s">
        <v>940</v>
      </c>
      <c r="BM516" s="70" t="s">
        <v>940</v>
      </c>
      <c r="BO516" s="70" t="s">
        <v>940</v>
      </c>
      <c r="BP516" s="70" t="s">
        <v>940</v>
      </c>
      <c r="BQ516" s="72"/>
      <c r="BS516" s="61">
        <f t="shared" si="401"/>
        <v>0.54999999999999716</v>
      </c>
      <c r="BT516" s="61">
        <f t="shared" si="398"/>
        <v>0</v>
      </c>
      <c r="BU516" s="61">
        <f t="shared" si="399"/>
        <v>0</v>
      </c>
      <c r="BV516" s="61">
        <f t="shared" si="400"/>
        <v>0</v>
      </c>
      <c r="BW516" s="61">
        <f t="shared" si="400"/>
        <v>0</v>
      </c>
      <c r="BX516" s="61">
        <f t="shared" si="405"/>
        <v>0.54999999999999716</v>
      </c>
      <c r="BY516" s="61" t="s">
        <v>91</v>
      </c>
      <c r="CA516" s="61">
        <f t="shared" si="390"/>
        <v>0</v>
      </c>
      <c r="CB516" s="61">
        <f t="shared" si="390"/>
        <v>0</v>
      </c>
      <c r="CC516" s="61">
        <f t="shared" si="390"/>
        <v>8.274409508048701E-2</v>
      </c>
      <c r="CD516" s="61">
        <f t="shared" si="390"/>
        <v>8.274409508048701E-2</v>
      </c>
      <c r="CE516" s="61">
        <f t="shared" si="390"/>
        <v>8.274409508048701E-2</v>
      </c>
      <c r="CF516" s="61">
        <f t="shared" si="388"/>
        <v>8.274409508048701E-2</v>
      </c>
      <c r="CG516" s="61">
        <f t="shared" si="388"/>
        <v>8.274409508048701E-2</v>
      </c>
      <c r="CH516" s="61">
        <f t="shared" si="388"/>
        <v>8.274409508048701E-2</v>
      </c>
      <c r="CI516" s="61">
        <f t="shared" si="375"/>
        <v>5.7920866556340905E-2</v>
      </c>
      <c r="CJ516" s="61"/>
      <c r="CK516" s="61">
        <f t="shared" si="406"/>
        <v>0</v>
      </c>
      <c r="CL516" s="61">
        <f t="shared" si="406"/>
        <v>0</v>
      </c>
      <c r="CM516" s="61">
        <f t="shared" si="406"/>
        <v>8.274409508048701E-2</v>
      </c>
      <c r="CN516" s="61">
        <f t="shared" si="406"/>
        <v>8.274409508048701E-2</v>
      </c>
      <c r="CO516" s="61">
        <f t="shared" si="406"/>
        <v>8.274409508048701E-2</v>
      </c>
      <c r="CP516" s="61">
        <f t="shared" si="406"/>
        <v>8.274409508048701E-2</v>
      </c>
      <c r="CQ516" s="61">
        <f t="shared" si="406"/>
        <v>8.274409508048701E-2</v>
      </c>
      <c r="CR516" s="61">
        <f t="shared" si="406"/>
        <v>8.274409508048701E-2</v>
      </c>
      <c r="CS516" s="61">
        <f t="shared" si="376"/>
        <v>5.7920866556340905E-2</v>
      </c>
      <c r="CT516" s="61">
        <f t="shared" si="377"/>
        <v>0.38499999999999801</v>
      </c>
      <c r="CV516" s="61">
        <f t="shared" si="408"/>
        <v>0</v>
      </c>
      <c r="CW516" s="61">
        <f t="shared" si="383"/>
        <v>0</v>
      </c>
      <c r="CX516" s="61"/>
      <c r="CY516" s="61">
        <f t="shared" si="368"/>
        <v>0</v>
      </c>
      <c r="CZ516" s="61">
        <f t="shared" si="391"/>
        <v>0</v>
      </c>
      <c r="DA516" s="61">
        <f t="shared" si="391"/>
        <v>0</v>
      </c>
      <c r="DB516" s="2" t="s">
        <v>85</v>
      </c>
      <c r="DC516" s="2" t="s">
        <v>85</v>
      </c>
      <c r="DD516" s="2" t="s">
        <v>142</v>
      </c>
      <c r="DE516" s="2" t="s">
        <v>264</v>
      </c>
      <c r="DG516" s="62"/>
      <c r="DZ516" s="3" t="e">
        <v>#N/A</v>
      </c>
      <c r="EC516" s="60"/>
      <c r="ED516" s="60"/>
      <c r="EE516" s="60"/>
      <c r="EF516" s="60"/>
    </row>
    <row r="517" spans="2:140" ht="12.75" hidden="1" customHeight="1">
      <c r="B517" s="99" t="s">
        <v>988</v>
      </c>
      <c r="C517" s="2" t="s">
        <v>966</v>
      </c>
      <c r="D517" s="86" t="s">
        <v>967</v>
      </c>
      <c r="E517" s="87" t="s">
        <v>968</v>
      </c>
      <c r="F517" s="2" t="s">
        <v>969</v>
      </c>
      <c r="G517" s="118" t="s">
        <v>987</v>
      </c>
      <c r="J517" s="22" t="s">
        <v>126</v>
      </c>
      <c r="K517" s="23">
        <v>20562</v>
      </c>
      <c r="L517" s="22" t="s">
        <v>989</v>
      </c>
      <c r="M517" s="51" t="str">
        <f t="shared" si="402"/>
        <v>JD8B-20562-BD</v>
      </c>
      <c r="O517" s="22"/>
      <c r="P517" s="22"/>
      <c r="Q517" s="22">
        <v>1</v>
      </c>
      <c r="R517" s="22">
        <v>1</v>
      </c>
      <c r="S517" s="22">
        <v>1</v>
      </c>
      <c r="T517" s="22">
        <v>1</v>
      </c>
      <c r="U517" s="22">
        <v>1</v>
      </c>
      <c r="V517" s="22">
        <v>1</v>
      </c>
      <c r="W517" s="64">
        <f t="shared" si="403"/>
        <v>0.70000000000000007</v>
      </c>
      <c r="Y517" s="8">
        <f>-32.82+2.63</f>
        <v>-30.19</v>
      </c>
      <c r="Z517" s="8">
        <v>0</v>
      </c>
      <c r="AA517" s="8">
        <v>-0.46</v>
      </c>
      <c r="AB517" s="8"/>
      <c r="AC517" s="8">
        <v>-0.69</v>
      </c>
      <c r="AD517" s="8">
        <f t="shared" si="404"/>
        <v>-31.340000000000003</v>
      </c>
      <c r="AE517" s="2" t="s">
        <v>91</v>
      </c>
      <c r="AG517" s="70" t="s">
        <v>940</v>
      </c>
      <c r="AH517" s="70" t="s">
        <v>940</v>
      </c>
      <c r="AJ517" s="70" t="s">
        <v>940</v>
      </c>
      <c r="AK517" s="70" t="s">
        <v>940</v>
      </c>
      <c r="AL517" s="72"/>
      <c r="AM517" s="22"/>
      <c r="AO517" s="22" t="s">
        <v>126</v>
      </c>
      <c r="AP517" s="23">
        <v>20562</v>
      </c>
      <c r="AQ517" s="22" t="s">
        <v>120</v>
      </c>
      <c r="AR517" s="51" t="str">
        <f t="shared" si="392"/>
        <v>JD8B-20562-BB</v>
      </c>
      <c r="AS517" s="3"/>
      <c r="AT517" s="22"/>
      <c r="AU517" s="22"/>
      <c r="AV517" s="22">
        <v>1</v>
      </c>
      <c r="AW517" s="22">
        <v>1</v>
      </c>
      <c r="AX517" s="22">
        <v>1</v>
      </c>
      <c r="AY517" s="22">
        <v>1</v>
      </c>
      <c r="AZ517" s="22">
        <v>1</v>
      </c>
      <c r="BA517" s="22">
        <v>1</v>
      </c>
      <c r="BB517" s="64">
        <f t="shared" si="393"/>
        <v>0.70000000000000007</v>
      </c>
      <c r="BD517" s="8">
        <v>-32.82</v>
      </c>
      <c r="BE517" s="8">
        <v>0</v>
      </c>
      <c r="BF517" s="8">
        <v>-0.46</v>
      </c>
      <c r="BG517" s="8"/>
      <c r="BH517" s="8">
        <v>-0.69</v>
      </c>
      <c r="BI517" s="8">
        <f t="shared" si="397"/>
        <v>-33.97</v>
      </c>
      <c r="BJ517" s="2" t="s">
        <v>91</v>
      </c>
      <c r="BL517" s="70" t="s">
        <v>940</v>
      </c>
      <c r="BM517" s="70" t="s">
        <v>940</v>
      </c>
      <c r="BO517" s="70" t="s">
        <v>940</v>
      </c>
      <c r="BP517" s="70" t="s">
        <v>940</v>
      </c>
      <c r="BQ517" s="72"/>
      <c r="BS517" s="61">
        <f t="shared" si="401"/>
        <v>2.629999999999999</v>
      </c>
      <c r="BT517" s="61">
        <f t="shared" si="398"/>
        <v>0</v>
      </c>
      <c r="BU517" s="61">
        <f t="shared" si="399"/>
        <v>0</v>
      </c>
      <c r="BV517" s="61">
        <f t="shared" si="400"/>
        <v>0</v>
      </c>
      <c r="BW517" s="61">
        <f t="shared" si="400"/>
        <v>0</v>
      </c>
      <c r="BX517" s="61">
        <f t="shared" si="405"/>
        <v>2.6299999999999955</v>
      </c>
      <c r="BY517" s="61" t="s">
        <v>91</v>
      </c>
      <c r="CA517" s="61">
        <f t="shared" si="390"/>
        <v>0</v>
      </c>
      <c r="CB517" s="61">
        <f t="shared" si="390"/>
        <v>0</v>
      </c>
      <c r="CC517" s="61">
        <f t="shared" si="390"/>
        <v>0.39566721829396706</v>
      </c>
      <c r="CD517" s="61">
        <f t="shared" si="390"/>
        <v>0.39566721829396706</v>
      </c>
      <c r="CE517" s="61">
        <f t="shared" si="390"/>
        <v>0.39566721829396706</v>
      </c>
      <c r="CF517" s="61">
        <f t="shared" si="388"/>
        <v>0.39566721829396706</v>
      </c>
      <c r="CG517" s="61">
        <f t="shared" si="388"/>
        <v>0.39566721829396706</v>
      </c>
      <c r="CH517" s="61">
        <f t="shared" si="388"/>
        <v>0.39566721829396706</v>
      </c>
      <c r="CI517" s="61">
        <f t="shared" si="375"/>
        <v>0.27696705280577694</v>
      </c>
      <c r="CJ517" s="61"/>
      <c r="CK517" s="61">
        <f t="shared" si="406"/>
        <v>0</v>
      </c>
      <c r="CL517" s="61">
        <f t="shared" si="406"/>
        <v>0</v>
      </c>
      <c r="CM517" s="61">
        <f t="shared" si="406"/>
        <v>0.39566721829396651</v>
      </c>
      <c r="CN517" s="61">
        <f t="shared" si="406"/>
        <v>0.39566721829396651</v>
      </c>
      <c r="CO517" s="61">
        <f t="shared" si="406"/>
        <v>0.39566721829396651</v>
      </c>
      <c r="CP517" s="61">
        <f t="shared" si="406"/>
        <v>0.39566721829396651</v>
      </c>
      <c r="CQ517" s="61">
        <f t="shared" si="406"/>
        <v>0.39566721829396651</v>
      </c>
      <c r="CR517" s="61">
        <f t="shared" si="406"/>
        <v>0.39566721829396651</v>
      </c>
      <c r="CS517" s="61">
        <f t="shared" si="376"/>
        <v>0.2769670528057766</v>
      </c>
      <c r="CT517" s="61">
        <f t="shared" si="377"/>
        <v>1.8409999999999971</v>
      </c>
      <c r="CV517" s="61">
        <f t="shared" si="408"/>
        <v>0</v>
      </c>
      <c r="CW517" s="61">
        <f t="shared" ref="CW517" si="415">SUM(AH517)-SUM(BM517)</f>
        <v>0</v>
      </c>
      <c r="CX517" s="61"/>
      <c r="CY517" s="61">
        <f t="shared" ref="CY517" si="416">SUM(AJ517)-SUM(BO517)</f>
        <v>0</v>
      </c>
      <c r="CZ517" s="61">
        <f t="shared" si="391"/>
        <v>0</v>
      </c>
      <c r="DA517" s="61">
        <f t="shared" si="391"/>
        <v>0</v>
      </c>
      <c r="DB517" s="2" t="s">
        <v>86</v>
      </c>
      <c r="DC517" s="2" t="s">
        <v>85</v>
      </c>
      <c r="DD517" s="2" t="s">
        <v>142</v>
      </c>
      <c r="DE517" s="2" t="s">
        <v>106</v>
      </c>
      <c r="DF517" s="3" t="s">
        <v>86</v>
      </c>
      <c r="DG517" s="62">
        <v>43048</v>
      </c>
      <c r="EC517" s="60" t="str">
        <f>VLOOKUP($M517,[1]Detail!$M:$BO,1,0)</f>
        <v>JD8B-20562-BD</v>
      </c>
      <c r="ED517" s="60">
        <f>VLOOKUP($M517,[1]Detail!$M:$BO,22,0)</f>
        <v>-31.340000000000003</v>
      </c>
      <c r="EE517" s="60">
        <f>VLOOKUP($M517,[1]Detail!$M:$BO,42,0)</f>
        <v>-202750</v>
      </c>
      <c r="EF517" s="60">
        <f>VLOOKUP($M517,[1]Detail!$M:$BO,45,0)</f>
        <v>-739994</v>
      </c>
      <c r="EH517" s="60">
        <f>ED517-AD517</f>
        <v>0</v>
      </c>
      <c r="EI517" s="60" t="e">
        <f>EE517-AG517</f>
        <v>#VALUE!</v>
      </c>
      <c r="EJ517" s="60" t="e">
        <f t="shared" ref="EJ517:EJ518" si="417">EF517-AJ517</f>
        <v>#VALUE!</v>
      </c>
    </row>
    <row r="518" spans="2:140" ht="12.75" hidden="1" customHeight="1">
      <c r="B518" s="99" t="s">
        <v>986</v>
      </c>
      <c r="C518" s="2" t="s">
        <v>966</v>
      </c>
      <c r="D518" s="86" t="s">
        <v>967</v>
      </c>
      <c r="E518" s="87" t="s">
        <v>968</v>
      </c>
      <c r="F518" s="2" t="s">
        <v>969</v>
      </c>
      <c r="G518" s="118" t="s">
        <v>987</v>
      </c>
      <c r="J518" s="22" t="s">
        <v>126</v>
      </c>
      <c r="K518" s="23">
        <v>20563</v>
      </c>
      <c r="L518" s="22" t="s">
        <v>234</v>
      </c>
      <c r="M518" s="51" t="str">
        <f t="shared" si="402"/>
        <v>JD8B-20563-AC</v>
      </c>
      <c r="O518" s="22">
        <v>1</v>
      </c>
      <c r="P518" s="22">
        <v>1</v>
      </c>
      <c r="Q518" s="22"/>
      <c r="R518" s="22"/>
      <c r="S518" s="22"/>
      <c r="T518" s="22"/>
      <c r="U518" s="22"/>
      <c r="V518" s="22"/>
      <c r="W518" s="64">
        <f t="shared" si="403"/>
        <v>0.30000000000000004</v>
      </c>
      <c r="Y518" s="8">
        <v>-24.32</v>
      </c>
      <c r="Z518" s="8">
        <v>0</v>
      </c>
      <c r="AA518" s="8">
        <v>-0.26</v>
      </c>
      <c r="AB518" s="8"/>
      <c r="AC518" s="8">
        <v>-1.03</v>
      </c>
      <c r="AD518" s="8">
        <f t="shared" si="404"/>
        <v>-25.610000000000003</v>
      </c>
      <c r="AE518" s="2" t="s">
        <v>91</v>
      </c>
      <c r="AG518" s="70">
        <v>-202750</v>
      </c>
      <c r="AH518" s="70">
        <v>-202750</v>
      </c>
      <c r="AJ518" s="70">
        <v>-739994</v>
      </c>
      <c r="AK518" s="70">
        <v>430229.06976744189</v>
      </c>
      <c r="AL518" s="72"/>
      <c r="AM518" s="22"/>
      <c r="AO518" s="22" t="s">
        <v>126</v>
      </c>
      <c r="AP518" s="23">
        <v>20563</v>
      </c>
      <c r="AQ518" s="22" t="s">
        <v>132</v>
      </c>
      <c r="AR518" s="51" t="str">
        <f t="shared" si="392"/>
        <v>JD8B-20563-AB</v>
      </c>
      <c r="AS518" s="3"/>
      <c r="AT518" s="22">
        <v>1</v>
      </c>
      <c r="AU518" s="22">
        <v>1</v>
      </c>
      <c r="AV518" s="22"/>
      <c r="AW518" s="22"/>
      <c r="AX518" s="22"/>
      <c r="AY518" s="22"/>
      <c r="AZ518" s="22"/>
      <c r="BA518" s="22"/>
      <c r="BB518" s="64">
        <f t="shared" si="393"/>
        <v>0.30000000000000004</v>
      </c>
      <c r="BD518" s="105">
        <v>-24.89</v>
      </c>
      <c r="BE518" s="105">
        <v>0</v>
      </c>
      <c r="BF518" s="105">
        <v>-0.26</v>
      </c>
      <c r="BG518" s="105">
        <v>0</v>
      </c>
      <c r="BH518" s="105">
        <v>-1.03</v>
      </c>
      <c r="BI518" s="8">
        <f t="shared" si="397"/>
        <v>-26.180000000000003</v>
      </c>
      <c r="BJ518" s="2" t="s">
        <v>91</v>
      </c>
      <c r="BL518" s="70">
        <v>-202750</v>
      </c>
      <c r="BM518" s="70">
        <v>-202750</v>
      </c>
      <c r="BO518" s="70">
        <v>-739994</v>
      </c>
      <c r="BP518" s="70">
        <v>430229.06976744189</v>
      </c>
      <c r="BQ518" s="72"/>
      <c r="BS518" s="61">
        <f t="shared" si="401"/>
        <v>0.57000000000000028</v>
      </c>
      <c r="BT518" s="61">
        <f t="shared" si="398"/>
        <v>0</v>
      </c>
      <c r="BU518" s="61">
        <f t="shared" si="399"/>
        <v>0</v>
      </c>
      <c r="BV518" s="61">
        <f t="shared" si="400"/>
        <v>0</v>
      </c>
      <c r="BW518" s="61">
        <f t="shared" si="400"/>
        <v>0</v>
      </c>
      <c r="BX518" s="61">
        <f t="shared" si="405"/>
        <v>0.57000000000000028</v>
      </c>
      <c r="BY518" s="61" t="s">
        <v>91</v>
      </c>
      <c r="CA518" s="61">
        <f t="shared" si="390"/>
        <v>8.5752971265232472E-2</v>
      </c>
      <c r="CB518" s="61">
        <f t="shared" si="390"/>
        <v>8.5752971265232472E-2</v>
      </c>
      <c r="CC518" s="61">
        <f t="shared" si="390"/>
        <v>0</v>
      </c>
      <c r="CD518" s="61">
        <f t="shared" si="390"/>
        <v>0</v>
      </c>
      <c r="CE518" s="61">
        <f t="shared" si="390"/>
        <v>0</v>
      </c>
      <c r="CF518" s="61">
        <f t="shared" si="388"/>
        <v>0</v>
      </c>
      <c r="CG518" s="61">
        <f t="shared" si="388"/>
        <v>0</v>
      </c>
      <c r="CH518" s="61">
        <f t="shared" si="388"/>
        <v>0</v>
      </c>
      <c r="CI518" s="61">
        <f t="shared" si="375"/>
        <v>2.5725891379569744E-2</v>
      </c>
      <c r="CJ518" s="61"/>
      <c r="CK518" s="61">
        <f t="shared" si="406"/>
        <v>8.5752971265232472E-2</v>
      </c>
      <c r="CL518" s="61">
        <f t="shared" si="406"/>
        <v>8.5752971265232472E-2</v>
      </c>
      <c r="CM518" s="61">
        <f t="shared" si="406"/>
        <v>0</v>
      </c>
      <c r="CN518" s="61">
        <f t="shared" si="406"/>
        <v>0</v>
      </c>
      <c r="CO518" s="61">
        <f t="shared" si="406"/>
        <v>0</v>
      </c>
      <c r="CP518" s="61">
        <f t="shared" si="406"/>
        <v>0</v>
      </c>
      <c r="CQ518" s="61">
        <f t="shared" si="406"/>
        <v>0</v>
      </c>
      <c r="CR518" s="61">
        <f t="shared" si="406"/>
        <v>0</v>
      </c>
      <c r="CS518" s="61">
        <f t="shared" si="376"/>
        <v>2.5725891379569744E-2</v>
      </c>
      <c r="CT518" s="61">
        <f t="shared" si="377"/>
        <v>0.1710000000000001</v>
      </c>
      <c r="CV518" s="61">
        <f t="shared" si="408"/>
        <v>0</v>
      </c>
      <c r="CW518" s="61">
        <f t="shared" si="383"/>
        <v>0</v>
      </c>
      <c r="CX518" s="61"/>
      <c r="CY518" s="61">
        <f t="shared" si="368"/>
        <v>0</v>
      </c>
      <c r="CZ518" s="61">
        <f t="shared" si="391"/>
        <v>0</v>
      </c>
      <c r="DA518" s="61">
        <f t="shared" si="391"/>
        <v>0</v>
      </c>
      <c r="DB518" s="2" t="s">
        <v>86</v>
      </c>
      <c r="DC518" s="2" t="s">
        <v>85</v>
      </c>
      <c r="DD518" s="2" t="s">
        <v>142</v>
      </c>
      <c r="DE518" s="2" t="s">
        <v>264</v>
      </c>
      <c r="DG518" s="62"/>
      <c r="DZ518" s="3" t="e">
        <v>#N/A</v>
      </c>
      <c r="EC518" s="60" t="str">
        <f>VLOOKUP($M518,[1]Detail!$M:$BO,1,0)</f>
        <v>JD8B-20563-AC</v>
      </c>
      <c r="ED518" s="60">
        <f>VLOOKUP($M518,[1]Detail!$M:$BO,22,0)</f>
        <v>-25.610000000000003</v>
      </c>
      <c r="EE518" s="60">
        <f>VLOOKUP($M518,[1]Detail!$M:$BO,42,0)</f>
        <v>-202750</v>
      </c>
      <c r="EF518" s="60">
        <f>VLOOKUP($M518,[1]Detail!$M:$BO,45,0)</f>
        <v>-739994</v>
      </c>
      <c r="EH518" s="60">
        <f>ED518-AD518</f>
        <v>0</v>
      </c>
      <c r="EI518" s="60">
        <f>SUM(EE518)-SUM(AG518)</f>
        <v>0</v>
      </c>
      <c r="EJ518" s="60">
        <f t="shared" si="417"/>
        <v>0</v>
      </c>
    </row>
    <row r="519" spans="2:140" ht="12.75" hidden="1" customHeight="1">
      <c r="B519" s="99" t="s">
        <v>986</v>
      </c>
      <c r="C519" s="2" t="s">
        <v>966</v>
      </c>
      <c r="D519" s="86" t="s">
        <v>967</v>
      </c>
      <c r="E519" s="87" t="s">
        <v>968</v>
      </c>
      <c r="F519" s="2" t="s">
        <v>969</v>
      </c>
      <c r="G519" s="118" t="s">
        <v>987</v>
      </c>
      <c r="J519" s="22" t="s">
        <v>126</v>
      </c>
      <c r="K519" s="23">
        <v>20563</v>
      </c>
      <c r="L519" s="22" t="s">
        <v>599</v>
      </c>
      <c r="M519" s="51" t="str">
        <f t="shared" si="402"/>
        <v>JD8B-20563-BC</v>
      </c>
      <c r="O519" s="22"/>
      <c r="P519" s="22"/>
      <c r="Q519" s="22">
        <v>1</v>
      </c>
      <c r="R519" s="22">
        <v>1</v>
      </c>
      <c r="S519" s="22">
        <v>1</v>
      </c>
      <c r="T519" s="22">
        <v>1</v>
      </c>
      <c r="U519" s="22">
        <v>1</v>
      </c>
      <c r="V519" s="22">
        <v>1</v>
      </c>
      <c r="W519" s="64">
        <f t="shared" si="403"/>
        <v>0.70000000000000007</v>
      </c>
      <c r="Y519" s="8">
        <v>-32.82</v>
      </c>
      <c r="Z519" s="8">
        <v>0</v>
      </c>
      <c r="AA519" s="8">
        <v>-0.46</v>
      </c>
      <c r="AB519" s="8"/>
      <c r="AC519" s="8">
        <v>-0.69</v>
      </c>
      <c r="AD519" s="8">
        <f t="shared" si="404"/>
        <v>-33.97</v>
      </c>
      <c r="AE519" s="2" t="s">
        <v>91</v>
      </c>
      <c r="AG519" s="8" t="s">
        <v>940</v>
      </c>
      <c r="AH519" s="8" t="s">
        <v>940</v>
      </c>
      <c r="AJ519" s="70">
        <v>-739994</v>
      </c>
      <c r="AK519" s="70">
        <v>1072455</v>
      </c>
      <c r="AL519" s="72"/>
      <c r="AM519" s="22"/>
      <c r="AO519" s="22" t="s">
        <v>126</v>
      </c>
      <c r="AP519" s="23">
        <v>20563</v>
      </c>
      <c r="AQ519" s="22" t="s">
        <v>120</v>
      </c>
      <c r="AR519" s="51" t="str">
        <f t="shared" si="392"/>
        <v>JD8B-20563-BB</v>
      </c>
      <c r="AS519" s="3"/>
      <c r="AT519" s="22"/>
      <c r="AU519" s="22"/>
      <c r="AV519" s="22">
        <v>1</v>
      </c>
      <c r="AW519" s="22">
        <v>1</v>
      </c>
      <c r="AX519" s="22">
        <v>1</v>
      </c>
      <c r="AY519" s="22">
        <v>1</v>
      </c>
      <c r="AZ519" s="22">
        <v>1</v>
      </c>
      <c r="BA519" s="22">
        <v>1</v>
      </c>
      <c r="BB519" s="64">
        <f t="shared" si="393"/>
        <v>0.70000000000000007</v>
      </c>
      <c r="BD519" s="105">
        <v>-33.369999999999997</v>
      </c>
      <c r="BE519" s="105">
        <v>0</v>
      </c>
      <c r="BF519" s="105">
        <v>-0.46</v>
      </c>
      <c r="BG519" s="105">
        <v>0</v>
      </c>
      <c r="BH519" s="105">
        <v>-0.69</v>
      </c>
      <c r="BI519" s="8">
        <f t="shared" si="397"/>
        <v>-34.519999999999996</v>
      </c>
      <c r="BJ519" s="2" t="s">
        <v>91</v>
      </c>
      <c r="BL519" s="70" t="s">
        <v>940</v>
      </c>
      <c r="BM519" s="70" t="s">
        <v>940</v>
      </c>
      <c r="BO519" s="70" t="s">
        <v>940</v>
      </c>
      <c r="BP519" s="70" t="s">
        <v>940</v>
      </c>
      <c r="BQ519" s="72"/>
      <c r="BS519" s="61">
        <f t="shared" si="401"/>
        <v>0.54999999999999716</v>
      </c>
      <c r="BT519" s="61">
        <f t="shared" ref="BT519:BT540" si="418">SUM(Z519)-SUM(BE519)</f>
        <v>0</v>
      </c>
      <c r="BU519" s="61">
        <f t="shared" ref="BU519:BU540" si="419">SUM(AA519)-SUM(BF519)</f>
        <v>0</v>
      </c>
      <c r="BV519" s="61">
        <f t="shared" ref="BV519:BW540" si="420">SUM(AB519)-SUM(BG519)</f>
        <v>0</v>
      </c>
      <c r="BW519" s="61">
        <f t="shared" si="420"/>
        <v>0</v>
      </c>
      <c r="BX519" s="61">
        <f t="shared" si="405"/>
        <v>0.54999999999999716</v>
      </c>
      <c r="BY519" s="61" t="s">
        <v>91</v>
      </c>
      <c r="CA519" s="61">
        <f t="shared" si="390"/>
        <v>0</v>
      </c>
      <c r="CB519" s="61">
        <f t="shared" si="390"/>
        <v>0</v>
      </c>
      <c r="CC519" s="61">
        <f t="shared" si="390"/>
        <v>8.274409508048701E-2</v>
      </c>
      <c r="CD519" s="61">
        <f t="shared" si="390"/>
        <v>8.274409508048701E-2</v>
      </c>
      <c r="CE519" s="61">
        <f t="shared" si="390"/>
        <v>8.274409508048701E-2</v>
      </c>
      <c r="CF519" s="61">
        <f t="shared" si="388"/>
        <v>8.274409508048701E-2</v>
      </c>
      <c r="CG519" s="61">
        <f t="shared" si="388"/>
        <v>8.274409508048701E-2</v>
      </c>
      <c r="CH519" s="61">
        <f t="shared" si="388"/>
        <v>8.274409508048701E-2</v>
      </c>
      <c r="CI519" s="61">
        <f t="shared" ref="CI519:CI540" si="421">SUMPRODUCT(CA519:CH519,$O$6:$V$6)</f>
        <v>5.7920866556340905E-2</v>
      </c>
      <c r="CJ519" s="61"/>
      <c r="CK519" s="61">
        <f t="shared" si="406"/>
        <v>0</v>
      </c>
      <c r="CL519" s="61">
        <f t="shared" si="406"/>
        <v>0</v>
      </c>
      <c r="CM519" s="61">
        <f t="shared" si="406"/>
        <v>8.274409508048701E-2</v>
      </c>
      <c r="CN519" s="61">
        <f t="shared" si="406"/>
        <v>8.274409508048701E-2</v>
      </c>
      <c r="CO519" s="61">
        <f t="shared" si="406"/>
        <v>8.274409508048701E-2</v>
      </c>
      <c r="CP519" s="61">
        <f t="shared" si="406"/>
        <v>8.274409508048701E-2</v>
      </c>
      <c r="CQ519" s="61">
        <f t="shared" si="406"/>
        <v>8.274409508048701E-2</v>
      </c>
      <c r="CR519" s="61">
        <f t="shared" si="406"/>
        <v>8.274409508048701E-2</v>
      </c>
      <c r="CS519" s="61">
        <f t="shared" ref="CS519:CS540" si="422">SUMPRODUCT(CK519:CR519,$O$6:$V$6)</f>
        <v>5.7920866556340905E-2</v>
      </c>
      <c r="CT519" s="61">
        <f t="shared" ref="CT519:CT540" si="423">CS519*$C$2</f>
        <v>0.38499999999999801</v>
      </c>
      <c r="CV519" s="61">
        <f t="shared" si="408"/>
        <v>0</v>
      </c>
      <c r="CW519" s="61">
        <f t="shared" si="383"/>
        <v>0</v>
      </c>
      <c r="CX519" s="61"/>
      <c r="CY519" s="61">
        <f t="shared" si="368"/>
        <v>-739994</v>
      </c>
      <c r="CZ519" s="61">
        <f t="shared" si="391"/>
        <v>1072455</v>
      </c>
      <c r="DA519" s="61">
        <f t="shared" si="391"/>
        <v>0</v>
      </c>
      <c r="DB519" s="2" t="s">
        <v>85</v>
      </c>
      <c r="DC519" s="2" t="s">
        <v>85</v>
      </c>
      <c r="DD519" s="2" t="s">
        <v>142</v>
      </c>
      <c r="DE519" s="2" t="s">
        <v>264</v>
      </c>
      <c r="DG519" s="62"/>
      <c r="DZ519" s="3" t="e">
        <v>#N/A</v>
      </c>
      <c r="EC519" s="60"/>
      <c r="ED519" s="60"/>
      <c r="EE519" s="60"/>
      <c r="EF519" s="60"/>
    </row>
    <row r="520" spans="2:140" ht="12.75" hidden="1" customHeight="1">
      <c r="B520" s="99" t="s">
        <v>988</v>
      </c>
      <c r="C520" s="2" t="s">
        <v>966</v>
      </c>
      <c r="D520" s="86" t="s">
        <v>967</v>
      </c>
      <c r="E520" s="87" t="s">
        <v>968</v>
      </c>
      <c r="F520" s="2" t="s">
        <v>969</v>
      </c>
      <c r="G520" s="118" t="s">
        <v>987</v>
      </c>
      <c r="J520" s="22" t="s">
        <v>126</v>
      </c>
      <c r="K520" s="23">
        <v>20563</v>
      </c>
      <c r="L520" s="22" t="s">
        <v>989</v>
      </c>
      <c r="M520" s="51" t="str">
        <f t="shared" si="402"/>
        <v>JD8B-20563-BD</v>
      </c>
      <c r="O520" s="22"/>
      <c r="P520" s="22"/>
      <c r="Q520" s="22">
        <v>1</v>
      </c>
      <c r="R520" s="22">
        <v>1</v>
      </c>
      <c r="S520" s="22">
        <v>1</v>
      </c>
      <c r="T520" s="22">
        <v>1</v>
      </c>
      <c r="U520" s="22">
        <v>1</v>
      </c>
      <c r="V520" s="22">
        <v>1</v>
      </c>
      <c r="W520" s="64">
        <f t="shared" si="403"/>
        <v>0.70000000000000007</v>
      </c>
      <c r="Y520" s="8">
        <f>-32.82+2.63</f>
        <v>-30.19</v>
      </c>
      <c r="Z520" s="8">
        <v>0</v>
      </c>
      <c r="AA520" s="8">
        <v>-0.46</v>
      </c>
      <c r="AB520" s="8"/>
      <c r="AC520" s="8">
        <v>-0.69</v>
      </c>
      <c r="AD520" s="8">
        <f t="shared" si="404"/>
        <v>-31.340000000000003</v>
      </c>
      <c r="AE520" s="2" t="s">
        <v>91</v>
      </c>
      <c r="AG520" s="8" t="s">
        <v>940</v>
      </c>
      <c r="AH520" s="8" t="s">
        <v>940</v>
      </c>
      <c r="AJ520" s="70">
        <v>-739994</v>
      </c>
      <c r="AK520" s="70">
        <v>1072455</v>
      </c>
      <c r="AL520" s="72"/>
      <c r="AM520" s="22"/>
      <c r="AO520" s="22" t="s">
        <v>126</v>
      </c>
      <c r="AP520" s="23">
        <v>20563</v>
      </c>
      <c r="AQ520" s="22" t="s">
        <v>599</v>
      </c>
      <c r="AR520" s="51" t="str">
        <f t="shared" si="392"/>
        <v>JD8B-20563-BC</v>
      </c>
      <c r="AS520" s="3"/>
      <c r="AT520" s="22"/>
      <c r="AU520" s="22"/>
      <c r="AV520" s="22">
        <v>1</v>
      </c>
      <c r="AW520" s="22">
        <v>1</v>
      </c>
      <c r="AX520" s="22">
        <v>1</v>
      </c>
      <c r="AY520" s="22">
        <v>1</v>
      </c>
      <c r="AZ520" s="22">
        <v>1</v>
      </c>
      <c r="BA520" s="22">
        <v>1</v>
      </c>
      <c r="BB520" s="64">
        <f t="shared" si="393"/>
        <v>0.70000000000000007</v>
      </c>
      <c r="BD520" s="8">
        <v>-32.82</v>
      </c>
      <c r="BE520" s="8">
        <v>0</v>
      </c>
      <c r="BF520" s="8">
        <v>-0.46</v>
      </c>
      <c r="BG520" s="8"/>
      <c r="BH520" s="8">
        <v>-0.69</v>
      </c>
      <c r="BI520" s="8">
        <f t="shared" si="397"/>
        <v>-33.97</v>
      </c>
      <c r="BJ520" s="2" t="s">
        <v>91</v>
      </c>
      <c r="BL520" s="70" t="s">
        <v>940</v>
      </c>
      <c r="BM520" s="70" t="s">
        <v>940</v>
      </c>
      <c r="BO520" s="70" t="s">
        <v>940</v>
      </c>
      <c r="BP520" s="70" t="s">
        <v>940</v>
      </c>
      <c r="BQ520" s="72"/>
      <c r="BS520" s="61">
        <f t="shared" ref="BS520:BS540" si="424">SUM(Y520)-SUM(BD520)</f>
        <v>2.629999999999999</v>
      </c>
      <c r="BT520" s="61">
        <f t="shared" si="418"/>
        <v>0</v>
      </c>
      <c r="BU520" s="61">
        <f t="shared" si="419"/>
        <v>0</v>
      </c>
      <c r="BV520" s="61">
        <f t="shared" si="420"/>
        <v>0</v>
      </c>
      <c r="BW520" s="61">
        <f t="shared" si="420"/>
        <v>0</v>
      </c>
      <c r="BX520" s="61">
        <f t="shared" si="405"/>
        <v>2.6299999999999955</v>
      </c>
      <c r="BY520" s="61" t="s">
        <v>91</v>
      </c>
      <c r="CA520" s="61">
        <f t="shared" ref="CA520:CH541" si="425">($Y520*O520-AT520*$BD520)/$C$2</f>
        <v>0</v>
      </c>
      <c r="CB520" s="61">
        <f t="shared" si="425"/>
        <v>0</v>
      </c>
      <c r="CC520" s="61">
        <f t="shared" si="425"/>
        <v>0.39566721829396706</v>
      </c>
      <c r="CD520" s="61">
        <f t="shared" si="425"/>
        <v>0.39566721829396706</v>
      </c>
      <c r="CE520" s="61">
        <f t="shared" si="425"/>
        <v>0.39566721829396706</v>
      </c>
      <c r="CF520" s="61">
        <f t="shared" si="388"/>
        <v>0.39566721829396706</v>
      </c>
      <c r="CG520" s="61">
        <f t="shared" si="388"/>
        <v>0.39566721829396706</v>
      </c>
      <c r="CH520" s="61">
        <f t="shared" si="388"/>
        <v>0.39566721829396706</v>
      </c>
      <c r="CI520" s="61">
        <f t="shared" si="421"/>
        <v>0.27696705280577694</v>
      </c>
      <c r="CJ520" s="61"/>
      <c r="CK520" s="61">
        <f t="shared" si="406"/>
        <v>0</v>
      </c>
      <c r="CL520" s="61">
        <f t="shared" si="406"/>
        <v>0</v>
      </c>
      <c r="CM520" s="61">
        <f t="shared" si="406"/>
        <v>0.39566721829396651</v>
      </c>
      <c r="CN520" s="61">
        <f t="shared" si="406"/>
        <v>0.39566721829396651</v>
      </c>
      <c r="CO520" s="61">
        <f t="shared" si="406"/>
        <v>0.39566721829396651</v>
      </c>
      <c r="CP520" s="61">
        <f t="shared" si="406"/>
        <v>0.39566721829396651</v>
      </c>
      <c r="CQ520" s="61">
        <f t="shared" si="406"/>
        <v>0.39566721829396651</v>
      </c>
      <c r="CR520" s="61">
        <f t="shared" si="406"/>
        <v>0.39566721829396651</v>
      </c>
      <c r="CS520" s="61">
        <f t="shared" si="422"/>
        <v>0.2769670528057766</v>
      </c>
      <c r="CT520" s="61">
        <f t="shared" si="423"/>
        <v>1.8409999999999971</v>
      </c>
      <c r="CV520" s="61">
        <f t="shared" si="408"/>
        <v>0</v>
      </c>
      <c r="CW520" s="61">
        <f t="shared" ref="CW520" si="426">SUM(AH520)-SUM(BM520)</f>
        <v>0</v>
      </c>
      <c r="CX520" s="61"/>
      <c r="CY520" s="61">
        <f t="shared" ref="CY520" si="427">SUM(AJ520)-SUM(BO520)</f>
        <v>-739994</v>
      </c>
      <c r="CZ520" s="61">
        <f t="shared" si="391"/>
        <v>1072455</v>
      </c>
      <c r="DA520" s="61">
        <f t="shared" si="391"/>
        <v>0</v>
      </c>
      <c r="DB520" s="2" t="s">
        <v>86</v>
      </c>
      <c r="DC520" s="2" t="s">
        <v>85</v>
      </c>
      <c r="DD520" s="2" t="s">
        <v>142</v>
      </c>
      <c r="DE520" s="2" t="s">
        <v>106</v>
      </c>
      <c r="DG520" s="62"/>
      <c r="DZ520" s="3" t="e">
        <v>#N/A</v>
      </c>
      <c r="EC520" s="60" t="str">
        <f>VLOOKUP($M520,[1]Detail!$M:$BO,1,0)</f>
        <v>JD8B-20563-BD</v>
      </c>
      <c r="ED520" s="60">
        <f>VLOOKUP($M520,[1]Detail!$M:$BO,22,0)</f>
        <v>-31.340000000000003</v>
      </c>
      <c r="EE520" s="60" t="str">
        <f>VLOOKUP($M520,[1]Detail!$M:$BO,42,0)</f>
        <v>incl.above</v>
      </c>
      <c r="EF520" s="60">
        <f>VLOOKUP($M520,[1]Detail!$M:$BO,45,0)</f>
        <v>-739994</v>
      </c>
      <c r="EH520" s="60">
        <f>ED520-AD520</f>
        <v>0</v>
      </c>
      <c r="EI520" s="60">
        <f>SUM(EE520)-SUM(AG520)</f>
        <v>0</v>
      </c>
      <c r="EJ520" s="60">
        <f>EF520-AJ520</f>
        <v>0</v>
      </c>
    </row>
    <row r="521" spans="2:140" ht="12.75" hidden="1" customHeight="1">
      <c r="B521" s="99" t="s">
        <v>990</v>
      </c>
      <c r="C521" s="22" t="s">
        <v>991</v>
      </c>
      <c r="D521" s="2" t="s">
        <v>992</v>
      </c>
      <c r="E521" s="22" t="s">
        <v>993</v>
      </c>
      <c r="F521" s="22" t="s">
        <v>969</v>
      </c>
      <c r="G521" s="118" t="s">
        <v>994</v>
      </c>
      <c r="J521" s="22" t="s">
        <v>138</v>
      </c>
      <c r="K521" s="23" t="s">
        <v>995</v>
      </c>
      <c r="L521" s="22" t="s">
        <v>83</v>
      </c>
      <c r="M521" s="51" t="str">
        <f t="shared" si="402"/>
        <v>JD8B-F045L34-AAW</v>
      </c>
      <c r="O521" s="22"/>
      <c r="P521" s="22"/>
      <c r="Q521" s="22">
        <v>1</v>
      </c>
      <c r="R521" s="22">
        <v>1</v>
      </c>
      <c r="S521" s="22">
        <v>1</v>
      </c>
      <c r="T521" s="22">
        <v>1</v>
      </c>
      <c r="U521" s="22">
        <v>1</v>
      </c>
      <c r="V521" s="22">
        <v>1</v>
      </c>
      <c r="W521" s="64">
        <f t="shared" si="403"/>
        <v>0.70000000000000007</v>
      </c>
      <c r="Y521" s="8">
        <v>-24.84</v>
      </c>
      <c r="Z521" s="8">
        <v>0</v>
      </c>
      <c r="AA521" s="8">
        <v>0</v>
      </c>
      <c r="AB521" s="8">
        <v>0</v>
      </c>
      <c r="AC521" s="8">
        <v>0</v>
      </c>
      <c r="AD521" s="8">
        <f t="shared" si="404"/>
        <v>-24.84</v>
      </c>
      <c r="AE521" s="2" t="s">
        <v>91</v>
      </c>
      <c r="AG521" s="8">
        <v>-190000</v>
      </c>
      <c r="AH521" s="8">
        <v>-190000</v>
      </c>
      <c r="AI521" s="6"/>
      <c r="AJ521" s="70">
        <v>0</v>
      </c>
      <c r="AK521" s="70">
        <v>0</v>
      </c>
      <c r="AL521" s="72"/>
      <c r="AM521" s="22"/>
      <c r="AO521" s="22" t="s">
        <v>128</v>
      </c>
      <c r="AP521" s="23" t="s">
        <v>995</v>
      </c>
      <c r="AQ521" s="22" t="s">
        <v>785</v>
      </c>
      <c r="AR521" s="51" t="str">
        <f t="shared" si="392"/>
        <v>ED8B-F045L34-AEW</v>
      </c>
      <c r="AS521" s="3"/>
      <c r="AT521" s="22"/>
      <c r="AU521" s="22"/>
      <c r="AV521" s="22">
        <v>1</v>
      </c>
      <c r="AW521" s="22">
        <v>1</v>
      </c>
      <c r="AX521" s="22">
        <v>1</v>
      </c>
      <c r="AY521" s="22">
        <v>1</v>
      </c>
      <c r="AZ521" s="22">
        <v>1</v>
      </c>
      <c r="BA521" s="22">
        <v>1</v>
      </c>
      <c r="BB521" s="64">
        <f t="shared" si="393"/>
        <v>0.70000000000000007</v>
      </c>
      <c r="BD521" s="105">
        <v>-24.84</v>
      </c>
      <c r="BE521" s="105">
        <v>0</v>
      </c>
      <c r="BF521" s="105">
        <v>0</v>
      </c>
      <c r="BG521" s="105">
        <v>0</v>
      </c>
      <c r="BH521" s="105">
        <v>0</v>
      </c>
      <c r="BI521" s="8">
        <f t="shared" si="397"/>
        <v>-24.84</v>
      </c>
      <c r="BJ521" s="2" t="s">
        <v>91</v>
      </c>
      <c r="BL521" s="70">
        <v>0</v>
      </c>
      <c r="BM521" s="70">
        <v>0</v>
      </c>
      <c r="BO521" s="70">
        <v>0</v>
      </c>
      <c r="BP521" s="70">
        <v>0</v>
      </c>
      <c r="BQ521" s="72"/>
      <c r="BS521" s="61">
        <f t="shared" si="424"/>
        <v>0</v>
      </c>
      <c r="BT521" s="61">
        <f t="shared" si="418"/>
        <v>0</v>
      </c>
      <c r="BU521" s="61">
        <f t="shared" si="419"/>
        <v>0</v>
      </c>
      <c r="BV521" s="61">
        <f t="shared" si="420"/>
        <v>0</v>
      </c>
      <c r="BW521" s="61">
        <f t="shared" si="420"/>
        <v>0</v>
      </c>
      <c r="BX521" s="61">
        <f t="shared" si="405"/>
        <v>0</v>
      </c>
      <c r="BY521" s="61" t="s">
        <v>91</v>
      </c>
      <c r="CA521" s="61">
        <f t="shared" si="425"/>
        <v>0</v>
      </c>
      <c r="CB521" s="61">
        <f t="shared" si="425"/>
        <v>0</v>
      </c>
      <c r="CC521" s="61">
        <f t="shared" si="425"/>
        <v>0</v>
      </c>
      <c r="CD521" s="61">
        <f t="shared" si="425"/>
        <v>0</v>
      </c>
      <c r="CE521" s="61">
        <f t="shared" si="425"/>
        <v>0</v>
      </c>
      <c r="CF521" s="61">
        <f t="shared" si="388"/>
        <v>0</v>
      </c>
      <c r="CG521" s="61">
        <f t="shared" si="388"/>
        <v>0</v>
      </c>
      <c r="CH521" s="61">
        <f t="shared" si="388"/>
        <v>0</v>
      </c>
      <c r="CI521" s="61">
        <f t="shared" si="421"/>
        <v>0</v>
      </c>
      <c r="CJ521" s="61"/>
      <c r="CK521" s="61">
        <f t="shared" si="406"/>
        <v>0</v>
      </c>
      <c r="CL521" s="61">
        <f t="shared" si="406"/>
        <v>0</v>
      </c>
      <c r="CM521" s="61">
        <f t="shared" si="406"/>
        <v>0</v>
      </c>
      <c r="CN521" s="61">
        <f t="shared" si="406"/>
        <v>0</v>
      </c>
      <c r="CO521" s="61">
        <f t="shared" si="406"/>
        <v>0</v>
      </c>
      <c r="CP521" s="61">
        <f t="shared" si="406"/>
        <v>0</v>
      </c>
      <c r="CQ521" s="61">
        <f t="shared" si="406"/>
        <v>0</v>
      </c>
      <c r="CR521" s="61">
        <f t="shared" si="406"/>
        <v>0</v>
      </c>
      <c r="CS521" s="61">
        <f t="shared" si="422"/>
        <v>0</v>
      </c>
      <c r="CT521" s="61">
        <f t="shared" si="423"/>
        <v>0</v>
      </c>
      <c r="CV521" s="61">
        <f t="shared" si="408"/>
        <v>-190000</v>
      </c>
      <c r="CW521" s="61">
        <f t="shared" si="383"/>
        <v>-190000</v>
      </c>
      <c r="CX521" s="61"/>
      <c r="CY521" s="61">
        <f t="shared" ref="CY521:CZ590" si="428">SUM(AJ521)-SUM(BO521)</f>
        <v>0</v>
      </c>
      <c r="CZ521" s="61">
        <f t="shared" si="391"/>
        <v>0</v>
      </c>
      <c r="DA521" s="61">
        <f t="shared" si="391"/>
        <v>0</v>
      </c>
      <c r="DB521" s="2" t="s">
        <v>85</v>
      </c>
      <c r="DC521" s="2" t="s">
        <v>86</v>
      </c>
      <c r="DD521" s="2" t="s">
        <v>142</v>
      </c>
      <c r="DE521" s="2" t="s">
        <v>264</v>
      </c>
      <c r="DG521" s="62"/>
      <c r="DZ521" s="3" t="e">
        <v>#N/A</v>
      </c>
      <c r="EC521" s="60"/>
      <c r="ED521" s="60"/>
      <c r="EE521" s="60"/>
      <c r="EF521" s="60"/>
    </row>
    <row r="522" spans="2:140" ht="12.75" hidden="1" customHeight="1">
      <c r="B522" s="99" t="s">
        <v>996</v>
      </c>
      <c r="C522" s="22" t="s">
        <v>997</v>
      </c>
      <c r="D522" s="22" t="s">
        <v>998</v>
      </c>
      <c r="E522" s="22" t="s">
        <v>260</v>
      </c>
      <c r="F522" s="22" t="s">
        <v>348</v>
      </c>
      <c r="G522" s="118" t="s">
        <v>994</v>
      </c>
      <c r="J522" s="22" t="s">
        <v>126</v>
      </c>
      <c r="K522" s="23" t="s">
        <v>999</v>
      </c>
      <c r="L522" s="22" t="s">
        <v>132</v>
      </c>
      <c r="M522" s="51" t="str">
        <f t="shared" si="402"/>
        <v>JD8B-19D629-AB</v>
      </c>
      <c r="O522" s="94">
        <v>1</v>
      </c>
      <c r="P522" s="94">
        <v>1</v>
      </c>
      <c r="Q522" s="94">
        <v>1</v>
      </c>
      <c r="R522" s="94">
        <v>1</v>
      </c>
      <c r="S522" s="94">
        <v>0</v>
      </c>
      <c r="T522" s="94">
        <v>0</v>
      </c>
      <c r="U522" s="94">
        <v>1</v>
      </c>
      <c r="V522" s="94">
        <v>0</v>
      </c>
      <c r="W522" s="64">
        <f t="shared" si="403"/>
        <v>0.72000000000000008</v>
      </c>
      <c r="Y522" s="8">
        <v>-603.16000000000008</v>
      </c>
      <c r="Z522" s="8">
        <v>-6.48</v>
      </c>
      <c r="AA522" s="8" t="s">
        <v>311</v>
      </c>
      <c r="AB522" s="8">
        <v>-7.21</v>
      </c>
      <c r="AC522" s="8">
        <f>-11.75-AB522</f>
        <v>-4.54</v>
      </c>
      <c r="AD522" s="60">
        <f t="shared" si="404"/>
        <v>-621.3900000000001</v>
      </c>
      <c r="AE522" s="22" t="s">
        <v>84</v>
      </c>
      <c r="AG522" s="8">
        <v>-1674400</v>
      </c>
      <c r="AH522" s="8">
        <v>-1674400</v>
      </c>
      <c r="AI522" s="6"/>
      <c r="AJ522" s="70">
        <v>-1748703</v>
      </c>
      <c r="AK522" s="70">
        <v>574899</v>
      </c>
      <c r="AL522" s="72"/>
      <c r="AM522" s="22"/>
      <c r="AO522" s="22" t="s">
        <v>126</v>
      </c>
      <c r="AP522" s="24" t="s">
        <v>999</v>
      </c>
      <c r="AQ522" s="22" t="s">
        <v>100</v>
      </c>
      <c r="AR522" s="51" t="str">
        <f t="shared" si="392"/>
        <v>JD8B-19D629-AA</v>
      </c>
      <c r="AS522" s="3"/>
      <c r="AT522" s="94">
        <v>1</v>
      </c>
      <c r="AU522" s="94">
        <v>1</v>
      </c>
      <c r="AV522" s="94">
        <v>1</v>
      </c>
      <c r="AW522" s="94">
        <v>1</v>
      </c>
      <c r="AX522" s="94">
        <v>0</v>
      </c>
      <c r="AY522" s="94">
        <v>0</v>
      </c>
      <c r="AZ522" s="94">
        <v>1</v>
      </c>
      <c r="BA522" s="94">
        <v>0</v>
      </c>
      <c r="BB522" s="64">
        <f t="shared" si="393"/>
        <v>0.72000000000000008</v>
      </c>
      <c r="BD522" s="60">
        <v>-604.69000000000005</v>
      </c>
      <c r="BE522" s="60">
        <v>-6.48</v>
      </c>
      <c r="BF522" s="60" t="s">
        <v>311</v>
      </c>
      <c r="BG522" s="60">
        <v>-7.21</v>
      </c>
      <c r="BH522" s="60">
        <f>-11.75-BG522</f>
        <v>-4.54</v>
      </c>
      <c r="BI522" s="60">
        <f t="shared" si="397"/>
        <v>-622.92000000000007</v>
      </c>
      <c r="BJ522" s="22" t="s">
        <v>84</v>
      </c>
      <c r="BL522" s="70">
        <v>-1674400</v>
      </c>
      <c r="BM522" s="70">
        <v>-1674400</v>
      </c>
      <c r="BN522" s="70"/>
      <c r="BO522" s="70">
        <v>-1748703</v>
      </c>
      <c r="BP522" s="70">
        <v>574899</v>
      </c>
      <c r="BQ522" s="72"/>
      <c r="BS522" s="61">
        <f t="shared" si="424"/>
        <v>1.5299999999999727</v>
      </c>
      <c r="BT522" s="61">
        <f t="shared" si="418"/>
        <v>0</v>
      </c>
      <c r="BU522" s="61">
        <f t="shared" si="419"/>
        <v>0</v>
      </c>
      <c r="BV522" s="61">
        <f t="shared" si="420"/>
        <v>0</v>
      </c>
      <c r="BW522" s="61">
        <f t="shared" si="420"/>
        <v>0</v>
      </c>
      <c r="BX522" s="61">
        <f t="shared" si="405"/>
        <v>1.5299999999999727</v>
      </c>
      <c r="BY522" s="61" t="s">
        <v>91</v>
      </c>
      <c r="CA522" s="61">
        <f t="shared" si="425"/>
        <v>0.23017902813298821</v>
      </c>
      <c r="CB522" s="61">
        <f t="shared" si="425"/>
        <v>0.23017902813298821</v>
      </c>
      <c r="CC522" s="61">
        <f t="shared" si="425"/>
        <v>0.23017902813298821</v>
      </c>
      <c r="CD522" s="61">
        <f t="shared" si="425"/>
        <v>0.23017902813298821</v>
      </c>
      <c r="CE522" s="61">
        <f t="shared" si="425"/>
        <v>0</v>
      </c>
      <c r="CF522" s="61">
        <f t="shared" si="388"/>
        <v>0</v>
      </c>
      <c r="CG522" s="61">
        <f t="shared" si="388"/>
        <v>0.23017902813298821</v>
      </c>
      <c r="CH522" s="61">
        <f t="shared" si="388"/>
        <v>0</v>
      </c>
      <c r="CI522" s="61">
        <f t="shared" si="421"/>
        <v>0.16572890025575154</v>
      </c>
      <c r="CJ522" s="61"/>
      <c r="CK522" s="61">
        <f t="shared" si="406"/>
        <v>0.23017902813298821</v>
      </c>
      <c r="CL522" s="61">
        <f t="shared" si="406"/>
        <v>0.23017902813298821</v>
      </c>
      <c r="CM522" s="61">
        <f t="shared" si="406"/>
        <v>0.23017902813298821</v>
      </c>
      <c r="CN522" s="61">
        <f t="shared" si="406"/>
        <v>0.23017902813298821</v>
      </c>
      <c r="CO522" s="61">
        <f t="shared" si="406"/>
        <v>0</v>
      </c>
      <c r="CP522" s="61">
        <f t="shared" si="406"/>
        <v>0</v>
      </c>
      <c r="CQ522" s="61">
        <f t="shared" si="406"/>
        <v>0.23017902813298821</v>
      </c>
      <c r="CR522" s="61">
        <f t="shared" ref="CR522:CR553" si="429">(V522*$AD522-BA522*$BI522)/$C$2</f>
        <v>0</v>
      </c>
      <c r="CS522" s="61">
        <f t="shared" si="422"/>
        <v>0.16572890025575154</v>
      </c>
      <c r="CT522" s="61">
        <f t="shared" si="423"/>
        <v>1.1015999999999806</v>
      </c>
      <c r="CV522" s="61">
        <f t="shared" si="408"/>
        <v>0</v>
      </c>
      <c r="CW522" s="61">
        <f t="shared" si="383"/>
        <v>0</v>
      </c>
      <c r="CX522" s="61"/>
      <c r="CY522" s="61">
        <f t="shared" si="428"/>
        <v>0</v>
      </c>
      <c r="CZ522" s="61">
        <f t="shared" si="391"/>
        <v>0</v>
      </c>
      <c r="DA522" s="61">
        <f t="shared" si="391"/>
        <v>0</v>
      </c>
      <c r="DB522" s="2" t="s">
        <v>85</v>
      </c>
      <c r="DC522" s="2" t="s">
        <v>85</v>
      </c>
      <c r="DD522" s="2" t="s">
        <v>142</v>
      </c>
      <c r="DE522" s="2" t="s">
        <v>264</v>
      </c>
      <c r="DG522" s="62"/>
      <c r="DZ522" s="3" t="e">
        <v>#N/A</v>
      </c>
      <c r="EC522" s="60"/>
      <c r="ED522" s="60"/>
      <c r="EE522" s="60"/>
      <c r="EF522" s="60"/>
    </row>
    <row r="523" spans="2:140" ht="12.75" hidden="1" customHeight="1">
      <c r="B523" s="99" t="s">
        <v>996</v>
      </c>
      <c r="C523" s="22" t="s">
        <v>997</v>
      </c>
      <c r="D523" s="22" t="s">
        <v>998</v>
      </c>
      <c r="E523" s="22" t="s">
        <v>260</v>
      </c>
      <c r="F523" s="22" t="s">
        <v>348</v>
      </c>
      <c r="G523" s="118" t="s">
        <v>994</v>
      </c>
      <c r="J523" s="22" t="s">
        <v>126</v>
      </c>
      <c r="K523" s="23" t="s">
        <v>999</v>
      </c>
      <c r="L523" s="22" t="s">
        <v>120</v>
      </c>
      <c r="M523" s="51" t="str">
        <f t="shared" si="402"/>
        <v>JD8B-19D629-BB</v>
      </c>
      <c r="O523" s="94">
        <v>0</v>
      </c>
      <c r="P523" s="94">
        <v>0</v>
      </c>
      <c r="Q523" s="94">
        <v>0</v>
      </c>
      <c r="R523" s="94">
        <v>0</v>
      </c>
      <c r="S523" s="94">
        <v>1</v>
      </c>
      <c r="T523" s="94">
        <v>1</v>
      </c>
      <c r="U523" s="94">
        <v>0</v>
      </c>
      <c r="V523" s="94">
        <v>1</v>
      </c>
      <c r="W523" s="64">
        <f t="shared" si="403"/>
        <v>0.28000000000000003</v>
      </c>
      <c r="Y523" s="8">
        <v>-603.16000000000008</v>
      </c>
      <c r="Z523" s="8">
        <v>-6.48</v>
      </c>
      <c r="AA523" s="8" t="s">
        <v>311</v>
      </c>
      <c r="AB523" s="8">
        <v>-7.21</v>
      </c>
      <c r="AC523" s="8">
        <f>-11.75-AB523</f>
        <v>-4.54</v>
      </c>
      <c r="AD523" s="60">
        <f t="shared" ref="AD523:AD545" si="430">SUM(Y523:AC523)</f>
        <v>-621.3900000000001</v>
      </c>
      <c r="AE523" s="22" t="s">
        <v>84</v>
      </c>
      <c r="AG523" s="8">
        <v>-1674400</v>
      </c>
      <c r="AH523" s="8">
        <v>-1674400</v>
      </c>
      <c r="AI523" s="6"/>
      <c r="AJ523" s="70">
        <v>-861302</v>
      </c>
      <c r="AK523" s="70" t="s">
        <v>183</v>
      </c>
      <c r="AL523" s="72"/>
      <c r="AM523" s="22"/>
      <c r="AO523" s="22" t="s">
        <v>126</v>
      </c>
      <c r="AP523" s="24" t="s">
        <v>999</v>
      </c>
      <c r="AQ523" s="22" t="s">
        <v>111</v>
      </c>
      <c r="AR523" s="51" t="str">
        <f t="shared" si="392"/>
        <v>JD8B-19D629-BA</v>
      </c>
      <c r="AS523" s="3"/>
      <c r="AT523" s="94">
        <v>0</v>
      </c>
      <c r="AU523" s="94">
        <v>0</v>
      </c>
      <c r="AV523" s="94">
        <v>0</v>
      </c>
      <c r="AW523" s="94">
        <v>0</v>
      </c>
      <c r="AX523" s="94">
        <v>1</v>
      </c>
      <c r="AY523" s="94">
        <v>1</v>
      </c>
      <c r="AZ523" s="94">
        <v>0</v>
      </c>
      <c r="BA523" s="94">
        <v>1</v>
      </c>
      <c r="BB523" s="64">
        <f t="shared" si="393"/>
        <v>0.28000000000000003</v>
      </c>
      <c r="BD523" s="60">
        <v>-604.69000000000005</v>
      </c>
      <c r="BE523" s="60">
        <v>-6.48</v>
      </c>
      <c r="BF523" s="60" t="s">
        <v>311</v>
      </c>
      <c r="BG523" s="60">
        <v>-7.21</v>
      </c>
      <c r="BH523" s="60">
        <f>-11.75-BG523</f>
        <v>-4.54</v>
      </c>
      <c r="BI523" s="60">
        <f t="shared" si="397"/>
        <v>-622.92000000000007</v>
      </c>
      <c r="BJ523" s="22" t="s">
        <v>84</v>
      </c>
      <c r="BL523" s="70">
        <v>-1674400</v>
      </c>
      <c r="BM523" s="70">
        <v>-1674400</v>
      </c>
      <c r="BN523" s="70"/>
      <c r="BO523" s="70">
        <v>-861302</v>
      </c>
      <c r="BP523" s="70" t="s">
        <v>183</v>
      </c>
      <c r="BQ523" s="72"/>
      <c r="BS523" s="61">
        <f t="shared" si="424"/>
        <v>1.5299999999999727</v>
      </c>
      <c r="BT523" s="61">
        <f t="shared" si="418"/>
        <v>0</v>
      </c>
      <c r="BU523" s="61">
        <f t="shared" si="419"/>
        <v>0</v>
      </c>
      <c r="BV523" s="61">
        <f t="shared" si="420"/>
        <v>0</v>
      </c>
      <c r="BW523" s="61">
        <f t="shared" si="420"/>
        <v>0</v>
      </c>
      <c r="BX523" s="61">
        <f t="shared" ref="BX523:BX540" si="431">SUM(AD523)-SUM(BI523)</f>
        <v>1.5299999999999727</v>
      </c>
      <c r="BY523" s="61" t="s">
        <v>91</v>
      </c>
      <c r="CA523" s="61">
        <f t="shared" si="425"/>
        <v>0</v>
      </c>
      <c r="CB523" s="61">
        <f t="shared" si="425"/>
        <v>0</v>
      </c>
      <c r="CC523" s="61">
        <f t="shared" si="425"/>
        <v>0</v>
      </c>
      <c r="CD523" s="61">
        <f t="shared" si="425"/>
        <v>0</v>
      </c>
      <c r="CE523" s="61">
        <f t="shared" si="425"/>
        <v>0.23017902813298821</v>
      </c>
      <c r="CF523" s="61">
        <f t="shared" si="388"/>
        <v>0.23017902813298821</v>
      </c>
      <c r="CG523" s="61">
        <f t="shared" si="388"/>
        <v>0</v>
      </c>
      <c r="CH523" s="61">
        <f t="shared" si="388"/>
        <v>0.23017902813298821</v>
      </c>
      <c r="CI523" s="61">
        <f t="shared" si="421"/>
        <v>6.445012787723671E-2</v>
      </c>
      <c r="CJ523" s="61"/>
      <c r="CK523" s="61">
        <f t="shared" ref="CK523:CQ540" si="432">(O523*$AD523-AT523*$BI523)/$C$2</f>
        <v>0</v>
      </c>
      <c r="CL523" s="61">
        <f t="shared" si="432"/>
        <v>0</v>
      </c>
      <c r="CM523" s="61">
        <f t="shared" si="432"/>
        <v>0</v>
      </c>
      <c r="CN523" s="61">
        <f t="shared" si="432"/>
        <v>0</v>
      </c>
      <c r="CO523" s="61">
        <f t="shared" si="432"/>
        <v>0.23017902813298821</v>
      </c>
      <c r="CP523" s="61">
        <f t="shared" si="432"/>
        <v>0.23017902813298821</v>
      </c>
      <c r="CQ523" s="61">
        <f t="shared" si="432"/>
        <v>0</v>
      </c>
      <c r="CR523" s="61">
        <f t="shared" si="429"/>
        <v>0.23017902813298821</v>
      </c>
      <c r="CS523" s="61">
        <f t="shared" si="422"/>
        <v>6.445012787723671E-2</v>
      </c>
      <c r="CT523" s="61">
        <f t="shared" si="423"/>
        <v>0.4283999999999924</v>
      </c>
      <c r="CV523" s="61">
        <f t="shared" si="408"/>
        <v>0</v>
      </c>
      <c r="CW523" s="61">
        <f t="shared" si="383"/>
        <v>0</v>
      </c>
      <c r="CX523" s="61"/>
      <c r="CY523" s="61">
        <f t="shared" si="428"/>
        <v>0</v>
      </c>
      <c r="CZ523" s="61">
        <f t="shared" si="391"/>
        <v>0</v>
      </c>
      <c r="DA523" s="61">
        <f t="shared" si="391"/>
        <v>0</v>
      </c>
      <c r="DB523" s="2" t="s">
        <v>85</v>
      </c>
      <c r="DC523" s="2" t="s">
        <v>85</v>
      </c>
      <c r="DD523" s="2" t="s">
        <v>142</v>
      </c>
      <c r="DE523" s="2" t="s">
        <v>264</v>
      </c>
      <c r="DG523" s="62"/>
      <c r="DZ523" s="3" t="e">
        <v>#N/A</v>
      </c>
      <c r="EC523" s="60"/>
      <c r="ED523" s="60"/>
      <c r="EE523" s="60"/>
      <c r="EF523" s="60"/>
    </row>
    <row r="524" spans="2:140" ht="12.75" hidden="1" customHeight="1">
      <c r="B524" s="99" t="s">
        <v>1000</v>
      </c>
      <c r="C524" s="22" t="s">
        <v>726</v>
      </c>
      <c r="D524" s="22" t="s">
        <v>727</v>
      </c>
      <c r="E524" s="2" t="s">
        <v>993</v>
      </c>
      <c r="F524" s="2" t="s">
        <v>969</v>
      </c>
      <c r="G524" s="2" t="s">
        <v>331</v>
      </c>
      <c r="J524" s="22" t="s">
        <v>728</v>
      </c>
      <c r="K524" s="23" t="s">
        <v>1001</v>
      </c>
      <c r="L524" s="22" t="s">
        <v>1002</v>
      </c>
      <c r="M524" s="51" t="str">
        <f t="shared" si="402"/>
        <v>MJD8B -LBBA-LCW</v>
      </c>
      <c r="O524" s="94">
        <v>0</v>
      </c>
      <c r="P524" s="94">
        <v>0</v>
      </c>
      <c r="Q524" s="94">
        <v>0</v>
      </c>
      <c r="R524" s="94">
        <v>0</v>
      </c>
      <c r="S524" s="94">
        <v>0</v>
      </c>
      <c r="T524" s="94">
        <v>0</v>
      </c>
      <c r="U524" s="94">
        <v>1</v>
      </c>
      <c r="V524" s="94">
        <v>0</v>
      </c>
      <c r="W524" s="64">
        <f t="shared" si="403"/>
        <v>0.05</v>
      </c>
      <c r="Y524" s="8">
        <v>-1066.56</v>
      </c>
      <c r="Z524" s="8">
        <v>0</v>
      </c>
      <c r="AA524" s="8">
        <v>-8.4600000000000009</v>
      </c>
      <c r="AB524" s="8">
        <v>0</v>
      </c>
      <c r="AC524" s="8">
        <v>-2.12</v>
      </c>
      <c r="AD524" s="8">
        <f t="shared" si="430"/>
        <v>-1077.1399999999999</v>
      </c>
      <c r="AE524" s="22" t="s">
        <v>84</v>
      </c>
      <c r="AG524" s="8">
        <v>0</v>
      </c>
      <c r="AH524" s="8">
        <v>-36000</v>
      </c>
      <c r="AJ524" s="70"/>
      <c r="AK524" s="70"/>
      <c r="AL524" s="72"/>
      <c r="AM524" s="22"/>
      <c r="AO524" s="22" t="s">
        <v>728</v>
      </c>
      <c r="AP524" s="24" t="s">
        <v>1001</v>
      </c>
      <c r="AQ524" s="22" t="s">
        <v>746</v>
      </c>
      <c r="AR524" s="51" t="str">
        <f t="shared" si="392"/>
        <v>MJD8B -LBBA-LBW</v>
      </c>
      <c r="AS524" s="3"/>
      <c r="AT524" s="94">
        <v>0</v>
      </c>
      <c r="AU524" s="94">
        <v>0</v>
      </c>
      <c r="AV524" s="94">
        <v>0</v>
      </c>
      <c r="AW524" s="94">
        <v>0</v>
      </c>
      <c r="AX524" s="94">
        <v>0</v>
      </c>
      <c r="AY524" s="94">
        <v>0</v>
      </c>
      <c r="AZ524" s="94">
        <v>1</v>
      </c>
      <c r="BA524" s="94">
        <v>0</v>
      </c>
      <c r="BB524" s="64">
        <f t="shared" si="393"/>
        <v>0.05</v>
      </c>
      <c r="BD524" s="60">
        <f>-1048.64*0-1050.9</f>
        <v>-1050.9000000000001</v>
      </c>
      <c r="BE524" s="60">
        <v>-8.4600000000000009</v>
      </c>
      <c r="BF524" s="60">
        <v>-2.12</v>
      </c>
      <c r="BG524" s="60">
        <v>0</v>
      </c>
      <c r="BH524" s="60">
        <v>0</v>
      </c>
      <c r="BI524" s="60">
        <f t="shared" si="397"/>
        <v>-1061.48</v>
      </c>
      <c r="BJ524" s="22" t="s">
        <v>84</v>
      </c>
      <c r="BL524" s="70">
        <v>0</v>
      </c>
      <c r="BM524" s="70">
        <v>0</v>
      </c>
      <c r="BO524" s="70"/>
      <c r="BP524" s="70"/>
      <c r="BQ524" s="72"/>
      <c r="BS524" s="61">
        <f t="shared" si="424"/>
        <v>-15.659999999999854</v>
      </c>
      <c r="BT524" s="61">
        <f t="shared" si="418"/>
        <v>8.4600000000000009</v>
      </c>
      <c r="BU524" s="61">
        <f t="shared" si="419"/>
        <v>-6.3400000000000007</v>
      </c>
      <c r="BV524" s="61">
        <f t="shared" si="420"/>
        <v>0</v>
      </c>
      <c r="BW524" s="61">
        <f t="shared" si="420"/>
        <v>-2.12</v>
      </c>
      <c r="BX524" s="61">
        <f t="shared" si="431"/>
        <v>-15.659999999999854</v>
      </c>
      <c r="BY524" s="61" t="s">
        <v>91</v>
      </c>
      <c r="CA524" s="61">
        <f t="shared" si="425"/>
        <v>0</v>
      </c>
      <c r="CB524" s="61">
        <f t="shared" si="425"/>
        <v>0</v>
      </c>
      <c r="CC524" s="61">
        <f t="shared" si="425"/>
        <v>0</v>
      </c>
      <c r="CD524" s="61">
        <f t="shared" si="425"/>
        <v>0</v>
      </c>
      <c r="CE524" s="61">
        <f t="shared" si="425"/>
        <v>0</v>
      </c>
      <c r="CF524" s="61">
        <f t="shared" si="388"/>
        <v>0</v>
      </c>
      <c r="CG524" s="61">
        <f t="shared" si="388"/>
        <v>-2.3559500526553112</v>
      </c>
      <c r="CH524" s="61">
        <f t="shared" si="388"/>
        <v>0</v>
      </c>
      <c r="CI524" s="61">
        <f t="shared" si="421"/>
        <v>-0.11779750263276556</v>
      </c>
      <c r="CJ524" s="61"/>
      <c r="CK524" s="61">
        <f t="shared" si="432"/>
        <v>0</v>
      </c>
      <c r="CL524" s="61">
        <f t="shared" si="432"/>
        <v>0</v>
      </c>
      <c r="CM524" s="61">
        <f t="shared" si="432"/>
        <v>0</v>
      </c>
      <c r="CN524" s="61">
        <f t="shared" si="432"/>
        <v>0</v>
      </c>
      <c r="CO524" s="61">
        <f t="shared" si="432"/>
        <v>0</v>
      </c>
      <c r="CP524" s="61">
        <f t="shared" si="432"/>
        <v>0</v>
      </c>
      <c r="CQ524" s="61">
        <f t="shared" si="432"/>
        <v>-2.3559500526553112</v>
      </c>
      <c r="CR524" s="61">
        <f t="shared" si="429"/>
        <v>0</v>
      </c>
      <c r="CS524" s="61">
        <f t="shared" si="422"/>
        <v>-0.11779750263276556</v>
      </c>
      <c r="CT524" s="61">
        <f t="shared" si="423"/>
        <v>-0.7829999999999927</v>
      </c>
      <c r="CV524" s="61">
        <f t="shared" si="408"/>
        <v>0</v>
      </c>
      <c r="CW524" s="61">
        <f t="shared" si="383"/>
        <v>-36000</v>
      </c>
      <c r="CX524" s="61"/>
      <c r="CY524" s="61">
        <f t="shared" si="428"/>
        <v>0</v>
      </c>
      <c r="CZ524" s="61">
        <f t="shared" si="391"/>
        <v>0</v>
      </c>
      <c r="DA524" s="61">
        <f t="shared" si="391"/>
        <v>0</v>
      </c>
      <c r="DB524" s="2" t="s">
        <v>85</v>
      </c>
      <c r="DC524" s="2" t="s">
        <v>85</v>
      </c>
      <c r="DD524" s="2" t="s">
        <v>142</v>
      </c>
      <c r="DE524" s="2" t="s">
        <v>264</v>
      </c>
      <c r="DF524" s="3" t="s">
        <v>86</v>
      </c>
      <c r="DG524" s="62">
        <v>42915</v>
      </c>
      <c r="EC524" s="60"/>
      <c r="ED524" s="60"/>
      <c r="EE524" s="60"/>
      <c r="EF524" s="60"/>
    </row>
    <row r="525" spans="2:140" ht="12.75" hidden="1" customHeight="1">
      <c r="B525" s="99" t="s">
        <v>1000</v>
      </c>
      <c r="C525" s="22" t="s">
        <v>726</v>
      </c>
      <c r="D525" s="22" t="s">
        <v>727</v>
      </c>
      <c r="E525" s="2" t="s">
        <v>993</v>
      </c>
      <c r="F525" s="2" t="s">
        <v>969</v>
      </c>
      <c r="G525" s="2" t="s">
        <v>331</v>
      </c>
      <c r="J525" s="22" t="s">
        <v>728</v>
      </c>
      <c r="K525" s="23" t="s">
        <v>1001</v>
      </c>
      <c r="L525" s="22" t="s">
        <v>1003</v>
      </c>
      <c r="M525" s="51" t="str">
        <f t="shared" si="402"/>
        <v>MJD8B -LBBA-MCW</v>
      </c>
      <c r="O525" s="94">
        <v>0</v>
      </c>
      <c r="P525" s="94">
        <v>0</v>
      </c>
      <c r="Q525" s="94">
        <v>0</v>
      </c>
      <c r="R525" s="94">
        <v>0</v>
      </c>
      <c r="S525" s="94">
        <v>0</v>
      </c>
      <c r="T525" s="94">
        <v>0</v>
      </c>
      <c r="U525" s="94">
        <v>0</v>
      </c>
      <c r="V525" s="94">
        <v>1</v>
      </c>
      <c r="W525" s="64">
        <f t="shared" si="403"/>
        <v>0.05</v>
      </c>
      <c r="Y525" s="8">
        <v>-1067.02</v>
      </c>
      <c r="Z525" s="8">
        <v>0</v>
      </c>
      <c r="AA525" s="8">
        <v>-8.4600000000000009</v>
      </c>
      <c r="AB525" s="8">
        <v>0</v>
      </c>
      <c r="AC525" s="8">
        <v>-2.12</v>
      </c>
      <c r="AD525" s="8">
        <f t="shared" si="430"/>
        <v>-1077.5999999999999</v>
      </c>
      <c r="AE525" s="22" t="s">
        <v>84</v>
      </c>
      <c r="AG525" s="8">
        <v>0</v>
      </c>
      <c r="AH525" s="8" t="s">
        <v>940</v>
      </c>
      <c r="AJ525" s="70"/>
      <c r="AK525" s="70"/>
      <c r="AL525" s="72"/>
      <c r="AM525" s="22"/>
      <c r="AO525" s="22" t="s">
        <v>728</v>
      </c>
      <c r="AP525" s="24" t="s">
        <v>1001</v>
      </c>
      <c r="AQ525" s="22" t="s">
        <v>747</v>
      </c>
      <c r="AR525" s="51" t="str">
        <f t="shared" si="392"/>
        <v>MJD8B -LBBA-MBW</v>
      </c>
      <c r="AS525" s="3"/>
      <c r="AT525" s="94">
        <v>0</v>
      </c>
      <c r="AU525" s="94">
        <v>0</v>
      </c>
      <c r="AV525" s="94">
        <v>0</v>
      </c>
      <c r="AW525" s="94">
        <v>0</v>
      </c>
      <c r="AX525" s="94">
        <v>0</v>
      </c>
      <c r="AY525" s="94">
        <v>0</v>
      </c>
      <c r="AZ525" s="94">
        <v>0</v>
      </c>
      <c r="BA525" s="94">
        <v>1</v>
      </c>
      <c r="BB525" s="64">
        <f t="shared" si="393"/>
        <v>0.05</v>
      </c>
      <c r="BD525" s="60">
        <f>-1049.1*0-1051.36</f>
        <v>-1051.3599999999999</v>
      </c>
      <c r="BE525" s="60">
        <v>-8.4600000000000009</v>
      </c>
      <c r="BF525" s="60">
        <v>-2.12</v>
      </c>
      <c r="BG525" s="60">
        <v>0</v>
      </c>
      <c r="BH525" s="60">
        <v>0</v>
      </c>
      <c r="BI525" s="60">
        <f t="shared" si="397"/>
        <v>-1061.9399999999998</v>
      </c>
      <c r="BJ525" s="22" t="s">
        <v>84</v>
      </c>
      <c r="BL525" s="70">
        <v>0</v>
      </c>
      <c r="BM525" s="70">
        <v>0</v>
      </c>
      <c r="BO525" s="70"/>
      <c r="BP525" s="70"/>
      <c r="BQ525" s="72"/>
      <c r="BS525" s="61">
        <f t="shared" si="424"/>
        <v>-15.660000000000082</v>
      </c>
      <c r="BT525" s="61">
        <f t="shared" si="418"/>
        <v>8.4600000000000009</v>
      </c>
      <c r="BU525" s="61">
        <f t="shared" si="419"/>
        <v>-6.3400000000000007</v>
      </c>
      <c r="BV525" s="61">
        <f t="shared" si="420"/>
        <v>0</v>
      </c>
      <c r="BW525" s="61">
        <f t="shared" si="420"/>
        <v>-2.12</v>
      </c>
      <c r="BX525" s="61">
        <f t="shared" si="431"/>
        <v>-15.660000000000082</v>
      </c>
      <c r="BY525" s="61" t="s">
        <v>91</v>
      </c>
      <c r="CA525" s="61">
        <f t="shared" si="425"/>
        <v>0</v>
      </c>
      <c r="CB525" s="61">
        <f t="shared" si="425"/>
        <v>0</v>
      </c>
      <c r="CC525" s="61">
        <f t="shared" si="425"/>
        <v>0</v>
      </c>
      <c r="CD525" s="61">
        <f t="shared" si="425"/>
        <v>0</v>
      </c>
      <c r="CE525" s="61">
        <f t="shared" si="425"/>
        <v>0</v>
      </c>
      <c r="CF525" s="61">
        <f t="shared" si="388"/>
        <v>0</v>
      </c>
      <c r="CG525" s="61">
        <f t="shared" si="388"/>
        <v>0</v>
      </c>
      <c r="CH525" s="61">
        <f t="shared" si="388"/>
        <v>-2.3559500526553454</v>
      </c>
      <c r="CI525" s="61">
        <f t="shared" si="421"/>
        <v>-0.11779750263276728</v>
      </c>
      <c r="CJ525" s="61"/>
      <c r="CK525" s="61">
        <f t="shared" si="432"/>
        <v>0</v>
      </c>
      <c r="CL525" s="61">
        <f t="shared" si="432"/>
        <v>0</v>
      </c>
      <c r="CM525" s="61">
        <f t="shared" si="432"/>
        <v>0</v>
      </c>
      <c r="CN525" s="61">
        <f t="shared" si="432"/>
        <v>0</v>
      </c>
      <c r="CO525" s="61">
        <f t="shared" si="432"/>
        <v>0</v>
      </c>
      <c r="CP525" s="61">
        <f t="shared" si="432"/>
        <v>0</v>
      </c>
      <c r="CQ525" s="61">
        <f t="shared" si="432"/>
        <v>0</v>
      </c>
      <c r="CR525" s="61">
        <f t="shared" si="429"/>
        <v>-2.3559500526553454</v>
      </c>
      <c r="CS525" s="61">
        <f t="shared" si="422"/>
        <v>-0.11779750263276728</v>
      </c>
      <c r="CT525" s="61">
        <f t="shared" si="423"/>
        <v>-0.78300000000000414</v>
      </c>
      <c r="CV525" s="61">
        <f t="shared" si="408"/>
        <v>0</v>
      </c>
      <c r="CW525" s="61">
        <f t="shared" si="383"/>
        <v>0</v>
      </c>
      <c r="CX525" s="61"/>
      <c r="CY525" s="61">
        <f t="shared" si="428"/>
        <v>0</v>
      </c>
      <c r="CZ525" s="61">
        <f t="shared" si="391"/>
        <v>0</v>
      </c>
      <c r="DA525" s="61">
        <f t="shared" si="391"/>
        <v>0</v>
      </c>
      <c r="DB525" s="2" t="s">
        <v>85</v>
      </c>
      <c r="DC525" s="2" t="s">
        <v>85</v>
      </c>
      <c r="DD525" s="2" t="s">
        <v>142</v>
      </c>
      <c r="DE525" s="2" t="s">
        <v>264</v>
      </c>
      <c r="DF525" s="3" t="s">
        <v>86</v>
      </c>
      <c r="DG525" s="62">
        <v>42915</v>
      </c>
      <c r="EC525" s="60"/>
      <c r="ED525" s="60"/>
      <c r="EE525" s="60"/>
      <c r="EF525" s="60"/>
    </row>
    <row r="526" spans="2:140" ht="12.75" hidden="1" customHeight="1">
      <c r="B526" s="99" t="s">
        <v>1004</v>
      </c>
      <c r="C526" s="22" t="s">
        <v>611</v>
      </c>
      <c r="D526" s="22" t="s">
        <v>612</v>
      </c>
      <c r="E526" s="2" t="s">
        <v>1005</v>
      </c>
      <c r="F526" s="2" t="s">
        <v>330</v>
      </c>
      <c r="G526" s="2" t="s">
        <v>331</v>
      </c>
      <c r="J526" s="22" t="s">
        <v>614</v>
      </c>
      <c r="K526" s="23" t="s">
        <v>615</v>
      </c>
      <c r="L526" s="22" t="s">
        <v>989</v>
      </c>
      <c r="M526" s="51" t="str">
        <f t="shared" si="402"/>
        <v>HN1A-9G444-BD</v>
      </c>
      <c r="O526" s="22">
        <v>1</v>
      </c>
      <c r="P526" s="22">
        <v>1</v>
      </c>
      <c r="Q526" s="22">
        <v>1</v>
      </c>
      <c r="R526" s="22">
        <v>1</v>
      </c>
      <c r="S526" s="22">
        <v>0</v>
      </c>
      <c r="T526" s="22">
        <v>0</v>
      </c>
      <c r="U526" s="22">
        <v>1</v>
      </c>
      <c r="V526" s="22">
        <v>0</v>
      </c>
      <c r="W526" s="64">
        <f t="shared" si="403"/>
        <v>0.72000000000000008</v>
      </c>
      <c r="Y526" s="8">
        <v>-71.599999999999994</v>
      </c>
      <c r="Z526" s="8">
        <v>-0.6</v>
      </c>
      <c r="AA526" s="8">
        <v>-1.4</v>
      </c>
      <c r="AB526" s="8">
        <v>0</v>
      </c>
      <c r="AC526" s="8">
        <v>0</v>
      </c>
      <c r="AD526" s="8">
        <f t="shared" si="430"/>
        <v>-73.599999999999994</v>
      </c>
      <c r="AE526" s="2" t="s">
        <v>91</v>
      </c>
      <c r="AG526" s="8">
        <v>0</v>
      </c>
      <c r="AH526" s="8">
        <v>0</v>
      </c>
      <c r="AJ526" s="71">
        <v>0</v>
      </c>
      <c r="AK526" s="71">
        <v>0</v>
      </c>
      <c r="AL526" s="72"/>
      <c r="AM526" s="22"/>
      <c r="AO526" s="22" t="s">
        <v>614</v>
      </c>
      <c r="AP526" s="23" t="s">
        <v>615</v>
      </c>
      <c r="AQ526" s="22" t="s">
        <v>599</v>
      </c>
      <c r="AR526" s="51" t="str">
        <f t="shared" si="392"/>
        <v>HN1A-9G444-BC</v>
      </c>
      <c r="AS526" s="3"/>
      <c r="AT526" s="22">
        <v>1</v>
      </c>
      <c r="AU526" s="22">
        <v>1</v>
      </c>
      <c r="AV526" s="22">
        <v>1</v>
      </c>
      <c r="AW526" s="22">
        <v>1</v>
      </c>
      <c r="AX526" s="22">
        <v>0</v>
      </c>
      <c r="AY526" s="22">
        <v>0</v>
      </c>
      <c r="AZ526" s="22">
        <v>1</v>
      </c>
      <c r="BA526" s="22">
        <v>0</v>
      </c>
      <c r="BB526" s="64">
        <f t="shared" si="393"/>
        <v>0.72000000000000008</v>
      </c>
      <c r="BD526" s="60">
        <v>-71.599999999999994</v>
      </c>
      <c r="BE526" s="60">
        <v>-0.6</v>
      </c>
      <c r="BF526" s="60">
        <v>-1.4</v>
      </c>
      <c r="BG526" s="60">
        <v>0</v>
      </c>
      <c r="BH526" s="60">
        <v>0</v>
      </c>
      <c r="BI526" s="8">
        <f t="shared" si="397"/>
        <v>-73.599999999999994</v>
      </c>
      <c r="BJ526" s="2" t="s">
        <v>91</v>
      </c>
      <c r="BL526" s="70">
        <v>0</v>
      </c>
      <c r="BM526" s="70">
        <v>0</v>
      </c>
      <c r="BO526" s="71">
        <v>0</v>
      </c>
      <c r="BP526" s="71">
        <v>0</v>
      </c>
      <c r="BQ526" s="72"/>
      <c r="BS526" s="61">
        <f t="shared" si="424"/>
        <v>0</v>
      </c>
      <c r="BT526" s="61">
        <f t="shared" si="418"/>
        <v>0</v>
      </c>
      <c r="BU526" s="61">
        <f t="shared" si="419"/>
        <v>0</v>
      </c>
      <c r="BV526" s="61">
        <f t="shared" si="420"/>
        <v>0</v>
      </c>
      <c r="BW526" s="61">
        <f t="shared" si="420"/>
        <v>0</v>
      </c>
      <c r="BX526" s="61">
        <f t="shared" si="431"/>
        <v>0</v>
      </c>
      <c r="BY526" s="61" t="s">
        <v>91</v>
      </c>
      <c r="CA526" s="61">
        <f t="shared" si="425"/>
        <v>0</v>
      </c>
      <c r="CB526" s="61">
        <f t="shared" si="425"/>
        <v>0</v>
      </c>
      <c r="CC526" s="61">
        <f t="shared" si="425"/>
        <v>0</v>
      </c>
      <c r="CD526" s="61">
        <f t="shared" si="425"/>
        <v>0</v>
      </c>
      <c r="CE526" s="61">
        <f t="shared" si="425"/>
        <v>0</v>
      </c>
      <c r="CF526" s="61">
        <f t="shared" si="388"/>
        <v>0</v>
      </c>
      <c r="CG526" s="61">
        <f t="shared" si="388"/>
        <v>0</v>
      </c>
      <c r="CH526" s="61">
        <f t="shared" si="388"/>
        <v>0</v>
      </c>
      <c r="CI526" s="61">
        <f t="shared" si="421"/>
        <v>0</v>
      </c>
      <c r="CJ526" s="61"/>
      <c r="CK526" s="61">
        <f t="shared" si="432"/>
        <v>0</v>
      </c>
      <c r="CL526" s="61">
        <f t="shared" si="432"/>
        <v>0</v>
      </c>
      <c r="CM526" s="61">
        <f t="shared" si="432"/>
        <v>0</v>
      </c>
      <c r="CN526" s="61">
        <f t="shared" si="432"/>
        <v>0</v>
      </c>
      <c r="CO526" s="61">
        <f t="shared" si="432"/>
        <v>0</v>
      </c>
      <c r="CP526" s="61">
        <f t="shared" si="432"/>
        <v>0</v>
      </c>
      <c r="CQ526" s="61">
        <f t="shared" si="432"/>
        <v>0</v>
      </c>
      <c r="CR526" s="61">
        <f t="shared" si="429"/>
        <v>0</v>
      </c>
      <c r="CS526" s="61">
        <f t="shared" si="422"/>
        <v>0</v>
      </c>
      <c r="CT526" s="61">
        <f t="shared" si="423"/>
        <v>0</v>
      </c>
      <c r="CV526" s="61">
        <f t="shared" si="408"/>
        <v>0</v>
      </c>
      <c r="CW526" s="61">
        <f t="shared" si="383"/>
        <v>0</v>
      </c>
      <c r="CX526" s="61"/>
      <c r="CY526" s="61">
        <f t="shared" si="428"/>
        <v>0</v>
      </c>
      <c r="CZ526" s="61">
        <f t="shared" si="391"/>
        <v>0</v>
      </c>
      <c r="DA526" s="61">
        <f t="shared" si="391"/>
        <v>0</v>
      </c>
      <c r="DB526" s="2" t="s">
        <v>85</v>
      </c>
      <c r="DC526" s="2" t="s">
        <v>85</v>
      </c>
      <c r="DD526" s="2" t="s">
        <v>142</v>
      </c>
      <c r="DE526" s="2" t="s">
        <v>264</v>
      </c>
      <c r="DG526" s="62"/>
      <c r="DZ526" s="3" t="e">
        <v>#N/A</v>
      </c>
      <c r="EC526" s="60"/>
      <c r="ED526" s="60"/>
      <c r="EE526" s="60"/>
      <c r="EF526" s="60"/>
      <c r="EH526" s="60"/>
      <c r="EI526" s="60"/>
      <c r="EJ526" s="60"/>
    </row>
    <row r="527" spans="2:140" ht="12.75" hidden="1" customHeight="1">
      <c r="B527" s="93" t="s">
        <v>1006</v>
      </c>
      <c r="C527" s="22" t="s">
        <v>1007</v>
      </c>
      <c r="D527" s="22" t="s">
        <v>1008</v>
      </c>
      <c r="E527" s="2" t="s">
        <v>1005</v>
      </c>
      <c r="F527" s="2" t="s">
        <v>330</v>
      </c>
      <c r="G527" s="2" t="s">
        <v>983</v>
      </c>
      <c r="J527" s="22" t="s">
        <v>1009</v>
      </c>
      <c r="K527" s="23" t="s">
        <v>1010</v>
      </c>
      <c r="L527" s="22" t="s">
        <v>100</v>
      </c>
      <c r="M527" s="51" t="str">
        <f t="shared" si="402"/>
        <v>H6B1-7A564-AA</v>
      </c>
      <c r="O527" s="94">
        <v>1</v>
      </c>
      <c r="P527" s="22"/>
      <c r="Q527" s="94">
        <v>1</v>
      </c>
      <c r="R527" s="22"/>
      <c r="S527" s="94">
        <v>1</v>
      </c>
      <c r="T527" s="22"/>
      <c r="U527" s="22"/>
      <c r="V527" s="22"/>
      <c r="W527" s="64">
        <f t="shared" si="403"/>
        <v>0.37</v>
      </c>
      <c r="Y527" s="8">
        <v>-61.11</v>
      </c>
      <c r="Z527" s="8">
        <v>-1</v>
      </c>
      <c r="AA527" s="8">
        <v>-1.2</v>
      </c>
      <c r="AB527" s="8">
        <v>0</v>
      </c>
      <c r="AC527" s="8">
        <v>-2.77</v>
      </c>
      <c r="AD527" s="8">
        <f t="shared" si="430"/>
        <v>-66.08</v>
      </c>
      <c r="AE527" s="2" t="s">
        <v>84</v>
      </c>
      <c r="AG527" s="8">
        <v>0</v>
      </c>
      <c r="AH527" s="8">
        <v>0</v>
      </c>
      <c r="AJ527" s="70">
        <v>-1846975</v>
      </c>
      <c r="AK527" s="70">
        <v>667010</v>
      </c>
      <c r="AL527" s="119"/>
      <c r="AM527" s="22"/>
      <c r="AO527" s="22" t="s">
        <v>1009</v>
      </c>
      <c r="AP527" s="23" t="s">
        <v>1010</v>
      </c>
      <c r="AQ527" s="22" t="s">
        <v>100</v>
      </c>
      <c r="AR527" s="51" t="str">
        <f t="shared" si="392"/>
        <v>H6B1-7A564-AA</v>
      </c>
      <c r="AS527" s="3"/>
      <c r="AT527" s="94">
        <v>1</v>
      </c>
      <c r="AU527" s="22"/>
      <c r="AV527" s="94">
        <v>1</v>
      </c>
      <c r="AW527" s="22"/>
      <c r="AX527" s="94">
        <v>1</v>
      </c>
      <c r="AY527" s="22"/>
      <c r="AZ527" s="22"/>
      <c r="BA527" s="22"/>
      <c r="BB527" s="64">
        <f t="shared" si="393"/>
        <v>0.37</v>
      </c>
      <c r="BD527" s="60">
        <v>-61.11</v>
      </c>
      <c r="BE527" s="60">
        <v>-1</v>
      </c>
      <c r="BF527" s="95">
        <v>-1.2</v>
      </c>
      <c r="BG527" s="95">
        <v>0</v>
      </c>
      <c r="BH527" s="95">
        <v>-2.77</v>
      </c>
      <c r="BI527" s="8">
        <f t="shared" si="397"/>
        <v>-66.08</v>
      </c>
      <c r="BJ527" s="2" t="s">
        <v>84</v>
      </c>
      <c r="BL527" s="70">
        <v>0</v>
      </c>
      <c r="BM527" s="70">
        <v>0</v>
      </c>
      <c r="BO527" s="70">
        <v>-1846975</v>
      </c>
      <c r="BP527" s="70">
        <v>667010</v>
      </c>
      <c r="BQ527" s="72"/>
      <c r="BS527" s="61">
        <f t="shared" si="424"/>
        <v>0</v>
      </c>
      <c r="BT527" s="61">
        <f t="shared" si="418"/>
        <v>0</v>
      </c>
      <c r="BU527" s="61">
        <f t="shared" si="419"/>
        <v>0</v>
      </c>
      <c r="BV527" s="61">
        <f t="shared" si="420"/>
        <v>0</v>
      </c>
      <c r="BW527" s="61">
        <f t="shared" si="420"/>
        <v>0</v>
      </c>
      <c r="BX527" s="61">
        <f t="shared" si="431"/>
        <v>0</v>
      </c>
      <c r="BY527" s="61" t="s">
        <v>91</v>
      </c>
      <c r="CA527" s="61">
        <f t="shared" si="425"/>
        <v>0</v>
      </c>
      <c r="CB527" s="61">
        <f t="shared" si="425"/>
        <v>0</v>
      </c>
      <c r="CC527" s="61">
        <f t="shared" si="425"/>
        <v>0</v>
      </c>
      <c r="CD527" s="61">
        <f t="shared" si="425"/>
        <v>0</v>
      </c>
      <c r="CE527" s="61">
        <f t="shared" si="425"/>
        <v>0</v>
      </c>
      <c r="CF527" s="61">
        <f t="shared" si="388"/>
        <v>0</v>
      </c>
      <c r="CG527" s="61">
        <f t="shared" si="388"/>
        <v>0</v>
      </c>
      <c r="CH527" s="61">
        <f t="shared" si="388"/>
        <v>0</v>
      </c>
      <c r="CI527" s="61">
        <f t="shared" si="421"/>
        <v>0</v>
      </c>
      <c r="CJ527" s="61"/>
      <c r="CK527" s="61">
        <f t="shared" si="432"/>
        <v>0</v>
      </c>
      <c r="CL527" s="61">
        <f t="shared" si="432"/>
        <v>0</v>
      </c>
      <c r="CM527" s="61">
        <f t="shared" si="432"/>
        <v>0</v>
      </c>
      <c r="CN527" s="61">
        <f t="shared" si="432"/>
        <v>0</v>
      </c>
      <c r="CO527" s="61">
        <f t="shared" si="432"/>
        <v>0</v>
      </c>
      <c r="CP527" s="61">
        <f t="shared" si="432"/>
        <v>0</v>
      </c>
      <c r="CQ527" s="61">
        <f t="shared" si="432"/>
        <v>0</v>
      </c>
      <c r="CR527" s="61">
        <f t="shared" si="429"/>
        <v>0</v>
      </c>
      <c r="CS527" s="61">
        <f t="shared" si="422"/>
        <v>0</v>
      </c>
      <c r="CT527" s="61">
        <f t="shared" si="423"/>
        <v>0</v>
      </c>
      <c r="CV527" s="61">
        <f t="shared" si="408"/>
        <v>0</v>
      </c>
      <c r="CW527" s="61">
        <f t="shared" ref="CW527:CW598" si="433">SUM(AH527)-SUM(BM527)</f>
        <v>0</v>
      </c>
      <c r="CX527" s="61"/>
      <c r="CY527" s="61">
        <f t="shared" si="428"/>
        <v>0</v>
      </c>
      <c r="CZ527" s="61">
        <f t="shared" si="391"/>
        <v>0</v>
      </c>
      <c r="DA527" s="61">
        <f t="shared" si="391"/>
        <v>0</v>
      </c>
      <c r="DB527" s="2" t="s">
        <v>85</v>
      </c>
      <c r="DC527" s="2" t="s">
        <v>86</v>
      </c>
      <c r="DD527" s="2" t="s">
        <v>142</v>
      </c>
      <c r="DE527" s="2" t="s">
        <v>264</v>
      </c>
      <c r="DG527" s="62"/>
      <c r="DZ527" s="3" t="e">
        <v>#N/A</v>
      </c>
      <c r="EC527" s="60"/>
      <c r="ED527" s="60"/>
      <c r="EE527" s="60"/>
      <c r="EF527" s="60"/>
    </row>
    <row r="528" spans="2:140" ht="12.75" hidden="1" customHeight="1">
      <c r="B528" s="99" t="s">
        <v>1011</v>
      </c>
      <c r="C528" s="22" t="s">
        <v>991</v>
      </c>
      <c r="D528" s="22" t="s">
        <v>992</v>
      </c>
      <c r="E528" s="2" t="s">
        <v>993</v>
      </c>
      <c r="F528" s="2" t="s">
        <v>969</v>
      </c>
      <c r="G528" s="2" t="str">
        <f>VLOOKUP($C528,[1]Detail!$C:$AK,5,0)</f>
        <v>B</v>
      </c>
      <c r="J528" s="22" t="s">
        <v>126</v>
      </c>
      <c r="K528" s="23" t="s">
        <v>1012</v>
      </c>
      <c r="L528" s="22" t="s">
        <v>196</v>
      </c>
      <c r="M528" s="51" t="str">
        <f t="shared" si="402"/>
        <v>JD8B-F045L34-AAW</v>
      </c>
      <c r="O528" s="22"/>
      <c r="P528" s="22"/>
      <c r="Q528" s="94">
        <v>1</v>
      </c>
      <c r="R528" s="94">
        <v>1</v>
      </c>
      <c r="S528" s="22"/>
      <c r="T528" s="94">
        <v>1</v>
      </c>
      <c r="U528" s="94">
        <v>1</v>
      </c>
      <c r="V528" s="94">
        <v>1</v>
      </c>
      <c r="W528" s="64">
        <f t="shared" si="403"/>
        <v>0.6100000000000001</v>
      </c>
      <c r="Y528" s="8">
        <v>-24.84</v>
      </c>
      <c r="Z528" s="8">
        <v>0</v>
      </c>
      <c r="AA528" s="8">
        <v>0</v>
      </c>
      <c r="AB528" s="8">
        <v>0</v>
      </c>
      <c r="AC528" s="8">
        <v>0</v>
      </c>
      <c r="AD528" s="8">
        <f t="shared" si="430"/>
        <v>-24.84</v>
      </c>
      <c r="AE528" s="2" t="s">
        <v>84</v>
      </c>
      <c r="AG528" s="8">
        <v>-190000</v>
      </c>
      <c r="AH528" s="8">
        <v>-190000</v>
      </c>
      <c r="AI528" s="6"/>
      <c r="AJ528" s="70">
        <v>0</v>
      </c>
      <c r="AK528" s="70">
        <v>0</v>
      </c>
      <c r="AL528" s="72"/>
      <c r="AM528" s="22"/>
      <c r="AO528" s="22" t="s">
        <v>126</v>
      </c>
      <c r="AP528" s="23" t="s">
        <v>1012</v>
      </c>
      <c r="AQ528" s="22" t="s">
        <v>196</v>
      </c>
      <c r="AR528" s="51" t="str">
        <f t="shared" si="392"/>
        <v>JD8B-F045L34-AAW</v>
      </c>
      <c r="AS528" s="3"/>
      <c r="AT528" s="22"/>
      <c r="AU528" s="22"/>
      <c r="AV528" s="94">
        <v>1</v>
      </c>
      <c r="AW528" s="94">
        <v>1</v>
      </c>
      <c r="AX528" s="22"/>
      <c r="AY528" s="94">
        <v>1</v>
      </c>
      <c r="AZ528" s="94">
        <v>1</v>
      </c>
      <c r="BA528" s="94">
        <v>1</v>
      </c>
      <c r="BB528" s="64">
        <f t="shared" si="393"/>
        <v>0.6100000000000001</v>
      </c>
      <c r="BD528" s="60">
        <v>-24.84</v>
      </c>
      <c r="BE528" s="60">
        <v>0</v>
      </c>
      <c r="BF528" s="95">
        <v>0</v>
      </c>
      <c r="BG528" s="95">
        <v>0</v>
      </c>
      <c r="BH528" s="95">
        <v>0</v>
      </c>
      <c r="BI528" s="8">
        <f t="shared" si="397"/>
        <v>-24.84</v>
      </c>
      <c r="BJ528" s="2" t="s">
        <v>84</v>
      </c>
      <c r="BL528" s="70">
        <v>-190000</v>
      </c>
      <c r="BM528" s="70">
        <v>-190000</v>
      </c>
      <c r="BO528" s="70">
        <v>0</v>
      </c>
      <c r="BP528" s="70">
        <v>0</v>
      </c>
      <c r="BQ528" s="72"/>
      <c r="BS528" s="61">
        <f t="shared" si="424"/>
        <v>0</v>
      </c>
      <c r="BT528" s="61">
        <f t="shared" si="418"/>
        <v>0</v>
      </c>
      <c r="BU528" s="61">
        <f t="shared" si="419"/>
        <v>0</v>
      </c>
      <c r="BV528" s="61">
        <f t="shared" si="420"/>
        <v>0</v>
      </c>
      <c r="BW528" s="61">
        <f t="shared" si="420"/>
        <v>0</v>
      </c>
      <c r="BX528" s="61">
        <f t="shared" si="431"/>
        <v>0</v>
      </c>
      <c r="BY528" s="61" t="s">
        <v>91</v>
      </c>
      <c r="CA528" s="61">
        <f t="shared" si="425"/>
        <v>0</v>
      </c>
      <c r="CB528" s="61">
        <f t="shared" si="425"/>
        <v>0</v>
      </c>
      <c r="CC528" s="61">
        <f t="shared" si="425"/>
        <v>0</v>
      </c>
      <c r="CD528" s="61">
        <f t="shared" si="425"/>
        <v>0</v>
      </c>
      <c r="CE528" s="61">
        <f t="shared" si="425"/>
        <v>0</v>
      </c>
      <c r="CF528" s="61">
        <f t="shared" si="425"/>
        <v>0</v>
      </c>
      <c r="CG528" s="61">
        <f t="shared" si="425"/>
        <v>0</v>
      </c>
      <c r="CH528" s="61">
        <f t="shared" si="425"/>
        <v>0</v>
      </c>
      <c r="CI528" s="61">
        <f t="shared" si="421"/>
        <v>0</v>
      </c>
      <c r="CJ528" s="61"/>
      <c r="CK528" s="61">
        <f t="shared" si="432"/>
        <v>0</v>
      </c>
      <c r="CL528" s="61">
        <f t="shared" si="432"/>
        <v>0</v>
      </c>
      <c r="CM528" s="61">
        <f t="shared" si="432"/>
        <v>0</v>
      </c>
      <c r="CN528" s="61">
        <f t="shared" si="432"/>
        <v>0</v>
      </c>
      <c r="CO528" s="61">
        <f t="shared" si="432"/>
        <v>0</v>
      </c>
      <c r="CP528" s="61">
        <f t="shared" si="432"/>
        <v>0</v>
      </c>
      <c r="CQ528" s="61">
        <f t="shared" si="432"/>
        <v>0</v>
      </c>
      <c r="CR528" s="61">
        <f t="shared" si="429"/>
        <v>0</v>
      </c>
      <c r="CS528" s="61">
        <f t="shared" si="422"/>
        <v>0</v>
      </c>
      <c r="CT528" s="61">
        <f t="shared" si="423"/>
        <v>0</v>
      </c>
      <c r="CV528" s="61">
        <f t="shared" si="408"/>
        <v>0</v>
      </c>
      <c r="CW528" s="61">
        <f t="shared" si="433"/>
        <v>0</v>
      </c>
      <c r="CX528" s="61"/>
      <c r="CY528" s="61">
        <f t="shared" si="428"/>
        <v>0</v>
      </c>
      <c r="CZ528" s="61">
        <f t="shared" si="391"/>
        <v>0</v>
      </c>
      <c r="DA528" s="61">
        <f t="shared" si="391"/>
        <v>0</v>
      </c>
      <c r="DB528" s="2" t="s">
        <v>86</v>
      </c>
      <c r="DC528" s="2" t="s">
        <v>85</v>
      </c>
      <c r="DD528" s="2" t="s">
        <v>142</v>
      </c>
      <c r="DE528" s="2" t="s">
        <v>264</v>
      </c>
      <c r="DG528" s="62"/>
      <c r="DZ528" s="3" t="e">
        <v>#N/A</v>
      </c>
      <c r="EC528" s="60" t="str">
        <f>VLOOKUP($M528,[1]Detail!$M:$BO,1,0)</f>
        <v>JD8B-F045L34-AAW</v>
      </c>
      <c r="ED528" s="60">
        <f>VLOOKUP($M528,[1]Detail!$M:$BO,22,0)</f>
        <v>-24.84</v>
      </c>
      <c r="EE528" s="60">
        <f>VLOOKUP($M528,[1]Detail!$M:$BO,42,0)</f>
        <v>0</v>
      </c>
      <c r="EF528" s="60">
        <f>VLOOKUP($M528,[1]Detail!$M:$BO,45,0)</f>
        <v>0</v>
      </c>
      <c r="EH528" s="60">
        <f>ED528-AD528</f>
        <v>0</v>
      </c>
      <c r="EI528" s="60">
        <f>EE528-AG528</f>
        <v>190000</v>
      </c>
      <c r="EJ528" s="60">
        <f t="shared" ref="EJ528:EJ532" si="434">EF528-AJ528</f>
        <v>0</v>
      </c>
    </row>
    <row r="529" spans="2:140" ht="12.75" hidden="1" customHeight="1">
      <c r="B529" s="99" t="s">
        <v>1011</v>
      </c>
      <c r="C529" s="22" t="s">
        <v>991</v>
      </c>
      <c r="D529" s="22" t="s">
        <v>992</v>
      </c>
      <c r="E529" s="2" t="s">
        <v>993</v>
      </c>
      <c r="F529" s="2" t="s">
        <v>969</v>
      </c>
      <c r="G529" s="2" t="str">
        <f>VLOOKUP($C529,[1]Detail!$C:$AK,5,0)</f>
        <v>B</v>
      </c>
      <c r="J529" s="22" t="s">
        <v>126</v>
      </c>
      <c r="K529" s="23" t="s">
        <v>1012</v>
      </c>
      <c r="L529" s="22" t="s">
        <v>198</v>
      </c>
      <c r="M529" s="51" t="str">
        <f t="shared" si="402"/>
        <v>JD8B-F045L34-BAW</v>
      </c>
      <c r="O529" s="94">
        <v>1</v>
      </c>
      <c r="P529" s="22">
        <v>1</v>
      </c>
      <c r="Q529" s="22"/>
      <c r="R529" s="22"/>
      <c r="S529" s="22"/>
      <c r="T529" s="22"/>
      <c r="U529" s="22"/>
      <c r="V529" s="22"/>
      <c r="W529" s="64">
        <f t="shared" si="403"/>
        <v>0.30000000000000004</v>
      </c>
      <c r="Y529" s="8">
        <v>-16.920000000000002</v>
      </c>
      <c r="Z529" s="8">
        <v>0</v>
      </c>
      <c r="AA529" s="8">
        <v>0</v>
      </c>
      <c r="AB529" s="8">
        <v>0</v>
      </c>
      <c r="AC529" s="8">
        <v>0</v>
      </c>
      <c r="AD529" s="8">
        <f t="shared" si="430"/>
        <v>-16.920000000000002</v>
      </c>
      <c r="AE529" s="2" t="s">
        <v>84</v>
      </c>
      <c r="AG529" s="8">
        <v>0</v>
      </c>
      <c r="AH529" s="8">
        <v>0</v>
      </c>
      <c r="AJ529" s="70">
        <v>0</v>
      </c>
      <c r="AK529" s="70">
        <v>0</v>
      </c>
      <c r="AL529" s="72"/>
      <c r="AM529" s="22"/>
      <c r="AO529" s="22" t="s">
        <v>126</v>
      </c>
      <c r="AP529" s="23" t="s">
        <v>1012</v>
      </c>
      <c r="AQ529" s="22" t="s">
        <v>196</v>
      </c>
      <c r="AR529" s="51" t="str">
        <f t="shared" si="392"/>
        <v>JD8B-F045L34-AAW</v>
      </c>
      <c r="AS529" s="3"/>
      <c r="AT529" s="94">
        <v>1</v>
      </c>
      <c r="AU529" s="22">
        <v>1</v>
      </c>
      <c r="AV529" s="22"/>
      <c r="AW529" s="22"/>
      <c r="AX529" s="22"/>
      <c r="AY529" s="22"/>
      <c r="AZ529" s="22"/>
      <c r="BA529" s="22"/>
      <c r="BB529" s="64">
        <f t="shared" si="393"/>
        <v>0.30000000000000004</v>
      </c>
      <c r="BD529" s="60">
        <v>-24.84</v>
      </c>
      <c r="BE529" s="60">
        <v>0</v>
      </c>
      <c r="BF529" s="95">
        <v>0</v>
      </c>
      <c r="BG529" s="95">
        <v>0</v>
      </c>
      <c r="BH529" s="95">
        <v>0</v>
      </c>
      <c r="BI529" s="8">
        <f t="shared" si="397"/>
        <v>-24.84</v>
      </c>
      <c r="BJ529" s="2" t="s">
        <v>84</v>
      </c>
      <c r="BL529" s="70">
        <v>0</v>
      </c>
      <c r="BM529" s="70">
        <v>0</v>
      </c>
      <c r="BO529" s="70">
        <v>0</v>
      </c>
      <c r="BP529" s="70">
        <v>0</v>
      </c>
      <c r="BQ529" s="72"/>
      <c r="BS529" s="61">
        <f t="shared" si="424"/>
        <v>7.9199999999999982</v>
      </c>
      <c r="BT529" s="61">
        <f t="shared" si="418"/>
        <v>0</v>
      </c>
      <c r="BU529" s="61">
        <f t="shared" si="419"/>
        <v>0</v>
      </c>
      <c r="BV529" s="61">
        <f t="shared" si="420"/>
        <v>0</v>
      </c>
      <c r="BW529" s="61">
        <f t="shared" si="420"/>
        <v>0</v>
      </c>
      <c r="BX529" s="61">
        <f t="shared" si="431"/>
        <v>7.9199999999999982</v>
      </c>
      <c r="BY529" s="61" t="s">
        <v>91</v>
      </c>
      <c r="CA529" s="61">
        <f t="shared" si="425"/>
        <v>1.1915149691590188</v>
      </c>
      <c r="CB529" s="61">
        <f t="shared" si="425"/>
        <v>1.1915149691590188</v>
      </c>
      <c r="CC529" s="61">
        <f t="shared" si="425"/>
        <v>0</v>
      </c>
      <c r="CD529" s="61">
        <f t="shared" si="425"/>
        <v>0</v>
      </c>
      <c r="CE529" s="61">
        <f t="shared" si="425"/>
        <v>0</v>
      </c>
      <c r="CF529" s="61">
        <f t="shared" si="425"/>
        <v>0</v>
      </c>
      <c r="CG529" s="61">
        <f t="shared" si="425"/>
        <v>0</v>
      </c>
      <c r="CH529" s="61">
        <f t="shared" si="425"/>
        <v>0</v>
      </c>
      <c r="CI529" s="61">
        <f t="shared" si="421"/>
        <v>0.35745449074770563</v>
      </c>
      <c r="CJ529" s="61"/>
      <c r="CK529" s="61">
        <f t="shared" si="432"/>
        <v>1.1915149691590188</v>
      </c>
      <c r="CL529" s="61">
        <f t="shared" si="432"/>
        <v>1.1915149691590188</v>
      </c>
      <c r="CM529" s="61">
        <f t="shared" si="432"/>
        <v>0</v>
      </c>
      <c r="CN529" s="61">
        <f t="shared" si="432"/>
        <v>0</v>
      </c>
      <c r="CO529" s="61">
        <f t="shared" si="432"/>
        <v>0</v>
      </c>
      <c r="CP529" s="61">
        <f t="shared" si="432"/>
        <v>0</v>
      </c>
      <c r="CQ529" s="61">
        <f t="shared" si="432"/>
        <v>0</v>
      </c>
      <c r="CR529" s="61">
        <f t="shared" si="429"/>
        <v>0</v>
      </c>
      <c r="CS529" s="61">
        <f t="shared" si="422"/>
        <v>0.35745449074770563</v>
      </c>
      <c r="CT529" s="61">
        <f t="shared" si="423"/>
        <v>2.3759999999999994</v>
      </c>
      <c r="CV529" s="61">
        <f t="shared" si="408"/>
        <v>0</v>
      </c>
      <c r="CW529" s="61">
        <f t="shared" si="433"/>
        <v>0</v>
      </c>
      <c r="CX529" s="61"/>
      <c r="CY529" s="61">
        <f t="shared" si="428"/>
        <v>0</v>
      </c>
      <c r="CZ529" s="61">
        <f t="shared" si="391"/>
        <v>0</v>
      </c>
      <c r="DA529" s="61">
        <f t="shared" si="391"/>
        <v>0</v>
      </c>
      <c r="DB529" s="2" t="s">
        <v>86</v>
      </c>
      <c r="DC529" s="2" t="s">
        <v>85</v>
      </c>
      <c r="DD529" s="2" t="s">
        <v>142</v>
      </c>
      <c r="DE529" s="2" t="s">
        <v>264</v>
      </c>
      <c r="DG529" s="62"/>
      <c r="DZ529" s="3" t="e">
        <v>#N/A</v>
      </c>
      <c r="EC529" s="60" t="str">
        <f>VLOOKUP($M529,[1]Detail!$M:$BO,1,0)</f>
        <v>JD8B-F045L34-BAW</v>
      </c>
      <c r="ED529" s="60">
        <f>VLOOKUP($M529,[1]Detail!$M:$BO,22,0)</f>
        <v>-16.920000000000002</v>
      </c>
      <c r="EE529" s="60">
        <f>VLOOKUP($M529,[1]Detail!$M:$BO,42,0)</f>
        <v>0</v>
      </c>
      <c r="EF529" s="60">
        <f>VLOOKUP($M529,[1]Detail!$M:$BO,45,0)</f>
        <v>0</v>
      </c>
      <c r="EH529" s="60">
        <f>ED529-AD529</f>
        <v>0</v>
      </c>
      <c r="EI529" s="60">
        <f>EE529-AG529</f>
        <v>0</v>
      </c>
      <c r="EJ529" s="60">
        <f t="shared" si="434"/>
        <v>0</v>
      </c>
    </row>
    <row r="530" spans="2:140" ht="12.75" hidden="1" customHeight="1">
      <c r="B530" s="99" t="s">
        <v>1013</v>
      </c>
      <c r="C530" s="22" t="s">
        <v>1014</v>
      </c>
      <c r="D530" s="120" t="s">
        <v>1015</v>
      </c>
      <c r="E530" s="2" t="s">
        <v>523</v>
      </c>
      <c r="F530" s="2" t="s">
        <v>348</v>
      </c>
      <c r="G530" s="2" t="s">
        <v>994</v>
      </c>
      <c r="J530" s="22" t="s">
        <v>1016</v>
      </c>
      <c r="K530" s="23" t="s">
        <v>1017</v>
      </c>
      <c r="L530" s="22" t="s">
        <v>162</v>
      </c>
      <c r="M530" s="51" t="str">
        <f t="shared" si="402"/>
        <v>GN11-9N454-AD</v>
      </c>
      <c r="O530" s="22">
        <v>1</v>
      </c>
      <c r="P530" s="22">
        <v>1</v>
      </c>
      <c r="Q530" s="94">
        <v>1</v>
      </c>
      <c r="R530" s="22">
        <v>1</v>
      </c>
      <c r="S530" s="22"/>
      <c r="T530" s="22"/>
      <c r="U530" s="22">
        <v>1</v>
      </c>
      <c r="V530" s="22">
        <v>1</v>
      </c>
      <c r="W530" s="64">
        <f t="shared" si="403"/>
        <v>0.77000000000000013</v>
      </c>
      <c r="Y530" s="8">
        <v>-27.75</v>
      </c>
      <c r="Z530" s="8">
        <v>-0.91</v>
      </c>
      <c r="AA530" s="8">
        <v>-1.18</v>
      </c>
      <c r="AB530" s="8">
        <v>0</v>
      </c>
      <c r="AC530" s="8">
        <v>0</v>
      </c>
      <c r="AD530" s="8">
        <f t="shared" si="430"/>
        <v>-29.84</v>
      </c>
      <c r="AE530" s="2" t="s">
        <v>84</v>
      </c>
      <c r="AG530" s="8">
        <v>0</v>
      </c>
      <c r="AH530" s="8">
        <v>0</v>
      </c>
      <c r="AJ530" s="70">
        <v>0</v>
      </c>
      <c r="AK530" s="70">
        <v>0</v>
      </c>
      <c r="AL530" s="72"/>
      <c r="AM530" s="22"/>
      <c r="AO530" s="22" t="s">
        <v>1016</v>
      </c>
      <c r="AP530" s="23" t="s">
        <v>1017</v>
      </c>
      <c r="AQ530" s="22" t="s">
        <v>162</v>
      </c>
      <c r="AR530" s="51" t="str">
        <f t="shared" si="392"/>
        <v>GN11-9N454-AD</v>
      </c>
      <c r="AS530" s="3"/>
      <c r="AT530" s="22">
        <v>1</v>
      </c>
      <c r="AU530" s="22">
        <v>1</v>
      </c>
      <c r="AV530" s="94">
        <v>1</v>
      </c>
      <c r="AW530" s="22">
        <v>1</v>
      </c>
      <c r="AX530" s="22"/>
      <c r="AY530" s="22"/>
      <c r="AZ530" s="22">
        <v>1</v>
      </c>
      <c r="BA530" s="22">
        <v>1</v>
      </c>
      <c r="BB530" s="64">
        <f t="shared" si="393"/>
        <v>0.77000000000000013</v>
      </c>
      <c r="BD530" s="60">
        <v>-27.75</v>
      </c>
      <c r="BE530" s="60">
        <v>-0.91</v>
      </c>
      <c r="BF530" s="95">
        <v>-1.18</v>
      </c>
      <c r="BG530" s="95">
        <v>0</v>
      </c>
      <c r="BH530" s="95">
        <v>0</v>
      </c>
      <c r="BI530" s="8">
        <f t="shared" si="397"/>
        <v>-29.84</v>
      </c>
      <c r="BJ530" s="2" t="s">
        <v>84</v>
      </c>
      <c r="BL530" s="70">
        <v>0</v>
      </c>
      <c r="BM530" s="70">
        <v>0</v>
      </c>
      <c r="BO530" s="70">
        <v>0</v>
      </c>
      <c r="BP530" s="70">
        <v>0</v>
      </c>
      <c r="BQ530" s="72"/>
      <c r="BS530" s="61">
        <f t="shared" si="424"/>
        <v>0</v>
      </c>
      <c r="BT530" s="61">
        <f t="shared" si="418"/>
        <v>0</v>
      </c>
      <c r="BU530" s="61">
        <f t="shared" si="419"/>
        <v>0</v>
      </c>
      <c r="BV530" s="61">
        <f t="shared" si="420"/>
        <v>0</v>
      </c>
      <c r="BW530" s="61">
        <f t="shared" si="420"/>
        <v>0</v>
      </c>
      <c r="BX530" s="61">
        <f t="shared" si="431"/>
        <v>0</v>
      </c>
      <c r="BY530" s="61" t="s">
        <v>91</v>
      </c>
      <c r="CA530" s="61">
        <f t="shared" si="425"/>
        <v>0</v>
      </c>
      <c r="CB530" s="61">
        <f t="shared" si="425"/>
        <v>0</v>
      </c>
      <c r="CC530" s="61">
        <f t="shared" si="425"/>
        <v>0</v>
      </c>
      <c r="CD530" s="61">
        <f t="shared" si="425"/>
        <v>0</v>
      </c>
      <c r="CE530" s="61">
        <f t="shared" si="425"/>
        <v>0</v>
      </c>
      <c r="CF530" s="61">
        <f t="shared" si="425"/>
        <v>0</v>
      </c>
      <c r="CG530" s="61">
        <f t="shared" si="425"/>
        <v>0</v>
      </c>
      <c r="CH530" s="61">
        <f t="shared" si="425"/>
        <v>0</v>
      </c>
      <c r="CI530" s="61">
        <f t="shared" si="421"/>
        <v>0</v>
      </c>
      <c r="CJ530" s="61"/>
      <c r="CK530" s="61">
        <f t="shared" si="432"/>
        <v>0</v>
      </c>
      <c r="CL530" s="61">
        <f t="shared" si="432"/>
        <v>0</v>
      </c>
      <c r="CM530" s="61">
        <f t="shared" si="432"/>
        <v>0</v>
      </c>
      <c r="CN530" s="61">
        <f t="shared" si="432"/>
        <v>0</v>
      </c>
      <c r="CO530" s="61">
        <f t="shared" si="432"/>
        <v>0</v>
      </c>
      <c r="CP530" s="61">
        <f t="shared" si="432"/>
        <v>0</v>
      </c>
      <c r="CQ530" s="61">
        <f t="shared" si="432"/>
        <v>0</v>
      </c>
      <c r="CR530" s="61">
        <f t="shared" si="429"/>
        <v>0</v>
      </c>
      <c r="CS530" s="61">
        <f t="shared" si="422"/>
        <v>0</v>
      </c>
      <c r="CT530" s="61">
        <f t="shared" si="423"/>
        <v>0</v>
      </c>
      <c r="CV530" s="61">
        <f t="shared" si="408"/>
        <v>0</v>
      </c>
      <c r="CW530" s="61">
        <f t="shared" si="433"/>
        <v>0</v>
      </c>
      <c r="CX530" s="61"/>
      <c r="CY530" s="61">
        <f t="shared" si="428"/>
        <v>0</v>
      </c>
      <c r="CZ530" s="61">
        <f t="shared" si="391"/>
        <v>0</v>
      </c>
      <c r="DA530" s="61">
        <f t="shared" si="391"/>
        <v>0</v>
      </c>
      <c r="DB530" s="2" t="s">
        <v>85</v>
      </c>
      <c r="DC530" s="2" t="s">
        <v>86</v>
      </c>
      <c r="DD530" s="2" t="s">
        <v>142</v>
      </c>
      <c r="DE530" s="2" t="s">
        <v>264</v>
      </c>
      <c r="DG530" s="62"/>
      <c r="DZ530" s="3" t="e">
        <v>#N/A</v>
      </c>
      <c r="EC530" s="60"/>
      <c r="ED530" s="60"/>
      <c r="EE530" s="60"/>
      <c r="EF530" s="60"/>
      <c r="EH530" s="60"/>
      <c r="EI530" s="60"/>
      <c r="EJ530" s="60"/>
    </row>
    <row r="531" spans="2:140" ht="12.75" hidden="1" customHeight="1">
      <c r="B531" s="99" t="s">
        <v>1018</v>
      </c>
      <c r="C531" s="22" t="s">
        <v>1014</v>
      </c>
      <c r="D531" s="120" t="s">
        <v>1015</v>
      </c>
      <c r="E531" s="2" t="s">
        <v>523</v>
      </c>
      <c r="F531" s="2" t="s">
        <v>348</v>
      </c>
      <c r="G531" s="2" t="s">
        <v>994</v>
      </c>
      <c r="J531" s="22" t="s">
        <v>1016</v>
      </c>
      <c r="K531" s="23" t="s">
        <v>1017</v>
      </c>
      <c r="L531" s="22" t="s">
        <v>162</v>
      </c>
      <c r="M531" s="51" t="str">
        <f t="shared" si="402"/>
        <v>GN11-9N454-AD</v>
      </c>
      <c r="O531" s="22">
        <v>1</v>
      </c>
      <c r="P531" s="22">
        <v>1</v>
      </c>
      <c r="Q531" s="94">
        <v>1</v>
      </c>
      <c r="R531" s="22">
        <v>1</v>
      </c>
      <c r="S531" s="22"/>
      <c r="T531" s="22"/>
      <c r="U531" s="22">
        <v>1</v>
      </c>
      <c r="V531" s="22">
        <v>1</v>
      </c>
      <c r="W531" s="64">
        <f t="shared" si="403"/>
        <v>0.77000000000000013</v>
      </c>
      <c r="Y531" s="8">
        <f>-27.75+1.18</f>
        <v>-26.57</v>
      </c>
      <c r="Z531" s="8">
        <v>-0.91</v>
      </c>
      <c r="AA531" s="8">
        <v>-1.18</v>
      </c>
      <c r="AB531" s="8">
        <v>0</v>
      </c>
      <c r="AC531" s="8">
        <v>0</v>
      </c>
      <c r="AD531" s="8">
        <f t="shared" si="430"/>
        <v>-28.66</v>
      </c>
      <c r="AE531" s="2" t="s">
        <v>84</v>
      </c>
      <c r="AG531" s="8">
        <v>0</v>
      </c>
      <c r="AH531" s="8">
        <v>0</v>
      </c>
      <c r="AJ531" s="70">
        <v>0</v>
      </c>
      <c r="AK531" s="70">
        <v>0</v>
      </c>
      <c r="AL531" s="72"/>
      <c r="AM531" s="22"/>
      <c r="AO531" s="22" t="s">
        <v>1016</v>
      </c>
      <c r="AP531" s="23" t="s">
        <v>1017</v>
      </c>
      <c r="AQ531" s="22" t="s">
        <v>162</v>
      </c>
      <c r="AR531" s="51" t="str">
        <f t="shared" si="392"/>
        <v>GN11-9N454-AD</v>
      </c>
      <c r="AS531" s="3"/>
      <c r="AT531" s="22">
        <v>1</v>
      </c>
      <c r="AU531" s="22">
        <v>1</v>
      </c>
      <c r="AV531" s="94">
        <v>1</v>
      </c>
      <c r="AW531" s="22">
        <v>1</v>
      </c>
      <c r="AX531" s="22"/>
      <c r="AY531" s="22"/>
      <c r="AZ531" s="22">
        <v>1</v>
      </c>
      <c r="BA531" s="22">
        <v>1</v>
      </c>
      <c r="BB531" s="64">
        <f t="shared" si="393"/>
        <v>0.77000000000000013</v>
      </c>
      <c r="BD531" s="60">
        <v>-27.75</v>
      </c>
      <c r="BE531" s="60">
        <v>-0.91</v>
      </c>
      <c r="BF531" s="95">
        <v>-1.18</v>
      </c>
      <c r="BG531" s="95">
        <v>0</v>
      </c>
      <c r="BH531" s="95">
        <v>0</v>
      </c>
      <c r="BI531" s="8">
        <f t="shared" si="397"/>
        <v>-29.84</v>
      </c>
      <c r="BJ531" s="2" t="s">
        <v>84</v>
      </c>
      <c r="BL531" s="70">
        <v>0</v>
      </c>
      <c r="BM531" s="70">
        <v>0</v>
      </c>
      <c r="BO531" s="70">
        <v>0</v>
      </c>
      <c r="BP531" s="70">
        <v>0</v>
      </c>
      <c r="BQ531" s="72"/>
      <c r="BS531" s="61">
        <f t="shared" si="424"/>
        <v>1.1799999999999997</v>
      </c>
      <c r="BT531" s="61">
        <f t="shared" si="418"/>
        <v>0</v>
      </c>
      <c r="BU531" s="61">
        <f t="shared" si="419"/>
        <v>0</v>
      </c>
      <c r="BV531" s="61">
        <f t="shared" si="420"/>
        <v>0</v>
      </c>
      <c r="BW531" s="61">
        <f t="shared" si="420"/>
        <v>0</v>
      </c>
      <c r="BX531" s="61">
        <f t="shared" si="431"/>
        <v>1.1799999999999997</v>
      </c>
      <c r="BY531" s="61" t="s">
        <v>91</v>
      </c>
      <c r="CA531" s="61">
        <f t="shared" si="425"/>
        <v>0.17752369489995481</v>
      </c>
      <c r="CB531" s="61">
        <f t="shared" si="425"/>
        <v>0.17752369489995481</v>
      </c>
      <c r="CC531" s="61">
        <f t="shared" si="425"/>
        <v>0.17752369489995481</v>
      </c>
      <c r="CD531" s="61">
        <f t="shared" si="425"/>
        <v>0.17752369489995481</v>
      </c>
      <c r="CE531" s="61">
        <f t="shared" si="425"/>
        <v>0</v>
      </c>
      <c r="CF531" s="61">
        <f t="shared" si="425"/>
        <v>0</v>
      </c>
      <c r="CG531" s="61">
        <f t="shared" si="425"/>
        <v>0.17752369489995481</v>
      </c>
      <c r="CH531" s="61">
        <f t="shared" si="425"/>
        <v>0.17752369489995481</v>
      </c>
      <c r="CI531" s="61">
        <f t="shared" si="421"/>
        <v>0.13669324507296521</v>
      </c>
      <c r="CJ531" s="61"/>
      <c r="CK531" s="61">
        <f t="shared" si="432"/>
        <v>0.17752369489995481</v>
      </c>
      <c r="CL531" s="61">
        <f t="shared" si="432"/>
        <v>0.17752369489995481</v>
      </c>
      <c r="CM531" s="61">
        <f t="shared" si="432"/>
        <v>0.17752369489995481</v>
      </c>
      <c r="CN531" s="61">
        <f t="shared" si="432"/>
        <v>0.17752369489995481</v>
      </c>
      <c r="CO531" s="61">
        <f t="shared" si="432"/>
        <v>0</v>
      </c>
      <c r="CP531" s="61">
        <f t="shared" si="432"/>
        <v>0</v>
      </c>
      <c r="CQ531" s="61">
        <f t="shared" si="432"/>
        <v>0.17752369489995481</v>
      </c>
      <c r="CR531" s="61">
        <f t="shared" si="429"/>
        <v>0.17752369489995481</v>
      </c>
      <c r="CS531" s="61">
        <f t="shared" si="422"/>
        <v>0.13669324507296521</v>
      </c>
      <c r="CT531" s="61">
        <f t="shared" si="423"/>
        <v>0.90859999999999974</v>
      </c>
      <c r="CV531" s="61">
        <f t="shared" si="408"/>
        <v>0</v>
      </c>
      <c r="CW531" s="61">
        <f t="shared" si="433"/>
        <v>0</v>
      </c>
      <c r="CX531" s="61"/>
      <c r="CY531" s="61">
        <f t="shared" si="428"/>
        <v>0</v>
      </c>
      <c r="CZ531" s="61">
        <f t="shared" si="391"/>
        <v>0</v>
      </c>
      <c r="DA531" s="61">
        <f t="shared" si="391"/>
        <v>0</v>
      </c>
      <c r="DB531" s="2" t="s">
        <v>85</v>
      </c>
      <c r="DC531" s="2" t="s">
        <v>86</v>
      </c>
      <c r="DD531" s="2" t="s">
        <v>142</v>
      </c>
      <c r="DE531" s="2" t="s">
        <v>264</v>
      </c>
      <c r="DG531" s="62"/>
      <c r="DZ531" s="3" t="e">
        <v>#N/A</v>
      </c>
      <c r="EC531" s="60"/>
      <c r="ED531" s="60"/>
      <c r="EE531" s="60"/>
      <c r="EF531" s="60"/>
      <c r="EH531" s="60"/>
      <c r="EI531" s="60"/>
      <c r="EJ531" s="60"/>
    </row>
    <row r="532" spans="2:140" ht="12.75" hidden="1" customHeight="1">
      <c r="B532" s="99" t="s">
        <v>1019</v>
      </c>
      <c r="C532" s="22" t="s">
        <v>1014</v>
      </c>
      <c r="D532" s="120" t="s">
        <v>1015</v>
      </c>
      <c r="E532" s="2" t="s">
        <v>523</v>
      </c>
      <c r="F532" s="2" t="s">
        <v>348</v>
      </c>
      <c r="G532" s="2" t="s">
        <v>994</v>
      </c>
      <c r="J532" s="22" t="s">
        <v>1016</v>
      </c>
      <c r="K532" s="23" t="s">
        <v>1017</v>
      </c>
      <c r="L532" s="22" t="s">
        <v>113</v>
      </c>
      <c r="M532" s="51" t="str">
        <f t="shared" si="402"/>
        <v>GN11-9N454-CA</v>
      </c>
      <c r="O532" s="22">
        <v>1</v>
      </c>
      <c r="P532" s="22">
        <v>1</v>
      </c>
      <c r="Q532" s="94">
        <v>1</v>
      </c>
      <c r="R532" s="22">
        <v>1</v>
      </c>
      <c r="S532" s="22"/>
      <c r="T532" s="22"/>
      <c r="U532" s="22">
        <v>1</v>
      </c>
      <c r="V532" s="22">
        <v>1</v>
      </c>
      <c r="W532" s="64">
        <f t="shared" si="403"/>
        <v>0.77000000000000013</v>
      </c>
      <c r="Y532" s="8">
        <f>-27.75+1.18-13</f>
        <v>-39.57</v>
      </c>
      <c r="Z532" s="8">
        <v>-0.91</v>
      </c>
      <c r="AA532" s="8">
        <v>-1.18</v>
      </c>
      <c r="AB532" s="8">
        <v>0</v>
      </c>
      <c r="AC532" s="8">
        <v>0</v>
      </c>
      <c r="AD532" s="8">
        <f t="shared" si="430"/>
        <v>-41.66</v>
      </c>
      <c r="AE532" s="2" t="s">
        <v>84</v>
      </c>
      <c r="AG532" s="8">
        <v>0</v>
      </c>
      <c r="AH532" s="8">
        <v>0</v>
      </c>
      <c r="AJ532" s="70">
        <v>0</v>
      </c>
      <c r="AK532" s="70">
        <v>0</v>
      </c>
      <c r="AL532" s="72"/>
      <c r="AM532" s="22"/>
      <c r="AO532" s="22" t="s">
        <v>1016</v>
      </c>
      <c r="AP532" s="23" t="s">
        <v>1017</v>
      </c>
      <c r="AQ532" s="22" t="s">
        <v>162</v>
      </c>
      <c r="AR532" s="51" t="str">
        <f t="shared" si="392"/>
        <v>GN11-9N454-AD</v>
      </c>
      <c r="AS532" s="3"/>
      <c r="AT532" s="22">
        <v>1</v>
      </c>
      <c r="AU532" s="22">
        <v>1</v>
      </c>
      <c r="AV532" s="94">
        <v>1</v>
      </c>
      <c r="AW532" s="22">
        <v>1</v>
      </c>
      <c r="AX532" s="22"/>
      <c r="AY532" s="22"/>
      <c r="AZ532" s="22">
        <v>1</v>
      </c>
      <c r="BA532" s="22">
        <v>1</v>
      </c>
      <c r="BB532" s="64">
        <f t="shared" si="393"/>
        <v>0.77000000000000013</v>
      </c>
      <c r="BD532" s="8">
        <f>-27.75+1.18</f>
        <v>-26.57</v>
      </c>
      <c r="BE532" s="8">
        <v>-0.91</v>
      </c>
      <c r="BF532" s="8">
        <v>-1.18</v>
      </c>
      <c r="BG532" s="8">
        <v>0</v>
      </c>
      <c r="BH532" s="8">
        <v>0</v>
      </c>
      <c r="BI532" s="8">
        <f t="shared" ref="BI532" si="435">SUM(BD532:BH532)</f>
        <v>-28.66</v>
      </c>
      <c r="BJ532" s="2" t="s">
        <v>84</v>
      </c>
      <c r="BL532" s="70">
        <v>0</v>
      </c>
      <c r="BM532" s="70">
        <v>0</v>
      </c>
      <c r="BO532" s="70">
        <v>0</v>
      </c>
      <c r="BP532" s="70">
        <v>0</v>
      </c>
      <c r="BQ532" s="72"/>
      <c r="BS532" s="61">
        <f t="shared" si="424"/>
        <v>-13</v>
      </c>
      <c r="BT532" s="61">
        <f t="shared" si="418"/>
        <v>0</v>
      </c>
      <c r="BU532" s="61">
        <f t="shared" si="419"/>
        <v>0</v>
      </c>
      <c r="BV532" s="61">
        <f t="shared" si="420"/>
        <v>0</v>
      </c>
      <c r="BW532" s="61">
        <f t="shared" si="420"/>
        <v>0</v>
      </c>
      <c r="BX532" s="61">
        <f t="shared" si="431"/>
        <v>-12.999999999999996</v>
      </c>
      <c r="BY532" s="61" t="s">
        <v>91</v>
      </c>
      <c r="CA532" s="61">
        <f t="shared" si="425"/>
        <v>-1.9557695200842484</v>
      </c>
      <c r="CB532" s="61">
        <f t="shared" si="425"/>
        <v>-1.9557695200842484</v>
      </c>
      <c r="CC532" s="61">
        <f t="shared" si="425"/>
        <v>-1.9557695200842484</v>
      </c>
      <c r="CD532" s="61">
        <f t="shared" si="425"/>
        <v>-1.9557695200842484</v>
      </c>
      <c r="CE532" s="61">
        <f t="shared" si="425"/>
        <v>0</v>
      </c>
      <c r="CF532" s="61">
        <f t="shared" si="425"/>
        <v>0</v>
      </c>
      <c r="CG532" s="61">
        <f t="shared" si="425"/>
        <v>-1.9557695200842484</v>
      </c>
      <c r="CH532" s="61">
        <f t="shared" si="425"/>
        <v>-1.9557695200842484</v>
      </c>
      <c r="CI532" s="61">
        <f t="shared" si="421"/>
        <v>-1.5059425304648717</v>
      </c>
      <c r="CJ532" s="61"/>
      <c r="CK532" s="61">
        <f t="shared" si="432"/>
        <v>-1.955769520084248</v>
      </c>
      <c r="CL532" s="61">
        <f t="shared" si="432"/>
        <v>-1.955769520084248</v>
      </c>
      <c r="CM532" s="61">
        <f t="shared" si="432"/>
        <v>-1.955769520084248</v>
      </c>
      <c r="CN532" s="61">
        <f t="shared" si="432"/>
        <v>-1.955769520084248</v>
      </c>
      <c r="CO532" s="61">
        <f t="shared" si="432"/>
        <v>0</v>
      </c>
      <c r="CP532" s="61">
        <f t="shared" si="432"/>
        <v>0</v>
      </c>
      <c r="CQ532" s="61">
        <f t="shared" si="432"/>
        <v>-1.955769520084248</v>
      </c>
      <c r="CR532" s="61">
        <f t="shared" si="429"/>
        <v>-1.955769520084248</v>
      </c>
      <c r="CS532" s="61">
        <f t="shared" si="422"/>
        <v>-1.5059425304648713</v>
      </c>
      <c r="CT532" s="61">
        <f t="shared" si="423"/>
        <v>-10.01</v>
      </c>
      <c r="CV532" s="61">
        <f t="shared" si="408"/>
        <v>0</v>
      </c>
      <c r="CW532" s="61">
        <f t="shared" ref="CW532" si="436">SUM(AH532)-SUM(BM532)</f>
        <v>0</v>
      </c>
      <c r="CX532" s="61"/>
      <c r="CY532" s="61">
        <f t="shared" ref="CY532" si="437">SUM(AJ532)-SUM(BO532)</f>
        <v>0</v>
      </c>
      <c r="CZ532" s="61">
        <f t="shared" si="391"/>
        <v>0</v>
      </c>
      <c r="DA532" s="61">
        <f t="shared" si="391"/>
        <v>0</v>
      </c>
      <c r="DB532" s="2" t="s">
        <v>86</v>
      </c>
      <c r="DC532" s="2" t="s">
        <v>86</v>
      </c>
      <c r="DD532" s="2" t="s">
        <v>142</v>
      </c>
      <c r="DE532" s="2" t="s">
        <v>264</v>
      </c>
      <c r="DG532" s="62"/>
      <c r="DZ532" s="3" t="e">
        <v>#N/A</v>
      </c>
      <c r="EC532" s="60" t="str">
        <f>VLOOKUP($M532,[1]Detail!$M:$BO,1,0)</f>
        <v>GN11-9N454-CA</v>
      </c>
      <c r="ED532" s="60">
        <f>VLOOKUP($M532,[1]Detail!$M:$BO,22,0)</f>
        <v>-41.66</v>
      </c>
      <c r="EE532" s="60">
        <f>VLOOKUP($M532,[1]Detail!$M:$BO,42,0)</f>
        <v>0</v>
      </c>
      <c r="EF532" s="60">
        <f>VLOOKUP($M532,[1]Detail!$M:$BO,45,0)</f>
        <v>0</v>
      </c>
      <c r="EH532" s="60">
        <f>ED532-AD532</f>
        <v>0</v>
      </c>
      <c r="EI532" s="60">
        <f>EE532-AG532</f>
        <v>0</v>
      </c>
      <c r="EJ532" s="60">
        <f t="shared" si="434"/>
        <v>0</v>
      </c>
    </row>
    <row r="533" spans="2:140" ht="12.75" hidden="1" customHeight="1">
      <c r="B533" s="99" t="s">
        <v>1020</v>
      </c>
      <c r="C533" s="22" t="s">
        <v>966</v>
      </c>
      <c r="D533" s="2" t="s">
        <v>967</v>
      </c>
      <c r="E533" s="2" t="s">
        <v>968</v>
      </c>
      <c r="F533" s="2" t="s">
        <v>969</v>
      </c>
      <c r="G533" s="2" t="s">
        <v>994</v>
      </c>
      <c r="J533" s="22" t="s">
        <v>138</v>
      </c>
      <c r="K533" s="23">
        <v>20562</v>
      </c>
      <c r="L533" s="22" t="s">
        <v>180</v>
      </c>
      <c r="M533" s="51" t="str">
        <f t="shared" si="402"/>
        <v>JD8B-20562-AA</v>
      </c>
      <c r="O533" s="94">
        <v>1</v>
      </c>
      <c r="P533" s="22">
        <v>1</v>
      </c>
      <c r="Q533" s="22"/>
      <c r="R533" s="22"/>
      <c r="S533" s="22"/>
      <c r="T533" s="22"/>
      <c r="U533" s="22"/>
      <c r="V533" s="22"/>
      <c r="W533" s="64">
        <f t="shared" si="403"/>
        <v>0.30000000000000004</v>
      </c>
      <c r="Y533" s="8">
        <v>-24.89</v>
      </c>
      <c r="Z533" s="8">
        <v>0</v>
      </c>
      <c r="AA533" s="8">
        <v>-0.26</v>
      </c>
      <c r="AB533" s="8">
        <v>-0.24</v>
      </c>
      <c r="AC533" s="8">
        <v>-0.79</v>
      </c>
      <c r="AD533" s="8">
        <f t="shared" si="430"/>
        <v>-26.18</v>
      </c>
      <c r="AE533" s="2" t="s">
        <v>84</v>
      </c>
      <c r="AG533" s="8">
        <v>-101375</v>
      </c>
      <c r="AH533" s="8">
        <v>-101375</v>
      </c>
      <c r="AI533" s="6"/>
      <c r="AJ533" s="70">
        <v>-310378</v>
      </c>
      <c r="AK533" s="70">
        <v>390931.32</v>
      </c>
      <c r="AL533" s="121"/>
      <c r="AM533" s="22"/>
      <c r="AO533" s="22" t="s">
        <v>204</v>
      </c>
      <c r="AP533" s="23">
        <v>20562</v>
      </c>
      <c r="AQ533" s="22" t="s">
        <v>1021</v>
      </c>
      <c r="AR533" s="51" t="str">
        <f t="shared" si="392"/>
        <v>ED8B-20562-AJ</v>
      </c>
      <c r="AS533" s="3"/>
      <c r="AT533" s="22">
        <v>1</v>
      </c>
      <c r="AU533" s="22">
        <v>1</v>
      </c>
      <c r="AV533" s="22"/>
      <c r="AW533" s="22"/>
      <c r="AX533" s="22"/>
      <c r="AY533" s="22"/>
      <c r="AZ533" s="22"/>
      <c r="BA533" s="22"/>
      <c r="BB533" s="64">
        <f t="shared" si="393"/>
        <v>0.30000000000000004</v>
      </c>
      <c r="BD533" s="60">
        <v>-24.89</v>
      </c>
      <c r="BE533" s="60">
        <v>0</v>
      </c>
      <c r="BF533" s="95">
        <v>-0.26</v>
      </c>
      <c r="BG533" s="95">
        <v>-0.24</v>
      </c>
      <c r="BH533" s="95"/>
      <c r="BI533" s="8">
        <f t="shared" si="397"/>
        <v>-25.39</v>
      </c>
      <c r="BJ533" s="2" t="s">
        <v>84</v>
      </c>
      <c r="BL533" s="70"/>
      <c r="BM533" s="70"/>
      <c r="BO533" s="70">
        <v>0</v>
      </c>
      <c r="BP533" s="70"/>
      <c r="BQ533" s="72"/>
      <c r="BS533" s="61">
        <f t="shared" si="424"/>
        <v>0</v>
      </c>
      <c r="BT533" s="61">
        <f t="shared" si="418"/>
        <v>0</v>
      </c>
      <c r="BU533" s="61">
        <f t="shared" si="419"/>
        <v>0</v>
      </c>
      <c r="BV533" s="61">
        <f t="shared" si="420"/>
        <v>0</v>
      </c>
      <c r="BW533" s="61">
        <f t="shared" si="420"/>
        <v>-0.79</v>
      </c>
      <c r="BX533" s="61">
        <f t="shared" si="431"/>
        <v>-0.78999999999999915</v>
      </c>
      <c r="BY533" s="61" t="s">
        <v>91</v>
      </c>
      <c r="CA533" s="61">
        <f t="shared" si="425"/>
        <v>0</v>
      </c>
      <c r="CB533" s="61">
        <f t="shared" si="425"/>
        <v>0</v>
      </c>
      <c r="CC533" s="61">
        <f t="shared" si="425"/>
        <v>0</v>
      </c>
      <c r="CD533" s="61">
        <f t="shared" si="425"/>
        <v>0</v>
      </c>
      <c r="CE533" s="61">
        <f t="shared" si="425"/>
        <v>0</v>
      </c>
      <c r="CF533" s="61">
        <f t="shared" si="425"/>
        <v>0</v>
      </c>
      <c r="CG533" s="61">
        <f t="shared" si="425"/>
        <v>0</v>
      </c>
      <c r="CH533" s="61">
        <f t="shared" si="425"/>
        <v>0</v>
      </c>
      <c r="CI533" s="61">
        <f t="shared" si="421"/>
        <v>0</v>
      </c>
      <c r="CJ533" s="61"/>
      <c r="CK533" s="61">
        <f t="shared" si="432"/>
        <v>-0.11885060929742727</v>
      </c>
      <c r="CL533" s="61">
        <f t="shared" si="432"/>
        <v>-0.11885060929742727</v>
      </c>
      <c r="CM533" s="61">
        <f t="shared" si="432"/>
        <v>0</v>
      </c>
      <c r="CN533" s="61">
        <f t="shared" si="432"/>
        <v>0</v>
      </c>
      <c r="CO533" s="61">
        <f t="shared" si="432"/>
        <v>0</v>
      </c>
      <c r="CP533" s="61">
        <f t="shared" si="432"/>
        <v>0</v>
      </c>
      <c r="CQ533" s="61">
        <f t="shared" si="432"/>
        <v>0</v>
      </c>
      <c r="CR533" s="61">
        <f t="shared" si="429"/>
        <v>0</v>
      </c>
      <c r="CS533" s="61">
        <f t="shared" si="422"/>
        <v>-3.5655182789228183E-2</v>
      </c>
      <c r="CT533" s="61">
        <f t="shared" si="423"/>
        <v>-0.23699999999999974</v>
      </c>
      <c r="CV533" s="61">
        <f t="shared" si="408"/>
        <v>-101375</v>
      </c>
      <c r="CW533" s="61">
        <f t="shared" si="433"/>
        <v>-101375</v>
      </c>
      <c r="CX533" s="61"/>
      <c r="CY533" s="61">
        <f t="shared" si="428"/>
        <v>-310378</v>
      </c>
      <c r="CZ533" s="61">
        <f t="shared" si="391"/>
        <v>390931.32</v>
      </c>
      <c r="DA533" s="61">
        <f t="shared" si="391"/>
        <v>0</v>
      </c>
      <c r="DB533" s="2" t="s">
        <v>85</v>
      </c>
      <c r="DC533" s="2" t="s">
        <v>86</v>
      </c>
      <c r="DD533" s="2" t="s">
        <v>142</v>
      </c>
      <c r="DE533" s="2" t="s">
        <v>264</v>
      </c>
      <c r="DG533" s="62"/>
      <c r="DZ533" s="3" t="e">
        <v>#N/A</v>
      </c>
      <c r="EC533" s="60"/>
      <c r="ED533" s="60"/>
      <c r="EE533" s="60"/>
      <c r="EF533" s="60"/>
    </row>
    <row r="534" spans="2:140" ht="12.75" hidden="1" customHeight="1">
      <c r="B534" s="99" t="s">
        <v>1020</v>
      </c>
      <c r="C534" s="22" t="s">
        <v>966</v>
      </c>
      <c r="D534" s="2" t="s">
        <v>967</v>
      </c>
      <c r="E534" s="2" t="s">
        <v>968</v>
      </c>
      <c r="F534" s="2" t="s">
        <v>969</v>
      </c>
      <c r="G534" s="2" t="s">
        <v>994</v>
      </c>
      <c r="J534" s="22" t="s">
        <v>138</v>
      </c>
      <c r="K534" s="23">
        <v>20562</v>
      </c>
      <c r="L534" s="22" t="s">
        <v>182</v>
      </c>
      <c r="M534" s="51" t="str">
        <f t="shared" si="402"/>
        <v>JD8B-20562-BA</v>
      </c>
      <c r="O534" s="22"/>
      <c r="P534" s="22"/>
      <c r="Q534" s="94">
        <v>1</v>
      </c>
      <c r="R534" s="22">
        <v>1</v>
      </c>
      <c r="S534" s="22">
        <v>1</v>
      </c>
      <c r="T534" s="22">
        <v>1</v>
      </c>
      <c r="U534" s="22">
        <v>1</v>
      </c>
      <c r="V534" s="22">
        <v>1</v>
      </c>
      <c r="W534" s="64">
        <f t="shared" si="403"/>
        <v>0.70000000000000007</v>
      </c>
      <c r="Y534" s="8">
        <v>-33.369999999999997</v>
      </c>
      <c r="Z534" s="8">
        <v>0</v>
      </c>
      <c r="AA534" s="8">
        <v>-0.46</v>
      </c>
      <c r="AB534" s="8">
        <v>-0.28000000000000003</v>
      </c>
      <c r="AC534" s="8">
        <v>-0.40999999999999992</v>
      </c>
      <c r="AD534" s="8">
        <f t="shared" si="430"/>
        <v>-34.519999999999996</v>
      </c>
      <c r="AE534" s="2" t="s">
        <v>84</v>
      </c>
      <c r="AG534" s="8">
        <v>-101375</v>
      </c>
      <c r="AH534" s="8">
        <v>-101375</v>
      </c>
      <c r="AI534" s="6"/>
      <c r="AJ534" s="70">
        <v>-310378</v>
      </c>
      <c r="AK534" s="70">
        <v>758866.68</v>
      </c>
      <c r="AL534" s="72"/>
      <c r="AM534" s="22"/>
      <c r="AO534" s="22" t="s">
        <v>128</v>
      </c>
      <c r="AP534" s="23">
        <v>20562</v>
      </c>
      <c r="AQ534" s="22" t="s">
        <v>1022</v>
      </c>
      <c r="AR534" s="51" t="str">
        <f t="shared" si="392"/>
        <v>ED8B-20562-BJ</v>
      </c>
      <c r="AS534" s="3"/>
      <c r="AT534" s="22"/>
      <c r="AU534" s="22"/>
      <c r="AV534" s="94">
        <v>1</v>
      </c>
      <c r="AW534" s="22">
        <v>1</v>
      </c>
      <c r="AX534" s="22">
        <v>1</v>
      </c>
      <c r="AY534" s="22">
        <v>1</v>
      </c>
      <c r="AZ534" s="22">
        <v>1</v>
      </c>
      <c r="BA534" s="22">
        <v>1</v>
      </c>
      <c r="BB534" s="64">
        <f t="shared" si="393"/>
        <v>0.70000000000000007</v>
      </c>
      <c r="BD534" s="60">
        <v>-33.369999999999997</v>
      </c>
      <c r="BE534" s="60">
        <v>0</v>
      </c>
      <c r="BF534" s="95">
        <v>-0.46</v>
      </c>
      <c r="BG534" s="95">
        <v>-0.28000000000000003</v>
      </c>
      <c r="BH534" s="95"/>
      <c r="BI534" s="8">
        <f t="shared" si="397"/>
        <v>-34.11</v>
      </c>
      <c r="BJ534" s="2" t="s">
        <v>84</v>
      </c>
      <c r="BL534" s="70"/>
      <c r="BM534" s="70"/>
      <c r="BO534" s="70">
        <v>0</v>
      </c>
      <c r="BP534" s="70"/>
      <c r="BQ534" s="72"/>
      <c r="BS534" s="61">
        <f t="shared" si="424"/>
        <v>0</v>
      </c>
      <c r="BT534" s="61">
        <f t="shared" si="418"/>
        <v>0</v>
      </c>
      <c r="BU534" s="61">
        <f t="shared" si="419"/>
        <v>0</v>
      </c>
      <c r="BV534" s="61">
        <f t="shared" si="420"/>
        <v>0</v>
      </c>
      <c r="BW534" s="61">
        <f t="shared" si="420"/>
        <v>-0.40999999999999992</v>
      </c>
      <c r="BX534" s="61">
        <f t="shared" si="431"/>
        <v>-0.40999999999999659</v>
      </c>
      <c r="BY534" s="61" t="s">
        <v>91</v>
      </c>
      <c r="CA534" s="61">
        <f t="shared" si="425"/>
        <v>0</v>
      </c>
      <c r="CB534" s="61">
        <f t="shared" si="425"/>
        <v>0</v>
      </c>
      <c r="CC534" s="61">
        <f t="shared" si="425"/>
        <v>0</v>
      </c>
      <c r="CD534" s="61">
        <f t="shared" si="425"/>
        <v>0</v>
      </c>
      <c r="CE534" s="61">
        <f t="shared" si="425"/>
        <v>0</v>
      </c>
      <c r="CF534" s="61">
        <f t="shared" si="425"/>
        <v>0</v>
      </c>
      <c r="CG534" s="61">
        <f t="shared" si="425"/>
        <v>0</v>
      </c>
      <c r="CH534" s="61">
        <f t="shared" si="425"/>
        <v>0</v>
      </c>
      <c r="CI534" s="61">
        <f t="shared" si="421"/>
        <v>0</v>
      </c>
      <c r="CJ534" s="61"/>
      <c r="CK534" s="61">
        <f t="shared" si="432"/>
        <v>0</v>
      </c>
      <c r="CL534" s="61">
        <f t="shared" si="432"/>
        <v>0</v>
      </c>
      <c r="CM534" s="61">
        <f t="shared" si="432"/>
        <v>-6.1681961787271936E-2</v>
      </c>
      <c r="CN534" s="61">
        <f t="shared" si="432"/>
        <v>-6.1681961787271936E-2</v>
      </c>
      <c r="CO534" s="61">
        <f t="shared" si="432"/>
        <v>-6.1681961787271936E-2</v>
      </c>
      <c r="CP534" s="61">
        <f t="shared" si="432"/>
        <v>-6.1681961787271936E-2</v>
      </c>
      <c r="CQ534" s="61">
        <f t="shared" si="432"/>
        <v>-6.1681961787271936E-2</v>
      </c>
      <c r="CR534" s="61">
        <f t="shared" si="429"/>
        <v>-6.1681961787271936E-2</v>
      </c>
      <c r="CS534" s="61">
        <f t="shared" si="422"/>
        <v>-4.3177373251090348E-2</v>
      </c>
      <c r="CT534" s="61">
        <f t="shared" si="423"/>
        <v>-0.28699999999999753</v>
      </c>
      <c r="CV534" s="61">
        <f t="shared" si="408"/>
        <v>-101375</v>
      </c>
      <c r="CW534" s="61">
        <f t="shared" si="433"/>
        <v>-101375</v>
      </c>
      <c r="CX534" s="61"/>
      <c r="CY534" s="61">
        <f t="shared" si="428"/>
        <v>-310378</v>
      </c>
      <c r="CZ534" s="61">
        <f t="shared" si="391"/>
        <v>758866.68</v>
      </c>
      <c r="DA534" s="61">
        <f t="shared" si="391"/>
        <v>0</v>
      </c>
      <c r="DB534" s="2" t="s">
        <v>85</v>
      </c>
      <c r="DC534" s="2" t="s">
        <v>86</v>
      </c>
      <c r="DD534" s="2" t="s">
        <v>142</v>
      </c>
      <c r="DE534" s="2" t="s">
        <v>264</v>
      </c>
      <c r="DG534" s="62"/>
      <c r="DZ534" s="3" t="e">
        <v>#N/A</v>
      </c>
      <c r="EC534" s="60"/>
      <c r="ED534" s="60"/>
      <c r="EE534" s="60"/>
      <c r="EF534" s="60"/>
    </row>
    <row r="535" spans="2:140" ht="12.75" hidden="1" customHeight="1">
      <c r="B535" s="99" t="s">
        <v>1020</v>
      </c>
      <c r="C535" s="22" t="s">
        <v>1023</v>
      </c>
      <c r="D535" s="120" t="s">
        <v>967</v>
      </c>
      <c r="E535" s="2" t="s">
        <v>1024</v>
      </c>
      <c r="F535" s="2" t="s">
        <v>1025</v>
      </c>
      <c r="G535" s="2" t="s">
        <v>994</v>
      </c>
      <c r="J535" s="22" t="s">
        <v>126</v>
      </c>
      <c r="K535" s="23">
        <v>20563</v>
      </c>
      <c r="L535" s="22" t="s">
        <v>100</v>
      </c>
      <c r="M535" s="51" t="str">
        <f t="shared" si="402"/>
        <v>JD8B-20563-AA</v>
      </c>
      <c r="O535" s="22">
        <v>1</v>
      </c>
      <c r="P535" s="22">
        <v>1</v>
      </c>
      <c r="Q535" s="94"/>
      <c r="R535" s="22"/>
      <c r="S535" s="22"/>
      <c r="T535" s="22"/>
      <c r="U535" s="22"/>
      <c r="V535" s="22"/>
      <c r="W535" s="64">
        <f t="shared" si="403"/>
        <v>0.30000000000000004</v>
      </c>
      <c r="Y535" s="8">
        <v>-24.89</v>
      </c>
      <c r="Z535" s="8">
        <v>0</v>
      </c>
      <c r="AA535" s="8">
        <v>-0.26</v>
      </c>
      <c r="AB535" s="8">
        <v>-0.24</v>
      </c>
      <c r="AC535" s="8">
        <v>-0.79</v>
      </c>
      <c r="AD535" s="8">
        <f t="shared" si="430"/>
        <v>-26.18</v>
      </c>
      <c r="AE535" s="2" t="s">
        <v>84</v>
      </c>
      <c r="AG535" s="8">
        <v>-101375</v>
      </c>
      <c r="AH535" s="8">
        <v>-101375</v>
      </c>
      <c r="AJ535" s="70" t="s">
        <v>1026</v>
      </c>
      <c r="AK535" s="70" t="s">
        <v>1026</v>
      </c>
      <c r="AL535" s="72"/>
      <c r="AM535" s="22"/>
      <c r="AO535" s="22" t="s">
        <v>128</v>
      </c>
      <c r="AP535" s="23">
        <v>20563</v>
      </c>
      <c r="AQ535" s="22" t="s">
        <v>812</v>
      </c>
      <c r="AR535" s="51" t="str">
        <f t="shared" si="392"/>
        <v>ED8B-20563-AJ</v>
      </c>
      <c r="AS535" s="3"/>
      <c r="AT535" s="22">
        <v>1</v>
      </c>
      <c r="AU535" s="22">
        <v>1</v>
      </c>
      <c r="AV535" s="94"/>
      <c r="AW535" s="22"/>
      <c r="AX535" s="22"/>
      <c r="AY535" s="22"/>
      <c r="AZ535" s="22"/>
      <c r="BA535" s="22"/>
      <c r="BB535" s="64">
        <f t="shared" si="393"/>
        <v>0.30000000000000004</v>
      </c>
      <c r="BD535" s="60">
        <v>-24.89</v>
      </c>
      <c r="BE535" s="60">
        <v>0</v>
      </c>
      <c r="BF535" s="95">
        <v>-0.26</v>
      </c>
      <c r="BG535" s="95">
        <v>-0.24</v>
      </c>
      <c r="BH535" s="95"/>
      <c r="BI535" s="8">
        <f t="shared" si="397"/>
        <v>-25.39</v>
      </c>
      <c r="BJ535" s="2" t="s">
        <v>84</v>
      </c>
      <c r="BL535" s="70"/>
      <c r="BM535" s="70"/>
      <c r="BO535" s="70">
        <v>0</v>
      </c>
      <c r="BP535" s="70"/>
      <c r="BQ535" s="72"/>
      <c r="BS535" s="61">
        <f t="shared" si="424"/>
        <v>0</v>
      </c>
      <c r="BT535" s="61">
        <f t="shared" si="418"/>
        <v>0</v>
      </c>
      <c r="BU535" s="61">
        <f t="shared" si="419"/>
        <v>0</v>
      </c>
      <c r="BV535" s="61">
        <f t="shared" si="420"/>
        <v>0</v>
      </c>
      <c r="BW535" s="61">
        <f t="shared" si="420"/>
        <v>-0.79</v>
      </c>
      <c r="BX535" s="61">
        <f t="shared" si="431"/>
        <v>-0.78999999999999915</v>
      </c>
      <c r="BY535" s="61" t="s">
        <v>91</v>
      </c>
      <c r="CA535" s="61">
        <f t="shared" si="425"/>
        <v>0</v>
      </c>
      <c r="CB535" s="61">
        <f t="shared" si="425"/>
        <v>0</v>
      </c>
      <c r="CC535" s="61">
        <f t="shared" si="425"/>
        <v>0</v>
      </c>
      <c r="CD535" s="61">
        <f t="shared" si="425"/>
        <v>0</v>
      </c>
      <c r="CE535" s="61">
        <f t="shared" si="425"/>
        <v>0</v>
      </c>
      <c r="CF535" s="61">
        <f t="shared" si="425"/>
        <v>0</v>
      </c>
      <c r="CG535" s="61">
        <f t="shared" si="425"/>
        <v>0</v>
      </c>
      <c r="CH535" s="61">
        <f t="shared" si="425"/>
        <v>0</v>
      </c>
      <c r="CI535" s="61">
        <f t="shared" si="421"/>
        <v>0</v>
      </c>
      <c r="CJ535" s="61"/>
      <c r="CK535" s="61">
        <f t="shared" si="432"/>
        <v>-0.11885060929742727</v>
      </c>
      <c r="CL535" s="61">
        <f t="shared" si="432"/>
        <v>-0.11885060929742727</v>
      </c>
      <c r="CM535" s="61">
        <f t="shared" si="432"/>
        <v>0</v>
      </c>
      <c r="CN535" s="61">
        <f t="shared" si="432"/>
        <v>0</v>
      </c>
      <c r="CO535" s="61">
        <f t="shared" si="432"/>
        <v>0</v>
      </c>
      <c r="CP535" s="61">
        <f t="shared" si="432"/>
        <v>0</v>
      </c>
      <c r="CQ535" s="61">
        <f t="shared" si="432"/>
        <v>0</v>
      </c>
      <c r="CR535" s="61">
        <f t="shared" si="429"/>
        <v>0</v>
      </c>
      <c r="CS535" s="61">
        <f t="shared" si="422"/>
        <v>-3.5655182789228183E-2</v>
      </c>
      <c r="CT535" s="61">
        <f t="shared" si="423"/>
        <v>-0.23699999999999974</v>
      </c>
      <c r="CV535" s="61">
        <f t="shared" si="408"/>
        <v>-101375</v>
      </c>
      <c r="CW535" s="61">
        <f t="shared" si="433"/>
        <v>-101375</v>
      </c>
      <c r="CX535" s="61"/>
      <c r="CY535" s="61">
        <f t="shared" si="428"/>
        <v>0</v>
      </c>
      <c r="CZ535" s="61">
        <f t="shared" si="391"/>
        <v>0</v>
      </c>
      <c r="DA535" s="61">
        <f t="shared" si="391"/>
        <v>0</v>
      </c>
      <c r="DB535" s="2" t="s">
        <v>85</v>
      </c>
      <c r="DC535" s="2" t="s">
        <v>86</v>
      </c>
      <c r="DD535" s="2" t="s">
        <v>142</v>
      </c>
      <c r="DE535" s="2" t="s">
        <v>264</v>
      </c>
      <c r="DG535" s="62"/>
      <c r="DZ535" s="3" t="e">
        <v>#N/A</v>
      </c>
      <c r="EC535" s="60"/>
      <c r="ED535" s="60"/>
      <c r="EE535" s="60"/>
      <c r="EF535" s="60"/>
    </row>
    <row r="536" spans="2:140" ht="9.75" hidden="1" customHeight="1">
      <c r="B536" s="99" t="s">
        <v>1020</v>
      </c>
      <c r="C536" s="22" t="s">
        <v>1023</v>
      </c>
      <c r="D536" s="2" t="s">
        <v>967</v>
      </c>
      <c r="E536" s="2" t="s">
        <v>1024</v>
      </c>
      <c r="F536" s="2" t="s">
        <v>1025</v>
      </c>
      <c r="G536" s="2" t="s">
        <v>994</v>
      </c>
      <c r="J536" s="22" t="s">
        <v>126</v>
      </c>
      <c r="K536" s="23">
        <v>20563</v>
      </c>
      <c r="L536" s="22" t="s">
        <v>111</v>
      </c>
      <c r="M536" s="51" t="str">
        <f t="shared" si="402"/>
        <v>JD8B-20563-BA</v>
      </c>
      <c r="O536" s="94"/>
      <c r="P536" s="22"/>
      <c r="Q536" s="22">
        <v>1</v>
      </c>
      <c r="R536" s="22">
        <v>1</v>
      </c>
      <c r="S536" s="22">
        <v>1</v>
      </c>
      <c r="T536" s="22">
        <v>1</v>
      </c>
      <c r="U536" s="22">
        <v>1</v>
      </c>
      <c r="V536" s="22">
        <v>1</v>
      </c>
      <c r="W536" s="64">
        <f t="shared" si="403"/>
        <v>0.70000000000000007</v>
      </c>
      <c r="Y536" s="8">
        <v>-33.369999999999997</v>
      </c>
      <c r="Z536" s="8">
        <v>0</v>
      </c>
      <c r="AA536" s="8">
        <v>-0.46</v>
      </c>
      <c r="AB536" s="8">
        <v>-0.28000000000000003</v>
      </c>
      <c r="AC536" s="8">
        <v>-0.40999999999999992</v>
      </c>
      <c r="AD536" s="8">
        <f t="shared" si="430"/>
        <v>-34.519999999999996</v>
      </c>
      <c r="AE536" s="2" t="s">
        <v>84</v>
      </c>
      <c r="AG536" s="8">
        <v>-101375</v>
      </c>
      <c r="AH536" s="8">
        <v>-101375</v>
      </c>
      <c r="AI536" s="6"/>
      <c r="AJ536" s="70" t="s">
        <v>1026</v>
      </c>
      <c r="AK536" s="70" t="s">
        <v>1026</v>
      </c>
      <c r="AL536" s="121"/>
      <c r="AM536" s="22"/>
      <c r="AO536" s="22" t="s">
        <v>128</v>
      </c>
      <c r="AP536" s="23">
        <v>20563</v>
      </c>
      <c r="AQ536" s="22" t="s">
        <v>1022</v>
      </c>
      <c r="AR536" s="51" t="str">
        <f t="shared" si="392"/>
        <v>ED8B-20563-BJ</v>
      </c>
      <c r="AS536" s="3"/>
      <c r="AT536" s="22"/>
      <c r="AU536" s="22"/>
      <c r="AV536" s="22">
        <v>1</v>
      </c>
      <c r="AW536" s="22">
        <v>1</v>
      </c>
      <c r="AX536" s="22">
        <v>1</v>
      </c>
      <c r="AY536" s="22">
        <v>1</v>
      </c>
      <c r="AZ536" s="22">
        <v>1</v>
      </c>
      <c r="BA536" s="22">
        <v>1</v>
      </c>
      <c r="BB536" s="64">
        <f t="shared" si="393"/>
        <v>0.70000000000000007</v>
      </c>
      <c r="BD536" s="60">
        <v>-33.369999999999997</v>
      </c>
      <c r="BE536" s="60">
        <v>0</v>
      </c>
      <c r="BF536" s="95">
        <v>-0.46</v>
      </c>
      <c r="BG536" s="95">
        <v>-0.28000000000000003</v>
      </c>
      <c r="BH536" s="95"/>
      <c r="BI536" s="8">
        <f t="shared" si="397"/>
        <v>-34.11</v>
      </c>
      <c r="BJ536" s="2" t="s">
        <v>84</v>
      </c>
      <c r="BL536" s="70"/>
      <c r="BM536" s="70"/>
      <c r="BO536" s="70">
        <v>0</v>
      </c>
      <c r="BP536" s="70"/>
      <c r="BQ536" s="72"/>
      <c r="BS536" s="61">
        <f t="shared" si="424"/>
        <v>0</v>
      </c>
      <c r="BT536" s="61">
        <f t="shared" si="418"/>
        <v>0</v>
      </c>
      <c r="BU536" s="61">
        <f t="shared" si="419"/>
        <v>0</v>
      </c>
      <c r="BV536" s="61">
        <f t="shared" si="420"/>
        <v>0</v>
      </c>
      <c r="BW536" s="61">
        <f t="shared" si="420"/>
        <v>-0.40999999999999992</v>
      </c>
      <c r="BX536" s="61">
        <f t="shared" si="431"/>
        <v>-0.40999999999999659</v>
      </c>
      <c r="BY536" s="61" t="s">
        <v>91</v>
      </c>
      <c r="CA536" s="61">
        <f t="shared" si="425"/>
        <v>0</v>
      </c>
      <c r="CB536" s="61">
        <f t="shared" si="425"/>
        <v>0</v>
      </c>
      <c r="CC536" s="61">
        <f t="shared" si="425"/>
        <v>0</v>
      </c>
      <c r="CD536" s="61">
        <f t="shared" si="425"/>
        <v>0</v>
      </c>
      <c r="CE536" s="61">
        <f t="shared" si="425"/>
        <v>0</v>
      </c>
      <c r="CF536" s="61">
        <f t="shared" si="425"/>
        <v>0</v>
      </c>
      <c r="CG536" s="61">
        <f t="shared" si="425"/>
        <v>0</v>
      </c>
      <c r="CH536" s="61">
        <f t="shared" si="425"/>
        <v>0</v>
      </c>
      <c r="CI536" s="61">
        <f t="shared" si="421"/>
        <v>0</v>
      </c>
      <c r="CJ536" s="61"/>
      <c r="CK536" s="61">
        <f t="shared" si="432"/>
        <v>0</v>
      </c>
      <c r="CL536" s="61">
        <f t="shared" si="432"/>
        <v>0</v>
      </c>
      <c r="CM536" s="61">
        <f t="shared" si="432"/>
        <v>-6.1681961787271936E-2</v>
      </c>
      <c r="CN536" s="61">
        <f t="shared" si="432"/>
        <v>-6.1681961787271936E-2</v>
      </c>
      <c r="CO536" s="61">
        <f t="shared" si="432"/>
        <v>-6.1681961787271936E-2</v>
      </c>
      <c r="CP536" s="61">
        <f t="shared" si="432"/>
        <v>-6.1681961787271936E-2</v>
      </c>
      <c r="CQ536" s="61">
        <f t="shared" si="432"/>
        <v>-6.1681961787271936E-2</v>
      </c>
      <c r="CR536" s="61">
        <f t="shared" si="429"/>
        <v>-6.1681961787271936E-2</v>
      </c>
      <c r="CS536" s="61">
        <f t="shared" si="422"/>
        <v>-4.3177373251090348E-2</v>
      </c>
      <c r="CT536" s="61">
        <f t="shared" si="423"/>
        <v>-0.28699999999999753</v>
      </c>
      <c r="CV536" s="61">
        <f t="shared" si="408"/>
        <v>-101375</v>
      </c>
      <c r="CW536" s="61">
        <f t="shared" si="433"/>
        <v>-101375</v>
      </c>
      <c r="CX536" s="61"/>
      <c r="CY536" s="61">
        <f t="shared" si="428"/>
        <v>0</v>
      </c>
      <c r="CZ536" s="61">
        <f t="shared" si="391"/>
        <v>0</v>
      </c>
      <c r="DA536" s="61">
        <f t="shared" si="391"/>
        <v>0</v>
      </c>
      <c r="DB536" s="2" t="s">
        <v>85</v>
      </c>
      <c r="DC536" s="2" t="s">
        <v>86</v>
      </c>
      <c r="DD536" s="2" t="s">
        <v>142</v>
      </c>
      <c r="DE536" s="2" t="s">
        <v>264</v>
      </c>
      <c r="DG536" s="62"/>
      <c r="DZ536" s="3" t="e">
        <v>#N/A</v>
      </c>
      <c r="EC536" s="60"/>
      <c r="ED536" s="60"/>
      <c r="EE536" s="60"/>
      <c r="EF536" s="60"/>
    </row>
    <row r="537" spans="2:140" ht="12.75" hidden="1" customHeight="1">
      <c r="B537" s="99" t="s">
        <v>1020</v>
      </c>
      <c r="C537" s="22" t="s">
        <v>966</v>
      </c>
      <c r="D537" s="2" t="s">
        <v>967</v>
      </c>
      <c r="E537" s="2" t="s">
        <v>968</v>
      </c>
      <c r="F537" s="2" t="s">
        <v>969</v>
      </c>
      <c r="G537" s="2" t="s">
        <v>994</v>
      </c>
      <c r="J537" s="22" t="s">
        <v>138</v>
      </c>
      <c r="K537" s="23">
        <v>21510</v>
      </c>
      <c r="L537" s="22" t="s">
        <v>180</v>
      </c>
      <c r="M537" s="51" t="str">
        <f t="shared" si="402"/>
        <v>JD8B-21510-AA</v>
      </c>
      <c r="O537" s="22">
        <v>1</v>
      </c>
      <c r="P537" s="22">
        <v>1</v>
      </c>
      <c r="Q537" s="94">
        <v>1</v>
      </c>
      <c r="R537" s="22">
        <v>1</v>
      </c>
      <c r="S537" s="22">
        <v>1</v>
      </c>
      <c r="T537" s="22">
        <v>1</v>
      </c>
      <c r="U537" s="22"/>
      <c r="V537" s="22"/>
      <c r="W537" s="64">
        <f t="shared" si="403"/>
        <v>0.9</v>
      </c>
      <c r="Y537" s="8">
        <v>-46.785754981083691</v>
      </c>
      <c r="Z537" s="8">
        <v>-5.18</v>
      </c>
      <c r="AA537" s="8">
        <v>-1.5</v>
      </c>
      <c r="AB537" s="8">
        <v>-0.28000000000000003</v>
      </c>
      <c r="AC537" s="8">
        <v>-0.6</v>
      </c>
      <c r="AD537" s="8">
        <f t="shared" si="430"/>
        <v>-54.345754981083694</v>
      </c>
      <c r="AE537" s="2" t="s">
        <v>84</v>
      </c>
      <c r="AG537" s="8">
        <v>-808324</v>
      </c>
      <c r="AH537" s="8">
        <v>-808324</v>
      </c>
      <c r="AI537" s="6"/>
      <c r="AJ537" s="70">
        <v>-620756</v>
      </c>
      <c r="AK537" s="70">
        <v>1034818.2000000001</v>
      </c>
      <c r="AL537" s="72"/>
      <c r="AM537" s="22"/>
      <c r="AO537" s="22" t="s">
        <v>128</v>
      </c>
      <c r="AP537" s="23">
        <v>21510</v>
      </c>
      <c r="AQ537" s="22" t="s">
        <v>845</v>
      </c>
      <c r="AR537" s="51" t="str">
        <f t="shared" si="392"/>
        <v>ED8B-21510-AH</v>
      </c>
      <c r="AS537" s="3"/>
      <c r="AT537" s="22">
        <v>1</v>
      </c>
      <c r="AU537" s="22">
        <v>1</v>
      </c>
      <c r="AV537" s="94">
        <v>1</v>
      </c>
      <c r="AW537" s="22">
        <v>1</v>
      </c>
      <c r="AX537" s="22">
        <v>1</v>
      </c>
      <c r="AY537" s="22">
        <v>1</v>
      </c>
      <c r="AZ537" s="22"/>
      <c r="BA537" s="22"/>
      <c r="BB537" s="64">
        <f t="shared" si="393"/>
        <v>0.9</v>
      </c>
      <c r="BD537" s="60">
        <v>-46.785754981083691</v>
      </c>
      <c r="BE537" s="60">
        <v>-5.18</v>
      </c>
      <c r="BF537" s="95">
        <v>-1.5</v>
      </c>
      <c r="BG537" s="95">
        <v>-0.28000000000000003</v>
      </c>
      <c r="BH537" s="95"/>
      <c r="BI537" s="8">
        <f t="shared" si="397"/>
        <v>-53.745754981083692</v>
      </c>
      <c r="BJ537" s="2" t="s">
        <v>84</v>
      </c>
      <c r="BL537" s="70"/>
      <c r="BM537" s="70"/>
      <c r="BO537" s="70">
        <v>0</v>
      </c>
      <c r="BP537" s="70"/>
      <c r="BQ537" s="72"/>
      <c r="BS537" s="61">
        <f t="shared" si="424"/>
        <v>0</v>
      </c>
      <c r="BT537" s="61">
        <f t="shared" si="418"/>
        <v>0</v>
      </c>
      <c r="BU537" s="61">
        <f t="shared" si="419"/>
        <v>0</v>
      </c>
      <c r="BV537" s="61">
        <f t="shared" si="420"/>
        <v>0</v>
      </c>
      <c r="BW537" s="61">
        <f t="shared" si="420"/>
        <v>-0.6</v>
      </c>
      <c r="BX537" s="61">
        <f t="shared" si="431"/>
        <v>-0.60000000000000142</v>
      </c>
      <c r="BY537" s="61" t="s">
        <v>91</v>
      </c>
      <c r="CA537" s="61">
        <f t="shared" si="425"/>
        <v>0</v>
      </c>
      <c r="CB537" s="61">
        <f t="shared" si="425"/>
        <v>0</v>
      </c>
      <c r="CC537" s="61">
        <f t="shared" si="425"/>
        <v>0</v>
      </c>
      <c r="CD537" s="61">
        <f t="shared" si="425"/>
        <v>0</v>
      </c>
      <c r="CE537" s="61">
        <f t="shared" si="425"/>
        <v>0</v>
      </c>
      <c r="CF537" s="61">
        <f t="shared" si="425"/>
        <v>0</v>
      </c>
      <c r="CG537" s="61">
        <f t="shared" si="425"/>
        <v>0</v>
      </c>
      <c r="CH537" s="61">
        <f t="shared" si="425"/>
        <v>0</v>
      </c>
      <c r="CI537" s="61">
        <f t="shared" si="421"/>
        <v>0</v>
      </c>
      <c r="CJ537" s="61"/>
      <c r="CK537" s="61">
        <f t="shared" si="432"/>
        <v>-9.0266285542350139E-2</v>
      </c>
      <c r="CL537" s="61">
        <f t="shared" si="432"/>
        <v>-9.0266285542350139E-2</v>
      </c>
      <c r="CM537" s="61">
        <f t="shared" si="432"/>
        <v>-9.0266285542350139E-2</v>
      </c>
      <c r="CN537" s="61">
        <f t="shared" si="432"/>
        <v>-9.0266285542350139E-2</v>
      </c>
      <c r="CO537" s="61">
        <f t="shared" si="432"/>
        <v>-9.0266285542350139E-2</v>
      </c>
      <c r="CP537" s="61">
        <f t="shared" si="432"/>
        <v>-9.0266285542350139E-2</v>
      </c>
      <c r="CQ537" s="61">
        <f t="shared" si="432"/>
        <v>0</v>
      </c>
      <c r="CR537" s="61">
        <f t="shared" si="429"/>
        <v>0</v>
      </c>
      <c r="CS537" s="61">
        <f t="shared" si="422"/>
        <v>-8.1239656988115125E-2</v>
      </c>
      <c r="CT537" s="61">
        <f t="shared" si="423"/>
        <v>-0.54000000000000126</v>
      </c>
      <c r="CV537" s="61">
        <f t="shared" si="408"/>
        <v>-808324</v>
      </c>
      <c r="CW537" s="61">
        <f t="shared" si="433"/>
        <v>-808324</v>
      </c>
      <c r="CX537" s="61"/>
      <c r="CY537" s="61">
        <f t="shared" si="428"/>
        <v>-620756</v>
      </c>
      <c r="CZ537" s="61">
        <f t="shared" si="391"/>
        <v>1034818.2000000001</v>
      </c>
      <c r="DA537" s="61">
        <f t="shared" si="391"/>
        <v>0</v>
      </c>
      <c r="DB537" s="2" t="s">
        <v>85</v>
      </c>
      <c r="DC537" s="2" t="s">
        <v>86</v>
      </c>
      <c r="DD537" s="2" t="s">
        <v>87</v>
      </c>
      <c r="DE537" s="2" t="s">
        <v>264</v>
      </c>
      <c r="DG537" s="62"/>
      <c r="DZ537" s="3" t="e">
        <v>#N/A</v>
      </c>
      <c r="EC537" s="60"/>
      <c r="ED537" s="60"/>
      <c r="EE537" s="60"/>
      <c r="EF537" s="60"/>
    </row>
    <row r="538" spans="2:140" ht="12.75" hidden="1" customHeight="1">
      <c r="B538" s="99" t="s">
        <v>1027</v>
      </c>
      <c r="C538" s="22" t="s">
        <v>1023</v>
      </c>
      <c r="D538" s="120" t="s">
        <v>967</v>
      </c>
      <c r="E538" s="2" t="s">
        <v>1024</v>
      </c>
      <c r="F538" s="2" t="s">
        <v>1025</v>
      </c>
      <c r="G538" s="2" t="s">
        <v>994</v>
      </c>
      <c r="J538" s="22" t="s">
        <v>126</v>
      </c>
      <c r="K538" s="23">
        <v>21510</v>
      </c>
      <c r="L538" s="22" t="s">
        <v>132</v>
      </c>
      <c r="M538" s="51" t="str">
        <f t="shared" si="402"/>
        <v>JD8B-21510-AB</v>
      </c>
      <c r="N538" s="3">
        <v>1</v>
      </c>
      <c r="O538" s="22">
        <v>1</v>
      </c>
      <c r="P538" s="22">
        <v>1</v>
      </c>
      <c r="Q538" s="94">
        <v>1</v>
      </c>
      <c r="R538" s="22">
        <v>1</v>
      </c>
      <c r="S538" s="22">
        <v>1</v>
      </c>
      <c r="T538" s="22">
        <v>1</v>
      </c>
      <c r="U538" s="22"/>
      <c r="V538" s="22"/>
      <c r="W538" s="64">
        <f t="shared" si="403"/>
        <v>0.9</v>
      </c>
      <c r="Y538" s="8">
        <v>-48.69</v>
      </c>
      <c r="Z538" s="8">
        <v>-5.18</v>
      </c>
      <c r="AA538" s="8">
        <v>-1.5</v>
      </c>
      <c r="AB538" s="8">
        <v>-0.28000000000000003</v>
      </c>
      <c r="AC538" s="8">
        <v>-0.6</v>
      </c>
      <c r="AD538" s="8">
        <f t="shared" si="430"/>
        <v>-56.25</v>
      </c>
      <c r="AE538" s="2" t="s">
        <v>84</v>
      </c>
      <c r="AF538" s="2">
        <v>-404162</v>
      </c>
      <c r="AG538" s="8">
        <v>-908324</v>
      </c>
      <c r="AH538" s="8">
        <v>-908324</v>
      </c>
      <c r="AI538" s="2">
        <v>-786660</v>
      </c>
      <c r="AJ538" s="70">
        <v>-620756</v>
      </c>
      <c r="AK538" s="70">
        <v>1034818.2000000001</v>
      </c>
      <c r="AL538" s="72">
        <f>AJ538/AK538</f>
        <v>-0.59986961961047836</v>
      </c>
      <c r="AM538" s="22"/>
      <c r="AO538" s="22" t="s">
        <v>128</v>
      </c>
      <c r="AP538" s="23">
        <v>21510</v>
      </c>
      <c r="AQ538" s="22" t="s">
        <v>100</v>
      </c>
      <c r="AR538" s="51" t="str">
        <f t="shared" si="392"/>
        <v>ED8B-21510-AA</v>
      </c>
      <c r="AS538" s="3"/>
      <c r="AT538" s="22">
        <v>1</v>
      </c>
      <c r="AU538" s="22">
        <v>1</v>
      </c>
      <c r="AV538" s="94">
        <v>1</v>
      </c>
      <c r="AW538" s="22">
        <v>1</v>
      </c>
      <c r="AX538" s="22">
        <v>1</v>
      </c>
      <c r="AY538" s="22">
        <v>1</v>
      </c>
      <c r="AZ538" s="22"/>
      <c r="BA538" s="22"/>
      <c r="BB538" s="64">
        <f t="shared" si="393"/>
        <v>0.9</v>
      </c>
      <c r="BD538" s="60">
        <v>-46.785754981083691</v>
      </c>
      <c r="BE538" s="60">
        <v>-5.18</v>
      </c>
      <c r="BF538" s="95">
        <v>-1.5</v>
      </c>
      <c r="BG538" s="95">
        <v>-0.28000000000000003</v>
      </c>
      <c r="BH538" s="95">
        <v>-0.6</v>
      </c>
      <c r="BI538" s="8">
        <f t="shared" ref="BI538" si="438">SUM(BD538:BH538)</f>
        <v>-54.345754981083694</v>
      </c>
      <c r="BJ538" s="2" t="s">
        <v>84</v>
      </c>
      <c r="BL538" s="70">
        <v>-808324</v>
      </c>
      <c r="BM538" s="70">
        <v>-808324</v>
      </c>
      <c r="BO538" s="70">
        <v>-620756</v>
      </c>
      <c r="BP538" s="70">
        <v>1034818.2000000001</v>
      </c>
      <c r="BQ538" s="72"/>
      <c r="BS538" s="61">
        <f t="shared" si="424"/>
        <v>-1.9042450189163063</v>
      </c>
      <c r="BT538" s="61">
        <f t="shared" si="418"/>
        <v>0</v>
      </c>
      <c r="BU538" s="61">
        <f t="shared" si="419"/>
        <v>0</v>
      </c>
      <c r="BV538" s="61">
        <f t="shared" si="420"/>
        <v>0</v>
      </c>
      <c r="BW538" s="61">
        <f t="shared" si="420"/>
        <v>0</v>
      </c>
      <c r="BX538" s="61">
        <f t="shared" si="431"/>
        <v>-1.9042450189163063</v>
      </c>
      <c r="BY538" s="61" t="s">
        <v>91</v>
      </c>
      <c r="CA538" s="61">
        <f t="shared" si="425"/>
        <v>-0.28648187436682809</v>
      </c>
      <c r="CB538" s="61">
        <f t="shared" si="425"/>
        <v>-0.28648187436682809</v>
      </c>
      <c r="CC538" s="61">
        <f t="shared" si="425"/>
        <v>-0.28648187436682809</v>
      </c>
      <c r="CD538" s="61">
        <f t="shared" si="425"/>
        <v>-0.28648187436682809</v>
      </c>
      <c r="CE538" s="61">
        <f t="shared" si="425"/>
        <v>-0.28648187436682809</v>
      </c>
      <c r="CF538" s="61">
        <f t="shared" si="425"/>
        <v>-0.28648187436682809</v>
      </c>
      <c r="CG538" s="61">
        <f t="shared" si="425"/>
        <v>0</v>
      </c>
      <c r="CH538" s="61">
        <f t="shared" si="425"/>
        <v>0</v>
      </c>
      <c r="CI538" s="61">
        <f t="shared" si="421"/>
        <v>-0.2578336869301453</v>
      </c>
      <c r="CJ538" s="61"/>
      <c r="CK538" s="61">
        <f t="shared" si="432"/>
        <v>-0.28648187436682809</v>
      </c>
      <c r="CL538" s="61">
        <f t="shared" si="432"/>
        <v>-0.28648187436682809</v>
      </c>
      <c r="CM538" s="61">
        <f t="shared" si="432"/>
        <v>-0.28648187436682809</v>
      </c>
      <c r="CN538" s="61">
        <f t="shared" si="432"/>
        <v>-0.28648187436682809</v>
      </c>
      <c r="CO538" s="61">
        <f t="shared" si="432"/>
        <v>-0.28648187436682809</v>
      </c>
      <c r="CP538" s="61">
        <f t="shared" si="432"/>
        <v>-0.28648187436682809</v>
      </c>
      <c r="CQ538" s="61">
        <f t="shared" si="432"/>
        <v>0</v>
      </c>
      <c r="CR538" s="61">
        <f t="shared" si="429"/>
        <v>0</v>
      </c>
      <c r="CS538" s="61">
        <f t="shared" si="422"/>
        <v>-0.2578336869301453</v>
      </c>
      <c r="CT538" s="61">
        <f t="shared" si="423"/>
        <v>-1.7138205170246759</v>
      </c>
      <c r="CV538" s="61">
        <f t="shared" si="408"/>
        <v>-100000</v>
      </c>
      <c r="CW538" s="61">
        <f t="shared" ref="CW538" si="439">SUM(AH538)-SUM(BM538)</f>
        <v>-100000</v>
      </c>
      <c r="CX538" s="61"/>
      <c r="CY538" s="61">
        <f t="shared" ref="CY538" si="440">SUM(AJ538)-SUM(BO538)</f>
        <v>0</v>
      </c>
      <c r="CZ538" s="61">
        <f t="shared" si="391"/>
        <v>0</v>
      </c>
      <c r="DA538" s="61">
        <f t="shared" si="391"/>
        <v>-0.59986961961047836</v>
      </c>
      <c r="DB538" s="2" t="s">
        <v>86</v>
      </c>
      <c r="DC538" s="2" t="s">
        <v>85</v>
      </c>
      <c r="DD538" s="2" t="s">
        <v>87</v>
      </c>
      <c r="DE538" s="2" t="s">
        <v>1028</v>
      </c>
      <c r="DG538" s="62"/>
      <c r="DZ538" s="3" t="e">
        <v>#N/A</v>
      </c>
      <c r="EC538" s="60" t="str">
        <f>VLOOKUP($M538,[1]Detail!$M:$BO,1,0)</f>
        <v>JD8B-21510-AB</v>
      </c>
      <c r="ED538" s="60">
        <f>VLOOKUP($M538,[1]Detail!$M:$BO,22,0)</f>
        <v>-56.25</v>
      </c>
      <c r="EE538" s="60">
        <f>VLOOKUP($M538,[1]Detail!$M:$BO,42,0)</f>
        <v>-908324</v>
      </c>
      <c r="EF538" s="60">
        <f>VLOOKUP($M538,[1]Detail!$M:$BO,45,0)</f>
        <v>-620756</v>
      </c>
      <c r="EH538" s="60">
        <f>ED538-AD538</f>
        <v>0</v>
      </c>
      <c r="EI538" s="60">
        <f>EE538-AG538</f>
        <v>0</v>
      </c>
      <c r="EJ538" s="60">
        <f>EF538-AJ538</f>
        <v>0</v>
      </c>
    </row>
    <row r="539" spans="2:140" ht="13.5" hidden="1" customHeight="1">
      <c r="B539" s="99" t="s">
        <v>1020</v>
      </c>
      <c r="C539" s="22" t="s">
        <v>966</v>
      </c>
      <c r="D539" s="2" t="s">
        <v>967</v>
      </c>
      <c r="E539" s="2" t="s">
        <v>968</v>
      </c>
      <c r="F539" s="2" t="s">
        <v>969</v>
      </c>
      <c r="G539" s="2" t="s">
        <v>994</v>
      </c>
      <c r="J539" s="22" t="s">
        <v>138</v>
      </c>
      <c r="K539" s="23">
        <v>21510</v>
      </c>
      <c r="L539" s="22" t="s">
        <v>182</v>
      </c>
      <c r="M539" s="51" t="str">
        <f t="shared" si="402"/>
        <v>JD8B-21510-BA</v>
      </c>
      <c r="O539" s="94"/>
      <c r="P539" s="22"/>
      <c r="Q539" s="22"/>
      <c r="R539" s="22"/>
      <c r="S539" s="22"/>
      <c r="T539" s="22"/>
      <c r="U539" s="22">
        <v>1</v>
      </c>
      <c r="V539" s="22">
        <v>1</v>
      </c>
      <c r="W539" s="64">
        <f t="shared" si="403"/>
        <v>0.1</v>
      </c>
      <c r="Y539" s="8">
        <v>-74.686632247197011</v>
      </c>
      <c r="Z539" s="8">
        <v>-5.18</v>
      </c>
      <c r="AA539" s="8">
        <v>-1.5</v>
      </c>
      <c r="AB539" s="8">
        <v>-0.28000000000000003</v>
      </c>
      <c r="AC539" s="8">
        <v>-2.7</v>
      </c>
      <c r="AD539" s="8">
        <f t="shared" si="430"/>
        <v>-84.346632247197007</v>
      </c>
      <c r="AE539" s="2" t="s">
        <v>84</v>
      </c>
      <c r="AG539" s="8">
        <v>-1493681</v>
      </c>
      <c r="AH539" s="8">
        <v>-1493681</v>
      </c>
      <c r="AI539" s="6"/>
      <c r="AJ539" s="70">
        <v>-310378</v>
      </c>
      <c r="AK539" s="70">
        <v>114979.8</v>
      </c>
      <c r="AL539" s="121"/>
      <c r="AM539" s="22"/>
      <c r="AO539" s="22" t="s">
        <v>204</v>
      </c>
      <c r="AP539" s="23">
        <v>21510</v>
      </c>
      <c r="AQ539" s="22" t="s">
        <v>1029</v>
      </c>
      <c r="AR539" s="51" t="str">
        <f t="shared" si="392"/>
        <v>ED8B-21510-AH</v>
      </c>
      <c r="AS539" s="3"/>
      <c r="AT539" s="22"/>
      <c r="AU539" s="22"/>
      <c r="AV539" s="22"/>
      <c r="AW539" s="22"/>
      <c r="AX539" s="22"/>
      <c r="AY539" s="22"/>
      <c r="AZ539" s="22">
        <v>1</v>
      </c>
      <c r="BA539" s="22">
        <v>1</v>
      </c>
      <c r="BB539" s="64">
        <f t="shared" si="393"/>
        <v>0.1</v>
      </c>
      <c r="BD539" s="60">
        <v>-74.686632247197011</v>
      </c>
      <c r="BE539" s="60">
        <v>-5.18</v>
      </c>
      <c r="BF539" s="95">
        <v>-1.5</v>
      </c>
      <c r="BG539" s="95">
        <v>-0.28000000000000003</v>
      </c>
      <c r="BH539" s="95"/>
      <c r="BI539" s="8">
        <f t="shared" si="397"/>
        <v>-81.646632247197005</v>
      </c>
      <c r="BJ539" s="2" t="s">
        <v>84</v>
      </c>
      <c r="BL539" s="70">
        <v>-808324</v>
      </c>
      <c r="BM539" s="70">
        <v>-808324</v>
      </c>
      <c r="BO539" s="70">
        <v>-620756</v>
      </c>
      <c r="BP539" s="70">
        <v>1034818.2000000001</v>
      </c>
      <c r="BQ539" s="72"/>
      <c r="BS539" s="61">
        <f t="shared" si="424"/>
        <v>0</v>
      </c>
      <c r="BT539" s="61">
        <f t="shared" si="418"/>
        <v>0</v>
      </c>
      <c r="BU539" s="61">
        <f t="shared" si="419"/>
        <v>0</v>
      </c>
      <c r="BV539" s="61">
        <f t="shared" si="420"/>
        <v>0</v>
      </c>
      <c r="BW539" s="61">
        <f t="shared" si="420"/>
        <v>-2.7</v>
      </c>
      <c r="BX539" s="61">
        <f t="shared" si="431"/>
        <v>-2.7000000000000028</v>
      </c>
      <c r="BY539" s="61" t="s">
        <v>91</v>
      </c>
      <c r="CA539" s="61">
        <f t="shared" si="425"/>
        <v>0</v>
      </c>
      <c r="CB539" s="61">
        <f t="shared" si="425"/>
        <v>0</v>
      </c>
      <c r="CC539" s="61">
        <f t="shared" si="425"/>
        <v>0</v>
      </c>
      <c r="CD539" s="61">
        <f t="shared" si="425"/>
        <v>0</v>
      </c>
      <c r="CE539" s="61">
        <f t="shared" si="425"/>
        <v>0</v>
      </c>
      <c r="CF539" s="61">
        <f t="shared" si="425"/>
        <v>0</v>
      </c>
      <c r="CG539" s="61">
        <f t="shared" si="425"/>
        <v>0</v>
      </c>
      <c r="CH539" s="61">
        <f t="shared" si="425"/>
        <v>0</v>
      </c>
      <c r="CI539" s="61">
        <f t="shared" si="421"/>
        <v>0</v>
      </c>
      <c r="CJ539" s="61"/>
      <c r="CK539" s="61">
        <f t="shared" si="432"/>
        <v>0</v>
      </c>
      <c r="CL539" s="61">
        <f t="shared" si="432"/>
        <v>0</v>
      </c>
      <c r="CM539" s="61">
        <f t="shared" si="432"/>
        <v>0</v>
      </c>
      <c r="CN539" s="61">
        <f t="shared" si="432"/>
        <v>0</v>
      </c>
      <c r="CO539" s="61">
        <f t="shared" si="432"/>
        <v>0</v>
      </c>
      <c r="CP539" s="61">
        <f t="shared" si="432"/>
        <v>0</v>
      </c>
      <c r="CQ539" s="61">
        <f t="shared" si="432"/>
        <v>-0.40619828494057508</v>
      </c>
      <c r="CR539" s="61">
        <f t="shared" si="429"/>
        <v>-0.40619828494057508</v>
      </c>
      <c r="CS539" s="61">
        <f t="shared" si="422"/>
        <v>-4.0619828494057514E-2</v>
      </c>
      <c r="CT539" s="61">
        <f t="shared" si="423"/>
        <v>-0.2700000000000003</v>
      </c>
      <c r="CV539" s="61">
        <f t="shared" si="408"/>
        <v>-685357</v>
      </c>
      <c r="CW539" s="61">
        <f t="shared" si="433"/>
        <v>-685357</v>
      </c>
      <c r="CX539" s="61"/>
      <c r="CY539" s="61">
        <f t="shared" si="428"/>
        <v>310378</v>
      </c>
      <c r="CZ539" s="61">
        <f t="shared" si="391"/>
        <v>-919838.4</v>
      </c>
      <c r="DA539" s="61">
        <f t="shared" si="391"/>
        <v>0</v>
      </c>
      <c r="DB539" s="2" t="s">
        <v>85</v>
      </c>
      <c r="DC539" s="2" t="s">
        <v>86</v>
      </c>
      <c r="DD539" s="2" t="s">
        <v>142</v>
      </c>
      <c r="DE539" s="2" t="s">
        <v>264</v>
      </c>
      <c r="DG539" s="62"/>
      <c r="DZ539" s="3" t="e">
        <v>#N/A</v>
      </c>
      <c r="EC539" s="60"/>
      <c r="ED539" s="60"/>
      <c r="EE539" s="60"/>
      <c r="EF539" s="60"/>
    </row>
    <row r="540" spans="2:140" s="115" customFormat="1" ht="12.75" hidden="1" customHeight="1">
      <c r="B540" s="99" t="s">
        <v>1020</v>
      </c>
      <c r="C540" s="115" t="s">
        <v>1023</v>
      </c>
      <c r="D540" s="115" t="s">
        <v>967</v>
      </c>
      <c r="E540" s="115" t="s">
        <v>1024</v>
      </c>
      <c r="F540" s="115" t="s">
        <v>1025</v>
      </c>
      <c r="G540" s="115" t="s">
        <v>994</v>
      </c>
      <c r="J540" s="115" t="s">
        <v>126</v>
      </c>
      <c r="K540" s="122">
        <v>21511</v>
      </c>
      <c r="L540" s="115" t="s">
        <v>100</v>
      </c>
      <c r="M540" s="51" t="str">
        <f t="shared" si="402"/>
        <v>JD8B-21511-AA</v>
      </c>
      <c r="N540" s="123"/>
      <c r="O540" s="115">
        <v>1</v>
      </c>
      <c r="P540" s="115">
        <v>1</v>
      </c>
      <c r="Q540" s="124">
        <v>1</v>
      </c>
      <c r="R540" s="115">
        <v>1</v>
      </c>
      <c r="S540" s="115">
        <v>1</v>
      </c>
      <c r="T540" s="115">
        <v>1</v>
      </c>
      <c r="W540" s="125">
        <f t="shared" si="403"/>
        <v>0.9</v>
      </c>
      <c r="Y540" s="126">
        <v>-46.785754981083691</v>
      </c>
      <c r="Z540" s="126">
        <v>-5.18</v>
      </c>
      <c r="AA540" s="126">
        <v>-1.5</v>
      </c>
      <c r="AB540" s="126">
        <v>-0.28000000000000003</v>
      </c>
      <c r="AC540" s="126">
        <v>-0.6</v>
      </c>
      <c r="AD540" s="126">
        <f t="shared" si="430"/>
        <v>-54.345754981083694</v>
      </c>
      <c r="AE540" s="115" t="s">
        <v>84</v>
      </c>
      <c r="AG540" s="126" t="s">
        <v>1030</v>
      </c>
      <c r="AH540" s="126" t="s">
        <v>1030</v>
      </c>
      <c r="AI540" s="127"/>
      <c r="AJ540" s="70" t="s">
        <v>1030</v>
      </c>
      <c r="AK540" s="70" t="s">
        <v>1030</v>
      </c>
      <c r="AL540" s="72"/>
      <c r="AO540" s="115" t="s">
        <v>128</v>
      </c>
      <c r="AP540" s="122">
        <v>21511</v>
      </c>
      <c r="AQ540" s="115" t="s">
        <v>845</v>
      </c>
      <c r="AR540" s="51" t="str">
        <f t="shared" ref="AR540:AR580" si="441">TRIM(AO540)&amp;"-"&amp;TRIM(AP540)&amp;"-"&amp;TRIM(AQ540)</f>
        <v>ED8B-21511-AH</v>
      </c>
      <c r="AS540" s="123"/>
      <c r="AT540" s="115">
        <v>1</v>
      </c>
      <c r="AU540" s="115">
        <v>1</v>
      </c>
      <c r="AV540" s="124">
        <v>1</v>
      </c>
      <c r="AW540" s="115">
        <v>1</v>
      </c>
      <c r="AX540" s="115">
        <v>1</v>
      </c>
      <c r="AY540" s="115">
        <v>1</v>
      </c>
      <c r="BB540" s="125">
        <f t="shared" ref="BB540" si="442">SUMPRODUCT(AT540:BA540,$O$6:$V$6)</f>
        <v>0.9</v>
      </c>
      <c r="BD540" s="60">
        <v>-46.785754981083691</v>
      </c>
      <c r="BE540" s="60">
        <v>-5.18</v>
      </c>
      <c r="BF540" s="95">
        <v>-1.5</v>
      </c>
      <c r="BG540" s="95">
        <v>-0.28000000000000003</v>
      </c>
      <c r="BH540" s="95"/>
      <c r="BI540" s="126">
        <f t="shared" si="397"/>
        <v>-53.745754981083692</v>
      </c>
      <c r="BJ540" s="115" t="s">
        <v>84</v>
      </c>
      <c r="BL540" s="70"/>
      <c r="BM540" s="70"/>
      <c r="BO540" s="70">
        <v>0</v>
      </c>
      <c r="BP540" s="70"/>
      <c r="BQ540" s="72"/>
      <c r="BS540" s="61">
        <f t="shared" si="424"/>
        <v>0</v>
      </c>
      <c r="BT540" s="61">
        <f t="shared" si="418"/>
        <v>0</v>
      </c>
      <c r="BU540" s="61">
        <f t="shared" si="419"/>
        <v>0</v>
      </c>
      <c r="BV540" s="61">
        <f t="shared" si="420"/>
        <v>0</v>
      </c>
      <c r="BW540" s="61">
        <f t="shared" si="420"/>
        <v>-0.6</v>
      </c>
      <c r="BX540" s="61">
        <f t="shared" si="431"/>
        <v>-0.60000000000000142</v>
      </c>
      <c r="BY540" s="61" t="s">
        <v>91</v>
      </c>
      <c r="CA540" s="61">
        <f t="shared" si="425"/>
        <v>0</v>
      </c>
      <c r="CB540" s="61">
        <f t="shared" si="425"/>
        <v>0</v>
      </c>
      <c r="CC540" s="61">
        <f t="shared" si="425"/>
        <v>0</v>
      </c>
      <c r="CD540" s="61">
        <f t="shared" si="425"/>
        <v>0</v>
      </c>
      <c r="CE540" s="61">
        <f t="shared" si="425"/>
        <v>0</v>
      </c>
      <c r="CF540" s="61">
        <f t="shared" si="425"/>
        <v>0</v>
      </c>
      <c r="CG540" s="61">
        <f t="shared" si="425"/>
        <v>0</v>
      </c>
      <c r="CH540" s="61">
        <f t="shared" si="425"/>
        <v>0</v>
      </c>
      <c r="CI540" s="61">
        <f t="shared" si="421"/>
        <v>0</v>
      </c>
      <c r="CJ540" s="61"/>
      <c r="CK540" s="61">
        <f t="shared" si="432"/>
        <v>-9.0266285542350139E-2</v>
      </c>
      <c r="CL540" s="61">
        <f t="shared" si="432"/>
        <v>-9.0266285542350139E-2</v>
      </c>
      <c r="CM540" s="61">
        <f t="shared" si="432"/>
        <v>-9.0266285542350139E-2</v>
      </c>
      <c r="CN540" s="61">
        <f t="shared" si="432"/>
        <v>-9.0266285542350139E-2</v>
      </c>
      <c r="CO540" s="61">
        <f t="shared" si="432"/>
        <v>-9.0266285542350139E-2</v>
      </c>
      <c r="CP540" s="61">
        <f t="shared" si="432"/>
        <v>-9.0266285542350139E-2</v>
      </c>
      <c r="CQ540" s="61">
        <f t="shared" si="432"/>
        <v>0</v>
      </c>
      <c r="CR540" s="61">
        <f t="shared" si="429"/>
        <v>0</v>
      </c>
      <c r="CS540" s="61">
        <f t="shared" si="422"/>
        <v>-8.1239656988115125E-2</v>
      </c>
      <c r="CT540" s="61">
        <f t="shared" si="423"/>
        <v>-0.54000000000000126</v>
      </c>
      <c r="CV540" s="61">
        <f t="shared" si="408"/>
        <v>0</v>
      </c>
      <c r="CW540" s="61">
        <f t="shared" si="433"/>
        <v>0</v>
      </c>
      <c r="CX540" s="61"/>
      <c r="CY540" s="61">
        <f t="shared" si="428"/>
        <v>0</v>
      </c>
      <c r="CZ540" s="61">
        <f t="shared" si="391"/>
        <v>0</v>
      </c>
      <c r="DA540" s="61">
        <f t="shared" si="391"/>
        <v>0</v>
      </c>
      <c r="DB540" s="115" t="s">
        <v>85</v>
      </c>
      <c r="DC540" s="115" t="s">
        <v>86</v>
      </c>
      <c r="DD540" s="115" t="s">
        <v>142</v>
      </c>
      <c r="DE540" s="115" t="s">
        <v>264</v>
      </c>
      <c r="DF540" s="123"/>
      <c r="DG540" s="128"/>
      <c r="DZ540" s="123" t="e">
        <v>#N/A</v>
      </c>
      <c r="EC540" s="60"/>
      <c r="ED540" s="60"/>
      <c r="EE540" s="60"/>
      <c r="EF540" s="60"/>
    </row>
    <row r="541" spans="2:140" ht="12.75" hidden="1" customHeight="1">
      <c r="B541" s="99" t="s">
        <v>1020</v>
      </c>
      <c r="C541" s="22" t="s">
        <v>1023</v>
      </c>
      <c r="D541" s="120" t="s">
        <v>1031</v>
      </c>
      <c r="E541" s="2" t="s">
        <v>1024</v>
      </c>
      <c r="F541" s="2" t="s">
        <v>1025</v>
      </c>
      <c r="G541" s="2" t="s">
        <v>994</v>
      </c>
      <c r="J541" s="22" t="s">
        <v>126</v>
      </c>
      <c r="K541" s="23">
        <v>21511</v>
      </c>
      <c r="L541" s="22" t="s">
        <v>132</v>
      </c>
      <c r="M541" s="51" t="str">
        <f t="shared" si="402"/>
        <v>JD8B-21511-AB</v>
      </c>
      <c r="O541" s="22">
        <v>1</v>
      </c>
      <c r="P541" s="22">
        <v>1</v>
      </c>
      <c r="Q541" s="94">
        <v>1</v>
      </c>
      <c r="R541" s="22">
        <v>1</v>
      </c>
      <c r="S541" s="22">
        <v>1</v>
      </c>
      <c r="T541" s="22">
        <v>1</v>
      </c>
      <c r="U541" s="22"/>
      <c r="V541" s="22"/>
      <c r="W541" s="64">
        <v>0.9</v>
      </c>
      <c r="Y541" s="8">
        <v>-48.69</v>
      </c>
      <c r="Z541" s="8">
        <v>-5.18</v>
      </c>
      <c r="AA541" s="8">
        <v>-1.5</v>
      </c>
      <c r="AB541" s="8">
        <v>-0.28000000000000003</v>
      </c>
      <c r="AC541" s="8">
        <v>-0.6</v>
      </c>
      <c r="AD541" s="8">
        <f t="shared" si="430"/>
        <v>-56.25</v>
      </c>
      <c r="AE541" s="2" t="s">
        <v>84</v>
      </c>
      <c r="AG541" s="8" t="s">
        <v>1030</v>
      </c>
      <c r="AH541" s="8" t="s">
        <v>1030</v>
      </c>
      <c r="AJ541" s="70" t="s">
        <v>1030</v>
      </c>
      <c r="AK541" s="70" t="s">
        <v>1030</v>
      </c>
      <c r="AL541" s="72"/>
      <c r="AM541" s="22"/>
      <c r="AO541" s="22" t="s">
        <v>126</v>
      </c>
      <c r="AP541" s="23">
        <v>21511</v>
      </c>
      <c r="AQ541" s="22" t="s">
        <v>100</v>
      </c>
      <c r="AR541" s="51" t="str">
        <f t="shared" si="441"/>
        <v>JD8B-21511-AA</v>
      </c>
      <c r="AS541" s="3"/>
      <c r="AT541" s="22">
        <v>1</v>
      </c>
      <c r="AU541" s="22">
        <v>1</v>
      </c>
      <c r="AV541" s="94">
        <v>1</v>
      </c>
      <c r="AW541" s="22">
        <v>1</v>
      </c>
      <c r="AX541" s="22">
        <v>1</v>
      </c>
      <c r="AY541" s="22">
        <v>1</v>
      </c>
      <c r="AZ541" s="22"/>
      <c r="BA541" s="22"/>
      <c r="BB541" s="64">
        <v>0.9</v>
      </c>
      <c r="BD541" s="60">
        <v>-46.785754981083691</v>
      </c>
      <c r="BE541" s="60">
        <v>-5.18</v>
      </c>
      <c r="BF541" s="95">
        <v>-1.5</v>
      </c>
      <c r="BG541" s="95">
        <v>-0.28000000000000003</v>
      </c>
      <c r="BH541" s="95">
        <v>-0.6</v>
      </c>
      <c r="BI541" s="8">
        <f t="shared" ref="BI541:BI582" si="443">SUM(BD541:BH541)</f>
        <v>-54.345754981083694</v>
      </c>
      <c r="BJ541" s="2" t="s">
        <v>84</v>
      </c>
      <c r="BL541" s="70"/>
      <c r="BM541" s="70"/>
      <c r="BO541" s="70">
        <v>0</v>
      </c>
      <c r="BP541" s="70"/>
      <c r="BQ541" s="72"/>
      <c r="BS541" s="61">
        <v>0</v>
      </c>
      <c r="BT541" s="61">
        <v>0</v>
      </c>
      <c r="BU541" s="61">
        <v>0</v>
      </c>
      <c r="BV541" s="61">
        <v>0</v>
      </c>
      <c r="BW541" s="61">
        <v>-0.6</v>
      </c>
      <c r="BX541" s="61">
        <v>-0.60000000000000142</v>
      </c>
      <c r="BY541" s="61" t="s">
        <v>91</v>
      </c>
      <c r="CA541" s="61">
        <v>0</v>
      </c>
      <c r="CB541" s="61">
        <v>0</v>
      </c>
      <c r="CC541" s="61">
        <v>0</v>
      </c>
      <c r="CD541" s="61">
        <v>0</v>
      </c>
      <c r="CE541" s="61">
        <v>0</v>
      </c>
      <c r="CF541" s="61">
        <v>0</v>
      </c>
      <c r="CG541" s="61">
        <v>0</v>
      </c>
      <c r="CH541" s="61">
        <v>0</v>
      </c>
      <c r="CI541" s="61">
        <v>0</v>
      </c>
      <c r="CJ541" s="61"/>
      <c r="CK541" s="61">
        <v>-9.0266285542350139E-2</v>
      </c>
      <c r="CL541" s="61">
        <v>-9.0266285542350139E-2</v>
      </c>
      <c r="CM541" s="61">
        <v>-9.0266285542350139E-2</v>
      </c>
      <c r="CN541" s="61">
        <v>-9.0266285542350139E-2</v>
      </c>
      <c r="CO541" s="61">
        <v>-9.0266285542350139E-2</v>
      </c>
      <c r="CP541" s="61">
        <v>-9.0266285542350139E-2</v>
      </c>
      <c r="CQ541" s="61">
        <v>0</v>
      </c>
      <c r="CR541" s="61">
        <v>0</v>
      </c>
      <c r="CS541" s="61">
        <v>-8.1239656988115125E-2</v>
      </c>
      <c r="CT541" s="61">
        <v>-0.54000000000000126</v>
      </c>
      <c r="CV541" s="61">
        <v>0</v>
      </c>
      <c r="CW541" s="61">
        <v>0</v>
      </c>
      <c r="CX541" s="61"/>
      <c r="CY541" s="61">
        <v>0</v>
      </c>
      <c r="CZ541" s="61">
        <v>0</v>
      </c>
      <c r="DA541" s="61">
        <v>0</v>
      </c>
      <c r="DB541" s="2" t="s">
        <v>86</v>
      </c>
      <c r="DC541" s="2" t="s">
        <v>85</v>
      </c>
      <c r="DD541" s="2" t="s">
        <v>87</v>
      </c>
      <c r="DE541" s="2" t="s">
        <v>106</v>
      </c>
      <c r="DG541" s="62"/>
      <c r="DI541" s="2" t="e">
        <v>#N/A</v>
      </c>
      <c r="DZ541" s="3" t="e">
        <v>#N/A</v>
      </c>
      <c r="EC541" s="60" t="str">
        <f>VLOOKUP($M541,[1]Detail!$M:$BO,1,0)</f>
        <v>JD8B-21511-AB</v>
      </c>
      <c r="ED541" s="60">
        <f>VLOOKUP($M541,[1]Detail!$M:$BO,22,0)</f>
        <v>-56.25</v>
      </c>
      <c r="EE541" s="60" t="str">
        <f>VLOOKUP($M541,[1]Detail!$M:$BO,42,0)</f>
        <v xml:space="preserve">Incl.in 21510 </v>
      </c>
      <c r="EF541" s="60" t="str">
        <f>VLOOKUP($M541,[1]Detail!$M:$BO,45,0)</f>
        <v xml:space="preserve">Incl.in 21510 </v>
      </c>
      <c r="EH541" s="60">
        <f>ED541-AD541</f>
        <v>0</v>
      </c>
      <c r="EI541" s="60" t="e">
        <f>EE541-AG541</f>
        <v>#VALUE!</v>
      </c>
      <c r="EJ541" s="60" t="e">
        <f>EF541-AJ541</f>
        <v>#VALUE!</v>
      </c>
    </row>
    <row r="542" spans="2:140" ht="12.75" hidden="1" customHeight="1">
      <c r="B542" s="99" t="s">
        <v>1020</v>
      </c>
      <c r="C542" s="22" t="s">
        <v>966</v>
      </c>
      <c r="D542" s="2" t="s">
        <v>967</v>
      </c>
      <c r="E542" s="2" t="s">
        <v>968</v>
      </c>
      <c r="F542" s="2" t="s">
        <v>969</v>
      </c>
      <c r="G542" s="2" t="s">
        <v>994</v>
      </c>
      <c r="J542" s="22" t="s">
        <v>138</v>
      </c>
      <c r="K542" s="23">
        <v>21511</v>
      </c>
      <c r="L542" s="22" t="s">
        <v>182</v>
      </c>
      <c r="M542" s="51" t="str">
        <f t="shared" si="402"/>
        <v>JD8B-21511-BA</v>
      </c>
      <c r="O542" s="94"/>
      <c r="P542" s="22"/>
      <c r="Q542" s="22"/>
      <c r="R542" s="22"/>
      <c r="S542" s="22"/>
      <c r="T542" s="22"/>
      <c r="U542" s="22">
        <v>1</v>
      </c>
      <c r="V542" s="22">
        <v>1</v>
      </c>
      <c r="W542" s="64">
        <f t="shared" ref="W542:W605" si="444">SUMPRODUCT(O542:V542,$O$6:$V$6)</f>
        <v>0.1</v>
      </c>
      <c r="Y542" s="8">
        <v>-74.686632247197011</v>
      </c>
      <c r="Z542" s="8">
        <v>-5.18</v>
      </c>
      <c r="AA542" s="8">
        <v>-1.5</v>
      </c>
      <c r="AB542" s="8">
        <v>-0.28000000000000003</v>
      </c>
      <c r="AC542" s="8">
        <v>-2.7</v>
      </c>
      <c r="AD542" s="8">
        <f t="shared" si="430"/>
        <v>-84.346632247197007</v>
      </c>
      <c r="AE542" s="2" t="s">
        <v>84</v>
      </c>
      <c r="AG542" s="8">
        <v>-1493681</v>
      </c>
      <c r="AH542" s="8">
        <v>-1493681</v>
      </c>
      <c r="AI542" s="6"/>
      <c r="AJ542" s="70" t="s">
        <v>1030</v>
      </c>
      <c r="AK542" s="70" t="s">
        <v>1030</v>
      </c>
      <c r="AL542" s="121"/>
      <c r="AM542" s="22"/>
      <c r="AO542" s="22" t="s">
        <v>204</v>
      </c>
      <c r="AP542" s="23">
        <v>21511</v>
      </c>
      <c r="AQ542" s="22" t="s">
        <v>1029</v>
      </c>
      <c r="AR542" s="51" t="str">
        <f t="shared" si="441"/>
        <v>ED8B-21511-AH</v>
      </c>
      <c r="AS542" s="3"/>
      <c r="AT542" s="22"/>
      <c r="AU542" s="22"/>
      <c r="AV542" s="22"/>
      <c r="AW542" s="22"/>
      <c r="AX542" s="22"/>
      <c r="AY542" s="22"/>
      <c r="AZ542" s="22">
        <v>1</v>
      </c>
      <c r="BA542" s="22">
        <v>1</v>
      </c>
      <c r="BB542" s="64">
        <f t="shared" ref="BB542:BB570" si="445">SUMPRODUCT(AT542:BA542,$O$6:$V$6)</f>
        <v>0.1</v>
      </c>
      <c r="BD542" s="60">
        <v>-74.686632247197011</v>
      </c>
      <c r="BE542" s="60">
        <v>-5.18</v>
      </c>
      <c r="BF542" s="95">
        <v>-1.5</v>
      </c>
      <c r="BG542" s="95">
        <v>-0.28000000000000003</v>
      </c>
      <c r="BH542" s="95"/>
      <c r="BI542" s="8">
        <f t="shared" si="443"/>
        <v>-81.646632247197005</v>
      </c>
      <c r="BJ542" s="2" t="s">
        <v>84</v>
      </c>
      <c r="BL542" s="70"/>
      <c r="BM542" s="70"/>
      <c r="BO542" s="70">
        <v>0</v>
      </c>
      <c r="BP542" s="70"/>
      <c r="BQ542" s="72"/>
      <c r="BS542" s="61">
        <f t="shared" ref="BS542:BS605" si="446">SUM(Y542)-SUM(BD542)</f>
        <v>0</v>
      </c>
      <c r="BT542" s="61">
        <f t="shared" ref="BT542:BT605" si="447">SUM(Z542)-SUM(BE542)</f>
        <v>0</v>
      </c>
      <c r="BU542" s="61">
        <f t="shared" ref="BU542:BX573" si="448">SUM(AA542)-SUM(BF542)</f>
        <v>0</v>
      </c>
      <c r="BV542" s="61">
        <f t="shared" si="448"/>
        <v>0</v>
      </c>
      <c r="BW542" s="61">
        <f t="shared" si="448"/>
        <v>-2.7</v>
      </c>
      <c r="BX542" s="61">
        <f t="shared" si="448"/>
        <v>-2.7000000000000028</v>
      </c>
      <c r="BY542" s="61" t="s">
        <v>91</v>
      </c>
      <c r="CA542" s="61">
        <f t="shared" ref="CA542:CH605" si="449">($Y542*O542-AT542*$BD542)/$C$2</f>
        <v>0</v>
      </c>
      <c r="CB542" s="61">
        <f t="shared" si="449"/>
        <v>0</v>
      </c>
      <c r="CC542" s="61">
        <f t="shared" si="449"/>
        <v>0</v>
      </c>
      <c r="CD542" s="61">
        <f t="shared" si="449"/>
        <v>0</v>
      </c>
      <c r="CE542" s="61">
        <f t="shared" si="449"/>
        <v>0</v>
      </c>
      <c r="CF542" s="61">
        <f t="shared" si="449"/>
        <v>0</v>
      </c>
      <c r="CG542" s="61">
        <f t="shared" si="449"/>
        <v>0</v>
      </c>
      <c r="CH542" s="61">
        <f t="shared" si="449"/>
        <v>0</v>
      </c>
      <c r="CI542" s="61">
        <f t="shared" ref="CI542:CI598" si="450">SUMPRODUCT(CA542:CH542,$O$6:$V$6)</f>
        <v>0</v>
      </c>
      <c r="CJ542" s="61"/>
      <c r="CK542" s="61">
        <f t="shared" ref="CK542:CR605" si="451">(O542*$AD542-AT542*$BI542)/$C$2</f>
        <v>0</v>
      </c>
      <c r="CL542" s="61">
        <f t="shared" si="451"/>
        <v>0</v>
      </c>
      <c r="CM542" s="61">
        <f t="shared" si="451"/>
        <v>0</v>
      </c>
      <c r="CN542" s="61">
        <f t="shared" si="451"/>
        <v>0</v>
      </c>
      <c r="CO542" s="61">
        <f t="shared" si="451"/>
        <v>0</v>
      </c>
      <c r="CP542" s="61">
        <f t="shared" si="451"/>
        <v>0</v>
      </c>
      <c r="CQ542" s="61">
        <f t="shared" si="451"/>
        <v>-0.40619828494057508</v>
      </c>
      <c r="CR542" s="61">
        <f t="shared" si="451"/>
        <v>-0.40619828494057508</v>
      </c>
      <c r="CS542" s="61">
        <f t="shared" ref="CS542:CS598" si="452">SUMPRODUCT(CK542:CR542,$O$6:$V$6)</f>
        <v>-4.0619828494057514E-2</v>
      </c>
      <c r="CT542" s="61">
        <f t="shared" ref="CT542:CT598" si="453">CS542*$C$2</f>
        <v>-0.2700000000000003</v>
      </c>
      <c r="CV542" s="61">
        <f>SUM(AG542)-SUM(BL542)</f>
        <v>-1493681</v>
      </c>
      <c r="CW542" s="61">
        <f t="shared" si="433"/>
        <v>-1493681</v>
      </c>
      <c r="CX542" s="61"/>
      <c r="CY542" s="61">
        <f t="shared" si="428"/>
        <v>0</v>
      </c>
      <c r="CZ542" s="61">
        <f t="shared" ref="CZ542:DA613" si="454">SUM(AK542)-SUM(BP542)</f>
        <v>0</v>
      </c>
      <c r="DA542" s="61">
        <f t="shared" si="454"/>
        <v>0</v>
      </c>
      <c r="DB542" s="2" t="s">
        <v>85</v>
      </c>
      <c r="DC542" s="2" t="s">
        <v>86</v>
      </c>
      <c r="DD542" s="2" t="s">
        <v>142</v>
      </c>
      <c r="DE542" s="2" t="s">
        <v>264</v>
      </c>
      <c r="DG542" s="62"/>
      <c r="DZ542" s="3" t="e">
        <v>#N/A</v>
      </c>
      <c r="EC542" s="60"/>
      <c r="ED542" s="60"/>
      <c r="EE542" s="60"/>
      <c r="EF542" s="60"/>
    </row>
    <row r="543" spans="2:140" ht="12.75" hidden="1" customHeight="1">
      <c r="B543" s="99" t="s">
        <v>1020</v>
      </c>
      <c r="C543" s="22" t="s">
        <v>966</v>
      </c>
      <c r="D543" s="2" t="s">
        <v>967</v>
      </c>
      <c r="E543" s="2" t="s">
        <v>968</v>
      </c>
      <c r="F543" s="2" t="s">
        <v>969</v>
      </c>
      <c r="G543" s="2" t="s">
        <v>994</v>
      </c>
      <c r="J543" s="22" t="s">
        <v>138</v>
      </c>
      <c r="K543" s="23">
        <v>25824</v>
      </c>
      <c r="L543" s="22" t="s">
        <v>182</v>
      </c>
      <c r="M543" s="51" t="str">
        <f t="shared" si="402"/>
        <v>JD8B-25824-BA</v>
      </c>
      <c r="O543" s="22"/>
      <c r="P543" s="22"/>
      <c r="Q543" s="22"/>
      <c r="R543" s="22"/>
      <c r="S543" s="22"/>
      <c r="T543" s="22"/>
      <c r="U543" s="22">
        <v>1</v>
      </c>
      <c r="V543" s="22">
        <v>1</v>
      </c>
      <c r="W543" s="64">
        <f t="shared" si="444"/>
        <v>0.1</v>
      </c>
      <c r="Y543" s="8">
        <v>-54.928380679964633</v>
      </c>
      <c r="Z543" s="8">
        <v>-5.27</v>
      </c>
      <c r="AA543" s="8">
        <v>-1.38</v>
      </c>
      <c r="AB543" s="8">
        <v>-0.28000000000000003</v>
      </c>
      <c r="AC543" s="8">
        <v>-2.7</v>
      </c>
      <c r="AD543" s="8">
        <f t="shared" si="430"/>
        <v>-64.558380679964628</v>
      </c>
      <c r="AE543" s="2" t="s">
        <v>84</v>
      </c>
      <c r="AG543" s="8">
        <v>-1236181</v>
      </c>
      <c r="AH543" s="8">
        <v>-1236181</v>
      </c>
      <c r="AI543" s="6"/>
      <c r="AJ543" s="70">
        <v>-310378</v>
      </c>
      <c r="AK543" s="70">
        <v>114979.8</v>
      </c>
      <c r="AL543" s="119"/>
      <c r="AM543" s="22"/>
      <c r="AO543" s="22" t="s">
        <v>204</v>
      </c>
      <c r="AP543" s="23">
        <v>25824</v>
      </c>
      <c r="AQ543" s="22" t="s">
        <v>448</v>
      </c>
      <c r="AR543" s="51" t="str">
        <f t="shared" si="441"/>
        <v>ED8B-25824-AG</v>
      </c>
      <c r="AS543" s="3"/>
      <c r="AT543" s="22"/>
      <c r="AU543" s="22"/>
      <c r="AV543" s="22"/>
      <c r="AW543" s="22"/>
      <c r="AX543" s="22"/>
      <c r="AY543" s="22"/>
      <c r="AZ543" s="22">
        <v>1</v>
      </c>
      <c r="BA543" s="22">
        <v>1</v>
      </c>
      <c r="BB543" s="64">
        <f t="shared" si="445"/>
        <v>0.1</v>
      </c>
      <c r="BD543" s="60">
        <v>-54.928380679964633</v>
      </c>
      <c r="BE543" s="60">
        <v>-5.27</v>
      </c>
      <c r="BF543" s="95">
        <v>-1.38</v>
      </c>
      <c r="BG543" s="95">
        <v>-0.28000000000000003</v>
      </c>
      <c r="BH543" s="95"/>
      <c r="BI543" s="8">
        <f t="shared" si="443"/>
        <v>-61.858380679964633</v>
      </c>
      <c r="BJ543" s="2" t="s">
        <v>84</v>
      </c>
      <c r="BL543" s="70"/>
      <c r="BM543" s="70"/>
      <c r="BO543" s="70">
        <v>0</v>
      </c>
      <c r="BP543" s="70"/>
      <c r="BQ543" s="72"/>
      <c r="BS543" s="61">
        <f t="shared" si="446"/>
        <v>0</v>
      </c>
      <c r="BT543" s="61">
        <f t="shared" si="447"/>
        <v>0</v>
      </c>
      <c r="BU543" s="61">
        <f t="shared" si="448"/>
        <v>0</v>
      </c>
      <c r="BV543" s="61">
        <f t="shared" si="448"/>
        <v>0</v>
      </c>
      <c r="BW543" s="61">
        <f t="shared" si="448"/>
        <v>-2.7</v>
      </c>
      <c r="BX543" s="61">
        <f t="shared" si="448"/>
        <v>-2.6999999999999957</v>
      </c>
      <c r="BY543" s="61" t="s">
        <v>91</v>
      </c>
      <c r="CA543" s="61">
        <f t="shared" si="449"/>
        <v>0</v>
      </c>
      <c r="CB543" s="61">
        <f t="shared" si="449"/>
        <v>0</v>
      </c>
      <c r="CC543" s="61">
        <f t="shared" si="449"/>
        <v>0</v>
      </c>
      <c r="CD543" s="61">
        <f t="shared" si="449"/>
        <v>0</v>
      </c>
      <c r="CE543" s="61">
        <f t="shared" si="449"/>
        <v>0</v>
      </c>
      <c r="CF543" s="61">
        <f t="shared" si="449"/>
        <v>0</v>
      </c>
      <c r="CG543" s="61">
        <f t="shared" si="449"/>
        <v>0</v>
      </c>
      <c r="CH543" s="61">
        <f t="shared" si="449"/>
        <v>0</v>
      </c>
      <c r="CI543" s="61">
        <f t="shared" si="450"/>
        <v>0</v>
      </c>
      <c r="CJ543" s="61"/>
      <c r="CK543" s="61">
        <f t="shared" si="451"/>
        <v>0</v>
      </c>
      <c r="CL543" s="61">
        <f t="shared" si="451"/>
        <v>0</v>
      </c>
      <c r="CM543" s="61">
        <f t="shared" si="451"/>
        <v>0</v>
      </c>
      <c r="CN543" s="61">
        <f t="shared" si="451"/>
        <v>0</v>
      </c>
      <c r="CO543" s="61">
        <f t="shared" si="451"/>
        <v>0</v>
      </c>
      <c r="CP543" s="61">
        <f t="shared" si="451"/>
        <v>0</v>
      </c>
      <c r="CQ543" s="61">
        <f t="shared" si="451"/>
        <v>-0.40619828494057403</v>
      </c>
      <c r="CR543" s="61">
        <f t="shared" si="451"/>
        <v>-0.40619828494057403</v>
      </c>
      <c r="CS543" s="61">
        <f t="shared" si="452"/>
        <v>-4.0619828494057403E-2</v>
      </c>
      <c r="CT543" s="61">
        <f t="shared" si="453"/>
        <v>-0.26999999999999957</v>
      </c>
      <c r="CV543" s="61">
        <f>SUM(AG543)-SUM(BL543)</f>
        <v>-1236181</v>
      </c>
      <c r="CW543" s="61">
        <f t="shared" si="433"/>
        <v>-1236181</v>
      </c>
      <c r="CX543" s="61"/>
      <c r="CY543" s="61">
        <f t="shared" si="428"/>
        <v>-310378</v>
      </c>
      <c r="CZ543" s="61">
        <f t="shared" si="454"/>
        <v>114979.8</v>
      </c>
      <c r="DA543" s="61">
        <f t="shared" si="454"/>
        <v>0</v>
      </c>
      <c r="DB543" s="2" t="s">
        <v>85</v>
      </c>
      <c r="DC543" s="2" t="s">
        <v>86</v>
      </c>
      <c r="DD543" s="2" t="s">
        <v>142</v>
      </c>
      <c r="DE543" s="2" t="s">
        <v>264</v>
      </c>
      <c r="DG543" s="62"/>
      <c r="DZ543" s="3" t="e">
        <v>#N/A</v>
      </c>
      <c r="EC543" s="60"/>
      <c r="ED543" s="60"/>
      <c r="EE543" s="60"/>
      <c r="EF543" s="60"/>
    </row>
    <row r="544" spans="2:140" ht="12.75" hidden="1" customHeight="1">
      <c r="B544" s="99" t="s">
        <v>1020</v>
      </c>
      <c r="C544" s="22" t="s">
        <v>966</v>
      </c>
      <c r="D544" s="2" t="s">
        <v>967</v>
      </c>
      <c r="E544" s="2" t="s">
        <v>968</v>
      </c>
      <c r="F544" s="2" t="s">
        <v>969</v>
      </c>
      <c r="G544" s="2" t="s">
        <v>994</v>
      </c>
      <c r="J544" s="22" t="s">
        <v>138</v>
      </c>
      <c r="K544" s="23">
        <v>25825</v>
      </c>
      <c r="L544" s="22" t="s">
        <v>182</v>
      </c>
      <c r="M544" s="51" t="str">
        <f t="shared" si="402"/>
        <v>JD8B-25825-BA</v>
      </c>
      <c r="O544" s="22"/>
      <c r="P544" s="22"/>
      <c r="Q544" s="22"/>
      <c r="R544" s="22"/>
      <c r="S544" s="22"/>
      <c r="T544" s="22"/>
      <c r="U544" s="22">
        <v>1</v>
      </c>
      <c r="V544" s="22">
        <v>1</v>
      </c>
      <c r="W544" s="64">
        <f t="shared" si="444"/>
        <v>0.1</v>
      </c>
      <c r="Y544" s="8">
        <v>-54.928380679964633</v>
      </c>
      <c r="Z544" s="8">
        <v>-5.27</v>
      </c>
      <c r="AA544" s="8">
        <v>-1.38</v>
      </c>
      <c r="AB544" s="8">
        <v>-0.28000000000000003</v>
      </c>
      <c r="AC544" s="8">
        <v>-2.7</v>
      </c>
      <c r="AD544" s="8">
        <f t="shared" si="430"/>
        <v>-64.558380679964628</v>
      </c>
      <c r="AE544" s="2" t="s">
        <v>84</v>
      </c>
      <c r="AG544" s="8">
        <v>-1236181</v>
      </c>
      <c r="AH544" s="8">
        <v>-1236181</v>
      </c>
      <c r="AI544" s="6"/>
      <c r="AJ544" s="70" t="s">
        <v>1032</v>
      </c>
      <c r="AK544" s="70" t="s">
        <v>1032</v>
      </c>
      <c r="AL544" s="72"/>
      <c r="AM544" s="22"/>
      <c r="AO544" s="22" t="s">
        <v>204</v>
      </c>
      <c r="AP544" s="23">
        <v>25825</v>
      </c>
      <c r="AQ544" s="22" t="s">
        <v>448</v>
      </c>
      <c r="AR544" s="51" t="str">
        <f t="shared" si="441"/>
        <v>ED8B-25825-AG</v>
      </c>
      <c r="AS544" s="3"/>
      <c r="AT544" s="22"/>
      <c r="AU544" s="22"/>
      <c r="AV544" s="22"/>
      <c r="AW544" s="22"/>
      <c r="AX544" s="22"/>
      <c r="AY544" s="22"/>
      <c r="AZ544" s="22">
        <v>1</v>
      </c>
      <c r="BA544" s="22">
        <v>1</v>
      </c>
      <c r="BB544" s="64">
        <f t="shared" si="445"/>
        <v>0.1</v>
      </c>
      <c r="BD544" s="60">
        <v>-54.928380679964633</v>
      </c>
      <c r="BE544" s="60">
        <v>-5.27</v>
      </c>
      <c r="BF544" s="95">
        <v>-1.38</v>
      </c>
      <c r="BG544" s="95">
        <v>-0.28000000000000003</v>
      </c>
      <c r="BH544" s="95"/>
      <c r="BI544" s="8">
        <f t="shared" si="443"/>
        <v>-61.858380679964633</v>
      </c>
      <c r="BJ544" s="2" t="s">
        <v>84</v>
      </c>
      <c r="BL544" s="70"/>
      <c r="BM544" s="70"/>
      <c r="BO544" s="70">
        <v>0</v>
      </c>
      <c r="BP544" s="70"/>
      <c r="BQ544" s="72"/>
      <c r="BS544" s="61">
        <f t="shared" si="446"/>
        <v>0</v>
      </c>
      <c r="BT544" s="61">
        <f t="shared" si="447"/>
        <v>0</v>
      </c>
      <c r="BU544" s="61">
        <f t="shared" si="448"/>
        <v>0</v>
      </c>
      <c r="BV544" s="61">
        <f t="shared" si="448"/>
        <v>0</v>
      </c>
      <c r="BW544" s="61">
        <f t="shared" si="448"/>
        <v>-2.7</v>
      </c>
      <c r="BX544" s="61">
        <f t="shared" si="448"/>
        <v>-2.6999999999999957</v>
      </c>
      <c r="BY544" s="61" t="s">
        <v>91</v>
      </c>
      <c r="CA544" s="61">
        <f t="shared" si="449"/>
        <v>0</v>
      </c>
      <c r="CB544" s="61">
        <f t="shared" si="449"/>
        <v>0</v>
      </c>
      <c r="CC544" s="61">
        <f t="shared" si="449"/>
        <v>0</v>
      </c>
      <c r="CD544" s="61">
        <f t="shared" si="449"/>
        <v>0</v>
      </c>
      <c r="CE544" s="61">
        <f t="shared" si="449"/>
        <v>0</v>
      </c>
      <c r="CF544" s="61">
        <f t="shared" si="449"/>
        <v>0</v>
      </c>
      <c r="CG544" s="61">
        <f t="shared" si="449"/>
        <v>0</v>
      </c>
      <c r="CH544" s="61">
        <f t="shared" si="449"/>
        <v>0</v>
      </c>
      <c r="CI544" s="61">
        <f t="shared" si="450"/>
        <v>0</v>
      </c>
      <c r="CJ544" s="61"/>
      <c r="CK544" s="61">
        <f t="shared" si="451"/>
        <v>0</v>
      </c>
      <c r="CL544" s="61">
        <f t="shared" si="451"/>
        <v>0</v>
      </c>
      <c r="CM544" s="61">
        <f t="shared" si="451"/>
        <v>0</v>
      </c>
      <c r="CN544" s="61">
        <f t="shared" si="451"/>
        <v>0</v>
      </c>
      <c r="CO544" s="61">
        <f t="shared" si="451"/>
        <v>0</v>
      </c>
      <c r="CP544" s="61">
        <f t="shared" si="451"/>
        <v>0</v>
      </c>
      <c r="CQ544" s="61">
        <f t="shared" si="451"/>
        <v>-0.40619828494057403</v>
      </c>
      <c r="CR544" s="61">
        <f t="shared" si="451"/>
        <v>-0.40619828494057403</v>
      </c>
      <c r="CS544" s="61">
        <f t="shared" si="452"/>
        <v>-4.0619828494057403E-2</v>
      </c>
      <c r="CT544" s="61">
        <f t="shared" si="453"/>
        <v>-0.26999999999999957</v>
      </c>
      <c r="CV544" s="61">
        <f>SUM(AG544)-SUM(BL544)</f>
        <v>-1236181</v>
      </c>
      <c r="CW544" s="61">
        <f t="shared" si="433"/>
        <v>-1236181</v>
      </c>
      <c r="CX544" s="61"/>
      <c r="CY544" s="61">
        <f t="shared" si="428"/>
        <v>0</v>
      </c>
      <c r="CZ544" s="61">
        <f t="shared" si="454"/>
        <v>0</v>
      </c>
      <c r="DA544" s="61">
        <f t="shared" si="454"/>
        <v>0</v>
      </c>
      <c r="DB544" s="2" t="s">
        <v>85</v>
      </c>
      <c r="DC544" s="2" t="s">
        <v>86</v>
      </c>
      <c r="DD544" s="2" t="s">
        <v>142</v>
      </c>
      <c r="DE544" s="2" t="s">
        <v>264</v>
      </c>
      <c r="DG544" s="62"/>
      <c r="DZ544" s="3" t="e">
        <v>#N/A</v>
      </c>
      <c r="EC544" s="60"/>
      <c r="ED544" s="60"/>
      <c r="EE544" s="60"/>
      <c r="EF544" s="60"/>
    </row>
    <row r="545" spans="2:140" ht="12.75" hidden="1" customHeight="1">
      <c r="B545" s="99" t="s">
        <v>1033</v>
      </c>
      <c r="C545" s="2" t="s">
        <v>1034</v>
      </c>
      <c r="D545" s="2" t="s">
        <v>1035</v>
      </c>
      <c r="E545" s="2" t="s">
        <v>993</v>
      </c>
      <c r="F545" s="2" t="s">
        <v>969</v>
      </c>
      <c r="G545" s="2" t="s">
        <v>331</v>
      </c>
      <c r="J545" s="22" t="s">
        <v>138</v>
      </c>
      <c r="K545" s="23" t="s">
        <v>1036</v>
      </c>
      <c r="L545" s="22" t="s">
        <v>83</v>
      </c>
      <c r="M545" s="51" t="str">
        <f t="shared" si="402"/>
        <v>JD8B-F130A02-AAW</v>
      </c>
      <c r="O545" s="22">
        <v>1</v>
      </c>
      <c r="P545" s="22">
        <v>1</v>
      </c>
      <c r="Q545" s="22">
        <v>1</v>
      </c>
      <c r="R545" s="22">
        <v>1</v>
      </c>
      <c r="S545" s="22">
        <v>1</v>
      </c>
      <c r="T545" s="22">
        <v>1</v>
      </c>
      <c r="U545" s="22">
        <v>1</v>
      </c>
      <c r="V545" s="22">
        <v>1</v>
      </c>
      <c r="W545" s="64">
        <f t="shared" si="444"/>
        <v>1</v>
      </c>
      <c r="Y545" s="8">
        <v>-2.16</v>
      </c>
      <c r="Z545" s="8">
        <v>0</v>
      </c>
      <c r="AA545" s="8">
        <v>0</v>
      </c>
      <c r="AB545" s="8">
        <v>0</v>
      </c>
      <c r="AC545" s="8">
        <v>0</v>
      </c>
      <c r="AD545" s="8">
        <f t="shared" si="430"/>
        <v>-2.16</v>
      </c>
      <c r="AE545" s="2" t="s">
        <v>84</v>
      </c>
      <c r="AG545" s="8">
        <v>-9543879</v>
      </c>
      <c r="AH545" s="8">
        <v>-9543879</v>
      </c>
      <c r="AI545" s="6"/>
      <c r="AJ545" s="6">
        <v>-9347539</v>
      </c>
      <c r="AK545" s="6">
        <v>574889</v>
      </c>
      <c r="AL545" s="72"/>
      <c r="AM545" s="22"/>
      <c r="AO545" s="22" t="s">
        <v>138</v>
      </c>
      <c r="AP545" s="23" t="s">
        <v>1036</v>
      </c>
      <c r="AQ545" s="22" t="s">
        <v>83</v>
      </c>
      <c r="AR545" s="51" t="str">
        <f t="shared" si="441"/>
        <v>JD8B-F130A02-AAW</v>
      </c>
      <c r="AS545" s="3"/>
      <c r="AT545" s="22">
        <v>1</v>
      </c>
      <c r="AU545" s="22">
        <v>1</v>
      </c>
      <c r="AV545" s="22">
        <v>1</v>
      </c>
      <c r="AW545" s="22">
        <v>1</v>
      </c>
      <c r="AX545" s="22">
        <v>1</v>
      </c>
      <c r="AY545" s="22">
        <v>1</v>
      </c>
      <c r="AZ545" s="22">
        <v>1</v>
      </c>
      <c r="BA545" s="22">
        <v>1</v>
      </c>
      <c r="BB545" s="64">
        <f t="shared" si="445"/>
        <v>1</v>
      </c>
      <c r="BD545" s="60">
        <v>-2.16</v>
      </c>
      <c r="BE545" s="95">
        <v>0</v>
      </c>
      <c r="BF545" s="95">
        <v>0</v>
      </c>
      <c r="BG545" s="95">
        <v>0</v>
      </c>
      <c r="BH545" s="95">
        <v>0</v>
      </c>
      <c r="BI545" s="8">
        <f t="shared" si="443"/>
        <v>-2.16</v>
      </c>
      <c r="BJ545" s="2" t="s">
        <v>91</v>
      </c>
      <c r="BL545" s="70"/>
      <c r="BM545" s="70"/>
      <c r="BO545" s="70"/>
      <c r="BP545" s="70"/>
      <c r="BQ545" s="72"/>
      <c r="BS545" s="61">
        <f t="shared" si="446"/>
        <v>0</v>
      </c>
      <c r="BT545" s="61">
        <f t="shared" si="447"/>
        <v>0</v>
      </c>
      <c r="BU545" s="61">
        <f t="shared" si="448"/>
        <v>0</v>
      </c>
      <c r="BV545" s="61">
        <f t="shared" si="448"/>
        <v>0</v>
      </c>
      <c r="BW545" s="61">
        <f t="shared" si="448"/>
        <v>0</v>
      </c>
      <c r="BX545" s="61">
        <f t="shared" si="448"/>
        <v>0</v>
      </c>
      <c r="BY545" s="61" t="s">
        <v>91</v>
      </c>
      <c r="CA545" s="61">
        <f t="shared" si="449"/>
        <v>0</v>
      </c>
      <c r="CB545" s="61">
        <f t="shared" si="449"/>
        <v>0</v>
      </c>
      <c r="CC545" s="61">
        <f t="shared" si="449"/>
        <v>0</v>
      </c>
      <c r="CD545" s="61">
        <f t="shared" si="449"/>
        <v>0</v>
      </c>
      <c r="CE545" s="61">
        <f t="shared" si="449"/>
        <v>0</v>
      </c>
      <c r="CF545" s="61">
        <f t="shared" si="449"/>
        <v>0</v>
      </c>
      <c r="CG545" s="61">
        <f t="shared" si="449"/>
        <v>0</v>
      </c>
      <c r="CH545" s="61">
        <f t="shared" si="449"/>
        <v>0</v>
      </c>
      <c r="CI545" s="61">
        <f t="shared" si="450"/>
        <v>0</v>
      </c>
      <c r="CJ545" s="61"/>
      <c r="CK545" s="61">
        <f t="shared" si="451"/>
        <v>0</v>
      </c>
      <c r="CL545" s="61">
        <f t="shared" si="451"/>
        <v>0</v>
      </c>
      <c r="CM545" s="61">
        <f t="shared" si="451"/>
        <v>0</v>
      </c>
      <c r="CN545" s="61">
        <f t="shared" si="451"/>
        <v>0</v>
      </c>
      <c r="CO545" s="61">
        <f t="shared" si="451"/>
        <v>0</v>
      </c>
      <c r="CP545" s="61">
        <f t="shared" si="451"/>
        <v>0</v>
      </c>
      <c r="CQ545" s="61">
        <f t="shared" si="451"/>
        <v>0</v>
      </c>
      <c r="CR545" s="61">
        <f t="shared" si="451"/>
        <v>0</v>
      </c>
      <c r="CS545" s="61">
        <f t="shared" si="452"/>
        <v>0</v>
      </c>
      <c r="CT545" s="61">
        <f t="shared" si="453"/>
        <v>0</v>
      </c>
      <c r="CV545" s="61">
        <f>SUM(AG545)-SUM(BL545)</f>
        <v>-9543879</v>
      </c>
      <c r="CW545" s="61">
        <f t="shared" si="433"/>
        <v>-9543879</v>
      </c>
      <c r="CX545" s="61"/>
      <c r="CY545" s="61">
        <f t="shared" si="428"/>
        <v>-9347539</v>
      </c>
      <c r="CZ545" s="61">
        <f t="shared" si="454"/>
        <v>574889</v>
      </c>
      <c r="DA545" s="61">
        <f t="shared" si="454"/>
        <v>0</v>
      </c>
      <c r="DB545" s="2" t="s">
        <v>85</v>
      </c>
      <c r="DC545" s="2" t="s">
        <v>86</v>
      </c>
      <c r="DD545" s="2" t="s">
        <v>142</v>
      </c>
      <c r="DE545" s="2" t="s">
        <v>264</v>
      </c>
      <c r="DG545" s="62"/>
      <c r="EC545" s="60"/>
      <c r="ED545" s="60"/>
      <c r="EE545" s="60"/>
      <c r="EF545" s="60"/>
      <c r="EH545" s="60"/>
      <c r="EI545" s="60"/>
      <c r="EJ545" s="60"/>
    </row>
    <row r="546" spans="2:140" ht="12.75" hidden="1" customHeight="1">
      <c r="B546" s="99" t="s">
        <v>1037</v>
      </c>
      <c r="C546" s="2" t="s">
        <v>1034</v>
      </c>
      <c r="D546" s="2" t="s">
        <v>1035</v>
      </c>
      <c r="E546" s="2" t="s">
        <v>993</v>
      </c>
      <c r="F546" s="2" t="s">
        <v>969</v>
      </c>
      <c r="G546" s="2" t="s">
        <v>331</v>
      </c>
      <c r="J546" s="22" t="s">
        <v>138</v>
      </c>
      <c r="K546" s="23" t="s">
        <v>1036</v>
      </c>
      <c r="L546" s="22" t="s">
        <v>93</v>
      </c>
      <c r="M546" s="51" t="str">
        <f t="shared" si="402"/>
        <v>JD8B-F130A02-ABW</v>
      </c>
      <c r="O546" s="22">
        <v>1</v>
      </c>
      <c r="P546" s="22">
        <v>1</v>
      </c>
      <c r="Q546" s="22">
        <v>1</v>
      </c>
      <c r="R546" s="22">
        <v>1</v>
      </c>
      <c r="S546" s="22">
        <v>1</v>
      </c>
      <c r="T546" s="22">
        <v>1</v>
      </c>
      <c r="U546" s="22">
        <v>1</v>
      </c>
      <c r="V546" s="22">
        <v>1</v>
      </c>
      <c r="W546" s="64">
        <f t="shared" si="444"/>
        <v>1</v>
      </c>
      <c r="Y546" s="8">
        <v>-2.16</v>
      </c>
      <c r="Z546" s="8">
        <v>0</v>
      </c>
      <c r="AA546" s="8">
        <v>0</v>
      </c>
      <c r="AB546" s="8">
        <v>0</v>
      </c>
      <c r="AC546" s="8">
        <v>0</v>
      </c>
      <c r="AD546" s="8">
        <f>SUM(BD546:BH546)</f>
        <v>-2.16</v>
      </c>
      <c r="AE546" s="2" t="s">
        <v>84</v>
      </c>
      <c r="AG546" s="6">
        <v>-9543879</v>
      </c>
      <c r="AH546" s="6">
        <v>-9543879</v>
      </c>
      <c r="AI546" s="6"/>
      <c r="AJ546" s="6">
        <v>-9347539</v>
      </c>
      <c r="AK546" s="6">
        <v>574889</v>
      </c>
      <c r="AL546" s="72"/>
      <c r="AM546" s="22"/>
      <c r="AO546" s="22" t="s">
        <v>138</v>
      </c>
      <c r="AP546" s="23" t="s">
        <v>1036</v>
      </c>
      <c r="AQ546" s="22" t="s">
        <v>83</v>
      </c>
      <c r="AR546" s="51" t="str">
        <f t="shared" si="441"/>
        <v>JD8B-F130A02-AAW</v>
      </c>
      <c r="AS546" s="3"/>
      <c r="AT546" s="22">
        <v>1</v>
      </c>
      <c r="AU546" s="22">
        <v>1</v>
      </c>
      <c r="AV546" s="22">
        <v>1</v>
      </c>
      <c r="AW546" s="22">
        <v>1</v>
      </c>
      <c r="AX546" s="22">
        <v>1</v>
      </c>
      <c r="AY546" s="22">
        <v>1</v>
      </c>
      <c r="AZ546" s="22">
        <v>1</v>
      </c>
      <c r="BA546" s="22">
        <v>1</v>
      </c>
      <c r="BB546" s="64">
        <f t="shared" si="445"/>
        <v>1</v>
      </c>
      <c r="BD546" s="8">
        <v>-2.16</v>
      </c>
      <c r="BE546" s="8">
        <v>0</v>
      </c>
      <c r="BF546" s="8">
        <v>0</v>
      </c>
      <c r="BG546" s="8">
        <v>0</v>
      </c>
      <c r="BH546" s="8">
        <v>0</v>
      </c>
      <c r="BI546" s="8">
        <f t="shared" si="443"/>
        <v>-2.16</v>
      </c>
      <c r="BJ546" s="2" t="s">
        <v>91</v>
      </c>
      <c r="BL546" s="70"/>
      <c r="BM546" s="70"/>
      <c r="BO546" s="70"/>
      <c r="BP546" s="70"/>
      <c r="BQ546" s="72"/>
      <c r="BS546" s="61">
        <f t="shared" si="446"/>
        <v>0</v>
      </c>
      <c r="BT546" s="61">
        <f t="shared" si="447"/>
        <v>0</v>
      </c>
      <c r="BU546" s="61">
        <f t="shared" si="448"/>
        <v>0</v>
      </c>
      <c r="BV546" s="61">
        <f t="shared" si="448"/>
        <v>0</v>
      </c>
      <c r="BW546" s="61">
        <f t="shared" si="448"/>
        <v>0</v>
      </c>
      <c r="BX546" s="61">
        <f t="shared" si="448"/>
        <v>0</v>
      </c>
      <c r="BY546" s="61" t="s">
        <v>91</v>
      </c>
      <c r="CA546" s="61">
        <f t="shared" si="449"/>
        <v>0</v>
      </c>
      <c r="CB546" s="61">
        <f t="shared" si="449"/>
        <v>0</v>
      </c>
      <c r="CC546" s="61">
        <f t="shared" si="449"/>
        <v>0</v>
      </c>
      <c r="CD546" s="61">
        <f t="shared" si="449"/>
        <v>0</v>
      </c>
      <c r="CE546" s="61">
        <f t="shared" si="449"/>
        <v>0</v>
      </c>
      <c r="CF546" s="61">
        <f t="shared" si="449"/>
        <v>0</v>
      </c>
      <c r="CG546" s="61">
        <f t="shared" si="449"/>
        <v>0</v>
      </c>
      <c r="CH546" s="61">
        <f t="shared" si="449"/>
        <v>0</v>
      </c>
      <c r="CI546" s="61">
        <f t="shared" si="450"/>
        <v>0</v>
      </c>
      <c r="CJ546" s="61"/>
      <c r="CK546" s="61">
        <f t="shared" si="451"/>
        <v>0</v>
      </c>
      <c r="CL546" s="61">
        <f t="shared" si="451"/>
        <v>0</v>
      </c>
      <c r="CM546" s="61">
        <f t="shared" si="451"/>
        <v>0</v>
      </c>
      <c r="CN546" s="61">
        <f t="shared" si="451"/>
        <v>0</v>
      </c>
      <c r="CO546" s="61">
        <f t="shared" si="451"/>
        <v>0</v>
      </c>
      <c r="CP546" s="61">
        <f t="shared" si="451"/>
        <v>0</v>
      </c>
      <c r="CQ546" s="61">
        <f t="shared" si="451"/>
        <v>0</v>
      </c>
      <c r="CR546" s="61">
        <f t="shared" si="451"/>
        <v>0</v>
      </c>
      <c r="CS546" s="61">
        <f t="shared" si="452"/>
        <v>0</v>
      </c>
      <c r="CT546" s="61">
        <f t="shared" si="453"/>
        <v>0</v>
      </c>
      <c r="CV546" s="61">
        <f>SUM([1]Detail!BB526)-SUM(BL546)</f>
        <v>-9543879</v>
      </c>
      <c r="CW546" s="61">
        <f t="shared" ref="CW546" si="455">SUM(AH546)-SUM(BM546)</f>
        <v>-9543879</v>
      </c>
      <c r="CX546" s="61"/>
      <c r="CY546" s="61">
        <f t="shared" si="428"/>
        <v>-9347539</v>
      </c>
      <c r="CZ546" s="61">
        <f t="shared" si="428"/>
        <v>574889</v>
      </c>
      <c r="DA546" s="61">
        <f t="shared" si="454"/>
        <v>0</v>
      </c>
      <c r="DB546" s="2" t="s">
        <v>86</v>
      </c>
      <c r="DC546" s="2" t="s">
        <v>85</v>
      </c>
      <c r="DD546" s="2" t="s">
        <v>142</v>
      </c>
      <c r="DE546" s="2" t="s">
        <v>106</v>
      </c>
      <c r="DF546" s="3" t="s">
        <v>86</v>
      </c>
      <c r="DG546" s="62">
        <v>43052</v>
      </c>
      <c r="EC546" s="60" t="str">
        <f>VLOOKUP($M546,[1]Detail!$M:$BO,1,0)</f>
        <v>JD8B-F130A02-ABW</v>
      </c>
      <c r="ED546" s="60">
        <f>VLOOKUP($M546,[1]Detail!$M:$BO,22,0)</f>
        <v>-2.16</v>
      </c>
      <c r="EE546" s="60">
        <f>VLOOKUP($M546,[1]Detail!$M:$BO,42,0)</f>
        <v>-9543879</v>
      </c>
      <c r="EF546" s="60">
        <f>VLOOKUP($M546,[1]Detail!$M:$BO,45,0)</f>
        <v>-9347539</v>
      </c>
      <c r="EH546" s="60">
        <f>ED546-AD546</f>
        <v>0</v>
      </c>
      <c r="EI546" s="60">
        <f>EE546-[1]Detail!BB526</f>
        <v>0</v>
      </c>
      <c r="EJ546" s="60">
        <f t="shared" ref="EJ546" si="456">EF546-AJ546</f>
        <v>0</v>
      </c>
    </row>
    <row r="547" spans="2:140" ht="12.75" hidden="1" customHeight="1">
      <c r="B547" s="99" t="s">
        <v>1033</v>
      </c>
      <c r="C547" s="22" t="s">
        <v>1034</v>
      </c>
      <c r="D547" s="2" t="s">
        <v>1035</v>
      </c>
      <c r="E547" s="2" t="s">
        <v>993</v>
      </c>
      <c r="F547" s="2" t="s">
        <v>969</v>
      </c>
      <c r="G547" s="2" t="s">
        <v>331</v>
      </c>
      <c r="J547" s="22" t="s">
        <v>138</v>
      </c>
      <c r="K547" s="23" t="s">
        <v>1038</v>
      </c>
      <c r="L547" s="22" t="s">
        <v>83</v>
      </c>
      <c r="M547" s="51" t="str">
        <f t="shared" si="402"/>
        <v>JD8B-F130A03-AAW</v>
      </c>
      <c r="O547" s="22">
        <v>1</v>
      </c>
      <c r="P547" s="22">
        <v>1</v>
      </c>
      <c r="Q547" s="22">
        <v>1</v>
      </c>
      <c r="R547" s="22">
        <v>1</v>
      </c>
      <c r="S547" s="22">
        <v>1</v>
      </c>
      <c r="T547" s="22">
        <v>1</v>
      </c>
      <c r="U547" s="22">
        <v>1</v>
      </c>
      <c r="V547" s="22">
        <v>1</v>
      </c>
      <c r="W547" s="64">
        <f t="shared" si="444"/>
        <v>1</v>
      </c>
      <c r="Y547" s="8">
        <v>-2.16</v>
      </c>
      <c r="Z547" s="8">
        <v>0</v>
      </c>
      <c r="AA547" s="8">
        <v>0</v>
      </c>
      <c r="AB547" s="8">
        <v>0</v>
      </c>
      <c r="AC547" s="8">
        <v>0</v>
      </c>
      <c r="AD547" s="8">
        <f>SUM(Y547:AC547)</f>
        <v>-2.16</v>
      </c>
      <c r="AE547" s="2" t="s">
        <v>84</v>
      </c>
      <c r="AG547" s="8" t="s">
        <v>1039</v>
      </c>
      <c r="AH547" s="8" t="s">
        <v>1039</v>
      </c>
      <c r="AJ547" s="70"/>
      <c r="AK547" s="70"/>
      <c r="AL547" s="72"/>
      <c r="AM547" s="22"/>
      <c r="AO547" s="22" t="s">
        <v>138</v>
      </c>
      <c r="AP547" s="23" t="s">
        <v>1038</v>
      </c>
      <c r="AQ547" s="22" t="s">
        <v>83</v>
      </c>
      <c r="AR547" s="51" t="str">
        <f t="shared" si="441"/>
        <v>JD8B-F130A03-AAW</v>
      </c>
      <c r="AS547" s="3"/>
      <c r="AT547" s="22">
        <v>1</v>
      </c>
      <c r="AU547" s="22">
        <v>1</v>
      </c>
      <c r="AV547" s="22">
        <v>1</v>
      </c>
      <c r="AW547" s="22">
        <v>1</v>
      </c>
      <c r="AX547" s="22">
        <v>1</v>
      </c>
      <c r="AY547" s="22">
        <v>1</v>
      </c>
      <c r="AZ547" s="22">
        <v>1</v>
      </c>
      <c r="BA547" s="22">
        <v>1</v>
      </c>
      <c r="BB547" s="64">
        <f t="shared" si="445"/>
        <v>1</v>
      </c>
      <c r="BD547" s="60">
        <v>-2.16</v>
      </c>
      <c r="BE547" s="95">
        <v>0</v>
      </c>
      <c r="BF547" s="95">
        <v>0</v>
      </c>
      <c r="BG547" s="95">
        <v>0</v>
      </c>
      <c r="BH547" s="95">
        <v>0</v>
      </c>
      <c r="BI547" s="8">
        <f t="shared" si="443"/>
        <v>-2.16</v>
      </c>
      <c r="BJ547" s="2" t="s">
        <v>91</v>
      </c>
      <c r="BL547" s="70"/>
      <c r="BM547" s="70"/>
      <c r="BO547" s="70"/>
      <c r="BP547" s="70"/>
      <c r="BQ547" s="72"/>
      <c r="BS547" s="61">
        <f t="shared" si="446"/>
        <v>0</v>
      </c>
      <c r="BT547" s="61">
        <f t="shared" si="447"/>
        <v>0</v>
      </c>
      <c r="BU547" s="61">
        <f t="shared" si="448"/>
        <v>0</v>
      </c>
      <c r="BV547" s="61">
        <f t="shared" si="448"/>
        <v>0</v>
      </c>
      <c r="BW547" s="61">
        <f t="shared" si="448"/>
        <v>0</v>
      </c>
      <c r="BX547" s="61">
        <f t="shared" si="448"/>
        <v>0</v>
      </c>
      <c r="BY547" s="61" t="s">
        <v>91</v>
      </c>
      <c r="CA547" s="61">
        <f t="shared" si="449"/>
        <v>0</v>
      </c>
      <c r="CB547" s="61">
        <f t="shared" si="449"/>
        <v>0</v>
      </c>
      <c r="CC547" s="61">
        <f t="shared" si="449"/>
        <v>0</v>
      </c>
      <c r="CD547" s="61">
        <f t="shared" si="449"/>
        <v>0</v>
      </c>
      <c r="CE547" s="61">
        <f t="shared" si="449"/>
        <v>0</v>
      </c>
      <c r="CF547" s="61">
        <f t="shared" si="449"/>
        <v>0</v>
      </c>
      <c r="CG547" s="61">
        <f t="shared" si="449"/>
        <v>0</v>
      </c>
      <c r="CH547" s="61">
        <f t="shared" si="449"/>
        <v>0</v>
      </c>
      <c r="CI547" s="61">
        <f t="shared" si="450"/>
        <v>0</v>
      </c>
      <c r="CJ547" s="61"/>
      <c r="CK547" s="61">
        <f t="shared" si="451"/>
        <v>0</v>
      </c>
      <c r="CL547" s="61">
        <f t="shared" si="451"/>
        <v>0</v>
      </c>
      <c r="CM547" s="61">
        <f t="shared" si="451"/>
        <v>0</v>
      </c>
      <c r="CN547" s="61">
        <f t="shared" si="451"/>
        <v>0</v>
      </c>
      <c r="CO547" s="61">
        <f t="shared" si="451"/>
        <v>0</v>
      </c>
      <c r="CP547" s="61">
        <f t="shared" si="451"/>
        <v>0</v>
      </c>
      <c r="CQ547" s="61">
        <f t="shared" si="451"/>
        <v>0</v>
      </c>
      <c r="CR547" s="61">
        <f t="shared" si="451"/>
        <v>0</v>
      </c>
      <c r="CS547" s="61">
        <f t="shared" si="452"/>
        <v>0</v>
      </c>
      <c r="CT547" s="61">
        <f t="shared" si="453"/>
        <v>0</v>
      </c>
      <c r="CV547" s="61">
        <f>SUM(AG547)-SUM(BL547)</f>
        <v>0</v>
      </c>
      <c r="CW547" s="61">
        <f t="shared" si="433"/>
        <v>0</v>
      </c>
      <c r="CX547" s="61"/>
      <c r="CY547" s="61">
        <f t="shared" si="428"/>
        <v>0</v>
      </c>
      <c r="CZ547" s="61">
        <f t="shared" si="454"/>
        <v>0</v>
      </c>
      <c r="DA547" s="61">
        <f t="shared" si="454"/>
        <v>0</v>
      </c>
      <c r="DB547" s="2" t="s">
        <v>85</v>
      </c>
      <c r="DC547" s="2" t="s">
        <v>86</v>
      </c>
      <c r="DD547" s="2" t="s">
        <v>142</v>
      </c>
      <c r="DE547" s="2" t="s">
        <v>264</v>
      </c>
      <c r="DG547" s="62"/>
      <c r="EC547" s="60"/>
      <c r="ED547" s="60"/>
      <c r="EE547" s="60"/>
      <c r="EF547" s="60"/>
      <c r="EH547" s="60"/>
      <c r="EI547" s="60"/>
      <c r="EJ547" s="60"/>
    </row>
    <row r="548" spans="2:140" ht="12.75" hidden="1" customHeight="1">
      <c r="B548" s="99" t="s">
        <v>1037</v>
      </c>
      <c r="C548" s="22" t="s">
        <v>1034</v>
      </c>
      <c r="D548" s="2" t="s">
        <v>1035</v>
      </c>
      <c r="E548" s="2" t="s">
        <v>993</v>
      </c>
      <c r="F548" s="2" t="s">
        <v>969</v>
      </c>
      <c r="G548" s="2" t="s">
        <v>331</v>
      </c>
      <c r="J548" s="22" t="s">
        <v>138</v>
      </c>
      <c r="K548" s="23" t="s">
        <v>1038</v>
      </c>
      <c r="L548" s="22" t="s">
        <v>93</v>
      </c>
      <c r="M548" s="51" t="str">
        <f t="shared" si="402"/>
        <v>JD8B-F130A03-ABW</v>
      </c>
      <c r="O548" s="22">
        <v>1</v>
      </c>
      <c r="P548" s="22">
        <v>1</v>
      </c>
      <c r="Q548" s="22">
        <v>1</v>
      </c>
      <c r="R548" s="22">
        <v>1</v>
      </c>
      <c r="S548" s="22">
        <v>1</v>
      </c>
      <c r="T548" s="22">
        <v>1</v>
      </c>
      <c r="U548" s="22">
        <v>1</v>
      </c>
      <c r="V548" s="22">
        <v>1</v>
      </c>
      <c r="W548" s="64">
        <f t="shared" si="444"/>
        <v>1</v>
      </c>
      <c r="Y548" s="8">
        <v>-2.16</v>
      </c>
      <c r="Z548" s="8">
        <v>0</v>
      </c>
      <c r="AA548" s="8">
        <v>0</v>
      </c>
      <c r="AB548" s="8">
        <v>0</v>
      </c>
      <c r="AC548" s="8">
        <v>0</v>
      </c>
      <c r="AD548" s="8">
        <f t="shared" ref="AD548" si="457">SUM(Y548:AC548)</f>
        <v>-2.16</v>
      </c>
      <c r="AE548" s="2" t="s">
        <v>84</v>
      </c>
      <c r="AG548" s="8" t="s">
        <v>1039</v>
      </c>
      <c r="AH548" s="8" t="s">
        <v>1039</v>
      </c>
      <c r="AJ548" s="70"/>
      <c r="AK548" s="70"/>
      <c r="AL548" s="72"/>
      <c r="AM548" s="22"/>
      <c r="AO548" s="22" t="s">
        <v>138</v>
      </c>
      <c r="AP548" s="23" t="s">
        <v>1038</v>
      </c>
      <c r="AQ548" s="22" t="s">
        <v>83</v>
      </c>
      <c r="AR548" s="51" t="str">
        <f t="shared" si="441"/>
        <v>JD8B-F130A03-AAW</v>
      </c>
      <c r="AS548" s="3"/>
      <c r="AT548" s="22">
        <v>1</v>
      </c>
      <c r="AU548" s="22">
        <v>1</v>
      </c>
      <c r="AV548" s="22">
        <v>1</v>
      </c>
      <c r="AW548" s="22">
        <v>1</v>
      </c>
      <c r="AX548" s="22">
        <v>1</v>
      </c>
      <c r="AY548" s="22">
        <v>1</v>
      </c>
      <c r="AZ548" s="22">
        <v>1</v>
      </c>
      <c r="BA548" s="22">
        <v>1</v>
      </c>
      <c r="BB548" s="64">
        <f t="shared" si="445"/>
        <v>1</v>
      </c>
      <c r="BD548" s="60">
        <v>-2.16</v>
      </c>
      <c r="BE548" s="95">
        <v>0</v>
      </c>
      <c r="BF548" s="95">
        <v>0</v>
      </c>
      <c r="BG548" s="95">
        <v>0</v>
      </c>
      <c r="BH548" s="95">
        <v>0</v>
      </c>
      <c r="BI548" s="8">
        <f t="shared" si="443"/>
        <v>-2.16</v>
      </c>
      <c r="BJ548" s="2" t="s">
        <v>91</v>
      </c>
      <c r="BL548" s="70"/>
      <c r="BM548" s="70"/>
      <c r="BO548" s="70"/>
      <c r="BP548" s="70"/>
      <c r="BQ548" s="72"/>
      <c r="BS548" s="61">
        <f t="shared" si="446"/>
        <v>0</v>
      </c>
      <c r="BT548" s="61">
        <f t="shared" si="447"/>
        <v>0</v>
      </c>
      <c r="BU548" s="61">
        <f t="shared" si="448"/>
        <v>0</v>
      </c>
      <c r="BV548" s="61">
        <f t="shared" si="448"/>
        <v>0</v>
      </c>
      <c r="BW548" s="61">
        <f t="shared" si="448"/>
        <v>0</v>
      </c>
      <c r="BX548" s="61">
        <f t="shared" si="448"/>
        <v>0</v>
      </c>
      <c r="BY548" s="61" t="s">
        <v>91</v>
      </c>
      <c r="CA548" s="61">
        <f t="shared" si="449"/>
        <v>0</v>
      </c>
      <c r="CB548" s="61">
        <f t="shared" si="449"/>
        <v>0</v>
      </c>
      <c r="CC548" s="61">
        <f t="shared" si="449"/>
        <v>0</v>
      </c>
      <c r="CD548" s="61">
        <f t="shared" si="449"/>
        <v>0</v>
      </c>
      <c r="CE548" s="61">
        <f t="shared" si="449"/>
        <v>0</v>
      </c>
      <c r="CF548" s="61">
        <f t="shared" si="449"/>
        <v>0</v>
      </c>
      <c r="CG548" s="61">
        <f t="shared" si="449"/>
        <v>0</v>
      </c>
      <c r="CH548" s="61">
        <f t="shared" si="449"/>
        <v>0</v>
      </c>
      <c r="CI548" s="61">
        <f t="shared" si="450"/>
        <v>0</v>
      </c>
      <c r="CJ548" s="61"/>
      <c r="CK548" s="61">
        <f t="shared" si="451"/>
        <v>0</v>
      </c>
      <c r="CL548" s="61">
        <f t="shared" si="451"/>
        <v>0</v>
      </c>
      <c r="CM548" s="61">
        <f t="shared" si="451"/>
        <v>0</v>
      </c>
      <c r="CN548" s="61">
        <f t="shared" si="451"/>
        <v>0</v>
      </c>
      <c r="CO548" s="61">
        <f t="shared" si="451"/>
        <v>0</v>
      </c>
      <c r="CP548" s="61">
        <f t="shared" si="451"/>
        <v>0</v>
      </c>
      <c r="CQ548" s="61">
        <f t="shared" si="451"/>
        <v>0</v>
      </c>
      <c r="CR548" s="61">
        <f t="shared" si="451"/>
        <v>0</v>
      </c>
      <c r="CS548" s="61">
        <f t="shared" si="452"/>
        <v>0</v>
      </c>
      <c r="CT548" s="61">
        <f t="shared" si="453"/>
        <v>0</v>
      </c>
      <c r="CV548" s="61">
        <f t="shared" ref="CV548" si="458">SUM(AG548)-SUM(BL548)</f>
        <v>0</v>
      </c>
      <c r="CW548" s="61">
        <f t="shared" ref="CW548" si="459">SUM(AH548)-SUM(BM548)</f>
        <v>0</v>
      </c>
      <c r="CX548" s="61"/>
      <c r="CY548" s="61">
        <f t="shared" ref="CY548" si="460">SUM(AJ548)-SUM(BO548)</f>
        <v>0</v>
      </c>
      <c r="CZ548" s="61">
        <f t="shared" si="454"/>
        <v>0</v>
      </c>
      <c r="DA548" s="61">
        <f t="shared" si="454"/>
        <v>0</v>
      </c>
      <c r="DB548" s="2" t="s">
        <v>86</v>
      </c>
      <c r="DC548" s="2" t="s">
        <v>85</v>
      </c>
      <c r="DD548" s="2" t="s">
        <v>142</v>
      </c>
      <c r="DE548" s="2" t="s">
        <v>106</v>
      </c>
      <c r="DF548" s="3" t="s">
        <v>86</v>
      </c>
      <c r="DG548" s="62">
        <v>43052</v>
      </c>
      <c r="EC548" s="60" t="str">
        <f>VLOOKUP($M548,[1]Detail!$M:$BO,1,0)</f>
        <v>JD8B-F130A03-ABW</v>
      </c>
      <c r="ED548" s="60">
        <f>VLOOKUP($M548,[1]Detail!$M:$BO,22,0)</f>
        <v>-2.16</v>
      </c>
      <c r="EE548" s="60" t="str">
        <f>VLOOKUP($M548,[1]Detail!$M:$BO,42,0)</f>
        <v>incl.above</v>
      </c>
      <c r="EF548" s="60" t="str">
        <f>VLOOKUP($M548,[1]Detail!$M:$BO,45,0)</f>
        <v>incl.above</v>
      </c>
      <c r="EH548" s="60">
        <f>ED548-AD548</f>
        <v>0</v>
      </c>
      <c r="EI548" s="60">
        <f>SUM(EE548)-SUM(AG548)</f>
        <v>0</v>
      </c>
      <c r="EJ548" s="60">
        <f>SUM(EF548)-SUM(AJ548)</f>
        <v>0</v>
      </c>
    </row>
    <row r="549" spans="2:140" ht="12.75" hidden="1" customHeight="1">
      <c r="B549" s="99" t="s">
        <v>1033</v>
      </c>
      <c r="C549" s="22" t="s">
        <v>1034</v>
      </c>
      <c r="D549" s="2" t="s">
        <v>1035</v>
      </c>
      <c r="E549" s="2" t="s">
        <v>993</v>
      </c>
      <c r="F549" s="2" t="s">
        <v>969</v>
      </c>
      <c r="G549" s="2" t="s">
        <v>331</v>
      </c>
      <c r="J549" s="22" t="s">
        <v>138</v>
      </c>
      <c r="K549" s="23" t="s">
        <v>1040</v>
      </c>
      <c r="L549" s="22" t="s">
        <v>83</v>
      </c>
      <c r="M549" s="51" t="str">
        <f t="shared" si="402"/>
        <v>JD8B-F618D00-AAW</v>
      </c>
      <c r="O549" s="22">
        <v>1</v>
      </c>
      <c r="P549" s="22">
        <v>1</v>
      </c>
      <c r="Q549" s="22">
        <v>1</v>
      </c>
      <c r="R549" s="22">
        <v>1</v>
      </c>
      <c r="S549" s="22">
        <v>1</v>
      </c>
      <c r="T549" s="22">
        <v>1</v>
      </c>
      <c r="U549" s="22">
        <v>1</v>
      </c>
      <c r="V549" s="22">
        <v>1</v>
      </c>
      <c r="W549" s="64">
        <f t="shared" si="444"/>
        <v>1</v>
      </c>
      <c r="Y549" s="8">
        <v>-2.3561999999999999</v>
      </c>
      <c r="Z549" s="8">
        <v>0</v>
      </c>
      <c r="AA549" s="8">
        <v>0</v>
      </c>
      <c r="AB549" s="8">
        <v>0</v>
      </c>
      <c r="AC549" s="8">
        <v>0</v>
      </c>
      <c r="AD549" s="8">
        <f>SUM(Y549:AC549)</f>
        <v>-2.3561999999999999</v>
      </c>
      <c r="AE549" s="2" t="s">
        <v>84</v>
      </c>
      <c r="AG549" s="8" t="s">
        <v>1039</v>
      </c>
      <c r="AH549" s="8" t="s">
        <v>1039</v>
      </c>
      <c r="AJ549" s="70"/>
      <c r="AK549" s="70"/>
      <c r="AL549" s="72"/>
      <c r="AM549" s="22"/>
      <c r="AO549" s="22" t="s">
        <v>138</v>
      </c>
      <c r="AP549" s="23" t="s">
        <v>1040</v>
      </c>
      <c r="AQ549" s="22" t="s">
        <v>83</v>
      </c>
      <c r="AR549" s="51" t="str">
        <f t="shared" si="441"/>
        <v>JD8B-F618D00-AAW</v>
      </c>
      <c r="AS549" s="3"/>
      <c r="AT549" s="22">
        <v>1</v>
      </c>
      <c r="AU549" s="22">
        <v>1</v>
      </c>
      <c r="AV549" s="22">
        <v>1</v>
      </c>
      <c r="AW549" s="22">
        <v>1</v>
      </c>
      <c r="AX549" s="22">
        <v>1</v>
      </c>
      <c r="AY549" s="22">
        <v>1</v>
      </c>
      <c r="AZ549" s="22">
        <v>1</v>
      </c>
      <c r="BA549" s="22">
        <v>1</v>
      </c>
      <c r="BB549" s="64">
        <f t="shared" si="445"/>
        <v>1</v>
      </c>
      <c r="BD549" s="60">
        <v>-2.3562000000000003</v>
      </c>
      <c r="BE549" s="95">
        <v>0</v>
      </c>
      <c r="BF549" s="95">
        <v>0</v>
      </c>
      <c r="BG549" s="95">
        <v>0</v>
      </c>
      <c r="BH549" s="95">
        <v>0</v>
      </c>
      <c r="BI549" s="8">
        <f t="shared" si="443"/>
        <v>-2.3562000000000003</v>
      </c>
      <c r="BJ549" s="2" t="s">
        <v>91</v>
      </c>
      <c r="BL549" s="70"/>
      <c r="BM549" s="70"/>
      <c r="BO549" s="70"/>
      <c r="BP549" s="70"/>
      <c r="BQ549" s="72"/>
      <c r="BS549" s="61">
        <f t="shared" si="446"/>
        <v>0</v>
      </c>
      <c r="BT549" s="61">
        <f t="shared" si="447"/>
        <v>0</v>
      </c>
      <c r="BU549" s="61">
        <f t="shared" si="448"/>
        <v>0</v>
      </c>
      <c r="BV549" s="61">
        <f t="shared" si="448"/>
        <v>0</v>
      </c>
      <c r="BW549" s="61">
        <f t="shared" si="448"/>
        <v>0</v>
      </c>
      <c r="BX549" s="61">
        <f t="shared" si="448"/>
        <v>0</v>
      </c>
      <c r="BY549" s="61" t="s">
        <v>91</v>
      </c>
      <c r="CA549" s="61">
        <f t="shared" si="449"/>
        <v>6.6810472371003846E-17</v>
      </c>
      <c r="CB549" s="61">
        <f t="shared" si="449"/>
        <v>6.6810472371003846E-17</v>
      </c>
      <c r="CC549" s="61">
        <f t="shared" si="449"/>
        <v>6.6810472371003846E-17</v>
      </c>
      <c r="CD549" s="61">
        <f t="shared" si="449"/>
        <v>6.6810472371003846E-17</v>
      </c>
      <c r="CE549" s="61">
        <f t="shared" si="449"/>
        <v>6.6810472371003846E-17</v>
      </c>
      <c r="CF549" s="61">
        <f t="shared" si="449"/>
        <v>6.6810472371003846E-17</v>
      </c>
      <c r="CG549" s="61">
        <f t="shared" si="449"/>
        <v>6.6810472371003846E-17</v>
      </c>
      <c r="CH549" s="61">
        <f t="shared" si="449"/>
        <v>6.6810472371003846E-17</v>
      </c>
      <c r="CI549" s="61">
        <f t="shared" si="450"/>
        <v>6.6810472371003859E-17</v>
      </c>
      <c r="CJ549" s="61"/>
      <c r="CK549" s="61">
        <f t="shared" si="451"/>
        <v>6.6810472371003846E-17</v>
      </c>
      <c r="CL549" s="61">
        <f t="shared" si="451"/>
        <v>6.6810472371003846E-17</v>
      </c>
      <c r="CM549" s="61">
        <f t="shared" si="451"/>
        <v>6.6810472371003846E-17</v>
      </c>
      <c r="CN549" s="61">
        <f t="shared" si="451"/>
        <v>6.6810472371003846E-17</v>
      </c>
      <c r="CO549" s="61">
        <f t="shared" si="451"/>
        <v>6.6810472371003846E-17</v>
      </c>
      <c r="CP549" s="61">
        <f t="shared" si="451"/>
        <v>6.6810472371003846E-17</v>
      </c>
      <c r="CQ549" s="61">
        <f t="shared" si="451"/>
        <v>6.6810472371003846E-17</v>
      </c>
      <c r="CR549" s="61">
        <f t="shared" si="451"/>
        <v>6.6810472371003846E-17</v>
      </c>
      <c r="CS549" s="61">
        <f t="shared" si="452"/>
        <v>6.6810472371003859E-17</v>
      </c>
      <c r="CT549" s="61">
        <f t="shared" si="453"/>
        <v>4.4408920985006262E-16</v>
      </c>
      <c r="CV549" s="61">
        <f>SUM(AG549)-SUM(BL549)</f>
        <v>0</v>
      </c>
      <c r="CW549" s="61">
        <f t="shared" si="433"/>
        <v>0</v>
      </c>
      <c r="CX549" s="61"/>
      <c r="CY549" s="61">
        <f t="shared" si="428"/>
        <v>0</v>
      </c>
      <c r="CZ549" s="61">
        <f t="shared" si="454"/>
        <v>0</v>
      </c>
      <c r="DA549" s="61">
        <f t="shared" si="454"/>
        <v>0</v>
      </c>
      <c r="DB549" s="2" t="s">
        <v>85</v>
      </c>
      <c r="DC549" s="2" t="s">
        <v>86</v>
      </c>
      <c r="DD549" s="2" t="s">
        <v>142</v>
      </c>
      <c r="DE549" s="2" t="s">
        <v>264</v>
      </c>
      <c r="DG549" s="62"/>
      <c r="EC549" s="60"/>
      <c r="ED549" s="60"/>
      <c r="EE549" s="60"/>
      <c r="EF549" s="60"/>
      <c r="EH549" s="60"/>
      <c r="EI549" s="60"/>
      <c r="EJ549" s="60"/>
    </row>
    <row r="550" spans="2:140" ht="12.75" hidden="1" customHeight="1">
      <c r="B550" s="99" t="s">
        <v>1037</v>
      </c>
      <c r="C550" s="22" t="s">
        <v>1034</v>
      </c>
      <c r="D550" s="2" t="s">
        <v>1035</v>
      </c>
      <c r="E550" s="2" t="s">
        <v>993</v>
      </c>
      <c r="F550" s="2" t="s">
        <v>969</v>
      </c>
      <c r="G550" s="2" t="s">
        <v>331</v>
      </c>
      <c r="J550" s="22" t="s">
        <v>138</v>
      </c>
      <c r="K550" s="23" t="s">
        <v>1040</v>
      </c>
      <c r="L550" s="22" t="s">
        <v>93</v>
      </c>
      <c r="M550" s="51" t="str">
        <f t="shared" si="402"/>
        <v>JD8B-F618D00-ABW</v>
      </c>
      <c r="O550" s="22">
        <v>1</v>
      </c>
      <c r="P550" s="22">
        <v>1</v>
      </c>
      <c r="Q550" s="22">
        <v>1</v>
      </c>
      <c r="R550" s="22">
        <v>1</v>
      </c>
      <c r="S550" s="22">
        <v>1</v>
      </c>
      <c r="T550" s="22">
        <v>1</v>
      </c>
      <c r="U550" s="22">
        <v>1</v>
      </c>
      <c r="V550" s="22">
        <v>1</v>
      </c>
      <c r="W550" s="64">
        <f t="shared" si="444"/>
        <v>1</v>
      </c>
      <c r="Y550" s="8">
        <v>-2.3561999999999999</v>
      </c>
      <c r="Z550" s="8">
        <v>0</v>
      </c>
      <c r="AA550" s="8">
        <v>0</v>
      </c>
      <c r="AB550" s="8">
        <v>0</v>
      </c>
      <c r="AC550" s="8">
        <v>0</v>
      </c>
      <c r="AD550" s="8">
        <f t="shared" ref="AD550:AD551" si="461">SUM(Y550:AC550)</f>
        <v>-2.3561999999999999</v>
      </c>
      <c r="AE550" s="2" t="s">
        <v>84</v>
      </c>
      <c r="AG550" s="8" t="s">
        <v>1039</v>
      </c>
      <c r="AH550" s="8" t="s">
        <v>1039</v>
      </c>
      <c r="AJ550" s="70"/>
      <c r="AK550" s="70"/>
      <c r="AL550" s="72"/>
      <c r="AM550" s="22"/>
      <c r="AO550" s="22" t="s">
        <v>138</v>
      </c>
      <c r="AP550" s="23" t="s">
        <v>1040</v>
      </c>
      <c r="AQ550" s="22" t="s">
        <v>83</v>
      </c>
      <c r="AR550" s="51" t="str">
        <f t="shared" si="441"/>
        <v>JD8B-F618D00-AAW</v>
      </c>
      <c r="AS550" s="3"/>
      <c r="AT550" s="22">
        <v>1</v>
      </c>
      <c r="AU550" s="22">
        <v>1</v>
      </c>
      <c r="AV550" s="22">
        <v>1</v>
      </c>
      <c r="AW550" s="22">
        <v>1</v>
      </c>
      <c r="AX550" s="22">
        <v>1</v>
      </c>
      <c r="AY550" s="22">
        <v>1</v>
      </c>
      <c r="AZ550" s="22">
        <v>1</v>
      </c>
      <c r="BA550" s="22">
        <v>1</v>
      </c>
      <c r="BB550" s="64">
        <f t="shared" si="445"/>
        <v>1</v>
      </c>
      <c r="BD550" s="60">
        <v>-2.3562000000000003</v>
      </c>
      <c r="BE550" s="95">
        <v>0</v>
      </c>
      <c r="BF550" s="95">
        <v>0</v>
      </c>
      <c r="BG550" s="95">
        <v>0</v>
      </c>
      <c r="BH550" s="95">
        <v>0</v>
      </c>
      <c r="BI550" s="8">
        <f t="shared" si="443"/>
        <v>-2.3562000000000003</v>
      </c>
      <c r="BJ550" s="2" t="s">
        <v>91</v>
      </c>
      <c r="BL550" s="70"/>
      <c r="BM550" s="70"/>
      <c r="BO550" s="70"/>
      <c r="BP550" s="70"/>
      <c r="BQ550" s="72"/>
      <c r="BS550" s="61">
        <f t="shared" si="446"/>
        <v>0</v>
      </c>
      <c r="BT550" s="61">
        <f t="shared" si="447"/>
        <v>0</v>
      </c>
      <c r="BU550" s="61">
        <f t="shared" si="448"/>
        <v>0</v>
      </c>
      <c r="BV550" s="61">
        <f t="shared" si="448"/>
        <v>0</v>
      </c>
      <c r="BW550" s="61">
        <f t="shared" si="448"/>
        <v>0</v>
      </c>
      <c r="BX550" s="61">
        <f t="shared" si="448"/>
        <v>0</v>
      </c>
      <c r="BY550" s="61" t="s">
        <v>91</v>
      </c>
      <c r="CA550" s="61">
        <f t="shared" si="449"/>
        <v>6.6810472371003846E-17</v>
      </c>
      <c r="CB550" s="61">
        <f t="shared" si="449"/>
        <v>6.6810472371003846E-17</v>
      </c>
      <c r="CC550" s="61">
        <f t="shared" si="449"/>
        <v>6.6810472371003846E-17</v>
      </c>
      <c r="CD550" s="61">
        <f t="shared" si="449"/>
        <v>6.6810472371003846E-17</v>
      </c>
      <c r="CE550" s="61">
        <f t="shared" si="449"/>
        <v>6.6810472371003846E-17</v>
      </c>
      <c r="CF550" s="61">
        <f t="shared" si="449"/>
        <v>6.6810472371003846E-17</v>
      </c>
      <c r="CG550" s="61">
        <f t="shared" si="449"/>
        <v>6.6810472371003846E-17</v>
      </c>
      <c r="CH550" s="61">
        <f t="shared" si="449"/>
        <v>6.6810472371003846E-17</v>
      </c>
      <c r="CI550" s="61">
        <f t="shared" si="450"/>
        <v>6.6810472371003859E-17</v>
      </c>
      <c r="CJ550" s="61"/>
      <c r="CK550" s="61">
        <f t="shared" si="451"/>
        <v>6.6810472371003846E-17</v>
      </c>
      <c r="CL550" s="61">
        <f t="shared" si="451"/>
        <v>6.6810472371003846E-17</v>
      </c>
      <c r="CM550" s="61">
        <f t="shared" si="451"/>
        <v>6.6810472371003846E-17</v>
      </c>
      <c r="CN550" s="61">
        <f t="shared" si="451"/>
        <v>6.6810472371003846E-17</v>
      </c>
      <c r="CO550" s="61">
        <f t="shared" si="451"/>
        <v>6.6810472371003846E-17</v>
      </c>
      <c r="CP550" s="61">
        <f t="shared" si="451"/>
        <v>6.6810472371003846E-17</v>
      </c>
      <c r="CQ550" s="61">
        <f t="shared" si="451"/>
        <v>6.6810472371003846E-17</v>
      </c>
      <c r="CR550" s="61">
        <f t="shared" si="451"/>
        <v>6.6810472371003846E-17</v>
      </c>
      <c r="CS550" s="61">
        <f t="shared" si="452"/>
        <v>6.6810472371003859E-17</v>
      </c>
      <c r="CT550" s="61">
        <f t="shared" si="453"/>
        <v>4.4408920985006262E-16</v>
      </c>
      <c r="CV550" s="61">
        <f t="shared" ref="CV550:CV551" si="462">SUM(AG550)-SUM(BL550)</f>
        <v>0</v>
      </c>
      <c r="CW550" s="61">
        <f t="shared" ref="CW550:CW551" si="463">SUM(AH550)-SUM(BM550)</f>
        <v>0</v>
      </c>
      <c r="CX550" s="61"/>
      <c r="CY550" s="61">
        <f t="shared" ref="CY550:CY551" si="464">SUM(AJ550)-SUM(BO550)</f>
        <v>0</v>
      </c>
      <c r="CZ550" s="61">
        <f t="shared" si="454"/>
        <v>0</v>
      </c>
      <c r="DA550" s="61">
        <f t="shared" si="454"/>
        <v>0</v>
      </c>
      <c r="DB550" s="2" t="s">
        <v>86</v>
      </c>
      <c r="DC550" s="2" t="s">
        <v>85</v>
      </c>
      <c r="DD550" s="2" t="s">
        <v>142</v>
      </c>
      <c r="DE550" s="2" t="s">
        <v>106</v>
      </c>
      <c r="DF550" s="3" t="s">
        <v>86</v>
      </c>
      <c r="DG550" s="62">
        <v>43052</v>
      </c>
      <c r="EC550" s="60" t="str">
        <f>VLOOKUP($M550,[1]Detail!$M:$BO,1,0)</f>
        <v>JD8B-F618D00-ABW</v>
      </c>
      <c r="ED550" s="60">
        <f>VLOOKUP($M550,[1]Detail!$M:$BO,22,0)</f>
        <v>-2.3561999999999999</v>
      </c>
      <c r="EE550" s="60" t="str">
        <f>VLOOKUP($M550,[1]Detail!$M:$BO,42,0)</f>
        <v>incl.above</v>
      </c>
      <c r="EF550" s="60" t="str">
        <f>VLOOKUP($M550,[1]Detail!$M:$BO,45,0)</f>
        <v>incl.above</v>
      </c>
      <c r="EH550" s="60">
        <f>ED550-AD550</f>
        <v>0</v>
      </c>
      <c r="EI550" s="60">
        <f>SUM(EE550)-SUM(AG550)</f>
        <v>0</v>
      </c>
      <c r="EJ550" s="60">
        <f>SUM(EF550)-SUM(AH550)</f>
        <v>0</v>
      </c>
    </row>
    <row r="551" spans="2:140" ht="12.75" hidden="1" customHeight="1">
      <c r="B551" s="99" t="s">
        <v>1033</v>
      </c>
      <c r="C551" s="22" t="s">
        <v>1034</v>
      </c>
      <c r="D551" s="2" t="s">
        <v>1035</v>
      </c>
      <c r="E551" s="2" t="s">
        <v>993</v>
      </c>
      <c r="F551" s="2" t="s">
        <v>969</v>
      </c>
      <c r="G551" s="2" t="s">
        <v>331</v>
      </c>
      <c r="J551" s="22" t="s">
        <v>138</v>
      </c>
      <c r="K551" s="23" t="s">
        <v>1041</v>
      </c>
      <c r="L551" s="22" t="s">
        <v>83</v>
      </c>
      <c r="M551" s="51" t="str">
        <f t="shared" si="402"/>
        <v>JD8B-F618D01-AAW</v>
      </c>
      <c r="O551" s="22">
        <v>1</v>
      </c>
      <c r="P551" s="22">
        <v>1</v>
      </c>
      <c r="Q551" s="22">
        <v>1</v>
      </c>
      <c r="R551" s="22">
        <v>1</v>
      </c>
      <c r="S551" s="22">
        <v>1</v>
      </c>
      <c r="T551" s="22">
        <v>1</v>
      </c>
      <c r="U551" s="22">
        <v>1</v>
      </c>
      <c r="V551" s="22">
        <v>1</v>
      </c>
      <c r="W551" s="64">
        <f t="shared" si="444"/>
        <v>1</v>
      </c>
      <c r="Y551" s="8">
        <v>-2.3561999999999999</v>
      </c>
      <c r="Z551" s="8">
        <v>0</v>
      </c>
      <c r="AA551" s="8">
        <v>0</v>
      </c>
      <c r="AB551" s="8">
        <v>0</v>
      </c>
      <c r="AC551" s="8">
        <v>0</v>
      </c>
      <c r="AD551" s="8">
        <f t="shared" si="461"/>
        <v>-2.3561999999999999</v>
      </c>
      <c r="AE551" s="2" t="s">
        <v>84</v>
      </c>
      <c r="AG551" s="8" t="s">
        <v>1039</v>
      </c>
      <c r="AH551" s="8" t="s">
        <v>1039</v>
      </c>
      <c r="AJ551" s="70"/>
      <c r="AK551" s="70"/>
      <c r="AL551" s="72"/>
      <c r="AM551" s="22"/>
      <c r="AO551" s="22" t="s">
        <v>138</v>
      </c>
      <c r="AP551" s="23" t="s">
        <v>1041</v>
      </c>
      <c r="AQ551" s="22" t="s">
        <v>83</v>
      </c>
      <c r="AR551" s="51" t="str">
        <f t="shared" si="441"/>
        <v>JD8B-F618D01-AAW</v>
      </c>
      <c r="AS551" s="3"/>
      <c r="AT551" s="22">
        <v>1</v>
      </c>
      <c r="AU551" s="22">
        <v>1</v>
      </c>
      <c r="AV551" s="22">
        <v>1</v>
      </c>
      <c r="AW551" s="22">
        <v>1</v>
      </c>
      <c r="AX551" s="22">
        <v>1</v>
      </c>
      <c r="AY551" s="22">
        <v>1</v>
      </c>
      <c r="AZ551" s="22">
        <v>1</v>
      </c>
      <c r="BA551" s="22">
        <v>1</v>
      </c>
      <c r="BB551" s="64">
        <f t="shared" si="445"/>
        <v>1</v>
      </c>
      <c r="BD551" s="60">
        <v>-2.3562000000000003</v>
      </c>
      <c r="BE551" s="95">
        <v>0</v>
      </c>
      <c r="BF551" s="95">
        <v>0</v>
      </c>
      <c r="BG551" s="95">
        <v>0</v>
      </c>
      <c r="BH551" s="95">
        <v>0</v>
      </c>
      <c r="BI551" s="8">
        <f t="shared" si="443"/>
        <v>-2.3562000000000003</v>
      </c>
      <c r="BJ551" s="2" t="s">
        <v>91</v>
      </c>
      <c r="BL551" s="70"/>
      <c r="BM551" s="70"/>
      <c r="BO551" s="70"/>
      <c r="BP551" s="70"/>
      <c r="BQ551" s="72"/>
      <c r="BS551" s="61">
        <f t="shared" si="446"/>
        <v>0</v>
      </c>
      <c r="BT551" s="61">
        <f t="shared" si="447"/>
        <v>0</v>
      </c>
      <c r="BU551" s="61">
        <f t="shared" si="448"/>
        <v>0</v>
      </c>
      <c r="BV551" s="61">
        <f t="shared" si="448"/>
        <v>0</v>
      </c>
      <c r="BW551" s="61">
        <f t="shared" si="448"/>
        <v>0</v>
      </c>
      <c r="BX551" s="61">
        <f t="shared" si="448"/>
        <v>0</v>
      </c>
      <c r="BY551" s="61" t="s">
        <v>91</v>
      </c>
      <c r="CA551" s="61">
        <f t="shared" si="449"/>
        <v>6.6810472371003846E-17</v>
      </c>
      <c r="CB551" s="61">
        <f t="shared" si="449"/>
        <v>6.6810472371003846E-17</v>
      </c>
      <c r="CC551" s="61">
        <f t="shared" si="449"/>
        <v>6.6810472371003846E-17</v>
      </c>
      <c r="CD551" s="61">
        <f t="shared" si="449"/>
        <v>6.6810472371003846E-17</v>
      </c>
      <c r="CE551" s="61">
        <f t="shared" si="449"/>
        <v>6.6810472371003846E-17</v>
      </c>
      <c r="CF551" s="61">
        <f t="shared" si="449"/>
        <v>6.6810472371003846E-17</v>
      </c>
      <c r="CG551" s="61">
        <f t="shared" si="449"/>
        <v>6.6810472371003846E-17</v>
      </c>
      <c r="CH551" s="61">
        <f t="shared" si="449"/>
        <v>6.6810472371003846E-17</v>
      </c>
      <c r="CI551" s="61">
        <f t="shared" si="450"/>
        <v>6.6810472371003859E-17</v>
      </c>
      <c r="CJ551" s="61"/>
      <c r="CK551" s="61">
        <f t="shared" si="451"/>
        <v>6.6810472371003846E-17</v>
      </c>
      <c r="CL551" s="61">
        <f t="shared" si="451"/>
        <v>6.6810472371003846E-17</v>
      </c>
      <c r="CM551" s="61">
        <f t="shared" si="451"/>
        <v>6.6810472371003846E-17</v>
      </c>
      <c r="CN551" s="61">
        <f t="shared" si="451"/>
        <v>6.6810472371003846E-17</v>
      </c>
      <c r="CO551" s="61">
        <f t="shared" si="451"/>
        <v>6.6810472371003846E-17</v>
      </c>
      <c r="CP551" s="61">
        <f t="shared" si="451"/>
        <v>6.6810472371003846E-17</v>
      </c>
      <c r="CQ551" s="61">
        <f t="shared" si="451"/>
        <v>6.6810472371003846E-17</v>
      </c>
      <c r="CR551" s="61">
        <f t="shared" si="451"/>
        <v>6.6810472371003846E-17</v>
      </c>
      <c r="CS551" s="61">
        <f t="shared" si="452"/>
        <v>6.6810472371003859E-17</v>
      </c>
      <c r="CT551" s="61">
        <f t="shared" si="453"/>
        <v>4.4408920985006262E-16</v>
      </c>
      <c r="CV551" s="61">
        <f t="shared" si="462"/>
        <v>0</v>
      </c>
      <c r="CW551" s="61">
        <f t="shared" si="463"/>
        <v>0</v>
      </c>
      <c r="CX551" s="61"/>
      <c r="CY551" s="61">
        <f t="shared" si="464"/>
        <v>0</v>
      </c>
      <c r="CZ551" s="61">
        <f t="shared" si="454"/>
        <v>0</v>
      </c>
      <c r="DA551" s="61">
        <f t="shared" si="454"/>
        <v>0</v>
      </c>
      <c r="DB551" s="2" t="s">
        <v>85</v>
      </c>
      <c r="DC551" s="2" t="s">
        <v>86</v>
      </c>
      <c r="DD551" s="2" t="s">
        <v>142</v>
      </c>
      <c r="DE551" s="2" t="s">
        <v>264</v>
      </c>
      <c r="DG551" s="62"/>
      <c r="EC551" s="60"/>
      <c r="ED551" s="60"/>
      <c r="EE551" s="60"/>
      <c r="EF551" s="60"/>
      <c r="EH551" s="60"/>
      <c r="EI551" s="60"/>
      <c r="EJ551" s="60"/>
    </row>
    <row r="552" spans="2:140" ht="12.75" hidden="1" customHeight="1">
      <c r="B552" s="99" t="s">
        <v>1037</v>
      </c>
      <c r="C552" s="22" t="s">
        <v>1034</v>
      </c>
      <c r="D552" s="2" t="s">
        <v>1035</v>
      </c>
      <c r="E552" s="2" t="s">
        <v>993</v>
      </c>
      <c r="F552" s="2" t="s">
        <v>969</v>
      </c>
      <c r="G552" s="2" t="s">
        <v>331</v>
      </c>
      <c r="J552" s="22" t="s">
        <v>138</v>
      </c>
      <c r="K552" s="23" t="s">
        <v>1041</v>
      </c>
      <c r="L552" s="22" t="s">
        <v>93</v>
      </c>
      <c r="M552" s="51" t="str">
        <f t="shared" si="402"/>
        <v>JD8B-F618D01-ABW</v>
      </c>
      <c r="O552" s="22">
        <v>1</v>
      </c>
      <c r="P552" s="22">
        <v>1</v>
      </c>
      <c r="Q552" s="22">
        <v>1</v>
      </c>
      <c r="R552" s="22">
        <v>1</v>
      </c>
      <c r="S552" s="22">
        <v>1</v>
      </c>
      <c r="T552" s="22">
        <v>1</v>
      </c>
      <c r="U552" s="22">
        <v>1</v>
      </c>
      <c r="V552" s="22">
        <v>1</v>
      </c>
      <c r="W552" s="64">
        <f t="shared" si="444"/>
        <v>1</v>
      </c>
      <c r="Y552" s="8">
        <v>-2.3561999999999999</v>
      </c>
      <c r="Z552" s="8">
        <v>0</v>
      </c>
      <c r="AA552" s="8">
        <v>0</v>
      </c>
      <c r="AB552" s="8">
        <v>0</v>
      </c>
      <c r="AC552" s="8">
        <v>0</v>
      </c>
      <c r="AD552" s="8">
        <f t="shared" ref="AD552:AD557" si="465">SUM(Y552:AC552)</f>
        <v>-2.3561999999999999</v>
      </c>
      <c r="AE552" s="2" t="s">
        <v>84</v>
      </c>
      <c r="AG552" s="8" t="s">
        <v>1039</v>
      </c>
      <c r="AH552" s="8" t="s">
        <v>1039</v>
      </c>
      <c r="AJ552" s="70"/>
      <c r="AK552" s="70"/>
      <c r="AL552" s="72"/>
      <c r="AM552" s="22"/>
      <c r="AO552" s="22" t="s">
        <v>138</v>
      </c>
      <c r="AP552" s="23" t="s">
        <v>1041</v>
      </c>
      <c r="AQ552" s="22" t="s">
        <v>83</v>
      </c>
      <c r="AR552" s="51" t="str">
        <f t="shared" si="441"/>
        <v>JD8B-F618D01-AAW</v>
      </c>
      <c r="AS552" s="3"/>
      <c r="AT552" s="22">
        <v>1</v>
      </c>
      <c r="AU552" s="22">
        <v>1</v>
      </c>
      <c r="AV552" s="22">
        <v>1</v>
      </c>
      <c r="AW552" s="22">
        <v>1</v>
      </c>
      <c r="AX552" s="22">
        <v>1</v>
      </c>
      <c r="AY552" s="22">
        <v>1</v>
      </c>
      <c r="AZ552" s="22">
        <v>1</v>
      </c>
      <c r="BA552" s="22">
        <v>1</v>
      </c>
      <c r="BB552" s="64">
        <f t="shared" si="445"/>
        <v>1</v>
      </c>
      <c r="BD552" s="60">
        <v>-2.3562000000000003</v>
      </c>
      <c r="BE552" s="95">
        <v>0</v>
      </c>
      <c r="BF552" s="95">
        <v>0</v>
      </c>
      <c r="BG552" s="95">
        <v>0</v>
      </c>
      <c r="BH552" s="95">
        <v>0</v>
      </c>
      <c r="BI552" s="8">
        <f t="shared" si="443"/>
        <v>-2.3562000000000003</v>
      </c>
      <c r="BJ552" s="2" t="s">
        <v>91</v>
      </c>
      <c r="BL552" s="70"/>
      <c r="BM552" s="70"/>
      <c r="BO552" s="70"/>
      <c r="BP552" s="70"/>
      <c r="BQ552" s="72"/>
      <c r="BS552" s="61">
        <f t="shared" si="446"/>
        <v>0</v>
      </c>
      <c r="BT552" s="61">
        <f t="shared" si="447"/>
        <v>0</v>
      </c>
      <c r="BU552" s="61">
        <f t="shared" si="448"/>
        <v>0</v>
      </c>
      <c r="BV552" s="61">
        <f t="shared" si="448"/>
        <v>0</v>
      </c>
      <c r="BW552" s="61">
        <f t="shared" si="448"/>
        <v>0</v>
      </c>
      <c r="BX552" s="61">
        <f t="shared" si="448"/>
        <v>0</v>
      </c>
      <c r="BY552" s="61" t="s">
        <v>91</v>
      </c>
      <c r="CA552" s="61">
        <f t="shared" si="449"/>
        <v>6.6810472371003846E-17</v>
      </c>
      <c r="CB552" s="61">
        <f t="shared" si="449"/>
        <v>6.6810472371003846E-17</v>
      </c>
      <c r="CC552" s="61">
        <f t="shared" si="449"/>
        <v>6.6810472371003846E-17</v>
      </c>
      <c r="CD552" s="61">
        <f t="shared" si="449"/>
        <v>6.6810472371003846E-17</v>
      </c>
      <c r="CE552" s="61">
        <f t="shared" si="449"/>
        <v>6.6810472371003846E-17</v>
      </c>
      <c r="CF552" s="61">
        <f t="shared" si="449"/>
        <v>6.6810472371003846E-17</v>
      </c>
      <c r="CG552" s="61">
        <f t="shared" si="449"/>
        <v>6.6810472371003846E-17</v>
      </c>
      <c r="CH552" s="61">
        <f t="shared" si="449"/>
        <v>6.6810472371003846E-17</v>
      </c>
      <c r="CI552" s="61">
        <f t="shared" si="450"/>
        <v>6.6810472371003859E-17</v>
      </c>
      <c r="CJ552" s="61"/>
      <c r="CK552" s="61">
        <f t="shared" si="451"/>
        <v>6.6810472371003846E-17</v>
      </c>
      <c r="CL552" s="61">
        <f t="shared" si="451"/>
        <v>6.6810472371003846E-17</v>
      </c>
      <c r="CM552" s="61">
        <f t="shared" si="451"/>
        <v>6.6810472371003846E-17</v>
      </c>
      <c r="CN552" s="61">
        <f t="shared" si="451"/>
        <v>6.6810472371003846E-17</v>
      </c>
      <c r="CO552" s="61">
        <f t="shared" si="451"/>
        <v>6.6810472371003846E-17</v>
      </c>
      <c r="CP552" s="61">
        <f t="shared" si="451"/>
        <v>6.6810472371003846E-17</v>
      </c>
      <c r="CQ552" s="61">
        <f t="shared" si="451"/>
        <v>6.6810472371003846E-17</v>
      </c>
      <c r="CR552" s="61">
        <f t="shared" si="451"/>
        <v>6.6810472371003846E-17</v>
      </c>
      <c r="CS552" s="61">
        <f t="shared" si="452"/>
        <v>6.6810472371003859E-17</v>
      </c>
      <c r="CT552" s="61">
        <f t="shared" si="453"/>
        <v>4.4408920985006262E-16</v>
      </c>
      <c r="CV552" s="61">
        <f t="shared" ref="CV552:CV557" si="466">SUM(AG552)-SUM(BL552)</f>
        <v>0</v>
      </c>
      <c r="CW552" s="61">
        <f t="shared" si="433"/>
        <v>0</v>
      </c>
      <c r="CX552" s="61"/>
      <c r="CY552" s="61">
        <f t="shared" si="428"/>
        <v>0</v>
      </c>
      <c r="CZ552" s="61">
        <f t="shared" si="454"/>
        <v>0</v>
      </c>
      <c r="DA552" s="61">
        <f t="shared" si="454"/>
        <v>0</v>
      </c>
      <c r="DB552" s="2" t="s">
        <v>86</v>
      </c>
      <c r="DC552" s="2" t="s">
        <v>85</v>
      </c>
      <c r="DD552" s="2" t="s">
        <v>142</v>
      </c>
      <c r="DE552" s="2" t="s">
        <v>106</v>
      </c>
      <c r="DF552" s="3" t="s">
        <v>86</v>
      </c>
      <c r="DG552" s="62">
        <v>43052</v>
      </c>
      <c r="EC552" s="60" t="str">
        <f>VLOOKUP($M552,[1]Detail!$M:$BO,1,0)</f>
        <v>JD8B-F618D01-ABW</v>
      </c>
      <c r="ED552" s="60">
        <f>VLOOKUP($M552,[1]Detail!$M:$BO,22,0)</f>
        <v>-2.3561999999999999</v>
      </c>
      <c r="EE552" s="60" t="str">
        <f>VLOOKUP($M552,[1]Detail!$M:$BO,42,0)</f>
        <v>incl.above</v>
      </c>
      <c r="EF552" s="60" t="str">
        <f>VLOOKUP($M552,[1]Detail!$M:$BO,45,0)</f>
        <v>incl.above</v>
      </c>
      <c r="EH552" s="60">
        <f>ED552-AD552</f>
        <v>0</v>
      </c>
      <c r="EI552" s="60">
        <f>SUM(EE552)-SUM(AG552)</f>
        <v>0</v>
      </c>
      <c r="EJ552" s="60">
        <f>SUM(EF552)-SUM(AJ552)</f>
        <v>0</v>
      </c>
    </row>
    <row r="553" spans="2:140" ht="12.75" hidden="1" customHeight="1">
      <c r="B553" s="99" t="s">
        <v>1033</v>
      </c>
      <c r="C553" s="22" t="s">
        <v>1034</v>
      </c>
      <c r="D553" s="2" t="s">
        <v>1035</v>
      </c>
      <c r="E553" s="2" t="s">
        <v>993</v>
      </c>
      <c r="F553" s="2" t="s">
        <v>969</v>
      </c>
      <c r="G553" s="2" t="s">
        <v>331</v>
      </c>
      <c r="J553" s="22" t="s">
        <v>138</v>
      </c>
      <c r="K553" s="23" t="s">
        <v>1042</v>
      </c>
      <c r="L553" s="22" t="s">
        <v>83</v>
      </c>
      <c r="M553" s="51" t="str">
        <f t="shared" si="402"/>
        <v>JD8B-F600B28-AAW</v>
      </c>
      <c r="O553" s="22">
        <v>1</v>
      </c>
      <c r="P553" s="22">
        <v>1</v>
      </c>
      <c r="Q553" s="22"/>
      <c r="R553" s="22"/>
      <c r="S553" s="22"/>
      <c r="T553" s="22"/>
      <c r="U553" s="22"/>
      <c r="V553" s="22"/>
      <c r="W553" s="64">
        <f t="shared" si="444"/>
        <v>0.30000000000000004</v>
      </c>
      <c r="Y553" s="8">
        <v>-846.02599999999995</v>
      </c>
      <c r="Z553" s="8">
        <v>0</v>
      </c>
      <c r="AA553" s="8">
        <v>0</v>
      </c>
      <c r="AB553" s="8">
        <v>0</v>
      </c>
      <c r="AC553" s="8">
        <v>-6.5039999999999996</v>
      </c>
      <c r="AD553" s="8">
        <f t="shared" si="465"/>
        <v>-852.53</v>
      </c>
      <c r="AE553" s="2" t="s">
        <v>84</v>
      </c>
      <c r="AG553" s="8" t="s">
        <v>1039</v>
      </c>
      <c r="AH553" s="8" t="s">
        <v>1039</v>
      </c>
      <c r="AJ553" s="70"/>
      <c r="AK553" s="70"/>
      <c r="AL553" s="72"/>
      <c r="AM553" s="22"/>
      <c r="AO553" s="22" t="s">
        <v>204</v>
      </c>
      <c r="AP553" s="23" t="s">
        <v>1042</v>
      </c>
      <c r="AQ553" s="22" t="s">
        <v>1043</v>
      </c>
      <c r="AR553" s="51" t="s">
        <v>1044</v>
      </c>
      <c r="AS553" s="3"/>
      <c r="AT553" s="22">
        <v>1</v>
      </c>
      <c r="AU553" s="22">
        <v>1</v>
      </c>
      <c r="AV553" s="22"/>
      <c r="AW553" s="22"/>
      <c r="AX553" s="22"/>
      <c r="AY553" s="22"/>
      <c r="AZ553" s="22"/>
      <c r="BA553" s="22"/>
      <c r="BB553" s="64">
        <f t="shared" si="445"/>
        <v>0.30000000000000004</v>
      </c>
      <c r="BD553" s="60">
        <v>-547.47</v>
      </c>
      <c r="BE553" s="95">
        <v>0</v>
      </c>
      <c r="BF553" s="95">
        <v>0</v>
      </c>
      <c r="BG553" s="95">
        <v>0</v>
      </c>
      <c r="BH553" s="95">
        <v>0</v>
      </c>
      <c r="BI553" s="8">
        <f t="shared" si="443"/>
        <v>-547.47</v>
      </c>
      <c r="BJ553" s="2" t="s">
        <v>91</v>
      </c>
      <c r="BL553" s="70"/>
      <c r="BM553" s="70"/>
      <c r="BO553" s="70"/>
      <c r="BP553" s="70"/>
      <c r="BQ553" s="72"/>
      <c r="BS553" s="61">
        <f t="shared" si="446"/>
        <v>-298.55599999999993</v>
      </c>
      <c r="BT553" s="61">
        <f t="shared" si="447"/>
        <v>0</v>
      </c>
      <c r="BU553" s="61">
        <f t="shared" si="448"/>
        <v>0</v>
      </c>
      <c r="BV553" s="61">
        <f t="shared" si="448"/>
        <v>0</v>
      </c>
      <c r="BW553" s="61">
        <f t="shared" si="448"/>
        <v>-6.5039999999999996</v>
      </c>
      <c r="BX553" s="61">
        <f t="shared" si="448"/>
        <v>-305.05999999999995</v>
      </c>
      <c r="BY553" s="61" t="s">
        <v>91</v>
      </c>
      <c r="CA553" s="61">
        <f t="shared" si="449"/>
        <v>-44.915901910636364</v>
      </c>
      <c r="CB553" s="61">
        <f t="shared" si="449"/>
        <v>-44.915901910636364</v>
      </c>
      <c r="CC553" s="61">
        <f t="shared" si="449"/>
        <v>0</v>
      </c>
      <c r="CD553" s="61">
        <f t="shared" si="449"/>
        <v>0</v>
      </c>
      <c r="CE553" s="61">
        <f t="shared" si="449"/>
        <v>0</v>
      </c>
      <c r="CF553" s="61">
        <f t="shared" si="449"/>
        <v>0</v>
      </c>
      <c r="CG553" s="61">
        <f t="shared" si="449"/>
        <v>0</v>
      </c>
      <c r="CH553" s="61">
        <f t="shared" si="449"/>
        <v>0</v>
      </c>
      <c r="CI553" s="61">
        <f t="shared" si="450"/>
        <v>-13.474770573190909</v>
      </c>
      <c r="CJ553" s="61"/>
      <c r="CK553" s="61">
        <f t="shared" si="451"/>
        <v>-45.894388445915439</v>
      </c>
      <c r="CL553" s="61">
        <f t="shared" si="451"/>
        <v>-45.894388445915439</v>
      </c>
      <c r="CM553" s="61">
        <f t="shared" si="451"/>
        <v>0</v>
      </c>
      <c r="CN553" s="61">
        <f t="shared" si="451"/>
        <v>0</v>
      </c>
      <c r="CO553" s="61">
        <f t="shared" si="451"/>
        <v>0</v>
      </c>
      <c r="CP553" s="61">
        <f t="shared" si="451"/>
        <v>0</v>
      </c>
      <c r="CQ553" s="61">
        <f t="shared" si="451"/>
        <v>0</v>
      </c>
      <c r="CR553" s="61">
        <f t="shared" si="451"/>
        <v>0</v>
      </c>
      <c r="CS553" s="61">
        <f t="shared" si="452"/>
        <v>-13.768316533774634</v>
      </c>
      <c r="CT553" s="61">
        <f t="shared" si="453"/>
        <v>-91.518000000000001</v>
      </c>
      <c r="CV553" s="61">
        <f t="shared" si="466"/>
        <v>0</v>
      </c>
      <c r="CW553" s="61">
        <f t="shared" si="433"/>
        <v>0</v>
      </c>
      <c r="CX553" s="61"/>
      <c r="CY553" s="61">
        <f t="shared" si="428"/>
        <v>0</v>
      </c>
      <c r="CZ553" s="61">
        <f t="shared" si="454"/>
        <v>0</v>
      </c>
      <c r="DA553" s="61">
        <f t="shared" si="454"/>
        <v>0</v>
      </c>
      <c r="DB553" s="2" t="s">
        <v>85</v>
      </c>
      <c r="DC553" s="2" t="s">
        <v>86</v>
      </c>
      <c r="DD553" s="2" t="s">
        <v>142</v>
      </c>
      <c r="DE553" s="2" t="s">
        <v>264</v>
      </c>
      <c r="DG553" s="62"/>
      <c r="EC553" s="60"/>
      <c r="ED553" s="60"/>
      <c r="EE553" s="60"/>
      <c r="EF553" s="60"/>
    </row>
    <row r="554" spans="2:140" ht="12.75" hidden="1" customHeight="1">
      <c r="B554" s="99" t="s">
        <v>1033</v>
      </c>
      <c r="C554" s="22" t="s">
        <v>1034</v>
      </c>
      <c r="D554" s="2" t="s">
        <v>1035</v>
      </c>
      <c r="E554" s="2" t="s">
        <v>993</v>
      </c>
      <c r="F554" s="2" t="s">
        <v>969</v>
      </c>
      <c r="G554" s="2" t="s">
        <v>331</v>
      </c>
      <c r="J554" s="22" t="s">
        <v>138</v>
      </c>
      <c r="K554" s="23" t="s">
        <v>1042</v>
      </c>
      <c r="L554" s="22" t="s">
        <v>203</v>
      </c>
      <c r="M554" s="51" t="str">
        <f t="shared" si="402"/>
        <v>JD8B-F600B28-CAW</v>
      </c>
      <c r="O554" s="22"/>
      <c r="P554" s="22"/>
      <c r="Q554" s="22"/>
      <c r="R554" s="22"/>
      <c r="S554" s="22"/>
      <c r="T554" s="22"/>
      <c r="U554" s="22">
        <v>1</v>
      </c>
      <c r="V554" s="22">
        <v>1</v>
      </c>
      <c r="W554" s="64">
        <f t="shared" si="444"/>
        <v>0.1</v>
      </c>
      <c r="Y554" s="8">
        <v>-2148.4560000000001</v>
      </c>
      <c r="Z554" s="8">
        <v>0</v>
      </c>
      <c r="AA554" s="8">
        <v>0</v>
      </c>
      <c r="AB554" s="8">
        <v>0</v>
      </c>
      <c r="AC554" s="8">
        <v>-6.5039999999999996</v>
      </c>
      <c r="AD554" s="8">
        <f t="shared" si="465"/>
        <v>-2154.96</v>
      </c>
      <c r="AE554" s="2" t="s">
        <v>84</v>
      </c>
      <c r="AG554" s="8" t="s">
        <v>1039</v>
      </c>
      <c r="AH554" s="8" t="s">
        <v>1039</v>
      </c>
      <c r="AJ554" s="70"/>
      <c r="AK554" s="70"/>
      <c r="AL554" s="72"/>
      <c r="AM554" s="22"/>
      <c r="AO554" s="22" t="s">
        <v>204</v>
      </c>
      <c r="AP554" s="23" t="s">
        <v>1042</v>
      </c>
      <c r="AQ554" s="22" t="s">
        <v>1045</v>
      </c>
      <c r="AR554" s="51" t="s">
        <v>1046</v>
      </c>
      <c r="AS554" s="3"/>
      <c r="AT554" s="22"/>
      <c r="AU554" s="22"/>
      <c r="AV554" s="22"/>
      <c r="AW554" s="22"/>
      <c r="AX554" s="22"/>
      <c r="AY554" s="22"/>
      <c r="AZ554" s="22">
        <v>1</v>
      </c>
      <c r="BA554" s="22">
        <v>1</v>
      </c>
      <c r="BB554" s="64">
        <f t="shared" si="445"/>
        <v>0.1</v>
      </c>
      <c r="BD554" s="60">
        <v>-744.74</v>
      </c>
      <c r="BE554" s="95">
        <v>0</v>
      </c>
      <c r="BF554" s="95">
        <v>0</v>
      </c>
      <c r="BG554" s="95">
        <v>0</v>
      </c>
      <c r="BH554" s="95">
        <v>0</v>
      </c>
      <c r="BI554" s="8">
        <f t="shared" ref="BI554:BI589" si="467">SUM(BD554:BH554)</f>
        <v>-744.74</v>
      </c>
      <c r="BJ554" s="2" t="s">
        <v>91</v>
      </c>
      <c r="BL554" s="70"/>
      <c r="BM554" s="70"/>
      <c r="BO554" s="70"/>
      <c r="BP554" s="70"/>
      <c r="BQ554" s="72"/>
      <c r="BS554" s="61">
        <f t="shared" si="446"/>
        <v>-1403.7160000000001</v>
      </c>
      <c r="BT554" s="61">
        <f t="shared" si="447"/>
        <v>0</v>
      </c>
      <c r="BU554" s="61">
        <f t="shared" si="448"/>
        <v>0</v>
      </c>
      <c r="BV554" s="61">
        <f t="shared" si="448"/>
        <v>0</v>
      </c>
      <c r="BW554" s="61">
        <f t="shared" si="448"/>
        <v>-6.5039999999999996</v>
      </c>
      <c r="BX554" s="61">
        <f t="shared" si="448"/>
        <v>-1410.22</v>
      </c>
      <c r="BY554" s="61" t="s">
        <v>91</v>
      </c>
      <c r="CA554" s="61">
        <f t="shared" si="449"/>
        <v>0</v>
      </c>
      <c r="CB554" s="61">
        <f t="shared" si="449"/>
        <v>0</v>
      </c>
      <c r="CC554" s="61">
        <f t="shared" si="449"/>
        <v>0</v>
      </c>
      <c r="CD554" s="61">
        <f t="shared" si="449"/>
        <v>0</v>
      </c>
      <c r="CE554" s="61">
        <f t="shared" si="449"/>
        <v>0</v>
      </c>
      <c r="CF554" s="61">
        <f t="shared" si="449"/>
        <v>0</v>
      </c>
      <c r="CG554" s="61">
        <f t="shared" si="449"/>
        <v>-211.18038212727546</v>
      </c>
      <c r="CH554" s="61">
        <f t="shared" si="449"/>
        <v>-211.18038212727546</v>
      </c>
      <c r="CI554" s="61">
        <f t="shared" si="450"/>
        <v>-21.118038212727548</v>
      </c>
      <c r="CJ554" s="61"/>
      <c r="CK554" s="61">
        <f t="shared" si="451"/>
        <v>0</v>
      </c>
      <c r="CL554" s="61">
        <f t="shared" si="451"/>
        <v>0</v>
      </c>
      <c r="CM554" s="61">
        <f t="shared" si="451"/>
        <v>0</v>
      </c>
      <c r="CN554" s="61">
        <f t="shared" si="451"/>
        <v>0</v>
      </c>
      <c r="CO554" s="61">
        <f t="shared" si="451"/>
        <v>0</v>
      </c>
      <c r="CP554" s="61">
        <f t="shared" si="451"/>
        <v>0</v>
      </c>
      <c r="CQ554" s="61">
        <f t="shared" si="451"/>
        <v>-212.15886866255454</v>
      </c>
      <c r="CR554" s="61">
        <f t="shared" si="451"/>
        <v>-212.15886866255454</v>
      </c>
      <c r="CS554" s="61">
        <f t="shared" si="452"/>
        <v>-21.215886866255456</v>
      </c>
      <c r="CT554" s="61">
        <f t="shared" si="453"/>
        <v>-141.02200000000002</v>
      </c>
      <c r="CV554" s="61">
        <f t="shared" si="466"/>
        <v>0</v>
      </c>
      <c r="CW554" s="61">
        <f t="shared" si="433"/>
        <v>0</v>
      </c>
      <c r="CX554" s="61"/>
      <c r="CY554" s="61">
        <f t="shared" si="428"/>
        <v>0</v>
      </c>
      <c r="CZ554" s="61">
        <f t="shared" si="454"/>
        <v>0</v>
      </c>
      <c r="DA554" s="61">
        <f t="shared" si="454"/>
        <v>0</v>
      </c>
      <c r="DB554" s="2" t="s">
        <v>85</v>
      </c>
      <c r="DC554" s="2" t="s">
        <v>86</v>
      </c>
      <c r="DD554" s="2" t="s">
        <v>142</v>
      </c>
      <c r="DE554" s="2" t="s">
        <v>264</v>
      </c>
      <c r="DG554" s="62"/>
      <c r="EC554" s="60"/>
      <c r="ED554" s="60"/>
      <c r="EE554" s="60"/>
      <c r="EF554" s="60"/>
    </row>
    <row r="555" spans="2:140" ht="12.75" hidden="1" customHeight="1">
      <c r="B555" s="99" t="s">
        <v>1033</v>
      </c>
      <c r="C555" s="22" t="s">
        <v>1034</v>
      </c>
      <c r="D555" s="2" t="s">
        <v>1035</v>
      </c>
      <c r="E555" s="2" t="s">
        <v>993</v>
      </c>
      <c r="F555" s="2" t="s">
        <v>969</v>
      </c>
      <c r="G555" s="2" t="s">
        <v>331</v>
      </c>
      <c r="J555" s="22" t="s">
        <v>138</v>
      </c>
      <c r="K555" s="23" t="s">
        <v>1042</v>
      </c>
      <c r="L555" s="22" t="s">
        <v>208</v>
      </c>
      <c r="M555" s="51" t="str">
        <f t="shared" ref="M555:M618" si="468">TRIM(J555)&amp;"-"&amp;TRIM(K555)&amp;"-"&amp;TRIM(L555)</f>
        <v>JD8B-F600B28-BAW</v>
      </c>
      <c r="O555" s="22"/>
      <c r="P555" s="22"/>
      <c r="Q555" s="22">
        <v>1</v>
      </c>
      <c r="R555" s="22">
        <v>1</v>
      </c>
      <c r="S555" s="22"/>
      <c r="T555" s="22"/>
      <c r="U555" s="22"/>
      <c r="V555" s="22"/>
      <c r="W555" s="64">
        <f t="shared" si="444"/>
        <v>0.37</v>
      </c>
      <c r="Y555" s="8">
        <v>-1297.126</v>
      </c>
      <c r="Z555" s="8">
        <v>0</v>
      </c>
      <c r="AA555" s="8">
        <v>0</v>
      </c>
      <c r="AB555" s="8">
        <v>0</v>
      </c>
      <c r="AC555" s="8">
        <v>-6.5039999999999996</v>
      </c>
      <c r="AD555" s="8">
        <f t="shared" si="465"/>
        <v>-1303.6299999999999</v>
      </c>
      <c r="AE555" s="2" t="s">
        <v>84</v>
      </c>
      <c r="AG555" s="8" t="s">
        <v>1039</v>
      </c>
      <c r="AH555" s="8" t="s">
        <v>1039</v>
      </c>
      <c r="AJ555" s="70"/>
      <c r="AK555" s="70"/>
      <c r="AL555" s="72"/>
      <c r="AM555" s="22"/>
      <c r="AO555" s="22" t="s">
        <v>204</v>
      </c>
      <c r="AP555" s="23" t="s">
        <v>1042</v>
      </c>
      <c r="AQ555" s="22" t="s">
        <v>1045</v>
      </c>
      <c r="AR555" s="51" t="s">
        <v>1046</v>
      </c>
      <c r="AS555" s="3"/>
      <c r="AT555" s="22"/>
      <c r="AU555" s="22"/>
      <c r="AV555" s="22">
        <v>1</v>
      </c>
      <c r="AW555" s="22">
        <v>1</v>
      </c>
      <c r="AX555" s="22"/>
      <c r="AY555" s="22"/>
      <c r="AZ555" s="22"/>
      <c r="BA555" s="22"/>
      <c r="BB555" s="64">
        <f t="shared" si="445"/>
        <v>0.37</v>
      </c>
      <c r="BD555" s="60">
        <v>-744.74</v>
      </c>
      <c r="BE555" s="95">
        <v>0</v>
      </c>
      <c r="BF555" s="95">
        <v>0</v>
      </c>
      <c r="BG555" s="95">
        <v>0</v>
      </c>
      <c r="BH555" s="95">
        <v>0</v>
      </c>
      <c r="BI555" s="8">
        <f t="shared" si="467"/>
        <v>-744.74</v>
      </c>
      <c r="BJ555" s="2" t="s">
        <v>91</v>
      </c>
      <c r="BL555" s="70"/>
      <c r="BM555" s="70"/>
      <c r="BO555" s="70"/>
      <c r="BP555" s="70"/>
      <c r="BQ555" s="72"/>
      <c r="BS555" s="61">
        <f t="shared" si="446"/>
        <v>-552.38599999999997</v>
      </c>
      <c r="BT555" s="61">
        <f t="shared" si="447"/>
        <v>0</v>
      </c>
      <c r="BU555" s="61">
        <f t="shared" si="448"/>
        <v>0</v>
      </c>
      <c r="BV555" s="61">
        <f t="shared" si="448"/>
        <v>0</v>
      </c>
      <c r="BW555" s="61">
        <f t="shared" si="448"/>
        <v>-6.5039999999999996</v>
      </c>
      <c r="BX555" s="61">
        <f t="shared" si="448"/>
        <v>-558.88999999999987</v>
      </c>
      <c r="BY555" s="61" t="s">
        <v>91</v>
      </c>
      <c r="CA555" s="61">
        <f t="shared" si="449"/>
        <v>0</v>
      </c>
      <c r="CB555" s="61">
        <f t="shared" si="449"/>
        <v>0</v>
      </c>
      <c r="CC555" s="61">
        <f t="shared" si="449"/>
        <v>-83.103054009327508</v>
      </c>
      <c r="CD555" s="61">
        <f t="shared" si="449"/>
        <v>-83.103054009327508</v>
      </c>
      <c r="CE555" s="61">
        <f t="shared" si="449"/>
        <v>0</v>
      </c>
      <c r="CF555" s="61">
        <f t="shared" si="449"/>
        <v>0</v>
      </c>
      <c r="CG555" s="61">
        <f t="shared" si="449"/>
        <v>0</v>
      </c>
      <c r="CH555" s="61">
        <f t="shared" si="449"/>
        <v>0</v>
      </c>
      <c r="CI555" s="61">
        <f t="shared" si="450"/>
        <v>-30.748129983451179</v>
      </c>
      <c r="CJ555" s="61"/>
      <c r="CK555" s="61">
        <f t="shared" si="451"/>
        <v>0</v>
      </c>
      <c r="CL555" s="61">
        <f t="shared" si="451"/>
        <v>0</v>
      </c>
      <c r="CM555" s="61">
        <f t="shared" si="451"/>
        <v>-84.081540544606568</v>
      </c>
      <c r="CN555" s="61">
        <f t="shared" si="451"/>
        <v>-84.081540544606568</v>
      </c>
      <c r="CO555" s="61">
        <f t="shared" si="451"/>
        <v>0</v>
      </c>
      <c r="CP555" s="61">
        <f t="shared" si="451"/>
        <v>0</v>
      </c>
      <c r="CQ555" s="61">
        <f t="shared" si="451"/>
        <v>0</v>
      </c>
      <c r="CR555" s="61">
        <f t="shared" si="451"/>
        <v>0</v>
      </c>
      <c r="CS555" s="61">
        <f t="shared" si="452"/>
        <v>-31.110170001504432</v>
      </c>
      <c r="CT555" s="61">
        <f t="shared" si="453"/>
        <v>-206.78929999999997</v>
      </c>
      <c r="CV555" s="61">
        <f t="shared" si="466"/>
        <v>0</v>
      </c>
      <c r="CW555" s="61">
        <f t="shared" si="433"/>
        <v>0</v>
      </c>
      <c r="CX555" s="61"/>
      <c r="CY555" s="61">
        <f t="shared" si="428"/>
        <v>0</v>
      </c>
      <c r="CZ555" s="61">
        <f t="shared" si="454"/>
        <v>0</v>
      </c>
      <c r="DA555" s="61">
        <f t="shared" si="454"/>
        <v>0</v>
      </c>
      <c r="DB555" s="2" t="s">
        <v>85</v>
      </c>
      <c r="DC555" s="2" t="s">
        <v>86</v>
      </c>
      <c r="DD555" s="2" t="s">
        <v>142</v>
      </c>
      <c r="DE555" s="2" t="s">
        <v>264</v>
      </c>
      <c r="DG555" s="62"/>
      <c r="EC555" s="60"/>
      <c r="ED555" s="60"/>
      <c r="EE555" s="60"/>
      <c r="EF555" s="60"/>
    </row>
    <row r="556" spans="2:140" ht="12.75" hidden="1" customHeight="1">
      <c r="B556" s="99" t="s">
        <v>1033</v>
      </c>
      <c r="C556" s="22" t="s">
        <v>1034</v>
      </c>
      <c r="D556" s="2" t="s">
        <v>1035</v>
      </c>
      <c r="E556" s="2" t="s">
        <v>993</v>
      </c>
      <c r="F556" s="2" t="s">
        <v>969</v>
      </c>
      <c r="G556" s="2" t="s">
        <v>331</v>
      </c>
      <c r="J556" s="22" t="s">
        <v>138</v>
      </c>
      <c r="K556" s="23" t="s">
        <v>1042</v>
      </c>
      <c r="L556" s="22" t="s">
        <v>206</v>
      </c>
      <c r="M556" s="51" t="str">
        <f t="shared" si="468"/>
        <v>JD8B-F600B28-DAW</v>
      </c>
      <c r="O556" s="22"/>
      <c r="P556" s="22"/>
      <c r="Q556" s="22"/>
      <c r="R556" s="22"/>
      <c r="S556" s="22">
        <v>1</v>
      </c>
      <c r="T556" s="22">
        <v>1</v>
      </c>
      <c r="U556" s="22"/>
      <c r="V556" s="22"/>
      <c r="W556" s="64">
        <f t="shared" si="444"/>
        <v>0.23</v>
      </c>
      <c r="Y556" s="8">
        <v>-1514.7260000000001</v>
      </c>
      <c r="Z556" s="8">
        <v>0</v>
      </c>
      <c r="AA556" s="8">
        <v>0</v>
      </c>
      <c r="AB556" s="8">
        <v>0</v>
      </c>
      <c r="AC556" s="8">
        <v>-6.5039999999999996</v>
      </c>
      <c r="AD556" s="8">
        <f t="shared" si="465"/>
        <v>-1521.23</v>
      </c>
      <c r="AE556" s="2" t="s">
        <v>84</v>
      </c>
      <c r="AG556" s="8" t="s">
        <v>1039</v>
      </c>
      <c r="AH556" s="8" t="s">
        <v>1039</v>
      </c>
      <c r="AJ556" s="70"/>
      <c r="AK556" s="70"/>
      <c r="AL556" s="72"/>
      <c r="AM556" s="22"/>
      <c r="AO556" s="22" t="s">
        <v>204</v>
      </c>
      <c r="AP556" s="23" t="s">
        <v>1042</v>
      </c>
      <c r="AQ556" s="22" t="s">
        <v>1045</v>
      </c>
      <c r="AR556" s="51" t="s">
        <v>1046</v>
      </c>
      <c r="AS556" s="3"/>
      <c r="AT556" s="22"/>
      <c r="AU556" s="22"/>
      <c r="AV556" s="22"/>
      <c r="AW556" s="22"/>
      <c r="AX556" s="22">
        <v>1</v>
      </c>
      <c r="AY556" s="22">
        <v>1</v>
      </c>
      <c r="AZ556" s="22"/>
      <c r="BA556" s="22"/>
      <c r="BB556" s="64">
        <f t="shared" si="445"/>
        <v>0.23</v>
      </c>
      <c r="BD556" s="60">
        <v>-744.74</v>
      </c>
      <c r="BE556" s="95">
        <v>0</v>
      </c>
      <c r="BF556" s="95">
        <v>0</v>
      </c>
      <c r="BG556" s="95">
        <v>0</v>
      </c>
      <c r="BH556" s="95">
        <v>0</v>
      </c>
      <c r="BI556" s="8">
        <f t="shared" si="467"/>
        <v>-744.74</v>
      </c>
      <c r="BJ556" s="2" t="s">
        <v>91</v>
      </c>
      <c r="BL556" s="70"/>
      <c r="BM556" s="70"/>
      <c r="BO556" s="70"/>
      <c r="BP556" s="70"/>
      <c r="BQ556" s="72"/>
      <c r="BS556" s="61">
        <f t="shared" si="446"/>
        <v>-769.9860000000001</v>
      </c>
      <c r="BT556" s="61">
        <f t="shared" si="447"/>
        <v>0</v>
      </c>
      <c r="BU556" s="61">
        <f t="shared" si="448"/>
        <v>0</v>
      </c>
      <c r="BV556" s="61">
        <f t="shared" si="448"/>
        <v>0</v>
      </c>
      <c r="BW556" s="61">
        <f t="shared" si="448"/>
        <v>-6.5039999999999996</v>
      </c>
      <c r="BX556" s="61">
        <f t="shared" si="448"/>
        <v>-776.49</v>
      </c>
      <c r="BY556" s="61" t="s">
        <v>91</v>
      </c>
      <c r="CA556" s="61">
        <f t="shared" si="449"/>
        <v>0</v>
      </c>
      <c r="CB556" s="61">
        <f t="shared" si="449"/>
        <v>0</v>
      </c>
      <c r="CC556" s="61">
        <f t="shared" si="449"/>
        <v>0</v>
      </c>
      <c r="CD556" s="61">
        <f t="shared" si="449"/>
        <v>0</v>
      </c>
      <c r="CE556" s="61">
        <f t="shared" si="449"/>
        <v>-115.83962689935311</v>
      </c>
      <c r="CF556" s="61">
        <f t="shared" si="449"/>
        <v>-115.83962689935311</v>
      </c>
      <c r="CG556" s="61">
        <f t="shared" si="449"/>
        <v>0</v>
      </c>
      <c r="CH556" s="61">
        <f t="shared" si="449"/>
        <v>0</v>
      </c>
      <c r="CI556" s="61">
        <f t="shared" si="450"/>
        <v>-26.643114186851214</v>
      </c>
      <c r="CJ556" s="61"/>
      <c r="CK556" s="61">
        <f t="shared" si="451"/>
        <v>0</v>
      </c>
      <c r="CL556" s="61">
        <f t="shared" si="451"/>
        <v>0</v>
      </c>
      <c r="CM556" s="61">
        <f t="shared" si="451"/>
        <v>0</v>
      </c>
      <c r="CN556" s="61">
        <f t="shared" si="451"/>
        <v>0</v>
      </c>
      <c r="CO556" s="61">
        <f t="shared" si="451"/>
        <v>-116.81811343463217</v>
      </c>
      <c r="CP556" s="61">
        <f t="shared" si="451"/>
        <v>-116.81811343463217</v>
      </c>
      <c r="CQ556" s="61">
        <f t="shared" si="451"/>
        <v>0</v>
      </c>
      <c r="CR556" s="61">
        <f t="shared" si="451"/>
        <v>0</v>
      </c>
      <c r="CS556" s="61">
        <f t="shared" si="452"/>
        <v>-26.868166089965399</v>
      </c>
      <c r="CT556" s="61">
        <f t="shared" si="453"/>
        <v>-178.59270000000001</v>
      </c>
      <c r="CV556" s="61">
        <f t="shared" si="466"/>
        <v>0</v>
      </c>
      <c r="CW556" s="61">
        <f t="shared" si="433"/>
        <v>0</v>
      </c>
      <c r="CX556" s="61"/>
      <c r="CY556" s="61">
        <f t="shared" si="428"/>
        <v>0</v>
      </c>
      <c r="CZ556" s="61">
        <f t="shared" si="454"/>
        <v>0</v>
      </c>
      <c r="DA556" s="61">
        <f t="shared" si="454"/>
        <v>0</v>
      </c>
      <c r="DB556" s="2" t="s">
        <v>85</v>
      </c>
      <c r="DC556" s="2" t="s">
        <v>86</v>
      </c>
      <c r="DD556" s="2" t="s">
        <v>142</v>
      </c>
      <c r="DE556" s="2" t="s">
        <v>264</v>
      </c>
      <c r="DG556" s="62"/>
      <c r="EC556" s="60"/>
      <c r="ED556" s="60"/>
      <c r="EE556" s="60"/>
      <c r="EF556" s="60"/>
    </row>
    <row r="557" spans="2:140" ht="12.75" hidden="1" customHeight="1">
      <c r="B557" s="99" t="s">
        <v>1033</v>
      </c>
      <c r="C557" s="22" t="s">
        <v>1034</v>
      </c>
      <c r="D557" s="2" t="s">
        <v>1035</v>
      </c>
      <c r="E557" s="2" t="s">
        <v>993</v>
      </c>
      <c r="F557" s="2" t="s">
        <v>969</v>
      </c>
      <c r="G557" s="2" t="s">
        <v>331</v>
      </c>
      <c r="J557" s="22" t="s">
        <v>138</v>
      </c>
      <c r="K557" s="23" t="s">
        <v>1047</v>
      </c>
      <c r="L557" s="22" t="s">
        <v>83</v>
      </c>
      <c r="M557" s="51" t="str">
        <f t="shared" si="468"/>
        <v>JD8B-F600A30-AAW</v>
      </c>
      <c r="O557" s="22">
        <v>1</v>
      </c>
      <c r="P557" s="22">
        <v>1</v>
      </c>
      <c r="Q557" s="22"/>
      <c r="R557" s="22"/>
      <c r="S557" s="22"/>
      <c r="T557" s="22"/>
      <c r="U557" s="22"/>
      <c r="V557" s="22"/>
      <c r="W557" s="64">
        <f t="shared" si="444"/>
        <v>0.30000000000000004</v>
      </c>
      <c r="Y557" s="8">
        <v>-816.27200000000005</v>
      </c>
      <c r="Z557" s="8">
        <v>0</v>
      </c>
      <c r="AA557" s="8">
        <v>0</v>
      </c>
      <c r="AB557" s="8">
        <v>0</v>
      </c>
      <c r="AC557" s="8">
        <v>-4.8780000000000001</v>
      </c>
      <c r="AD557" s="8">
        <f t="shared" si="465"/>
        <v>-821.15000000000009</v>
      </c>
      <c r="AE557" s="2" t="s">
        <v>84</v>
      </c>
      <c r="AG557" s="8" t="s">
        <v>1039</v>
      </c>
      <c r="AH557" s="8" t="s">
        <v>1039</v>
      </c>
      <c r="AJ557" s="70"/>
      <c r="AK557" s="70"/>
      <c r="AL557" s="72"/>
      <c r="AM557" s="22"/>
      <c r="AO557" s="22" t="s">
        <v>204</v>
      </c>
      <c r="AP557" s="23" t="s">
        <v>1048</v>
      </c>
      <c r="AQ557" s="22" t="s">
        <v>1049</v>
      </c>
      <c r="AR557" s="51" t="s">
        <v>1050</v>
      </c>
      <c r="AS557" s="3"/>
      <c r="AT557" s="22">
        <v>1</v>
      </c>
      <c r="AU557" s="22">
        <v>1</v>
      </c>
      <c r="AV557" s="22"/>
      <c r="AW557" s="22"/>
      <c r="AX557" s="22"/>
      <c r="AY557" s="22"/>
      <c r="AZ557" s="22"/>
      <c r="BA557" s="22"/>
      <c r="BB557" s="64">
        <f t="shared" si="445"/>
        <v>0.30000000000000004</v>
      </c>
      <c r="BD557" s="60">
        <v>-630.84</v>
      </c>
      <c r="BE557" s="95">
        <v>0</v>
      </c>
      <c r="BF557" s="95">
        <v>0</v>
      </c>
      <c r="BG557" s="95">
        <v>0</v>
      </c>
      <c r="BH557" s="95">
        <v>0</v>
      </c>
      <c r="BI557" s="8">
        <f t="shared" si="467"/>
        <v>-630.84</v>
      </c>
      <c r="BJ557" s="2" t="s">
        <v>91</v>
      </c>
      <c r="BL557" s="70"/>
      <c r="BM557" s="70"/>
      <c r="BO557" s="70"/>
      <c r="BP557" s="70"/>
      <c r="BQ557" s="72"/>
      <c r="BS557" s="61">
        <f t="shared" si="446"/>
        <v>-185.43200000000002</v>
      </c>
      <c r="BT557" s="61">
        <f t="shared" si="447"/>
        <v>0</v>
      </c>
      <c r="BU557" s="61">
        <f t="shared" si="448"/>
        <v>0</v>
      </c>
      <c r="BV557" s="61">
        <f t="shared" si="448"/>
        <v>0</v>
      </c>
      <c r="BW557" s="61">
        <f t="shared" si="448"/>
        <v>-4.8780000000000001</v>
      </c>
      <c r="BX557" s="61">
        <f t="shared" si="448"/>
        <v>-190.31000000000006</v>
      </c>
      <c r="BY557" s="61" t="s">
        <v>91</v>
      </c>
      <c r="CA557" s="61">
        <f t="shared" si="449"/>
        <v>-27.897096434481721</v>
      </c>
      <c r="CB557" s="61">
        <f t="shared" si="449"/>
        <v>-27.897096434481721</v>
      </c>
      <c r="CC557" s="61">
        <f t="shared" si="449"/>
        <v>0</v>
      </c>
      <c r="CD557" s="61">
        <f t="shared" si="449"/>
        <v>0</v>
      </c>
      <c r="CE557" s="61">
        <f t="shared" si="449"/>
        <v>0</v>
      </c>
      <c r="CF557" s="61">
        <f t="shared" si="449"/>
        <v>0</v>
      </c>
      <c r="CG557" s="61">
        <f t="shared" si="449"/>
        <v>0</v>
      </c>
      <c r="CH557" s="61">
        <f t="shared" si="449"/>
        <v>0</v>
      </c>
      <c r="CI557" s="61">
        <f t="shared" si="450"/>
        <v>-8.369128930344516</v>
      </c>
      <c r="CJ557" s="61"/>
      <c r="CK557" s="61">
        <f t="shared" si="451"/>
        <v>-28.630961335941034</v>
      </c>
      <c r="CL557" s="61">
        <f t="shared" si="451"/>
        <v>-28.630961335941034</v>
      </c>
      <c r="CM557" s="61">
        <f t="shared" si="451"/>
        <v>0</v>
      </c>
      <c r="CN557" s="61">
        <f t="shared" si="451"/>
        <v>0</v>
      </c>
      <c r="CO557" s="61">
        <f t="shared" si="451"/>
        <v>0</v>
      </c>
      <c r="CP557" s="61">
        <f t="shared" si="451"/>
        <v>0</v>
      </c>
      <c r="CQ557" s="61">
        <f t="shared" si="451"/>
        <v>0</v>
      </c>
      <c r="CR557" s="61">
        <f t="shared" si="451"/>
        <v>0</v>
      </c>
      <c r="CS557" s="61">
        <f t="shared" si="452"/>
        <v>-8.589288400782312</v>
      </c>
      <c r="CT557" s="61">
        <f t="shared" si="453"/>
        <v>-57.093000000000032</v>
      </c>
      <c r="CV557" s="61">
        <f t="shared" si="466"/>
        <v>0</v>
      </c>
      <c r="CW557" s="61">
        <f t="shared" si="433"/>
        <v>0</v>
      </c>
      <c r="CX557" s="61"/>
      <c r="CY557" s="61">
        <f t="shared" si="428"/>
        <v>0</v>
      </c>
      <c r="CZ557" s="61">
        <f t="shared" si="454"/>
        <v>0</v>
      </c>
      <c r="DA557" s="61">
        <f t="shared" si="454"/>
        <v>0</v>
      </c>
      <c r="DB557" s="2" t="s">
        <v>85</v>
      </c>
      <c r="DC557" s="2" t="s">
        <v>86</v>
      </c>
      <c r="DD557" s="2" t="s">
        <v>142</v>
      </c>
      <c r="DE557" s="2" t="s">
        <v>264</v>
      </c>
      <c r="DG557" s="62"/>
      <c r="EC557" s="60"/>
      <c r="ED557" s="60"/>
      <c r="EE557" s="60"/>
      <c r="EF557" s="60"/>
      <c r="EH557" s="60"/>
      <c r="EI557" s="60"/>
      <c r="EJ557" s="60"/>
    </row>
    <row r="558" spans="2:140" ht="12.75" hidden="1" customHeight="1">
      <c r="B558" s="99" t="s">
        <v>1051</v>
      </c>
      <c r="C558" s="22" t="s">
        <v>1034</v>
      </c>
      <c r="D558" s="2" t="s">
        <v>1035</v>
      </c>
      <c r="E558" s="2" t="s">
        <v>993</v>
      </c>
      <c r="F558" s="2" t="s">
        <v>969</v>
      </c>
      <c r="G558" s="2" t="s">
        <v>331</v>
      </c>
      <c r="J558" s="22" t="s">
        <v>138</v>
      </c>
      <c r="K558" s="23" t="s">
        <v>1047</v>
      </c>
      <c r="L558" s="22" t="s">
        <v>473</v>
      </c>
      <c r="M558" s="51" t="str">
        <f t="shared" si="468"/>
        <v>JD8B-F600A30-ABW</v>
      </c>
      <c r="O558" s="22">
        <v>1</v>
      </c>
      <c r="P558" s="22">
        <v>1</v>
      </c>
      <c r="Q558" s="22"/>
      <c r="R558" s="22"/>
      <c r="S558" s="22"/>
      <c r="T558" s="22"/>
      <c r="U558" s="22"/>
      <c r="V558" s="22"/>
      <c r="W558" s="64">
        <f t="shared" si="444"/>
        <v>0.30000000000000004</v>
      </c>
      <c r="Y558" s="8">
        <v>-816.27200000000005</v>
      </c>
      <c r="Z558" s="8">
        <v>0</v>
      </c>
      <c r="AA558" s="8">
        <v>0</v>
      </c>
      <c r="AB558" s="8">
        <v>0</v>
      </c>
      <c r="AC558" s="8">
        <v>-4.8780000000000001</v>
      </c>
      <c r="AD558" s="8">
        <f t="shared" ref="AD558" si="469">SUM(Y558:AC558)</f>
        <v>-821.15000000000009</v>
      </c>
      <c r="AE558" s="2" t="s">
        <v>84</v>
      </c>
      <c r="AG558" s="8">
        <v>-7750</v>
      </c>
      <c r="AH558" s="8">
        <v>-7750</v>
      </c>
      <c r="AJ558" s="70"/>
      <c r="AK558" s="70"/>
      <c r="AL558" s="72"/>
      <c r="AM558" s="22"/>
      <c r="AO558" s="22" t="s">
        <v>138</v>
      </c>
      <c r="AP558" s="23" t="s">
        <v>1047</v>
      </c>
      <c r="AQ558" s="22" t="s">
        <v>83</v>
      </c>
      <c r="AR558" s="51" t="str">
        <f t="shared" ref="AR558" si="470">TRIM(AO558)&amp;"-"&amp;TRIM(AP558)&amp;"-"&amp;TRIM(AQ558)</f>
        <v>JD8B-F600A30-AAW</v>
      </c>
      <c r="AS558" s="3"/>
      <c r="AT558" s="22">
        <v>1</v>
      </c>
      <c r="AU558" s="22">
        <v>1</v>
      </c>
      <c r="AV558" s="22"/>
      <c r="AW558" s="22"/>
      <c r="AX558" s="22"/>
      <c r="AY558" s="22"/>
      <c r="AZ558" s="22"/>
      <c r="BA558" s="22"/>
      <c r="BB558" s="64">
        <f t="shared" si="445"/>
        <v>0.30000000000000004</v>
      </c>
      <c r="BD558" s="8">
        <v>-816.27200000000005</v>
      </c>
      <c r="BE558" s="8">
        <v>0</v>
      </c>
      <c r="BF558" s="8">
        <v>0</v>
      </c>
      <c r="BG558" s="8">
        <v>0</v>
      </c>
      <c r="BH558" s="8">
        <v>-4.8780000000000001</v>
      </c>
      <c r="BI558" s="8">
        <f t="shared" si="467"/>
        <v>-821.15000000000009</v>
      </c>
      <c r="BJ558" s="2" t="s">
        <v>84</v>
      </c>
      <c r="BL558" s="70"/>
      <c r="BM558" s="70"/>
      <c r="BO558" s="70"/>
      <c r="BP558" s="70"/>
      <c r="BQ558" s="72"/>
      <c r="BS558" s="61">
        <f t="shared" si="446"/>
        <v>0</v>
      </c>
      <c r="BT558" s="61">
        <f t="shared" si="447"/>
        <v>0</v>
      </c>
      <c r="BU558" s="61">
        <f t="shared" si="448"/>
        <v>0</v>
      </c>
      <c r="BV558" s="61">
        <f t="shared" si="448"/>
        <v>0</v>
      </c>
      <c r="BW558" s="61">
        <f t="shared" si="448"/>
        <v>0</v>
      </c>
      <c r="BX558" s="61">
        <f t="shared" si="448"/>
        <v>0</v>
      </c>
      <c r="BY558" s="61" t="s">
        <v>91</v>
      </c>
      <c r="CA558" s="61">
        <f t="shared" si="449"/>
        <v>0</v>
      </c>
      <c r="CB558" s="61">
        <f t="shared" si="449"/>
        <v>0</v>
      </c>
      <c r="CC558" s="61">
        <f t="shared" si="449"/>
        <v>0</v>
      </c>
      <c r="CD558" s="61">
        <f t="shared" si="449"/>
        <v>0</v>
      </c>
      <c r="CE558" s="61">
        <f t="shared" si="449"/>
        <v>0</v>
      </c>
      <c r="CF558" s="61">
        <f t="shared" si="449"/>
        <v>0</v>
      </c>
      <c r="CG558" s="61">
        <f t="shared" si="449"/>
        <v>0</v>
      </c>
      <c r="CH558" s="61">
        <f t="shared" si="449"/>
        <v>0</v>
      </c>
      <c r="CI558" s="61">
        <f t="shared" si="450"/>
        <v>0</v>
      </c>
      <c r="CJ558" s="61"/>
      <c r="CK558" s="61">
        <f t="shared" si="451"/>
        <v>0</v>
      </c>
      <c r="CL558" s="61">
        <f t="shared" si="451"/>
        <v>0</v>
      </c>
      <c r="CM558" s="61">
        <f t="shared" si="451"/>
        <v>0</v>
      </c>
      <c r="CN558" s="61">
        <f t="shared" si="451"/>
        <v>0</v>
      </c>
      <c r="CO558" s="61">
        <f t="shared" si="451"/>
        <v>0</v>
      </c>
      <c r="CP558" s="61">
        <f t="shared" si="451"/>
        <v>0</v>
      </c>
      <c r="CQ558" s="61">
        <f t="shared" si="451"/>
        <v>0</v>
      </c>
      <c r="CR558" s="61">
        <f t="shared" si="451"/>
        <v>0</v>
      </c>
      <c r="CS558" s="61">
        <f t="shared" si="452"/>
        <v>0</v>
      </c>
      <c r="CT558" s="61">
        <f t="shared" si="453"/>
        <v>0</v>
      </c>
      <c r="CV558" s="61" t="e">
        <f>SUM(#REF!)-SUM(BL558)</f>
        <v>#REF!</v>
      </c>
      <c r="CW558" s="61" t="e">
        <f>SUM(#REF!)-SUM(BM558)</f>
        <v>#REF!</v>
      </c>
      <c r="CX558" s="61"/>
      <c r="CY558" s="61">
        <f t="shared" ref="CY558" si="471">SUM(AJ558)-SUM(BO558)</f>
        <v>0</v>
      </c>
      <c r="CZ558" s="61">
        <f t="shared" ref="CZ558" si="472">SUM(AK558)-SUM(BP558)</f>
        <v>0</v>
      </c>
      <c r="DA558" s="61">
        <f t="shared" si="454"/>
        <v>0</v>
      </c>
      <c r="DB558" s="2" t="s">
        <v>86</v>
      </c>
      <c r="DC558" s="2" t="s">
        <v>85</v>
      </c>
      <c r="DD558" s="2" t="s">
        <v>142</v>
      </c>
      <c r="DE558" s="2" t="s">
        <v>106</v>
      </c>
      <c r="DF558" s="3" t="s">
        <v>86</v>
      </c>
      <c r="DG558" s="62">
        <v>43136</v>
      </c>
      <c r="EC558" s="60" t="str">
        <f>VLOOKUP($M558,[1]Detail!$M:$BO,1,0)</f>
        <v>JD8B-F600A30-ABW</v>
      </c>
      <c r="ED558" s="60">
        <f>VLOOKUP($M558,[1]Detail!$M:$BO,22,0)</f>
        <v>-821.15000000000009</v>
      </c>
      <c r="EE558" s="60">
        <f>VLOOKUP($M558,[1]Detail!$M:$BO,42,0)</f>
        <v>-7750</v>
      </c>
      <c r="EF558" s="60" t="str">
        <f>VLOOKUP($M558,[1]Detail!$M:$BO,45,0)</f>
        <v>incl.above</v>
      </c>
      <c r="EH558" s="60">
        <f t="shared" ref="EH558" si="473">ED558-AD558</f>
        <v>0</v>
      </c>
      <c r="EI558" s="60">
        <f>SUM(EE558)-SUM(AG558)</f>
        <v>0</v>
      </c>
      <c r="EJ558" s="60">
        <f>SUM(EF558)-SUM(AJ558)</f>
        <v>0</v>
      </c>
    </row>
    <row r="559" spans="2:140" s="131" customFormat="1" ht="12.75" hidden="1" customHeight="1">
      <c r="B559" s="129" t="s">
        <v>1033</v>
      </c>
      <c r="C559" s="130" t="s">
        <v>1034</v>
      </c>
      <c r="D559" s="131" t="s">
        <v>1035</v>
      </c>
      <c r="E559" s="131" t="s">
        <v>993</v>
      </c>
      <c r="F559" s="131" t="s">
        <v>969</v>
      </c>
      <c r="G559" s="131" t="s">
        <v>331</v>
      </c>
      <c r="H559" s="2"/>
      <c r="J559" s="130" t="s">
        <v>138</v>
      </c>
      <c r="K559" s="132" t="s">
        <v>1047</v>
      </c>
      <c r="L559" s="130" t="s">
        <v>203</v>
      </c>
      <c r="M559" s="133" t="str">
        <f t="shared" si="468"/>
        <v>JD8B-F600A30-CAW</v>
      </c>
      <c r="N559" s="134"/>
      <c r="O559" s="130"/>
      <c r="P559" s="130"/>
      <c r="Q559" s="130"/>
      <c r="R559" s="130"/>
      <c r="S559" s="130"/>
      <c r="T559" s="130"/>
      <c r="U559" s="130">
        <v>1</v>
      </c>
      <c r="V559" s="130">
        <v>1</v>
      </c>
      <c r="W559" s="135">
        <f t="shared" si="444"/>
        <v>0.1</v>
      </c>
      <c r="Y559" s="136">
        <v>-1214.212</v>
      </c>
      <c r="Z559" s="136">
        <v>0</v>
      </c>
      <c r="AA559" s="136">
        <v>0</v>
      </c>
      <c r="AB559" s="136">
        <v>0</v>
      </c>
      <c r="AC559" s="136">
        <v>-4.8780000000000001</v>
      </c>
      <c r="AD559" s="136">
        <f>SUM(Y559:AC559)</f>
        <v>-1219.0899999999999</v>
      </c>
      <c r="AE559" s="131" t="s">
        <v>84</v>
      </c>
      <c r="AG559" s="136" t="s">
        <v>1039</v>
      </c>
      <c r="AH559" s="136" t="s">
        <v>1039</v>
      </c>
      <c r="AJ559" s="137"/>
      <c r="AK559" s="137"/>
      <c r="AL559" s="138"/>
      <c r="AM559" s="130"/>
      <c r="AO559" s="130" t="s">
        <v>204</v>
      </c>
      <c r="AP559" s="132" t="s">
        <v>1048</v>
      </c>
      <c r="AQ559" s="130" t="s">
        <v>1052</v>
      </c>
      <c r="AR559" s="133" t="s">
        <v>1053</v>
      </c>
      <c r="AS559" s="134"/>
      <c r="AT559" s="130"/>
      <c r="AU559" s="130"/>
      <c r="AV559" s="130"/>
      <c r="AW559" s="130"/>
      <c r="AX559" s="130"/>
      <c r="AY559" s="130"/>
      <c r="AZ559" s="130">
        <v>1</v>
      </c>
      <c r="BA559" s="130">
        <v>1</v>
      </c>
      <c r="BB559" s="135">
        <f t="shared" si="445"/>
        <v>0.1</v>
      </c>
      <c r="BD559" s="139">
        <v>-649.08000000000004</v>
      </c>
      <c r="BE559" s="140">
        <v>0</v>
      </c>
      <c r="BF559" s="140">
        <v>0</v>
      </c>
      <c r="BG559" s="140">
        <v>0</v>
      </c>
      <c r="BH559" s="140">
        <v>0</v>
      </c>
      <c r="BI559" s="136">
        <f t="shared" si="467"/>
        <v>-649.08000000000004</v>
      </c>
      <c r="BJ559" s="131" t="s">
        <v>91</v>
      </c>
      <c r="BL559" s="137"/>
      <c r="BM559" s="137"/>
      <c r="BO559" s="137"/>
      <c r="BP559" s="137"/>
      <c r="BQ559" s="138"/>
      <c r="BS559" s="61">
        <f t="shared" si="446"/>
        <v>-565.13199999999995</v>
      </c>
      <c r="BT559" s="61">
        <f t="shared" si="447"/>
        <v>0</v>
      </c>
      <c r="BU559" s="61">
        <f t="shared" si="448"/>
        <v>0</v>
      </c>
      <c r="BV559" s="61">
        <f t="shared" si="448"/>
        <v>0</v>
      </c>
      <c r="BW559" s="61">
        <f t="shared" si="448"/>
        <v>-4.8780000000000001</v>
      </c>
      <c r="BX559" s="61">
        <f t="shared" si="448"/>
        <v>-570.00999999999988</v>
      </c>
      <c r="BY559" s="61" t="s">
        <v>91</v>
      </c>
      <c r="BZ559" s="2"/>
      <c r="CA559" s="61">
        <f t="shared" si="449"/>
        <v>0</v>
      </c>
      <c r="CB559" s="61">
        <f t="shared" si="449"/>
        <v>0</v>
      </c>
      <c r="CC559" s="61">
        <f t="shared" si="449"/>
        <v>0</v>
      </c>
      <c r="CD559" s="61">
        <f t="shared" si="449"/>
        <v>0</v>
      </c>
      <c r="CE559" s="61">
        <f t="shared" si="449"/>
        <v>0</v>
      </c>
      <c r="CF559" s="61">
        <f t="shared" si="449"/>
        <v>0</v>
      </c>
      <c r="CG559" s="61">
        <f t="shared" si="449"/>
        <v>-85.020610801865487</v>
      </c>
      <c r="CH559" s="61">
        <f t="shared" si="449"/>
        <v>-85.020610801865487</v>
      </c>
      <c r="CI559" s="61">
        <f t="shared" si="450"/>
        <v>-8.5020610801865484</v>
      </c>
      <c r="CJ559" s="61"/>
      <c r="CK559" s="61">
        <f t="shared" si="451"/>
        <v>0</v>
      </c>
      <c r="CL559" s="61">
        <f t="shared" si="451"/>
        <v>0</v>
      </c>
      <c r="CM559" s="61">
        <f t="shared" si="451"/>
        <v>0</v>
      </c>
      <c r="CN559" s="61">
        <f t="shared" si="451"/>
        <v>0</v>
      </c>
      <c r="CO559" s="61">
        <f t="shared" si="451"/>
        <v>0</v>
      </c>
      <c r="CP559" s="61">
        <f t="shared" si="451"/>
        <v>0</v>
      </c>
      <c r="CQ559" s="61">
        <f t="shared" si="451"/>
        <v>-85.754475703324786</v>
      </c>
      <c r="CR559" s="61">
        <f t="shared" si="451"/>
        <v>-85.754475703324786</v>
      </c>
      <c r="CS559" s="61">
        <f t="shared" si="452"/>
        <v>-8.5754475703324786</v>
      </c>
      <c r="CT559" s="61">
        <f t="shared" si="453"/>
        <v>-57.000999999999991</v>
      </c>
      <c r="CU559" s="2"/>
      <c r="CV559" s="61">
        <f>SUM(AG559)-SUM(BL559)</f>
        <v>0</v>
      </c>
      <c r="CW559" s="61">
        <f t="shared" si="433"/>
        <v>0</v>
      </c>
      <c r="CX559" s="61"/>
      <c r="CY559" s="61">
        <f t="shared" si="428"/>
        <v>0</v>
      </c>
      <c r="CZ559" s="61">
        <f t="shared" si="454"/>
        <v>0</v>
      </c>
      <c r="DA559" s="61">
        <f t="shared" si="454"/>
        <v>0</v>
      </c>
      <c r="DB559" s="131" t="s">
        <v>85</v>
      </c>
      <c r="DC559" s="131" t="s">
        <v>86</v>
      </c>
      <c r="DD559" s="131" t="s">
        <v>142</v>
      </c>
      <c r="DE559" s="131" t="s">
        <v>264</v>
      </c>
      <c r="DF559" s="134"/>
      <c r="DG559" s="141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134"/>
      <c r="EC559" s="139"/>
      <c r="ED559" s="139"/>
      <c r="EE559" s="139"/>
      <c r="EF559" s="139"/>
    </row>
    <row r="560" spans="2:140" ht="12.75" hidden="1" customHeight="1">
      <c r="B560" s="99" t="s">
        <v>1033</v>
      </c>
      <c r="C560" s="22" t="s">
        <v>1034</v>
      </c>
      <c r="D560" s="2" t="s">
        <v>1035</v>
      </c>
      <c r="E560" s="2" t="s">
        <v>993</v>
      </c>
      <c r="F560" s="2" t="s">
        <v>969</v>
      </c>
      <c r="G560" s="2" t="s">
        <v>331</v>
      </c>
      <c r="J560" s="22" t="s">
        <v>138</v>
      </c>
      <c r="K560" s="23" t="s">
        <v>1047</v>
      </c>
      <c r="L560" s="22" t="s">
        <v>208</v>
      </c>
      <c r="M560" s="51" t="str">
        <f t="shared" si="468"/>
        <v>JD8B-F600A30-BAW</v>
      </c>
      <c r="O560" s="22"/>
      <c r="P560" s="22"/>
      <c r="Q560" s="22">
        <v>1</v>
      </c>
      <c r="R560" s="22">
        <v>1</v>
      </c>
      <c r="S560" s="22"/>
      <c r="T560" s="22"/>
      <c r="U560" s="22"/>
      <c r="V560" s="22"/>
      <c r="W560" s="64">
        <f t="shared" si="444"/>
        <v>0.37</v>
      </c>
      <c r="Y560" s="8">
        <v>-1018.212</v>
      </c>
      <c r="Z560" s="8">
        <v>0</v>
      </c>
      <c r="AA560" s="8">
        <v>0</v>
      </c>
      <c r="AB560" s="8">
        <v>0</v>
      </c>
      <c r="AC560" s="8">
        <v>-4.8780000000000001</v>
      </c>
      <c r="AD560" s="8">
        <f>SUM(Y560:AC560)</f>
        <v>-1023.09</v>
      </c>
      <c r="AE560" s="2" t="s">
        <v>84</v>
      </c>
      <c r="AG560" s="8" t="s">
        <v>1039</v>
      </c>
      <c r="AH560" s="8" t="s">
        <v>1039</v>
      </c>
      <c r="AJ560" s="70"/>
      <c r="AK560" s="70"/>
      <c r="AL560" s="72"/>
      <c r="AM560" s="22"/>
      <c r="AO560" s="22" t="s">
        <v>204</v>
      </c>
      <c r="AP560" s="23" t="s">
        <v>1048</v>
      </c>
      <c r="AQ560" s="22" t="s">
        <v>1052</v>
      </c>
      <c r="AR560" s="51" t="s">
        <v>1053</v>
      </c>
      <c r="AS560" s="3"/>
      <c r="AT560" s="22"/>
      <c r="AU560" s="22"/>
      <c r="AV560" s="22">
        <v>1</v>
      </c>
      <c r="AW560" s="22">
        <v>1</v>
      </c>
      <c r="AX560" s="22"/>
      <c r="AY560" s="22"/>
      <c r="AZ560" s="22"/>
      <c r="BA560" s="22"/>
      <c r="BB560" s="64">
        <f t="shared" si="445"/>
        <v>0.37</v>
      </c>
      <c r="BD560" s="60">
        <v>-649.08000000000004</v>
      </c>
      <c r="BE560" s="95">
        <v>0</v>
      </c>
      <c r="BF560" s="95">
        <v>0</v>
      </c>
      <c r="BG560" s="95">
        <v>0</v>
      </c>
      <c r="BH560" s="95">
        <v>0</v>
      </c>
      <c r="BI560" s="8">
        <f t="shared" si="467"/>
        <v>-649.08000000000004</v>
      </c>
      <c r="BJ560" s="2" t="s">
        <v>91</v>
      </c>
      <c r="BL560" s="70"/>
      <c r="BM560" s="70"/>
      <c r="BO560" s="70"/>
      <c r="BP560" s="70"/>
      <c r="BQ560" s="72"/>
      <c r="BS560" s="61">
        <f t="shared" si="446"/>
        <v>-369.13199999999995</v>
      </c>
      <c r="BT560" s="61">
        <f t="shared" si="447"/>
        <v>0</v>
      </c>
      <c r="BU560" s="61">
        <f t="shared" si="448"/>
        <v>0</v>
      </c>
      <c r="BV560" s="61">
        <f t="shared" si="448"/>
        <v>0</v>
      </c>
      <c r="BW560" s="61">
        <f t="shared" si="448"/>
        <v>-4.8780000000000001</v>
      </c>
      <c r="BX560" s="61">
        <f t="shared" si="448"/>
        <v>-374.01</v>
      </c>
      <c r="BY560" s="61" t="s">
        <v>91</v>
      </c>
      <c r="CA560" s="61">
        <f t="shared" si="449"/>
        <v>0</v>
      </c>
      <c r="CB560" s="61">
        <f t="shared" si="449"/>
        <v>0</v>
      </c>
      <c r="CC560" s="61">
        <f t="shared" si="449"/>
        <v>-55.533624191364517</v>
      </c>
      <c r="CD560" s="61">
        <f t="shared" si="449"/>
        <v>-55.533624191364517</v>
      </c>
      <c r="CE560" s="61">
        <f t="shared" si="449"/>
        <v>0</v>
      </c>
      <c r="CF560" s="61">
        <f t="shared" si="449"/>
        <v>0</v>
      </c>
      <c r="CG560" s="61">
        <f t="shared" si="449"/>
        <v>0</v>
      </c>
      <c r="CH560" s="61">
        <f t="shared" si="449"/>
        <v>0</v>
      </c>
      <c r="CI560" s="61">
        <f t="shared" si="450"/>
        <v>-20.547440950804873</v>
      </c>
      <c r="CJ560" s="61"/>
      <c r="CK560" s="61">
        <f t="shared" si="451"/>
        <v>0</v>
      </c>
      <c r="CL560" s="61">
        <f t="shared" si="451"/>
        <v>0</v>
      </c>
      <c r="CM560" s="61">
        <f t="shared" si="451"/>
        <v>-56.26748909282383</v>
      </c>
      <c r="CN560" s="61">
        <f t="shared" si="451"/>
        <v>-56.26748909282383</v>
      </c>
      <c r="CO560" s="61">
        <f t="shared" si="451"/>
        <v>0</v>
      </c>
      <c r="CP560" s="61">
        <f t="shared" si="451"/>
        <v>0</v>
      </c>
      <c r="CQ560" s="61">
        <f t="shared" si="451"/>
        <v>0</v>
      </c>
      <c r="CR560" s="61">
        <f t="shared" si="451"/>
        <v>0</v>
      </c>
      <c r="CS560" s="61">
        <f t="shared" si="452"/>
        <v>-20.818970964344818</v>
      </c>
      <c r="CT560" s="61">
        <f t="shared" si="453"/>
        <v>-138.3837</v>
      </c>
      <c r="CV560" s="61">
        <f>SUM(AG560)-SUM(BL560)</f>
        <v>0</v>
      </c>
      <c r="CW560" s="61">
        <f t="shared" si="433"/>
        <v>0</v>
      </c>
      <c r="CX560" s="61"/>
      <c r="CY560" s="61">
        <f t="shared" si="428"/>
        <v>0</v>
      </c>
      <c r="CZ560" s="61">
        <f t="shared" si="454"/>
        <v>0</v>
      </c>
      <c r="DA560" s="61">
        <f t="shared" si="454"/>
        <v>0</v>
      </c>
      <c r="DB560" s="2" t="s">
        <v>85</v>
      </c>
      <c r="DC560" s="2" t="s">
        <v>86</v>
      </c>
      <c r="DD560" s="2" t="s">
        <v>142</v>
      </c>
      <c r="DE560" s="2" t="s">
        <v>264</v>
      </c>
      <c r="DG560" s="62"/>
      <c r="EC560" s="60"/>
      <c r="ED560" s="60"/>
      <c r="EE560" s="60"/>
      <c r="EF560" s="60"/>
    </row>
    <row r="561" spans="2:140" ht="12.75" hidden="1" customHeight="1">
      <c r="B561" s="99" t="s">
        <v>1033</v>
      </c>
      <c r="C561" s="22" t="s">
        <v>1034</v>
      </c>
      <c r="D561" s="2" t="s">
        <v>1035</v>
      </c>
      <c r="E561" s="2" t="s">
        <v>993</v>
      </c>
      <c r="F561" s="2" t="s">
        <v>969</v>
      </c>
      <c r="G561" s="2" t="s">
        <v>331</v>
      </c>
      <c r="J561" s="22" t="s">
        <v>138</v>
      </c>
      <c r="K561" s="23" t="s">
        <v>1047</v>
      </c>
      <c r="L561" s="22" t="s">
        <v>206</v>
      </c>
      <c r="M561" s="51" t="str">
        <f t="shared" si="468"/>
        <v>JD8B-F600A30-DAW</v>
      </c>
      <c r="O561" s="22"/>
      <c r="P561" s="22"/>
      <c r="Q561" s="22"/>
      <c r="R561" s="22"/>
      <c r="S561" s="22">
        <v>1</v>
      </c>
      <c r="T561" s="22">
        <v>1</v>
      </c>
      <c r="U561" s="22"/>
      <c r="V561" s="22"/>
      <c r="W561" s="64">
        <f t="shared" si="444"/>
        <v>0.23</v>
      </c>
      <c r="Y561" s="8">
        <v>-1198.0219999999999</v>
      </c>
      <c r="Z561" s="8">
        <v>0</v>
      </c>
      <c r="AA561" s="8">
        <v>0</v>
      </c>
      <c r="AB561" s="8">
        <v>0</v>
      </c>
      <c r="AC561" s="8">
        <v>-4.8780000000000001</v>
      </c>
      <c r="AD561" s="8">
        <f>SUM(Y561:AC561)</f>
        <v>-1202.8999999999999</v>
      </c>
      <c r="AE561" s="2" t="s">
        <v>84</v>
      </c>
      <c r="AG561" s="8" t="s">
        <v>1039</v>
      </c>
      <c r="AH561" s="8" t="s">
        <v>1039</v>
      </c>
      <c r="AJ561" s="70"/>
      <c r="AK561" s="70"/>
      <c r="AL561" s="72"/>
      <c r="AM561" s="22"/>
      <c r="AO561" s="22" t="s">
        <v>204</v>
      </c>
      <c r="AP561" s="23" t="s">
        <v>1048</v>
      </c>
      <c r="AQ561" s="22" t="s">
        <v>1052</v>
      </c>
      <c r="AR561" s="51" t="s">
        <v>1053</v>
      </c>
      <c r="AS561" s="3"/>
      <c r="AT561" s="22"/>
      <c r="AU561" s="22"/>
      <c r="AV561" s="22"/>
      <c r="AW561" s="22"/>
      <c r="AX561" s="22">
        <v>1</v>
      </c>
      <c r="AY561" s="22">
        <v>1</v>
      </c>
      <c r="AZ561" s="22"/>
      <c r="BA561" s="22"/>
      <c r="BB561" s="64">
        <f t="shared" si="445"/>
        <v>0.23</v>
      </c>
      <c r="BD561" s="60">
        <v>-649.08000000000004</v>
      </c>
      <c r="BE561" s="95">
        <v>0</v>
      </c>
      <c r="BF561" s="95">
        <v>0</v>
      </c>
      <c r="BG561" s="95">
        <v>0</v>
      </c>
      <c r="BH561" s="95">
        <v>0</v>
      </c>
      <c r="BI561" s="8">
        <f t="shared" si="467"/>
        <v>-649.08000000000004</v>
      </c>
      <c r="BJ561" s="2" t="s">
        <v>91</v>
      </c>
      <c r="BL561" s="70"/>
      <c r="BM561" s="70"/>
      <c r="BO561" s="70"/>
      <c r="BP561" s="70"/>
      <c r="BQ561" s="72"/>
      <c r="BS561" s="61">
        <f t="shared" si="446"/>
        <v>-548.94199999999989</v>
      </c>
      <c r="BT561" s="61">
        <f t="shared" si="447"/>
        <v>0</v>
      </c>
      <c r="BU561" s="61">
        <f t="shared" si="448"/>
        <v>0</v>
      </c>
      <c r="BV561" s="61">
        <f t="shared" si="448"/>
        <v>0</v>
      </c>
      <c r="BW561" s="61">
        <f t="shared" si="448"/>
        <v>-4.8780000000000001</v>
      </c>
      <c r="BX561" s="61">
        <f t="shared" si="448"/>
        <v>-553.81999999999982</v>
      </c>
      <c r="BY561" s="61" t="s">
        <v>91</v>
      </c>
      <c r="CA561" s="61">
        <f t="shared" si="449"/>
        <v>0</v>
      </c>
      <c r="CB561" s="61">
        <f t="shared" si="449"/>
        <v>0</v>
      </c>
      <c r="CC561" s="61">
        <f t="shared" si="449"/>
        <v>0</v>
      </c>
      <c r="CD561" s="61">
        <f t="shared" si="449"/>
        <v>0</v>
      </c>
      <c r="CE561" s="61">
        <f t="shared" si="449"/>
        <v>-82.584925530314408</v>
      </c>
      <c r="CF561" s="61">
        <f t="shared" si="449"/>
        <v>-82.584925530314408</v>
      </c>
      <c r="CG561" s="61">
        <f t="shared" si="449"/>
        <v>0</v>
      </c>
      <c r="CH561" s="61">
        <f t="shared" si="449"/>
        <v>0</v>
      </c>
      <c r="CI561" s="61">
        <f t="shared" si="450"/>
        <v>-18.994532871972314</v>
      </c>
      <c r="CJ561" s="61"/>
      <c r="CK561" s="61">
        <f t="shared" si="451"/>
        <v>0</v>
      </c>
      <c r="CL561" s="61">
        <f t="shared" si="451"/>
        <v>0</v>
      </c>
      <c r="CM561" s="61">
        <f t="shared" si="451"/>
        <v>0</v>
      </c>
      <c r="CN561" s="61">
        <f t="shared" si="451"/>
        <v>0</v>
      </c>
      <c r="CO561" s="61">
        <f t="shared" si="451"/>
        <v>-83.318790431773706</v>
      </c>
      <c r="CP561" s="61">
        <f t="shared" si="451"/>
        <v>-83.318790431773706</v>
      </c>
      <c r="CQ561" s="61">
        <f t="shared" si="451"/>
        <v>0</v>
      </c>
      <c r="CR561" s="61">
        <f t="shared" si="451"/>
        <v>0</v>
      </c>
      <c r="CS561" s="61">
        <f t="shared" si="452"/>
        <v>-19.163321799307955</v>
      </c>
      <c r="CT561" s="61">
        <f t="shared" si="453"/>
        <v>-127.37859999999998</v>
      </c>
      <c r="CV561" s="61">
        <f>SUM(AG561)-SUM(BL561)</f>
        <v>0</v>
      </c>
      <c r="CW561" s="61">
        <f t="shared" si="433"/>
        <v>0</v>
      </c>
      <c r="CX561" s="61"/>
      <c r="CY561" s="61">
        <f t="shared" si="428"/>
        <v>0</v>
      </c>
      <c r="CZ561" s="61">
        <f t="shared" si="454"/>
        <v>0</v>
      </c>
      <c r="DA561" s="61">
        <f t="shared" si="454"/>
        <v>0</v>
      </c>
      <c r="DB561" s="2" t="s">
        <v>85</v>
      </c>
      <c r="DC561" s="2" t="s">
        <v>86</v>
      </c>
      <c r="DD561" s="2" t="s">
        <v>142</v>
      </c>
      <c r="DE561" s="2" t="s">
        <v>264</v>
      </c>
      <c r="DG561" s="62"/>
      <c r="EC561" s="60"/>
      <c r="ED561" s="60"/>
      <c r="EE561" s="60"/>
      <c r="EF561" s="60"/>
    </row>
    <row r="562" spans="2:140" ht="12.75" hidden="1" customHeight="1">
      <c r="B562" s="99" t="s">
        <v>1033</v>
      </c>
      <c r="C562" s="22" t="s">
        <v>1034</v>
      </c>
      <c r="D562" s="2" t="s">
        <v>1035</v>
      </c>
      <c r="E562" s="2" t="s">
        <v>993</v>
      </c>
      <c r="F562" s="2" t="s">
        <v>969</v>
      </c>
      <c r="G562" s="2" t="s">
        <v>331</v>
      </c>
      <c r="J562" s="22" t="s">
        <v>138</v>
      </c>
      <c r="K562" s="23" t="s">
        <v>1054</v>
      </c>
      <c r="L562" s="22" t="s">
        <v>83</v>
      </c>
      <c r="M562" s="51" t="str">
        <f t="shared" si="468"/>
        <v>JD8B-F600A31-AAW</v>
      </c>
      <c r="O562" s="22">
        <v>1</v>
      </c>
      <c r="P562" s="22">
        <v>1</v>
      </c>
      <c r="Q562" s="22"/>
      <c r="R562" s="22"/>
      <c r="S562" s="22"/>
      <c r="T562" s="22"/>
      <c r="U562" s="22"/>
      <c r="V562" s="22"/>
      <c r="W562" s="64">
        <f t="shared" si="444"/>
        <v>0.30000000000000004</v>
      </c>
      <c r="Y562" s="8">
        <v>-831.65200000000004</v>
      </c>
      <c r="Z562" s="8">
        <v>0</v>
      </c>
      <c r="AA562" s="8">
        <v>0</v>
      </c>
      <c r="AB562" s="8">
        <v>0</v>
      </c>
      <c r="AC562" s="8">
        <v>-4.8780000000000001</v>
      </c>
      <c r="AD562" s="8">
        <f>SUM(Y562:AC562)</f>
        <v>-836.53000000000009</v>
      </c>
      <c r="AE562" s="2" t="s">
        <v>84</v>
      </c>
      <c r="AG562" s="8" t="s">
        <v>1039</v>
      </c>
      <c r="AH562" s="8" t="s">
        <v>1039</v>
      </c>
      <c r="AJ562" s="70"/>
      <c r="AK562" s="70"/>
      <c r="AL562" s="72"/>
      <c r="AM562" s="22"/>
      <c r="AO562" s="22" t="s">
        <v>204</v>
      </c>
      <c r="AP562" s="23" t="s">
        <v>1055</v>
      </c>
      <c r="AQ562" s="22" t="s">
        <v>1056</v>
      </c>
      <c r="AR562" s="51" t="s">
        <v>1057</v>
      </c>
      <c r="AS562" s="3"/>
      <c r="AT562" s="22">
        <v>1</v>
      </c>
      <c r="AU562" s="22">
        <v>1</v>
      </c>
      <c r="AV562" s="22"/>
      <c r="AW562" s="22"/>
      <c r="AX562" s="22"/>
      <c r="AY562" s="22"/>
      <c r="AZ562" s="22"/>
      <c r="BA562" s="22"/>
      <c r="BB562" s="64">
        <f t="shared" si="445"/>
        <v>0.30000000000000004</v>
      </c>
      <c r="BD562" s="60">
        <v>-711.05</v>
      </c>
      <c r="BE562" s="95">
        <v>0</v>
      </c>
      <c r="BF562" s="95">
        <v>0</v>
      </c>
      <c r="BG562" s="95">
        <v>0</v>
      </c>
      <c r="BH562" s="95">
        <v>0</v>
      </c>
      <c r="BI562" s="8">
        <f t="shared" si="467"/>
        <v>-711.05</v>
      </c>
      <c r="BJ562" s="2" t="s">
        <v>91</v>
      </c>
      <c r="BL562" s="70"/>
      <c r="BM562" s="70"/>
      <c r="BO562" s="70"/>
      <c r="BP562" s="70"/>
      <c r="BQ562" s="72"/>
      <c r="BS562" s="61">
        <f t="shared" si="446"/>
        <v>-120.60200000000009</v>
      </c>
      <c r="BT562" s="61">
        <f t="shared" si="447"/>
        <v>0</v>
      </c>
      <c r="BU562" s="61">
        <f t="shared" si="448"/>
        <v>0</v>
      </c>
      <c r="BV562" s="61">
        <f t="shared" si="448"/>
        <v>0</v>
      </c>
      <c r="BW562" s="61">
        <f t="shared" si="448"/>
        <v>-4.8780000000000001</v>
      </c>
      <c r="BX562" s="61">
        <f t="shared" si="448"/>
        <v>-125.48000000000013</v>
      </c>
      <c r="BY562" s="61" t="s">
        <v>91</v>
      </c>
      <c r="CA562" s="61">
        <f t="shared" si="449"/>
        <v>-18.143824281630824</v>
      </c>
      <c r="CB562" s="61">
        <f t="shared" si="449"/>
        <v>-18.143824281630824</v>
      </c>
      <c r="CC562" s="61">
        <f t="shared" si="449"/>
        <v>0</v>
      </c>
      <c r="CD562" s="61">
        <f t="shared" si="449"/>
        <v>0</v>
      </c>
      <c r="CE562" s="61">
        <f t="shared" si="449"/>
        <v>0</v>
      </c>
      <c r="CF562" s="61">
        <f t="shared" si="449"/>
        <v>0</v>
      </c>
      <c r="CG562" s="61">
        <f t="shared" si="449"/>
        <v>0</v>
      </c>
      <c r="CH562" s="61">
        <f t="shared" si="449"/>
        <v>0</v>
      </c>
      <c r="CI562" s="61">
        <f t="shared" si="450"/>
        <v>-5.4431472844892479</v>
      </c>
      <c r="CJ562" s="61"/>
      <c r="CK562" s="61">
        <f t="shared" si="451"/>
        <v>-18.877689183090133</v>
      </c>
      <c r="CL562" s="61">
        <f t="shared" si="451"/>
        <v>-18.877689183090133</v>
      </c>
      <c r="CM562" s="61">
        <f t="shared" si="451"/>
        <v>0</v>
      </c>
      <c r="CN562" s="61">
        <f t="shared" si="451"/>
        <v>0</v>
      </c>
      <c r="CO562" s="61">
        <f t="shared" si="451"/>
        <v>0</v>
      </c>
      <c r="CP562" s="61">
        <f t="shared" si="451"/>
        <v>0</v>
      </c>
      <c r="CQ562" s="61">
        <f t="shared" si="451"/>
        <v>0</v>
      </c>
      <c r="CR562" s="61">
        <f t="shared" si="451"/>
        <v>0</v>
      </c>
      <c r="CS562" s="61">
        <f t="shared" si="452"/>
        <v>-5.6633067549270404</v>
      </c>
      <c r="CT562" s="61">
        <f t="shared" si="453"/>
        <v>-37.644000000000041</v>
      </c>
      <c r="CV562" s="61">
        <f>SUM(AG562)-SUM(BL562)</f>
        <v>0</v>
      </c>
      <c r="CW562" s="61">
        <f t="shared" si="433"/>
        <v>0</v>
      </c>
      <c r="CX562" s="61"/>
      <c r="CY562" s="61">
        <f t="shared" si="428"/>
        <v>0</v>
      </c>
      <c r="CZ562" s="61">
        <f t="shared" si="454"/>
        <v>0</v>
      </c>
      <c r="DA562" s="61">
        <f t="shared" si="454"/>
        <v>0</v>
      </c>
      <c r="DB562" s="2" t="s">
        <v>85</v>
      </c>
      <c r="DC562" s="2" t="s">
        <v>86</v>
      </c>
      <c r="DD562" s="2" t="s">
        <v>142</v>
      </c>
      <c r="DE562" s="2" t="s">
        <v>264</v>
      </c>
      <c r="DG562" s="62"/>
      <c r="EC562" s="60"/>
      <c r="ED562" s="60"/>
      <c r="EE562" s="60"/>
      <c r="EF562" s="60"/>
    </row>
    <row r="563" spans="2:140" ht="12.75" hidden="1" customHeight="1">
      <c r="B563" s="99" t="s">
        <v>1051</v>
      </c>
      <c r="C563" s="22" t="s">
        <v>1034</v>
      </c>
      <c r="D563" s="2" t="s">
        <v>1035</v>
      </c>
      <c r="E563" s="2" t="s">
        <v>993</v>
      </c>
      <c r="F563" s="2" t="s">
        <v>969</v>
      </c>
      <c r="G563" s="2" t="s">
        <v>331</v>
      </c>
      <c r="J563" s="22" t="s">
        <v>138</v>
      </c>
      <c r="K563" s="23" t="s">
        <v>1054</v>
      </c>
      <c r="L563" s="22" t="s">
        <v>473</v>
      </c>
      <c r="M563" s="51" t="str">
        <f t="shared" si="468"/>
        <v>JD8B-F600A31-ABW</v>
      </c>
      <c r="O563" s="22">
        <v>1</v>
      </c>
      <c r="P563" s="22">
        <v>1</v>
      </c>
      <c r="Q563" s="22"/>
      <c r="R563" s="22"/>
      <c r="S563" s="22"/>
      <c r="T563" s="22"/>
      <c r="U563" s="22"/>
      <c r="V563" s="22"/>
      <c r="W563" s="64">
        <f t="shared" si="444"/>
        <v>0.30000000000000004</v>
      </c>
      <c r="Y563" s="8">
        <v>-831.65200000000004</v>
      </c>
      <c r="Z563" s="8">
        <v>0</v>
      </c>
      <c r="AA563" s="8">
        <v>0</v>
      </c>
      <c r="AB563" s="8">
        <v>0</v>
      </c>
      <c r="AC563" s="8">
        <v>-4.8780000000000001</v>
      </c>
      <c r="AD563" s="8">
        <f t="shared" ref="AD563" si="474">SUM(Y563:AC563)</f>
        <v>-836.53000000000009</v>
      </c>
      <c r="AE563" s="2" t="s">
        <v>84</v>
      </c>
      <c r="AG563" s="8" t="s">
        <v>1039</v>
      </c>
      <c r="AH563" s="8" t="s">
        <v>1039</v>
      </c>
      <c r="AJ563" s="70"/>
      <c r="AK563" s="70"/>
      <c r="AL563" s="72"/>
      <c r="AM563" s="22"/>
      <c r="AO563" s="22" t="s">
        <v>138</v>
      </c>
      <c r="AP563" s="23" t="s">
        <v>1054</v>
      </c>
      <c r="AQ563" s="22" t="s">
        <v>83</v>
      </c>
      <c r="AR563" s="51" t="str">
        <f t="shared" ref="AR563" si="475">TRIM(AO563)&amp;"-"&amp;TRIM(AP563)&amp;"-"&amp;TRIM(AQ563)</f>
        <v>JD8B-F600A31-AAW</v>
      </c>
      <c r="AS563" s="3"/>
      <c r="AT563" s="22">
        <v>1</v>
      </c>
      <c r="AU563" s="22">
        <v>1</v>
      </c>
      <c r="AV563" s="22"/>
      <c r="AW563" s="22"/>
      <c r="AX563" s="22"/>
      <c r="AY563" s="22"/>
      <c r="AZ563" s="22"/>
      <c r="BA563" s="22"/>
      <c r="BB563" s="64">
        <f t="shared" si="445"/>
        <v>0.30000000000000004</v>
      </c>
      <c r="BD563" s="8">
        <v>-831.65200000000004</v>
      </c>
      <c r="BE563" s="8">
        <v>0</v>
      </c>
      <c r="BF563" s="8">
        <v>0</v>
      </c>
      <c r="BG563" s="8">
        <v>0</v>
      </c>
      <c r="BH563" s="8">
        <v>-4.8780000000000001</v>
      </c>
      <c r="BI563" s="8">
        <f t="shared" si="467"/>
        <v>-836.53000000000009</v>
      </c>
      <c r="BJ563" s="2" t="s">
        <v>91</v>
      </c>
      <c r="BL563" s="70"/>
      <c r="BM563" s="70"/>
      <c r="BO563" s="70"/>
      <c r="BP563" s="70"/>
      <c r="BQ563" s="72"/>
      <c r="BS563" s="61">
        <f t="shared" si="446"/>
        <v>0</v>
      </c>
      <c r="BT563" s="61">
        <f t="shared" si="447"/>
        <v>0</v>
      </c>
      <c r="BU563" s="61">
        <f t="shared" si="448"/>
        <v>0</v>
      </c>
      <c r="BV563" s="61">
        <f t="shared" si="448"/>
        <v>0</v>
      </c>
      <c r="BW563" s="61">
        <f t="shared" si="448"/>
        <v>0</v>
      </c>
      <c r="BX563" s="61">
        <f t="shared" si="448"/>
        <v>0</v>
      </c>
      <c r="BY563" s="61" t="s">
        <v>91</v>
      </c>
      <c r="CA563" s="61">
        <f t="shared" si="449"/>
        <v>0</v>
      </c>
      <c r="CB563" s="61">
        <f t="shared" si="449"/>
        <v>0</v>
      </c>
      <c r="CC563" s="61">
        <f t="shared" si="449"/>
        <v>0</v>
      </c>
      <c r="CD563" s="61">
        <f t="shared" si="449"/>
        <v>0</v>
      </c>
      <c r="CE563" s="61">
        <f t="shared" si="449"/>
        <v>0</v>
      </c>
      <c r="CF563" s="61">
        <f t="shared" si="449"/>
        <v>0</v>
      </c>
      <c r="CG563" s="61">
        <f t="shared" si="449"/>
        <v>0</v>
      </c>
      <c r="CH563" s="61">
        <f t="shared" si="449"/>
        <v>0</v>
      </c>
      <c r="CI563" s="61">
        <f t="shared" si="450"/>
        <v>0</v>
      </c>
      <c r="CJ563" s="61"/>
      <c r="CK563" s="61">
        <f t="shared" si="451"/>
        <v>0</v>
      </c>
      <c r="CL563" s="61">
        <f t="shared" si="451"/>
        <v>0</v>
      </c>
      <c r="CM563" s="61">
        <f t="shared" si="451"/>
        <v>0</v>
      </c>
      <c r="CN563" s="61">
        <f t="shared" si="451"/>
        <v>0</v>
      </c>
      <c r="CO563" s="61">
        <f t="shared" si="451"/>
        <v>0</v>
      </c>
      <c r="CP563" s="61">
        <f t="shared" si="451"/>
        <v>0</v>
      </c>
      <c r="CQ563" s="61">
        <f t="shared" si="451"/>
        <v>0</v>
      </c>
      <c r="CR563" s="61">
        <f t="shared" si="451"/>
        <v>0</v>
      </c>
      <c r="CS563" s="61">
        <f t="shared" si="452"/>
        <v>0</v>
      </c>
      <c r="CT563" s="61">
        <f t="shared" si="453"/>
        <v>0</v>
      </c>
      <c r="CV563" s="61">
        <f t="shared" ref="CV563" si="476">SUM(AG563)-SUM(BL563)</f>
        <v>0</v>
      </c>
      <c r="CW563" s="61">
        <f t="shared" ref="CW563" si="477">SUM(AH563)-SUM(BM563)</f>
        <v>0</v>
      </c>
      <c r="CX563" s="61"/>
      <c r="CY563" s="61">
        <f t="shared" ref="CY563" si="478">SUM(AJ563)-SUM(BO563)</f>
        <v>0</v>
      </c>
      <c r="CZ563" s="61">
        <f t="shared" si="454"/>
        <v>0</v>
      </c>
      <c r="DA563" s="61">
        <f t="shared" si="454"/>
        <v>0</v>
      </c>
      <c r="DB563" s="2" t="s">
        <v>86</v>
      </c>
      <c r="DC563" s="2" t="s">
        <v>85</v>
      </c>
      <c r="DD563" s="2" t="s">
        <v>142</v>
      </c>
      <c r="DE563" s="2" t="s">
        <v>106</v>
      </c>
      <c r="DF563" s="3" t="s">
        <v>86</v>
      </c>
      <c r="DG563" s="62">
        <v>43136</v>
      </c>
      <c r="EC563" s="60" t="str">
        <f>VLOOKUP($M563,[1]Detail!$M:$BO,1,0)</f>
        <v>JD8B-F600A31-ABW</v>
      </c>
      <c r="ED563" s="60">
        <f>VLOOKUP($M563,[1]Detail!$M:$BO,22,0)</f>
        <v>-836.53000000000009</v>
      </c>
      <c r="EE563" s="60" t="str">
        <f>VLOOKUP($M563,[1]Detail!$M:$BO,42,0)</f>
        <v>incl.above</v>
      </c>
      <c r="EF563" s="60" t="str">
        <f>VLOOKUP($M563,[1]Detail!$M:$BO,45,0)</f>
        <v>incl.above</v>
      </c>
      <c r="EH563" s="60">
        <f>ED563-AD563</f>
        <v>0</v>
      </c>
      <c r="EI563" s="60">
        <f>SUM(EE563)-SUM(AG563)</f>
        <v>0</v>
      </c>
      <c r="EJ563" s="60">
        <f>SUM(EF563)-SUM(AJ563)</f>
        <v>0</v>
      </c>
    </row>
    <row r="564" spans="2:140" ht="12.75" hidden="1" customHeight="1">
      <c r="B564" s="99" t="s">
        <v>1033</v>
      </c>
      <c r="C564" s="22" t="s">
        <v>1034</v>
      </c>
      <c r="D564" s="22" t="s">
        <v>1035</v>
      </c>
      <c r="E564" s="2" t="s">
        <v>993</v>
      </c>
      <c r="F564" s="2" t="s">
        <v>969</v>
      </c>
      <c r="G564" s="2" t="s">
        <v>331</v>
      </c>
      <c r="J564" s="22" t="s">
        <v>138</v>
      </c>
      <c r="K564" s="23" t="s">
        <v>1054</v>
      </c>
      <c r="L564" s="22" t="s">
        <v>203</v>
      </c>
      <c r="M564" s="51" t="str">
        <f t="shared" si="468"/>
        <v>JD8B-F600A31-CAW</v>
      </c>
      <c r="O564" s="22"/>
      <c r="P564" s="22"/>
      <c r="Q564" s="22"/>
      <c r="R564" s="22"/>
      <c r="S564" s="22"/>
      <c r="T564" s="22"/>
      <c r="U564" s="22">
        <v>1</v>
      </c>
      <c r="V564" s="22">
        <v>1</v>
      </c>
      <c r="W564" s="64">
        <f t="shared" si="444"/>
        <v>0.1</v>
      </c>
      <c r="Y564" s="8">
        <v>-1676.172</v>
      </c>
      <c r="Z564" s="8">
        <v>0</v>
      </c>
      <c r="AA564" s="8">
        <v>0</v>
      </c>
      <c r="AB564" s="8">
        <v>0</v>
      </c>
      <c r="AC564" s="8">
        <v>-4.8780000000000001</v>
      </c>
      <c r="AD564" s="8">
        <f t="shared" ref="AD564:AD582" si="479">SUM(Y564:AC564)</f>
        <v>-1681.05</v>
      </c>
      <c r="AE564" s="2" t="s">
        <v>84</v>
      </c>
      <c r="AG564" s="8" t="s">
        <v>1039</v>
      </c>
      <c r="AH564" s="8" t="s">
        <v>1039</v>
      </c>
      <c r="AJ564" s="70"/>
      <c r="AK564" s="70"/>
      <c r="AL564" s="72"/>
      <c r="AM564" s="22"/>
      <c r="AO564" s="22" t="s">
        <v>204</v>
      </c>
      <c r="AP564" s="23" t="s">
        <v>1055</v>
      </c>
      <c r="AQ564" s="22" t="s">
        <v>1058</v>
      </c>
      <c r="AR564" s="51" t="s">
        <v>1059</v>
      </c>
      <c r="AS564" s="3"/>
      <c r="AT564" s="22"/>
      <c r="AU564" s="22"/>
      <c r="AV564" s="22"/>
      <c r="AW564" s="22"/>
      <c r="AX564" s="22"/>
      <c r="AY564" s="22"/>
      <c r="AZ564" s="22">
        <v>1</v>
      </c>
      <c r="BA564" s="22">
        <v>1</v>
      </c>
      <c r="BB564" s="64">
        <f t="shared" si="445"/>
        <v>0.1</v>
      </c>
      <c r="BD564" s="60">
        <v>-728.19</v>
      </c>
      <c r="BE564" s="95">
        <v>0</v>
      </c>
      <c r="BF564" s="95">
        <v>0</v>
      </c>
      <c r="BG564" s="95">
        <v>0</v>
      </c>
      <c r="BH564" s="95">
        <v>0</v>
      </c>
      <c r="BI564" s="8">
        <f t="shared" si="467"/>
        <v>-728.19</v>
      </c>
      <c r="BJ564" s="2" t="s">
        <v>91</v>
      </c>
      <c r="BL564" s="70"/>
      <c r="BM564" s="70"/>
      <c r="BO564" s="70"/>
      <c r="BP564" s="70"/>
      <c r="BQ564" s="72"/>
      <c r="BS564" s="61">
        <f t="shared" si="446"/>
        <v>-947.98199999999997</v>
      </c>
      <c r="BT564" s="61">
        <f t="shared" si="447"/>
        <v>0</v>
      </c>
      <c r="BU564" s="61">
        <f t="shared" si="448"/>
        <v>0</v>
      </c>
      <c r="BV564" s="61">
        <f t="shared" si="448"/>
        <v>0</v>
      </c>
      <c r="BW564" s="61">
        <f t="shared" si="448"/>
        <v>-4.8780000000000001</v>
      </c>
      <c r="BX564" s="61">
        <f t="shared" si="448"/>
        <v>-952.8599999999999</v>
      </c>
      <c r="BY564" s="61" t="s">
        <v>91</v>
      </c>
      <c r="CA564" s="61">
        <f t="shared" si="449"/>
        <v>0</v>
      </c>
      <c r="CB564" s="61">
        <f t="shared" si="449"/>
        <v>0</v>
      </c>
      <c r="CC564" s="61">
        <f t="shared" si="449"/>
        <v>0</v>
      </c>
      <c r="CD564" s="61">
        <f t="shared" si="449"/>
        <v>0</v>
      </c>
      <c r="CE564" s="61">
        <f t="shared" si="449"/>
        <v>0</v>
      </c>
      <c r="CF564" s="61">
        <f t="shared" si="449"/>
        <v>0</v>
      </c>
      <c r="CG564" s="61">
        <f t="shared" si="449"/>
        <v>-142.61802316834661</v>
      </c>
      <c r="CH564" s="61">
        <f t="shared" si="449"/>
        <v>-142.61802316834661</v>
      </c>
      <c r="CI564" s="61">
        <f t="shared" si="450"/>
        <v>-14.261802316834661</v>
      </c>
      <c r="CJ564" s="61"/>
      <c r="CK564" s="61">
        <f t="shared" si="451"/>
        <v>0</v>
      </c>
      <c r="CL564" s="61">
        <f t="shared" si="451"/>
        <v>0</v>
      </c>
      <c r="CM564" s="61">
        <f t="shared" si="451"/>
        <v>0</v>
      </c>
      <c r="CN564" s="61">
        <f t="shared" si="451"/>
        <v>0</v>
      </c>
      <c r="CO564" s="61">
        <f t="shared" si="451"/>
        <v>0</v>
      </c>
      <c r="CP564" s="61">
        <f t="shared" si="451"/>
        <v>0</v>
      </c>
      <c r="CQ564" s="61">
        <f t="shared" si="451"/>
        <v>-143.35188806980591</v>
      </c>
      <c r="CR564" s="61">
        <f t="shared" si="451"/>
        <v>-143.35188806980591</v>
      </c>
      <c r="CS564" s="61">
        <f t="shared" si="452"/>
        <v>-14.335188806980591</v>
      </c>
      <c r="CT564" s="61">
        <f t="shared" si="453"/>
        <v>-95.285999999999987</v>
      </c>
      <c r="CV564" s="61">
        <f t="shared" ref="CV564:CV598" si="480">SUM(AG564)-SUM(BL564)</f>
        <v>0</v>
      </c>
      <c r="CW564" s="61">
        <f t="shared" si="433"/>
        <v>0</v>
      </c>
      <c r="CX564" s="61"/>
      <c r="CY564" s="61">
        <f t="shared" si="428"/>
        <v>0</v>
      </c>
      <c r="CZ564" s="61">
        <f t="shared" si="454"/>
        <v>0</v>
      </c>
      <c r="DA564" s="61">
        <f t="shared" si="454"/>
        <v>0</v>
      </c>
      <c r="DB564" s="2" t="s">
        <v>85</v>
      </c>
      <c r="DC564" s="2" t="s">
        <v>86</v>
      </c>
      <c r="DD564" s="2" t="s">
        <v>142</v>
      </c>
      <c r="DE564" s="2" t="s">
        <v>264</v>
      </c>
      <c r="DG564" s="62"/>
      <c r="EC564" s="60"/>
      <c r="ED564" s="60"/>
      <c r="EE564" s="60"/>
      <c r="EF564" s="60"/>
    </row>
    <row r="565" spans="2:140" ht="12.75" hidden="1" customHeight="1">
      <c r="B565" s="99" t="s">
        <v>1033</v>
      </c>
      <c r="C565" s="22" t="s">
        <v>1034</v>
      </c>
      <c r="D565" s="22" t="s">
        <v>1035</v>
      </c>
      <c r="E565" s="2" t="s">
        <v>993</v>
      </c>
      <c r="F565" s="2" t="s">
        <v>969</v>
      </c>
      <c r="G565" s="2" t="s">
        <v>331</v>
      </c>
      <c r="J565" s="22" t="s">
        <v>138</v>
      </c>
      <c r="K565" s="23" t="s">
        <v>1054</v>
      </c>
      <c r="L565" s="22" t="s">
        <v>206</v>
      </c>
      <c r="M565" s="51" t="str">
        <f t="shared" si="468"/>
        <v>JD8B-F600A31-DAW</v>
      </c>
      <c r="O565" s="22"/>
      <c r="P565" s="22"/>
      <c r="Q565" s="22"/>
      <c r="R565" s="22"/>
      <c r="S565" s="22">
        <v>1</v>
      </c>
      <c r="T565" s="22">
        <v>1</v>
      </c>
      <c r="U565" s="22"/>
      <c r="V565" s="22"/>
      <c r="W565" s="64">
        <f t="shared" si="444"/>
        <v>0.23</v>
      </c>
      <c r="Y565" s="8">
        <v>-1224.6320000000001</v>
      </c>
      <c r="Z565" s="8">
        <v>0</v>
      </c>
      <c r="AA565" s="8">
        <v>0</v>
      </c>
      <c r="AB565" s="8">
        <v>0</v>
      </c>
      <c r="AC565" s="8">
        <v>-4.8780000000000001</v>
      </c>
      <c r="AD565" s="8">
        <f t="shared" si="479"/>
        <v>-1229.51</v>
      </c>
      <c r="AE565" s="2" t="s">
        <v>84</v>
      </c>
      <c r="AG565" s="8" t="s">
        <v>1039</v>
      </c>
      <c r="AH565" s="8" t="s">
        <v>1039</v>
      </c>
      <c r="AJ565" s="70"/>
      <c r="AK565" s="70"/>
      <c r="AL565" s="72"/>
      <c r="AM565" s="22"/>
      <c r="AO565" s="22" t="s">
        <v>204</v>
      </c>
      <c r="AP565" s="23" t="s">
        <v>1055</v>
      </c>
      <c r="AQ565" s="22" t="s">
        <v>1058</v>
      </c>
      <c r="AR565" s="51" t="s">
        <v>1059</v>
      </c>
      <c r="AS565" s="3"/>
      <c r="AT565" s="22"/>
      <c r="AU565" s="22"/>
      <c r="AV565" s="22"/>
      <c r="AW565" s="22"/>
      <c r="AX565" s="22">
        <v>1</v>
      </c>
      <c r="AY565" s="22">
        <v>1</v>
      </c>
      <c r="AZ565" s="22"/>
      <c r="BA565" s="22"/>
      <c r="BB565" s="64">
        <f t="shared" si="445"/>
        <v>0.23</v>
      </c>
      <c r="BD565" s="60">
        <v>-728.19</v>
      </c>
      <c r="BE565" s="95">
        <v>0</v>
      </c>
      <c r="BF565" s="95">
        <v>0</v>
      </c>
      <c r="BG565" s="95">
        <v>0</v>
      </c>
      <c r="BH565" s="95">
        <v>0</v>
      </c>
      <c r="BI565" s="8">
        <f t="shared" si="467"/>
        <v>-728.19</v>
      </c>
      <c r="BJ565" s="2" t="s">
        <v>91</v>
      </c>
      <c r="BL565" s="70"/>
      <c r="BM565" s="70"/>
      <c r="BO565" s="70"/>
      <c r="BP565" s="70"/>
      <c r="BQ565" s="72"/>
      <c r="BS565" s="61">
        <f t="shared" si="446"/>
        <v>-496.44200000000001</v>
      </c>
      <c r="BT565" s="61">
        <f t="shared" si="447"/>
        <v>0</v>
      </c>
      <c r="BU565" s="61">
        <f t="shared" si="448"/>
        <v>0</v>
      </c>
      <c r="BV565" s="61">
        <f t="shared" si="448"/>
        <v>0</v>
      </c>
      <c r="BW565" s="61">
        <f t="shared" si="448"/>
        <v>-4.8780000000000001</v>
      </c>
      <c r="BX565" s="61">
        <f t="shared" si="448"/>
        <v>-501.31999999999994</v>
      </c>
      <c r="BY565" s="61" t="s">
        <v>91</v>
      </c>
      <c r="CA565" s="61">
        <f t="shared" si="449"/>
        <v>0</v>
      </c>
      <c r="CB565" s="61">
        <f t="shared" si="449"/>
        <v>0</v>
      </c>
      <c r="CC565" s="61">
        <f t="shared" si="449"/>
        <v>0</v>
      </c>
      <c r="CD565" s="61">
        <f t="shared" si="449"/>
        <v>0</v>
      </c>
      <c r="CE565" s="61">
        <f t="shared" si="449"/>
        <v>-74.686625545358808</v>
      </c>
      <c r="CF565" s="61">
        <f t="shared" si="449"/>
        <v>-74.686625545358808</v>
      </c>
      <c r="CG565" s="61">
        <f t="shared" si="449"/>
        <v>0</v>
      </c>
      <c r="CH565" s="61">
        <f t="shared" si="449"/>
        <v>0</v>
      </c>
      <c r="CI565" s="61">
        <f t="shared" si="450"/>
        <v>-17.177923875432526</v>
      </c>
      <c r="CJ565" s="61"/>
      <c r="CK565" s="61">
        <f t="shared" si="451"/>
        <v>0</v>
      </c>
      <c r="CL565" s="61">
        <f t="shared" si="451"/>
        <v>0</v>
      </c>
      <c r="CM565" s="61">
        <f t="shared" si="451"/>
        <v>0</v>
      </c>
      <c r="CN565" s="61">
        <f t="shared" si="451"/>
        <v>0</v>
      </c>
      <c r="CO565" s="61">
        <f t="shared" si="451"/>
        <v>-75.420490446818107</v>
      </c>
      <c r="CP565" s="61">
        <f t="shared" si="451"/>
        <v>-75.420490446818107</v>
      </c>
      <c r="CQ565" s="61">
        <f t="shared" si="451"/>
        <v>0</v>
      </c>
      <c r="CR565" s="61">
        <f t="shared" si="451"/>
        <v>0</v>
      </c>
      <c r="CS565" s="61">
        <f t="shared" si="452"/>
        <v>-17.346712802768167</v>
      </c>
      <c r="CT565" s="61">
        <f t="shared" si="453"/>
        <v>-115.3036</v>
      </c>
      <c r="CV565" s="61">
        <f t="shared" si="480"/>
        <v>0</v>
      </c>
      <c r="CW565" s="61">
        <f t="shared" si="433"/>
        <v>0</v>
      </c>
      <c r="CX565" s="61"/>
      <c r="CY565" s="61">
        <f t="shared" si="428"/>
        <v>0</v>
      </c>
      <c r="CZ565" s="61">
        <f t="shared" si="454"/>
        <v>0</v>
      </c>
      <c r="DA565" s="61">
        <f t="shared" si="454"/>
        <v>0</v>
      </c>
      <c r="DB565" s="2" t="s">
        <v>85</v>
      </c>
      <c r="DC565" s="2" t="s">
        <v>86</v>
      </c>
      <c r="DD565" s="2" t="s">
        <v>142</v>
      </c>
      <c r="DE565" s="2" t="s">
        <v>264</v>
      </c>
      <c r="DG565" s="62"/>
      <c r="EC565" s="60"/>
      <c r="ED565" s="60"/>
      <c r="EE565" s="60"/>
      <c r="EF565" s="60"/>
    </row>
    <row r="566" spans="2:140" ht="12.75" hidden="1" customHeight="1">
      <c r="B566" s="99" t="s">
        <v>1033</v>
      </c>
      <c r="C566" s="22" t="s">
        <v>1034</v>
      </c>
      <c r="D566" s="22" t="s">
        <v>1035</v>
      </c>
      <c r="E566" s="2" t="s">
        <v>993</v>
      </c>
      <c r="F566" s="2" t="s">
        <v>969</v>
      </c>
      <c r="G566" s="2" t="s">
        <v>331</v>
      </c>
      <c r="J566" s="22" t="s">
        <v>138</v>
      </c>
      <c r="K566" s="23" t="s">
        <v>1054</v>
      </c>
      <c r="L566" s="22" t="s">
        <v>208</v>
      </c>
      <c r="M566" s="51" t="str">
        <f t="shared" si="468"/>
        <v>JD8B-F600A31-BAW</v>
      </c>
      <c r="O566" s="22"/>
      <c r="P566" s="22"/>
      <c r="Q566" s="22">
        <v>1</v>
      </c>
      <c r="R566" s="22">
        <v>1</v>
      </c>
      <c r="S566" s="22"/>
      <c r="T566" s="22"/>
      <c r="U566" s="22"/>
      <c r="V566" s="22"/>
      <c r="W566" s="64">
        <f t="shared" si="444"/>
        <v>0.37</v>
      </c>
      <c r="Y566" s="8">
        <v>-1000.162</v>
      </c>
      <c r="Z566" s="8">
        <v>0</v>
      </c>
      <c r="AA566" s="8">
        <v>0</v>
      </c>
      <c r="AB566" s="8">
        <v>0</v>
      </c>
      <c r="AC566" s="8">
        <v>-4.8780000000000001</v>
      </c>
      <c r="AD566" s="8">
        <f t="shared" si="479"/>
        <v>-1005.0400000000001</v>
      </c>
      <c r="AE566" s="2" t="s">
        <v>84</v>
      </c>
      <c r="AG566" s="8" t="s">
        <v>1039</v>
      </c>
      <c r="AH566" s="8" t="s">
        <v>1039</v>
      </c>
      <c r="AJ566" s="70"/>
      <c r="AK566" s="70"/>
      <c r="AL566" s="72"/>
      <c r="AM566" s="22"/>
      <c r="AO566" s="22" t="s">
        <v>204</v>
      </c>
      <c r="AP566" s="23" t="s">
        <v>1055</v>
      </c>
      <c r="AQ566" s="22" t="s">
        <v>1058</v>
      </c>
      <c r="AR566" s="51" t="s">
        <v>1059</v>
      </c>
      <c r="AS566" s="3"/>
      <c r="AT566" s="22"/>
      <c r="AU566" s="22"/>
      <c r="AV566" s="22">
        <v>1</v>
      </c>
      <c r="AW566" s="22">
        <v>1</v>
      </c>
      <c r="AX566" s="22"/>
      <c r="AY566" s="22"/>
      <c r="AZ566" s="22"/>
      <c r="BA566" s="22"/>
      <c r="BB566" s="64">
        <f t="shared" si="445"/>
        <v>0.37</v>
      </c>
      <c r="BD566" s="60">
        <v>-728.19</v>
      </c>
      <c r="BE566" s="95">
        <v>0</v>
      </c>
      <c r="BF566" s="95">
        <v>0</v>
      </c>
      <c r="BG566" s="95">
        <v>0</v>
      </c>
      <c r="BH566" s="95">
        <v>0</v>
      </c>
      <c r="BI566" s="8">
        <f t="shared" si="467"/>
        <v>-728.19</v>
      </c>
      <c r="BJ566" s="2" t="s">
        <v>91</v>
      </c>
      <c r="BL566" s="70"/>
      <c r="BM566" s="70"/>
      <c r="BO566" s="70"/>
      <c r="BP566" s="70"/>
      <c r="BQ566" s="72"/>
      <c r="BS566" s="61">
        <f t="shared" si="446"/>
        <v>-271.97199999999998</v>
      </c>
      <c r="BT566" s="61">
        <f t="shared" si="447"/>
        <v>0</v>
      </c>
      <c r="BU566" s="61">
        <f t="shared" si="448"/>
        <v>0</v>
      </c>
      <c r="BV566" s="61">
        <f t="shared" si="448"/>
        <v>0</v>
      </c>
      <c r="BW566" s="61">
        <f t="shared" si="448"/>
        <v>-4.8780000000000001</v>
      </c>
      <c r="BX566" s="61">
        <f t="shared" si="448"/>
        <v>-276.85000000000002</v>
      </c>
      <c r="BY566" s="61" t="s">
        <v>91</v>
      </c>
      <c r="CA566" s="61">
        <f t="shared" si="449"/>
        <v>0</v>
      </c>
      <c r="CB566" s="61">
        <f t="shared" si="449"/>
        <v>0</v>
      </c>
      <c r="CC566" s="61">
        <f t="shared" si="449"/>
        <v>-40.916503685873323</v>
      </c>
      <c r="CD566" s="61">
        <f t="shared" si="449"/>
        <v>-40.916503685873323</v>
      </c>
      <c r="CE566" s="61">
        <f t="shared" si="449"/>
        <v>0</v>
      </c>
      <c r="CF566" s="61">
        <f t="shared" si="449"/>
        <v>0</v>
      </c>
      <c r="CG566" s="61">
        <f t="shared" si="449"/>
        <v>0</v>
      </c>
      <c r="CH566" s="61">
        <f t="shared" si="449"/>
        <v>0</v>
      </c>
      <c r="CI566" s="61">
        <f t="shared" si="450"/>
        <v>-15.139106363773131</v>
      </c>
      <c r="CJ566" s="61"/>
      <c r="CK566" s="61">
        <f t="shared" si="451"/>
        <v>0</v>
      </c>
      <c r="CL566" s="61">
        <f t="shared" si="451"/>
        <v>0</v>
      </c>
      <c r="CM566" s="61">
        <f t="shared" si="451"/>
        <v>-41.650368587332636</v>
      </c>
      <c r="CN566" s="61">
        <f t="shared" si="451"/>
        <v>-41.650368587332636</v>
      </c>
      <c r="CO566" s="61">
        <f t="shared" si="451"/>
        <v>0</v>
      </c>
      <c r="CP566" s="61">
        <f t="shared" si="451"/>
        <v>0</v>
      </c>
      <c r="CQ566" s="61">
        <f t="shared" si="451"/>
        <v>0</v>
      </c>
      <c r="CR566" s="61">
        <f t="shared" si="451"/>
        <v>0</v>
      </c>
      <c r="CS566" s="61">
        <f t="shared" si="452"/>
        <v>-15.410636377313077</v>
      </c>
      <c r="CT566" s="61">
        <f t="shared" si="453"/>
        <v>-102.43450000000003</v>
      </c>
      <c r="CV566" s="61">
        <f t="shared" si="480"/>
        <v>0</v>
      </c>
      <c r="CW566" s="61">
        <f t="shared" si="433"/>
        <v>0</v>
      </c>
      <c r="CX566" s="61"/>
      <c r="CY566" s="61">
        <f t="shared" si="428"/>
        <v>0</v>
      </c>
      <c r="CZ566" s="61">
        <f t="shared" si="454"/>
        <v>0</v>
      </c>
      <c r="DA566" s="61">
        <f t="shared" si="454"/>
        <v>0</v>
      </c>
      <c r="DB566" s="2" t="s">
        <v>85</v>
      </c>
      <c r="DC566" s="2" t="s">
        <v>86</v>
      </c>
      <c r="DD566" s="2" t="s">
        <v>142</v>
      </c>
      <c r="DE566" s="2" t="s">
        <v>264</v>
      </c>
      <c r="DG566" s="62"/>
      <c r="EC566" s="60"/>
      <c r="ED566" s="60"/>
      <c r="EE566" s="60"/>
      <c r="EF566" s="60"/>
    </row>
    <row r="567" spans="2:140" ht="12.75" hidden="1" customHeight="1">
      <c r="B567" s="93" t="s">
        <v>1060</v>
      </c>
      <c r="C567" s="22" t="s">
        <v>1061</v>
      </c>
      <c r="D567" s="22" t="s">
        <v>1062</v>
      </c>
      <c r="E567" s="2" t="s">
        <v>1005</v>
      </c>
      <c r="F567" s="2" t="s">
        <v>330</v>
      </c>
      <c r="G567" s="2" t="s">
        <v>994</v>
      </c>
      <c r="J567" s="22" t="s">
        <v>614</v>
      </c>
      <c r="K567" s="23" t="s">
        <v>1063</v>
      </c>
      <c r="L567" s="22" t="s">
        <v>234</v>
      </c>
      <c r="M567" s="51" t="str">
        <f t="shared" si="468"/>
        <v>HN1A-9F472-AC</v>
      </c>
      <c r="O567" s="94">
        <v>1</v>
      </c>
      <c r="P567" s="94">
        <v>1</v>
      </c>
      <c r="Q567" s="94">
        <v>1</v>
      </c>
      <c r="R567" s="94">
        <v>1</v>
      </c>
      <c r="S567" s="94">
        <v>0</v>
      </c>
      <c r="T567" s="94">
        <v>0</v>
      </c>
      <c r="U567" s="94">
        <v>1</v>
      </c>
      <c r="V567" s="94">
        <v>0</v>
      </c>
      <c r="W567" s="64">
        <f t="shared" si="444"/>
        <v>0.72000000000000008</v>
      </c>
      <c r="Y567" s="8">
        <v>-74.17</v>
      </c>
      <c r="Z567" s="8">
        <v>-0.6</v>
      </c>
      <c r="AA567" s="8">
        <v>-1.4</v>
      </c>
      <c r="AB567" s="8">
        <v>0</v>
      </c>
      <c r="AC567" s="8">
        <v>0</v>
      </c>
      <c r="AD567" s="8">
        <f t="shared" si="479"/>
        <v>-76.17</v>
      </c>
      <c r="AE567" s="2" t="s">
        <v>91</v>
      </c>
      <c r="AG567" s="8">
        <v>0</v>
      </c>
      <c r="AH567" s="8">
        <v>0</v>
      </c>
      <c r="AJ567" s="70">
        <v>0</v>
      </c>
      <c r="AK567" s="70">
        <v>0</v>
      </c>
      <c r="AL567" s="72">
        <v>0</v>
      </c>
      <c r="AM567" s="22"/>
      <c r="AO567" s="22" t="s">
        <v>427</v>
      </c>
      <c r="AP567" s="23" t="s">
        <v>1063</v>
      </c>
      <c r="AQ567" s="22" t="s">
        <v>180</v>
      </c>
      <c r="AR567" s="51" t="str">
        <f t="shared" ref="AR567:AR625" si="481">TRIM(AO567)&amp;"-"&amp;TRIM(AP567)&amp;"-"&amp;TRIM(AQ567)</f>
        <v>JD8G-9F472-AA</v>
      </c>
      <c r="AS567" s="3"/>
      <c r="AT567" s="94">
        <v>1</v>
      </c>
      <c r="AU567" s="94">
        <v>1</v>
      </c>
      <c r="AV567" s="94">
        <v>1</v>
      </c>
      <c r="AW567" s="94">
        <v>1</v>
      </c>
      <c r="AX567" s="94">
        <v>0</v>
      </c>
      <c r="AY567" s="94">
        <v>0</v>
      </c>
      <c r="AZ567" s="94">
        <v>1</v>
      </c>
      <c r="BA567" s="94">
        <v>0</v>
      </c>
      <c r="BB567" s="64">
        <f t="shared" si="445"/>
        <v>0.72000000000000008</v>
      </c>
      <c r="BD567" s="60">
        <v>-69.739999999999995</v>
      </c>
      <c r="BE567" s="60">
        <v>-0.6</v>
      </c>
      <c r="BF567" s="60">
        <v>-1.4</v>
      </c>
      <c r="BG567" s="60">
        <v>0</v>
      </c>
      <c r="BH567" s="60">
        <v>0</v>
      </c>
      <c r="BI567" s="60">
        <f t="shared" si="467"/>
        <v>-71.739999999999995</v>
      </c>
      <c r="BJ567" s="22" t="s">
        <v>84</v>
      </c>
      <c r="BL567" s="70">
        <v>0</v>
      </c>
      <c r="BM567" s="70">
        <v>0</v>
      </c>
      <c r="BO567" s="70">
        <v>0</v>
      </c>
      <c r="BP567" s="70">
        <v>0</v>
      </c>
      <c r="BQ567" s="72">
        <v>0</v>
      </c>
      <c r="BS567" s="61">
        <f t="shared" si="446"/>
        <v>-4.4300000000000068</v>
      </c>
      <c r="BT567" s="61">
        <f t="shared" si="447"/>
        <v>0</v>
      </c>
      <c r="BU567" s="61">
        <f t="shared" si="448"/>
        <v>0</v>
      </c>
      <c r="BV567" s="61">
        <f t="shared" si="448"/>
        <v>0</v>
      </c>
      <c r="BW567" s="61">
        <f t="shared" si="448"/>
        <v>0</v>
      </c>
      <c r="BX567" s="61">
        <f t="shared" si="448"/>
        <v>-4.4300000000000068</v>
      </c>
      <c r="BY567" s="61" t="s">
        <v>91</v>
      </c>
      <c r="CA567" s="61">
        <f t="shared" si="449"/>
        <v>-0.66646607492101795</v>
      </c>
      <c r="CB567" s="61">
        <f t="shared" si="449"/>
        <v>-0.66646607492101795</v>
      </c>
      <c r="CC567" s="61">
        <f t="shared" si="449"/>
        <v>-0.66646607492101795</v>
      </c>
      <c r="CD567" s="61">
        <f t="shared" si="449"/>
        <v>-0.66646607492101795</v>
      </c>
      <c r="CE567" s="61">
        <f t="shared" si="449"/>
        <v>0</v>
      </c>
      <c r="CF567" s="61">
        <f t="shared" si="449"/>
        <v>0</v>
      </c>
      <c r="CG567" s="61">
        <f t="shared" si="449"/>
        <v>-0.66646607492101795</v>
      </c>
      <c r="CH567" s="61">
        <f t="shared" si="449"/>
        <v>0</v>
      </c>
      <c r="CI567" s="61">
        <f t="shared" si="450"/>
        <v>-0.47985557394313288</v>
      </c>
      <c r="CJ567" s="61"/>
      <c r="CK567" s="61">
        <f t="shared" si="451"/>
        <v>-0.66646607492101795</v>
      </c>
      <c r="CL567" s="61">
        <f t="shared" si="451"/>
        <v>-0.66646607492101795</v>
      </c>
      <c r="CM567" s="61">
        <f t="shared" si="451"/>
        <v>-0.66646607492101795</v>
      </c>
      <c r="CN567" s="61">
        <f t="shared" si="451"/>
        <v>-0.66646607492101795</v>
      </c>
      <c r="CO567" s="61">
        <f t="shared" si="451"/>
        <v>0</v>
      </c>
      <c r="CP567" s="61">
        <f t="shared" si="451"/>
        <v>0</v>
      </c>
      <c r="CQ567" s="61">
        <f t="shared" si="451"/>
        <v>-0.66646607492101795</v>
      </c>
      <c r="CR567" s="61">
        <f t="shared" si="451"/>
        <v>0</v>
      </c>
      <c r="CS567" s="61">
        <f t="shared" si="452"/>
        <v>-0.47985557394313288</v>
      </c>
      <c r="CT567" s="61">
        <f t="shared" si="453"/>
        <v>-3.1896000000000044</v>
      </c>
      <c r="CV567" s="61">
        <f t="shared" si="480"/>
        <v>0</v>
      </c>
      <c r="CW567" s="61">
        <f t="shared" si="433"/>
        <v>0</v>
      </c>
      <c r="CX567" s="61"/>
      <c r="CY567" s="61">
        <f t="shared" si="428"/>
        <v>0</v>
      </c>
      <c r="CZ567" s="61">
        <f t="shared" si="454"/>
        <v>0</v>
      </c>
      <c r="DA567" s="61">
        <f t="shared" si="454"/>
        <v>0</v>
      </c>
      <c r="DB567" s="2" t="s">
        <v>86</v>
      </c>
      <c r="DC567" s="2" t="s">
        <v>85</v>
      </c>
      <c r="DD567" s="2" t="s">
        <v>87</v>
      </c>
      <c r="DE567" s="2" t="s">
        <v>264</v>
      </c>
      <c r="DG567" s="62"/>
      <c r="DZ567" s="3" t="e">
        <v>#N/A</v>
      </c>
      <c r="EC567" s="60" t="str">
        <f>VLOOKUP($M567,[1]Detail!$M:$BO,1,0)</f>
        <v>HN1A-9F472-AC</v>
      </c>
      <c r="ED567" s="60">
        <f>VLOOKUP($M567,[1]Detail!$M:$BO,22,0)</f>
        <v>-76.17</v>
      </c>
      <c r="EE567" s="60">
        <f>VLOOKUP($M567,[1]Detail!$M:$BO,42,0)</f>
        <v>0</v>
      </c>
      <c r="EF567" s="60">
        <f>VLOOKUP($M567,[1]Detail!$M:$BO,45,0)</f>
        <v>0</v>
      </c>
      <c r="EH567" s="60">
        <f t="shared" ref="EH567:EH569" si="482">ED567-AD567</f>
        <v>0</v>
      </c>
      <c r="EI567" s="60">
        <f t="shared" ref="EI567:EI569" si="483">EE567-AG567</f>
        <v>0</v>
      </c>
      <c r="EJ567" s="60">
        <f t="shared" ref="EJ567:EJ569" si="484">EF567-AJ567</f>
        <v>0</v>
      </c>
    </row>
    <row r="568" spans="2:140" ht="12.75" hidden="1" customHeight="1">
      <c r="B568" s="93" t="s">
        <v>1060</v>
      </c>
      <c r="C568" s="22" t="s">
        <v>1061</v>
      </c>
      <c r="D568" s="22" t="s">
        <v>1062</v>
      </c>
      <c r="E568" s="2" t="s">
        <v>1005</v>
      </c>
      <c r="F568" s="2" t="s">
        <v>330</v>
      </c>
      <c r="G568" s="2" t="s">
        <v>994</v>
      </c>
      <c r="J568" s="22" t="s">
        <v>1064</v>
      </c>
      <c r="K568" s="23" t="s">
        <v>1065</v>
      </c>
      <c r="L568" s="22" t="s">
        <v>120</v>
      </c>
      <c r="M568" s="51" t="str">
        <f t="shared" si="468"/>
        <v>JX6A-9G444-BB</v>
      </c>
      <c r="O568" s="94">
        <v>1</v>
      </c>
      <c r="P568" s="94">
        <v>1</v>
      </c>
      <c r="Q568" s="94">
        <v>1</v>
      </c>
      <c r="R568" s="94">
        <v>1</v>
      </c>
      <c r="S568" s="94">
        <v>0</v>
      </c>
      <c r="T568" s="94">
        <v>0</v>
      </c>
      <c r="U568" s="94">
        <v>1</v>
      </c>
      <c r="V568" s="94">
        <v>0</v>
      </c>
      <c r="W568" s="64">
        <f t="shared" si="444"/>
        <v>0.72000000000000008</v>
      </c>
      <c r="Y568" s="8">
        <v>-83.91</v>
      </c>
      <c r="Z568" s="8">
        <v>-0.6</v>
      </c>
      <c r="AA568" s="8">
        <v>-1.4</v>
      </c>
      <c r="AB568" s="8">
        <v>0</v>
      </c>
      <c r="AC568" s="8">
        <v>0</v>
      </c>
      <c r="AD568" s="8">
        <f t="shared" si="479"/>
        <v>-85.91</v>
      </c>
      <c r="AE568" s="2" t="s">
        <v>91</v>
      </c>
      <c r="AG568" s="8">
        <v>0</v>
      </c>
      <c r="AH568" s="8">
        <v>0</v>
      </c>
      <c r="AJ568" s="70">
        <v>0</v>
      </c>
      <c r="AK568" s="70">
        <v>0</v>
      </c>
      <c r="AL568" s="72">
        <v>0</v>
      </c>
      <c r="AM568" s="22"/>
      <c r="AO568" s="22" t="s">
        <v>1066</v>
      </c>
      <c r="AP568" s="23" t="s">
        <v>1065</v>
      </c>
      <c r="AQ568" s="22" t="s">
        <v>1067</v>
      </c>
      <c r="AR568" s="51" t="str">
        <f t="shared" si="481"/>
        <v>HN1A-9G444-BD</v>
      </c>
      <c r="AS568" s="3"/>
      <c r="AT568" s="94">
        <v>1</v>
      </c>
      <c r="AU568" s="94">
        <v>1</v>
      </c>
      <c r="AV568" s="94">
        <v>1</v>
      </c>
      <c r="AW568" s="94">
        <v>1</v>
      </c>
      <c r="AX568" s="94">
        <v>0</v>
      </c>
      <c r="AY568" s="94">
        <v>0</v>
      </c>
      <c r="AZ568" s="94">
        <v>1</v>
      </c>
      <c r="BA568" s="94">
        <v>0</v>
      </c>
      <c r="BB568" s="64">
        <f t="shared" si="445"/>
        <v>0.72000000000000008</v>
      </c>
      <c r="BD568" s="60">
        <v>-71.599999999999994</v>
      </c>
      <c r="BE568" s="60">
        <v>-0.6</v>
      </c>
      <c r="BF568" s="60">
        <v>-1.4</v>
      </c>
      <c r="BG568" s="60">
        <v>0</v>
      </c>
      <c r="BH568" s="60">
        <v>0</v>
      </c>
      <c r="BI568" s="60">
        <f t="shared" si="467"/>
        <v>-73.599999999999994</v>
      </c>
      <c r="BJ568" s="22" t="s">
        <v>84</v>
      </c>
      <c r="BL568" s="70">
        <v>0</v>
      </c>
      <c r="BM568" s="70">
        <v>0</v>
      </c>
      <c r="BO568" s="70">
        <v>0</v>
      </c>
      <c r="BP568" s="70">
        <v>0</v>
      </c>
      <c r="BQ568" s="72">
        <v>0</v>
      </c>
      <c r="BS568" s="61">
        <f t="shared" si="446"/>
        <v>-12.310000000000002</v>
      </c>
      <c r="BT568" s="61">
        <f t="shared" si="447"/>
        <v>0</v>
      </c>
      <c r="BU568" s="61">
        <f t="shared" si="448"/>
        <v>0</v>
      </c>
      <c r="BV568" s="61">
        <f t="shared" si="448"/>
        <v>0</v>
      </c>
      <c r="BW568" s="61">
        <f t="shared" si="448"/>
        <v>0</v>
      </c>
      <c r="BX568" s="61">
        <f t="shared" si="448"/>
        <v>-12.310000000000002</v>
      </c>
      <c r="BY568" s="61" t="s">
        <v>91</v>
      </c>
      <c r="CA568" s="61">
        <f t="shared" si="449"/>
        <v>-1.8519632917105464</v>
      </c>
      <c r="CB568" s="61">
        <f t="shared" si="449"/>
        <v>-1.8519632917105464</v>
      </c>
      <c r="CC568" s="61">
        <f t="shared" si="449"/>
        <v>-1.8519632917105464</v>
      </c>
      <c r="CD568" s="61">
        <f t="shared" si="449"/>
        <v>-1.8519632917105464</v>
      </c>
      <c r="CE568" s="61">
        <f t="shared" si="449"/>
        <v>0</v>
      </c>
      <c r="CF568" s="61">
        <f t="shared" si="449"/>
        <v>0</v>
      </c>
      <c r="CG568" s="61">
        <f t="shared" si="449"/>
        <v>-1.8519632917105464</v>
      </c>
      <c r="CH568" s="61">
        <f t="shared" si="449"/>
        <v>0</v>
      </c>
      <c r="CI568" s="61">
        <f t="shared" si="450"/>
        <v>-1.3334135700315934</v>
      </c>
      <c r="CJ568" s="61"/>
      <c r="CK568" s="61">
        <f t="shared" si="451"/>
        <v>-1.8519632917105464</v>
      </c>
      <c r="CL568" s="61">
        <f t="shared" si="451"/>
        <v>-1.8519632917105464</v>
      </c>
      <c r="CM568" s="61">
        <f t="shared" si="451"/>
        <v>-1.8519632917105464</v>
      </c>
      <c r="CN568" s="61">
        <f t="shared" si="451"/>
        <v>-1.8519632917105464</v>
      </c>
      <c r="CO568" s="61">
        <f t="shared" si="451"/>
        <v>0</v>
      </c>
      <c r="CP568" s="61">
        <f t="shared" si="451"/>
        <v>0</v>
      </c>
      <c r="CQ568" s="61">
        <f t="shared" si="451"/>
        <v>-1.8519632917105464</v>
      </c>
      <c r="CR568" s="61">
        <f t="shared" si="451"/>
        <v>0</v>
      </c>
      <c r="CS568" s="61">
        <f t="shared" si="452"/>
        <v>-1.3334135700315934</v>
      </c>
      <c r="CT568" s="61">
        <f t="shared" si="453"/>
        <v>-8.8632000000000026</v>
      </c>
      <c r="CV568" s="61">
        <f t="shared" si="480"/>
        <v>0</v>
      </c>
      <c r="CW568" s="61">
        <f t="shared" si="433"/>
        <v>0</v>
      </c>
      <c r="CX568" s="61"/>
      <c r="CY568" s="61">
        <f t="shared" si="428"/>
        <v>0</v>
      </c>
      <c r="CZ568" s="61">
        <f t="shared" si="454"/>
        <v>0</v>
      </c>
      <c r="DA568" s="61">
        <f t="shared" si="454"/>
        <v>0</v>
      </c>
      <c r="DB568" s="2" t="s">
        <v>86</v>
      </c>
      <c r="DC568" s="2" t="s">
        <v>85</v>
      </c>
      <c r="DD568" s="2" t="s">
        <v>87</v>
      </c>
      <c r="DE568" s="2" t="s">
        <v>264</v>
      </c>
      <c r="DG568" s="62"/>
      <c r="EC568" s="60" t="str">
        <f>VLOOKUP($M568,[1]Detail!$M:$BO,1,0)</f>
        <v>JX6A-9G444-BB</v>
      </c>
      <c r="ED568" s="60">
        <f>VLOOKUP($M568,[1]Detail!$M:$BO,22,0)</f>
        <v>-85.91</v>
      </c>
      <c r="EE568" s="60">
        <f>VLOOKUP($M568,[1]Detail!$M:$BO,42,0)</f>
        <v>0</v>
      </c>
      <c r="EF568" s="60">
        <f>VLOOKUP($M568,[1]Detail!$M:$BO,45,0)</f>
        <v>0</v>
      </c>
      <c r="EH568" s="60">
        <f>ED568-AD568</f>
        <v>0</v>
      </c>
      <c r="EI568" s="60">
        <f>EE568-AG568</f>
        <v>0</v>
      </c>
      <c r="EJ568" s="60">
        <f>EF568-AJ568</f>
        <v>0</v>
      </c>
    </row>
    <row r="569" spans="2:140" ht="12.75" hidden="1" customHeight="1">
      <c r="B569" s="93" t="s">
        <v>1060</v>
      </c>
      <c r="C569" s="22" t="s">
        <v>1061</v>
      </c>
      <c r="D569" s="22" t="s">
        <v>1062</v>
      </c>
      <c r="E569" s="2" t="s">
        <v>1005</v>
      </c>
      <c r="F569" s="2" t="s">
        <v>330</v>
      </c>
      <c r="G569" s="2" t="s">
        <v>994</v>
      </c>
      <c r="J569" s="22" t="s">
        <v>1068</v>
      </c>
      <c r="K569" s="23" t="s">
        <v>1069</v>
      </c>
      <c r="L569" s="22" t="s">
        <v>120</v>
      </c>
      <c r="M569" s="51" t="str">
        <f t="shared" si="468"/>
        <v>H1BA-9Y460-BB</v>
      </c>
      <c r="O569" s="94">
        <v>1</v>
      </c>
      <c r="P569" s="94">
        <v>1</v>
      </c>
      <c r="Q569" s="94">
        <v>1</v>
      </c>
      <c r="R569" s="94">
        <v>1</v>
      </c>
      <c r="S569" s="94">
        <v>0</v>
      </c>
      <c r="T569" s="94">
        <v>0</v>
      </c>
      <c r="U569" s="94">
        <v>1</v>
      </c>
      <c r="V569" s="94">
        <v>0</v>
      </c>
      <c r="W569" s="64">
        <f t="shared" si="444"/>
        <v>0.72000000000000008</v>
      </c>
      <c r="Y569" s="8">
        <v>-117.25</v>
      </c>
      <c r="Z569" s="8">
        <v>-0.6</v>
      </c>
      <c r="AA569" s="8">
        <v>-1.4</v>
      </c>
      <c r="AB569" s="8">
        <v>0</v>
      </c>
      <c r="AC569" s="8">
        <v>0</v>
      </c>
      <c r="AD569" s="8">
        <f t="shared" si="479"/>
        <v>-119.25</v>
      </c>
      <c r="AE569" s="2" t="s">
        <v>91</v>
      </c>
      <c r="AG569" s="8">
        <v>0</v>
      </c>
      <c r="AH569" s="8">
        <v>0</v>
      </c>
      <c r="AJ569" s="70">
        <v>0</v>
      </c>
      <c r="AK569" s="70">
        <v>0</v>
      </c>
      <c r="AL569" s="72">
        <v>0</v>
      </c>
      <c r="AM569" s="22"/>
      <c r="AO569" s="22" t="s">
        <v>427</v>
      </c>
      <c r="AP569" s="23" t="s">
        <v>1069</v>
      </c>
      <c r="AQ569" s="22" t="s">
        <v>182</v>
      </c>
      <c r="AR569" s="51" t="str">
        <f t="shared" si="481"/>
        <v>JD8G-9Y460-BA</v>
      </c>
      <c r="AS569" s="3"/>
      <c r="AT569" s="94">
        <v>1</v>
      </c>
      <c r="AU569" s="94">
        <v>1</v>
      </c>
      <c r="AV569" s="94">
        <v>1</v>
      </c>
      <c r="AW569" s="94">
        <v>1</v>
      </c>
      <c r="AX569" s="94">
        <v>0</v>
      </c>
      <c r="AY569" s="94">
        <v>0</v>
      </c>
      <c r="AZ569" s="94">
        <v>1</v>
      </c>
      <c r="BA569" s="94">
        <v>0</v>
      </c>
      <c r="BB569" s="64">
        <f t="shared" si="445"/>
        <v>0.72000000000000008</v>
      </c>
      <c r="BD569" s="60">
        <v>-114.28</v>
      </c>
      <c r="BE569" s="60">
        <v>-0.6</v>
      </c>
      <c r="BF569" s="60">
        <v>-1.4</v>
      </c>
      <c r="BG569" s="60">
        <v>0</v>
      </c>
      <c r="BH569" s="60">
        <v>0</v>
      </c>
      <c r="BI569" s="60">
        <f t="shared" si="467"/>
        <v>-116.28</v>
      </c>
      <c r="BJ569" s="22" t="s">
        <v>84</v>
      </c>
      <c r="BL569" s="70">
        <v>0</v>
      </c>
      <c r="BM569" s="70">
        <v>0</v>
      </c>
      <c r="BO569" s="70">
        <v>0</v>
      </c>
      <c r="BP569" s="70">
        <v>0</v>
      </c>
      <c r="BQ569" s="72">
        <v>0</v>
      </c>
      <c r="BS569" s="61">
        <f t="shared" si="446"/>
        <v>-2.9699999999999989</v>
      </c>
      <c r="BT569" s="61">
        <f t="shared" si="447"/>
        <v>0</v>
      </c>
      <c r="BU569" s="61">
        <f t="shared" si="448"/>
        <v>0</v>
      </c>
      <c r="BV569" s="61">
        <f t="shared" si="448"/>
        <v>0</v>
      </c>
      <c r="BW569" s="61">
        <f t="shared" si="448"/>
        <v>0</v>
      </c>
      <c r="BX569" s="61">
        <f t="shared" si="448"/>
        <v>-2.9699999999999989</v>
      </c>
      <c r="BY569" s="61" t="s">
        <v>91</v>
      </c>
      <c r="CA569" s="61">
        <f t="shared" si="449"/>
        <v>-0.44681811343463196</v>
      </c>
      <c r="CB569" s="61">
        <f t="shared" si="449"/>
        <v>-0.44681811343463196</v>
      </c>
      <c r="CC569" s="61">
        <f t="shared" si="449"/>
        <v>-0.44681811343463196</v>
      </c>
      <c r="CD569" s="61">
        <f t="shared" si="449"/>
        <v>-0.44681811343463196</v>
      </c>
      <c r="CE569" s="61">
        <f t="shared" si="449"/>
        <v>0</v>
      </c>
      <c r="CF569" s="61">
        <f t="shared" si="449"/>
        <v>0</v>
      </c>
      <c r="CG569" s="61">
        <f t="shared" si="449"/>
        <v>-0.44681811343463196</v>
      </c>
      <c r="CH569" s="61">
        <f t="shared" si="449"/>
        <v>0</v>
      </c>
      <c r="CI569" s="61">
        <f t="shared" si="450"/>
        <v>-0.32170904167293501</v>
      </c>
      <c r="CJ569" s="61"/>
      <c r="CK569" s="61">
        <f t="shared" si="451"/>
        <v>-0.44681811343463196</v>
      </c>
      <c r="CL569" s="61">
        <f t="shared" si="451"/>
        <v>-0.44681811343463196</v>
      </c>
      <c r="CM569" s="61">
        <f t="shared" si="451"/>
        <v>-0.44681811343463196</v>
      </c>
      <c r="CN569" s="61">
        <f t="shared" si="451"/>
        <v>-0.44681811343463196</v>
      </c>
      <c r="CO569" s="61">
        <f t="shared" si="451"/>
        <v>0</v>
      </c>
      <c r="CP569" s="61">
        <f t="shared" si="451"/>
        <v>0</v>
      </c>
      <c r="CQ569" s="61">
        <f t="shared" si="451"/>
        <v>-0.44681811343463196</v>
      </c>
      <c r="CR569" s="61">
        <f t="shared" si="451"/>
        <v>0</v>
      </c>
      <c r="CS569" s="61">
        <f t="shared" si="452"/>
        <v>-0.32170904167293501</v>
      </c>
      <c r="CT569" s="61">
        <f t="shared" si="453"/>
        <v>-2.138399999999999</v>
      </c>
      <c r="CV569" s="61">
        <f t="shared" si="480"/>
        <v>0</v>
      </c>
      <c r="CW569" s="61">
        <f t="shared" si="433"/>
        <v>0</v>
      </c>
      <c r="CX569" s="61"/>
      <c r="CY569" s="61">
        <f t="shared" si="428"/>
        <v>0</v>
      </c>
      <c r="CZ569" s="61">
        <f t="shared" si="454"/>
        <v>0</v>
      </c>
      <c r="DA569" s="61">
        <f t="shared" si="454"/>
        <v>0</v>
      </c>
      <c r="DB569" s="2" t="s">
        <v>86</v>
      </c>
      <c r="DC569" s="2" t="s">
        <v>85</v>
      </c>
      <c r="DD569" s="2" t="s">
        <v>87</v>
      </c>
      <c r="DE569" s="2" t="s">
        <v>264</v>
      </c>
      <c r="DG569" s="62"/>
      <c r="DZ569" s="3" t="e">
        <v>#N/A</v>
      </c>
      <c r="EC569" s="60" t="str">
        <f>VLOOKUP($M569,[1]Detail!$M:$BO,1,0)</f>
        <v>H1BA-9Y460-BB</v>
      </c>
      <c r="ED569" s="60">
        <f>VLOOKUP($M569,[1]Detail!$M:$BO,22,0)</f>
        <v>-119.25</v>
      </c>
      <c r="EE569" s="60">
        <f>VLOOKUP($M569,[1]Detail!$M:$BO,42,0)</f>
        <v>0</v>
      </c>
      <c r="EF569" s="60">
        <f>VLOOKUP($M569,[1]Detail!$M:$BO,45,0)</f>
        <v>0</v>
      </c>
      <c r="EH569" s="60">
        <f t="shared" si="482"/>
        <v>0</v>
      </c>
      <c r="EI569" s="60">
        <f t="shared" si="483"/>
        <v>0</v>
      </c>
      <c r="EJ569" s="60">
        <f t="shared" si="484"/>
        <v>0</v>
      </c>
    </row>
    <row r="570" spans="2:140" ht="12.75" hidden="1" customHeight="1">
      <c r="B570" s="99" t="s">
        <v>1070</v>
      </c>
      <c r="C570" s="22" t="s">
        <v>890</v>
      </c>
      <c r="D570" s="22" t="s">
        <v>891</v>
      </c>
      <c r="E570" s="2" t="s">
        <v>1005</v>
      </c>
      <c r="F570" s="2" t="s">
        <v>330</v>
      </c>
      <c r="G570" s="2" t="s">
        <v>994</v>
      </c>
      <c r="J570" s="22" t="s">
        <v>585</v>
      </c>
      <c r="K570" s="23" t="s">
        <v>892</v>
      </c>
      <c r="L570" s="22" t="s">
        <v>234</v>
      </c>
      <c r="M570" s="51" t="str">
        <f t="shared" si="468"/>
        <v>JD81-5E211-AC</v>
      </c>
      <c r="O570" s="94">
        <v>0</v>
      </c>
      <c r="P570" s="94">
        <v>0</v>
      </c>
      <c r="Q570" s="94">
        <v>0</v>
      </c>
      <c r="R570" s="94">
        <v>0</v>
      </c>
      <c r="S570" s="94">
        <v>1</v>
      </c>
      <c r="T570" s="94">
        <v>1</v>
      </c>
      <c r="U570" s="94">
        <v>0</v>
      </c>
      <c r="V570" s="94">
        <v>1</v>
      </c>
      <c r="W570" s="64">
        <f t="shared" si="444"/>
        <v>0.28000000000000003</v>
      </c>
      <c r="Y570" s="8">
        <v>-427.54</v>
      </c>
      <c r="Z570" s="8">
        <v>-4.97</v>
      </c>
      <c r="AA570" s="8">
        <v>-6.59</v>
      </c>
      <c r="AB570" s="8">
        <v>0</v>
      </c>
      <c r="AC570" s="8">
        <v>-5.31</v>
      </c>
      <c r="AD570" s="8">
        <f t="shared" si="479"/>
        <v>-444.41</v>
      </c>
      <c r="AE570" s="2" t="s">
        <v>91</v>
      </c>
      <c r="AG570" s="8">
        <v>-235000</v>
      </c>
      <c r="AH570" s="8">
        <v>-3906000</v>
      </c>
      <c r="AI570" s="6"/>
      <c r="AJ570" s="70">
        <v>-826122</v>
      </c>
      <c r="AK570" s="70">
        <v>155639</v>
      </c>
      <c r="AL570" s="72"/>
      <c r="AM570" s="22"/>
      <c r="AO570" s="22" t="s">
        <v>585</v>
      </c>
      <c r="AP570" s="85" t="s">
        <v>892</v>
      </c>
      <c r="AQ570" s="22" t="s">
        <v>132</v>
      </c>
      <c r="AR570" s="51" t="str">
        <f t="shared" si="481"/>
        <v>JD81-5E211-AB</v>
      </c>
      <c r="AS570" s="3"/>
      <c r="AT570" s="94">
        <v>0</v>
      </c>
      <c r="AU570" s="94">
        <v>0</v>
      </c>
      <c r="AV570" s="94">
        <v>0</v>
      </c>
      <c r="AW570" s="94">
        <v>0</v>
      </c>
      <c r="AX570" s="94">
        <v>1</v>
      </c>
      <c r="AY570" s="94">
        <v>1</v>
      </c>
      <c r="AZ570" s="94">
        <v>0</v>
      </c>
      <c r="BA570" s="94">
        <v>1</v>
      </c>
      <c r="BB570" s="64">
        <f t="shared" si="445"/>
        <v>0.28000000000000003</v>
      </c>
      <c r="BD570" s="60">
        <v>-407.45</v>
      </c>
      <c r="BE570" s="60">
        <v>-4.97</v>
      </c>
      <c r="BF570" s="60">
        <v>-6.59</v>
      </c>
      <c r="BG570" s="60"/>
      <c r="BH570" s="60">
        <v>-5.31</v>
      </c>
      <c r="BI570" s="8">
        <f t="shared" si="467"/>
        <v>-424.32</v>
      </c>
      <c r="BJ570" s="22" t="s">
        <v>84</v>
      </c>
      <c r="BL570" s="70">
        <v>-115000</v>
      </c>
      <c r="BM570" s="70">
        <v>-3786000</v>
      </c>
      <c r="BO570" s="70">
        <v>-826122</v>
      </c>
      <c r="BP570" s="70">
        <v>155639</v>
      </c>
      <c r="BQ570" s="72"/>
      <c r="BS570" s="61">
        <f t="shared" si="446"/>
        <v>-20.090000000000032</v>
      </c>
      <c r="BT570" s="61">
        <f t="shared" si="447"/>
        <v>0</v>
      </c>
      <c r="BU570" s="61">
        <f t="shared" si="448"/>
        <v>0</v>
      </c>
      <c r="BV570" s="61">
        <f t="shared" si="448"/>
        <v>0</v>
      </c>
      <c r="BW570" s="61">
        <f t="shared" si="448"/>
        <v>0</v>
      </c>
      <c r="BX570" s="61">
        <f t="shared" si="448"/>
        <v>-20.090000000000032</v>
      </c>
      <c r="BY570" s="61" t="s">
        <v>91</v>
      </c>
      <c r="CA570" s="61">
        <f t="shared" si="449"/>
        <v>0</v>
      </c>
      <c r="CB570" s="61">
        <f t="shared" si="449"/>
        <v>0</v>
      </c>
      <c r="CC570" s="61">
        <f t="shared" si="449"/>
        <v>0</v>
      </c>
      <c r="CD570" s="61">
        <f t="shared" si="449"/>
        <v>0</v>
      </c>
      <c r="CE570" s="61">
        <f t="shared" si="449"/>
        <v>-3.022416127576355</v>
      </c>
      <c r="CF570" s="61">
        <f t="shared" si="449"/>
        <v>-3.022416127576355</v>
      </c>
      <c r="CG570" s="61">
        <f t="shared" si="449"/>
        <v>0</v>
      </c>
      <c r="CH570" s="61">
        <f t="shared" si="449"/>
        <v>-3.022416127576355</v>
      </c>
      <c r="CI570" s="61">
        <f t="shared" si="450"/>
        <v>-0.84627651572137952</v>
      </c>
      <c r="CJ570" s="61"/>
      <c r="CK570" s="61">
        <f t="shared" si="451"/>
        <v>0</v>
      </c>
      <c r="CL570" s="61">
        <f t="shared" si="451"/>
        <v>0</v>
      </c>
      <c r="CM570" s="61">
        <f t="shared" si="451"/>
        <v>0</v>
      </c>
      <c r="CN570" s="61">
        <f t="shared" si="451"/>
        <v>0</v>
      </c>
      <c r="CO570" s="61">
        <f t="shared" si="451"/>
        <v>-3.022416127576355</v>
      </c>
      <c r="CP570" s="61">
        <f t="shared" si="451"/>
        <v>-3.022416127576355</v>
      </c>
      <c r="CQ570" s="61">
        <f t="shared" si="451"/>
        <v>0</v>
      </c>
      <c r="CR570" s="61">
        <f t="shared" si="451"/>
        <v>-3.022416127576355</v>
      </c>
      <c r="CS570" s="61">
        <f t="shared" si="452"/>
        <v>-0.84627651572137952</v>
      </c>
      <c r="CT570" s="61">
        <f t="shared" si="453"/>
        <v>-5.6252000000000102</v>
      </c>
      <c r="CV570" s="61">
        <f t="shared" si="480"/>
        <v>-120000</v>
      </c>
      <c r="CW570" s="61">
        <f t="shared" si="433"/>
        <v>-120000</v>
      </c>
      <c r="CX570" s="61"/>
      <c r="CY570" s="61">
        <f t="shared" si="428"/>
        <v>0</v>
      </c>
      <c r="CZ570" s="61">
        <f t="shared" si="454"/>
        <v>0</v>
      </c>
      <c r="DA570" s="61">
        <f t="shared" si="454"/>
        <v>0</v>
      </c>
      <c r="DB570" s="2" t="s">
        <v>85</v>
      </c>
      <c r="DC570" s="2" t="s">
        <v>85</v>
      </c>
      <c r="DD570" s="2" t="s">
        <v>87</v>
      </c>
      <c r="DE570" s="2" t="s">
        <v>264</v>
      </c>
      <c r="DF570" s="3" t="s">
        <v>86</v>
      </c>
      <c r="DG570" s="62">
        <v>42913</v>
      </c>
      <c r="EC570" s="60"/>
      <c r="ED570" s="60"/>
      <c r="EE570" s="60"/>
      <c r="EF570" s="60"/>
    </row>
    <row r="571" spans="2:140" ht="12.75" hidden="1" customHeight="1">
      <c r="B571" s="99" t="s">
        <v>1071</v>
      </c>
      <c r="C571" s="22" t="s">
        <v>1072</v>
      </c>
      <c r="D571" s="22" t="s">
        <v>1073</v>
      </c>
      <c r="E571" s="2" t="s">
        <v>1005</v>
      </c>
      <c r="F571" s="2" t="s">
        <v>330</v>
      </c>
      <c r="G571" s="2" t="s">
        <v>994</v>
      </c>
      <c r="J571" s="22" t="s">
        <v>1074</v>
      </c>
      <c r="K571" s="23" t="s">
        <v>607</v>
      </c>
      <c r="L571" s="22" t="s">
        <v>306</v>
      </c>
      <c r="M571" s="51" t="str">
        <f t="shared" si="468"/>
        <v>JX61-9C623-FA</v>
      </c>
      <c r="O571" s="98">
        <v>0</v>
      </c>
      <c r="P571" s="98">
        <v>0</v>
      </c>
      <c r="Q571" s="98">
        <v>0</v>
      </c>
      <c r="R571" s="98">
        <v>0</v>
      </c>
      <c r="S571" s="98">
        <v>1</v>
      </c>
      <c r="T571" s="98">
        <v>1</v>
      </c>
      <c r="U571" s="98">
        <v>0</v>
      </c>
      <c r="V571" s="98">
        <v>1</v>
      </c>
      <c r="W571" s="64">
        <f t="shared" si="444"/>
        <v>0.28000000000000003</v>
      </c>
      <c r="Y571" s="8">
        <v>-85.84</v>
      </c>
      <c r="Z571" s="8">
        <v>-3.13</v>
      </c>
      <c r="AA571" s="8">
        <v>-1.21</v>
      </c>
      <c r="AB571" s="8">
        <v>0</v>
      </c>
      <c r="AC571" s="8">
        <v>0</v>
      </c>
      <c r="AD571" s="8">
        <f t="shared" si="479"/>
        <v>-90.179999999999993</v>
      </c>
      <c r="AE571" s="2" t="s">
        <v>84</v>
      </c>
      <c r="AG571" s="8">
        <v>-3369000</v>
      </c>
      <c r="AH571" s="8">
        <v>-3369000</v>
      </c>
      <c r="AI571" s="6"/>
      <c r="AJ571" s="70">
        <v>0</v>
      </c>
      <c r="AK571" s="70">
        <v>0</v>
      </c>
      <c r="AL571" s="72"/>
      <c r="AM571" s="22"/>
      <c r="AO571" s="22" t="s">
        <v>1074</v>
      </c>
      <c r="AP571" s="23" t="s">
        <v>607</v>
      </c>
      <c r="AQ571" s="22" t="s">
        <v>253</v>
      </c>
      <c r="AR571" s="51" t="str">
        <f t="shared" si="481"/>
        <v>JX61-9C623-CA</v>
      </c>
      <c r="AS571" s="3"/>
      <c r="AT571" s="98">
        <v>0</v>
      </c>
      <c r="AU571" s="98">
        <v>0</v>
      </c>
      <c r="AV571" s="98">
        <v>0</v>
      </c>
      <c r="AW571" s="98">
        <v>0</v>
      </c>
      <c r="AX571" s="98">
        <v>1</v>
      </c>
      <c r="AY571" s="98">
        <v>1</v>
      </c>
      <c r="AZ571" s="98">
        <v>0</v>
      </c>
      <c r="BA571" s="98">
        <v>1</v>
      </c>
      <c r="BB571" s="64">
        <f>SUMPRODUCT(AT571:BA571,$S$7:$Z$7)</f>
        <v>0.30000000000000004</v>
      </c>
      <c r="BD571" s="60">
        <v>-80.209999999999994</v>
      </c>
      <c r="BE571" s="60">
        <v>-3.13</v>
      </c>
      <c r="BF571" s="60">
        <v>-1.21</v>
      </c>
      <c r="BG571" s="60">
        <v>0</v>
      </c>
      <c r="BH571" s="60">
        <v>0</v>
      </c>
      <c r="BI571" s="8">
        <f t="shared" si="467"/>
        <v>-84.549999999999983</v>
      </c>
      <c r="BJ571" s="22" t="s">
        <v>84</v>
      </c>
      <c r="BL571" s="70">
        <v>-3239000</v>
      </c>
      <c r="BM571" s="70">
        <v>-3239000</v>
      </c>
      <c r="BN571" s="70"/>
      <c r="BO571" s="70">
        <f>-308395*0</f>
        <v>0</v>
      </c>
      <c r="BP571" s="70">
        <f>40793*0</f>
        <v>0</v>
      </c>
      <c r="BQ571" s="72"/>
      <c r="BS571" s="61">
        <f t="shared" si="446"/>
        <v>-5.6300000000000097</v>
      </c>
      <c r="BT571" s="61">
        <f t="shared" si="447"/>
        <v>0</v>
      </c>
      <c r="BU571" s="61">
        <f t="shared" si="448"/>
        <v>0</v>
      </c>
      <c r="BV571" s="61">
        <f t="shared" si="448"/>
        <v>0</v>
      </c>
      <c r="BW571" s="61">
        <f t="shared" si="448"/>
        <v>0</v>
      </c>
      <c r="BX571" s="61">
        <f t="shared" si="448"/>
        <v>-5.6300000000000097</v>
      </c>
      <c r="BY571" s="61" t="s">
        <v>91</v>
      </c>
      <c r="CA571" s="61">
        <f t="shared" si="449"/>
        <v>0</v>
      </c>
      <c r="CB571" s="61">
        <f t="shared" si="449"/>
        <v>0</v>
      </c>
      <c r="CC571" s="61">
        <f t="shared" si="449"/>
        <v>0</v>
      </c>
      <c r="CD571" s="61">
        <f t="shared" si="449"/>
        <v>0</v>
      </c>
      <c r="CE571" s="61">
        <f t="shared" si="449"/>
        <v>-0.84699864600571828</v>
      </c>
      <c r="CF571" s="61">
        <f t="shared" si="449"/>
        <v>-0.84699864600571828</v>
      </c>
      <c r="CG571" s="61">
        <f t="shared" si="449"/>
        <v>0</v>
      </c>
      <c r="CH571" s="61">
        <f t="shared" si="449"/>
        <v>-0.84699864600571828</v>
      </c>
      <c r="CI571" s="61">
        <f t="shared" si="450"/>
        <v>-0.23715962088160111</v>
      </c>
      <c r="CJ571" s="61"/>
      <c r="CK571" s="61">
        <f t="shared" si="451"/>
        <v>0</v>
      </c>
      <c r="CL571" s="61">
        <f t="shared" si="451"/>
        <v>0</v>
      </c>
      <c r="CM571" s="61">
        <f t="shared" si="451"/>
        <v>0</v>
      </c>
      <c r="CN571" s="61">
        <f t="shared" si="451"/>
        <v>0</v>
      </c>
      <c r="CO571" s="61">
        <f t="shared" si="451"/>
        <v>-0.84699864600571828</v>
      </c>
      <c r="CP571" s="61">
        <f t="shared" si="451"/>
        <v>-0.84699864600571828</v>
      </c>
      <c r="CQ571" s="61">
        <f t="shared" si="451"/>
        <v>0</v>
      </c>
      <c r="CR571" s="61">
        <f t="shared" si="451"/>
        <v>-0.84699864600571828</v>
      </c>
      <c r="CS571" s="61">
        <f t="shared" si="452"/>
        <v>-0.23715962088160111</v>
      </c>
      <c r="CT571" s="61">
        <f t="shared" si="453"/>
        <v>-1.5764000000000027</v>
      </c>
      <c r="CV571" s="61">
        <f t="shared" si="480"/>
        <v>-130000</v>
      </c>
      <c r="CW571" s="61">
        <f t="shared" si="433"/>
        <v>-130000</v>
      </c>
      <c r="CX571" s="61"/>
      <c r="CY571" s="61">
        <f t="shared" si="428"/>
        <v>0</v>
      </c>
      <c r="CZ571" s="61">
        <f t="shared" si="454"/>
        <v>0</v>
      </c>
      <c r="DA571" s="61">
        <f t="shared" si="454"/>
        <v>0</v>
      </c>
      <c r="DB571" s="2" t="s">
        <v>85</v>
      </c>
      <c r="DC571" s="2" t="s">
        <v>85</v>
      </c>
      <c r="DD571" s="2" t="s">
        <v>87</v>
      </c>
      <c r="DE571" s="2" t="s">
        <v>264</v>
      </c>
      <c r="DF571" s="3" t="s">
        <v>86</v>
      </c>
      <c r="DG571" s="62">
        <v>42929</v>
      </c>
      <c r="EC571" s="60"/>
      <c r="ED571" s="60"/>
      <c r="EE571" s="60"/>
      <c r="EF571" s="60"/>
    </row>
    <row r="572" spans="2:140" ht="12.75" hidden="1" customHeight="1">
      <c r="B572" s="93" t="s">
        <v>1075</v>
      </c>
      <c r="C572" s="22" t="s">
        <v>1007</v>
      </c>
      <c r="D572" s="22" t="s">
        <v>1008</v>
      </c>
      <c r="E572" s="2" t="s">
        <v>1005</v>
      </c>
      <c r="F572" s="2" t="s">
        <v>330</v>
      </c>
      <c r="G572" s="2" t="s">
        <v>983</v>
      </c>
      <c r="J572" s="22" t="s">
        <v>1009</v>
      </c>
      <c r="K572" s="23" t="s">
        <v>1010</v>
      </c>
      <c r="L572" s="22" t="s">
        <v>100</v>
      </c>
      <c r="M572" s="51" t="str">
        <f t="shared" si="468"/>
        <v>H6B1-7A564-AA</v>
      </c>
      <c r="O572" s="94">
        <v>1</v>
      </c>
      <c r="P572" s="22"/>
      <c r="Q572" s="94">
        <v>1</v>
      </c>
      <c r="R572" s="22"/>
      <c r="S572" s="94">
        <v>1</v>
      </c>
      <c r="T572" s="22"/>
      <c r="U572" s="22"/>
      <c r="V572" s="22"/>
      <c r="W572" s="64">
        <f t="shared" si="444"/>
        <v>0.37</v>
      </c>
      <c r="Y572" s="8">
        <v>-61.11</v>
      </c>
      <c r="Z572" s="8">
        <v>-1</v>
      </c>
      <c r="AA572" s="8">
        <v>-1.2</v>
      </c>
      <c r="AB572" s="8">
        <v>0</v>
      </c>
      <c r="AC572" s="8">
        <v>-2.77</v>
      </c>
      <c r="AD572" s="8">
        <f t="shared" si="479"/>
        <v>-66.08</v>
      </c>
      <c r="AE572" s="2" t="s">
        <v>84</v>
      </c>
      <c r="AG572" s="8">
        <v>0</v>
      </c>
      <c r="AH572" s="8">
        <v>0</v>
      </c>
      <c r="AJ572" s="70">
        <v>-1846975</v>
      </c>
      <c r="AK572" s="70">
        <v>667010</v>
      </c>
      <c r="AL572" s="119"/>
      <c r="AM572" s="22"/>
      <c r="AO572" s="22" t="s">
        <v>1009</v>
      </c>
      <c r="AP572" s="23" t="s">
        <v>1010</v>
      </c>
      <c r="AQ572" s="22" t="s">
        <v>100</v>
      </c>
      <c r="AR572" s="51" t="str">
        <f t="shared" si="481"/>
        <v>H6B1-7A564-AA</v>
      </c>
      <c r="AS572" s="3"/>
      <c r="AT572" s="94">
        <v>1</v>
      </c>
      <c r="AU572" s="22"/>
      <c r="AV572" s="94">
        <v>1</v>
      </c>
      <c r="AW572" s="22"/>
      <c r="AX572" s="94">
        <v>1</v>
      </c>
      <c r="AY572" s="22"/>
      <c r="AZ572" s="22"/>
      <c r="BA572" s="22"/>
      <c r="BB572" s="64">
        <f t="shared" ref="BB572:BB625" si="485">SUMPRODUCT(AT572:BA572,$O$6:$V$6)</f>
        <v>0.37</v>
      </c>
      <c r="BD572" s="60">
        <v>-61.11</v>
      </c>
      <c r="BE572" s="60">
        <v>-1</v>
      </c>
      <c r="BF572" s="95">
        <v>-1.2</v>
      </c>
      <c r="BG572" s="95">
        <v>0</v>
      </c>
      <c r="BH572" s="95">
        <v>-2.77</v>
      </c>
      <c r="BI572" s="8">
        <f t="shared" si="467"/>
        <v>-66.08</v>
      </c>
      <c r="BJ572" s="2" t="s">
        <v>84</v>
      </c>
      <c r="BL572" s="70">
        <v>0</v>
      </c>
      <c r="BM572" s="70">
        <v>0</v>
      </c>
      <c r="BO572" s="70">
        <v>-1846975</v>
      </c>
      <c r="BP572" s="70">
        <v>667010</v>
      </c>
      <c r="BQ572" s="72"/>
      <c r="BS572" s="61">
        <f t="shared" si="446"/>
        <v>0</v>
      </c>
      <c r="BT572" s="61">
        <f t="shared" si="447"/>
        <v>0</v>
      </c>
      <c r="BU572" s="61">
        <f t="shared" si="448"/>
        <v>0</v>
      </c>
      <c r="BV572" s="61">
        <f t="shared" si="448"/>
        <v>0</v>
      </c>
      <c r="BW572" s="61">
        <f t="shared" si="448"/>
        <v>0</v>
      </c>
      <c r="BX572" s="61">
        <f t="shared" si="448"/>
        <v>0</v>
      </c>
      <c r="BY572" s="61" t="s">
        <v>91</v>
      </c>
      <c r="CA572" s="61">
        <f t="shared" si="449"/>
        <v>0</v>
      </c>
      <c r="CB572" s="61">
        <f t="shared" si="449"/>
        <v>0</v>
      </c>
      <c r="CC572" s="61">
        <f t="shared" si="449"/>
        <v>0</v>
      </c>
      <c r="CD572" s="61">
        <f t="shared" si="449"/>
        <v>0</v>
      </c>
      <c r="CE572" s="61">
        <f t="shared" si="449"/>
        <v>0</v>
      </c>
      <c r="CF572" s="61">
        <f t="shared" si="449"/>
        <v>0</v>
      </c>
      <c r="CG572" s="61">
        <f t="shared" si="449"/>
        <v>0</v>
      </c>
      <c r="CH572" s="61">
        <f t="shared" si="449"/>
        <v>0</v>
      </c>
      <c r="CI572" s="61">
        <f t="shared" si="450"/>
        <v>0</v>
      </c>
      <c r="CJ572" s="61"/>
      <c r="CK572" s="61">
        <f t="shared" si="451"/>
        <v>0</v>
      </c>
      <c r="CL572" s="61">
        <f t="shared" si="451"/>
        <v>0</v>
      </c>
      <c r="CM572" s="61">
        <f t="shared" si="451"/>
        <v>0</v>
      </c>
      <c r="CN572" s="61">
        <f t="shared" si="451"/>
        <v>0</v>
      </c>
      <c r="CO572" s="61">
        <f t="shared" si="451"/>
        <v>0</v>
      </c>
      <c r="CP572" s="61">
        <f t="shared" si="451"/>
        <v>0</v>
      </c>
      <c r="CQ572" s="61">
        <f t="shared" si="451"/>
        <v>0</v>
      </c>
      <c r="CR572" s="61">
        <f t="shared" si="451"/>
        <v>0</v>
      </c>
      <c r="CS572" s="61">
        <f t="shared" si="452"/>
        <v>0</v>
      </c>
      <c r="CT572" s="61">
        <f t="shared" si="453"/>
        <v>0</v>
      </c>
      <c r="CV572" s="61">
        <f t="shared" si="480"/>
        <v>0</v>
      </c>
      <c r="CW572" s="61">
        <f t="shared" si="433"/>
        <v>0</v>
      </c>
      <c r="CX572" s="61"/>
      <c r="CY572" s="61">
        <f t="shared" si="428"/>
        <v>0</v>
      </c>
      <c r="CZ572" s="61">
        <f t="shared" si="454"/>
        <v>0</v>
      </c>
      <c r="DA572" s="61">
        <f t="shared" si="454"/>
        <v>0</v>
      </c>
      <c r="DB572" s="2" t="s">
        <v>86</v>
      </c>
      <c r="DC572" s="2" t="s">
        <v>86</v>
      </c>
      <c r="DD572" s="2" t="s">
        <v>142</v>
      </c>
      <c r="DE572" s="2" t="s">
        <v>264</v>
      </c>
      <c r="DG572" s="62"/>
      <c r="DZ572" s="3" t="e">
        <v>#N/A</v>
      </c>
      <c r="EC572" s="60" t="str">
        <f>VLOOKUP($M572,[1]Detail!$M:$BO,1,0)</f>
        <v>H6B1-7A564-AA</v>
      </c>
      <c r="ED572" s="60">
        <f>VLOOKUP($M572,[1]Detail!$M:$BO,22,0)</f>
        <v>-66.08</v>
      </c>
      <c r="EE572" s="60">
        <f>VLOOKUP($M572,[1]Detail!$M:$BO,42,0)</f>
        <v>0</v>
      </c>
      <c r="EF572" s="60">
        <f>VLOOKUP($M572,[1]Detail!$M:$BO,45,0)</f>
        <v>-1846975</v>
      </c>
      <c r="EH572" s="60">
        <f t="shared" ref="EH572:EH574" si="486">ED572-AD572</f>
        <v>0</v>
      </c>
      <c r="EI572" s="60">
        <f t="shared" ref="EI572:EI574" si="487">EE572-AG572</f>
        <v>0</v>
      </c>
      <c r="EJ572" s="60">
        <f t="shared" ref="EJ572:EJ574" si="488">EF572-AJ572</f>
        <v>0</v>
      </c>
    </row>
    <row r="573" spans="2:140" ht="12.75" hidden="1" customHeight="1">
      <c r="B573" s="99" t="s">
        <v>1076</v>
      </c>
      <c r="C573" s="22" t="s">
        <v>890</v>
      </c>
      <c r="D573" s="22" t="s">
        <v>891</v>
      </c>
      <c r="E573" s="2" t="str">
        <f>VLOOKUP($C573,[1]Detail!$C:$AK,6,0)</f>
        <v>PMT4</v>
      </c>
      <c r="F573" s="2" t="str">
        <f>VLOOKUP($C573,[1]Detail!$C:$AK,7,0)</f>
        <v>PF</v>
      </c>
      <c r="G573" s="2" t="str">
        <f>VLOOKUP($C573,[1]Detail!$C:$AK,5,0)</f>
        <v>B</v>
      </c>
      <c r="J573" s="22" t="s">
        <v>585</v>
      </c>
      <c r="K573" s="23" t="s">
        <v>892</v>
      </c>
      <c r="L573" s="22" t="s">
        <v>120</v>
      </c>
      <c r="M573" s="51" t="str">
        <f t="shared" si="468"/>
        <v>JD81-5E211-BB</v>
      </c>
      <c r="O573" s="22">
        <v>1</v>
      </c>
      <c r="P573" s="22">
        <v>1</v>
      </c>
      <c r="Q573" s="22">
        <v>1</v>
      </c>
      <c r="R573" s="22">
        <v>1</v>
      </c>
      <c r="S573" s="22">
        <v>0</v>
      </c>
      <c r="T573" s="22">
        <v>0</v>
      </c>
      <c r="U573" s="22">
        <v>1</v>
      </c>
      <c r="V573" s="22">
        <v>0</v>
      </c>
      <c r="W573" s="64">
        <f t="shared" si="444"/>
        <v>0.72000000000000008</v>
      </c>
      <c r="Y573" s="8">
        <v>-359.43</v>
      </c>
      <c r="Z573" s="8">
        <v>-4.9400000000000004</v>
      </c>
      <c r="AA573" s="8">
        <v>-6.59</v>
      </c>
      <c r="AB573" s="8">
        <v>0</v>
      </c>
      <c r="AC573" s="8">
        <v>-2.9</v>
      </c>
      <c r="AD573" s="8">
        <f t="shared" si="479"/>
        <v>-373.85999999999996</v>
      </c>
      <c r="AE573" s="2" t="s">
        <v>91</v>
      </c>
      <c r="AG573" s="8">
        <v>-1386000</v>
      </c>
      <c r="AH573" s="8">
        <v>-2904137.5</v>
      </c>
      <c r="AI573" s="6"/>
      <c r="AJ573" s="70">
        <v>-1200889</v>
      </c>
      <c r="AK573" s="70">
        <v>413928</v>
      </c>
      <c r="AL573" s="72"/>
      <c r="AM573" s="22"/>
      <c r="AO573" s="22" t="s">
        <v>864</v>
      </c>
      <c r="AP573" s="23" t="s">
        <v>1077</v>
      </c>
      <c r="AQ573" s="22" t="s">
        <v>182</v>
      </c>
      <c r="AR573" s="51" t="str">
        <f t="shared" si="481"/>
        <v>JD81-5E211-BA</v>
      </c>
      <c r="AS573" s="3"/>
      <c r="AT573" s="22">
        <v>1</v>
      </c>
      <c r="AU573" s="22">
        <v>1</v>
      </c>
      <c r="AV573" s="22">
        <v>1</v>
      </c>
      <c r="AW573" s="22">
        <v>1</v>
      </c>
      <c r="AX573" s="22">
        <v>0</v>
      </c>
      <c r="AY573" s="22">
        <v>0</v>
      </c>
      <c r="AZ573" s="22">
        <v>1</v>
      </c>
      <c r="BA573" s="22">
        <v>0</v>
      </c>
      <c r="BB573" s="64">
        <f t="shared" si="485"/>
        <v>0.72000000000000008</v>
      </c>
      <c r="BD573" s="60">
        <v>-340.13</v>
      </c>
      <c r="BE573" s="60">
        <v>-4.9400000000000004</v>
      </c>
      <c r="BF573" s="95">
        <v>-6.59</v>
      </c>
      <c r="BG573" s="95">
        <v>0</v>
      </c>
      <c r="BH573" s="95">
        <v>-2.9</v>
      </c>
      <c r="BI573" s="8">
        <f t="shared" si="467"/>
        <v>-354.55999999999995</v>
      </c>
      <c r="BJ573" s="2" t="s">
        <v>91</v>
      </c>
      <c r="BL573" s="70">
        <v>-1370000</v>
      </c>
      <c r="BM573" s="70">
        <v>-2788137.5</v>
      </c>
      <c r="BO573" s="70">
        <v>-1200889</v>
      </c>
      <c r="BP573" s="70">
        <v>413928</v>
      </c>
      <c r="BQ573" s="72"/>
      <c r="BS573" s="61">
        <f t="shared" si="446"/>
        <v>-19.300000000000011</v>
      </c>
      <c r="BT573" s="61">
        <f t="shared" si="447"/>
        <v>0</v>
      </c>
      <c r="BU573" s="61">
        <f t="shared" si="448"/>
        <v>0</v>
      </c>
      <c r="BV573" s="61">
        <f t="shared" si="448"/>
        <v>0</v>
      </c>
      <c r="BW573" s="61">
        <f t="shared" si="448"/>
        <v>0</v>
      </c>
      <c r="BX573" s="61">
        <f t="shared" si="448"/>
        <v>-19.300000000000011</v>
      </c>
      <c r="BY573" s="61" t="s">
        <v>91</v>
      </c>
      <c r="CA573" s="61">
        <f t="shared" si="449"/>
        <v>-2.9035655182789246</v>
      </c>
      <c r="CB573" s="61">
        <f t="shared" si="449"/>
        <v>-2.9035655182789246</v>
      </c>
      <c r="CC573" s="61">
        <f t="shared" si="449"/>
        <v>-2.9035655182789246</v>
      </c>
      <c r="CD573" s="61">
        <f t="shared" si="449"/>
        <v>-2.9035655182789246</v>
      </c>
      <c r="CE573" s="61">
        <f t="shared" si="449"/>
        <v>0</v>
      </c>
      <c r="CF573" s="61">
        <f t="shared" si="449"/>
        <v>0</v>
      </c>
      <c r="CG573" s="61">
        <f t="shared" si="449"/>
        <v>-2.9035655182789246</v>
      </c>
      <c r="CH573" s="61">
        <f t="shared" ref="CH573:CH636" si="489">($Y573*V573-BA573*$BD573)/$C$2</f>
        <v>0</v>
      </c>
      <c r="CI573" s="61">
        <f t="shared" si="450"/>
        <v>-2.0905671731608257</v>
      </c>
      <c r="CJ573" s="61"/>
      <c r="CK573" s="61">
        <f t="shared" si="451"/>
        <v>-2.9035655182789246</v>
      </c>
      <c r="CL573" s="61">
        <f t="shared" si="451"/>
        <v>-2.9035655182789246</v>
      </c>
      <c r="CM573" s="61">
        <f t="shared" si="451"/>
        <v>-2.9035655182789246</v>
      </c>
      <c r="CN573" s="61">
        <f t="shared" si="451"/>
        <v>-2.9035655182789246</v>
      </c>
      <c r="CO573" s="61">
        <f t="shared" si="451"/>
        <v>0</v>
      </c>
      <c r="CP573" s="61">
        <f t="shared" si="451"/>
        <v>0</v>
      </c>
      <c r="CQ573" s="61">
        <f t="shared" si="451"/>
        <v>-2.9035655182789246</v>
      </c>
      <c r="CR573" s="61">
        <f t="shared" ref="CR573:CR636" si="490">(V573*$AD573-BA573*$BI573)/$C$2</f>
        <v>0</v>
      </c>
      <c r="CS573" s="61">
        <f t="shared" si="452"/>
        <v>-2.0905671731608257</v>
      </c>
      <c r="CT573" s="61">
        <f t="shared" si="453"/>
        <v>-13.89600000000001</v>
      </c>
      <c r="CV573" s="61">
        <f t="shared" si="480"/>
        <v>-16000</v>
      </c>
      <c r="CW573" s="61">
        <f t="shared" si="433"/>
        <v>-116000</v>
      </c>
      <c r="CX573" s="61"/>
      <c r="CY573" s="61">
        <f t="shared" si="428"/>
        <v>0</v>
      </c>
      <c r="CZ573" s="61">
        <f t="shared" si="454"/>
        <v>0</v>
      </c>
      <c r="DA573" s="61">
        <f t="shared" si="454"/>
        <v>0</v>
      </c>
      <c r="DB573" s="2" t="s">
        <v>86</v>
      </c>
      <c r="DC573" s="2" t="s">
        <v>86</v>
      </c>
      <c r="DD573" s="2" t="s">
        <v>142</v>
      </c>
      <c r="DE573" s="2" t="s">
        <v>264</v>
      </c>
      <c r="DF573" s="3" t="s">
        <v>86</v>
      </c>
      <c r="DG573" s="62">
        <v>42961</v>
      </c>
      <c r="EC573" s="60" t="str">
        <f>VLOOKUP($M573,[1]Detail!$M:$BO,1,0)</f>
        <v>JD81-5E211-BB</v>
      </c>
      <c r="ED573" s="60">
        <f>VLOOKUP($M573,[1]Detail!$M:$BO,22,0)</f>
        <v>-373.85999999999996</v>
      </c>
      <c r="EE573" s="60">
        <f>VLOOKUP($M573,[1]Detail!$M:$BO,42,0)</f>
        <v>-1386000</v>
      </c>
      <c r="EF573" s="60">
        <f>VLOOKUP($M573,[1]Detail!$M:$BO,45,0)</f>
        <v>-1200889</v>
      </c>
      <c r="EH573" s="60">
        <f t="shared" si="486"/>
        <v>0</v>
      </c>
      <c r="EI573" s="60">
        <f t="shared" si="487"/>
        <v>0</v>
      </c>
      <c r="EJ573" s="60">
        <f t="shared" si="488"/>
        <v>0</v>
      </c>
    </row>
    <row r="574" spans="2:140" ht="12.75" hidden="1" customHeight="1">
      <c r="B574" s="99" t="s">
        <v>1076</v>
      </c>
      <c r="C574" s="22" t="s">
        <v>893</v>
      </c>
      <c r="D574" s="22" t="s">
        <v>894</v>
      </c>
      <c r="E574" s="2" t="str">
        <f>VLOOKUP($C574,[1]Detail!$C:$AK,6,0)</f>
        <v>PMT4</v>
      </c>
      <c r="F574" s="2" t="str">
        <f>VLOOKUP($C574,[1]Detail!$C:$AK,7,0)</f>
        <v>PF</v>
      </c>
      <c r="G574" s="2" t="str">
        <f>VLOOKUP($C574,[1]Detail!$C:$AK,5,0)</f>
        <v>B</v>
      </c>
      <c r="J574" s="22" t="s">
        <v>585</v>
      </c>
      <c r="K574" s="23" t="s">
        <v>892</v>
      </c>
      <c r="L574" s="22" t="s">
        <v>122</v>
      </c>
      <c r="M574" s="51" t="str">
        <f t="shared" si="468"/>
        <v>JD81-5E211-CB</v>
      </c>
      <c r="O574" s="22">
        <v>1</v>
      </c>
      <c r="P574" s="22">
        <v>1</v>
      </c>
      <c r="Q574" s="22">
        <v>1</v>
      </c>
      <c r="R574" s="22">
        <v>1</v>
      </c>
      <c r="S574" s="22">
        <v>0</v>
      </c>
      <c r="T574" s="22">
        <v>0</v>
      </c>
      <c r="U574" s="22">
        <v>1</v>
      </c>
      <c r="V574" s="22">
        <v>0</v>
      </c>
      <c r="W574" s="64">
        <f t="shared" si="444"/>
        <v>0.72000000000000008</v>
      </c>
      <c r="Y574" s="8">
        <v>-382.99</v>
      </c>
      <c r="Z574" s="8">
        <v>-4.9400000000000004</v>
      </c>
      <c r="AA574" s="8">
        <v>-6.59</v>
      </c>
      <c r="AB574" s="8">
        <v>0</v>
      </c>
      <c r="AC574" s="8">
        <v>-2.9</v>
      </c>
      <c r="AD574" s="8">
        <f t="shared" si="479"/>
        <v>-397.41999999999996</v>
      </c>
      <c r="AE574" s="2" t="s">
        <v>91</v>
      </c>
      <c r="AG574" s="8">
        <v>0</v>
      </c>
      <c r="AH574" s="8">
        <v>0</v>
      </c>
      <c r="AJ574" s="70" t="s">
        <v>114</v>
      </c>
      <c r="AK574" s="70">
        <v>0</v>
      </c>
      <c r="AL574" s="72"/>
      <c r="AM574" s="22"/>
      <c r="AO574" s="22" t="s">
        <v>864</v>
      </c>
      <c r="AP574" s="23" t="s">
        <v>1077</v>
      </c>
      <c r="AQ574" s="22" t="s">
        <v>253</v>
      </c>
      <c r="AR574" s="51" t="str">
        <f t="shared" si="481"/>
        <v>JD81-5E211-CA</v>
      </c>
      <c r="AS574" s="3"/>
      <c r="AT574" s="22">
        <v>1</v>
      </c>
      <c r="AU574" s="22">
        <v>1</v>
      </c>
      <c r="AV574" s="22">
        <v>1</v>
      </c>
      <c r="AW574" s="22">
        <v>1</v>
      </c>
      <c r="AX574" s="22">
        <v>0</v>
      </c>
      <c r="AY574" s="22">
        <v>0</v>
      </c>
      <c r="AZ574" s="22">
        <v>1</v>
      </c>
      <c r="BA574" s="22">
        <v>0</v>
      </c>
      <c r="BB574" s="64">
        <f t="shared" si="485"/>
        <v>0.72000000000000008</v>
      </c>
      <c r="BD574" s="60">
        <v>-363.26</v>
      </c>
      <c r="BE574" s="60">
        <v>-4.9400000000000004</v>
      </c>
      <c r="BF574" s="95">
        <v>-6.59</v>
      </c>
      <c r="BG574" s="95">
        <v>0</v>
      </c>
      <c r="BH574" s="95">
        <v>-2.9</v>
      </c>
      <c r="BI574" s="8">
        <f t="shared" si="467"/>
        <v>-377.68999999999994</v>
      </c>
      <c r="BJ574" s="2" t="s">
        <v>91</v>
      </c>
      <c r="BL574" s="70">
        <v>0</v>
      </c>
      <c r="BM574" s="70">
        <v>0</v>
      </c>
      <c r="BO574" s="70" t="s">
        <v>114</v>
      </c>
      <c r="BP574" s="70">
        <v>0</v>
      </c>
      <c r="BQ574" s="72"/>
      <c r="BS574" s="61">
        <f t="shared" si="446"/>
        <v>-19.730000000000018</v>
      </c>
      <c r="BT574" s="61">
        <f t="shared" si="447"/>
        <v>0</v>
      </c>
      <c r="BU574" s="61">
        <f t="shared" ref="BU574:BX605" si="491">SUM(AA574)-SUM(BF574)</f>
        <v>0</v>
      </c>
      <c r="BV574" s="61">
        <f t="shared" si="491"/>
        <v>0</v>
      </c>
      <c r="BW574" s="61">
        <f t="shared" si="491"/>
        <v>0</v>
      </c>
      <c r="BX574" s="61">
        <f t="shared" si="491"/>
        <v>-19.730000000000018</v>
      </c>
      <c r="BY574" s="61" t="s">
        <v>91</v>
      </c>
      <c r="CA574" s="61">
        <f t="shared" ref="CA574:CG637" si="492">($Y574*O574-AT574*$BD574)/$C$2</f>
        <v>-2.9682563562509428</v>
      </c>
      <c r="CB574" s="61">
        <f t="shared" si="492"/>
        <v>-2.9682563562509428</v>
      </c>
      <c r="CC574" s="61">
        <f t="shared" si="492"/>
        <v>-2.9682563562509428</v>
      </c>
      <c r="CD574" s="61">
        <f t="shared" si="492"/>
        <v>-2.9682563562509428</v>
      </c>
      <c r="CE574" s="61">
        <f t="shared" si="492"/>
        <v>0</v>
      </c>
      <c r="CF574" s="61">
        <f t="shared" si="492"/>
        <v>0</v>
      </c>
      <c r="CG574" s="61">
        <f t="shared" si="492"/>
        <v>-2.9682563562509428</v>
      </c>
      <c r="CH574" s="61">
        <f t="shared" si="489"/>
        <v>0</v>
      </c>
      <c r="CI574" s="61">
        <f t="shared" si="450"/>
        <v>-2.1371445765006789</v>
      </c>
      <c r="CJ574" s="61"/>
      <c r="CK574" s="61">
        <f t="shared" ref="CK574:CQ637" si="493">(O574*$AD574-AT574*$BI574)/$C$2</f>
        <v>-2.9682563562509428</v>
      </c>
      <c r="CL574" s="61">
        <f t="shared" si="493"/>
        <v>-2.9682563562509428</v>
      </c>
      <c r="CM574" s="61">
        <f t="shared" si="493"/>
        <v>-2.9682563562509428</v>
      </c>
      <c r="CN574" s="61">
        <f t="shared" si="493"/>
        <v>-2.9682563562509428</v>
      </c>
      <c r="CO574" s="61">
        <f t="shared" si="493"/>
        <v>0</v>
      </c>
      <c r="CP574" s="61">
        <f t="shared" si="493"/>
        <v>0</v>
      </c>
      <c r="CQ574" s="61">
        <f t="shared" si="493"/>
        <v>-2.9682563562509428</v>
      </c>
      <c r="CR574" s="61">
        <f t="shared" si="490"/>
        <v>0</v>
      </c>
      <c r="CS574" s="61">
        <f t="shared" si="452"/>
        <v>-2.1371445765006789</v>
      </c>
      <c r="CT574" s="61">
        <f t="shared" si="453"/>
        <v>-14.205600000000013</v>
      </c>
      <c r="CV574" s="61">
        <f t="shared" si="480"/>
        <v>0</v>
      </c>
      <c r="CW574" s="61">
        <f t="shared" si="433"/>
        <v>0</v>
      </c>
      <c r="CX574" s="61"/>
      <c r="CY574" s="61">
        <f t="shared" si="428"/>
        <v>0</v>
      </c>
      <c r="CZ574" s="61">
        <f t="shared" si="454"/>
        <v>0</v>
      </c>
      <c r="DA574" s="61">
        <f t="shared" si="454"/>
        <v>0</v>
      </c>
      <c r="DB574" s="2" t="s">
        <v>86</v>
      </c>
      <c r="DC574" s="2" t="s">
        <v>86</v>
      </c>
      <c r="DD574" s="2" t="s">
        <v>142</v>
      </c>
      <c r="DE574" s="2" t="s">
        <v>264</v>
      </c>
      <c r="DF574" s="3" t="s">
        <v>86</v>
      </c>
      <c r="DG574" s="62">
        <v>42961</v>
      </c>
      <c r="EC574" s="60" t="str">
        <f>VLOOKUP($M574,[1]Detail!$M:$BO,1,0)</f>
        <v>JD81-5E211-CB</v>
      </c>
      <c r="ED574" s="60">
        <f>VLOOKUP($M574,[1]Detail!$M:$BO,22,0)</f>
        <v>-397.41999999999996</v>
      </c>
      <c r="EE574" s="60">
        <f>VLOOKUP($M574,[1]Detail!$M:$BO,42,0)</f>
        <v>0</v>
      </c>
      <c r="EF574" s="60" t="str">
        <f>VLOOKUP($M574,[1]Detail!$M:$BO,45,0)</f>
        <v>incl. in above</v>
      </c>
      <c r="EH574" s="60">
        <f t="shared" si="486"/>
        <v>0</v>
      </c>
      <c r="EI574" s="60">
        <f t="shared" si="487"/>
        <v>0</v>
      </c>
      <c r="EJ574" s="60" t="e">
        <f t="shared" si="488"/>
        <v>#VALUE!</v>
      </c>
    </row>
    <row r="575" spans="2:140" ht="12.75" hidden="1" customHeight="1">
      <c r="B575" s="99" t="s">
        <v>1078</v>
      </c>
      <c r="C575" s="22" t="s">
        <v>1079</v>
      </c>
      <c r="D575" s="22" t="s">
        <v>1080</v>
      </c>
      <c r="E575" s="2" t="s">
        <v>1005</v>
      </c>
      <c r="F575" s="2" t="s">
        <v>330</v>
      </c>
      <c r="G575" s="2" t="s">
        <v>339</v>
      </c>
      <c r="J575" s="22" t="s">
        <v>600</v>
      </c>
      <c r="K575" s="23" t="s">
        <v>1081</v>
      </c>
      <c r="L575" s="22" t="s">
        <v>1082</v>
      </c>
      <c r="M575" s="51" t="str">
        <f t="shared" si="468"/>
        <v>JX61-5K291-DC</v>
      </c>
      <c r="O575" s="94">
        <v>0</v>
      </c>
      <c r="P575" s="94">
        <v>0</v>
      </c>
      <c r="Q575" s="94">
        <v>0</v>
      </c>
      <c r="R575" s="94">
        <v>0</v>
      </c>
      <c r="S575" s="94">
        <v>1</v>
      </c>
      <c r="T575" s="94">
        <v>1</v>
      </c>
      <c r="U575" s="94">
        <v>0</v>
      </c>
      <c r="V575" s="94">
        <v>1</v>
      </c>
      <c r="W575" s="64">
        <f t="shared" si="444"/>
        <v>0.28000000000000003</v>
      </c>
      <c r="Y575" s="8">
        <v>-32.840000000000003</v>
      </c>
      <c r="Z575" s="8">
        <v>-0.97</v>
      </c>
      <c r="AA575" s="8">
        <v>-1.47</v>
      </c>
      <c r="AB575" s="8">
        <v>0</v>
      </c>
      <c r="AC575" s="8">
        <v>0</v>
      </c>
      <c r="AD575" s="8">
        <f t="shared" si="479"/>
        <v>-35.28</v>
      </c>
      <c r="AE575" s="2" t="s">
        <v>84</v>
      </c>
      <c r="AG575" s="8" t="s">
        <v>1083</v>
      </c>
      <c r="AH575" s="8"/>
      <c r="AJ575" s="70"/>
      <c r="AK575" s="70"/>
      <c r="AL575" s="72"/>
      <c r="AM575" s="22"/>
      <c r="AO575" s="22" t="s">
        <v>600</v>
      </c>
      <c r="AP575" s="85" t="s">
        <v>1081</v>
      </c>
      <c r="AQ575" s="22" t="s">
        <v>758</v>
      </c>
      <c r="AR575" s="51" t="str">
        <f t="shared" si="481"/>
        <v>JX61-5K291-DB</v>
      </c>
      <c r="AS575" s="3"/>
      <c r="AT575" s="94">
        <v>0</v>
      </c>
      <c r="AU575" s="94">
        <v>0</v>
      </c>
      <c r="AV575" s="94">
        <v>0</v>
      </c>
      <c r="AW575" s="94">
        <v>0</v>
      </c>
      <c r="AX575" s="94">
        <v>1</v>
      </c>
      <c r="AY575" s="94">
        <v>1</v>
      </c>
      <c r="AZ575" s="94">
        <v>0</v>
      </c>
      <c r="BA575" s="94">
        <v>1</v>
      </c>
      <c r="BB575" s="64">
        <f t="shared" si="485"/>
        <v>0.28000000000000003</v>
      </c>
      <c r="BD575" s="60">
        <v>-28.71</v>
      </c>
      <c r="BE575" s="60">
        <v>-0.97</v>
      </c>
      <c r="BF575" s="95">
        <v>-1.47</v>
      </c>
      <c r="BG575" s="95"/>
      <c r="BH575" s="95"/>
      <c r="BI575" s="8">
        <f t="shared" si="467"/>
        <v>-31.15</v>
      </c>
      <c r="BJ575" s="2" t="s">
        <v>91</v>
      </c>
      <c r="BL575" s="70" t="s">
        <v>1083</v>
      </c>
      <c r="BM575" s="70"/>
      <c r="BO575" s="70"/>
      <c r="BP575" s="70"/>
      <c r="BQ575" s="72"/>
      <c r="BS575" s="61">
        <f t="shared" si="446"/>
        <v>-4.1300000000000026</v>
      </c>
      <c r="BT575" s="61">
        <f t="shared" si="447"/>
        <v>0</v>
      </c>
      <c r="BU575" s="61">
        <f t="shared" si="491"/>
        <v>0</v>
      </c>
      <c r="BV575" s="61">
        <f t="shared" si="491"/>
        <v>0</v>
      </c>
      <c r="BW575" s="61">
        <f t="shared" si="491"/>
        <v>0</v>
      </c>
      <c r="BX575" s="61">
        <f t="shared" si="491"/>
        <v>-4.1300000000000026</v>
      </c>
      <c r="BY575" s="61" t="s">
        <v>91</v>
      </c>
      <c r="CA575" s="61">
        <f t="shared" si="492"/>
        <v>0</v>
      </c>
      <c r="CB575" s="61">
        <f t="shared" si="492"/>
        <v>0</v>
      </c>
      <c r="CC575" s="61">
        <f t="shared" si="492"/>
        <v>0</v>
      </c>
      <c r="CD575" s="61">
        <f t="shared" si="492"/>
        <v>0</v>
      </c>
      <c r="CE575" s="61">
        <f t="shared" si="492"/>
        <v>-0.62133293214984242</v>
      </c>
      <c r="CF575" s="61">
        <f t="shared" si="492"/>
        <v>-0.62133293214984242</v>
      </c>
      <c r="CG575" s="61">
        <f t="shared" si="492"/>
        <v>0</v>
      </c>
      <c r="CH575" s="61">
        <f t="shared" si="489"/>
        <v>-0.62133293214984242</v>
      </c>
      <c r="CI575" s="61">
        <f t="shared" si="450"/>
        <v>-0.17397322100195586</v>
      </c>
      <c r="CJ575" s="61"/>
      <c r="CK575" s="61">
        <f t="shared" si="493"/>
        <v>0</v>
      </c>
      <c r="CL575" s="61">
        <f t="shared" si="493"/>
        <v>0</v>
      </c>
      <c r="CM575" s="61">
        <f t="shared" si="493"/>
        <v>0</v>
      </c>
      <c r="CN575" s="61">
        <f t="shared" si="493"/>
        <v>0</v>
      </c>
      <c r="CO575" s="61">
        <f t="shared" si="493"/>
        <v>-0.62133293214984242</v>
      </c>
      <c r="CP575" s="61">
        <f t="shared" si="493"/>
        <v>-0.62133293214984242</v>
      </c>
      <c r="CQ575" s="61">
        <f t="shared" si="493"/>
        <v>0</v>
      </c>
      <c r="CR575" s="61">
        <f t="shared" si="490"/>
        <v>-0.62133293214984242</v>
      </c>
      <c r="CS575" s="61">
        <f t="shared" si="452"/>
        <v>-0.17397322100195586</v>
      </c>
      <c r="CT575" s="61">
        <f t="shared" si="453"/>
        <v>-1.1564000000000008</v>
      </c>
      <c r="CV575" s="61">
        <f t="shared" si="480"/>
        <v>0</v>
      </c>
      <c r="CW575" s="61">
        <f t="shared" si="433"/>
        <v>0</v>
      </c>
      <c r="CX575" s="61"/>
      <c r="CY575" s="61">
        <f t="shared" si="428"/>
        <v>0</v>
      </c>
      <c r="CZ575" s="61">
        <f t="shared" si="454"/>
        <v>0</v>
      </c>
      <c r="DA575" s="61">
        <f t="shared" si="454"/>
        <v>0</v>
      </c>
      <c r="DB575" s="2" t="s">
        <v>134</v>
      </c>
      <c r="DC575" s="2" t="s">
        <v>85</v>
      </c>
      <c r="DD575" s="2" t="s">
        <v>142</v>
      </c>
      <c r="DE575" s="2" t="s">
        <v>264</v>
      </c>
      <c r="DG575" s="62"/>
      <c r="DZ575" s="3" t="e">
        <v>#N/A</v>
      </c>
      <c r="EC575" s="60"/>
      <c r="ED575" s="60"/>
      <c r="EE575" s="60"/>
      <c r="EF575" s="60"/>
    </row>
    <row r="576" spans="2:140" ht="12.75" hidden="1" customHeight="1">
      <c r="B576" s="115" t="s">
        <v>1084</v>
      </c>
      <c r="C576" s="22" t="s">
        <v>1085</v>
      </c>
      <c r="D576" s="22" t="s">
        <v>1086</v>
      </c>
      <c r="E576" s="2" t="s">
        <v>1005</v>
      </c>
      <c r="F576" s="2" t="s">
        <v>330</v>
      </c>
      <c r="G576" s="2" t="s">
        <v>1087</v>
      </c>
      <c r="J576" s="22" t="s">
        <v>1074</v>
      </c>
      <c r="K576" s="23" t="s">
        <v>1088</v>
      </c>
      <c r="L576" s="22" t="s">
        <v>1089</v>
      </c>
      <c r="M576" s="51" t="str">
        <f t="shared" si="468"/>
        <v>JX61-5K291-DD</v>
      </c>
      <c r="O576" s="94">
        <v>0</v>
      </c>
      <c r="P576" s="94">
        <v>0</v>
      </c>
      <c r="Q576" s="94">
        <v>0</v>
      </c>
      <c r="R576" s="94">
        <v>0</v>
      </c>
      <c r="S576" s="94">
        <v>1</v>
      </c>
      <c r="T576" s="94">
        <v>1</v>
      </c>
      <c r="U576" s="94">
        <v>0</v>
      </c>
      <c r="V576" s="94">
        <v>1</v>
      </c>
      <c r="W576" s="64">
        <f t="shared" si="444"/>
        <v>0.28000000000000003</v>
      </c>
      <c r="Y576" s="8">
        <f>-1.92-32.84</f>
        <v>-34.760000000000005</v>
      </c>
      <c r="Z576" s="8">
        <v>-0.97</v>
      </c>
      <c r="AA576" s="8">
        <v>-1.47</v>
      </c>
      <c r="AB576" s="8">
        <v>0</v>
      </c>
      <c r="AC576" s="8">
        <v>0</v>
      </c>
      <c r="AD576" s="8">
        <f t="shared" si="479"/>
        <v>-37.200000000000003</v>
      </c>
      <c r="AE576" s="2" t="s">
        <v>91</v>
      </c>
      <c r="AG576" s="8" t="s">
        <v>1090</v>
      </c>
      <c r="AH576" s="8"/>
      <c r="AJ576" s="70"/>
      <c r="AK576" s="70"/>
      <c r="AL576" s="72"/>
      <c r="AM576" s="22"/>
      <c r="AO576" s="22" t="s">
        <v>1074</v>
      </c>
      <c r="AP576" s="85" t="s">
        <v>1088</v>
      </c>
      <c r="AQ576" s="22" t="s">
        <v>1091</v>
      </c>
      <c r="AR576" s="51" t="str">
        <f>TRIM(AO576)&amp;"-"&amp;TRIM(AP576)&amp;"-"&amp;TRIM(AQ576)</f>
        <v>JX61-5K291-DC</v>
      </c>
      <c r="AS576" s="3"/>
      <c r="AT576" s="94">
        <v>0</v>
      </c>
      <c r="AU576" s="94">
        <v>0</v>
      </c>
      <c r="AV576" s="94">
        <v>0</v>
      </c>
      <c r="AW576" s="94">
        <v>0</v>
      </c>
      <c r="AX576" s="94">
        <v>1</v>
      </c>
      <c r="AY576" s="94">
        <v>1</v>
      </c>
      <c r="AZ576" s="94">
        <v>0</v>
      </c>
      <c r="BA576" s="94">
        <v>1</v>
      </c>
      <c r="BB576" s="64">
        <f t="shared" si="485"/>
        <v>0.28000000000000003</v>
      </c>
      <c r="BD576" s="113">
        <v>-32.840000000000003</v>
      </c>
      <c r="BE576" s="113">
        <v>-0.97</v>
      </c>
      <c r="BF576" s="114">
        <v>-1.47</v>
      </c>
      <c r="BG576" s="114">
        <v>0</v>
      </c>
      <c r="BH576" s="114">
        <v>0</v>
      </c>
      <c r="BI576" s="8">
        <f>SUM(BD576:BH576)</f>
        <v>-35.28</v>
      </c>
      <c r="BJ576" s="2" t="s">
        <v>91</v>
      </c>
      <c r="BL576" s="70" t="s">
        <v>1090</v>
      </c>
      <c r="BM576" s="70"/>
      <c r="BO576" s="70"/>
      <c r="BP576" s="70"/>
      <c r="BQ576" s="72"/>
      <c r="BS576" s="61">
        <f t="shared" si="446"/>
        <v>-1.9200000000000017</v>
      </c>
      <c r="BT576" s="61">
        <f t="shared" si="447"/>
        <v>0</v>
      </c>
      <c r="BU576" s="61">
        <f t="shared" si="491"/>
        <v>0</v>
      </c>
      <c r="BV576" s="61">
        <f t="shared" si="491"/>
        <v>0</v>
      </c>
      <c r="BW576" s="61">
        <f t="shared" si="491"/>
        <v>0</v>
      </c>
      <c r="BX576" s="61">
        <f t="shared" si="491"/>
        <v>-1.9200000000000017</v>
      </c>
      <c r="BY576" s="61" t="s">
        <v>91</v>
      </c>
      <c r="CA576" s="61">
        <f t="shared" si="492"/>
        <v>0</v>
      </c>
      <c r="CB576" s="61">
        <f t="shared" si="492"/>
        <v>0</v>
      </c>
      <c r="CC576" s="61">
        <f t="shared" si="492"/>
        <v>0</v>
      </c>
      <c r="CD576" s="61">
        <f t="shared" si="492"/>
        <v>0</v>
      </c>
      <c r="CE576" s="61">
        <f t="shared" si="492"/>
        <v>-0.28885211373552006</v>
      </c>
      <c r="CF576" s="61">
        <f t="shared" si="492"/>
        <v>-0.28885211373552006</v>
      </c>
      <c r="CG576" s="61">
        <f t="shared" si="492"/>
        <v>0</v>
      </c>
      <c r="CH576" s="61">
        <f t="shared" si="489"/>
        <v>-0.28885211373552006</v>
      </c>
      <c r="CI576" s="61">
        <f t="shared" si="450"/>
        <v>-8.0878591845945619E-2</v>
      </c>
      <c r="CJ576" s="61"/>
      <c r="CK576" s="61">
        <f t="shared" si="493"/>
        <v>0</v>
      </c>
      <c r="CL576" s="61">
        <f t="shared" si="493"/>
        <v>0</v>
      </c>
      <c r="CM576" s="61">
        <f t="shared" si="493"/>
        <v>0</v>
      </c>
      <c r="CN576" s="61">
        <f t="shared" si="493"/>
        <v>0</v>
      </c>
      <c r="CO576" s="61">
        <f t="shared" si="493"/>
        <v>-0.28885211373552006</v>
      </c>
      <c r="CP576" s="61">
        <f t="shared" si="493"/>
        <v>-0.28885211373552006</v>
      </c>
      <c r="CQ576" s="61">
        <f t="shared" si="493"/>
        <v>0</v>
      </c>
      <c r="CR576" s="61">
        <f t="shared" si="490"/>
        <v>-0.28885211373552006</v>
      </c>
      <c r="CS576" s="61">
        <f t="shared" si="452"/>
        <v>-8.0878591845945619E-2</v>
      </c>
      <c r="CT576" s="61">
        <f t="shared" si="453"/>
        <v>-0.53760000000000052</v>
      </c>
      <c r="CV576" s="61">
        <f t="shared" si="480"/>
        <v>0</v>
      </c>
      <c r="CW576" s="61">
        <f>SUM(AH576)-SUM(BM576)</f>
        <v>0</v>
      </c>
      <c r="CX576" s="61"/>
      <c r="CY576" s="61">
        <f t="shared" ref="CY576:DA577" si="494">SUM(AJ576)-SUM(BO576)</f>
        <v>0</v>
      </c>
      <c r="CZ576" s="61">
        <f t="shared" si="494"/>
        <v>0</v>
      </c>
      <c r="DA576" s="61">
        <f t="shared" si="494"/>
        <v>0</v>
      </c>
      <c r="DB576" s="2" t="s">
        <v>85</v>
      </c>
      <c r="DC576" s="2" t="s">
        <v>134</v>
      </c>
      <c r="DD576" s="2" t="s">
        <v>142</v>
      </c>
      <c r="DE576" s="2" t="s">
        <v>1092</v>
      </c>
      <c r="DF576" s="3" t="s">
        <v>86</v>
      </c>
      <c r="DG576" s="62">
        <v>43059</v>
      </c>
      <c r="EC576" s="60"/>
      <c r="ED576" s="60"/>
      <c r="EE576" s="60"/>
      <c r="EF576" s="60"/>
    </row>
    <row r="577" spans="2:140" ht="12.75" hidden="1" customHeight="1">
      <c r="B577" s="115" t="s">
        <v>1093</v>
      </c>
      <c r="C577" s="22" t="s">
        <v>1085</v>
      </c>
      <c r="D577" s="22" t="s">
        <v>1086</v>
      </c>
      <c r="E577" s="2" t="s">
        <v>1005</v>
      </c>
      <c r="F577" s="2" t="s">
        <v>330</v>
      </c>
      <c r="G577" s="2" t="s">
        <v>1087</v>
      </c>
      <c r="J577" s="22" t="s">
        <v>1074</v>
      </c>
      <c r="K577" s="23" t="s">
        <v>1088</v>
      </c>
      <c r="L577" s="22" t="s">
        <v>1094</v>
      </c>
      <c r="M577" s="51" t="str">
        <f t="shared" si="468"/>
        <v>JX61-5K291-DE</v>
      </c>
      <c r="O577" s="94">
        <v>0</v>
      </c>
      <c r="P577" s="94">
        <v>0</v>
      </c>
      <c r="Q577" s="94">
        <v>0</v>
      </c>
      <c r="R577" s="94">
        <v>0</v>
      </c>
      <c r="S577" s="94">
        <v>1</v>
      </c>
      <c r="T577" s="94">
        <v>1</v>
      </c>
      <c r="U577" s="94">
        <v>0</v>
      </c>
      <c r="V577" s="94">
        <v>1</v>
      </c>
      <c r="W577" s="64">
        <f t="shared" si="444"/>
        <v>0.28000000000000003</v>
      </c>
      <c r="Y577" s="8">
        <f>-1.92-32.84</f>
        <v>-34.760000000000005</v>
      </c>
      <c r="Z577" s="8">
        <v>-0.97</v>
      </c>
      <c r="AA577" s="8">
        <v>-1.47</v>
      </c>
      <c r="AB577" s="8">
        <v>0</v>
      </c>
      <c r="AC577" s="8">
        <v>0</v>
      </c>
      <c r="AD577" s="8">
        <f t="shared" si="479"/>
        <v>-37.200000000000003</v>
      </c>
      <c r="AE577" s="2" t="s">
        <v>91</v>
      </c>
      <c r="AG577" s="8" t="s">
        <v>1090</v>
      </c>
      <c r="AH577" s="8"/>
      <c r="AJ577" s="70"/>
      <c r="AK577" s="70"/>
      <c r="AL577" s="72"/>
      <c r="AM577" s="22" t="s">
        <v>1095</v>
      </c>
      <c r="AO577" s="22" t="s">
        <v>1074</v>
      </c>
      <c r="AP577" s="85" t="s">
        <v>1088</v>
      </c>
      <c r="AQ577" s="22" t="s">
        <v>1096</v>
      </c>
      <c r="AR577" s="51" t="str">
        <f>TRIM(AO577)&amp;"-"&amp;TRIM(AP577)&amp;"-"&amp;TRIM(AQ577)</f>
        <v>JX61-5K291-DD</v>
      </c>
      <c r="AS577" s="3"/>
      <c r="AT577" s="94">
        <v>0</v>
      </c>
      <c r="AU577" s="94">
        <v>0</v>
      </c>
      <c r="AV577" s="94">
        <v>0</v>
      </c>
      <c r="AW577" s="94">
        <v>0</v>
      </c>
      <c r="AX577" s="94">
        <v>1</v>
      </c>
      <c r="AY577" s="94">
        <v>1</v>
      </c>
      <c r="AZ577" s="94">
        <v>0</v>
      </c>
      <c r="BA577" s="94">
        <v>1</v>
      </c>
      <c r="BB577" s="64">
        <f t="shared" si="485"/>
        <v>0.28000000000000003</v>
      </c>
      <c r="BD577" s="113">
        <v>-34.760000000000005</v>
      </c>
      <c r="BE577" s="113">
        <v>-0.97</v>
      </c>
      <c r="BF577" s="114">
        <v>-1.47</v>
      </c>
      <c r="BG577" s="114">
        <v>0</v>
      </c>
      <c r="BH577" s="114">
        <v>0</v>
      </c>
      <c r="BI577" s="8">
        <f>SUM(BD577:BH577)</f>
        <v>-37.200000000000003</v>
      </c>
      <c r="BJ577" s="2" t="s">
        <v>91</v>
      </c>
      <c r="BL577" s="70" t="s">
        <v>1090</v>
      </c>
      <c r="BM577" s="70"/>
      <c r="BO577" s="70"/>
      <c r="BP577" s="70"/>
      <c r="BQ577" s="72"/>
      <c r="BS577" s="61">
        <f t="shared" si="446"/>
        <v>0</v>
      </c>
      <c r="BT577" s="61">
        <f t="shared" si="447"/>
        <v>0</v>
      </c>
      <c r="BU577" s="61">
        <f t="shared" si="491"/>
        <v>0</v>
      </c>
      <c r="BV577" s="61">
        <f t="shared" si="491"/>
        <v>0</v>
      </c>
      <c r="BW577" s="61">
        <f t="shared" si="491"/>
        <v>0</v>
      </c>
      <c r="BX577" s="61">
        <f t="shared" si="491"/>
        <v>0</v>
      </c>
      <c r="BY577" s="61" t="s">
        <v>91</v>
      </c>
      <c r="CA577" s="61">
        <f t="shared" si="492"/>
        <v>0</v>
      </c>
      <c r="CB577" s="61">
        <f t="shared" si="492"/>
        <v>0</v>
      </c>
      <c r="CC577" s="61">
        <f t="shared" si="492"/>
        <v>0</v>
      </c>
      <c r="CD577" s="61">
        <f t="shared" si="492"/>
        <v>0</v>
      </c>
      <c r="CE577" s="61">
        <f t="shared" si="492"/>
        <v>0</v>
      </c>
      <c r="CF577" s="61">
        <f t="shared" si="492"/>
        <v>0</v>
      </c>
      <c r="CG577" s="61">
        <f t="shared" si="492"/>
        <v>0</v>
      </c>
      <c r="CH577" s="61">
        <f t="shared" si="489"/>
        <v>0</v>
      </c>
      <c r="CI577" s="61">
        <f t="shared" si="450"/>
        <v>0</v>
      </c>
      <c r="CJ577" s="61"/>
      <c r="CK577" s="61">
        <f t="shared" si="493"/>
        <v>0</v>
      </c>
      <c r="CL577" s="61">
        <f t="shared" si="493"/>
        <v>0</v>
      </c>
      <c r="CM577" s="61">
        <f t="shared" si="493"/>
        <v>0</v>
      </c>
      <c r="CN577" s="61">
        <f t="shared" si="493"/>
        <v>0</v>
      </c>
      <c r="CO577" s="61">
        <f t="shared" si="493"/>
        <v>0</v>
      </c>
      <c r="CP577" s="61">
        <f t="shared" si="493"/>
        <v>0</v>
      </c>
      <c r="CQ577" s="61">
        <f t="shared" si="493"/>
        <v>0</v>
      </c>
      <c r="CR577" s="61">
        <f t="shared" si="490"/>
        <v>0</v>
      </c>
      <c r="CS577" s="61">
        <f t="shared" si="452"/>
        <v>0</v>
      </c>
      <c r="CT577" s="61">
        <f t="shared" si="453"/>
        <v>0</v>
      </c>
      <c r="CV577" s="61">
        <f t="shared" si="480"/>
        <v>0</v>
      </c>
      <c r="CW577" s="61">
        <f>SUM(AH577)-SUM(BM577)</f>
        <v>0</v>
      </c>
      <c r="CX577" s="61"/>
      <c r="CY577" s="61">
        <f t="shared" si="494"/>
        <v>0</v>
      </c>
      <c r="CZ577" s="61">
        <f t="shared" si="494"/>
        <v>0</v>
      </c>
      <c r="DA577" s="61">
        <f t="shared" si="494"/>
        <v>0</v>
      </c>
      <c r="DB577" s="2" t="s">
        <v>102</v>
      </c>
      <c r="DC577" s="2" t="s">
        <v>134</v>
      </c>
      <c r="DD577" s="2" t="s">
        <v>142</v>
      </c>
      <c r="DE577" s="2" t="s">
        <v>169</v>
      </c>
      <c r="DF577" s="3" t="s">
        <v>86</v>
      </c>
      <c r="DG577" s="62">
        <v>43059</v>
      </c>
      <c r="EC577" s="60" t="str">
        <f>VLOOKUP($M577,[1]Detail!$M:$BO,1,0)</f>
        <v>JX61-5K291-DE</v>
      </c>
      <c r="ED577" s="60">
        <f>VLOOKUP($M577,[1]Detail!$M:$BO,22,0)</f>
        <v>-37.200000000000003</v>
      </c>
      <c r="EE577" s="60" t="str">
        <f>VLOOKUP($M577,[1]Detail!$M:$BO,42,0)</f>
        <v>Tooling paied by C519</v>
      </c>
      <c r="EF577" s="60">
        <f>VLOOKUP($M577,[1]Detail!$M:$BO,45,0)</f>
        <v>0</v>
      </c>
      <c r="EH577" s="60">
        <f t="shared" ref="EH577:EH578" si="495">ED577-AD577</f>
        <v>0</v>
      </c>
      <c r="EI577" s="60" t="e">
        <f t="shared" ref="EI577:EI578" si="496">EE577-AG577</f>
        <v>#VALUE!</v>
      </c>
      <c r="EJ577" s="60">
        <f t="shared" ref="EJ577:EJ578" si="497">EF577-AJ577</f>
        <v>0</v>
      </c>
    </row>
    <row r="578" spans="2:140" ht="12.75" hidden="1" customHeight="1">
      <c r="B578" s="99" t="s">
        <v>1097</v>
      </c>
      <c r="C578" s="22" t="s">
        <v>931</v>
      </c>
      <c r="D578" s="22" t="s">
        <v>932</v>
      </c>
      <c r="E578" s="2" t="str">
        <f>VLOOKUP($C578,[1]Detail!$C:$AK,6,0)</f>
        <v>PMT1</v>
      </c>
      <c r="F578" s="2" t="str">
        <f>VLOOKUP($C578,[1]Detail!$C:$AK,7,0)</f>
        <v>TH</v>
      </c>
      <c r="G578" s="2" t="str">
        <f>VLOOKUP($C578,[1]Detail!$C:$AK,5,0)</f>
        <v>D</v>
      </c>
      <c r="J578" s="22" t="s">
        <v>126</v>
      </c>
      <c r="K578" s="23" t="s">
        <v>933</v>
      </c>
      <c r="L578" s="22" t="s">
        <v>234</v>
      </c>
      <c r="M578" s="51" t="str">
        <f t="shared" si="468"/>
        <v>JD8B-R43156 -AC</v>
      </c>
      <c r="O578" s="22">
        <v>0</v>
      </c>
      <c r="P578" s="22">
        <v>0</v>
      </c>
      <c r="Q578" s="22">
        <v>0</v>
      </c>
      <c r="R578" s="22">
        <v>0</v>
      </c>
      <c r="S578" s="22">
        <v>1</v>
      </c>
      <c r="T578" s="22">
        <v>1</v>
      </c>
      <c r="U578" s="22">
        <v>0</v>
      </c>
      <c r="V578" s="22">
        <v>1</v>
      </c>
      <c r="W578" s="64">
        <f t="shared" si="444"/>
        <v>0.28000000000000003</v>
      </c>
      <c r="Y578" s="8">
        <f>-7.96*0-8.16</f>
        <v>-8.16</v>
      </c>
      <c r="Z578" s="8">
        <v>-0.15</v>
      </c>
      <c r="AA578" s="8">
        <f>-0.18-0.1</f>
        <v>-0.28000000000000003</v>
      </c>
      <c r="AB578" s="8">
        <v>0</v>
      </c>
      <c r="AC578" s="8">
        <v>0</v>
      </c>
      <c r="AD578" s="8">
        <f t="shared" si="479"/>
        <v>-8.59</v>
      </c>
      <c r="AE578" s="2" t="s">
        <v>91</v>
      </c>
      <c r="AG578" s="8">
        <f>-110000*0-210000</f>
        <v>-210000</v>
      </c>
      <c r="AH578" s="8">
        <f>-110000*0-210000</f>
        <v>-210000</v>
      </c>
      <c r="AI578" s="6"/>
      <c r="AJ578" s="70">
        <v>0</v>
      </c>
      <c r="AK578" s="70">
        <v>0</v>
      </c>
      <c r="AL578" s="72">
        <v>0</v>
      </c>
      <c r="AM578" s="22"/>
      <c r="AO578" s="22" t="s">
        <v>126</v>
      </c>
      <c r="AP578" s="85" t="s">
        <v>933</v>
      </c>
      <c r="AQ578" s="22" t="s">
        <v>132</v>
      </c>
      <c r="AR578" s="51" t="str">
        <f t="shared" si="481"/>
        <v>JD8B-R43156 -AB</v>
      </c>
      <c r="AS578" s="3"/>
      <c r="AT578" s="22">
        <v>0</v>
      </c>
      <c r="AU578" s="22">
        <v>0</v>
      </c>
      <c r="AV578" s="22">
        <v>0</v>
      </c>
      <c r="AW578" s="22">
        <v>0</v>
      </c>
      <c r="AX578" s="22">
        <v>1</v>
      </c>
      <c r="AY578" s="22">
        <v>1</v>
      </c>
      <c r="AZ578" s="22">
        <v>0</v>
      </c>
      <c r="BA578" s="22">
        <v>1</v>
      </c>
      <c r="BB578" s="64">
        <f t="shared" si="485"/>
        <v>0.28000000000000003</v>
      </c>
      <c r="BD578" s="60">
        <f>-7.96*0-8.16</f>
        <v>-8.16</v>
      </c>
      <c r="BE578" s="60">
        <v>-0.15</v>
      </c>
      <c r="BF578" s="95">
        <v>-0.1</v>
      </c>
      <c r="BG578" s="95">
        <v>0</v>
      </c>
      <c r="BH578" s="95">
        <v>0</v>
      </c>
      <c r="BI578" s="8">
        <f t="shared" si="467"/>
        <v>-8.41</v>
      </c>
      <c r="BJ578" s="2" t="s">
        <v>91</v>
      </c>
      <c r="BL578" s="70">
        <f>-110000*0-210000</f>
        <v>-210000</v>
      </c>
      <c r="BM578" s="70">
        <f>-110000*0-210000</f>
        <v>-210000</v>
      </c>
      <c r="BO578" s="70">
        <v>0</v>
      </c>
      <c r="BP578" s="70">
        <v>0</v>
      </c>
      <c r="BQ578" s="72"/>
      <c r="BS578" s="61">
        <f t="shared" si="446"/>
        <v>0</v>
      </c>
      <c r="BT578" s="61">
        <f t="shared" si="447"/>
        <v>0</v>
      </c>
      <c r="BU578" s="61">
        <f t="shared" si="491"/>
        <v>-0.18000000000000002</v>
      </c>
      <c r="BV578" s="61">
        <f t="shared" si="491"/>
        <v>0</v>
      </c>
      <c r="BW578" s="61">
        <f t="shared" si="491"/>
        <v>0</v>
      </c>
      <c r="BX578" s="61">
        <f t="shared" si="491"/>
        <v>-0.17999999999999972</v>
      </c>
      <c r="BY578" s="61" t="s">
        <v>91</v>
      </c>
      <c r="CA578" s="61">
        <f t="shared" si="492"/>
        <v>0</v>
      </c>
      <c r="CB578" s="61">
        <f t="shared" si="492"/>
        <v>0</v>
      </c>
      <c r="CC578" s="61">
        <f t="shared" si="492"/>
        <v>0</v>
      </c>
      <c r="CD578" s="61">
        <f t="shared" si="492"/>
        <v>0</v>
      </c>
      <c r="CE578" s="61">
        <f t="shared" si="492"/>
        <v>0</v>
      </c>
      <c r="CF578" s="61">
        <f t="shared" si="492"/>
        <v>0</v>
      </c>
      <c r="CG578" s="61">
        <f t="shared" si="492"/>
        <v>0</v>
      </c>
      <c r="CH578" s="61">
        <f t="shared" si="489"/>
        <v>0</v>
      </c>
      <c r="CI578" s="61">
        <f t="shared" si="450"/>
        <v>0</v>
      </c>
      <c r="CJ578" s="61"/>
      <c r="CK578" s="61">
        <f t="shared" si="493"/>
        <v>0</v>
      </c>
      <c r="CL578" s="61">
        <f t="shared" si="493"/>
        <v>0</v>
      </c>
      <c r="CM578" s="61">
        <f t="shared" si="493"/>
        <v>0</v>
      </c>
      <c r="CN578" s="61">
        <f t="shared" si="493"/>
        <v>0</v>
      </c>
      <c r="CO578" s="61">
        <f t="shared" si="493"/>
        <v>-2.7079885662704938E-2</v>
      </c>
      <c r="CP578" s="61">
        <f t="shared" si="493"/>
        <v>-2.7079885662704938E-2</v>
      </c>
      <c r="CQ578" s="61">
        <f t="shared" si="493"/>
        <v>0</v>
      </c>
      <c r="CR578" s="61">
        <f t="shared" si="490"/>
        <v>-2.7079885662704938E-2</v>
      </c>
      <c r="CS578" s="61">
        <f t="shared" si="452"/>
        <v>-7.5823679855573835E-3</v>
      </c>
      <c r="CT578" s="61">
        <f t="shared" si="453"/>
        <v>-5.0399999999999931E-2</v>
      </c>
      <c r="CV578" s="61">
        <f t="shared" si="480"/>
        <v>0</v>
      </c>
      <c r="CW578" s="61">
        <f t="shared" si="433"/>
        <v>0</v>
      </c>
      <c r="CX578" s="61"/>
      <c r="CY578" s="61">
        <f t="shared" si="428"/>
        <v>0</v>
      </c>
      <c r="CZ578" s="61">
        <f t="shared" si="454"/>
        <v>0</v>
      </c>
      <c r="DA578" s="61">
        <f t="shared" si="454"/>
        <v>0</v>
      </c>
      <c r="DB578" s="2" t="s">
        <v>86</v>
      </c>
      <c r="DC578" s="2" t="s">
        <v>85</v>
      </c>
      <c r="DD578" s="2" t="s">
        <v>142</v>
      </c>
      <c r="DE578" s="2" t="s">
        <v>264</v>
      </c>
      <c r="DG578" s="62"/>
      <c r="DZ578" s="3" t="e">
        <v>#N/A</v>
      </c>
      <c r="EC578" s="60" t="str">
        <f>VLOOKUP($M578,[1]Detail!$M:$BO,1,0)</f>
        <v>JD8B-R43156 -AC</v>
      </c>
      <c r="ED578" s="60">
        <f>VLOOKUP($M578,[1]Detail!$M:$BO,22,0)</f>
        <v>-8.59</v>
      </c>
      <c r="EE578" s="60">
        <f>VLOOKUP($M578,[1]Detail!$M:$BO,42,0)</f>
        <v>-210000</v>
      </c>
      <c r="EF578" s="60">
        <f>VLOOKUP($M578,[1]Detail!$M:$BO,45,0)</f>
        <v>0</v>
      </c>
      <c r="EH578" s="60">
        <f t="shared" si="495"/>
        <v>0</v>
      </c>
      <c r="EI578" s="60">
        <f t="shared" si="496"/>
        <v>0</v>
      </c>
      <c r="EJ578" s="60">
        <f t="shared" si="497"/>
        <v>0</v>
      </c>
    </row>
    <row r="579" spans="2:140" ht="12.75" hidden="1" customHeight="1">
      <c r="B579" s="115" t="s">
        <v>1098</v>
      </c>
      <c r="C579" s="22" t="s">
        <v>1099</v>
      </c>
      <c r="D579" s="22" t="s">
        <v>1100</v>
      </c>
      <c r="E579" s="2" t="s">
        <v>1005</v>
      </c>
      <c r="F579" s="2" t="s">
        <v>330</v>
      </c>
      <c r="G579" s="2" t="s">
        <v>1087</v>
      </c>
      <c r="J579" s="22" t="s">
        <v>286</v>
      </c>
      <c r="K579" s="23">
        <v>9600</v>
      </c>
      <c r="L579" s="22" t="s">
        <v>100</v>
      </c>
      <c r="M579" s="51" t="str">
        <f t="shared" si="468"/>
        <v>JD8G-9600-AA</v>
      </c>
      <c r="O579" s="94"/>
      <c r="P579" s="94"/>
      <c r="Q579" s="94"/>
      <c r="R579" s="94"/>
      <c r="S579" s="94"/>
      <c r="T579" s="94">
        <v>1</v>
      </c>
      <c r="U579" s="94"/>
      <c r="V579" s="94">
        <v>1</v>
      </c>
      <c r="W579" s="64">
        <f t="shared" si="444"/>
        <v>0.19</v>
      </c>
      <c r="Y579" s="8">
        <v>-49.72</v>
      </c>
      <c r="Z579" s="8">
        <v>-6.91</v>
      </c>
      <c r="AA579" s="8">
        <v>-5.0599999999999996</v>
      </c>
      <c r="AB579" s="8">
        <v>0</v>
      </c>
      <c r="AC579" s="8">
        <v>0</v>
      </c>
      <c r="AD579" s="8">
        <f t="shared" si="479"/>
        <v>-61.69</v>
      </c>
      <c r="AE579" s="2" t="s">
        <v>91</v>
      </c>
      <c r="AG579" s="8">
        <v>-350000</v>
      </c>
      <c r="AH579" s="8">
        <v>-350000</v>
      </c>
      <c r="AI579" s="6"/>
      <c r="AJ579" s="70"/>
      <c r="AK579" s="70"/>
      <c r="AL579" s="72"/>
      <c r="AM579" s="22"/>
      <c r="AO579" s="22" t="s">
        <v>1101</v>
      </c>
      <c r="AP579" s="85" t="s">
        <v>1102</v>
      </c>
      <c r="AQ579" s="22" t="s">
        <v>120</v>
      </c>
      <c r="AR579" s="51" t="str">
        <f t="shared" si="481"/>
        <v>ED81-9C662-BB</v>
      </c>
      <c r="AS579" s="3"/>
      <c r="AT579" s="94"/>
      <c r="AU579" s="94"/>
      <c r="AV579" s="94"/>
      <c r="AW579" s="94"/>
      <c r="AX579" s="94"/>
      <c r="AY579" s="94">
        <v>1</v>
      </c>
      <c r="AZ579" s="94"/>
      <c r="BA579" s="94">
        <v>1</v>
      </c>
      <c r="BB579" s="64">
        <f t="shared" si="485"/>
        <v>0.19</v>
      </c>
      <c r="BD579" s="60">
        <v>-97.22</v>
      </c>
      <c r="BE579" s="60">
        <v>-9.11</v>
      </c>
      <c r="BF579" s="95">
        <v>-5.0599999999999996</v>
      </c>
      <c r="BG579" s="95"/>
      <c r="BH579" s="95"/>
      <c r="BI579" s="8">
        <f t="shared" si="467"/>
        <v>-111.39</v>
      </c>
      <c r="BJ579" s="2" t="s">
        <v>91</v>
      </c>
      <c r="BL579" s="70">
        <v>0</v>
      </c>
      <c r="BM579" s="70">
        <v>0</v>
      </c>
      <c r="BO579" s="70">
        <v>0</v>
      </c>
      <c r="BP579" s="70">
        <v>0</v>
      </c>
      <c r="BQ579" s="72"/>
      <c r="BS579" s="61">
        <f t="shared" si="446"/>
        <v>47.5</v>
      </c>
      <c r="BT579" s="61">
        <f t="shared" si="447"/>
        <v>2.1999999999999993</v>
      </c>
      <c r="BU579" s="61">
        <f t="shared" si="491"/>
        <v>0</v>
      </c>
      <c r="BV579" s="61">
        <f t="shared" si="491"/>
        <v>0</v>
      </c>
      <c r="BW579" s="61">
        <f t="shared" si="491"/>
        <v>0</v>
      </c>
      <c r="BX579" s="61">
        <f t="shared" si="491"/>
        <v>49.7</v>
      </c>
      <c r="BY579" s="61" t="s">
        <v>91</v>
      </c>
      <c r="CA579" s="61">
        <f t="shared" si="492"/>
        <v>0</v>
      </c>
      <c r="CB579" s="61">
        <f t="shared" si="492"/>
        <v>0</v>
      </c>
      <c r="CC579" s="61">
        <f t="shared" si="492"/>
        <v>0</v>
      </c>
      <c r="CD579" s="61">
        <f t="shared" si="492"/>
        <v>0</v>
      </c>
      <c r="CE579" s="61">
        <f t="shared" si="492"/>
        <v>0</v>
      </c>
      <c r="CF579" s="61">
        <f t="shared" si="492"/>
        <v>7.1460809387693693</v>
      </c>
      <c r="CG579" s="61">
        <f t="shared" si="492"/>
        <v>0</v>
      </c>
      <c r="CH579" s="61">
        <f t="shared" si="489"/>
        <v>7.1460809387693693</v>
      </c>
      <c r="CI579" s="61">
        <f t="shared" si="450"/>
        <v>1.3577553783661802</v>
      </c>
      <c r="CJ579" s="61"/>
      <c r="CK579" s="61">
        <f t="shared" si="493"/>
        <v>0</v>
      </c>
      <c r="CL579" s="61">
        <f t="shared" si="493"/>
        <v>0</v>
      </c>
      <c r="CM579" s="61">
        <f t="shared" si="493"/>
        <v>0</v>
      </c>
      <c r="CN579" s="61">
        <f t="shared" si="493"/>
        <v>0</v>
      </c>
      <c r="CO579" s="61">
        <f t="shared" si="493"/>
        <v>0</v>
      </c>
      <c r="CP579" s="61">
        <f t="shared" si="493"/>
        <v>7.4770573190913199</v>
      </c>
      <c r="CQ579" s="61">
        <f t="shared" si="493"/>
        <v>0</v>
      </c>
      <c r="CR579" s="61">
        <f t="shared" si="490"/>
        <v>7.4770573190913199</v>
      </c>
      <c r="CS579" s="61">
        <f t="shared" si="452"/>
        <v>1.4206408906273511</v>
      </c>
      <c r="CT579" s="61">
        <f t="shared" si="453"/>
        <v>9.4430000000000032</v>
      </c>
      <c r="CV579" s="61">
        <f t="shared" si="480"/>
        <v>-350000</v>
      </c>
      <c r="CW579" s="61">
        <f t="shared" si="433"/>
        <v>-350000</v>
      </c>
      <c r="CX579" s="61"/>
      <c r="CY579" s="61">
        <f t="shared" si="428"/>
        <v>0</v>
      </c>
      <c r="CZ579" s="61">
        <f t="shared" si="454"/>
        <v>0</v>
      </c>
      <c r="DA579" s="61">
        <f t="shared" si="454"/>
        <v>0</v>
      </c>
      <c r="DB579" s="2" t="s">
        <v>85</v>
      </c>
      <c r="DC579" s="2" t="s">
        <v>86</v>
      </c>
      <c r="DD579" s="2" t="s">
        <v>142</v>
      </c>
      <c r="DE579" s="2" t="s">
        <v>264</v>
      </c>
      <c r="DF579" s="3" t="s">
        <v>86</v>
      </c>
      <c r="DG579" s="62">
        <v>42936</v>
      </c>
      <c r="EC579" s="60"/>
      <c r="ED579" s="60"/>
      <c r="EE579" s="60"/>
      <c r="EF579" s="60"/>
    </row>
    <row r="580" spans="2:140" ht="12.75" hidden="1" customHeight="1">
      <c r="B580" s="115" t="s">
        <v>1098</v>
      </c>
      <c r="C580" s="22" t="s">
        <v>1099</v>
      </c>
      <c r="D580" s="22" t="s">
        <v>1100</v>
      </c>
      <c r="E580" s="2" t="s">
        <v>1005</v>
      </c>
      <c r="F580" s="2" t="s">
        <v>330</v>
      </c>
      <c r="G580" s="2" t="s">
        <v>1087</v>
      </c>
      <c r="J580" s="22" t="s">
        <v>286</v>
      </c>
      <c r="K580" s="23">
        <v>9600</v>
      </c>
      <c r="L580" s="22" t="s">
        <v>306</v>
      </c>
      <c r="M580" s="51" t="str">
        <f t="shared" si="468"/>
        <v>JD8G-9600-FA</v>
      </c>
      <c r="O580" s="94"/>
      <c r="P580" s="94"/>
      <c r="Q580" s="94"/>
      <c r="R580" s="94"/>
      <c r="S580" s="94">
        <v>1</v>
      </c>
      <c r="T580" s="94"/>
      <c r="U580" s="94"/>
      <c r="V580" s="94"/>
      <c r="W580" s="64">
        <f t="shared" si="444"/>
        <v>0.09</v>
      </c>
      <c r="Y580" s="8">
        <v>-49.82</v>
      </c>
      <c r="Z580" s="8">
        <v>-6.91</v>
      </c>
      <c r="AA580" s="8">
        <v>-5.0599999999999996</v>
      </c>
      <c r="AB580" s="8">
        <v>0</v>
      </c>
      <c r="AC580" s="8">
        <v>0</v>
      </c>
      <c r="AD580" s="8">
        <f t="shared" si="479"/>
        <v>-61.790000000000006</v>
      </c>
      <c r="AE580" s="2" t="s">
        <v>91</v>
      </c>
      <c r="AG580" s="8">
        <v>-350000</v>
      </c>
      <c r="AH580" s="8">
        <v>-350000</v>
      </c>
      <c r="AI580" s="6"/>
      <c r="AJ580" s="70"/>
      <c r="AK580" s="70"/>
      <c r="AL580" s="72"/>
      <c r="AM580" s="22"/>
      <c r="AO580" s="22" t="s">
        <v>1101</v>
      </c>
      <c r="AP580" s="85" t="s">
        <v>1102</v>
      </c>
      <c r="AQ580" s="22" t="s">
        <v>132</v>
      </c>
      <c r="AR580" s="51" t="str">
        <f t="shared" si="481"/>
        <v>ED81-9C662-AB</v>
      </c>
      <c r="AS580" s="3"/>
      <c r="AT580" s="94"/>
      <c r="AU580" s="94"/>
      <c r="AV580" s="94"/>
      <c r="AW580" s="94"/>
      <c r="AX580" s="94">
        <v>1</v>
      </c>
      <c r="AY580" s="94"/>
      <c r="AZ580" s="94"/>
      <c r="BA580" s="94"/>
      <c r="BB580" s="64">
        <f t="shared" si="485"/>
        <v>0.09</v>
      </c>
      <c r="BD580" s="60">
        <v>-79.73</v>
      </c>
      <c r="BE580" s="60">
        <v>-7.73</v>
      </c>
      <c r="BF580" s="95">
        <v>-3.8</v>
      </c>
      <c r="BG580" s="95"/>
      <c r="BH580" s="95"/>
      <c r="BI580" s="8">
        <f t="shared" si="467"/>
        <v>-91.26</v>
      </c>
      <c r="BJ580" s="2" t="s">
        <v>91</v>
      </c>
      <c r="BL580" s="70">
        <v>0</v>
      </c>
      <c r="BM580" s="70">
        <v>0</v>
      </c>
      <c r="BO580" s="70">
        <v>0</v>
      </c>
      <c r="BP580" s="70">
        <v>0</v>
      </c>
      <c r="BQ580" s="72"/>
      <c r="BS580" s="61">
        <f t="shared" si="446"/>
        <v>29.910000000000004</v>
      </c>
      <c r="BT580" s="61">
        <f t="shared" si="447"/>
        <v>0.82000000000000028</v>
      </c>
      <c r="BU580" s="61">
        <f t="shared" si="491"/>
        <v>-1.2599999999999998</v>
      </c>
      <c r="BV580" s="61">
        <f t="shared" si="491"/>
        <v>0</v>
      </c>
      <c r="BW580" s="61">
        <f t="shared" si="491"/>
        <v>0</v>
      </c>
      <c r="BX580" s="61">
        <f t="shared" si="491"/>
        <v>29.47</v>
      </c>
      <c r="BY580" s="61" t="s">
        <v>91</v>
      </c>
      <c r="CA580" s="61">
        <f t="shared" si="492"/>
        <v>0</v>
      </c>
      <c r="CB580" s="61">
        <f t="shared" si="492"/>
        <v>0</v>
      </c>
      <c r="CC580" s="61">
        <f t="shared" si="492"/>
        <v>0</v>
      </c>
      <c r="CD580" s="61">
        <f t="shared" si="492"/>
        <v>0</v>
      </c>
      <c r="CE580" s="61">
        <f t="shared" si="492"/>
        <v>4.4997743342861449</v>
      </c>
      <c r="CF580" s="61">
        <f t="shared" si="492"/>
        <v>0</v>
      </c>
      <c r="CG580" s="61">
        <f t="shared" si="492"/>
        <v>0</v>
      </c>
      <c r="CH580" s="61">
        <f t="shared" si="489"/>
        <v>0</v>
      </c>
      <c r="CI580" s="61">
        <f t="shared" si="450"/>
        <v>0.40497969008575302</v>
      </c>
      <c r="CJ580" s="61"/>
      <c r="CK580" s="61">
        <f t="shared" si="493"/>
        <v>0</v>
      </c>
      <c r="CL580" s="61">
        <f t="shared" si="493"/>
        <v>0</v>
      </c>
      <c r="CM580" s="61">
        <f t="shared" si="493"/>
        <v>0</v>
      </c>
      <c r="CN580" s="61">
        <f t="shared" si="493"/>
        <v>0</v>
      </c>
      <c r="CO580" s="61">
        <f t="shared" si="493"/>
        <v>4.4335790582217536</v>
      </c>
      <c r="CP580" s="61">
        <f t="shared" si="493"/>
        <v>0</v>
      </c>
      <c r="CQ580" s="61">
        <f t="shared" si="493"/>
        <v>0</v>
      </c>
      <c r="CR580" s="61">
        <f t="shared" si="490"/>
        <v>0</v>
      </c>
      <c r="CS580" s="61">
        <f t="shared" si="452"/>
        <v>0.39902211523995779</v>
      </c>
      <c r="CT580" s="61">
        <f t="shared" si="453"/>
        <v>2.6522999999999994</v>
      </c>
      <c r="CV580" s="61">
        <f t="shared" si="480"/>
        <v>-350000</v>
      </c>
      <c r="CW580" s="61">
        <f t="shared" si="433"/>
        <v>-350000</v>
      </c>
      <c r="CX580" s="61"/>
      <c r="CY580" s="61">
        <f t="shared" si="428"/>
        <v>0</v>
      </c>
      <c r="CZ580" s="61">
        <f t="shared" si="454"/>
        <v>0</v>
      </c>
      <c r="DA580" s="61">
        <f t="shared" si="454"/>
        <v>0</v>
      </c>
      <c r="DB580" s="2" t="s">
        <v>85</v>
      </c>
      <c r="DC580" s="2" t="s">
        <v>86</v>
      </c>
      <c r="DD580" s="2" t="s">
        <v>142</v>
      </c>
      <c r="DE580" s="2" t="s">
        <v>264</v>
      </c>
      <c r="DF580" s="3" t="s">
        <v>86</v>
      </c>
      <c r="DG580" s="62">
        <v>42936</v>
      </c>
      <c r="EC580" s="60"/>
      <c r="ED580" s="60"/>
      <c r="EE580" s="60"/>
      <c r="EF580" s="60"/>
    </row>
    <row r="581" spans="2:140" ht="12.75" hidden="1" customHeight="1">
      <c r="B581" s="115" t="s">
        <v>1098</v>
      </c>
      <c r="C581" s="22" t="s">
        <v>1099</v>
      </c>
      <c r="D581" s="22" t="s">
        <v>1100</v>
      </c>
      <c r="E581" s="2" t="s">
        <v>1005</v>
      </c>
      <c r="F581" s="2" t="s">
        <v>330</v>
      </c>
      <c r="G581" s="2" t="s">
        <v>1087</v>
      </c>
      <c r="J581" s="22" t="s">
        <v>286</v>
      </c>
      <c r="K581" s="23" t="s">
        <v>1102</v>
      </c>
      <c r="L581" s="22" t="s">
        <v>100</v>
      </c>
      <c r="M581" s="51" t="str">
        <f t="shared" si="468"/>
        <v>JD8G-9C662-AA</v>
      </c>
      <c r="O581" s="94"/>
      <c r="P581" s="94">
        <v>1</v>
      </c>
      <c r="Q581" s="94"/>
      <c r="R581" s="94">
        <v>1</v>
      </c>
      <c r="S581" s="94"/>
      <c r="T581" s="94"/>
      <c r="U581" s="94">
        <v>1</v>
      </c>
      <c r="V581" s="94"/>
      <c r="W581" s="64">
        <f t="shared" si="444"/>
        <v>0.44</v>
      </c>
      <c r="Y581" s="8">
        <v>-93.16</v>
      </c>
      <c r="Z581" s="8">
        <v>-9.11</v>
      </c>
      <c r="AA581" s="8">
        <v>-5.0599999999999996</v>
      </c>
      <c r="AB581" s="8">
        <v>0</v>
      </c>
      <c r="AC581" s="8">
        <v>0</v>
      </c>
      <c r="AD581" s="8">
        <f t="shared" si="479"/>
        <v>-107.33</v>
      </c>
      <c r="AE581" s="2" t="s">
        <v>91</v>
      </c>
      <c r="AG581" s="8">
        <v>-830000</v>
      </c>
      <c r="AH581" s="8">
        <v>-830000</v>
      </c>
      <c r="AI581" s="6"/>
      <c r="AJ581" s="70"/>
      <c r="AK581" s="70"/>
      <c r="AL581" s="72"/>
      <c r="AM581" s="22"/>
      <c r="AO581" s="22" t="s">
        <v>1101</v>
      </c>
      <c r="AP581" s="85" t="s">
        <v>1102</v>
      </c>
      <c r="AQ581" s="22" t="s">
        <v>120</v>
      </c>
      <c r="AR581" s="51" t="str">
        <f t="shared" si="481"/>
        <v>ED81-9C662-BB</v>
      </c>
      <c r="AS581" s="3"/>
      <c r="AT581" s="94"/>
      <c r="AU581" s="94">
        <v>1</v>
      </c>
      <c r="AV581" s="94"/>
      <c r="AW581" s="94">
        <v>1</v>
      </c>
      <c r="AX581" s="94"/>
      <c r="AY581" s="94"/>
      <c r="AZ581" s="94">
        <v>1</v>
      </c>
      <c r="BA581" s="94"/>
      <c r="BB581" s="64">
        <f t="shared" si="485"/>
        <v>0.44</v>
      </c>
      <c r="BD581" s="60">
        <v>-97.22</v>
      </c>
      <c r="BE581" s="60">
        <v>-9.11</v>
      </c>
      <c r="BF581" s="95">
        <v>-5.0599999999999996</v>
      </c>
      <c r="BG581" s="95"/>
      <c r="BH581" s="95"/>
      <c r="BI581" s="8">
        <f t="shared" si="467"/>
        <v>-111.39</v>
      </c>
      <c r="BJ581" s="2" t="s">
        <v>91</v>
      </c>
      <c r="BL581" s="70">
        <v>0</v>
      </c>
      <c r="BM581" s="70">
        <v>0</v>
      </c>
      <c r="BO581" s="70">
        <v>0</v>
      </c>
      <c r="BP581" s="70">
        <v>0</v>
      </c>
      <c r="BQ581" s="72"/>
      <c r="BS581" s="61">
        <f t="shared" si="446"/>
        <v>4.0600000000000023</v>
      </c>
      <c r="BT581" s="61">
        <f t="shared" si="447"/>
        <v>0</v>
      </c>
      <c r="BU581" s="61">
        <f t="shared" si="491"/>
        <v>0</v>
      </c>
      <c r="BV581" s="61">
        <f t="shared" si="491"/>
        <v>0</v>
      </c>
      <c r="BW581" s="61">
        <f t="shared" si="491"/>
        <v>0</v>
      </c>
      <c r="BX581" s="61">
        <f t="shared" si="491"/>
        <v>4.0600000000000023</v>
      </c>
      <c r="BY581" s="61" t="s">
        <v>91</v>
      </c>
      <c r="CA581" s="61">
        <f t="shared" si="492"/>
        <v>0</v>
      </c>
      <c r="CB581" s="61">
        <f t="shared" si="492"/>
        <v>0.6108018655032349</v>
      </c>
      <c r="CC581" s="61">
        <f t="shared" si="492"/>
        <v>0</v>
      </c>
      <c r="CD581" s="61">
        <f t="shared" si="492"/>
        <v>0.6108018655032349</v>
      </c>
      <c r="CE581" s="61">
        <f t="shared" si="492"/>
        <v>0</v>
      </c>
      <c r="CF581" s="61">
        <f t="shared" si="492"/>
        <v>0</v>
      </c>
      <c r="CG581" s="61">
        <f t="shared" si="492"/>
        <v>0.6108018655032349</v>
      </c>
      <c r="CH581" s="61">
        <f t="shared" si="489"/>
        <v>0</v>
      </c>
      <c r="CI581" s="61">
        <f t="shared" si="450"/>
        <v>0.26875282082142338</v>
      </c>
      <c r="CJ581" s="61"/>
      <c r="CK581" s="61">
        <f t="shared" si="493"/>
        <v>0</v>
      </c>
      <c r="CL581" s="61">
        <f t="shared" si="493"/>
        <v>0.6108018655032349</v>
      </c>
      <c r="CM581" s="61">
        <f t="shared" si="493"/>
        <v>0</v>
      </c>
      <c r="CN581" s="61">
        <f t="shared" si="493"/>
        <v>0.6108018655032349</v>
      </c>
      <c r="CO581" s="61">
        <f t="shared" si="493"/>
        <v>0</v>
      </c>
      <c r="CP581" s="61">
        <f t="shared" si="493"/>
        <v>0</v>
      </c>
      <c r="CQ581" s="61">
        <f t="shared" si="493"/>
        <v>0.6108018655032349</v>
      </c>
      <c r="CR581" s="61">
        <f t="shared" si="490"/>
        <v>0</v>
      </c>
      <c r="CS581" s="61">
        <f t="shared" si="452"/>
        <v>0.26875282082142338</v>
      </c>
      <c r="CT581" s="61">
        <f t="shared" si="453"/>
        <v>1.7864000000000013</v>
      </c>
      <c r="CV581" s="61">
        <f t="shared" si="480"/>
        <v>-830000</v>
      </c>
      <c r="CW581" s="61">
        <f t="shared" si="433"/>
        <v>-830000</v>
      </c>
      <c r="CX581" s="61"/>
      <c r="CY581" s="61">
        <f t="shared" si="428"/>
        <v>0</v>
      </c>
      <c r="CZ581" s="61">
        <f t="shared" si="454"/>
        <v>0</v>
      </c>
      <c r="DA581" s="61">
        <f t="shared" si="454"/>
        <v>0</v>
      </c>
      <c r="DB581" s="2" t="s">
        <v>85</v>
      </c>
      <c r="DC581" s="2" t="s">
        <v>86</v>
      </c>
      <c r="DD581" s="2" t="s">
        <v>142</v>
      </c>
      <c r="DE581" s="2" t="s">
        <v>264</v>
      </c>
      <c r="DF581" s="3" t="s">
        <v>86</v>
      </c>
      <c r="DG581" s="62">
        <v>42936</v>
      </c>
      <c r="EC581" s="60"/>
      <c r="ED581" s="60"/>
      <c r="EE581" s="60"/>
      <c r="EF581" s="60"/>
    </row>
    <row r="582" spans="2:140" ht="12.75" hidden="1" customHeight="1">
      <c r="B582" s="115" t="s">
        <v>1098</v>
      </c>
      <c r="C582" s="22" t="s">
        <v>1099</v>
      </c>
      <c r="D582" s="22" t="s">
        <v>1100</v>
      </c>
      <c r="E582" s="2" t="s">
        <v>1005</v>
      </c>
      <c r="F582" s="2" t="s">
        <v>330</v>
      </c>
      <c r="G582" s="2" t="s">
        <v>1087</v>
      </c>
      <c r="J582" s="22" t="s">
        <v>286</v>
      </c>
      <c r="K582" s="23" t="s">
        <v>1102</v>
      </c>
      <c r="L582" s="22" t="s">
        <v>113</v>
      </c>
      <c r="M582" s="51" t="str">
        <f t="shared" si="468"/>
        <v>JD8G-9C662-CA</v>
      </c>
      <c r="O582" s="94">
        <v>1</v>
      </c>
      <c r="P582" s="94"/>
      <c r="Q582" s="94">
        <v>1</v>
      </c>
      <c r="R582" s="94"/>
      <c r="S582" s="94"/>
      <c r="T582" s="94"/>
      <c r="U582" s="94"/>
      <c r="V582" s="94"/>
      <c r="W582" s="64">
        <f t="shared" si="444"/>
        <v>0.28000000000000003</v>
      </c>
      <c r="Y582" s="8">
        <v>-91.92</v>
      </c>
      <c r="Z582" s="8">
        <v>-9.11</v>
      </c>
      <c r="AA582" s="8">
        <v>-5.0599999999999996</v>
      </c>
      <c r="AB582" s="8">
        <v>0</v>
      </c>
      <c r="AC582" s="8">
        <v>0</v>
      </c>
      <c r="AD582" s="8">
        <f t="shared" si="479"/>
        <v>-106.09</v>
      </c>
      <c r="AE582" s="2" t="s">
        <v>91</v>
      </c>
      <c r="AG582" s="8">
        <v>-451250</v>
      </c>
      <c r="AH582" s="8">
        <v>-451250</v>
      </c>
      <c r="AI582" s="6"/>
      <c r="AJ582" s="70"/>
      <c r="AK582" s="70"/>
      <c r="AL582" s="72"/>
      <c r="AM582" s="22"/>
      <c r="AO582" s="22" t="s">
        <v>1101</v>
      </c>
      <c r="AP582" s="85" t="s">
        <v>1102</v>
      </c>
      <c r="AQ582" s="22" t="s">
        <v>132</v>
      </c>
      <c r="AR582" s="51" t="str">
        <f t="shared" si="481"/>
        <v>ED81-9C662-AB</v>
      </c>
      <c r="AS582" s="3"/>
      <c r="AT582" s="94">
        <v>1</v>
      </c>
      <c r="AU582" s="94"/>
      <c r="AV582" s="94">
        <v>1</v>
      </c>
      <c r="AW582" s="94"/>
      <c r="AX582" s="94"/>
      <c r="AY582" s="94"/>
      <c r="AZ582" s="94"/>
      <c r="BA582" s="94"/>
      <c r="BB582" s="64">
        <f t="shared" si="485"/>
        <v>0.28000000000000003</v>
      </c>
      <c r="BD582" s="60">
        <v>-79.73</v>
      </c>
      <c r="BE582" s="60">
        <v>-7.73</v>
      </c>
      <c r="BF582" s="95">
        <v>-3.8</v>
      </c>
      <c r="BG582" s="95"/>
      <c r="BH582" s="95"/>
      <c r="BI582" s="8">
        <f t="shared" si="467"/>
        <v>-91.26</v>
      </c>
      <c r="BJ582" s="2" t="s">
        <v>91</v>
      </c>
      <c r="BL582" s="70">
        <v>0</v>
      </c>
      <c r="BM582" s="70">
        <v>0</v>
      </c>
      <c r="BO582" s="70">
        <v>0</v>
      </c>
      <c r="BP582" s="70">
        <v>0</v>
      </c>
      <c r="BQ582" s="72"/>
      <c r="BS582" s="61">
        <f t="shared" si="446"/>
        <v>-12.189999999999998</v>
      </c>
      <c r="BT582" s="61">
        <f t="shared" si="447"/>
        <v>-1.379999999999999</v>
      </c>
      <c r="BU582" s="61">
        <f t="shared" si="491"/>
        <v>-1.2599999999999998</v>
      </c>
      <c r="BV582" s="61">
        <f t="shared" si="491"/>
        <v>0</v>
      </c>
      <c r="BW582" s="61">
        <f t="shared" si="491"/>
        <v>0</v>
      </c>
      <c r="BX582" s="61">
        <f t="shared" si="491"/>
        <v>-14.829999999999998</v>
      </c>
      <c r="BY582" s="61" t="s">
        <v>91</v>
      </c>
      <c r="CA582" s="61">
        <f t="shared" si="492"/>
        <v>-1.8339100346020758</v>
      </c>
      <c r="CB582" s="61">
        <f t="shared" si="492"/>
        <v>0</v>
      </c>
      <c r="CC582" s="61">
        <f t="shared" si="492"/>
        <v>-1.8339100346020758</v>
      </c>
      <c r="CD582" s="61">
        <f t="shared" si="492"/>
        <v>0</v>
      </c>
      <c r="CE582" s="61">
        <f t="shared" si="492"/>
        <v>0</v>
      </c>
      <c r="CF582" s="61">
        <f t="shared" si="492"/>
        <v>0</v>
      </c>
      <c r="CG582" s="61">
        <f t="shared" si="492"/>
        <v>0</v>
      </c>
      <c r="CH582" s="61">
        <f t="shared" si="489"/>
        <v>0</v>
      </c>
      <c r="CI582" s="61">
        <f t="shared" si="450"/>
        <v>-0.5134948096885813</v>
      </c>
      <c r="CJ582" s="61"/>
      <c r="CK582" s="61">
        <f t="shared" si="493"/>
        <v>-2.2310816909884155</v>
      </c>
      <c r="CL582" s="61">
        <f t="shared" si="493"/>
        <v>0</v>
      </c>
      <c r="CM582" s="61">
        <f t="shared" si="493"/>
        <v>-2.2310816909884155</v>
      </c>
      <c r="CN582" s="61">
        <f t="shared" si="493"/>
        <v>0</v>
      </c>
      <c r="CO582" s="61">
        <f t="shared" si="493"/>
        <v>0</v>
      </c>
      <c r="CP582" s="61">
        <f t="shared" si="493"/>
        <v>0</v>
      </c>
      <c r="CQ582" s="61">
        <f t="shared" si="493"/>
        <v>0</v>
      </c>
      <c r="CR582" s="61">
        <f t="shared" si="490"/>
        <v>0</v>
      </c>
      <c r="CS582" s="61">
        <f t="shared" si="452"/>
        <v>-0.62470287347675635</v>
      </c>
      <c r="CT582" s="61">
        <f t="shared" si="453"/>
        <v>-4.1523999999999992</v>
      </c>
      <c r="CV582" s="61">
        <f t="shared" si="480"/>
        <v>-451250</v>
      </c>
      <c r="CW582" s="61">
        <f t="shared" si="433"/>
        <v>-451250</v>
      </c>
      <c r="CX582" s="61"/>
      <c r="CY582" s="61">
        <f t="shared" si="428"/>
        <v>0</v>
      </c>
      <c r="CZ582" s="61">
        <f t="shared" si="454"/>
        <v>0</v>
      </c>
      <c r="DA582" s="61">
        <f t="shared" si="454"/>
        <v>0</v>
      </c>
      <c r="DB582" s="2" t="s">
        <v>85</v>
      </c>
      <c r="DC582" s="2" t="s">
        <v>86</v>
      </c>
      <c r="DD582" s="2" t="s">
        <v>142</v>
      </c>
      <c r="DE582" s="2" t="s">
        <v>264</v>
      </c>
      <c r="DF582" s="3" t="s">
        <v>86</v>
      </c>
      <c r="DG582" s="62">
        <v>42936</v>
      </c>
      <c r="EC582" s="60"/>
      <c r="ED582" s="60"/>
      <c r="EE582" s="60"/>
      <c r="EF582" s="60"/>
    </row>
    <row r="583" spans="2:140" ht="12.75" hidden="1" customHeight="1">
      <c r="B583" s="99" t="s">
        <v>1103</v>
      </c>
      <c r="C583" s="22" t="s">
        <v>1104</v>
      </c>
      <c r="D583" s="22" t="s">
        <v>1105</v>
      </c>
      <c r="E583" s="2" t="s">
        <v>1005</v>
      </c>
      <c r="F583" s="2" t="s">
        <v>330</v>
      </c>
      <c r="G583" s="2" t="s">
        <v>994</v>
      </c>
      <c r="J583" s="22" t="s">
        <v>286</v>
      </c>
      <c r="K583" s="23" t="s">
        <v>1106</v>
      </c>
      <c r="L583" s="85" t="s">
        <v>100</v>
      </c>
      <c r="M583" s="51" t="str">
        <f t="shared" si="468"/>
        <v>JD8G-5K254-AA</v>
      </c>
      <c r="O583" s="94">
        <v>1</v>
      </c>
      <c r="P583" s="94">
        <v>1</v>
      </c>
      <c r="Q583" s="94">
        <v>1</v>
      </c>
      <c r="R583" s="94">
        <v>1</v>
      </c>
      <c r="S583" s="94">
        <v>0</v>
      </c>
      <c r="T583" s="94">
        <v>0</v>
      </c>
      <c r="U583" s="94">
        <v>1</v>
      </c>
      <c r="V583" s="94">
        <v>0</v>
      </c>
      <c r="W583" s="64">
        <f t="shared" si="444"/>
        <v>0.72000000000000008</v>
      </c>
      <c r="Y583" s="8">
        <v>-420.63</v>
      </c>
      <c r="Z583" s="8">
        <v>-3.36</v>
      </c>
      <c r="AA583" s="8">
        <v>-11.59</v>
      </c>
      <c r="AB583" s="8">
        <v>0</v>
      </c>
      <c r="AC583" s="8">
        <v>-11.12</v>
      </c>
      <c r="AD583" s="8">
        <f t="shared" ref="AD583:AD655" si="498">SUM(Y583:AC583)</f>
        <v>-446.7</v>
      </c>
      <c r="AE583" s="2" t="s">
        <v>91</v>
      </c>
      <c r="AG583" s="8">
        <v>-4420000</v>
      </c>
      <c r="AH583" s="8">
        <v>-5240000</v>
      </c>
      <c r="AI583" s="6"/>
      <c r="AJ583" s="70">
        <v>-4151026</v>
      </c>
      <c r="AK583" s="70">
        <v>373134</v>
      </c>
      <c r="AL583" s="72"/>
      <c r="AM583" s="22"/>
      <c r="AO583" s="22" t="s">
        <v>286</v>
      </c>
      <c r="AP583" s="85" t="s">
        <v>1106</v>
      </c>
      <c r="AQ583" s="85" t="s">
        <v>100</v>
      </c>
      <c r="AR583" s="51" t="str">
        <f t="shared" si="481"/>
        <v>JD8G-5K254-AA</v>
      </c>
      <c r="AS583" s="3"/>
      <c r="AT583" s="94">
        <v>1</v>
      </c>
      <c r="AU583" s="94">
        <v>1</v>
      </c>
      <c r="AV583" s="94">
        <v>1</v>
      </c>
      <c r="AW583" s="94">
        <v>1</v>
      </c>
      <c r="AX583" s="94">
        <v>0</v>
      </c>
      <c r="AY583" s="94">
        <v>0</v>
      </c>
      <c r="AZ583" s="94">
        <v>1</v>
      </c>
      <c r="BA583" s="94">
        <v>0</v>
      </c>
      <c r="BB583" s="64">
        <f t="shared" si="485"/>
        <v>0.72000000000000008</v>
      </c>
      <c r="BD583" s="60">
        <v>-417.20400000000001</v>
      </c>
      <c r="BE583" s="60">
        <v>-3.36</v>
      </c>
      <c r="BF583" s="60">
        <v>-11.59</v>
      </c>
      <c r="BG583" s="60">
        <v>0</v>
      </c>
      <c r="BH583" s="60">
        <v>-11.12</v>
      </c>
      <c r="BI583" s="8">
        <f t="shared" si="467"/>
        <v>-443.274</v>
      </c>
      <c r="BJ583" s="2" t="s">
        <v>91</v>
      </c>
      <c r="BL583" s="70">
        <v>-3715000</v>
      </c>
      <c r="BM583" s="70">
        <v>-4535000</v>
      </c>
      <c r="BN583" s="70"/>
      <c r="BO583" s="70">
        <v>-4151028</v>
      </c>
      <c r="BP583" s="70">
        <v>373134</v>
      </c>
      <c r="BQ583" s="72"/>
      <c r="BS583" s="61">
        <f t="shared" si="446"/>
        <v>-3.4259999999999877</v>
      </c>
      <c r="BT583" s="61">
        <f t="shared" si="447"/>
        <v>0</v>
      </c>
      <c r="BU583" s="61">
        <f t="shared" si="491"/>
        <v>0</v>
      </c>
      <c r="BV583" s="61">
        <f t="shared" si="491"/>
        <v>0</v>
      </c>
      <c r="BW583" s="61">
        <f t="shared" si="491"/>
        <v>0</v>
      </c>
      <c r="BX583" s="61">
        <f t="shared" si="491"/>
        <v>-3.4259999999999877</v>
      </c>
      <c r="BY583" s="61" t="s">
        <v>91</v>
      </c>
      <c r="CA583" s="61">
        <f t="shared" si="492"/>
        <v>-0.51542049044681626</v>
      </c>
      <c r="CB583" s="61">
        <f t="shared" si="492"/>
        <v>-0.51542049044681626</v>
      </c>
      <c r="CC583" s="61">
        <f t="shared" si="492"/>
        <v>-0.51542049044681626</v>
      </c>
      <c r="CD583" s="61">
        <f t="shared" si="492"/>
        <v>-0.51542049044681626</v>
      </c>
      <c r="CE583" s="61">
        <f t="shared" si="492"/>
        <v>0</v>
      </c>
      <c r="CF583" s="61">
        <f t="shared" si="492"/>
        <v>0</v>
      </c>
      <c r="CG583" s="61">
        <f t="shared" si="492"/>
        <v>-0.51542049044681626</v>
      </c>
      <c r="CH583" s="61">
        <f t="shared" si="489"/>
        <v>0</v>
      </c>
      <c r="CI583" s="61">
        <f t="shared" si="450"/>
        <v>-0.37110275312170771</v>
      </c>
      <c r="CJ583" s="61"/>
      <c r="CK583" s="61">
        <f t="shared" si="493"/>
        <v>-0.51542049044681626</v>
      </c>
      <c r="CL583" s="61">
        <f t="shared" si="493"/>
        <v>-0.51542049044681626</v>
      </c>
      <c r="CM583" s="61">
        <f t="shared" si="493"/>
        <v>-0.51542049044681626</v>
      </c>
      <c r="CN583" s="61">
        <f t="shared" si="493"/>
        <v>-0.51542049044681626</v>
      </c>
      <c r="CO583" s="61">
        <f t="shared" si="493"/>
        <v>0</v>
      </c>
      <c r="CP583" s="61">
        <f t="shared" si="493"/>
        <v>0</v>
      </c>
      <c r="CQ583" s="61">
        <f t="shared" si="493"/>
        <v>-0.51542049044681626</v>
      </c>
      <c r="CR583" s="61">
        <f t="shared" si="490"/>
        <v>0</v>
      </c>
      <c r="CS583" s="61">
        <f t="shared" si="452"/>
        <v>-0.37110275312170771</v>
      </c>
      <c r="CT583" s="61">
        <f t="shared" si="453"/>
        <v>-2.4667199999999911</v>
      </c>
      <c r="CV583" s="61">
        <f t="shared" si="480"/>
        <v>-705000</v>
      </c>
      <c r="CW583" s="61">
        <f t="shared" si="433"/>
        <v>-705000</v>
      </c>
      <c r="CX583" s="61"/>
      <c r="CY583" s="61">
        <f t="shared" si="428"/>
        <v>2</v>
      </c>
      <c r="CZ583" s="61">
        <f t="shared" si="454"/>
        <v>0</v>
      </c>
      <c r="DA583" s="61">
        <f t="shared" si="454"/>
        <v>0</v>
      </c>
      <c r="DB583" s="2" t="s">
        <v>85</v>
      </c>
      <c r="DC583" s="2" t="s">
        <v>86</v>
      </c>
      <c r="DD583" s="2" t="s">
        <v>142</v>
      </c>
      <c r="DE583" s="2" t="s">
        <v>264</v>
      </c>
      <c r="DF583" s="3" t="s">
        <v>86</v>
      </c>
      <c r="DG583" s="62">
        <v>42961</v>
      </c>
      <c r="EC583" s="60"/>
      <c r="ED583" s="60"/>
      <c r="EE583" s="60"/>
      <c r="EF583" s="60"/>
    </row>
    <row r="584" spans="2:140" ht="12.75" hidden="1" customHeight="1">
      <c r="B584" s="99" t="s">
        <v>1103</v>
      </c>
      <c r="C584" s="22" t="s">
        <v>1104</v>
      </c>
      <c r="D584" s="22" t="s">
        <v>1105</v>
      </c>
      <c r="E584" s="2" t="s">
        <v>1005</v>
      </c>
      <c r="F584" s="2" t="s">
        <v>330</v>
      </c>
      <c r="G584" s="2" t="s">
        <v>994</v>
      </c>
      <c r="J584" s="22" t="s">
        <v>286</v>
      </c>
      <c r="K584" s="23" t="s">
        <v>1106</v>
      </c>
      <c r="L584" s="85" t="s">
        <v>111</v>
      </c>
      <c r="M584" s="51" t="str">
        <f t="shared" si="468"/>
        <v>JD8G-5K254-BA</v>
      </c>
      <c r="O584" s="94">
        <v>0</v>
      </c>
      <c r="P584" s="94">
        <v>0</v>
      </c>
      <c r="Q584" s="94">
        <v>0</v>
      </c>
      <c r="R584" s="94">
        <v>0</v>
      </c>
      <c r="S584" s="94">
        <v>1</v>
      </c>
      <c r="T584" s="94">
        <v>1</v>
      </c>
      <c r="U584" s="94">
        <v>0</v>
      </c>
      <c r="V584" s="94">
        <v>1</v>
      </c>
      <c r="W584" s="64">
        <f t="shared" si="444"/>
        <v>0.28000000000000003</v>
      </c>
      <c r="Y584" s="8">
        <v>-427.83</v>
      </c>
      <c r="Z584" s="8">
        <v>-3.36</v>
      </c>
      <c r="AA584" s="8">
        <v>-11.59</v>
      </c>
      <c r="AB584" s="8">
        <v>0</v>
      </c>
      <c r="AC584" s="8">
        <v>-11.12</v>
      </c>
      <c r="AD584" s="8">
        <f t="shared" si="498"/>
        <v>-453.9</v>
      </c>
      <c r="AE584" s="2" t="s">
        <v>91</v>
      </c>
      <c r="AG584" s="8">
        <v>-1686000</v>
      </c>
      <c r="AH584" s="8">
        <v>-1686000</v>
      </c>
      <c r="AI584" s="6"/>
      <c r="AJ584" s="70">
        <v>-1790771</v>
      </c>
      <c r="AK584" s="70">
        <v>160972</v>
      </c>
      <c r="AL584" s="72"/>
      <c r="AM584" s="22"/>
      <c r="AO584" s="22" t="s">
        <v>286</v>
      </c>
      <c r="AP584" s="85" t="s">
        <v>1106</v>
      </c>
      <c r="AQ584" s="85" t="s">
        <v>111</v>
      </c>
      <c r="AR584" s="51" t="str">
        <f t="shared" si="481"/>
        <v>JD8G-5K254-BA</v>
      </c>
      <c r="AS584" s="3"/>
      <c r="AT584" s="94">
        <v>0</v>
      </c>
      <c r="AU584" s="94">
        <v>0</v>
      </c>
      <c r="AV584" s="94">
        <v>0</v>
      </c>
      <c r="AW584" s="94">
        <v>0</v>
      </c>
      <c r="AX584" s="94">
        <v>1</v>
      </c>
      <c r="AY584" s="94">
        <v>1</v>
      </c>
      <c r="AZ584" s="94">
        <v>0</v>
      </c>
      <c r="BA584" s="94">
        <v>1</v>
      </c>
      <c r="BB584" s="64">
        <f t="shared" si="485"/>
        <v>0.28000000000000003</v>
      </c>
      <c r="BD584" s="60">
        <v>-412.83</v>
      </c>
      <c r="BE584" s="60">
        <v>-3.36</v>
      </c>
      <c r="BF584" s="60">
        <v>-11.59</v>
      </c>
      <c r="BG584" s="60">
        <v>0</v>
      </c>
      <c r="BH584" s="60">
        <v>-11.12</v>
      </c>
      <c r="BI584" s="8">
        <f t="shared" si="467"/>
        <v>-438.9</v>
      </c>
      <c r="BJ584" s="2" t="s">
        <v>91</v>
      </c>
      <c r="BL584" s="70">
        <v>-1456000</v>
      </c>
      <c r="BM584" s="70">
        <f>BL584</f>
        <v>-1456000</v>
      </c>
      <c r="BN584" s="70"/>
      <c r="BO584" s="70">
        <v>-1790771</v>
      </c>
      <c r="BP584" s="70">
        <v>160972</v>
      </c>
      <c r="BQ584" s="72"/>
      <c r="BS584" s="61">
        <f t="shared" si="446"/>
        <v>-15</v>
      </c>
      <c r="BT584" s="61">
        <f t="shared" si="447"/>
        <v>0</v>
      </c>
      <c r="BU584" s="61">
        <f t="shared" si="491"/>
        <v>0</v>
      </c>
      <c r="BV584" s="61">
        <f t="shared" si="491"/>
        <v>0</v>
      </c>
      <c r="BW584" s="61">
        <f t="shared" si="491"/>
        <v>0</v>
      </c>
      <c r="BX584" s="61">
        <f t="shared" si="491"/>
        <v>-15</v>
      </c>
      <c r="BY584" s="61" t="s">
        <v>91</v>
      </c>
      <c r="CA584" s="61">
        <f t="shared" si="492"/>
        <v>0</v>
      </c>
      <c r="CB584" s="61">
        <f t="shared" si="492"/>
        <v>0</v>
      </c>
      <c r="CC584" s="61">
        <f t="shared" si="492"/>
        <v>0</v>
      </c>
      <c r="CD584" s="61">
        <f t="shared" si="492"/>
        <v>0</v>
      </c>
      <c r="CE584" s="61">
        <f t="shared" si="492"/>
        <v>-2.2566571385587482</v>
      </c>
      <c r="CF584" s="61">
        <f t="shared" si="492"/>
        <v>-2.2566571385587482</v>
      </c>
      <c r="CG584" s="61">
        <f t="shared" si="492"/>
        <v>0</v>
      </c>
      <c r="CH584" s="61">
        <f t="shared" si="489"/>
        <v>-2.2566571385587482</v>
      </c>
      <c r="CI584" s="61">
        <f t="shared" si="450"/>
        <v>-0.6318639987964495</v>
      </c>
      <c r="CJ584" s="61"/>
      <c r="CK584" s="61">
        <f t="shared" si="493"/>
        <v>0</v>
      </c>
      <c r="CL584" s="61">
        <f t="shared" si="493"/>
        <v>0</v>
      </c>
      <c r="CM584" s="61">
        <f t="shared" si="493"/>
        <v>0</v>
      </c>
      <c r="CN584" s="61">
        <f t="shared" si="493"/>
        <v>0</v>
      </c>
      <c r="CO584" s="61">
        <f t="shared" si="493"/>
        <v>-2.2566571385587482</v>
      </c>
      <c r="CP584" s="61">
        <f t="shared" si="493"/>
        <v>-2.2566571385587482</v>
      </c>
      <c r="CQ584" s="61">
        <f t="shared" si="493"/>
        <v>0</v>
      </c>
      <c r="CR584" s="61">
        <f t="shared" si="490"/>
        <v>-2.2566571385587482</v>
      </c>
      <c r="CS584" s="61">
        <f t="shared" si="452"/>
        <v>-0.6318639987964495</v>
      </c>
      <c r="CT584" s="61">
        <f t="shared" si="453"/>
        <v>-4.2</v>
      </c>
      <c r="CV584" s="61">
        <f t="shared" si="480"/>
        <v>-230000</v>
      </c>
      <c r="CW584" s="61">
        <f t="shared" si="433"/>
        <v>-230000</v>
      </c>
      <c r="CX584" s="61"/>
      <c r="CY584" s="61">
        <f t="shared" si="428"/>
        <v>0</v>
      </c>
      <c r="CZ584" s="61">
        <f t="shared" si="454"/>
        <v>0</v>
      </c>
      <c r="DA584" s="61">
        <f t="shared" si="454"/>
        <v>0</v>
      </c>
      <c r="DB584" s="2" t="s">
        <v>85</v>
      </c>
      <c r="DC584" s="2" t="s">
        <v>86</v>
      </c>
      <c r="DD584" s="2" t="s">
        <v>142</v>
      </c>
      <c r="DE584" s="2" t="s">
        <v>264</v>
      </c>
      <c r="DF584" s="3" t="s">
        <v>86</v>
      </c>
      <c r="DG584" s="62">
        <v>42961</v>
      </c>
      <c r="EC584" s="60"/>
      <c r="ED584" s="60"/>
      <c r="EE584" s="60"/>
      <c r="EF584" s="60"/>
    </row>
    <row r="585" spans="2:140" ht="12.75" hidden="1" customHeight="1">
      <c r="B585" s="99" t="s">
        <v>1107</v>
      </c>
      <c r="C585" s="22" t="s">
        <v>1099</v>
      </c>
      <c r="D585" s="22" t="s">
        <v>1100</v>
      </c>
      <c r="E585" s="2" t="s">
        <v>1005</v>
      </c>
      <c r="F585" s="2" t="s">
        <v>330</v>
      </c>
      <c r="G585" s="2" t="s">
        <v>339</v>
      </c>
      <c r="J585" s="22" t="s">
        <v>286</v>
      </c>
      <c r="K585" s="23" t="s">
        <v>1102</v>
      </c>
      <c r="L585" s="85" t="s">
        <v>132</v>
      </c>
      <c r="M585" s="51" t="str">
        <f t="shared" si="468"/>
        <v>JD8G-9C662-AB</v>
      </c>
      <c r="O585" s="94"/>
      <c r="P585" s="94">
        <v>1</v>
      </c>
      <c r="Q585" s="94"/>
      <c r="R585" s="94">
        <v>1</v>
      </c>
      <c r="S585" s="94"/>
      <c r="T585" s="94"/>
      <c r="U585" s="94">
        <v>1</v>
      </c>
      <c r="V585" s="94"/>
      <c r="W585" s="64">
        <f t="shared" si="444"/>
        <v>0.44</v>
      </c>
      <c r="Y585" s="8">
        <v>-93.16</v>
      </c>
      <c r="Z585" s="8">
        <v>-9.11</v>
      </c>
      <c r="AA585" s="8">
        <v>-5.0599999999999996</v>
      </c>
      <c r="AB585" s="8">
        <v>0</v>
      </c>
      <c r="AC585" s="8">
        <v>0</v>
      </c>
      <c r="AD585" s="8">
        <f t="shared" si="498"/>
        <v>-107.33</v>
      </c>
      <c r="AE585" s="2" t="s">
        <v>91</v>
      </c>
      <c r="AG585" s="8">
        <v>-830000</v>
      </c>
      <c r="AH585" s="8">
        <v>-830000</v>
      </c>
      <c r="AI585" s="6"/>
      <c r="AJ585" s="70"/>
      <c r="AK585" s="70"/>
      <c r="AL585" s="72"/>
      <c r="AM585" s="22"/>
      <c r="AO585" s="22" t="s">
        <v>286</v>
      </c>
      <c r="AP585" s="85" t="s">
        <v>1102</v>
      </c>
      <c r="AQ585" s="22" t="s">
        <v>100</v>
      </c>
      <c r="AR585" s="51" t="str">
        <f t="shared" si="481"/>
        <v>JD8G-9C662-AA</v>
      </c>
      <c r="AS585" s="3"/>
      <c r="AT585" s="94"/>
      <c r="AU585" s="94">
        <v>1</v>
      </c>
      <c r="AV585" s="94"/>
      <c r="AW585" s="94">
        <v>1</v>
      </c>
      <c r="AX585" s="94"/>
      <c r="AY585" s="94"/>
      <c r="AZ585" s="94">
        <v>1</v>
      </c>
      <c r="BA585" s="94"/>
      <c r="BB585" s="64">
        <f t="shared" si="485"/>
        <v>0.44</v>
      </c>
      <c r="BD585" s="60">
        <v>-93.16</v>
      </c>
      <c r="BE585" s="60">
        <v>-9.11</v>
      </c>
      <c r="BF585" s="95">
        <v>-5.0599999999999996</v>
      </c>
      <c r="BG585" s="95">
        <v>0</v>
      </c>
      <c r="BH585" s="95">
        <v>0</v>
      </c>
      <c r="BI585" s="8">
        <f t="shared" si="467"/>
        <v>-107.33</v>
      </c>
      <c r="BJ585" s="2" t="s">
        <v>91</v>
      </c>
      <c r="BL585" s="70">
        <v>-830000</v>
      </c>
      <c r="BM585" s="70">
        <v>-830000</v>
      </c>
      <c r="BO585" s="70"/>
      <c r="BP585" s="70"/>
      <c r="BQ585" s="72"/>
      <c r="BS585" s="61">
        <f t="shared" si="446"/>
        <v>0</v>
      </c>
      <c r="BT585" s="61">
        <f t="shared" si="447"/>
        <v>0</v>
      </c>
      <c r="BU585" s="61">
        <f t="shared" si="491"/>
        <v>0</v>
      </c>
      <c r="BV585" s="61">
        <f t="shared" si="491"/>
        <v>0</v>
      </c>
      <c r="BW585" s="61">
        <f t="shared" si="491"/>
        <v>0</v>
      </c>
      <c r="BX585" s="61">
        <f t="shared" si="491"/>
        <v>0</v>
      </c>
      <c r="BY585" s="61" t="s">
        <v>91</v>
      </c>
      <c r="CA585" s="61">
        <f t="shared" si="492"/>
        <v>0</v>
      </c>
      <c r="CB585" s="61">
        <f t="shared" si="492"/>
        <v>0</v>
      </c>
      <c r="CC585" s="61">
        <f t="shared" si="492"/>
        <v>0</v>
      </c>
      <c r="CD585" s="61">
        <f t="shared" si="492"/>
        <v>0</v>
      </c>
      <c r="CE585" s="61">
        <f t="shared" si="492"/>
        <v>0</v>
      </c>
      <c r="CF585" s="61">
        <f t="shared" si="492"/>
        <v>0</v>
      </c>
      <c r="CG585" s="61">
        <f t="shared" si="492"/>
        <v>0</v>
      </c>
      <c r="CH585" s="61">
        <f t="shared" si="489"/>
        <v>0</v>
      </c>
      <c r="CI585" s="61">
        <f t="shared" si="450"/>
        <v>0</v>
      </c>
      <c r="CJ585" s="61"/>
      <c r="CK585" s="61">
        <f t="shared" si="493"/>
        <v>0</v>
      </c>
      <c r="CL585" s="61">
        <f t="shared" si="493"/>
        <v>0</v>
      </c>
      <c r="CM585" s="61">
        <f t="shared" si="493"/>
        <v>0</v>
      </c>
      <c r="CN585" s="61">
        <f t="shared" si="493"/>
        <v>0</v>
      </c>
      <c r="CO585" s="61">
        <f t="shared" si="493"/>
        <v>0</v>
      </c>
      <c r="CP585" s="61">
        <f t="shared" si="493"/>
        <v>0</v>
      </c>
      <c r="CQ585" s="61">
        <f t="shared" si="493"/>
        <v>0</v>
      </c>
      <c r="CR585" s="61">
        <f t="shared" si="490"/>
        <v>0</v>
      </c>
      <c r="CS585" s="61">
        <f t="shared" si="452"/>
        <v>0</v>
      </c>
      <c r="CT585" s="61">
        <f t="shared" si="453"/>
        <v>0</v>
      </c>
      <c r="CV585" s="61">
        <f t="shared" si="480"/>
        <v>0</v>
      </c>
      <c r="CW585" s="61">
        <f t="shared" si="433"/>
        <v>0</v>
      </c>
      <c r="CX585" s="61"/>
      <c r="CY585" s="61">
        <f t="shared" si="428"/>
        <v>0</v>
      </c>
      <c r="CZ585" s="61">
        <f t="shared" si="454"/>
        <v>0</v>
      </c>
      <c r="DA585" s="61">
        <f t="shared" si="454"/>
        <v>0</v>
      </c>
      <c r="DB585" s="2" t="s">
        <v>85</v>
      </c>
      <c r="DC585" s="2" t="s">
        <v>85</v>
      </c>
      <c r="DD585" s="2" t="s">
        <v>142</v>
      </c>
      <c r="DE585" s="2" t="s">
        <v>264</v>
      </c>
      <c r="DG585" s="62"/>
      <c r="DZ585" s="3" t="e">
        <v>#N/A</v>
      </c>
      <c r="EC585" s="60"/>
      <c r="ED585" s="60"/>
      <c r="EE585" s="60"/>
      <c r="EF585" s="60"/>
    </row>
    <row r="586" spans="2:140" ht="12.75" hidden="1" customHeight="1">
      <c r="B586" s="99" t="s">
        <v>1107</v>
      </c>
      <c r="C586" s="22" t="s">
        <v>1099</v>
      </c>
      <c r="D586" s="22" t="s">
        <v>1100</v>
      </c>
      <c r="E586" s="2" t="s">
        <v>1005</v>
      </c>
      <c r="F586" s="2" t="s">
        <v>330</v>
      </c>
      <c r="G586" s="2" t="s">
        <v>339</v>
      </c>
      <c r="J586" s="22" t="s">
        <v>286</v>
      </c>
      <c r="K586" s="23" t="s">
        <v>1102</v>
      </c>
      <c r="L586" s="85" t="s">
        <v>122</v>
      </c>
      <c r="M586" s="51" t="str">
        <f t="shared" si="468"/>
        <v>JD8G-9C662-CB</v>
      </c>
      <c r="O586" s="94">
        <v>1</v>
      </c>
      <c r="P586" s="94"/>
      <c r="Q586" s="94">
        <v>1</v>
      </c>
      <c r="R586" s="94"/>
      <c r="S586" s="94"/>
      <c r="T586" s="94"/>
      <c r="U586" s="94"/>
      <c r="V586" s="94"/>
      <c r="W586" s="64">
        <f t="shared" si="444"/>
        <v>0.28000000000000003</v>
      </c>
      <c r="Y586" s="8">
        <v>-91.92</v>
      </c>
      <c r="Z586" s="8">
        <v>-9.11</v>
      </c>
      <c r="AA586" s="8">
        <v>-5.0599999999999996</v>
      </c>
      <c r="AB586" s="8">
        <v>0</v>
      </c>
      <c r="AC586" s="8">
        <v>0</v>
      </c>
      <c r="AD586" s="8">
        <f t="shared" si="498"/>
        <v>-106.09</v>
      </c>
      <c r="AE586" s="2" t="s">
        <v>91</v>
      </c>
      <c r="AG586" s="8">
        <v>-451250</v>
      </c>
      <c r="AH586" s="8">
        <v>-451250</v>
      </c>
      <c r="AI586" s="6"/>
      <c r="AJ586" s="70"/>
      <c r="AK586" s="70"/>
      <c r="AL586" s="72"/>
      <c r="AM586" s="22"/>
      <c r="AO586" s="22" t="s">
        <v>286</v>
      </c>
      <c r="AP586" s="85" t="s">
        <v>1102</v>
      </c>
      <c r="AQ586" s="22" t="s">
        <v>113</v>
      </c>
      <c r="AR586" s="51" t="str">
        <f t="shared" si="481"/>
        <v>JD8G-9C662-CA</v>
      </c>
      <c r="AS586" s="3"/>
      <c r="AT586" s="94">
        <v>1</v>
      </c>
      <c r="AU586" s="94"/>
      <c r="AV586" s="94">
        <v>1</v>
      </c>
      <c r="AW586" s="94"/>
      <c r="AX586" s="94"/>
      <c r="AY586" s="94"/>
      <c r="AZ586" s="94"/>
      <c r="BA586" s="94"/>
      <c r="BB586" s="64">
        <f t="shared" si="485"/>
        <v>0.28000000000000003</v>
      </c>
      <c r="BD586" s="60">
        <v>-91.92</v>
      </c>
      <c r="BE586" s="60">
        <v>-9.11</v>
      </c>
      <c r="BF586" s="95">
        <v>-5.0599999999999996</v>
      </c>
      <c r="BG586" s="95">
        <v>0</v>
      </c>
      <c r="BH586" s="95">
        <v>0</v>
      </c>
      <c r="BI586" s="8">
        <f t="shared" si="467"/>
        <v>-106.09</v>
      </c>
      <c r="BJ586" s="2" t="s">
        <v>91</v>
      </c>
      <c r="BL586" s="70">
        <v>-451250</v>
      </c>
      <c r="BM586" s="70">
        <v>-451250</v>
      </c>
      <c r="BO586" s="70"/>
      <c r="BP586" s="70"/>
      <c r="BQ586" s="72"/>
      <c r="BS586" s="61">
        <f t="shared" si="446"/>
        <v>0</v>
      </c>
      <c r="BT586" s="61">
        <f t="shared" si="447"/>
        <v>0</v>
      </c>
      <c r="BU586" s="61">
        <f t="shared" si="491"/>
        <v>0</v>
      </c>
      <c r="BV586" s="61">
        <f t="shared" si="491"/>
        <v>0</v>
      </c>
      <c r="BW586" s="61">
        <f t="shared" si="491"/>
        <v>0</v>
      </c>
      <c r="BX586" s="61">
        <f t="shared" si="491"/>
        <v>0</v>
      </c>
      <c r="BY586" s="61" t="s">
        <v>91</v>
      </c>
      <c r="CA586" s="61">
        <f t="shared" si="492"/>
        <v>0</v>
      </c>
      <c r="CB586" s="61">
        <f t="shared" si="492"/>
        <v>0</v>
      </c>
      <c r="CC586" s="61">
        <f t="shared" si="492"/>
        <v>0</v>
      </c>
      <c r="CD586" s="61">
        <f t="shared" si="492"/>
        <v>0</v>
      </c>
      <c r="CE586" s="61">
        <f t="shared" si="492"/>
        <v>0</v>
      </c>
      <c r="CF586" s="61">
        <f t="shared" si="492"/>
        <v>0</v>
      </c>
      <c r="CG586" s="61">
        <f t="shared" si="492"/>
        <v>0</v>
      </c>
      <c r="CH586" s="61">
        <f t="shared" si="489"/>
        <v>0</v>
      </c>
      <c r="CI586" s="61">
        <f t="shared" si="450"/>
        <v>0</v>
      </c>
      <c r="CJ586" s="61"/>
      <c r="CK586" s="61">
        <f t="shared" si="493"/>
        <v>0</v>
      </c>
      <c r="CL586" s="61">
        <f t="shared" si="493"/>
        <v>0</v>
      </c>
      <c r="CM586" s="61">
        <f t="shared" si="493"/>
        <v>0</v>
      </c>
      <c r="CN586" s="61">
        <f t="shared" si="493"/>
        <v>0</v>
      </c>
      <c r="CO586" s="61">
        <f t="shared" si="493"/>
        <v>0</v>
      </c>
      <c r="CP586" s="61">
        <f t="shared" si="493"/>
        <v>0</v>
      </c>
      <c r="CQ586" s="61">
        <f t="shared" si="493"/>
        <v>0</v>
      </c>
      <c r="CR586" s="61">
        <f t="shared" si="490"/>
        <v>0</v>
      </c>
      <c r="CS586" s="61">
        <f t="shared" si="452"/>
        <v>0</v>
      </c>
      <c r="CT586" s="61">
        <f t="shared" si="453"/>
        <v>0</v>
      </c>
      <c r="CV586" s="61">
        <f t="shared" si="480"/>
        <v>0</v>
      </c>
      <c r="CW586" s="61">
        <f t="shared" si="433"/>
        <v>0</v>
      </c>
      <c r="CX586" s="61"/>
      <c r="CY586" s="61">
        <f t="shared" si="428"/>
        <v>0</v>
      </c>
      <c r="CZ586" s="61">
        <f t="shared" si="454"/>
        <v>0</v>
      </c>
      <c r="DA586" s="61">
        <f t="shared" si="454"/>
        <v>0</v>
      </c>
      <c r="DB586" s="2" t="s">
        <v>85</v>
      </c>
      <c r="DC586" s="2" t="s">
        <v>85</v>
      </c>
      <c r="DD586" s="2" t="s">
        <v>142</v>
      </c>
      <c r="DE586" s="2" t="s">
        <v>264</v>
      </c>
      <c r="DG586" s="62"/>
      <c r="DZ586" s="3" t="e">
        <v>#N/A</v>
      </c>
      <c r="EC586" s="60"/>
      <c r="ED586" s="60"/>
      <c r="EE586" s="60"/>
      <c r="EF586" s="60"/>
    </row>
    <row r="587" spans="2:140" ht="12.75" hidden="1" customHeight="1">
      <c r="B587" s="99" t="s">
        <v>1108</v>
      </c>
      <c r="C587" s="22" t="s">
        <v>1099</v>
      </c>
      <c r="D587" s="22" t="s">
        <v>1100</v>
      </c>
      <c r="E587" s="2" t="s">
        <v>1005</v>
      </c>
      <c r="F587" s="2" t="s">
        <v>330</v>
      </c>
      <c r="G587" s="2" t="s">
        <v>339</v>
      </c>
      <c r="J587" s="22" t="s">
        <v>286</v>
      </c>
      <c r="K587" s="23">
        <v>9600</v>
      </c>
      <c r="L587" s="22" t="s">
        <v>132</v>
      </c>
      <c r="M587" s="51" t="str">
        <f t="shared" si="468"/>
        <v>JD8G-9600-AB</v>
      </c>
      <c r="O587" s="94"/>
      <c r="P587" s="94"/>
      <c r="Q587" s="94"/>
      <c r="R587" s="94"/>
      <c r="S587" s="94"/>
      <c r="T587" s="94">
        <v>1</v>
      </c>
      <c r="U587" s="94"/>
      <c r="V587" s="94">
        <v>1</v>
      </c>
      <c r="W587" s="64">
        <f t="shared" si="444"/>
        <v>0.19</v>
      </c>
      <c r="Y587" s="8">
        <v>-49.72</v>
      </c>
      <c r="Z587" s="8">
        <v>-6.91</v>
      </c>
      <c r="AA587" s="8">
        <v>-5.0599999999999996</v>
      </c>
      <c r="AB587" s="8">
        <v>0</v>
      </c>
      <c r="AC587" s="8">
        <v>0</v>
      </c>
      <c r="AD587" s="8">
        <f t="shared" si="498"/>
        <v>-61.69</v>
      </c>
      <c r="AE587" s="2" t="s">
        <v>91</v>
      </c>
      <c r="AG587" s="8">
        <v>-350000</v>
      </c>
      <c r="AH587" s="8">
        <v>-350000</v>
      </c>
      <c r="AI587" s="6"/>
      <c r="AJ587" s="70"/>
      <c r="AK587" s="70"/>
      <c r="AL587" s="72"/>
      <c r="AM587" s="22"/>
      <c r="AO587" s="22" t="s">
        <v>286</v>
      </c>
      <c r="AP587" s="23">
        <v>9600</v>
      </c>
      <c r="AQ587" s="22" t="s">
        <v>100</v>
      </c>
      <c r="AR587" s="51" t="str">
        <f t="shared" si="481"/>
        <v>JD8G-9600-AA</v>
      </c>
      <c r="AS587" s="3"/>
      <c r="AT587" s="94"/>
      <c r="AU587" s="94"/>
      <c r="AV587" s="94"/>
      <c r="AW587" s="94"/>
      <c r="AX587" s="94"/>
      <c r="AY587" s="94">
        <v>1</v>
      </c>
      <c r="AZ587" s="94"/>
      <c r="BA587" s="94">
        <v>1</v>
      </c>
      <c r="BB587" s="64">
        <f t="shared" si="485"/>
        <v>0.19</v>
      </c>
      <c r="BD587" s="60">
        <v>-49.72</v>
      </c>
      <c r="BE587" s="60">
        <v>-6.91</v>
      </c>
      <c r="BF587" s="95">
        <v>-5.0599999999999996</v>
      </c>
      <c r="BG587" s="95">
        <v>0</v>
      </c>
      <c r="BH587" s="95">
        <v>0</v>
      </c>
      <c r="BI587" s="8">
        <f t="shared" si="467"/>
        <v>-61.69</v>
      </c>
      <c r="BJ587" s="2" t="s">
        <v>91</v>
      </c>
      <c r="BL587" s="70">
        <v>-350000</v>
      </c>
      <c r="BM587" s="70">
        <v>-350000</v>
      </c>
      <c r="BO587" s="70"/>
      <c r="BP587" s="70"/>
      <c r="BQ587" s="72"/>
      <c r="BS587" s="61">
        <f t="shared" si="446"/>
        <v>0</v>
      </c>
      <c r="BT587" s="61">
        <f t="shared" si="447"/>
        <v>0</v>
      </c>
      <c r="BU587" s="61">
        <f t="shared" si="491"/>
        <v>0</v>
      </c>
      <c r="BV587" s="61">
        <f t="shared" si="491"/>
        <v>0</v>
      </c>
      <c r="BW587" s="61">
        <f t="shared" si="491"/>
        <v>0</v>
      </c>
      <c r="BX587" s="61">
        <f t="shared" si="491"/>
        <v>0</v>
      </c>
      <c r="BY587" s="61" t="s">
        <v>91</v>
      </c>
      <c r="CA587" s="61">
        <f t="shared" si="492"/>
        <v>0</v>
      </c>
      <c r="CB587" s="61">
        <f t="shared" si="492"/>
        <v>0</v>
      </c>
      <c r="CC587" s="61">
        <f t="shared" si="492"/>
        <v>0</v>
      </c>
      <c r="CD587" s="61">
        <f t="shared" si="492"/>
        <v>0</v>
      </c>
      <c r="CE587" s="61">
        <f t="shared" si="492"/>
        <v>0</v>
      </c>
      <c r="CF587" s="61">
        <f t="shared" si="492"/>
        <v>0</v>
      </c>
      <c r="CG587" s="61">
        <f t="shared" si="492"/>
        <v>0</v>
      </c>
      <c r="CH587" s="61">
        <f t="shared" si="489"/>
        <v>0</v>
      </c>
      <c r="CI587" s="61">
        <f t="shared" si="450"/>
        <v>0</v>
      </c>
      <c r="CJ587" s="61"/>
      <c r="CK587" s="61">
        <f t="shared" si="493"/>
        <v>0</v>
      </c>
      <c r="CL587" s="61">
        <f t="shared" si="493"/>
        <v>0</v>
      </c>
      <c r="CM587" s="61">
        <f t="shared" si="493"/>
        <v>0</v>
      </c>
      <c r="CN587" s="61">
        <f t="shared" si="493"/>
        <v>0</v>
      </c>
      <c r="CO587" s="61">
        <f t="shared" si="493"/>
        <v>0</v>
      </c>
      <c r="CP587" s="61">
        <f t="shared" si="493"/>
        <v>0</v>
      </c>
      <c r="CQ587" s="61">
        <f t="shared" si="493"/>
        <v>0</v>
      </c>
      <c r="CR587" s="61">
        <f t="shared" si="490"/>
        <v>0</v>
      </c>
      <c r="CS587" s="61">
        <f t="shared" si="452"/>
        <v>0</v>
      </c>
      <c r="CT587" s="61">
        <f t="shared" si="453"/>
        <v>0</v>
      </c>
      <c r="CV587" s="61">
        <f t="shared" si="480"/>
        <v>0</v>
      </c>
      <c r="CW587" s="61">
        <f t="shared" si="433"/>
        <v>0</v>
      </c>
      <c r="CX587" s="61"/>
      <c r="CY587" s="61">
        <f t="shared" si="428"/>
        <v>0</v>
      </c>
      <c r="CZ587" s="61">
        <f t="shared" si="454"/>
        <v>0</v>
      </c>
      <c r="DA587" s="61">
        <f t="shared" si="454"/>
        <v>0</v>
      </c>
      <c r="DB587" s="2" t="s">
        <v>86</v>
      </c>
      <c r="DC587" s="2" t="s">
        <v>85</v>
      </c>
      <c r="DD587" s="2" t="s">
        <v>142</v>
      </c>
      <c r="DE587" s="2" t="s">
        <v>264</v>
      </c>
      <c r="DG587" s="62"/>
      <c r="DZ587" s="3" t="e">
        <v>#N/A</v>
      </c>
      <c r="EC587" s="60" t="str">
        <f>VLOOKUP($M587,[1]Detail!$M:$BO,1,0)</f>
        <v>JD8G-9600-AB</v>
      </c>
      <c r="ED587" s="60">
        <f>VLOOKUP($M587,[1]Detail!$M:$BO,22,0)</f>
        <v>-61.69</v>
      </c>
      <c r="EE587" s="60">
        <f>VLOOKUP($M587,[1]Detail!$M:$BO,42,0)</f>
        <v>-350000</v>
      </c>
      <c r="EF587" s="60">
        <f>VLOOKUP($M587,[1]Detail!$M:$BO,45,0)</f>
        <v>0</v>
      </c>
      <c r="EH587" s="60">
        <f t="shared" ref="EH587:EH588" si="499">ED587-AD587</f>
        <v>0</v>
      </c>
      <c r="EI587" s="60">
        <f t="shared" ref="EI587:EI588" si="500">EE587-AG587</f>
        <v>0</v>
      </c>
      <c r="EJ587" s="60">
        <f t="shared" ref="EJ587:EJ588" si="501">EF587-AJ587</f>
        <v>0</v>
      </c>
    </row>
    <row r="588" spans="2:140" ht="12.75" hidden="1" customHeight="1">
      <c r="B588" s="99" t="s">
        <v>1108</v>
      </c>
      <c r="C588" s="22" t="s">
        <v>1099</v>
      </c>
      <c r="D588" s="22" t="s">
        <v>1100</v>
      </c>
      <c r="E588" s="2" t="s">
        <v>1005</v>
      </c>
      <c r="F588" s="2" t="s">
        <v>330</v>
      </c>
      <c r="G588" s="2" t="s">
        <v>339</v>
      </c>
      <c r="J588" s="22" t="s">
        <v>286</v>
      </c>
      <c r="K588" s="23">
        <v>9600</v>
      </c>
      <c r="L588" s="22" t="s">
        <v>305</v>
      </c>
      <c r="M588" s="51" t="str">
        <f t="shared" si="468"/>
        <v>JD8G-9600-FB</v>
      </c>
      <c r="O588" s="94"/>
      <c r="P588" s="94"/>
      <c r="Q588" s="94"/>
      <c r="R588" s="94"/>
      <c r="S588" s="94">
        <v>1</v>
      </c>
      <c r="T588" s="94"/>
      <c r="U588" s="94"/>
      <c r="V588" s="94"/>
      <c r="W588" s="64">
        <f t="shared" si="444"/>
        <v>0.09</v>
      </c>
      <c r="Y588" s="8">
        <v>-49.82</v>
      </c>
      <c r="Z588" s="8">
        <v>-6.91</v>
      </c>
      <c r="AA588" s="8">
        <v>-5.0599999999999996</v>
      </c>
      <c r="AB588" s="8">
        <v>0</v>
      </c>
      <c r="AC588" s="8">
        <v>0</v>
      </c>
      <c r="AD588" s="8">
        <f t="shared" si="498"/>
        <v>-61.790000000000006</v>
      </c>
      <c r="AE588" s="2" t="s">
        <v>91</v>
      </c>
      <c r="AG588" s="8">
        <v>-350000</v>
      </c>
      <c r="AH588" s="8">
        <v>-350000</v>
      </c>
      <c r="AI588" s="6"/>
      <c r="AJ588" s="70"/>
      <c r="AK588" s="70"/>
      <c r="AL588" s="72"/>
      <c r="AM588" s="22"/>
      <c r="AO588" s="22" t="s">
        <v>286</v>
      </c>
      <c r="AP588" s="23">
        <v>9600</v>
      </c>
      <c r="AQ588" s="22" t="s">
        <v>306</v>
      </c>
      <c r="AR588" s="51" t="str">
        <f t="shared" si="481"/>
        <v>JD8G-9600-FA</v>
      </c>
      <c r="AS588" s="3"/>
      <c r="AT588" s="94"/>
      <c r="AU588" s="94"/>
      <c r="AV588" s="94"/>
      <c r="AW588" s="94"/>
      <c r="AX588" s="94">
        <v>1</v>
      </c>
      <c r="AY588" s="94"/>
      <c r="AZ588" s="94"/>
      <c r="BA588" s="94"/>
      <c r="BB588" s="64">
        <f t="shared" si="485"/>
        <v>0.09</v>
      </c>
      <c r="BD588" s="60">
        <v>-49.82</v>
      </c>
      <c r="BE588" s="60">
        <v>-6.91</v>
      </c>
      <c r="BF588" s="95">
        <v>-5.0599999999999996</v>
      </c>
      <c r="BG588" s="95">
        <v>0</v>
      </c>
      <c r="BH588" s="95">
        <v>0</v>
      </c>
      <c r="BI588" s="8">
        <f t="shared" si="467"/>
        <v>-61.790000000000006</v>
      </c>
      <c r="BJ588" s="2" t="s">
        <v>91</v>
      </c>
      <c r="BL588" s="70">
        <v>-350000</v>
      </c>
      <c r="BM588" s="70">
        <v>-350000</v>
      </c>
      <c r="BO588" s="70"/>
      <c r="BP588" s="70"/>
      <c r="BQ588" s="72"/>
      <c r="BS588" s="61">
        <f t="shared" si="446"/>
        <v>0</v>
      </c>
      <c r="BT588" s="61">
        <f t="shared" si="447"/>
        <v>0</v>
      </c>
      <c r="BU588" s="61">
        <f t="shared" si="491"/>
        <v>0</v>
      </c>
      <c r="BV588" s="61">
        <f t="shared" si="491"/>
        <v>0</v>
      </c>
      <c r="BW588" s="61">
        <f t="shared" si="491"/>
        <v>0</v>
      </c>
      <c r="BX588" s="61">
        <f t="shared" si="491"/>
        <v>0</v>
      </c>
      <c r="BY588" s="61" t="s">
        <v>91</v>
      </c>
      <c r="CA588" s="61">
        <f t="shared" si="492"/>
        <v>0</v>
      </c>
      <c r="CB588" s="61">
        <f t="shared" si="492"/>
        <v>0</v>
      </c>
      <c r="CC588" s="61">
        <f t="shared" si="492"/>
        <v>0</v>
      </c>
      <c r="CD588" s="61">
        <f t="shared" si="492"/>
        <v>0</v>
      </c>
      <c r="CE588" s="61">
        <f t="shared" si="492"/>
        <v>0</v>
      </c>
      <c r="CF588" s="61">
        <f t="shared" si="492"/>
        <v>0</v>
      </c>
      <c r="CG588" s="61">
        <f t="shared" si="492"/>
        <v>0</v>
      </c>
      <c r="CH588" s="61">
        <f t="shared" si="489"/>
        <v>0</v>
      </c>
      <c r="CI588" s="61">
        <f t="shared" si="450"/>
        <v>0</v>
      </c>
      <c r="CJ588" s="61"/>
      <c r="CK588" s="61">
        <f t="shared" si="493"/>
        <v>0</v>
      </c>
      <c r="CL588" s="61">
        <f t="shared" si="493"/>
        <v>0</v>
      </c>
      <c r="CM588" s="61">
        <f t="shared" si="493"/>
        <v>0</v>
      </c>
      <c r="CN588" s="61">
        <f t="shared" si="493"/>
        <v>0</v>
      </c>
      <c r="CO588" s="61">
        <f t="shared" si="493"/>
        <v>0</v>
      </c>
      <c r="CP588" s="61">
        <f t="shared" si="493"/>
        <v>0</v>
      </c>
      <c r="CQ588" s="61">
        <f t="shared" si="493"/>
        <v>0</v>
      </c>
      <c r="CR588" s="61">
        <f t="shared" si="490"/>
        <v>0</v>
      </c>
      <c r="CS588" s="61">
        <f t="shared" si="452"/>
        <v>0</v>
      </c>
      <c r="CT588" s="61">
        <f t="shared" si="453"/>
        <v>0</v>
      </c>
      <c r="CV588" s="61">
        <f t="shared" si="480"/>
        <v>0</v>
      </c>
      <c r="CW588" s="61">
        <f t="shared" si="433"/>
        <v>0</v>
      </c>
      <c r="CX588" s="61"/>
      <c r="CY588" s="61">
        <f t="shared" si="428"/>
        <v>0</v>
      </c>
      <c r="CZ588" s="61">
        <f t="shared" si="454"/>
        <v>0</v>
      </c>
      <c r="DA588" s="61">
        <f t="shared" si="454"/>
        <v>0</v>
      </c>
      <c r="DB588" s="2" t="s">
        <v>86</v>
      </c>
      <c r="DC588" s="2" t="s">
        <v>85</v>
      </c>
      <c r="DD588" s="2" t="s">
        <v>142</v>
      </c>
      <c r="DE588" s="2" t="s">
        <v>264</v>
      </c>
      <c r="DG588" s="62"/>
      <c r="DZ588" s="3" t="e">
        <v>#N/A</v>
      </c>
      <c r="EC588" s="60" t="str">
        <f>VLOOKUP($M588,[1]Detail!$M:$BO,1,0)</f>
        <v>JD8G-9600-FB</v>
      </c>
      <c r="ED588" s="60">
        <f>VLOOKUP($M588,[1]Detail!$M:$BO,22,0)</f>
        <v>-61.790000000000006</v>
      </c>
      <c r="EE588" s="60">
        <f>VLOOKUP($M588,[1]Detail!$M:$BO,42,0)</f>
        <v>-350000</v>
      </c>
      <c r="EF588" s="60">
        <f>VLOOKUP($M588,[1]Detail!$M:$BO,45,0)</f>
        <v>0</v>
      </c>
      <c r="EH588" s="60">
        <f t="shared" si="499"/>
        <v>0</v>
      </c>
      <c r="EI588" s="60">
        <f t="shared" si="500"/>
        <v>0</v>
      </c>
      <c r="EJ588" s="60">
        <f t="shared" si="501"/>
        <v>0</v>
      </c>
    </row>
    <row r="589" spans="2:140" ht="12.75" hidden="1" customHeight="1">
      <c r="B589" s="99" t="s">
        <v>1109</v>
      </c>
      <c r="C589" s="22" t="s">
        <v>1099</v>
      </c>
      <c r="D589" s="22" t="s">
        <v>1100</v>
      </c>
      <c r="E589" s="2" t="s">
        <v>1005</v>
      </c>
      <c r="F589" s="2" t="s">
        <v>330</v>
      </c>
      <c r="G589" s="2" t="s">
        <v>339</v>
      </c>
      <c r="J589" s="22" t="s">
        <v>286</v>
      </c>
      <c r="K589" s="23" t="s">
        <v>1102</v>
      </c>
      <c r="L589" s="85" t="s">
        <v>234</v>
      </c>
      <c r="M589" s="51" t="str">
        <f t="shared" si="468"/>
        <v>JD8G-9C662-AC</v>
      </c>
      <c r="O589" s="94"/>
      <c r="P589" s="94">
        <v>1</v>
      </c>
      <c r="Q589" s="94"/>
      <c r="R589" s="94">
        <v>1</v>
      </c>
      <c r="S589" s="94"/>
      <c r="T589" s="94"/>
      <c r="U589" s="94">
        <v>1</v>
      </c>
      <c r="V589" s="94"/>
      <c r="W589" s="64">
        <f t="shared" si="444"/>
        <v>0.44</v>
      </c>
      <c r="Y589" s="8">
        <v>-93.16</v>
      </c>
      <c r="Z589" s="8">
        <v>-9.11</v>
      </c>
      <c r="AA589" s="8">
        <v>-5.0599999999999996</v>
      </c>
      <c r="AB589" s="8">
        <v>0</v>
      </c>
      <c r="AC589" s="8">
        <v>0</v>
      </c>
      <c r="AD589" s="8">
        <f t="shared" si="498"/>
        <v>-107.33</v>
      </c>
      <c r="AE589" s="2" t="s">
        <v>91</v>
      </c>
      <c r="AG589" s="8">
        <v>-830000</v>
      </c>
      <c r="AH589" s="8">
        <v>-830000</v>
      </c>
      <c r="AI589" s="6"/>
      <c r="AJ589" s="70"/>
      <c r="AK589" s="70"/>
      <c r="AL589" s="72"/>
      <c r="AM589" s="22"/>
      <c r="AO589" s="22" t="s">
        <v>286</v>
      </c>
      <c r="AP589" s="85" t="s">
        <v>1102</v>
      </c>
      <c r="AQ589" s="85" t="s">
        <v>132</v>
      </c>
      <c r="AR589" s="51" t="str">
        <f t="shared" si="481"/>
        <v>JD8G-9C662-AB</v>
      </c>
      <c r="AS589" s="3"/>
      <c r="AT589" s="94"/>
      <c r="AU589" s="94">
        <v>1</v>
      </c>
      <c r="AV589" s="94"/>
      <c r="AW589" s="94">
        <v>1</v>
      </c>
      <c r="AX589" s="94"/>
      <c r="AY589" s="94"/>
      <c r="AZ589" s="94">
        <v>1</v>
      </c>
      <c r="BA589" s="94"/>
      <c r="BB589" s="64">
        <f t="shared" si="485"/>
        <v>0.44</v>
      </c>
      <c r="BD589" s="60">
        <v>-93.16</v>
      </c>
      <c r="BE589" s="60">
        <v>-9.11</v>
      </c>
      <c r="BF589" s="95">
        <v>-5.0599999999999996</v>
      </c>
      <c r="BG589" s="95">
        <v>0</v>
      </c>
      <c r="BH589" s="95">
        <v>0</v>
      </c>
      <c r="BI589" s="8">
        <f t="shared" si="467"/>
        <v>-107.33</v>
      </c>
      <c r="BJ589" s="2" t="s">
        <v>91</v>
      </c>
      <c r="BL589" s="70">
        <v>-830000</v>
      </c>
      <c r="BM589" s="70">
        <v>-830000</v>
      </c>
      <c r="BO589" s="70"/>
      <c r="BP589" s="70"/>
      <c r="BQ589" s="72"/>
      <c r="BS589" s="61">
        <f t="shared" si="446"/>
        <v>0</v>
      </c>
      <c r="BT589" s="61">
        <f t="shared" si="447"/>
        <v>0</v>
      </c>
      <c r="BU589" s="61">
        <f t="shared" si="491"/>
        <v>0</v>
      </c>
      <c r="BV589" s="61">
        <f t="shared" si="491"/>
        <v>0</v>
      </c>
      <c r="BW589" s="61">
        <f t="shared" si="491"/>
        <v>0</v>
      </c>
      <c r="BX589" s="61">
        <f t="shared" si="491"/>
        <v>0</v>
      </c>
      <c r="BY589" s="61" t="s">
        <v>91</v>
      </c>
      <c r="CA589" s="61">
        <f t="shared" si="492"/>
        <v>0</v>
      </c>
      <c r="CB589" s="61">
        <f t="shared" si="492"/>
        <v>0</v>
      </c>
      <c r="CC589" s="61">
        <f t="shared" si="492"/>
        <v>0</v>
      </c>
      <c r="CD589" s="61">
        <f t="shared" si="492"/>
        <v>0</v>
      </c>
      <c r="CE589" s="61">
        <f t="shared" si="492"/>
        <v>0</v>
      </c>
      <c r="CF589" s="61">
        <f t="shared" si="492"/>
        <v>0</v>
      </c>
      <c r="CG589" s="61">
        <f t="shared" si="492"/>
        <v>0</v>
      </c>
      <c r="CH589" s="61">
        <f t="shared" si="489"/>
        <v>0</v>
      </c>
      <c r="CI589" s="61">
        <f t="shared" si="450"/>
        <v>0</v>
      </c>
      <c r="CJ589" s="61"/>
      <c r="CK589" s="61">
        <f t="shared" si="493"/>
        <v>0</v>
      </c>
      <c r="CL589" s="61">
        <f t="shared" si="493"/>
        <v>0</v>
      </c>
      <c r="CM589" s="61">
        <f t="shared" si="493"/>
        <v>0</v>
      </c>
      <c r="CN589" s="61">
        <f t="shared" si="493"/>
        <v>0</v>
      </c>
      <c r="CO589" s="61">
        <f t="shared" si="493"/>
        <v>0</v>
      </c>
      <c r="CP589" s="61">
        <f t="shared" si="493"/>
        <v>0</v>
      </c>
      <c r="CQ589" s="61">
        <f t="shared" si="493"/>
        <v>0</v>
      </c>
      <c r="CR589" s="61">
        <f t="shared" si="490"/>
        <v>0</v>
      </c>
      <c r="CS589" s="61">
        <f t="shared" si="452"/>
        <v>0</v>
      </c>
      <c r="CT589" s="61">
        <f t="shared" si="453"/>
        <v>0</v>
      </c>
      <c r="CV589" s="61">
        <f t="shared" si="480"/>
        <v>0</v>
      </c>
      <c r="CW589" s="61">
        <f t="shared" si="433"/>
        <v>0</v>
      </c>
      <c r="CX589" s="61"/>
      <c r="CY589" s="61">
        <f t="shared" si="428"/>
        <v>0</v>
      </c>
      <c r="CZ589" s="61">
        <f t="shared" si="454"/>
        <v>0</v>
      </c>
      <c r="DA589" s="61">
        <f t="shared" si="454"/>
        <v>0</v>
      </c>
      <c r="DB589" s="2" t="s">
        <v>85</v>
      </c>
      <c r="DC589" s="2" t="s">
        <v>85</v>
      </c>
      <c r="DD589" s="2" t="s">
        <v>142</v>
      </c>
      <c r="DE589" s="2" t="s">
        <v>264</v>
      </c>
      <c r="DG589" s="62"/>
      <c r="DZ589" s="3" t="e">
        <v>#N/A</v>
      </c>
      <c r="EC589" s="60"/>
      <c r="ED589" s="60"/>
      <c r="EE589" s="60"/>
      <c r="EF589" s="60"/>
    </row>
    <row r="590" spans="2:140" ht="12.75" hidden="1" customHeight="1">
      <c r="B590" s="99" t="s">
        <v>1109</v>
      </c>
      <c r="C590" s="22" t="s">
        <v>1099</v>
      </c>
      <c r="D590" s="22" t="s">
        <v>1100</v>
      </c>
      <c r="E590" s="2" t="s">
        <v>1005</v>
      </c>
      <c r="F590" s="2" t="s">
        <v>330</v>
      </c>
      <c r="G590" s="2" t="s">
        <v>339</v>
      </c>
      <c r="J590" s="22" t="s">
        <v>286</v>
      </c>
      <c r="K590" s="23" t="s">
        <v>1102</v>
      </c>
      <c r="L590" s="85" t="s">
        <v>924</v>
      </c>
      <c r="M590" s="51" t="str">
        <f t="shared" si="468"/>
        <v>JD8G-9C662-CC</v>
      </c>
      <c r="O590" s="94">
        <v>1</v>
      </c>
      <c r="P590" s="94"/>
      <c r="Q590" s="94">
        <v>1</v>
      </c>
      <c r="R590" s="94"/>
      <c r="S590" s="94"/>
      <c r="T590" s="94"/>
      <c r="U590" s="94"/>
      <c r="V590" s="94"/>
      <c r="W590" s="64">
        <f t="shared" si="444"/>
        <v>0.28000000000000003</v>
      </c>
      <c r="Y590" s="8">
        <v>-91.92</v>
      </c>
      <c r="Z590" s="8">
        <v>-9.11</v>
      </c>
      <c r="AA590" s="8">
        <v>-5.0599999999999996</v>
      </c>
      <c r="AB590" s="8">
        <v>0</v>
      </c>
      <c r="AC590" s="8">
        <v>0</v>
      </c>
      <c r="AD590" s="8">
        <f t="shared" si="498"/>
        <v>-106.09</v>
      </c>
      <c r="AE590" s="2" t="s">
        <v>91</v>
      </c>
      <c r="AG590" s="8">
        <v>-451250</v>
      </c>
      <c r="AH590" s="8">
        <v>-451250</v>
      </c>
      <c r="AI590" s="6"/>
      <c r="AJ590" s="70"/>
      <c r="AK590" s="70"/>
      <c r="AL590" s="72"/>
      <c r="AM590" s="22"/>
      <c r="AO590" s="22" t="s">
        <v>286</v>
      </c>
      <c r="AP590" s="85" t="s">
        <v>1102</v>
      </c>
      <c r="AQ590" s="85" t="s">
        <v>122</v>
      </c>
      <c r="AR590" s="51" t="str">
        <f t="shared" si="481"/>
        <v>JD8G-9C662-CB</v>
      </c>
      <c r="AS590" s="3"/>
      <c r="AT590" s="94">
        <v>1</v>
      </c>
      <c r="AU590" s="94"/>
      <c r="AV590" s="94">
        <v>1</v>
      </c>
      <c r="AW590" s="94"/>
      <c r="AX590" s="94"/>
      <c r="AY590" s="94"/>
      <c r="AZ590" s="94"/>
      <c r="BA590" s="94"/>
      <c r="BB590" s="64">
        <f t="shared" si="485"/>
        <v>0.28000000000000003</v>
      </c>
      <c r="BD590" s="60">
        <v>-91.92</v>
      </c>
      <c r="BE590" s="60">
        <v>-9.11</v>
      </c>
      <c r="BF590" s="95">
        <v>-5.0599999999999996</v>
      </c>
      <c r="BG590" s="95">
        <v>0</v>
      </c>
      <c r="BH590" s="95">
        <v>0</v>
      </c>
      <c r="BI590" s="8">
        <f t="shared" ref="BI590:BI629" si="502">SUM(BD590:BH590)</f>
        <v>-106.09</v>
      </c>
      <c r="BJ590" s="2" t="s">
        <v>91</v>
      </c>
      <c r="BL590" s="70">
        <v>-451250</v>
      </c>
      <c r="BM590" s="70">
        <v>-451250</v>
      </c>
      <c r="BO590" s="70"/>
      <c r="BP590" s="70"/>
      <c r="BQ590" s="72"/>
      <c r="BS590" s="61">
        <f t="shared" si="446"/>
        <v>0</v>
      </c>
      <c r="BT590" s="61">
        <f t="shared" si="447"/>
        <v>0</v>
      </c>
      <c r="BU590" s="61">
        <f t="shared" si="491"/>
        <v>0</v>
      </c>
      <c r="BV590" s="61">
        <f t="shared" si="491"/>
        <v>0</v>
      </c>
      <c r="BW590" s="61">
        <f t="shared" si="491"/>
        <v>0</v>
      </c>
      <c r="BX590" s="61">
        <f t="shared" si="491"/>
        <v>0</v>
      </c>
      <c r="BY590" s="61" t="s">
        <v>91</v>
      </c>
      <c r="CA590" s="61">
        <f t="shared" si="492"/>
        <v>0</v>
      </c>
      <c r="CB590" s="61">
        <f t="shared" si="492"/>
        <v>0</v>
      </c>
      <c r="CC590" s="61">
        <f t="shared" si="492"/>
        <v>0</v>
      </c>
      <c r="CD590" s="61">
        <f t="shared" si="492"/>
        <v>0</v>
      </c>
      <c r="CE590" s="61">
        <f t="shared" si="492"/>
        <v>0</v>
      </c>
      <c r="CF590" s="61">
        <f t="shared" si="492"/>
        <v>0</v>
      </c>
      <c r="CG590" s="61">
        <f t="shared" si="492"/>
        <v>0</v>
      </c>
      <c r="CH590" s="61">
        <f t="shared" si="489"/>
        <v>0</v>
      </c>
      <c r="CI590" s="61">
        <f t="shared" si="450"/>
        <v>0</v>
      </c>
      <c r="CJ590" s="61"/>
      <c r="CK590" s="61">
        <f t="shared" si="493"/>
        <v>0</v>
      </c>
      <c r="CL590" s="61">
        <f t="shared" si="493"/>
        <v>0</v>
      </c>
      <c r="CM590" s="61">
        <f t="shared" si="493"/>
        <v>0</v>
      </c>
      <c r="CN590" s="61">
        <f t="shared" si="493"/>
        <v>0</v>
      </c>
      <c r="CO590" s="61">
        <f t="shared" si="493"/>
        <v>0</v>
      </c>
      <c r="CP590" s="61">
        <f t="shared" si="493"/>
        <v>0</v>
      </c>
      <c r="CQ590" s="61">
        <f t="shared" si="493"/>
        <v>0</v>
      </c>
      <c r="CR590" s="61">
        <f t="shared" si="490"/>
        <v>0</v>
      </c>
      <c r="CS590" s="61">
        <f t="shared" si="452"/>
        <v>0</v>
      </c>
      <c r="CT590" s="61">
        <f t="shared" si="453"/>
        <v>0</v>
      </c>
      <c r="CV590" s="61">
        <f t="shared" si="480"/>
        <v>0</v>
      </c>
      <c r="CW590" s="61">
        <f t="shared" si="433"/>
        <v>0</v>
      </c>
      <c r="CX590" s="61"/>
      <c r="CY590" s="61">
        <f t="shared" si="428"/>
        <v>0</v>
      </c>
      <c r="CZ590" s="61">
        <f t="shared" si="454"/>
        <v>0</v>
      </c>
      <c r="DA590" s="61">
        <f t="shared" si="454"/>
        <v>0</v>
      </c>
      <c r="DB590" s="2" t="s">
        <v>85</v>
      </c>
      <c r="DC590" s="2" t="s">
        <v>85</v>
      </c>
      <c r="DD590" s="2" t="s">
        <v>142</v>
      </c>
      <c r="DE590" s="2" t="s">
        <v>264</v>
      </c>
      <c r="DG590" s="62"/>
      <c r="DZ590" s="3" t="e">
        <v>#N/A</v>
      </c>
      <c r="EC590" s="60"/>
      <c r="ED590" s="60"/>
      <c r="EE590" s="60"/>
      <c r="EF590" s="60"/>
    </row>
    <row r="591" spans="2:140" ht="12.75" hidden="1" customHeight="1">
      <c r="B591" s="99" t="s">
        <v>1110</v>
      </c>
      <c r="C591" s="22" t="s">
        <v>1111</v>
      </c>
      <c r="D591" s="22" t="s">
        <v>1112</v>
      </c>
      <c r="E591" s="2" t="s">
        <v>1005</v>
      </c>
      <c r="F591" s="2" t="s">
        <v>330</v>
      </c>
      <c r="G591" s="2" t="s">
        <v>994</v>
      </c>
      <c r="J591" s="22" t="s">
        <v>1113</v>
      </c>
      <c r="K591" s="23" t="s">
        <v>1114</v>
      </c>
      <c r="L591" s="85" t="s">
        <v>1115</v>
      </c>
      <c r="M591" s="51" t="str">
        <f t="shared" si="468"/>
        <v>FU5A-9D370-KA</v>
      </c>
      <c r="O591" s="94"/>
      <c r="P591" s="94">
        <v>1</v>
      </c>
      <c r="Q591" s="94"/>
      <c r="R591" s="94"/>
      <c r="S591" s="94">
        <v>1</v>
      </c>
      <c r="T591" s="94">
        <v>1</v>
      </c>
      <c r="U591" s="94"/>
      <c r="V591" s="94">
        <v>1</v>
      </c>
      <c r="W591" s="64">
        <f t="shared" si="444"/>
        <v>0.44</v>
      </c>
      <c r="Y591" s="8">
        <v>-48.6</v>
      </c>
      <c r="Z591" s="8">
        <v>-0.81</v>
      </c>
      <c r="AA591" s="8">
        <v>-0.57999999999999996</v>
      </c>
      <c r="AB591" s="8"/>
      <c r="AC591" s="8"/>
      <c r="AD591" s="8">
        <f t="shared" si="498"/>
        <v>-49.99</v>
      </c>
      <c r="AE591" s="2" t="s">
        <v>84</v>
      </c>
      <c r="AG591" s="8">
        <v>0</v>
      </c>
      <c r="AH591" s="8">
        <v>0</v>
      </c>
      <c r="AJ591" s="70"/>
      <c r="AK591" s="70"/>
      <c r="AL591" s="72"/>
      <c r="AM591" s="22"/>
      <c r="AO591" s="22" t="s">
        <v>1113</v>
      </c>
      <c r="AP591" s="85" t="s">
        <v>1114</v>
      </c>
      <c r="AQ591" s="85" t="s">
        <v>1115</v>
      </c>
      <c r="AR591" s="51" t="str">
        <f t="shared" si="481"/>
        <v>FU5A-9D370-KA</v>
      </c>
      <c r="AS591" s="3"/>
      <c r="AT591" s="94"/>
      <c r="AU591" s="94">
        <v>1</v>
      </c>
      <c r="AV591" s="94"/>
      <c r="AW591" s="94"/>
      <c r="AX591" s="94">
        <v>1</v>
      </c>
      <c r="AY591" s="94">
        <v>1</v>
      </c>
      <c r="AZ591" s="94"/>
      <c r="BA591" s="94">
        <v>1</v>
      </c>
      <c r="BB591" s="64">
        <f t="shared" si="485"/>
        <v>0.44</v>
      </c>
      <c r="BD591" s="60">
        <v>-48.6</v>
      </c>
      <c r="BE591" s="60">
        <v>-0.81</v>
      </c>
      <c r="BF591" s="95">
        <v>-0.57999999999999996</v>
      </c>
      <c r="BG591" s="95">
        <v>0</v>
      </c>
      <c r="BH591" s="95">
        <v>0</v>
      </c>
      <c r="BI591" s="8">
        <f t="shared" si="502"/>
        <v>-49.99</v>
      </c>
      <c r="BJ591" s="2" t="s">
        <v>84</v>
      </c>
      <c r="BL591" s="70"/>
      <c r="BM591" s="70"/>
      <c r="BO591" s="70"/>
      <c r="BP591" s="70"/>
      <c r="BQ591" s="72"/>
      <c r="BS591" s="61">
        <f t="shared" si="446"/>
        <v>0</v>
      </c>
      <c r="BT591" s="61">
        <f t="shared" si="447"/>
        <v>0</v>
      </c>
      <c r="BU591" s="61">
        <f t="shared" si="491"/>
        <v>0</v>
      </c>
      <c r="BV591" s="61">
        <f t="shared" si="491"/>
        <v>0</v>
      </c>
      <c r="BW591" s="61">
        <f t="shared" si="491"/>
        <v>0</v>
      </c>
      <c r="BX591" s="61">
        <f t="shared" si="491"/>
        <v>0</v>
      </c>
      <c r="BY591" s="61" t="s">
        <v>91</v>
      </c>
      <c r="CA591" s="61">
        <f t="shared" si="492"/>
        <v>0</v>
      </c>
      <c r="CB591" s="61">
        <f t="shared" si="492"/>
        <v>0</v>
      </c>
      <c r="CC591" s="61">
        <f t="shared" si="492"/>
        <v>0</v>
      </c>
      <c r="CD591" s="61">
        <f t="shared" si="492"/>
        <v>0</v>
      </c>
      <c r="CE591" s="61">
        <f t="shared" si="492"/>
        <v>0</v>
      </c>
      <c r="CF591" s="61">
        <f t="shared" si="492"/>
        <v>0</v>
      </c>
      <c r="CG591" s="61">
        <f t="shared" si="492"/>
        <v>0</v>
      </c>
      <c r="CH591" s="61">
        <f t="shared" si="489"/>
        <v>0</v>
      </c>
      <c r="CI591" s="61">
        <f t="shared" si="450"/>
        <v>0</v>
      </c>
      <c r="CJ591" s="61"/>
      <c r="CK591" s="61">
        <f t="shared" si="493"/>
        <v>0</v>
      </c>
      <c r="CL591" s="61">
        <f t="shared" si="493"/>
        <v>0</v>
      </c>
      <c r="CM591" s="61">
        <f t="shared" si="493"/>
        <v>0</v>
      </c>
      <c r="CN591" s="61">
        <f t="shared" si="493"/>
        <v>0</v>
      </c>
      <c r="CO591" s="61">
        <f t="shared" si="493"/>
        <v>0</v>
      </c>
      <c r="CP591" s="61">
        <f t="shared" si="493"/>
        <v>0</v>
      </c>
      <c r="CQ591" s="61">
        <f t="shared" si="493"/>
        <v>0</v>
      </c>
      <c r="CR591" s="61">
        <f t="shared" si="490"/>
        <v>0</v>
      </c>
      <c r="CS591" s="61">
        <f t="shared" si="452"/>
        <v>0</v>
      </c>
      <c r="CT591" s="61">
        <f t="shared" si="453"/>
        <v>0</v>
      </c>
      <c r="CV591" s="61">
        <f t="shared" si="480"/>
        <v>0</v>
      </c>
      <c r="CW591" s="61">
        <f t="shared" si="433"/>
        <v>0</v>
      </c>
      <c r="CX591" s="61"/>
      <c r="CY591" s="61">
        <f t="shared" ref="CY591:CY662" si="503">SUM(AJ591)-SUM(BO591)</f>
        <v>0</v>
      </c>
      <c r="CZ591" s="61">
        <f t="shared" si="454"/>
        <v>0</v>
      </c>
      <c r="DA591" s="61">
        <f t="shared" si="454"/>
        <v>0</v>
      </c>
      <c r="DB591" s="2" t="s">
        <v>86</v>
      </c>
      <c r="DC591" s="2" t="s">
        <v>86</v>
      </c>
      <c r="DD591" s="2" t="s">
        <v>142</v>
      </c>
      <c r="DE591" s="2" t="s">
        <v>264</v>
      </c>
      <c r="DG591" s="62"/>
      <c r="DZ591" s="3" t="e">
        <v>#N/A</v>
      </c>
      <c r="EC591" s="60" t="str">
        <f>VLOOKUP($M591,[1]Detail!$M:$BO,1,0)</f>
        <v>FU5A-9D370-KA</v>
      </c>
      <c r="ED591" s="60">
        <f>VLOOKUP($M591,[1]Detail!$M:$BO,22,0)</f>
        <v>-49.99</v>
      </c>
      <c r="EE591" s="60">
        <f>VLOOKUP($M591,[1]Detail!$M:$BO,42,0)</f>
        <v>0</v>
      </c>
      <c r="EF591" s="60">
        <f>VLOOKUP($M591,[1]Detail!$M:$BO,45,0)</f>
        <v>0</v>
      </c>
      <c r="EH591" s="60">
        <f>ED591-AD591</f>
        <v>0</v>
      </c>
      <c r="EI591" s="60">
        <f>EE591-AG591</f>
        <v>0</v>
      </c>
      <c r="EJ591" s="60">
        <f>EF591-AJ591</f>
        <v>0</v>
      </c>
    </row>
    <row r="592" spans="2:140" ht="12.75" hidden="1" customHeight="1">
      <c r="B592" s="99" t="s">
        <v>1116</v>
      </c>
      <c r="C592" s="22" t="s">
        <v>726</v>
      </c>
      <c r="D592" s="22" t="s">
        <v>727</v>
      </c>
      <c r="E592" s="22" t="s">
        <v>260</v>
      </c>
      <c r="F592" s="22" t="s">
        <v>1025</v>
      </c>
      <c r="G592" s="22" t="s">
        <v>994</v>
      </c>
      <c r="J592" s="22" t="s">
        <v>728</v>
      </c>
      <c r="K592" s="23" t="s">
        <v>1001</v>
      </c>
      <c r="L592" s="22" t="s">
        <v>93</v>
      </c>
      <c r="M592" s="51" t="str">
        <f t="shared" si="468"/>
        <v>MJD8B -LBBA-ABW</v>
      </c>
      <c r="O592" s="94">
        <v>1</v>
      </c>
      <c r="P592" s="94">
        <v>0</v>
      </c>
      <c r="Q592" s="94">
        <v>0</v>
      </c>
      <c r="R592" s="94">
        <v>0</v>
      </c>
      <c r="S592" s="94">
        <v>0</v>
      </c>
      <c r="T592" s="94">
        <v>0</v>
      </c>
      <c r="U592" s="94">
        <v>0</v>
      </c>
      <c r="V592" s="94">
        <v>0</v>
      </c>
      <c r="W592" s="64">
        <f t="shared" si="444"/>
        <v>0.14000000000000001</v>
      </c>
      <c r="Y592" s="8">
        <f>-746.42*0-748.68</f>
        <v>-748.68</v>
      </c>
      <c r="Z592" s="8">
        <v>0</v>
      </c>
      <c r="AA592" s="8">
        <v>-8.44</v>
      </c>
      <c r="AB592" s="8">
        <v>-2.12</v>
      </c>
      <c r="AC592" s="8">
        <v>0</v>
      </c>
      <c r="AD592" s="8">
        <f t="shared" si="498"/>
        <v>-759.24</v>
      </c>
      <c r="AE592" s="2" t="s">
        <v>84</v>
      </c>
      <c r="AG592" s="8">
        <f>-6643600*0-6669600*0-7009600</f>
        <v>-7009600</v>
      </c>
      <c r="AH592" s="8">
        <f>-6643600*0-6669600*0-7009600</f>
        <v>-7009600</v>
      </c>
      <c r="AI592" s="6"/>
      <c r="AJ592" s="70">
        <v>0</v>
      </c>
      <c r="AK592" s="70">
        <v>0</v>
      </c>
      <c r="AL592" s="72"/>
      <c r="AM592" s="22"/>
      <c r="AO592" s="22" t="s">
        <v>728</v>
      </c>
      <c r="AP592" s="24" t="s">
        <v>1001</v>
      </c>
      <c r="AQ592" s="22" t="s">
        <v>93</v>
      </c>
      <c r="AR592" s="51" t="str">
        <f t="shared" si="481"/>
        <v>MJD8B -LBBA-ABW</v>
      </c>
      <c r="AS592" s="3"/>
      <c r="AT592" s="94">
        <v>1</v>
      </c>
      <c r="AU592" s="94">
        <v>0</v>
      </c>
      <c r="AV592" s="94">
        <v>0</v>
      </c>
      <c r="AW592" s="94">
        <v>0</v>
      </c>
      <c r="AX592" s="94">
        <v>0</v>
      </c>
      <c r="AY592" s="94">
        <v>0</v>
      </c>
      <c r="AZ592" s="94">
        <v>0</v>
      </c>
      <c r="BA592" s="94">
        <v>0</v>
      </c>
      <c r="BB592" s="64">
        <f t="shared" si="485"/>
        <v>0.14000000000000001</v>
      </c>
      <c r="BD592" s="60">
        <f>-746.42*0-748.68</f>
        <v>-748.68</v>
      </c>
      <c r="BE592" s="60">
        <v>0</v>
      </c>
      <c r="BF592" s="60">
        <v>-8.44</v>
      </c>
      <c r="BG592" s="60">
        <v>-2.12</v>
      </c>
      <c r="BH592" s="60">
        <v>0</v>
      </c>
      <c r="BI592" s="8">
        <f t="shared" si="502"/>
        <v>-759.24</v>
      </c>
      <c r="BJ592" s="2" t="s">
        <v>84</v>
      </c>
      <c r="BL592" s="70">
        <f>-6643600*0-6669600*0-7009600</f>
        <v>-7009600</v>
      </c>
      <c r="BM592" s="70">
        <f>-6643600*0-6669600*0-7009600</f>
        <v>-7009600</v>
      </c>
      <c r="BN592" s="70"/>
      <c r="BO592" s="70">
        <v>0</v>
      </c>
      <c r="BP592" s="70">
        <v>0</v>
      </c>
      <c r="BQ592" s="72"/>
      <c r="BS592" s="61">
        <f t="shared" si="446"/>
        <v>0</v>
      </c>
      <c r="BT592" s="61">
        <f t="shared" si="447"/>
        <v>0</v>
      </c>
      <c r="BU592" s="61">
        <f t="shared" si="491"/>
        <v>0</v>
      </c>
      <c r="BV592" s="61">
        <f t="shared" si="491"/>
        <v>0</v>
      </c>
      <c r="BW592" s="61">
        <f t="shared" si="491"/>
        <v>0</v>
      </c>
      <c r="BX592" s="61">
        <f t="shared" si="491"/>
        <v>0</v>
      </c>
      <c r="BY592" s="61" t="s">
        <v>91</v>
      </c>
      <c r="CA592" s="61">
        <f t="shared" si="492"/>
        <v>0</v>
      </c>
      <c r="CB592" s="61">
        <f t="shared" si="492"/>
        <v>0</v>
      </c>
      <c r="CC592" s="61">
        <f t="shared" si="492"/>
        <v>0</v>
      </c>
      <c r="CD592" s="61">
        <f t="shared" si="492"/>
        <v>0</v>
      </c>
      <c r="CE592" s="61">
        <f t="shared" si="492"/>
        <v>0</v>
      </c>
      <c r="CF592" s="61">
        <f t="shared" si="492"/>
        <v>0</v>
      </c>
      <c r="CG592" s="61">
        <f t="shared" si="492"/>
        <v>0</v>
      </c>
      <c r="CH592" s="61">
        <f t="shared" si="489"/>
        <v>0</v>
      </c>
      <c r="CI592" s="61">
        <f t="shared" si="450"/>
        <v>0</v>
      </c>
      <c r="CJ592" s="61"/>
      <c r="CK592" s="61">
        <f t="shared" si="493"/>
        <v>0</v>
      </c>
      <c r="CL592" s="61">
        <f t="shared" si="493"/>
        <v>0</v>
      </c>
      <c r="CM592" s="61">
        <f t="shared" si="493"/>
        <v>0</v>
      </c>
      <c r="CN592" s="61">
        <f t="shared" si="493"/>
        <v>0</v>
      </c>
      <c r="CO592" s="61">
        <f t="shared" si="493"/>
        <v>0</v>
      </c>
      <c r="CP592" s="61">
        <f t="shared" si="493"/>
        <v>0</v>
      </c>
      <c r="CQ592" s="61">
        <f t="shared" si="493"/>
        <v>0</v>
      </c>
      <c r="CR592" s="61">
        <f t="shared" si="490"/>
        <v>0</v>
      </c>
      <c r="CS592" s="61">
        <f t="shared" si="452"/>
        <v>0</v>
      </c>
      <c r="CT592" s="61">
        <f t="shared" si="453"/>
        <v>0</v>
      </c>
      <c r="CV592" s="61">
        <f t="shared" si="480"/>
        <v>0</v>
      </c>
      <c r="CW592" s="61">
        <f t="shared" si="433"/>
        <v>0</v>
      </c>
      <c r="CX592" s="61"/>
      <c r="CY592" s="61">
        <f t="shared" si="503"/>
        <v>0</v>
      </c>
      <c r="CZ592" s="61">
        <f t="shared" si="454"/>
        <v>0</v>
      </c>
      <c r="DA592" s="61">
        <f t="shared" si="454"/>
        <v>0</v>
      </c>
      <c r="DB592" s="2" t="s">
        <v>85</v>
      </c>
      <c r="DC592" s="2" t="s">
        <v>85</v>
      </c>
      <c r="DD592" s="2" t="s">
        <v>142</v>
      </c>
      <c r="DE592" s="2" t="s">
        <v>264</v>
      </c>
      <c r="DF592" s="3" t="s">
        <v>86</v>
      </c>
      <c r="DG592" s="102">
        <v>42927</v>
      </c>
      <c r="EC592" s="60"/>
      <c r="ED592" s="60"/>
      <c r="EE592" s="60"/>
      <c r="EF592" s="60"/>
    </row>
    <row r="593" spans="2:140" ht="12.75" hidden="1" customHeight="1">
      <c r="B593" s="99" t="s">
        <v>1116</v>
      </c>
      <c r="C593" s="22" t="s">
        <v>726</v>
      </c>
      <c r="D593" s="22" t="s">
        <v>727</v>
      </c>
      <c r="E593" s="22" t="s">
        <v>260</v>
      </c>
      <c r="F593" s="22" t="s">
        <v>1025</v>
      </c>
      <c r="G593" s="22" t="s">
        <v>994</v>
      </c>
      <c r="J593" s="22" t="s">
        <v>728</v>
      </c>
      <c r="K593" s="23" t="s">
        <v>1001</v>
      </c>
      <c r="L593" s="22" t="s">
        <v>210</v>
      </c>
      <c r="M593" s="51" t="str">
        <f t="shared" si="468"/>
        <v>MJD8B -LBBA-BBW</v>
      </c>
      <c r="O593" s="94">
        <v>0</v>
      </c>
      <c r="P593" s="94">
        <v>1</v>
      </c>
      <c r="Q593" s="94">
        <v>0</v>
      </c>
      <c r="R593" s="94">
        <v>0</v>
      </c>
      <c r="S593" s="94">
        <v>0</v>
      </c>
      <c r="T593" s="94">
        <v>0</v>
      </c>
      <c r="U593" s="94">
        <v>0</v>
      </c>
      <c r="V593" s="94">
        <v>0</v>
      </c>
      <c r="W593" s="64">
        <f t="shared" si="444"/>
        <v>0.16</v>
      </c>
      <c r="Y593" s="8">
        <f>-746.42*0-748.68</f>
        <v>-748.68</v>
      </c>
      <c r="Z593" s="8"/>
      <c r="AA593" s="8">
        <v>-8.44</v>
      </c>
      <c r="AB593" s="8">
        <v>-2.12</v>
      </c>
      <c r="AC593" s="8">
        <v>0</v>
      </c>
      <c r="AD593" s="8">
        <f t="shared" si="498"/>
        <v>-759.24</v>
      </c>
      <c r="AE593" s="2" t="s">
        <v>84</v>
      </c>
      <c r="AG593" s="8">
        <v>0</v>
      </c>
      <c r="AH593" s="8">
        <v>0</v>
      </c>
      <c r="AI593" s="70"/>
      <c r="AJ593" s="70">
        <v>0</v>
      </c>
      <c r="AK593" s="70">
        <v>0</v>
      </c>
      <c r="AL593" s="72"/>
      <c r="AM593" s="22"/>
      <c r="AO593" s="22" t="s">
        <v>728</v>
      </c>
      <c r="AP593" s="24" t="s">
        <v>1001</v>
      </c>
      <c r="AQ593" s="22" t="s">
        <v>210</v>
      </c>
      <c r="AR593" s="51" t="str">
        <f t="shared" si="481"/>
        <v>MJD8B -LBBA-BBW</v>
      </c>
      <c r="AS593" s="3"/>
      <c r="AT593" s="94">
        <v>0</v>
      </c>
      <c r="AU593" s="94">
        <v>1</v>
      </c>
      <c r="AV593" s="94">
        <v>0</v>
      </c>
      <c r="AW593" s="94">
        <v>0</v>
      </c>
      <c r="AX593" s="94">
        <v>0</v>
      </c>
      <c r="AY593" s="94">
        <v>0</v>
      </c>
      <c r="AZ593" s="94">
        <v>0</v>
      </c>
      <c r="BA593" s="94">
        <v>0</v>
      </c>
      <c r="BB593" s="64">
        <f t="shared" si="485"/>
        <v>0.16</v>
      </c>
      <c r="BD593" s="60">
        <f>-746.42*0-748.68</f>
        <v>-748.68</v>
      </c>
      <c r="BE593" s="60">
        <v>0</v>
      </c>
      <c r="BF593" s="60">
        <v>-8.44</v>
      </c>
      <c r="BG593" s="60">
        <v>-2.12</v>
      </c>
      <c r="BH593" s="60">
        <v>0</v>
      </c>
      <c r="BI593" s="8">
        <f t="shared" si="502"/>
        <v>-759.24</v>
      </c>
      <c r="BJ593" s="2" t="s">
        <v>84</v>
      </c>
      <c r="BL593" s="70">
        <v>0</v>
      </c>
      <c r="BM593" s="70">
        <v>0</v>
      </c>
      <c r="BN593" s="70"/>
      <c r="BO593" s="70">
        <v>0</v>
      </c>
      <c r="BP593" s="70">
        <v>0</v>
      </c>
      <c r="BQ593" s="72"/>
      <c r="BS593" s="61">
        <f t="shared" si="446"/>
        <v>0</v>
      </c>
      <c r="BT593" s="61">
        <f t="shared" si="447"/>
        <v>0</v>
      </c>
      <c r="BU593" s="61">
        <f t="shared" si="491"/>
        <v>0</v>
      </c>
      <c r="BV593" s="61">
        <f t="shared" si="491"/>
        <v>0</v>
      </c>
      <c r="BW593" s="61">
        <f t="shared" si="491"/>
        <v>0</v>
      </c>
      <c r="BX593" s="61">
        <f t="shared" si="491"/>
        <v>0</v>
      </c>
      <c r="BY593" s="61" t="s">
        <v>91</v>
      </c>
      <c r="CA593" s="61">
        <f t="shared" si="492"/>
        <v>0</v>
      </c>
      <c r="CB593" s="61">
        <f t="shared" si="492"/>
        <v>0</v>
      </c>
      <c r="CC593" s="61">
        <f t="shared" si="492"/>
        <v>0</v>
      </c>
      <c r="CD593" s="61">
        <f t="shared" si="492"/>
        <v>0</v>
      </c>
      <c r="CE593" s="61">
        <f t="shared" si="492"/>
        <v>0</v>
      </c>
      <c r="CF593" s="61">
        <f t="shared" si="492"/>
        <v>0</v>
      </c>
      <c r="CG593" s="61">
        <f t="shared" si="492"/>
        <v>0</v>
      </c>
      <c r="CH593" s="61">
        <f t="shared" si="489"/>
        <v>0</v>
      </c>
      <c r="CI593" s="61">
        <f t="shared" si="450"/>
        <v>0</v>
      </c>
      <c r="CJ593" s="61"/>
      <c r="CK593" s="61">
        <f t="shared" si="493"/>
        <v>0</v>
      </c>
      <c r="CL593" s="61">
        <f t="shared" si="493"/>
        <v>0</v>
      </c>
      <c r="CM593" s="61">
        <f t="shared" si="493"/>
        <v>0</v>
      </c>
      <c r="CN593" s="61">
        <f t="shared" si="493"/>
        <v>0</v>
      </c>
      <c r="CO593" s="61">
        <f t="shared" si="493"/>
        <v>0</v>
      </c>
      <c r="CP593" s="61">
        <f t="shared" si="493"/>
        <v>0</v>
      </c>
      <c r="CQ593" s="61">
        <f t="shared" si="493"/>
        <v>0</v>
      </c>
      <c r="CR593" s="61">
        <f t="shared" si="490"/>
        <v>0</v>
      </c>
      <c r="CS593" s="61">
        <f t="shared" si="452"/>
        <v>0</v>
      </c>
      <c r="CT593" s="61">
        <f t="shared" si="453"/>
        <v>0</v>
      </c>
      <c r="CV593" s="61">
        <f t="shared" si="480"/>
        <v>0</v>
      </c>
      <c r="CW593" s="61">
        <f t="shared" si="433"/>
        <v>0</v>
      </c>
      <c r="CX593" s="61"/>
      <c r="CY593" s="61">
        <f t="shared" si="503"/>
        <v>0</v>
      </c>
      <c r="CZ593" s="61">
        <f t="shared" si="454"/>
        <v>0</v>
      </c>
      <c r="DA593" s="61">
        <f t="shared" si="454"/>
        <v>0</v>
      </c>
      <c r="DB593" s="2" t="s">
        <v>85</v>
      </c>
      <c r="DC593" s="2" t="s">
        <v>85</v>
      </c>
      <c r="DD593" s="2" t="s">
        <v>142</v>
      </c>
      <c r="DE593" s="2" t="s">
        <v>264</v>
      </c>
      <c r="DF593" s="3" t="s">
        <v>86</v>
      </c>
      <c r="DG593" s="102">
        <v>42927</v>
      </c>
      <c r="EC593" s="60"/>
      <c r="ED593" s="60"/>
      <c r="EE593" s="60"/>
      <c r="EF593" s="60"/>
    </row>
    <row r="594" spans="2:140" ht="12.75" hidden="1" customHeight="1">
      <c r="B594" s="99" t="s">
        <v>1116</v>
      </c>
      <c r="C594" s="22" t="s">
        <v>726</v>
      </c>
      <c r="D594" s="22" t="s">
        <v>727</v>
      </c>
      <c r="E594" s="22" t="s">
        <v>260</v>
      </c>
      <c r="F594" s="22" t="s">
        <v>1025</v>
      </c>
      <c r="G594" s="22" t="s">
        <v>994</v>
      </c>
      <c r="J594" s="22" t="s">
        <v>728</v>
      </c>
      <c r="K594" s="23" t="s">
        <v>1001</v>
      </c>
      <c r="L594" s="22" t="s">
        <v>211</v>
      </c>
      <c r="M594" s="51" t="str">
        <f t="shared" si="468"/>
        <v>MJD8B -LBBA-CBW</v>
      </c>
      <c r="O594" s="94">
        <v>0</v>
      </c>
      <c r="P594" s="94">
        <v>0</v>
      </c>
      <c r="Q594" s="94">
        <v>0</v>
      </c>
      <c r="R594" s="94">
        <v>0</v>
      </c>
      <c r="S594" s="94">
        <v>0</v>
      </c>
      <c r="T594" s="94">
        <v>0</v>
      </c>
      <c r="U594" s="94">
        <v>0</v>
      </c>
      <c r="V594" s="94">
        <v>0</v>
      </c>
      <c r="W594" s="64">
        <f t="shared" si="444"/>
        <v>0</v>
      </c>
      <c r="Y594" s="8">
        <f>-730.88*0-733.14</f>
        <v>-733.14</v>
      </c>
      <c r="Z594" s="8"/>
      <c r="AA594" s="8">
        <v>-8.44</v>
      </c>
      <c r="AB594" s="8">
        <v>-2.12</v>
      </c>
      <c r="AC594" s="8">
        <v>0</v>
      </c>
      <c r="AD594" s="8">
        <f t="shared" si="498"/>
        <v>-743.7</v>
      </c>
      <c r="AE594" s="2" t="s">
        <v>84</v>
      </c>
      <c r="AG594" s="8">
        <v>0</v>
      </c>
      <c r="AH594" s="8">
        <v>0</v>
      </c>
      <c r="AI594" s="70"/>
      <c r="AJ594" s="70">
        <v>0</v>
      </c>
      <c r="AK594" s="70">
        <v>0</v>
      </c>
      <c r="AL594" s="72"/>
      <c r="AM594" s="22"/>
      <c r="AO594" s="22" t="s">
        <v>728</v>
      </c>
      <c r="AP594" s="24" t="s">
        <v>1001</v>
      </c>
      <c r="AQ594" s="22" t="s">
        <v>211</v>
      </c>
      <c r="AR594" s="51" t="str">
        <f t="shared" si="481"/>
        <v>MJD8B -LBBA-CBW</v>
      </c>
      <c r="AS594" s="3"/>
      <c r="AT594" s="94">
        <v>0</v>
      </c>
      <c r="AU594" s="94">
        <v>0</v>
      </c>
      <c r="AV594" s="94">
        <v>0</v>
      </c>
      <c r="AW594" s="94">
        <v>0</v>
      </c>
      <c r="AX594" s="94">
        <v>0</v>
      </c>
      <c r="AY594" s="94">
        <v>0</v>
      </c>
      <c r="AZ594" s="94">
        <v>0</v>
      </c>
      <c r="BA594" s="94">
        <v>0</v>
      </c>
      <c r="BB594" s="64">
        <f t="shared" si="485"/>
        <v>0</v>
      </c>
      <c r="BD594" s="60">
        <f>-730.88*0-733.14</f>
        <v>-733.14</v>
      </c>
      <c r="BE594" s="60">
        <v>0</v>
      </c>
      <c r="BF594" s="60">
        <v>-8.44</v>
      </c>
      <c r="BG594" s="60">
        <v>-2.12</v>
      </c>
      <c r="BH594" s="60">
        <v>0</v>
      </c>
      <c r="BI594" s="8">
        <f t="shared" si="502"/>
        <v>-743.7</v>
      </c>
      <c r="BJ594" s="2" t="s">
        <v>84</v>
      </c>
      <c r="BL594" s="70">
        <v>0</v>
      </c>
      <c r="BM594" s="70">
        <v>0</v>
      </c>
      <c r="BN594" s="70"/>
      <c r="BO594" s="70">
        <v>0</v>
      </c>
      <c r="BP594" s="70">
        <v>0</v>
      </c>
      <c r="BQ594" s="72"/>
      <c r="BS594" s="61">
        <f t="shared" si="446"/>
        <v>0</v>
      </c>
      <c r="BT594" s="61">
        <f t="shared" si="447"/>
        <v>0</v>
      </c>
      <c r="BU594" s="61">
        <f t="shared" si="491"/>
        <v>0</v>
      </c>
      <c r="BV594" s="61">
        <f t="shared" si="491"/>
        <v>0</v>
      </c>
      <c r="BW594" s="61">
        <f t="shared" si="491"/>
        <v>0</v>
      </c>
      <c r="BX594" s="61">
        <f t="shared" si="491"/>
        <v>0</v>
      </c>
      <c r="BY594" s="61" t="s">
        <v>91</v>
      </c>
      <c r="CA594" s="61">
        <f t="shared" si="492"/>
        <v>0</v>
      </c>
      <c r="CB594" s="61">
        <f t="shared" si="492"/>
        <v>0</v>
      </c>
      <c r="CC594" s="61">
        <f t="shared" si="492"/>
        <v>0</v>
      </c>
      <c r="CD594" s="61">
        <f t="shared" si="492"/>
        <v>0</v>
      </c>
      <c r="CE594" s="61">
        <f t="shared" si="492"/>
        <v>0</v>
      </c>
      <c r="CF594" s="61">
        <f t="shared" si="492"/>
        <v>0</v>
      </c>
      <c r="CG594" s="61">
        <f t="shared" si="492"/>
        <v>0</v>
      </c>
      <c r="CH594" s="61">
        <f t="shared" si="489"/>
        <v>0</v>
      </c>
      <c r="CI594" s="61">
        <f t="shared" si="450"/>
        <v>0</v>
      </c>
      <c r="CJ594" s="61"/>
      <c r="CK594" s="61">
        <f t="shared" si="493"/>
        <v>0</v>
      </c>
      <c r="CL594" s="61">
        <f t="shared" si="493"/>
        <v>0</v>
      </c>
      <c r="CM594" s="61">
        <f t="shared" si="493"/>
        <v>0</v>
      </c>
      <c r="CN594" s="61">
        <f t="shared" si="493"/>
        <v>0</v>
      </c>
      <c r="CO594" s="61">
        <f t="shared" si="493"/>
        <v>0</v>
      </c>
      <c r="CP594" s="61">
        <f t="shared" si="493"/>
        <v>0</v>
      </c>
      <c r="CQ594" s="61">
        <f t="shared" si="493"/>
        <v>0</v>
      </c>
      <c r="CR594" s="61">
        <f t="shared" si="490"/>
        <v>0</v>
      </c>
      <c r="CS594" s="61">
        <f t="shared" si="452"/>
        <v>0</v>
      </c>
      <c r="CT594" s="61">
        <f t="shared" si="453"/>
        <v>0</v>
      </c>
      <c r="CV594" s="61">
        <f t="shared" si="480"/>
        <v>0</v>
      </c>
      <c r="CW594" s="61">
        <f t="shared" si="433"/>
        <v>0</v>
      </c>
      <c r="CX594" s="61"/>
      <c r="CY594" s="61">
        <f t="shared" si="503"/>
        <v>0</v>
      </c>
      <c r="CZ594" s="61">
        <f t="shared" si="454"/>
        <v>0</v>
      </c>
      <c r="DA594" s="61">
        <f t="shared" si="454"/>
        <v>0</v>
      </c>
      <c r="DB594" s="2" t="s">
        <v>85</v>
      </c>
      <c r="DC594" s="2" t="s">
        <v>85</v>
      </c>
      <c r="DD594" s="2" t="s">
        <v>142</v>
      </c>
      <c r="DE594" s="2" t="s">
        <v>264</v>
      </c>
      <c r="DF594" s="3" t="s">
        <v>86</v>
      </c>
      <c r="DG594" s="102">
        <v>42927</v>
      </c>
      <c r="EC594" s="60"/>
      <c r="ED594" s="60"/>
      <c r="EE594" s="60"/>
      <c r="EF594" s="60"/>
    </row>
    <row r="595" spans="2:140" ht="12.75" hidden="1" customHeight="1">
      <c r="B595" s="99" t="s">
        <v>1116</v>
      </c>
      <c r="C595" s="22" t="s">
        <v>726</v>
      </c>
      <c r="D595" s="22" t="s">
        <v>727</v>
      </c>
      <c r="E595" s="22" t="s">
        <v>260</v>
      </c>
      <c r="F595" s="22" t="s">
        <v>1025</v>
      </c>
      <c r="G595" s="22" t="s">
        <v>994</v>
      </c>
      <c r="J595" s="22" t="s">
        <v>728</v>
      </c>
      <c r="K595" s="23" t="s">
        <v>1001</v>
      </c>
      <c r="L595" s="22" t="s">
        <v>212</v>
      </c>
      <c r="M595" s="51" t="str">
        <f t="shared" si="468"/>
        <v>MJD8B -LBBA-DBW</v>
      </c>
      <c r="O595" s="94">
        <v>0</v>
      </c>
      <c r="P595" s="94">
        <v>0</v>
      </c>
      <c r="Q595" s="94">
        <v>0</v>
      </c>
      <c r="R595" s="94">
        <v>0</v>
      </c>
      <c r="S595" s="94">
        <v>0</v>
      </c>
      <c r="T595" s="94">
        <v>0</v>
      </c>
      <c r="U595" s="94">
        <v>0</v>
      </c>
      <c r="V595" s="94">
        <v>0</v>
      </c>
      <c r="W595" s="64">
        <f t="shared" si="444"/>
        <v>0</v>
      </c>
      <c r="Y595" s="8">
        <f>-730.88*0-733.14</f>
        <v>-733.14</v>
      </c>
      <c r="Z595" s="8"/>
      <c r="AA595" s="8">
        <v>-8.44</v>
      </c>
      <c r="AB595" s="8">
        <v>-2.12</v>
      </c>
      <c r="AC595" s="8">
        <v>0</v>
      </c>
      <c r="AD595" s="8">
        <f t="shared" si="498"/>
        <v>-743.7</v>
      </c>
      <c r="AE595" s="2" t="s">
        <v>84</v>
      </c>
      <c r="AG595" s="8">
        <v>0</v>
      </c>
      <c r="AH595" s="8">
        <v>0</v>
      </c>
      <c r="AI595" s="70"/>
      <c r="AJ595" s="70">
        <v>0</v>
      </c>
      <c r="AK595" s="70">
        <v>0</v>
      </c>
      <c r="AL595" s="72"/>
      <c r="AM595" s="22"/>
      <c r="AO595" s="22" t="s">
        <v>728</v>
      </c>
      <c r="AP595" s="24" t="s">
        <v>1001</v>
      </c>
      <c r="AQ595" s="22" t="s">
        <v>212</v>
      </c>
      <c r="AR595" s="51" t="str">
        <f t="shared" si="481"/>
        <v>MJD8B -LBBA-DBW</v>
      </c>
      <c r="AS595" s="3"/>
      <c r="AT595" s="94">
        <v>0</v>
      </c>
      <c r="AU595" s="94">
        <v>0</v>
      </c>
      <c r="AV595" s="94">
        <v>0</v>
      </c>
      <c r="AW595" s="94">
        <v>0</v>
      </c>
      <c r="AX595" s="94">
        <v>0</v>
      </c>
      <c r="AY595" s="94">
        <v>0</v>
      </c>
      <c r="AZ595" s="94">
        <v>0</v>
      </c>
      <c r="BA595" s="94">
        <v>0</v>
      </c>
      <c r="BB595" s="64">
        <f t="shared" si="485"/>
        <v>0</v>
      </c>
      <c r="BD595" s="60">
        <f>-730.88*0-733.14</f>
        <v>-733.14</v>
      </c>
      <c r="BE595" s="60">
        <v>0</v>
      </c>
      <c r="BF595" s="60">
        <v>-8.44</v>
      </c>
      <c r="BG595" s="60">
        <v>-2.12</v>
      </c>
      <c r="BH595" s="60">
        <v>0</v>
      </c>
      <c r="BI595" s="8">
        <f t="shared" si="502"/>
        <v>-743.7</v>
      </c>
      <c r="BJ595" s="2" t="s">
        <v>84</v>
      </c>
      <c r="BL595" s="70">
        <v>0</v>
      </c>
      <c r="BM595" s="70">
        <v>0</v>
      </c>
      <c r="BN595" s="70"/>
      <c r="BO595" s="70">
        <v>0</v>
      </c>
      <c r="BP595" s="70">
        <v>0</v>
      </c>
      <c r="BQ595" s="72"/>
      <c r="BS595" s="61">
        <f t="shared" si="446"/>
        <v>0</v>
      </c>
      <c r="BT595" s="61">
        <f t="shared" si="447"/>
        <v>0</v>
      </c>
      <c r="BU595" s="61">
        <f t="shared" si="491"/>
        <v>0</v>
      </c>
      <c r="BV595" s="61">
        <f t="shared" si="491"/>
        <v>0</v>
      </c>
      <c r="BW595" s="61">
        <f t="shared" si="491"/>
        <v>0</v>
      </c>
      <c r="BX595" s="61">
        <f t="shared" si="491"/>
        <v>0</v>
      </c>
      <c r="BY595" s="61" t="s">
        <v>91</v>
      </c>
      <c r="CA595" s="61">
        <f t="shared" si="492"/>
        <v>0</v>
      </c>
      <c r="CB595" s="61">
        <f t="shared" si="492"/>
        <v>0</v>
      </c>
      <c r="CC595" s="61">
        <f t="shared" si="492"/>
        <v>0</v>
      </c>
      <c r="CD595" s="61">
        <f t="shared" si="492"/>
        <v>0</v>
      </c>
      <c r="CE595" s="61">
        <f t="shared" si="492"/>
        <v>0</v>
      </c>
      <c r="CF595" s="61">
        <f t="shared" si="492"/>
        <v>0</v>
      </c>
      <c r="CG595" s="61">
        <f t="shared" si="492"/>
        <v>0</v>
      </c>
      <c r="CH595" s="61">
        <f t="shared" si="489"/>
        <v>0</v>
      </c>
      <c r="CI595" s="61">
        <f t="shared" si="450"/>
        <v>0</v>
      </c>
      <c r="CJ595" s="61"/>
      <c r="CK595" s="61">
        <f t="shared" si="493"/>
        <v>0</v>
      </c>
      <c r="CL595" s="61">
        <f t="shared" si="493"/>
        <v>0</v>
      </c>
      <c r="CM595" s="61">
        <f t="shared" si="493"/>
        <v>0</v>
      </c>
      <c r="CN595" s="61">
        <f t="shared" si="493"/>
        <v>0</v>
      </c>
      <c r="CO595" s="61">
        <f t="shared" si="493"/>
        <v>0</v>
      </c>
      <c r="CP595" s="61">
        <f t="shared" si="493"/>
        <v>0</v>
      </c>
      <c r="CQ595" s="61">
        <f t="shared" si="493"/>
        <v>0</v>
      </c>
      <c r="CR595" s="61">
        <f t="shared" si="490"/>
        <v>0</v>
      </c>
      <c r="CS595" s="61">
        <f t="shared" si="452"/>
        <v>0</v>
      </c>
      <c r="CT595" s="61">
        <f t="shared" si="453"/>
        <v>0</v>
      </c>
      <c r="CV595" s="61">
        <f t="shared" si="480"/>
        <v>0</v>
      </c>
      <c r="CW595" s="61">
        <f t="shared" si="433"/>
        <v>0</v>
      </c>
      <c r="CX595" s="61"/>
      <c r="CY595" s="61">
        <f t="shared" si="503"/>
        <v>0</v>
      </c>
      <c r="CZ595" s="61">
        <f t="shared" si="454"/>
        <v>0</v>
      </c>
      <c r="DA595" s="61">
        <f t="shared" si="454"/>
        <v>0</v>
      </c>
      <c r="DB595" s="2" t="s">
        <v>85</v>
      </c>
      <c r="DC595" s="2" t="s">
        <v>85</v>
      </c>
      <c r="DD595" s="2" t="s">
        <v>142</v>
      </c>
      <c r="DE595" s="2" t="s">
        <v>264</v>
      </c>
      <c r="DF595" s="3" t="s">
        <v>86</v>
      </c>
      <c r="DG595" s="102">
        <v>42927</v>
      </c>
      <c r="EC595" s="60"/>
      <c r="ED595" s="60"/>
      <c r="EE595" s="60"/>
      <c r="EF595" s="60"/>
    </row>
    <row r="596" spans="2:140" ht="12.75" hidden="1" customHeight="1">
      <c r="B596" s="99" t="s">
        <v>1116</v>
      </c>
      <c r="C596" s="22" t="s">
        <v>726</v>
      </c>
      <c r="D596" s="22" t="s">
        <v>727</v>
      </c>
      <c r="E596" s="22" t="s">
        <v>260</v>
      </c>
      <c r="F596" s="22" t="s">
        <v>1025</v>
      </c>
      <c r="G596" s="22" t="s">
        <v>994</v>
      </c>
      <c r="J596" s="22" t="s">
        <v>728</v>
      </c>
      <c r="K596" s="23" t="s">
        <v>1001</v>
      </c>
      <c r="L596" s="22" t="s">
        <v>740</v>
      </c>
      <c r="M596" s="51" t="str">
        <f t="shared" si="468"/>
        <v>MJD8B -LBBA-EBW</v>
      </c>
      <c r="O596" s="94">
        <v>0</v>
      </c>
      <c r="P596" s="94">
        <v>0</v>
      </c>
      <c r="Q596" s="94">
        <v>1</v>
      </c>
      <c r="R596" s="94">
        <v>0</v>
      </c>
      <c r="S596" s="94">
        <v>0</v>
      </c>
      <c r="T596" s="94">
        <v>0</v>
      </c>
      <c r="U596" s="94">
        <v>0</v>
      </c>
      <c r="V596" s="94">
        <v>0</v>
      </c>
      <c r="W596" s="64">
        <f t="shared" si="444"/>
        <v>0.14000000000000001</v>
      </c>
      <c r="Y596" s="8">
        <f>-1036.49*0-1038.75</f>
        <v>-1038.75</v>
      </c>
      <c r="Z596" s="8"/>
      <c r="AA596" s="8">
        <v>-8.4600000000000009</v>
      </c>
      <c r="AB596" s="8">
        <v>-2.12</v>
      </c>
      <c r="AC596" s="8">
        <v>0</v>
      </c>
      <c r="AD596" s="8">
        <f t="shared" si="498"/>
        <v>-1049.33</v>
      </c>
      <c r="AE596" s="2" t="s">
        <v>84</v>
      </c>
      <c r="AG596" s="8">
        <v>0</v>
      </c>
      <c r="AH596" s="8">
        <v>0</v>
      </c>
      <c r="AI596" s="70"/>
      <c r="AJ596" s="70">
        <v>0</v>
      </c>
      <c r="AK596" s="70">
        <v>0</v>
      </c>
      <c r="AL596" s="72"/>
      <c r="AM596" s="22"/>
      <c r="AO596" s="22" t="s">
        <v>728</v>
      </c>
      <c r="AP596" s="24" t="s">
        <v>1001</v>
      </c>
      <c r="AQ596" s="22" t="s">
        <v>740</v>
      </c>
      <c r="AR596" s="51" t="str">
        <f t="shared" si="481"/>
        <v>MJD8B -LBBA-EBW</v>
      </c>
      <c r="AS596" s="3"/>
      <c r="AT596" s="94">
        <v>0</v>
      </c>
      <c r="AU596" s="94">
        <v>0</v>
      </c>
      <c r="AV596" s="94">
        <v>1</v>
      </c>
      <c r="AW596" s="94">
        <v>0</v>
      </c>
      <c r="AX596" s="94">
        <v>0</v>
      </c>
      <c r="AY596" s="94">
        <v>0</v>
      </c>
      <c r="AZ596" s="94">
        <v>0</v>
      </c>
      <c r="BA596" s="94">
        <v>0</v>
      </c>
      <c r="BB596" s="64">
        <f t="shared" si="485"/>
        <v>0.14000000000000001</v>
      </c>
      <c r="BD596" s="60">
        <f>-1036.49*0-1038.75</f>
        <v>-1038.75</v>
      </c>
      <c r="BE596" s="60">
        <v>0</v>
      </c>
      <c r="BF596" s="60">
        <v>-8.4600000000000009</v>
      </c>
      <c r="BG596" s="60">
        <v>-2.12</v>
      </c>
      <c r="BH596" s="60">
        <v>0</v>
      </c>
      <c r="BI596" s="8">
        <f t="shared" si="502"/>
        <v>-1049.33</v>
      </c>
      <c r="BJ596" s="2" t="s">
        <v>84</v>
      </c>
      <c r="BL596" s="70">
        <v>0</v>
      </c>
      <c r="BM596" s="70">
        <v>0</v>
      </c>
      <c r="BN596" s="70"/>
      <c r="BO596" s="70">
        <v>0</v>
      </c>
      <c r="BP596" s="70">
        <v>0</v>
      </c>
      <c r="BQ596" s="72"/>
      <c r="BS596" s="61">
        <f t="shared" si="446"/>
        <v>0</v>
      </c>
      <c r="BT596" s="61">
        <f t="shared" si="447"/>
        <v>0</v>
      </c>
      <c r="BU596" s="61">
        <f t="shared" si="491"/>
        <v>0</v>
      </c>
      <c r="BV596" s="61">
        <f t="shared" si="491"/>
        <v>0</v>
      </c>
      <c r="BW596" s="61">
        <f t="shared" si="491"/>
        <v>0</v>
      </c>
      <c r="BX596" s="61">
        <f t="shared" si="491"/>
        <v>0</v>
      </c>
      <c r="BY596" s="61" t="s">
        <v>91</v>
      </c>
      <c r="CA596" s="61">
        <f t="shared" si="492"/>
        <v>0</v>
      </c>
      <c r="CB596" s="61">
        <f t="shared" si="492"/>
        <v>0</v>
      </c>
      <c r="CC596" s="61">
        <f t="shared" si="492"/>
        <v>0</v>
      </c>
      <c r="CD596" s="61">
        <f t="shared" si="492"/>
        <v>0</v>
      </c>
      <c r="CE596" s="61">
        <f t="shared" si="492"/>
        <v>0</v>
      </c>
      <c r="CF596" s="61">
        <f t="shared" si="492"/>
        <v>0</v>
      </c>
      <c r="CG596" s="61">
        <f t="shared" si="492"/>
        <v>0</v>
      </c>
      <c r="CH596" s="61">
        <f t="shared" si="489"/>
        <v>0</v>
      </c>
      <c r="CI596" s="61">
        <f t="shared" si="450"/>
        <v>0</v>
      </c>
      <c r="CJ596" s="61"/>
      <c r="CK596" s="61">
        <f t="shared" si="493"/>
        <v>0</v>
      </c>
      <c r="CL596" s="61">
        <f t="shared" si="493"/>
        <v>0</v>
      </c>
      <c r="CM596" s="61">
        <f t="shared" si="493"/>
        <v>0</v>
      </c>
      <c r="CN596" s="61">
        <f t="shared" si="493"/>
        <v>0</v>
      </c>
      <c r="CO596" s="61">
        <f t="shared" si="493"/>
        <v>0</v>
      </c>
      <c r="CP596" s="61">
        <f t="shared" si="493"/>
        <v>0</v>
      </c>
      <c r="CQ596" s="61">
        <f t="shared" si="493"/>
        <v>0</v>
      </c>
      <c r="CR596" s="61">
        <f t="shared" si="490"/>
        <v>0</v>
      </c>
      <c r="CS596" s="61">
        <f t="shared" si="452"/>
        <v>0</v>
      </c>
      <c r="CT596" s="61">
        <f t="shared" si="453"/>
        <v>0</v>
      </c>
      <c r="CV596" s="61">
        <f t="shared" si="480"/>
        <v>0</v>
      </c>
      <c r="CW596" s="61">
        <f t="shared" si="433"/>
        <v>0</v>
      </c>
      <c r="CX596" s="61"/>
      <c r="CY596" s="61">
        <f t="shared" si="503"/>
        <v>0</v>
      </c>
      <c r="CZ596" s="61">
        <f t="shared" si="454"/>
        <v>0</v>
      </c>
      <c r="DA596" s="61">
        <f t="shared" si="454"/>
        <v>0</v>
      </c>
      <c r="DB596" s="2" t="s">
        <v>85</v>
      </c>
      <c r="DC596" s="2" t="s">
        <v>85</v>
      </c>
      <c r="DD596" s="2" t="s">
        <v>142</v>
      </c>
      <c r="DE596" s="2" t="s">
        <v>264</v>
      </c>
      <c r="DF596" s="3" t="s">
        <v>86</v>
      </c>
      <c r="DG596" s="102">
        <v>42927</v>
      </c>
      <c r="EC596" s="60"/>
      <c r="ED596" s="60"/>
      <c r="EE596" s="60"/>
      <c r="EF596" s="60"/>
    </row>
    <row r="597" spans="2:140" ht="12.75" hidden="1" customHeight="1">
      <c r="B597" s="99" t="s">
        <v>1116</v>
      </c>
      <c r="C597" s="22" t="s">
        <v>726</v>
      </c>
      <c r="D597" s="22" t="s">
        <v>727</v>
      </c>
      <c r="E597" s="22" t="s">
        <v>260</v>
      </c>
      <c r="F597" s="22" t="s">
        <v>1025</v>
      </c>
      <c r="G597" s="22" t="s">
        <v>994</v>
      </c>
      <c r="J597" s="22" t="s">
        <v>728</v>
      </c>
      <c r="K597" s="23" t="s">
        <v>1001</v>
      </c>
      <c r="L597" s="22" t="s">
        <v>741</v>
      </c>
      <c r="M597" s="51" t="str">
        <f t="shared" si="468"/>
        <v>MJD8B -LBBA-FBW</v>
      </c>
      <c r="O597" s="94">
        <v>0</v>
      </c>
      <c r="P597" s="94">
        <v>0</v>
      </c>
      <c r="Q597" s="94">
        <v>0</v>
      </c>
      <c r="R597" s="94">
        <v>1</v>
      </c>
      <c r="S597" s="94">
        <v>0</v>
      </c>
      <c r="T597" s="94">
        <v>0</v>
      </c>
      <c r="U597" s="94">
        <v>0</v>
      </c>
      <c r="V597" s="94">
        <v>0</v>
      </c>
      <c r="W597" s="64">
        <f t="shared" si="444"/>
        <v>0.23</v>
      </c>
      <c r="Y597" s="8">
        <f>-1036.49*0-1038.75</f>
        <v>-1038.75</v>
      </c>
      <c r="Z597" s="8"/>
      <c r="AA597" s="8">
        <v>-8.4600000000000009</v>
      </c>
      <c r="AB597" s="8">
        <v>-2.12</v>
      </c>
      <c r="AC597" s="8">
        <v>0</v>
      </c>
      <c r="AD597" s="8">
        <f t="shared" si="498"/>
        <v>-1049.33</v>
      </c>
      <c r="AE597" s="2" t="s">
        <v>84</v>
      </c>
      <c r="AG597" s="8">
        <v>0</v>
      </c>
      <c r="AH597" s="8">
        <v>0</v>
      </c>
      <c r="AI597" s="70"/>
      <c r="AJ597" s="70">
        <v>0</v>
      </c>
      <c r="AK597" s="70">
        <v>0</v>
      </c>
      <c r="AL597" s="72"/>
      <c r="AM597" s="22"/>
      <c r="AO597" s="22" t="s">
        <v>728</v>
      </c>
      <c r="AP597" s="24" t="s">
        <v>1001</v>
      </c>
      <c r="AQ597" s="22" t="s">
        <v>741</v>
      </c>
      <c r="AR597" s="51" t="str">
        <f t="shared" si="481"/>
        <v>MJD8B -LBBA-FBW</v>
      </c>
      <c r="AS597" s="3"/>
      <c r="AT597" s="94">
        <v>0</v>
      </c>
      <c r="AU597" s="94">
        <v>0</v>
      </c>
      <c r="AV597" s="94">
        <v>0</v>
      </c>
      <c r="AW597" s="94">
        <v>1</v>
      </c>
      <c r="AX597" s="94">
        <v>0</v>
      </c>
      <c r="AY597" s="94">
        <v>0</v>
      </c>
      <c r="AZ597" s="94">
        <v>0</v>
      </c>
      <c r="BA597" s="94">
        <v>0</v>
      </c>
      <c r="BB597" s="64">
        <f t="shared" si="485"/>
        <v>0.23</v>
      </c>
      <c r="BD597" s="60">
        <f>-1036.49*0-1038.75</f>
        <v>-1038.75</v>
      </c>
      <c r="BE597" s="60">
        <v>0</v>
      </c>
      <c r="BF597" s="60">
        <v>-8.4600000000000009</v>
      </c>
      <c r="BG597" s="60">
        <v>-2.12</v>
      </c>
      <c r="BH597" s="60">
        <v>0</v>
      </c>
      <c r="BI597" s="8">
        <f t="shared" si="502"/>
        <v>-1049.33</v>
      </c>
      <c r="BJ597" s="2" t="s">
        <v>84</v>
      </c>
      <c r="BL597" s="70">
        <v>0</v>
      </c>
      <c r="BM597" s="70">
        <v>0</v>
      </c>
      <c r="BN597" s="70"/>
      <c r="BO597" s="70">
        <v>0</v>
      </c>
      <c r="BP597" s="70">
        <v>0</v>
      </c>
      <c r="BQ597" s="72"/>
      <c r="BS597" s="61">
        <f t="shared" si="446"/>
        <v>0</v>
      </c>
      <c r="BT597" s="61">
        <f t="shared" si="447"/>
        <v>0</v>
      </c>
      <c r="BU597" s="61">
        <f t="shared" si="491"/>
        <v>0</v>
      </c>
      <c r="BV597" s="61">
        <f t="shared" si="491"/>
        <v>0</v>
      </c>
      <c r="BW597" s="61">
        <f t="shared" si="491"/>
        <v>0</v>
      </c>
      <c r="BX597" s="61">
        <f t="shared" si="491"/>
        <v>0</v>
      </c>
      <c r="BY597" s="61" t="s">
        <v>91</v>
      </c>
      <c r="CA597" s="61">
        <f t="shared" si="492"/>
        <v>0</v>
      </c>
      <c r="CB597" s="61">
        <f t="shared" si="492"/>
        <v>0</v>
      </c>
      <c r="CC597" s="61">
        <f t="shared" si="492"/>
        <v>0</v>
      </c>
      <c r="CD597" s="61">
        <f t="shared" si="492"/>
        <v>0</v>
      </c>
      <c r="CE597" s="61">
        <f t="shared" si="492"/>
        <v>0</v>
      </c>
      <c r="CF597" s="61">
        <f t="shared" si="492"/>
        <v>0</v>
      </c>
      <c r="CG597" s="61">
        <f t="shared" si="492"/>
        <v>0</v>
      </c>
      <c r="CH597" s="61">
        <f t="shared" si="489"/>
        <v>0</v>
      </c>
      <c r="CI597" s="61">
        <f t="shared" si="450"/>
        <v>0</v>
      </c>
      <c r="CJ597" s="61"/>
      <c r="CK597" s="61">
        <f t="shared" si="493"/>
        <v>0</v>
      </c>
      <c r="CL597" s="61">
        <f t="shared" si="493"/>
        <v>0</v>
      </c>
      <c r="CM597" s="61">
        <f t="shared" si="493"/>
        <v>0</v>
      </c>
      <c r="CN597" s="61">
        <f t="shared" si="493"/>
        <v>0</v>
      </c>
      <c r="CO597" s="61">
        <f t="shared" si="493"/>
        <v>0</v>
      </c>
      <c r="CP597" s="61">
        <f t="shared" si="493"/>
        <v>0</v>
      </c>
      <c r="CQ597" s="61">
        <f t="shared" si="493"/>
        <v>0</v>
      </c>
      <c r="CR597" s="61">
        <f t="shared" si="490"/>
        <v>0</v>
      </c>
      <c r="CS597" s="61">
        <f t="shared" si="452"/>
        <v>0</v>
      </c>
      <c r="CT597" s="61">
        <f t="shared" si="453"/>
        <v>0</v>
      </c>
      <c r="CV597" s="61">
        <f t="shared" si="480"/>
        <v>0</v>
      </c>
      <c r="CW597" s="61">
        <f t="shared" si="433"/>
        <v>0</v>
      </c>
      <c r="CX597" s="61"/>
      <c r="CY597" s="61">
        <f t="shared" si="503"/>
        <v>0</v>
      </c>
      <c r="CZ597" s="61">
        <f t="shared" si="454"/>
        <v>0</v>
      </c>
      <c r="DA597" s="61">
        <f t="shared" si="454"/>
        <v>0</v>
      </c>
      <c r="DB597" s="2" t="s">
        <v>85</v>
      </c>
      <c r="DC597" s="2" t="s">
        <v>85</v>
      </c>
      <c r="DD597" s="2" t="s">
        <v>142</v>
      </c>
      <c r="DE597" s="2" t="s">
        <v>264</v>
      </c>
      <c r="DF597" s="3" t="s">
        <v>86</v>
      </c>
      <c r="DG597" s="102">
        <v>42927</v>
      </c>
      <c r="EC597" s="60"/>
      <c r="ED597" s="60"/>
      <c r="EE597" s="60"/>
      <c r="EF597" s="60"/>
    </row>
    <row r="598" spans="2:140" ht="12.75" hidden="1" customHeight="1">
      <c r="B598" s="99" t="s">
        <v>1116</v>
      </c>
      <c r="C598" s="22" t="s">
        <v>726</v>
      </c>
      <c r="D598" s="22" t="s">
        <v>727</v>
      </c>
      <c r="E598" s="22" t="s">
        <v>260</v>
      </c>
      <c r="F598" s="22" t="s">
        <v>1025</v>
      </c>
      <c r="G598" s="22" t="s">
        <v>994</v>
      </c>
      <c r="J598" s="22" t="s">
        <v>728</v>
      </c>
      <c r="K598" s="23" t="s">
        <v>1001</v>
      </c>
      <c r="L598" s="22" t="s">
        <v>742</v>
      </c>
      <c r="M598" s="51" t="str">
        <f t="shared" si="468"/>
        <v>MJD8B -LBBA-GBW</v>
      </c>
      <c r="O598" s="94">
        <v>0</v>
      </c>
      <c r="P598" s="94">
        <v>0</v>
      </c>
      <c r="Q598" s="94">
        <v>0</v>
      </c>
      <c r="R598" s="94">
        <v>0</v>
      </c>
      <c r="S598" s="94">
        <v>0</v>
      </c>
      <c r="T598" s="94">
        <v>0</v>
      </c>
      <c r="U598" s="94">
        <v>0</v>
      </c>
      <c r="V598" s="94">
        <v>0</v>
      </c>
      <c r="W598" s="64">
        <f t="shared" si="444"/>
        <v>0</v>
      </c>
      <c r="Y598" s="8">
        <f>-1020.95*0-1023.21</f>
        <v>-1023.21</v>
      </c>
      <c r="Z598" s="8"/>
      <c r="AA598" s="8">
        <v>-8.4600000000000009</v>
      </c>
      <c r="AB598" s="8">
        <v>-2.12</v>
      </c>
      <c r="AC598" s="8">
        <v>0</v>
      </c>
      <c r="AD598" s="8">
        <f t="shared" si="498"/>
        <v>-1033.79</v>
      </c>
      <c r="AE598" s="2" t="s">
        <v>84</v>
      </c>
      <c r="AG598" s="8">
        <v>0</v>
      </c>
      <c r="AH598" s="8">
        <v>0</v>
      </c>
      <c r="AI598" s="70"/>
      <c r="AJ598" s="70">
        <v>0</v>
      </c>
      <c r="AK598" s="70">
        <v>0</v>
      </c>
      <c r="AL598" s="72"/>
      <c r="AM598" s="22"/>
      <c r="AO598" s="22" t="s">
        <v>728</v>
      </c>
      <c r="AP598" s="24" t="s">
        <v>1001</v>
      </c>
      <c r="AQ598" s="22" t="s">
        <v>742</v>
      </c>
      <c r="AR598" s="51" t="str">
        <f t="shared" si="481"/>
        <v>MJD8B -LBBA-GBW</v>
      </c>
      <c r="AS598" s="3"/>
      <c r="AT598" s="94">
        <v>0</v>
      </c>
      <c r="AU598" s="94">
        <v>0</v>
      </c>
      <c r="AV598" s="94">
        <v>0</v>
      </c>
      <c r="AW598" s="94">
        <v>0</v>
      </c>
      <c r="AX598" s="94">
        <v>0</v>
      </c>
      <c r="AY598" s="94">
        <v>0</v>
      </c>
      <c r="AZ598" s="94">
        <v>0</v>
      </c>
      <c r="BA598" s="94">
        <v>0</v>
      </c>
      <c r="BB598" s="64">
        <f t="shared" si="485"/>
        <v>0</v>
      </c>
      <c r="BD598" s="60">
        <f>-1020.95*0-1023.21</f>
        <v>-1023.21</v>
      </c>
      <c r="BE598" s="60">
        <v>0</v>
      </c>
      <c r="BF598" s="60">
        <v>-8.4600000000000009</v>
      </c>
      <c r="BG598" s="60">
        <v>-2.12</v>
      </c>
      <c r="BH598" s="60">
        <v>0</v>
      </c>
      <c r="BI598" s="8">
        <f t="shared" si="502"/>
        <v>-1033.79</v>
      </c>
      <c r="BJ598" s="2" t="s">
        <v>84</v>
      </c>
      <c r="BL598" s="70">
        <v>0</v>
      </c>
      <c r="BM598" s="70">
        <v>0</v>
      </c>
      <c r="BN598" s="70"/>
      <c r="BO598" s="70">
        <v>0</v>
      </c>
      <c r="BP598" s="70">
        <v>0</v>
      </c>
      <c r="BQ598" s="72"/>
      <c r="BS598" s="61">
        <f t="shared" si="446"/>
        <v>0</v>
      </c>
      <c r="BT598" s="61">
        <f t="shared" si="447"/>
        <v>0</v>
      </c>
      <c r="BU598" s="61">
        <f t="shared" si="491"/>
        <v>0</v>
      </c>
      <c r="BV598" s="61">
        <f t="shared" si="491"/>
        <v>0</v>
      </c>
      <c r="BW598" s="61">
        <f t="shared" si="491"/>
        <v>0</v>
      </c>
      <c r="BX598" s="61">
        <f t="shared" si="491"/>
        <v>0</v>
      </c>
      <c r="BY598" s="61" t="s">
        <v>91</v>
      </c>
      <c r="CA598" s="61">
        <f t="shared" si="492"/>
        <v>0</v>
      </c>
      <c r="CB598" s="61">
        <f t="shared" si="492"/>
        <v>0</v>
      </c>
      <c r="CC598" s="61">
        <f t="shared" si="492"/>
        <v>0</v>
      </c>
      <c r="CD598" s="61">
        <f t="shared" si="492"/>
        <v>0</v>
      </c>
      <c r="CE598" s="61">
        <f t="shared" si="492"/>
        <v>0</v>
      </c>
      <c r="CF598" s="61">
        <f t="shared" si="492"/>
        <v>0</v>
      </c>
      <c r="CG598" s="61">
        <f t="shared" si="492"/>
        <v>0</v>
      </c>
      <c r="CH598" s="61">
        <f t="shared" si="489"/>
        <v>0</v>
      </c>
      <c r="CI598" s="61">
        <f t="shared" si="450"/>
        <v>0</v>
      </c>
      <c r="CJ598" s="61"/>
      <c r="CK598" s="61">
        <f t="shared" si="493"/>
        <v>0</v>
      </c>
      <c r="CL598" s="61">
        <f t="shared" si="493"/>
        <v>0</v>
      </c>
      <c r="CM598" s="61">
        <f t="shared" si="493"/>
        <v>0</v>
      </c>
      <c r="CN598" s="61">
        <f t="shared" si="493"/>
        <v>0</v>
      </c>
      <c r="CO598" s="61">
        <f t="shared" si="493"/>
        <v>0</v>
      </c>
      <c r="CP598" s="61">
        <f t="shared" si="493"/>
        <v>0</v>
      </c>
      <c r="CQ598" s="61">
        <f t="shared" si="493"/>
        <v>0</v>
      </c>
      <c r="CR598" s="61">
        <f t="shared" si="490"/>
        <v>0</v>
      </c>
      <c r="CS598" s="61">
        <f t="shared" si="452"/>
        <v>0</v>
      </c>
      <c r="CT598" s="61">
        <f t="shared" si="453"/>
        <v>0</v>
      </c>
      <c r="CV598" s="61">
        <f t="shared" si="480"/>
        <v>0</v>
      </c>
      <c r="CW598" s="61">
        <f t="shared" si="433"/>
        <v>0</v>
      </c>
      <c r="CX598" s="61"/>
      <c r="CY598" s="61">
        <f t="shared" si="503"/>
        <v>0</v>
      </c>
      <c r="CZ598" s="61">
        <f t="shared" si="454"/>
        <v>0</v>
      </c>
      <c r="DA598" s="61">
        <f t="shared" si="454"/>
        <v>0</v>
      </c>
      <c r="DB598" s="2" t="s">
        <v>85</v>
      </c>
      <c r="DC598" s="2" t="s">
        <v>85</v>
      </c>
      <c r="DD598" s="2" t="s">
        <v>142</v>
      </c>
      <c r="DE598" s="2" t="s">
        <v>264</v>
      </c>
      <c r="DF598" s="3" t="s">
        <v>86</v>
      </c>
      <c r="DG598" s="102">
        <v>42927</v>
      </c>
      <c r="EC598" s="60"/>
      <c r="ED598" s="60"/>
      <c r="EE598" s="60"/>
      <c r="EF598" s="60"/>
    </row>
    <row r="599" spans="2:140" ht="12.75" hidden="1" customHeight="1">
      <c r="B599" s="99" t="s">
        <v>1116</v>
      </c>
      <c r="C599" s="22" t="s">
        <v>726</v>
      </c>
      <c r="D599" s="22" t="s">
        <v>727</v>
      </c>
      <c r="E599" s="22" t="s">
        <v>260</v>
      </c>
      <c r="F599" s="22" t="s">
        <v>1025</v>
      </c>
      <c r="G599" s="22" t="s">
        <v>994</v>
      </c>
      <c r="J599" s="22" t="s">
        <v>728</v>
      </c>
      <c r="K599" s="23" t="s">
        <v>1001</v>
      </c>
      <c r="L599" s="22" t="s">
        <v>743</v>
      </c>
      <c r="M599" s="51" t="str">
        <f t="shared" si="468"/>
        <v>MJD8B -LBBA-HBW</v>
      </c>
      <c r="O599" s="94">
        <v>0</v>
      </c>
      <c r="P599" s="94">
        <v>0</v>
      </c>
      <c r="Q599" s="94">
        <v>0</v>
      </c>
      <c r="R599" s="94">
        <v>0</v>
      </c>
      <c r="S599" s="94">
        <v>0</v>
      </c>
      <c r="T599" s="94">
        <v>0</v>
      </c>
      <c r="U599" s="94">
        <v>0</v>
      </c>
      <c r="V599" s="94">
        <v>0</v>
      </c>
      <c r="W599" s="64">
        <f t="shared" si="444"/>
        <v>0</v>
      </c>
      <c r="Y599" s="8">
        <f>-1020.95*0-1023.21</f>
        <v>-1023.21</v>
      </c>
      <c r="Z599" s="8"/>
      <c r="AA599" s="8">
        <v>-8.4600000000000009</v>
      </c>
      <c r="AB599" s="8">
        <v>-2.12</v>
      </c>
      <c r="AC599" s="8">
        <v>0</v>
      </c>
      <c r="AD599" s="8">
        <f t="shared" si="498"/>
        <v>-1033.79</v>
      </c>
      <c r="AE599" s="2" t="s">
        <v>84</v>
      </c>
      <c r="AG599" s="8">
        <v>0</v>
      </c>
      <c r="AH599" s="8">
        <v>0</v>
      </c>
      <c r="AI599" s="70"/>
      <c r="AJ599" s="70">
        <v>0</v>
      </c>
      <c r="AK599" s="70">
        <v>0</v>
      </c>
      <c r="AL599" s="72"/>
      <c r="AM599" s="22"/>
      <c r="AO599" s="22" t="s">
        <v>728</v>
      </c>
      <c r="AP599" s="24" t="s">
        <v>1001</v>
      </c>
      <c r="AQ599" s="22" t="s">
        <v>743</v>
      </c>
      <c r="AR599" s="51" t="str">
        <f t="shared" si="481"/>
        <v>MJD8B -LBBA-HBW</v>
      </c>
      <c r="AS599" s="3"/>
      <c r="AT599" s="94">
        <v>0</v>
      </c>
      <c r="AU599" s="94">
        <v>0</v>
      </c>
      <c r="AV599" s="94">
        <v>0</v>
      </c>
      <c r="AW599" s="94">
        <v>0</v>
      </c>
      <c r="AX599" s="94">
        <v>0</v>
      </c>
      <c r="AY599" s="94">
        <v>0</v>
      </c>
      <c r="AZ599" s="94">
        <v>0</v>
      </c>
      <c r="BA599" s="94">
        <v>0</v>
      </c>
      <c r="BB599" s="64">
        <f t="shared" si="485"/>
        <v>0</v>
      </c>
      <c r="BD599" s="60">
        <f>-1020.95*0-1023.21</f>
        <v>-1023.21</v>
      </c>
      <c r="BE599" s="60">
        <v>0</v>
      </c>
      <c r="BF599" s="60">
        <v>-8.4600000000000009</v>
      </c>
      <c r="BG599" s="60">
        <v>-2.12</v>
      </c>
      <c r="BH599" s="60">
        <v>0</v>
      </c>
      <c r="BI599" s="8">
        <f t="shared" si="502"/>
        <v>-1033.79</v>
      </c>
      <c r="BJ599" s="2" t="s">
        <v>84</v>
      </c>
      <c r="BL599" s="70">
        <v>0</v>
      </c>
      <c r="BM599" s="70">
        <v>0</v>
      </c>
      <c r="BN599" s="70"/>
      <c r="BO599" s="70">
        <v>0</v>
      </c>
      <c r="BP599" s="70">
        <v>0</v>
      </c>
      <c r="BQ599" s="72"/>
      <c r="BS599" s="61">
        <f t="shared" si="446"/>
        <v>0</v>
      </c>
      <c r="BT599" s="61">
        <f t="shared" si="447"/>
        <v>0</v>
      </c>
      <c r="BU599" s="61">
        <f t="shared" si="491"/>
        <v>0</v>
      </c>
      <c r="BV599" s="61">
        <f t="shared" si="491"/>
        <v>0</v>
      </c>
      <c r="BW599" s="61">
        <f t="shared" si="491"/>
        <v>0</v>
      </c>
      <c r="BX599" s="61">
        <f t="shared" si="491"/>
        <v>0</v>
      </c>
      <c r="BY599" s="61" t="s">
        <v>91</v>
      </c>
      <c r="CA599" s="61">
        <f t="shared" si="492"/>
        <v>0</v>
      </c>
      <c r="CB599" s="61">
        <f t="shared" si="492"/>
        <v>0</v>
      </c>
      <c r="CC599" s="61">
        <f t="shared" si="492"/>
        <v>0</v>
      </c>
      <c r="CD599" s="61">
        <f t="shared" si="492"/>
        <v>0</v>
      </c>
      <c r="CE599" s="61">
        <f t="shared" si="492"/>
        <v>0</v>
      </c>
      <c r="CF599" s="61">
        <f t="shared" si="492"/>
        <v>0</v>
      </c>
      <c r="CG599" s="61">
        <f t="shared" si="492"/>
        <v>0</v>
      </c>
      <c r="CH599" s="61">
        <f t="shared" si="489"/>
        <v>0</v>
      </c>
      <c r="CI599" s="61"/>
      <c r="CJ599" s="61"/>
      <c r="CK599" s="61">
        <f t="shared" si="493"/>
        <v>0</v>
      </c>
      <c r="CL599" s="61">
        <f t="shared" si="493"/>
        <v>0</v>
      </c>
      <c r="CM599" s="61">
        <f t="shared" si="493"/>
        <v>0</v>
      </c>
      <c r="CN599" s="61">
        <f t="shared" si="493"/>
        <v>0</v>
      </c>
      <c r="CO599" s="61">
        <f t="shared" si="493"/>
        <v>0</v>
      </c>
      <c r="CP599" s="61">
        <f t="shared" si="493"/>
        <v>0</v>
      </c>
      <c r="CQ599" s="61">
        <f t="shared" si="493"/>
        <v>0</v>
      </c>
      <c r="CR599" s="61">
        <f t="shared" si="490"/>
        <v>0</v>
      </c>
      <c r="CS599" s="61"/>
      <c r="CT599" s="61"/>
      <c r="CV599" s="61"/>
      <c r="CW599" s="61"/>
      <c r="CX599" s="61"/>
      <c r="CY599" s="61"/>
      <c r="CZ599" s="61"/>
      <c r="DA599" s="61"/>
      <c r="DB599" s="2" t="s">
        <v>85</v>
      </c>
      <c r="DC599" s="2" t="s">
        <v>85</v>
      </c>
      <c r="DD599" s="2" t="s">
        <v>142</v>
      </c>
      <c r="DE599" s="2" t="s">
        <v>264</v>
      </c>
      <c r="DF599" s="3" t="s">
        <v>86</v>
      </c>
      <c r="DG599" s="102">
        <v>42927</v>
      </c>
      <c r="EC599" s="60"/>
      <c r="ED599" s="60"/>
      <c r="EE599" s="60"/>
      <c r="EF599" s="60"/>
    </row>
    <row r="600" spans="2:140" ht="12.75" hidden="1" customHeight="1">
      <c r="B600" s="99" t="s">
        <v>1116</v>
      </c>
      <c r="C600" s="22" t="s">
        <v>726</v>
      </c>
      <c r="D600" s="22" t="s">
        <v>727</v>
      </c>
      <c r="E600" s="22" t="s">
        <v>260</v>
      </c>
      <c r="F600" s="22" t="s">
        <v>1025</v>
      </c>
      <c r="G600" s="22" t="s">
        <v>994</v>
      </c>
      <c r="J600" s="22" t="s">
        <v>728</v>
      </c>
      <c r="K600" s="23" t="s">
        <v>1001</v>
      </c>
      <c r="L600" s="22" t="s">
        <v>744</v>
      </c>
      <c r="M600" s="51" t="str">
        <f t="shared" si="468"/>
        <v>MJD8B -LBBA-JBW</v>
      </c>
      <c r="O600" s="94">
        <v>0</v>
      </c>
      <c r="P600" s="94">
        <v>0</v>
      </c>
      <c r="Q600" s="94">
        <v>0</v>
      </c>
      <c r="R600" s="94">
        <v>0</v>
      </c>
      <c r="S600" s="94">
        <v>1</v>
      </c>
      <c r="T600" s="94">
        <v>0</v>
      </c>
      <c r="U600" s="94">
        <v>0</v>
      </c>
      <c r="V600" s="94">
        <v>0</v>
      </c>
      <c r="W600" s="64">
        <f t="shared" si="444"/>
        <v>0.09</v>
      </c>
      <c r="Y600" s="8">
        <v>-941.35</v>
      </c>
      <c r="Z600" s="8"/>
      <c r="AA600" s="8">
        <v>-8.4600000000000009</v>
      </c>
      <c r="AB600" s="8">
        <v>-2.12</v>
      </c>
      <c r="AC600" s="8">
        <v>0</v>
      </c>
      <c r="AD600" s="8">
        <f t="shared" si="498"/>
        <v>-951.93000000000006</v>
      </c>
      <c r="AE600" s="2" t="s">
        <v>84</v>
      </c>
      <c r="AG600" s="8">
        <v>0</v>
      </c>
      <c r="AH600" s="8">
        <v>0</v>
      </c>
      <c r="AI600" s="70"/>
      <c r="AJ600" s="70">
        <v>0</v>
      </c>
      <c r="AK600" s="70">
        <v>0</v>
      </c>
      <c r="AL600" s="72"/>
      <c r="AM600" s="22"/>
      <c r="AO600" s="22" t="s">
        <v>728</v>
      </c>
      <c r="AP600" s="24" t="s">
        <v>1001</v>
      </c>
      <c r="AQ600" s="22" t="s">
        <v>744</v>
      </c>
      <c r="AR600" s="51" t="str">
        <f t="shared" si="481"/>
        <v>MJD8B -LBBA-JBW</v>
      </c>
      <c r="AS600" s="3"/>
      <c r="AT600" s="94">
        <v>0</v>
      </c>
      <c r="AU600" s="94">
        <v>0</v>
      </c>
      <c r="AV600" s="94">
        <v>0</v>
      </c>
      <c r="AW600" s="94">
        <v>0</v>
      </c>
      <c r="AX600" s="94">
        <v>1</v>
      </c>
      <c r="AY600" s="94">
        <v>0</v>
      </c>
      <c r="AZ600" s="94">
        <v>0</v>
      </c>
      <c r="BA600" s="94">
        <v>0</v>
      </c>
      <c r="BB600" s="64">
        <f t="shared" si="485"/>
        <v>0.09</v>
      </c>
      <c r="BD600" s="60">
        <f>-1022.3*0-1024.56</f>
        <v>-1024.56</v>
      </c>
      <c r="BE600" s="60">
        <v>0</v>
      </c>
      <c r="BF600" s="60">
        <v>-8.4600000000000009</v>
      </c>
      <c r="BG600" s="60">
        <v>-2.12</v>
      </c>
      <c r="BH600" s="60">
        <v>0</v>
      </c>
      <c r="BI600" s="8">
        <f t="shared" si="502"/>
        <v>-1035.1399999999999</v>
      </c>
      <c r="BJ600" s="2" t="s">
        <v>84</v>
      </c>
      <c r="BL600" s="70">
        <v>0</v>
      </c>
      <c r="BM600" s="70">
        <v>0</v>
      </c>
      <c r="BN600" s="70"/>
      <c r="BO600" s="70">
        <v>0</v>
      </c>
      <c r="BP600" s="70">
        <v>0</v>
      </c>
      <c r="BQ600" s="72"/>
      <c r="BS600" s="61">
        <f t="shared" si="446"/>
        <v>83.209999999999923</v>
      </c>
      <c r="BT600" s="61">
        <f t="shared" si="447"/>
        <v>0</v>
      </c>
      <c r="BU600" s="61">
        <f t="shared" si="491"/>
        <v>0</v>
      </c>
      <c r="BV600" s="61">
        <f t="shared" si="491"/>
        <v>0</v>
      </c>
      <c r="BW600" s="61">
        <f t="shared" si="491"/>
        <v>0</v>
      </c>
      <c r="BX600" s="61">
        <f t="shared" si="491"/>
        <v>83.209999999999809</v>
      </c>
      <c r="BY600" s="61" t="s">
        <v>91</v>
      </c>
      <c r="CA600" s="61">
        <f t="shared" si="492"/>
        <v>0</v>
      </c>
      <c r="CB600" s="61">
        <f t="shared" si="492"/>
        <v>0</v>
      </c>
      <c r="CC600" s="61">
        <f t="shared" si="492"/>
        <v>0</v>
      </c>
      <c r="CD600" s="61">
        <f t="shared" si="492"/>
        <v>0</v>
      </c>
      <c r="CE600" s="61">
        <f t="shared" si="492"/>
        <v>12.518429366631551</v>
      </c>
      <c r="CF600" s="61">
        <f t="shared" si="492"/>
        <v>0</v>
      </c>
      <c r="CG600" s="61">
        <f t="shared" si="492"/>
        <v>0</v>
      </c>
      <c r="CH600" s="61">
        <f t="shared" si="489"/>
        <v>0</v>
      </c>
      <c r="CI600" s="61">
        <f t="shared" ref="CI600:CI663" si="504">SUMPRODUCT(CA600:CH600,$O$6:$V$6)</f>
        <v>1.1266586429968395</v>
      </c>
      <c r="CJ600" s="61"/>
      <c r="CK600" s="61">
        <f t="shared" si="493"/>
        <v>0</v>
      </c>
      <c r="CL600" s="61">
        <f t="shared" si="493"/>
        <v>0</v>
      </c>
      <c r="CM600" s="61">
        <f t="shared" si="493"/>
        <v>0</v>
      </c>
      <c r="CN600" s="61">
        <f t="shared" si="493"/>
        <v>0</v>
      </c>
      <c r="CO600" s="61">
        <f t="shared" si="493"/>
        <v>12.518429366631533</v>
      </c>
      <c r="CP600" s="61">
        <f t="shared" si="493"/>
        <v>0</v>
      </c>
      <c r="CQ600" s="61">
        <f t="shared" si="493"/>
        <v>0</v>
      </c>
      <c r="CR600" s="61">
        <f t="shared" si="490"/>
        <v>0</v>
      </c>
      <c r="CS600" s="61">
        <f t="shared" ref="CS600:CS663" si="505">SUMPRODUCT(CK600:CR600,$O$6:$V$6)</f>
        <v>1.1266586429968379</v>
      </c>
      <c r="CT600" s="61">
        <f t="shared" ref="CT600:CT663" si="506">CS600*$C$2</f>
        <v>7.4888999999999823</v>
      </c>
      <c r="CV600" s="61">
        <f t="shared" ref="CV600:CV639" si="507">SUM(AG600)-SUM(BL600)</f>
        <v>0</v>
      </c>
      <c r="CW600" s="61">
        <f t="shared" ref="CW600:CW663" si="508">SUM(AH600)-SUM(BM600)</f>
        <v>0</v>
      </c>
      <c r="CX600" s="61"/>
      <c r="CY600" s="61">
        <f t="shared" ref="CY600:DA639" si="509">SUM(AJ600)-SUM(BO600)</f>
        <v>0</v>
      </c>
      <c r="CZ600" s="61">
        <f t="shared" si="509"/>
        <v>0</v>
      </c>
      <c r="DA600" s="61">
        <f t="shared" si="509"/>
        <v>0</v>
      </c>
      <c r="DB600" s="2" t="s">
        <v>85</v>
      </c>
      <c r="DC600" s="2" t="s">
        <v>85</v>
      </c>
      <c r="DD600" s="2" t="s">
        <v>142</v>
      </c>
      <c r="DE600" s="2" t="s">
        <v>264</v>
      </c>
      <c r="DF600" s="3" t="s">
        <v>86</v>
      </c>
      <c r="DG600" s="102">
        <v>42927</v>
      </c>
      <c r="EC600" s="60"/>
      <c r="ED600" s="60"/>
      <c r="EE600" s="60"/>
      <c r="EF600" s="60"/>
    </row>
    <row r="601" spans="2:140" ht="12.75" hidden="1" customHeight="1">
      <c r="B601" s="99" t="s">
        <v>1116</v>
      </c>
      <c r="C601" s="22" t="s">
        <v>726</v>
      </c>
      <c r="D601" s="22" t="s">
        <v>727</v>
      </c>
      <c r="E601" s="22" t="s">
        <v>260</v>
      </c>
      <c r="F601" s="22" t="s">
        <v>1025</v>
      </c>
      <c r="G601" s="22" t="s">
        <v>994</v>
      </c>
      <c r="J601" s="22" t="s">
        <v>728</v>
      </c>
      <c r="K601" s="23" t="s">
        <v>1001</v>
      </c>
      <c r="L601" s="22" t="s">
        <v>745</v>
      </c>
      <c r="M601" s="51" t="str">
        <f t="shared" si="468"/>
        <v>MJD8B -LBBA-KBW</v>
      </c>
      <c r="O601" s="94">
        <v>0</v>
      </c>
      <c r="P601" s="94">
        <v>0</v>
      </c>
      <c r="Q601" s="94">
        <v>0</v>
      </c>
      <c r="R601" s="94">
        <v>0</v>
      </c>
      <c r="S601" s="94">
        <v>0</v>
      </c>
      <c r="T601" s="94">
        <v>1</v>
      </c>
      <c r="U601" s="94">
        <v>0</v>
      </c>
      <c r="V601" s="94">
        <v>0</v>
      </c>
      <c r="W601" s="64">
        <f t="shared" si="444"/>
        <v>0.14000000000000001</v>
      </c>
      <c r="Y601" s="8">
        <v>-941.35</v>
      </c>
      <c r="Z601" s="8"/>
      <c r="AA601" s="8">
        <v>-8.4600000000000009</v>
      </c>
      <c r="AB601" s="8">
        <v>-2.12</v>
      </c>
      <c r="AC601" s="8">
        <v>0</v>
      </c>
      <c r="AD601" s="8">
        <f t="shared" si="498"/>
        <v>-951.93000000000006</v>
      </c>
      <c r="AE601" s="2" t="s">
        <v>84</v>
      </c>
      <c r="AG601" s="8">
        <v>0</v>
      </c>
      <c r="AH601" s="8">
        <v>0</v>
      </c>
      <c r="AI601" s="70"/>
      <c r="AJ601" s="70">
        <v>0</v>
      </c>
      <c r="AK601" s="70">
        <v>0</v>
      </c>
      <c r="AL601" s="72"/>
      <c r="AM601" s="22"/>
      <c r="AO601" s="22" t="s">
        <v>728</v>
      </c>
      <c r="AP601" s="24" t="s">
        <v>1001</v>
      </c>
      <c r="AQ601" s="22" t="s">
        <v>745</v>
      </c>
      <c r="AR601" s="51" t="str">
        <f t="shared" si="481"/>
        <v>MJD8B -LBBA-KBW</v>
      </c>
      <c r="AS601" s="3"/>
      <c r="AT601" s="94">
        <v>0</v>
      </c>
      <c r="AU601" s="94">
        <v>0</v>
      </c>
      <c r="AV601" s="94">
        <v>0</v>
      </c>
      <c r="AW601" s="94">
        <v>0</v>
      </c>
      <c r="AX601" s="94">
        <v>0</v>
      </c>
      <c r="AY601" s="94">
        <v>1</v>
      </c>
      <c r="AZ601" s="94">
        <v>0</v>
      </c>
      <c r="BA601" s="94">
        <v>0</v>
      </c>
      <c r="BB601" s="64">
        <f t="shared" si="485"/>
        <v>0.14000000000000001</v>
      </c>
      <c r="BD601" s="60">
        <f>-1022.3*0-1024.56</f>
        <v>-1024.56</v>
      </c>
      <c r="BE601" s="60">
        <v>0</v>
      </c>
      <c r="BF601" s="60">
        <v>-8.4600000000000009</v>
      </c>
      <c r="BG601" s="60">
        <v>-2.12</v>
      </c>
      <c r="BH601" s="60">
        <v>0</v>
      </c>
      <c r="BI601" s="8">
        <f t="shared" si="502"/>
        <v>-1035.1399999999999</v>
      </c>
      <c r="BJ601" s="2" t="s">
        <v>84</v>
      </c>
      <c r="BL601" s="70">
        <v>0</v>
      </c>
      <c r="BM601" s="70">
        <v>0</v>
      </c>
      <c r="BN601" s="70"/>
      <c r="BO601" s="70">
        <v>0</v>
      </c>
      <c r="BP601" s="70">
        <v>0</v>
      </c>
      <c r="BQ601" s="72"/>
      <c r="BS601" s="61">
        <f t="shared" si="446"/>
        <v>83.209999999999923</v>
      </c>
      <c r="BT601" s="61">
        <f t="shared" si="447"/>
        <v>0</v>
      </c>
      <c r="BU601" s="61">
        <f t="shared" si="491"/>
        <v>0</v>
      </c>
      <c r="BV601" s="61">
        <f t="shared" si="491"/>
        <v>0</v>
      </c>
      <c r="BW601" s="61">
        <f t="shared" si="491"/>
        <v>0</v>
      </c>
      <c r="BX601" s="61">
        <f t="shared" si="491"/>
        <v>83.209999999999809</v>
      </c>
      <c r="BY601" s="61" t="s">
        <v>91</v>
      </c>
      <c r="CA601" s="61">
        <f t="shared" si="492"/>
        <v>0</v>
      </c>
      <c r="CB601" s="61">
        <f t="shared" si="492"/>
        <v>0</v>
      </c>
      <c r="CC601" s="61">
        <f t="shared" si="492"/>
        <v>0</v>
      </c>
      <c r="CD601" s="61">
        <f t="shared" si="492"/>
        <v>0</v>
      </c>
      <c r="CE601" s="61">
        <f t="shared" si="492"/>
        <v>0</v>
      </c>
      <c r="CF601" s="61">
        <f t="shared" si="492"/>
        <v>12.518429366631551</v>
      </c>
      <c r="CG601" s="61">
        <f t="shared" si="492"/>
        <v>0</v>
      </c>
      <c r="CH601" s="61">
        <f t="shared" si="489"/>
        <v>0</v>
      </c>
      <c r="CI601" s="61">
        <f t="shared" si="504"/>
        <v>1.7525801113284174</v>
      </c>
      <c r="CJ601" s="61"/>
      <c r="CK601" s="61">
        <f t="shared" si="493"/>
        <v>0</v>
      </c>
      <c r="CL601" s="61">
        <f t="shared" si="493"/>
        <v>0</v>
      </c>
      <c r="CM601" s="61">
        <f t="shared" si="493"/>
        <v>0</v>
      </c>
      <c r="CN601" s="61">
        <f t="shared" si="493"/>
        <v>0</v>
      </c>
      <c r="CO601" s="61">
        <f t="shared" si="493"/>
        <v>0</v>
      </c>
      <c r="CP601" s="61">
        <f t="shared" si="493"/>
        <v>12.518429366631533</v>
      </c>
      <c r="CQ601" s="61">
        <f t="shared" si="493"/>
        <v>0</v>
      </c>
      <c r="CR601" s="61">
        <f t="shared" si="490"/>
        <v>0</v>
      </c>
      <c r="CS601" s="61">
        <f t="shared" si="505"/>
        <v>1.7525801113284147</v>
      </c>
      <c r="CT601" s="61">
        <f t="shared" si="506"/>
        <v>11.649399999999973</v>
      </c>
      <c r="CV601" s="61">
        <f t="shared" si="507"/>
        <v>0</v>
      </c>
      <c r="CW601" s="61">
        <f t="shared" si="508"/>
        <v>0</v>
      </c>
      <c r="CX601" s="61"/>
      <c r="CY601" s="61">
        <f t="shared" si="509"/>
        <v>0</v>
      </c>
      <c r="CZ601" s="61">
        <f t="shared" si="509"/>
        <v>0</v>
      </c>
      <c r="DA601" s="61">
        <f t="shared" si="509"/>
        <v>0</v>
      </c>
      <c r="DB601" s="2" t="s">
        <v>85</v>
      </c>
      <c r="DC601" s="2" t="s">
        <v>85</v>
      </c>
      <c r="DD601" s="2" t="s">
        <v>142</v>
      </c>
      <c r="DE601" s="2" t="s">
        <v>264</v>
      </c>
      <c r="DF601" s="3" t="s">
        <v>86</v>
      </c>
      <c r="DG601" s="102">
        <v>42927</v>
      </c>
      <c r="EC601" s="60"/>
      <c r="ED601" s="60"/>
      <c r="EE601" s="60"/>
      <c r="EF601" s="60"/>
    </row>
    <row r="602" spans="2:140" ht="12.75" hidden="1" customHeight="1">
      <c r="B602" s="99" t="s">
        <v>1116</v>
      </c>
      <c r="C602" s="22" t="s">
        <v>726</v>
      </c>
      <c r="D602" s="22" t="s">
        <v>727</v>
      </c>
      <c r="E602" s="22" t="s">
        <v>260</v>
      </c>
      <c r="F602" s="22" t="s">
        <v>1025</v>
      </c>
      <c r="G602" s="22" t="s">
        <v>994</v>
      </c>
      <c r="J602" s="22" t="s">
        <v>728</v>
      </c>
      <c r="K602" s="23" t="s">
        <v>1001</v>
      </c>
      <c r="L602" s="22" t="s">
        <v>1002</v>
      </c>
      <c r="M602" s="51" t="str">
        <f t="shared" si="468"/>
        <v>MJD8B -LBBA-LCW</v>
      </c>
      <c r="O602" s="94">
        <v>0</v>
      </c>
      <c r="P602" s="94">
        <v>0</v>
      </c>
      <c r="Q602" s="94">
        <v>0</v>
      </c>
      <c r="R602" s="94">
        <v>0</v>
      </c>
      <c r="S602" s="94">
        <v>0</v>
      </c>
      <c r="T602" s="94">
        <v>0</v>
      </c>
      <c r="U602" s="94">
        <v>1</v>
      </c>
      <c r="V602" s="94">
        <v>0</v>
      </c>
      <c r="W602" s="64">
        <f t="shared" si="444"/>
        <v>0.05</v>
      </c>
      <c r="Y602" s="8">
        <v>-983.35</v>
      </c>
      <c r="Z602" s="8"/>
      <c r="AA602" s="8">
        <v>-8.4600000000000009</v>
      </c>
      <c r="AB602" s="8">
        <v>-2.12</v>
      </c>
      <c r="AC602" s="8">
        <v>0</v>
      </c>
      <c r="AD602" s="8">
        <f t="shared" si="498"/>
        <v>-993.93000000000006</v>
      </c>
      <c r="AE602" s="2" t="s">
        <v>84</v>
      </c>
      <c r="AG602" s="8">
        <v>0</v>
      </c>
      <c r="AH602" s="8">
        <v>-36000</v>
      </c>
      <c r="AI602" s="70"/>
      <c r="AJ602" s="70">
        <v>0</v>
      </c>
      <c r="AK602" s="70">
        <v>0</v>
      </c>
      <c r="AL602" s="72"/>
      <c r="AM602" s="22"/>
      <c r="AO602" s="22" t="s">
        <v>728</v>
      </c>
      <c r="AP602" s="24" t="s">
        <v>1001</v>
      </c>
      <c r="AQ602" s="22" t="s">
        <v>1002</v>
      </c>
      <c r="AR602" s="51" t="str">
        <f t="shared" si="481"/>
        <v>MJD8B -LBBA-LCW</v>
      </c>
      <c r="AS602" s="3"/>
      <c r="AT602" s="94">
        <v>0</v>
      </c>
      <c r="AU602" s="94">
        <v>0</v>
      </c>
      <c r="AV602" s="94">
        <v>0</v>
      </c>
      <c r="AW602" s="94">
        <v>0</v>
      </c>
      <c r="AX602" s="94">
        <v>0</v>
      </c>
      <c r="AY602" s="94">
        <v>0</v>
      </c>
      <c r="AZ602" s="94">
        <v>1</v>
      </c>
      <c r="BA602" s="94">
        <v>0</v>
      </c>
      <c r="BB602" s="64">
        <f t="shared" si="485"/>
        <v>0.05</v>
      </c>
      <c r="BD602" s="60">
        <v>-1066.56</v>
      </c>
      <c r="BE602" s="60">
        <v>0</v>
      </c>
      <c r="BF602" s="95">
        <v>-8.4600000000000009</v>
      </c>
      <c r="BG602" s="95">
        <v>-2.12</v>
      </c>
      <c r="BH602" s="60">
        <v>0</v>
      </c>
      <c r="BI602" s="8">
        <f t="shared" si="502"/>
        <v>-1077.1399999999999</v>
      </c>
      <c r="BJ602" s="2" t="s">
        <v>84</v>
      </c>
      <c r="BL602" s="70">
        <v>0</v>
      </c>
      <c r="BM602" s="70">
        <v>-36000</v>
      </c>
      <c r="BN602" s="70"/>
      <c r="BO602" s="70">
        <v>0</v>
      </c>
      <c r="BP602" s="70">
        <v>0</v>
      </c>
      <c r="BQ602" s="72"/>
      <c r="BS602" s="61">
        <f t="shared" si="446"/>
        <v>83.209999999999923</v>
      </c>
      <c r="BT602" s="61">
        <f t="shared" si="447"/>
        <v>0</v>
      </c>
      <c r="BU602" s="61">
        <f t="shared" si="491"/>
        <v>0</v>
      </c>
      <c r="BV602" s="61">
        <f t="shared" si="491"/>
        <v>0</v>
      </c>
      <c r="BW602" s="61">
        <f t="shared" si="491"/>
        <v>0</v>
      </c>
      <c r="BX602" s="61">
        <f t="shared" si="491"/>
        <v>83.209999999999809</v>
      </c>
      <c r="BY602" s="61" t="s">
        <v>91</v>
      </c>
      <c r="CA602" s="61">
        <f t="shared" si="492"/>
        <v>0</v>
      </c>
      <c r="CB602" s="61">
        <f t="shared" si="492"/>
        <v>0</v>
      </c>
      <c r="CC602" s="61">
        <f t="shared" si="492"/>
        <v>0</v>
      </c>
      <c r="CD602" s="61">
        <f t="shared" si="492"/>
        <v>0</v>
      </c>
      <c r="CE602" s="61">
        <f t="shared" si="492"/>
        <v>0</v>
      </c>
      <c r="CF602" s="61">
        <f t="shared" si="492"/>
        <v>0</v>
      </c>
      <c r="CG602" s="61">
        <f t="shared" si="492"/>
        <v>12.518429366631551</v>
      </c>
      <c r="CH602" s="61">
        <f t="shared" si="489"/>
        <v>0</v>
      </c>
      <c r="CI602" s="61">
        <f t="shared" si="504"/>
        <v>0.62592146833157758</v>
      </c>
      <c r="CJ602" s="61"/>
      <c r="CK602" s="61">
        <f t="shared" si="493"/>
        <v>0</v>
      </c>
      <c r="CL602" s="61">
        <f t="shared" si="493"/>
        <v>0</v>
      </c>
      <c r="CM602" s="61">
        <f t="shared" si="493"/>
        <v>0</v>
      </c>
      <c r="CN602" s="61">
        <f t="shared" si="493"/>
        <v>0</v>
      </c>
      <c r="CO602" s="61">
        <f t="shared" si="493"/>
        <v>0</v>
      </c>
      <c r="CP602" s="61">
        <f t="shared" si="493"/>
        <v>0</v>
      </c>
      <c r="CQ602" s="61">
        <f t="shared" si="493"/>
        <v>12.518429366631533</v>
      </c>
      <c r="CR602" s="61">
        <f t="shared" si="490"/>
        <v>0</v>
      </c>
      <c r="CS602" s="61">
        <f t="shared" si="505"/>
        <v>0.62592146833157669</v>
      </c>
      <c r="CT602" s="61">
        <f t="shared" si="506"/>
        <v>4.1604999999999901</v>
      </c>
      <c r="CV602" s="61">
        <f t="shared" si="507"/>
        <v>0</v>
      </c>
      <c r="CW602" s="61">
        <f t="shared" si="508"/>
        <v>0</v>
      </c>
      <c r="CX602" s="61"/>
      <c r="CY602" s="61">
        <f t="shared" si="509"/>
        <v>0</v>
      </c>
      <c r="CZ602" s="61">
        <f t="shared" si="509"/>
        <v>0</v>
      </c>
      <c r="DA602" s="61">
        <f t="shared" si="509"/>
        <v>0</v>
      </c>
      <c r="DB602" s="2" t="s">
        <v>85</v>
      </c>
      <c r="DC602" s="2" t="s">
        <v>85</v>
      </c>
      <c r="DD602" s="2" t="s">
        <v>142</v>
      </c>
      <c r="DE602" s="2" t="s">
        <v>264</v>
      </c>
      <c r="DF602" s="3" t="s">
        <v>86</v>
      </c>
      <c r="DG602" s="102">
        <v>42927</v>
      </c>
      <c r="EC602" s="60"/>
      <c r="ED602" s="60"/>
      <c r="EE602" s="60"/>
      <c r="EF602" s="60"/>
    </row>
    <row r="603" spans="2:140" ht="12.75" hidden="1" customHeight="1">
      <c r="B603" s="99" t="s">
        <v>1116</v>
      </c>
      <c r="C603" s="22" t="s">
        <v>726</v>
      </c>
      <c r="D603" s="22" t="s">
        <v>727</v>
      </c>
      <c r="E603" s="22" t="s">
        <v>260</v>
      </c>
      <c r="F603" s="22" t="s">
        <v>1025</v>
      </c>
      <c r="G603" s="22" t="s">
        <v>994</v>
      </c>
      <c r="J603" s="22" t="s">
        <v>728</v>
      </c>
      <c r="K603" s="23" t="s">
        <v>1001</v>
      </c>
      <c r="L603" s="22" t="s">
        <v>1003</v>
      </c>
      <c r="M603" s="51" t="str">
        <f t="shared" si="468"/>
        <v>MJD8B -LBBA-MCW</v>
      </c>
      <c r="O603" s="94">
        <v>0</v>
      </c>
      <c r="P603" s="94">
        <v>0</v>
      </c>
      <c r="Q603" s="94">
        <v>0</v>
      </c>
      <c r="R603" s="94">
        <v>0</v>
      </c>
      <c r="S603" s="94">
        <v>0</v>
      </c>
      <c r="T603" s="94">
        <v>0</v>
      </c>
      <c r="U603" s="94">
        <v>0</v>
      </c>
      <c r="V603" s="94">
        <v>1</v>
      </c>
      <c r="W603" s="64">
        <f t="shared" si="444"/>
        <v>0.05</v>
      </c>
      <c r="Y603" s="8">
        <v>-983.81</v>
      </c>
      <c r="Z603" s="8"/>
      <c r="AA603" s="8">
        <v>-8.4600000000000009</v>
      </c>
      <c r="AB603" s="8">
        <v>-2.12</v>
      </c>
      <c r="AC603" s="8">
        <v>0</v>
      </c>
      <c r="AD603" s="8">
        <f t="shared" si="498"/>
        <v>-994.39</v>
      </c>
      <c r="AE603" s="2" t="s">
        <v>84</v>
      </c>
      <c r="AG603" s="8">
        <v>0</v>
      </c>
      <c r="AH603" s="8">
        <v>0</v>
      </c>
      <c r="AI603" s="70"/>
      <c r="AJ603" s="70">
        <v>0</v>
      </c>
      <c r="AK603" s="70">
        <v>0</v>
      </c>
      <c r="AL603" s="72"/>
      <c r="AM603" s="22"/>
      <c r="AO603" s="22" t="s">
        <v>728</v>
      </c>
      <c r="AP603" s="24" t="s">
        <v>1001</v>
      </c>
      <c r="AQ603" s="22" t="s">
        <v>1003</v>
      </c>
      <c r="AR603" s="51" t="str">
        <f t="shared" si="481"/>
        <v>MJD8B -LBBA-MCW</v>
      </c>
      <c r="AS603" s="3"/>
      <c r="AT603" s="94">
        <v>0</v>
      </c>
      <c r="AU603" s="94">
        <v>0</v>
      </c>
      <c r="AV603" s="94">
        <v>0</v>
      </c>
      <c r="AW603" s="94">
        <v>0</v>
      </c>
      <c r="AX603" s="94">
        <v>0</v>
      </c>
      <c r="AY603" s="94">
        <v>0</v>
      </c>
      <c r="AZ603" s="94">
        <v>0</v>
      </c>
      <c r="BA603" s="94">
        <v>1</v>
      </c>
      <c r="BB603" s="64">
        <f t="shared" si="485"/>
        <v>0.05</v>
      </c>
      <c r="BD603" s="60">
        <v>-1067.02</v>
      </c>
      <c r="BE603" s="60">
        <v>0</v>
      </c>
      <c r="BF603" s="95">
        <v>-8.4600000000000009</v>
      </c>
      <c r="BG603" s="95">
        <v>-2.12</v>
      </c>
      <c r="BH603" s="60">
        <v>0</v>
      </c>
      <c r="BI603" s="8">
        <f t="shared" si="502"/>
        <v>-1077.5999999999999</v>
      </c>
      <c r="BJ603" s="2" t="s">
        <v>84</v>
      </c>
      <c r="BL603" s="70">
        <v>0</v>
      </c>
      <c r="BM603" s="70">
        <v>0</v>
      </c>
      <c r="BO603" s="70"/>
      <c r="BP603" s="70"/>
      <c r="BQ603" s="72"/>
      <c r="BS603" s="61">
        <f t="shared" si="446"/>
        <v>83.210000000000036</v>
      </c>
      <c r="BT603" s="61">
        <f t="shared" si="447"/>
        <v>0</v>
      </c>
      <c r="BU603" s="61">
        <f t="shared" si="491"/>
        <v>0</v>
      </c>
      <c r="BV603" s="61">
        <f t="shared" si="491"/>
        <v>0</v>
      </c>
      <c r="BW603" s="61">
        <f t="shared" si="491"/>
        <v>0</v>
      </c>
      <c r="BX603" s="61">
        <f t="shared" si="491"/>
        <v>83.209999999999923</v>
      </c>
      <c r="BY603" s="61" t="s">
        <v>91</v>
      </c>
      <c r="CA603" s="61">
        <f t="shared" si="492"/>
        <v>0</v>
      </c>
      <c r="CB603" s="61">
        <f t="shared" si="492"/>
        <v>0</v>
      </c>
      <c r="CC603" s="61">
        <f t="shared" si="492"/>
        <v>0</v>
      </c>
      <c r="CD603" s="61">
        <f t="shared" si="492"/>
        <v>0</v>
      </c>
      <c r="CE603" s="61">
        <f t="shared" si="492"/>
        <v>0</v>
      </c>
      <c r="CF603" s="61">
        <f t="shared" si="492"/>
        <v>0</v>
      </c>
      <c r="CG603" s="61">
        <f t="shared" si="492"/>
        <v>0</v>
      </c>
      <c r="CH603" s="61">
        <f t="shared" si="489"/>
        <v>12.518429366631569</v>
      </c>
      <c r="CI603" s="61">
        <f t="shared" si="504"/>
        <v>0.62592146833157847</v>
      </c>
      <c r="CJ603" s="61"/>
      <c r="CK603" s="61">
        <f t="shared" si="493"/>
        <v>0</v>
      </c>
      <c r="CL603" s="61">
        <f t="shared" si="493"/>
        <v>0</v>
      </c>
      <c r="CM603" s="61">
        <f t="shared" si="493"/>
        <v>0</v>
      </c>
      <c r="CN603" s="61">
        <f t="shared" si="493"/>
        <v>0</v>
      </c>
      <c r="CO603" s="61">
        <f t="shared" si="493"/>
        <v>0</v>
      </c>
      <c r="CP603" s="61">
        <f t="shared" si="493"/>
        <v>0</v>
      </c>
      <c r="CQ603" s="61">
        <f t="shared" si="493"/>
        <v>0</v>
      </c>
      <c r="CR603" s="61">
        <f t="shared" si="490"/>
        <v>12.518429366631551</v>
      </c>
      <c r="CS603" s="61">
        <f t="shared" si="505"/>
        <v>0.62592146833157758</v>
      </c>
      <c r="CT603" s="61">
        <f t="shared" si="506"/>
        <v>4.1604999999999963</v>
      </c>
      <c r="CV603" s="61">
        <f t="shared" si="507"/>
        <v>0</v>
      </c>
      <c r="CW603" s="61">
        <f t="shared" si="508"/>
        <v>0</v>
      </c>
      <c r="CX603" s="61"/>
      <c r="CY603" s="61">
        <f t="shared" si="509"/>
        <v>0</v>
      </c>
      <c r="CZ603" s="61">
        <f t="shared" si="509"/>
        <v>0</v>
      </c>
      <c r="DA603" s="61">
        <f t="shared" si="509"/>
        <v>0</v>
      </c>
      <c r="DB603" s="2" t="s">
        <v>85</v>
      </c>
      <c r="DC603" s="2" t="s">
        <v>85</v>
      </c>
      <c r="DD603" s="2" t="s">
        <v>142</v>
      </c>
      <c r="DE603" s="2" t="s">
        <v>264</v>
      </c>
      <c r="DF603" s="3" t="s">
        <v>86</v>
      </c>
      <c r="DG603" s="102">
        <v>42927</v>
      </c>
      <c r="EC603" s="60"/>
      <c r="ED603" s="60"/>
      <c r="EE603" s="60"/>
      <c r="EF603" s="60"/>
    </row>
    <row r="604" spans="2:140" ht="12.75" hidden="1" customHeight="1">
      <c r="B604" s="99" t="s">
        <v>1117</v>
      </c>
      <c r="C604" s="22" t="s">
        <v>834</v>
      </c>
      <c r="D604" s="22" t="s">
        <v>835</v>
      </c>
      <c r="E604" s="2" t="str">
        <f>VLOOKUP($C604,[1]Detail!$C:$AK,6,0)</f>
        <v>PMT1</v>
      </c>
      <c r="F604" s="2" t="str">
        <f>VLOOKUP($C604,[1]Detail!$C:$AK,7,0)</f>
        <v>TH</v>
      </c>
      <c r="G604" s="2" t="str">
        <f>VLOOKUP($C604,[1]Detail!$C:$AK,5,0)</f>
        <v>B</v>
      </c>
      <c r="J604" s="22" t="s">
        <v>126</v>
      </c>
      <c r="K604" s="23">
        <v>8312</v>
      </c>
      <c r="L604" s="22" t="s">
        <v>132</v>
      </c>
      <c r="M604" s="51" t="str">
        <f t="shared" si="468"/>
        <v>JD8B-8312-AB</v>
      </c>
      <c r="O604" s="22">
        <v>1</v>
      </c>
      <c r="P604" s="22">
        <v>1</v>
      </c>
      <c r="Q604" s="22">
        <v>1</v>
      </c>
      <c r="R604" s="22">
        <v>1</v>
      </c>
      <c r="S604" s="22">
        <v>1</v>
      </c>
      <c r="T604" s="22">
        <v>1</v>
      </c>
      <c r="U604" s="22">
        <v>1</v>
      </c>
      <c r="V604" s="22">
        <v>1</v>
      </c>
      <c r="W604" s="64">
        <f t="shared" si="444"/>
        <v>1</v>
      </c>
      <c r="Y604" s="8">
        <v>-27.3</v>
      </c>
      <c r="Z604" s="8">
        <v>-1.34</v>
      </c>
      <c r="AA604" s="8">
        <v>-3.08</v>
      </c>
      <c r="AB604" s="8">
        <v>0</v>
      </c>
      <c r="AC604" s="8">
        <v>0</v>
      </c>
      <c r="AD604" s="8">
        <f t="shared" si="498"/>
        <v>-31.72</v>
      </c>
      <c r="AE604" s="2" t="s">
        <v>84</v>
      </c>
      <c r="AG604" s="8">
        <v>-1776500</v>
      </c>
      <c r="AH604" s="8">
        <v>-1776500</v>
      </c>
      <c r="AI604" s="6"/>
      <c r="AJ604" s="70">
        <v>0</v>
      </c>
      <c r="AK604" s="70">
        <v>0</v>
      </c>
      <c r="AL604" s="72"/>
      <c r="AM604" s="22"/>
      <c r="AO604" s="22" t="s">
        <v>126</v>
      </c>
      <c r="AP604" s="23">
        <v>8312</v>
      </c>
      <c r="AQ604" s="22" t="s">
        <v>100</v>
      </c>
      <c r="AR604" s="51" t="str">
        <f t="shared" si="481"/>
        <v>JD8B-8312-AA</v>
      </c>
      <c r="AS604" s="3"/>
      <c r="AT604" s="22">
        <v>1</v>
      </c>
      <c r="AU604" s="22">
        <v>1</v>
      </c>
      <c r="AV604" s="22">
        <v>1</v>
      </c>
      <c r="AW604" s="22">
        <v>1</v>
      </c>
      <c r="AX604" s="22">
        <v>1</v>
      </c>
      <c r="AY604" s="22">
        <v>1</v>
      </c>
      <c r="AZ604" s="22">
        <v>1</v>
      </c>
      <c r="BA604" s="22">
        <v>1</v>
      </c>
      <c r="BB604" s="64">
        <f t="shared" si="485"/>
        <v>1</v>
      </c>
      <c r="BD604" s="60">
        <v>-27.3</v>
      </c>
      <c r="BE604" s="60">
        <v>-1.34</v>
      </c>
      <c r="BF604" s="95">
        <v>-3.08</v>
      </c>
      <c r="BG604" s="95">
        <v>0</v>
      </c>
      <c r="BH604" s="95">
        <v>0</v>
      </c>
      <c r="BI604" s="8">
        <f t="shared" si="502"/>
        <v>-31.72</v>
      </c>
      <c r="BJ604" s="2" t="s">
        <v>91</v>
      </c>
      <c r="BL604" s="70">
        <v>-1776500</v>
      </c>
      <c r="BM604" s="70">
        <v>-1776500</v>
      </c>
      <c r="BO604" s="70">
        <v>0</v>
      </c>
      <c r="BP604" s="70">
        <v>0</v>
      </c>
      <c r="BQ604" s="72"/>
      <c r="BS604" s="61">
        <f t="shared" si="446"/>
        <v>0</v>
      </c>
      <c r="BT604" s="61">
        <f t="shared" si="447"/>
        <v>0</v>
      </c>
      <c r="BU604" s="61">
        <f t="shared" si="491"/>
        <v>0</v>
      </c>
      <c r="BV604" s="61">
        <f t="shared" si="491"/>
        <v>0</v>
      </c>
      <c r="BW604" s="61">
        <f t="shared" si="491"/>
        <v>0</v>
      </c>
      <c r="BX604" s="61">
        <f t="shared" si="491"/>
        <v>0</v>
      </c>
      <c r="BY604" s="61" t="s">
        <v>91</v>
      </c>
      <c r="CA604" s="61">
        <f t="shared" si="492"/>
        <v>0</v>
      </c>
      <c r="CB604" s="61">
        <f t="shared" si="492"/>
        <v>0</v>
      </c>
      <c r="CC604" s="61">
        <f t="shared" si="492"/>
        <v>0</v>
      </c>
      <c r="CD604" s="61">
        <f t="shared" si="492"/>
        <v>0</v>
      </c>
      <c r="CE604" s="61">
        <f t="shared" si="492"/>
        <v>0</v>
      </c>
      <c r="CF604" s="61">
        <f t="shared" si="492"/>
        <v>0</v>
      </c>
      <c r="CG604" s="61">
        <f t="shared" si="492"/>
        <v>0</v>
      </c>
      <c r="CH604" s="61">
        <f t="shared" si="489"/>
        <v>0</v>
      </c>
      <c r="CI604" s="61">
        <f t="shared" si="504"/>
        <v>0</v>
      </c>
      <c r="CJ604" s="61"/>
      <c r="CK604" s="61">
        <f t="shared" si="493"/>
        <v>0</v>
      </c>
      <c r="CL604" s="61">
        <f t="shared" si="493"/>
        <v>0</v>
      </c>
      <c r="CM604" s="61">
        <f t="shared" si="493"/>
        <v>0</v>
      </c>
      <c r="CN604" s="61">
        <f t="shared" si="493"/>
        <v>0</v>
      </c>
      <c r="CO604" s="61">
        <f t="shared" si="493"/>
        <v>0</v>
      </c>
      <c r="CP604" s="61">
        <f t="shared" si="493"/>
        <v>0</v>
      </c>
      <c r="CQ604" s="61">
        <f t="shared" si="493"/>
        <v>0</v>
      </c>
      <c r="CR604" s="61">
        <f t="shared" si="490"/>
        <v>0</v>
      </c>
      <c r="CS604" s="61">
        <f t="shared" si="505"/>
        <v>0</v>
      </c>
      <c r="CT604" s="61">
        <f t="shared" si="506"/>
        <v>0</v>
      </c>
      <c r="CV604" s="61">
        <f t="shared" si="507"/>
        <v>0</v>
      </c>
      <c r="CW604" s="61">
        <f t="shared" si="508"/>
        <v>0</v>
      </c>
      <c r="CX604" s="61"/>
      <c r="CY604" s="61">
        <f t="shared" si="509"/>
        <v>0</v>
      </c>
      <c r="CZ604" s="61">
        <f t="shared" si="509"/>
        <v>0</v>
      </c>
      <c r="DA604" s="61">
        <f t="shared" si="509"/>
        <v>0</v>
      </c>
      <c r="DB604" s="2" t="s">
        <v>85</v>
      </c>
      <c r="DC604" s="2" t="s">
        <v>85</v>
      </c>
      <c r="DD604" s="2" t="s">
        <v>142</v>
      </c>
      <c r="DE604" s="2" t="s">
        <v>264</v>
      </c>
      <c r="DF604" s="3" t="s">
        <v>86</v>
      </c>
      <c r="DG604" s="102">
        <v>42927</v>
      </c>
      <c r="EC604" s="60"/>
      <c r="ED604" s="60"/>
      <c r="EE604" s="60"/>
      <c r="EF604" s="60"/>
    </row>
    <row r="605" spans="2:140" ht="12.75" hidden="1" customHeight="1">
      <c r="B605" s="99" t="s">
        <v>836</v>
      </c>
      <c r="C605" s="22" t="s">
        <v>834</v>
      </c>
      <c r="D605" s="22" t="s">
        <v>835</v>
      </c>
      <c r="E605" s="2" t="str">
        <f>VLOOKUP($C605,[1]Detail!$C:$AK,6,0)</f>
        <v>PMT1</v>
      </c>
      <c r="F605" s="2" t="str">
        <f>VLOOKUP($C605,[1]Detail!$C:$AK,7,0)</f>
        <v>TH</v>
      </c>
      <c r="G605" s="2" t="str">
        <f>VLOOKUP($C605,[1]Detail!$C:$AK,5,0)</f>
        <v>B</v>
      </c>
      <c r="J605" s="22" t="s">
        <v>126</v>
      </c>
      <c r="K605" s="23">
        <v>8312</v>
      </c>
      <c r="L605" s="22" t="s">
        <v>234</v>
      </c>
      <c r="M605" s="51" t="str">
        <f t="shared" si="468"/>
        <v>JD8B-8312-AC</v>
      </c>
      <c r="O605" s="22">
        <v>1</v>
      </c>
      <c r="P605" s="22">
        <v>1</v>
      </c>
      <c r="Q605" s="22">
        <v>1</v>
      </c>
      <c r="R605" s="22">
        <v>1</v>
      </c>
      <c r="S605" s="22">
        <v>1</v>
      </c>
      <c r="T605" s="22">
        <v>1</v>
      </c>
      <c r="U605" s="22">
        <v>1</v>
      </c>
      <c r="V605" s="22">
        <v>1</v>
      </c>
      <c r="W605" s="64">
        <f t="shared" si="444"/>
        <v>1</v>
      </c>
      <c r="Y605" s="8">
        <f>-27.3</f>
        <v>-27.3</v>
      </c>
      <c r="Z605" s="8">
        <v>-1.34</v>
      </c>
      <c r="AA605" s="8">
        <v>-3.08</v>
      </c>
      <c r="AB605" s="8">
        <v>0</v>
      </c>
      <c r="AC605" s="8">
        <v>0</v>
      </c>
      <c r="AD605" s="8">
        <f t="shared" si="498"/>
        <v>-31.72</v>
      </c>
      <c r="AE605" s="2" t="s">
        <v>84</v>
      </c>
      <c r="AG605" s="8">
        <v>-1776500</v>
      </c>
      <c r="AH605" s="8">
        <v>-1776500</v>
      </c>
      <c r="AI605" s="6"/>
      <c r="AJ605" s="70">
        <v>0</v>
      </c>
      <c r="AK605" s="70">
        <v>0</v>
      </c>
      <c r="AL605" s="72"/>
      <c r="AM605" s="22"/>
      <c r="AO605" s="22" t="s">
        <v>126</v>
      </c>
      <c r="AP605" s="23">
        <v>8312</v>
      </c>
      <c r="AQ605" s="22" t="s">
        <v>132</v>
      </c>
      <c r="AR605" s="51" t="str">
        <f t="shared" si="481"/>
        <v>JD8B-8312-AB</v>
      </c>
      <c r="AS605" s="3"/>
      <c r="AT605" s="22">
        <v>1</v>
      </c>
      <c r="AU605" s="22">
        <v>1</v>
      </c>
      <c r="AV605" s="22">
        <v>1</v>
      </c>
      <c r="AW605" s="22">
        <v>1</v>
      </c>
      <c r="AX605" s="22">
        <v>1</v>
      </c>
      <c r="AY605" s="22">
        <v>1</v>
      </c>
      <c r="AZ605" s="22">
        <v>1</v>
      </c>
      <c r="BA605" s="22">
        <v>1</v>
      </c>
      <c r="BB605" s="64">
        <f t="shared" si="485"/>
        <v>1</v>
      </c>
      <c r="BD605" s="8">
        <v>-27.3</v>
      </c>
      <c r="BE605" s="8">
        <v>-1.34</v>
      </c>
      <c r="BF605" s="8">
        <v>-3.08</v>
      </c>
      <c r="BG605" s="8">
        <v>0</v>
      </c>
      <c r="BH605" s="8">
        <v>0</v>
      </c>
      <c r="BI605" s="8">
        <f t="shared" ref="BI605" si="510">SUM(BD605:BH605)</f>
        <v>-31.72</v>
      </c>
      <c r="BJ605" s="2" t="s">
        <v>91</v>
      </c>
      <c r="BL605" s="70">
        <v>-1776500</v>
      </c>
      <c r="BM605" s="70">
        <v>-1776500</v>
      </c>
      <c r="BO605" s="70">
        <v>0</v>
      </c>
      <c r="BP605" s="70">
        <v>0</v>
      </c>
      <c r="BQ605" s="72"/>
      <c r="BS605" s="61">
        <f t="shared" si="446"/>
        <v>0</v>
      </c>
      <c r="BT605" s="61">
        <f t="shared" si="447"/>
        <v>0</v>
      </c>
      <c r="BU605" s="61">
        <f t="shared" si="491"/>
        <v>0</v>
      </c>
      <c r="BV605" s="61">
        <f t="shared" si="491"/>
        <v>0</v>
      </c>
      <c r="BW605" s="61">
        <f t="shared" si="491"/>
        <v>0</v>
      </c>
      <c r="BX605" s="61">
        <f t="shared" si="491"/>
        <v>0</v>
      </c>
      <c r="BY605" s="61" t="s">
        <v>91</v>
      </c>
      <c r="CA605" s="61">
        <f t="shared" si="492"/>
        <v>0</v>
      </c>
      <c r="CB605" s="61">
        <f t="shared" si="492"/>
        <v>0</v>
      </c>
      <c r="CC605" s="61">
        <f t="shared" si="492"/>
        <v>0</v>
      </c>
      <c r="CD605" s="61">
        <f t="shared" si="492"/>
        <v>0</v>
      </c>
      <c r="CE605" s="61">
        <f t="shared" si="492"/>
        <v>0</v>
      </c>
      <c r="CF605" s="61">
        <f t="shared" si="492"/>
        <v>0</v>
      </c>
      <c r="CG605" s="61">
        <f t="shared" si="492"/>
        <v>0</v>
      </c>
      <c r="CH605" s="61">
        <f t="shared" si="489"/>
        <v>0</v>
      </c>
      <c r="CI605" s="61">
        <f t="shared" si="504"/>
        <v>0</v>
      </c>
      <c r="CJ605" s="61"/>
      <c r="CK605" s="61">
        <f t="shared" si="493"/>
        <v>0</v>
      </c>
      <c r="CL605" s="61">
        <f t="shared" si="493"/>
        <v>0</v>
      </c>
      <c r="CM605" s="61">
        <f t="shared" si="493"/>
        <v>0</v>
      </c>
      <c r="CN605" s="61">
        <f t="shared" si="493"/>
        <v>0</v>
      </c>
      <c r="CO605" s="61">
        <f t="shared" si="493"/>
        <v>0</v>
      </c>
      <c r="CP605" s="61">
        <f t="shared" si="493"/>
        <v>0</v>
      </c>
      <c r="CQ605" s="61">
        <f t="shared" si="493"/>
        <v>0</v>
      </c>
      <c r="CR605" s="61">
        <f t="shared" si="490"/>
        <v>0</v>
      </c>
      <c r="CS605" s="61">
        <f t="shared" si="505"/>
        <v>0</v>
      </c>
      <c r="CT605" s="61">
        <f t="shared" si="506"/>
        <v>0</v>
      </c>
      <c r="CV605" s="61">
        <f t="shared" ref="CV605" si="511">SUM(AG605)-SUM(BL605)</f>
        <v>0</v>
      </c>
      <c r="CW605" s="61">
        <f t="shared" ref="CW605" si="512">SUM(AH605)-SUM(BM605)</f>
        <v>0</v>
      </c>
      <c r="CX605" s="61"/>
      <c r="CY605" s="61">
        <f t="shared" si="509"/>
        <v>0</v>
      </c>
      <c r="CZ605" s="61">
        <f t="shared" si="509"/>
        <v>0</v>
      </c>
      <c r="DA605" s="61">
        <f t="shared" si="509"/>
        <v>0</v>
      </c>
      <c r="DB605" s="2" t="s">
        <v>86</v>
      </c>
      <c r="DC605" s="2" t="s">
        <v>85</v>
      </c>
      <c r="DD605" s="2" t="s">
        <v>142</v>
      </c>
      <c r="DE605" s="2" t="s">
        <v>106</v>
      </c>
      <c r="DF605" s="3" t="s">
        <v>86</v>
      </c>
      <c r="DG605" s="62">
        <v>43166</v>
      </c>
      <c r="EC605" s="60" t="str">
        <f>VLOOKUP($M605,[1]Detail!$M:$BO,1,0)</f>
        <v>JD8B-8312-AC</v>
      </c>
      <c r="ED605" s="60">
        <f>VLOOKUP($M605,[1]Detail!$M:$BO,22,0)</f>
        <v>-31.72</v>
      </c>
      <c r="EE605" s="60">
        <f>VLOOKUP($M605,[1]Detail!$M:$BO,42,0)</f>
        <v>-1776500</v>
      </c>
      <c r="EF605" s="60">
        <f>VLOOKUP($M605,[1]Detail!$M:$BO,45,0)</f>
        <v>0</v>
      </c>
      <c r="EH605" s="60">
        <f>ED605-AD605</f>
        <v>0</v>
      </c>
      <c r="EI605" s="60">
        <f>EE605-AG605</f>
        <v>0</v>
      </c>
      <c r="EJ605" s="60">
        <f>EF605-AJ605</f>
        <v>0</v>
      </c>
    </row>
    <row r="606" spans="2:140" ht="12.75" hidden="1" customHeight="1">
      <c r="B606" s="99" t="s">
        <v>1117</v>
      </c>
      <c r="C606" s="22" t="s">
        <v>834</v>
      </c>
      <c r="D606" s="22" t="s">
        <v>835</v>
      </c>
      <c r="E606" s="2" t="str">
        <f>VLOOKUP($C606,[1]Detail!$C:$AK,6,0)</f>
        <v>PMT1</v>
      </c>
      <c r="F606" s="2" t="str">
        <f>VLOOKUP($C606,[1]Detail!$C:$AK,7,0)</f>
        <v>TH</v>
      </c>
      <c r="G606" s="2" t="str">
        <f>VLOOKUP($C606,[1]Detail!$C:$AK,5,0)</f>
        <v>B</v>
      </c>
      <c r="J606" s="22" t="s">
        <v>126</v>
      </c>
      <c r="K606" s="23">
        <v>8314</v>
      </c>
      <c r="L606" s="22" t="s">
        <v>132</v>
      </c>
      <c r="M606" s="51" t="str">
        <f t="shared" si="468"/>
        <v>JD8B-8314-AB</v>
      </c>
      <c r="O606" s="22">
        <v>1</v>
      </c>
      <c r="P606" s="22">
        <v>1</v>
      </c>
      <c r="Q606" s="22">
        <v>1</v>
      </c>
      <c r="R606" s="22">
        <v>1</v>
      </c>
      <c r="S606" s="22">
        <v>0</v>
      </c>
      <c r="T606" s="22">
        <v>0</v>
      </c>
      <c r="U606" s="22">
        <v>1</v>
      </c>
      <c r="V606" s="22">
        <v>0</v>
      </c>
      <c r="W606" s="64">
        <f t="shared" ref="W606:W625" si="513">SUMPRODUCT(O606:V606,$O$6:$V$6)</f>
        <v>0.72000000000000008</v>
      </c>
      <c r="Y606" s="8">
        <v>-26.29</v>
      </c>
      <c r="Z606" s="8">
        <v>-1.98</v>
      </c>
      <c r="AA606" s="8">
        <v>-4.53</v>
      </c>
      <c r="AB606" s="8">
        <v>0</v>
      </c>
      <c r="AC606" s="8">
        <v>0</v>
      </c>
      <c r="AD606" s="8">
        <f t="shared" si="498"/>
        <v>-32.799999999999997</v>
      </c>
      <c r="AE606" s="2" t="s">
        <v>84</v>
      </c>
      <c r="AG606" s="8">
        <v>-1749000</v>
      </c>
      <c r="AH606" s="8">
        <v>-1749000</v>
      </c>
      <c r="AI606" s="6"/>
      <c r="AJ606" s="70">
        <v>0</v>
      </c>
      <c r="AK606" s="70">
        <v>0</v>
      </c>
      <c r="AL606" s="72"/>
      <c r="AM606" s="22"/>
      <c r="AO606" s="22" t="s">
        <v>126</v>
      </c>
      <c r="AP606" s="23">
        <v>8314</v>
      </c>
      <c r="AQ606" s="22" t="s">
        <v>100</v>
      </c>
      <c r="AR606" s="51" t="str">
        <f t="shared" si="481"/>
        <v>JD8B-8314-AA</v>
      </c>
      <c r="AS606" s="3"/>
      <c r="AT606" s="22">
        <v>1</v>
      </c>
      <c r="AU606" s="22">
        <v>1</v>
      </c>
      <c r="AV606" s="22">
        <v>1</v>
      </c>
      <c r="AW606" s="22">
        <v>1</v>
      </c>
      <c r="AX606" s="22">
        <v>0</v>
      </c>
      <c r="AY606" s="22">
        <v>0</v>
      </c>
      <c r="AZ606" s="22">
        <v>1</v>
      </c>
      <c r="BA606" s="22">
        <v>0</v>
      </c>
      <c r="BB606" s="64">
        <f t="shared" si="485"/>
        <v>0.72000000000000008</v>
      </c>
      <c r="BD606" s="60">
        <v>-26.29</v>
      </c>
      <c r="BE606" s="60">
        <v>-1.98</v>
      </c>
      <c r="BF606" s="95">
        <v>-4.53</v>
      </c>
      <c r="BG606" s="95">
        <v>0</v>
      </c>
      <c r="BH606" s="95">
        <v>0</v>
      </c>
      <c r="BI606" s="8">
        <f t="shared" si="502"/>
        <v>-32.799999999999997</v>
      </c>
      <c r="BJ606" s="2" t="s">
        <v>91</v>
      </c>
      <c r="BL606" s="70">
        <v>-1749000</v>
      </c>
      <c r="BM606" s="70">
        <v>-1749000</v>
      </c>
      <c r="BO606" s="70">
        <v>0</v>
      </c>
      <c r="BP606" s="70">
        <v>0</v>
      </c>
      <c r="BQ606" s="72"/>
      <c r="BS606" s="61">
        <f t="shared" ref="BS606:BS669" si="514">SUM(Y606)-SUM(BD606)</f>
        <v>0</v>
      </c>
      <c r="BT606" s="61">
        <f t="shared" ref="BT606:BT669" si="515">SUM(Z606)-SUM(BE606)</f>
        <v>0</v>
      </c>
      <c r="BU606" s="61">
        <f t="shared" ref="BU606:BX669" si="516">SUM(AA606)-SUM(BF606)</f>
        <v>0</v>
      </c>
      <c r="BV606" s="61">
        <f t="shared" si="516"/>
        <v>0</v>
      </c>
      <c r="BW606" s="61">
        <f t="shared" si="516"/>
        <v>0</v>
      </c>
      <c r="BX606" s="61">
        <f t="shared" si="516"/>
        <v>0</v>
      </c>
      <c r="BY606" s="61" t="s">
        <v>91</v>
      </c>
      <c r="CA606" s="61">
        <f t="shared" si="492"/>
        <v>0</v>
      </c>
      <c r="CB606" s="61">
        <f t="shared" si="492"/>
        <v>0</v>
      </c>
      <c r="CC606" s="61">
        <f t="shared" si="492"/>
        <v>0</v>
      </c>
      <c r="CD606" s="61">
        <f t="shared" si="492"/>
        <v>0</v>
      </c>
      <c r="CE606" s="61">
        <f t="shared" si="492"/>
        <v>0</v>
      </c>
      <c r="CF606" s="61">
        <f t="shared" si="492"/>
        <v>0</v>
      </c>
      <c r="CG606" s="61">
        <f t="shared" si="492"/>
        <v>0</v>
      </c>
      <c r="CH606" s="61">
        <f t="shared" si="489"/>
        <v>0</v>
      </c>
      <c r="CI606" s="61">
        <f t="shared" si="504"/>
        <v>0</v>
      </c>
      <c r="CJ606" s="61"/>
      <c r="CK606" s="61">
        <f t="shared" si="493"/>
        <v>0</v>
      </c>
      <c r="CL606" s="61">
        <f t="shared" si="493"/>
        <v>0</v>
      </c>
      <c r="CM606" s="61">
        <f t="shared" si="493"/>
        <v>0</v>
      </c>
      <c r="CN606" s="61">
        <f t="shared" si="493"/>
        <v>0</v>
      </c>
      <c r="CO606" s="61">
        <f t="shared" si="493"/>
        <v>0</v>
      </c>
      <c r="CP606" s="61">
        <f t="shared" si="493"/>
        <v>0</v>
      </c>
      <c r="CQ606" s="61">
        <f t="shared" si="493"/>
        <v>0</v>
      </c>
      <c r="CR606" s="61">
        <f t="shared" si="490"/>
        <v>0</v>
      </c>
      <c r="CS606" s="61">
        <f t="shared" si="505"/>
        <v>0</v>
      </c>
      <c r="CT606" s="61">
        <f t="shared" si="506"/>
        <v>0</v>
      </c>
      <c r="CV606" s="61">
        <f t="shared" si="507"/>
        <v>0</v>
      </c>
      <c r="CW606" s="61">
        <f t="shared" si="508"/>
        <v>0</v>
      </c>
      <c r="CX606" s="61"/>
      <c r="CY606" s="61">
        <f t="shared" si="509"/>
        <v>0</v>
      </c>
      <c r="CZ606" s="61">
        <f t="shared" si="509"/>
        <v>0</v>
      </c>
      <c r="DA606" s="61">
        <f t="shared" si="509"/>
        <v>0</v>
      </c>
      <c r="DB606" s="2" t="s">
        <v>85</v>
      </c>
      <c r="DC606" s="2" t="s">
        <v>85</v>
      </c>
      <c r="DD606" s="2" t="s">
        <v>142</v>
      </c>
      <c r="DE606" s="2" t="s">
        <v>264</v>
      </c>
      <c r="DF606" s="3" t="s">
        <v>86</v>
      </c>
      <c r="DG606" s="102">
        <v>42927</v>
      </c>
      <c r="EC606" s="60"/>
      <c r="ED606" s="60"/>
      <c r="EE606" s="60"/>
      <c r="EF606" s="60"/>
    </row>
    <row r="607" spans="2:140" ht="12.75" hidden="1" customHeight="1">
      <c r="B607" s="99" t="s">
        <v>836</v>
      </c>
      <c r="C607" s="22" t="s">
        <v>834</v>
      </c>
      <c r="D607" s="22" t="s">
        <v>835</v>
      </c>
      <c r="E607" s="2" t="str">
        <f>VLOOKUP($C607,[1]Detail!$C:$AK,6,0)</f>
        <v>PMT1</v>
      </c>
      <c r="F607" s="2" t="str">
        <f>VLOOKUP($C607,[1]Detail!$C:$AK,7,0)</f>
        <v>TH</v>
      </c>
      <c r="G607" s="2" t="str">
        <f>VLOOKUP($C607,[1]Detail!$C:$AK,5,0)</f>
        <v>B</v>
      </c>
      <c r="J607" s="22" t="s">
        <v>126</v>
      </c>
      <c r="K607" s="23">
        <v>8314</v>
      </c>
      <c r="L607" s="22" t="s">
        <v>234</v>
      </c>
      <c r="M607" s="51" t="str">
        <f t="shared" si="468"/>
        <v>JD8B-8314-AC</v>
      </c>
      <c r="O607" s="22">
        <v>1</v>
      </c>
      <c r="P607" s="22">
        <v>1</v>
      </c>
      <c r="Q607" s="22">
        <v>1</v>
      </c>
      <c r="R607" s="22">
        <v>1</v>
      </c>
      <c r="S607" s="22">
        <v>0</v>
      </c>
      <c r="T607" s="22">
        <v>0</v>
      </c>
      <c r="U607" s="22">
        <v>1</v>
      </c>
      <c r="V607" s="22">
        <v>0</v>
      </c>
      <c r="W607" s="64">
        <f t="shared" si="513"/>
        <v>0.72000000000000008</v>
      </c>
      <c r="Y607" s="8">
        <v>-26.29</v>
      </c>
      <c r="Z607" s="8">
        <v>-1.98</v>
      </c>
      <c r="AA607" s="8">
        <v>-4.53</v>
      </c>
      <c r="AB607" s="8">
        <v>0</v>
      </c>
      <c r="AC607" s="8">
        <v>0</v>
      </c>
      <c r="AD607" s="8">
        <f t="shared" si="498"/>
        <v>-32.799999999999997</v>
      </c>
      <c r="AE607" s="2" t="s">
        <v>84</v>
      </c>
      <c r="AG607" s="8">
        <v>-1749000</v>
      </c>
      <c r="AH607" s="8">
        <v>-1749000</v>
      </c>
      <c r="AI607" s="6"/>
      <c r="AJ607" s="70">
        <v>0</v>
      </c>
      <c r="AK607" s="70">
        <v>0</v>
      </c>
      <c r="AL607" s="72"/>
      <c r="AM607" s="22"/>
      <c r="AO607" s="22" t="s">
        <v>126</v>
      </c>
      <c r="AP607" s="23">
        <v>8314</v>
      </c>
      <c r="AQ607" s="22" t="s">
        <v>132</v>
      </c>
      <c r="AR607" s="51" t="str">
        <f t="shared" si="481"/>
        <v>JD8B-8314-AB</v>
      </c>
      <c r="AS607" s="3"/>
      <c r="AT607" s="22">
        <v>1</v>
      </c>
      <c r="AU607" s="22">
        <v>1</v>
      </c>
      <c r="AV607" s="22">
        <v>1</v>
      </c>
      <c r="AW607" s="22">
        <v>1</v>
      </c>
      <c r="AX607" s="22">
        <v>0</v>
      </c>
      <c r="AY607" s="22">
        <v>0</v>
      </c>
      <c r="AZ607" s="22">
        <v>1</v>
      </c>
      <c r="BA607" s="22">
        <v>0</v>
      </c>
      <c r="BB607" s="64">
        <f t="shared" si="485"/>
        <v>0.72000000000000008</v>
      </c>
      <c r="BD607" s="60">
        <v>-26.29</v>
      </c>
      <c r="BE607" s="60">
        <v>-1.98</v>
      </c>
      <c r="BF607" s="95">
        <v>-4.53</v>
      </c>
      <c r="BG607" s="95">
        <v>0</v>
      </c>
      <c r="BH607" s="95">
        <v>0</v>
      </c>
      <c r="BI607" s="8">
        <f t="shared" ref="BI607" si="517">SUM(BD607:BH607)</f>
        <v>-32.799999999999997</v>
      </c>
      <c r="BJ607" s="2" t="s">
        <v>91</v>
      </c>
      <c r="BL607" s="70">
        <v>-1749000</v>
      </c>
      <c r="BM607" s="70">
        <v>-1749000</v>
      </c>
      <c r="BO607" s="70">
        <v>0</v>
      </c>
      <c r="BP607" s="70">
        <v>0</v>
      </c>
      <c r="BQ607" s="72"/>
      <c r="BS607" s="61">
        <f t="shared" si="514"/>
        <v>0</v>
      </c>
      <c r="BT607" s="61">
        <f t="shared" si="515"/>
        <v>0</v>
      </c>
      <c r="BU607" s="61">
        <f t="shared" si="516"/>
        <v>0</v>
      </c>
      <c r="BV607" s="61">
        <f t="shared" si="516"/>
        <v>0</v>
      </c>
      <c r="BW607" s="61">
        <f t="shared" si="516"/>
        <v>0</v>
      </c>
      <c r="BX607" s="61">
        <f t="shared" si="516"/>
        <v>0</v>
      </c>
      <c r="BY607" s="61" t="s">
        <v>91</v>
      </c>
      <c r="CA607" s="61">
        <f t="shared" si="492"/>
        <v>0</v>
      </c>
      <c r="CB607" s="61">
        <f t="shared" si="492"/>
        <v>0</v>
      </c>
      <c r="CC607" s="61">
        <f t="shared" si="492"/>
        <v>0</v>
      </c>
      <c r="CD607" s="61">
        <f t="shared" si="492"/>
        <v>0</v>
      </c>
      <c r="CE607" s="61">
        <f t="shared" si="492"/>
        <v>0</v>
      </c>
      <c r="CF607" s="61">
        <f t="shared" si="492"/>
        <v>0</v>
      </c>
      <c r="CG607" s="61">
        <f t="shared" si="492"/>
        <v>0</v>
      </c>
      <c r="CH607" s="61">
        <f t="shared" si="489"/>
        <v>0</v>
      </c>
      <c r="CI607" s="61">
        <f t="shared" si="504"/>
        <v>0</v>
      </c>
      <c r="CJ607" s="61"/>
      <c r="CK607" s="61">
        <f t="shared" si="493"/>
        <v>0</v>
      </c>
      <c r="CL607" s="61">
        <f t="shared" si="493"/>
        <v>0</v>
      </c>
      <c r="CM607" s="61">
        <f t="shared" si="493"/>
        <v>0</v>
      </c>
      <c r="CN607" s="61">
        <f t="shared" si="493"/>
        <v>0</v>
      </c>
      <c r="CO607" s="61">
        <f t="shared" si="493"/>
        <v>0</v>
      </c>
      <c r="CP607" s="61">
        <f t="shared" si="493"/>
        <v>0</v>
      </c>
      <c r="CQ607" s="61">
        <f t="shared" si="493"/>
        <v>0</v>
      </c>
      <c r="CR607" s="61">
        <f t="shared" si="490"/>
        <v>0</v>
      </c>
      <c r="CS607" s="61">
        <f t="shared" si="505"/>
        <v>0</v>
      </c>
      <c r="CT607" s="61">
        <f t="shared" si="506"/>
        <v>0</v>
      </c>
      <c r="CV607" s="61">
        <f t="shared" ref="CV607" si="518">SUM(AG607)-SUM(BL607)</f>
        <v>0</v>
      </c>
      <c r="CW607" s="61">
        <f t="shared" ref="CW607" si="519">SUM(AH607)-SUM(BM607)</f>
        <v>0</v>
      </c>
      <c r="CX607" s="61"/>
      <c r="CY607" s="61">
        <f t="shared" si="509"/>
        <v>0</v>
      </c>
      <c r="CZ607" s="61">
        <f t="shared" si="509"/>
        <v>0</v>
      </c>
      <c r="DA607" s="61">
        <f t="shared" si="509"/>
        <v>0</v>
      </c>
      <c r="DB607" s="2" t="s">
        <v>86</v>
      </c>
      <c r="DC607" s="2" t="s">
        <v>85</v>
      </c>
      <c r="DD607" s="2" t="s">
        <v>142</v>
      </c>
      <c r="DE607" s="2" t="s">
        <v>106</v>
      </c>
      <c r="DF607" s="3" t="s">
        <v>86</v>
      </c>
      <c r="DG607" s="62">
        <v>43166</v>
      </c>
      <c r="EC607" s="60" t="str">
        <f>VLOOKUP($M607,[1]Detail!$M:$BO,1,0)</f>
        <v>JD8B-8314-AC</v>
      </c>
      <c r="ED607" s="60">
        <f>VLOOKUP($M607,[1]Detail!$M:$BO,22,0)</f>
        <v>-32.799999999999997</v>
      </c>
      <c r="EE607" s="60">
        <f>VLOOKUP($M607,[1]Detail!$M:$BO,42,0)</f>
        <v>-1749000</v>
      </c>
      <c r="EF607" s="60">
        <f>VLOOKUP($M607,[1]Detail!$M:$BO,45,0)</f>
        <v>0</v>
      </c>
      <c r="EH607" s="60">
        <f>ED607-AD607</f>
        <v>0</v>
      </c>
      <c r="EI607" s="60">
        <f>EE607-AG607</f>
        <v>0</v>
      </c>
      <c r="EJ607" s="60">
        <f>EF607-AJ607</f>
        <v>0</v>
      </c>
    </row>
    <row r="608" spans="2:140" ht="12.75" hidden="1" customHeight="1">
      <c r="B608" s="99" t="s">
        <v>1117</v>
      </c>
      <c r="C608" s="22" t="s">
        <v>834</v>
      </c>
      <c r="D608" s="22" t="s">
        <v>835</v>
      </c>
      <c r="E608" s="2" t="str">
        <f>VLOOKUP($C608,[1]Detail!$C:$AK,6,0)</f>
        <v>PMT1</v>
      </c>
      <c r="F608" s="2" t="str">
        <f>VLOOKUP($C608,[1]Detail!$C:$AK,7,0)</f>
        <v>TH</v>
      </c>
      <c r="G608" s="2" t="str">
        <f>VLOOKUP($C608,[1]Detail!$C:$AK,5,0)</f>
        <v>B</v>
      </c>
      <c r="J608" s="22" t="s">
        <v>126</v>
      </c>
      <c r="K608" s="23">
        <v>8314</v>
      </c>
      <c r="L608" s="22" t="s">
        <v>120</v>
      </c>
      <c r="M608" s="51" t="str">
        <f t="shared" si="468"/>
        <v>JD8B-8314-BB</v>
      </c>
      <c r="O608" s="22">
        <v>0</v>
      </c>
      <c r="P608" s="22">
        <v>0</v>
      </c>
      <c r="Q608" s="22">
        <v>0</v>
      </c>
      <c r="R608" s="22">
        <v>0</v>
      </c>
      <c r="S608" s="22">
        <v>1</v>
      </c>
      <c r="T608" s="22">
        <v>1</v>
      </c>
      <c r="U608" s="22">
        <v>0</v>
      </c>
      <c r="V608" s="22">
        <v>1</v>
      </c>
      <c r="W608" s="64">
        <f t="shared" si="513"/>
        <v>0.28000000000000003</v>
      </c>
      <c r="Y608" s="8">
        <v>-26.45</v>
      </c>
      <c r="Z608" s="8">
        <v>-1.43</v>
      </c>
      <c r="AA608" s="8">
        <v>-3.53</v>
      </c>
      <c r="AB608" s="8">
        <v>0</v>
      </c>
      <c r="AC608" s="8">
        <v>0</v>
      </c>
      <c r="AD608" s="8">
        <f t="shared" si="498"/>
        <v>-31.41</v>
      </c>
      <c r="AE608" s="2" t="s">
        <v>84</v>
      </c>
      <c r="AG608" s="8">
        <v>-1784000</v>
      </c>
      <c r="AH608" s="8">
        <v>-1784000</v>
      </c>
      <c r="AI608" s="6"/>
      <c r="AJ608" s="70">
        <v>0</v>
      </c>
      <c r="AK608" s="70">
        <v>0</v>
      </c>
      <c r="AL608" s="72"/>
      <c r="AM608" s="22"/>
      <c r="AO608" s="22" t="s">
        <v>126</v>
      </c>
      <c r="AP608" s="23">
        <v>8314</v>
      </c>
      <c r="AQ608" s="22" t="s">
        <v>111</v>
      </c>
      <c r="AR608" s="51" t="str">
        <f t="shared" si="481"/>
        <v>JD8B-8314-BA</v>
      </c>
      <c r="AS608" s="3"/>
      <c r="AT608" s="22">
        <v>0</v>
      </c>
      <c r="AU608" s="22">
        <v>0</v>
      </c>
      <c r="AV608" s="22">
        <v>0</v>
      </c>
      <c r="AW608" s="22">
        <v>0</v>
      </c>
      <c r="AX608" s="22">
        <v>1</v>
      </c>
      <c r="AY608" s="22">
        <v>1</v>
      </c>
      <c r="AZ608" s="22">
        <v>0</v>
      </c>
      <c r="BA608" s="22">
        <v>1</v>
      </c>
      <c r="BB608" s="64">
        <f t="shared" si="485"/>
        <v>0.28000000000000003</v>
      </c>
      <c r="BD608" s="60">
        <v>-26.45</v>
      </c>
      <c r="BE608" s="60">
        <v>-1.43</v>
      </c>
      <c r="BF608" s="95">
        <v>-3.53</v>
      </c>
      <c r="BG608" s="95">
        <v>0</v>
      </c>
      <c r="BH608" s="95">
        <v>0</v>
      </c>
      <c r="BI608" s="8">
        <f t="shared" si="502"/>
        <v>-31.41</v>
      </c>
      <c r="BJ608" s="2" t="s">
        <v>91</v>
      </c>
      <c r="BL608" s="70">
        <v>-1784000</v>
      </c>
      <c r="BM608" s="70">
        <v>-1784000</v>
      </c>
      <c r="BO608" s="70">
        <v>0</v>
      </c>
      <c r="BP608" s="70">
        <v>0</v>
      </c>
      <c r="BQ608" s="72"/>
      <c r="BS608" s="61">
        <f t="shared" si="514"/>
        <v>0</v>
      </c>
      <c r="BT608" s="61">
        <f t="shared" si="515"/>
        <v>0</v>
      </c>
      <c r="BU608" s="61">
        <f t="shared" si="516"/>
        <v>0</v>
      </c>
      <c r="BV608" s="61">
        <f t="shared" si="516"/>
        <v>0</v>
      </c>
      <c r="BW608" s="61">
        <f t="shared" si="516"/>
        <v>0</v>
      </c>
      <c r="BX608" s="61">
        <f t="shared" si="516"/>
        <v>0</v>
      </c>
      <c r="BY608" s="61" t="s">
        <v>91</v>
      </c>
      <c r="CA608" s="61">
        <f t="shared" si="492"/>
        <v>0</v>
      </c>
      <c r="CB608" s="61">
        <f t="shared" si="492"/>
        <v>0</v>
      </c>
      <c r="CC608" s="61">
        <f t="shared" si="492"/>
        <v>0</v>
      </c>
      <c r="CD608" s="61">
        <f t="shared" si="492"/>
        <v>0</v>
      </c>
      <c r="CE608" s="61">
        <f t="shared" si="492"/>
        <v>0</v>
      </c>
      <c r="CF608" s="61">
        <f t="shared" si="492"/>
        <v>0</v>
      </c>
      <c r="CG608" s="61">
        <f t="shared" si="492"/>
        <v>0</v>
      </c>
      <c r="CH608" s="61">
        <f t="shared" si="489"/>
        <v>0</v>
      </c>
      <c r="CI608" s="61">
        <f t="shared" si="504"/>
        <v>0</v>
      </c>
      <c r="CJ608" s="61"/>
      <c r="CK608" s="61">
        <f t="shared" si="493"/>
        <v>0</v>
      </c>
      <c r="CL608" s="61">
        <f t="shared" si="493"/>
        <v>0</v>
      </c>
      <c r="CM608" s="61">
        <f t="shared" si="493"/>
        <v>0</v>
      </c>
      <c r="CN608" s="61">
        <f t="shared" si="493"/>
        <v>0</v>
      </c>
      <c r="CO608" s="61">
        <f t="shared" si="493"/>
        <v>0</v>
      </c>
      <c r="CP608" s="61">
        <f t="shared" si="493"/>
        <v>0</v>
      </c>
      <c r="CQ608" s="61">
        <f t="shared" si="493"/>
        <v>0</v>
      </c>
      <c r="CR608" s="61">
        <f t="shared" si="490"/>
        <v>0</v>
      </c>
      <c r="CS608" s="61">
        <f t="shared" si="505"/>
        <v>0</v>
      </c>
      <c r="CT608" s="61">
        <f t="shared" si="506"/>
        <v>0</v>
      </c>
      <c r="CV608" s="61">
        <f t="shared" si="507"/>
        <v>0</v>
      </c>
      <c r="CW608" s="61">
        <f t="shared" si="508"/>
        <v>0</v>
      </c>
      <c r="CX608" s="61"/>
      <c r="CY608" s="61">
        <f t="shared" si="509"/>
        <v>0</v>
      </c>
      <c r="CZ608" s="61">
        <f t="shared" si="509"/>
        <v>0</v>
      </c>
      <c r="DA608" s="61">
        <f t="shared" si="509"/>
        <v>0</v>
      </c>
      <c r="DB608" s="2" t="s">
        <v>85</v>
      </c>
      <c r="DC608" s="2" t="s">
        <v>85</v>
      </c>
      <c r="DD608" s="2" t="s">
        <v>142</v>
      </c>
      <c r="DE608" s="2" t="s">
        <v>264</v>
      </c>
      <c r="DF608" s="3" t="s">
        <v>86</v>
      </c>
      <c r="DG608" s="102">
        <v>42927</v>
      </c>
      <c r="EC608" s="60"/>
      <c r="ED608" s="60"/>
      <c r="EE608" s="60"/>
      <c r="EF608" s="60"/>
    </row>
    <row r="609" spans="2:140" ht="12.75" hidden="1" customHeight="1">
      <c r="B609" s="99" t="s">
        <v>836</v>
      </c>
      <c r="C609" s="22" t="s">
        <v>834</v>
      </c>
      <c r="D609" s="22" t="s">
        <v>835</v>
      </c>
      <c r="E609" s="2" t="str">
        <f>VLOOKUP($C609,[1]Detail!$C:$AK,6,0)</f>
        <v>PMT1</v>
      </c>
      <c r="F609" s="2" t="str">
        <f>VLOOKUP($C609,[1]Detail!$C:$AK,7,0)</f>
        <v>TH</v>
      </c>
      <c r="G609" s="2" t="str">
        <f>VLOOKUP($C609,[1]Detail!$C:$AK,5,0)</f>
        <v>B</v>
      </c>
      <c r="J609" s="22" t="s">
        <v>126</v>
      </c>
      <c r="K609" s="23">
        <v>8314</v>
      </c>
      <c r="L609" s="22" t="s">
        <v>599</v>
      </c>
      <c r="M609" s="51" t="str">
        <f t="shared" si="468"/>
        <v>JD8B-8314-BC</v>
      </c>
      <c r="O609" s="22">
        <v>0</v>
      </c>
      <c r="P609" s="22">
        <v>0</v>
      </c>
      <c r="Q609" s="22">
        <v>0</v>
      </c>
      <c r="R609" s="22">
        <v>0</v>
      </c>
      <c r="S609" s="22">
        <v>1</v>
      </c>
      <c r="T609" s="22">
        <v>1</v>
      </c>
      <c r="U609" s="22">
        <v>0</v>
      </c>
      <c r="V609" s="22">
        <v>1</v>
      </c>
      <c r="W609" s="64">
        <f t="shared" si="513"/>
        <v>0.28000000000000003</v>
      </c>
      <c r="Y609" s="8">
        <v>-26.45</v>
      </c>
      <c r="Z609" s="8">
        <v>-1.43</v>
      </c>
      <c r="AA609" s="8">
        <v>-3.53</v>
      </c>
      <c r="AB609" s="8">
        <v>0</v>
      </c>
      <c r="AC609" s="8">
        <v>0</v>
      </c>
      <c r="AD609" s="8">
        <f t="shared" si="498"/>
        <v>-31.41</v>
      </c>
      <c r="AE609" s="2" t="s">
        <v>84</v>
      </c>
      <c r="AG609" s="8">
        <v>-1784000</v>
      </c>
      <c r="AH609" s="8">
        <v>-1784000</v>
      </c>
      <c r="AI609" s="6"/>
      <c r="AJ609" s="70">
        <v>0</v>
      </c>
      <c r="AK609" s="70">
        <v>0</v>
      </c>
      <c r="AL609" s="72"/>
      <c r="AM609" s="22"/>
      <c r="AO609" s="22" t="s">
        <v>126</v>
      </c>
      <c r="AP609" s="23">
        <v>8314</v>
      </c>
      <c r="AQ609" s="22" t="s">
        <v>120</v>
      </c>
      <c r="AR609" s="51" t="str">
        <f t="shared" si="481"/>
        <v>JD8B-8314-BB</v>
      </c>
      <c r="AS609" s="3"/>
      <c r="AT609" s="22">
        <v>0</v>
      </c>
      <c r="AU609" s="22">
        <v>0</v>
      </c>
      <c r="AV609" s="22">
        <v>0</v>
      </c>
      <c r="AW609" s="22">
        <v>0</v>
      </c>
      <c r="AX609" s="22">
        <v>1</v>
      </c>
      <c r="AY609" s="22">
        <v>1</v>
      </c>
      <c r="AZ609" s="22">
        <v>0</v>
      </c>
      <c r="BA609" s="22">
        <v>1</v>
      </c>
      <c r="BB609" s="64">
        <f t="shared" si="485"/>
        <v>0.28000000000000003</v>
      </c>
      <c r="BD609" s="60">
        <v>-26.45</v>
      </c>
      <c r="BE609" s="60">
        <v>-1.43</v>
      </c>
      <c r="BF609" s="95">
        <v>-3.53</v>
      </c>
      <c r="BG609" s="95">
        <v>0</v>
      </c>
      <c r="BH609" s="95">
        <v>0</v>
      </c>
      <c r="BI609" s="8">
        <f t="shared" ref="BI609" si="520">SUM(BD609:BH609)</f>
        <v>-31.41</v>
      </c>
      <c r="BJ609" s="2" t="s">
        <v>91</v>
      </c>
      <c r="BL609" s="70">
        <v>-1784000</v>
      </c>
      <c r="BM609" s="70">
        <v>-1784000</v>
      </c>
      <c r="BO609" s="70">
        <v>0</v>
      </c>
      <c r="BP609" s="70">
        <v>0</v>
      </c>
      <c r="BQ609" s="72"/>
      <c r="BS609" s="61">
        <f t="shared" si="514"/>
        <v>0</v>
      </c>
      <c r="BT609" s="61">
        <f t="shared" si="515"/>
        <v>0</v>
      </c>
      <c r="BU609" s="61">
        <f t="shared" si="516"/>
        <v>0</v>
      </c>
      <c r="BV609" s="61">
        <f t="shared" si="516"/>
        <v>0</v>
      </c>
      <c r="BW609" s="61">
        <f t="shared" si="516"/>
        <v>0</v>
      </c>
      <c r="BX609" s="61">
        <f t="shared" si="516"/>
        <v>0</v>
      </c>
      <c r="BY609" s="61" t="s">
        <v>91</v>
      </c>
      <c r="CA609" s="61">
        <f t="shared" si="492"/>
        <v>0</v>
      </c>
      <c r="CB609" s="61">
        <f t="shared" si="492"/>
        <v>0</v>
      </c>
      <c r="CC609" s="61">
        <f t="shared" si="492"/>
        <v>0</v>
      </c>
      <c r="CD609" s="61">
        <f t="shared" si="492"/>
        <v>0</v>
      </c>
      <c r="CE609" s="61">
        <f t="shared" si="492"/>
        <v>0</v>
      </c>
      <c r="CF609" s="61">
        <f t="shared" si="492"/>
        <v>0</v>
      </c>
      <c r="CG609" s="61">
        <f t="shared" si="492"/>
        <v>0</v>
      </c>
      <c r="CH609" s="61">
        <f t="shared" si="489"/>
        <v>0</v>
      </c>
      <c r="CI609" s="61">
        <f t="shared" si="504"/>
        <v>0</v>
      </c>
      <c r="CJ609" s="61"/>
      <c r="CK609" s="61">
        <f t="shared" si="493"/>
        <v>0</v>
      </c>
      <c r="CL609" s="61">
        <f t="shared" si="493"/>
        <v>0</v>
      </c>
      <c r="CM609" s="61">
        <f t="shared" si="493"/>
        <v>0</v>
      </c>
      <c r="CN609" s="61">
        <f t="shared" si="493"/>
        <v>0</v>
      </c>
      <c r="CO609" s="61">
        <f t="shared" si="493"/>
        <v>0</v>
      </c>
      <c r="CP609" s="61">
        <f t="shared" si="493"/>
        <v>0</v>
      </c>
      <c r="CQ609" s="61">
        <f t="shared" si="493"/>
        <v>0</v>
      </c>
      <c r="CR609" s="61">
        <f t="shared" si="490"/>
        <v>0</v>
      </c>
      <c r="CS609" s="61">
        <f t="shared" si="505"/>
        <v>0</v>
      </c>
      <c r="CT609" s="61">
        <f t="shared" si="506"/>
        <v>0</v>
      </c>
      <c r="CV609" s="61">
        <f t="shared" ref="CV609" si="521">SUM(AG609)-SUM(BL609)</f>
        <v>0</v>
      </c>
      <c r="CW609" s="61">
        <f t="shared" ref="CW609" si="522">SUM(AH609)-SUM(BM609)</f>
        <v>0</v>
      </c>
      <c r="CX609" s="61"/>
      <c r="CY609" s="61">
        <f t="shared" si="509"/>
        <v>0</v>
      </c>
      <c r="CZ609" s="61">
        <f t="shared" si="509"/>
        <v>0</v>
      </c>
      <c r="DA609" s="61">
        <f t="shared" si="509"/>
        <v>0</v>
      </c>
      <c r="DB609" s="2" t="s">
        <v>86</v>
      </c>
      <c r="DC609" s="2" t="s">
        <v>85</v>
      </c>
      <c r="DD609" s="2" t="s">
        <v>142</v>
      </c>
      <c r="DE609" s="2" t="s">
        <v>143</v>
      </c>
      <c r="DF609" s="3" t="s">
        <v>86</v>
      </c>
      <c r="DG609" s="62">
        <v>43166</v>
      </c>
      <c r="EC609" s="60" t="str">
        <f>VLOOKUP($M609,[1]Detail!$M:$BO,1,0)</f>
        <v>JD8B-8314-BC</v>
      </c>
      <c r="ED609" s="60">
        <f>VLOOKUP($M609,[1]Detail!$M:$BO,22,0)</f>
        <v>-31.41</v>
      </c>
      <c r="EE609" s="60">
        <f>VLOOKUP($M609,[1]Detail!$M:$BO,42,0)</f>
        <v>-1784000</v>
      </c>
      <c r="EF609" s="60">
        <f>VLOOKUP($M609,[1]Detail!$M:$BO,45,0)</f>
        <v>0</v>
      </c>
      <c r="EH609" s="60">
        <f>ED609-AD609</f>
        <v>0</v>
      </c>
      <c r="EI609" s="60">
        <f>EE609-AG609</f>
        <v>0</v>
      </c>
      <c r="EJ609" s="60">
        <f>EF609-AJ609</f>
        <v>0</v>
      </c>
    </row>
    <row r="610" spans="2:140" ht="12.75" hidden="1" customHeight="1">
      <c r="B610" s="99" t="s">
        <v>1117</v>
      </c>
      <c r="C610" s="22" t="s">
        <v>834</v>
      </c>
      <c r="D610" s="22" t="s">
        <v>835</v>
      </c>
      <c r="E610" s="2" t="str">
        <f>VLOOKUP($C610,[1]Detail!$C:$AK,6,0)</f>
        <v>PMT1</v>
      </c>
      <c r="F610" s="2" t="str">
        <f>VLOOKUP($C610,[1]Detail!$C:$AK,7,0)</f>
        <v>TH</v>
      </c>
      <c r="G610" s="2" t="str">
        <f>VLOOKUP($C610,[1]Detail!$C:$AK,5,0)</f>
        <v>B</v>
      </c>
      <c r="J610" s="22" t="s">
        <v>126</v>
      </c>
      <c r="K610" s="23">
        <v>8475</v>
      </c>
      <c r="L610" s="22" t="s">
        <v>132</v>
      </c>
      <c r="M610" s="51" t="str">
        <f t="shared" si="468"/>
        <v>JD8B-8475-AB</v>
      </c>
      <c r="O610" s="22">
        <v>0</v>
      </c>
      <c r="P610" s="22">
        <v>1</v>
      </c>
      <c r="Q610" s="22">
        <v>0</v>
      </c>
      <c r="R610" s="22">
        <v>1</v>
      </c>
      <c r="S610" s="22">
        <v>0</v>
      </c>
      <c r="T610" s="22">
        <v>0</v>
      </c>
      <c r="U610" s="22">
        <v>1</v>
      </c>
      <c r="V610" s="22">
        <v>0</v>
      </c>
      <c r="W610" s="64">
        <f t="shared" si="513"/>
        <v>0.44</v>
      </c>
      <c r="Y610" s="8">
        <v>-155.44</v>
      </c>
      <c r="Z610" s="8">
        <v>-3.52</v>
      </c>
      <c r="AA610" s="8">
        <v>-5.78</v>
      </c>
      <c r="AB610" s="8">
        <v>0</v>
      </c>
      <c r="AC610" s="8">
        <v>-6.75</v>
      </c>
      <c r="AD610" s="8">
        <f t="shared" si="498"/>
        <v>-171.49</v>
      </c>
      <c r="AE610" s="2" t="s">
        <v>84</v>
      </c>
      <c r="AG610" s="8">
        <v>-5805000</v>
      </c>
      <c r="AH610" s="8">
        <v>-5805000</v>
      </c>
      <c r="AI610" s="6"/>
      <c r="AJ610" s="70">
        <v>-1706360</v>
      </c>
      <c r="AK610" s="70">
        <v>-252956</v>
      </c>
      <c r="AL610" s="72"/>
      <c r="AM610" s="22"/>
      <c r="AO610" s="22" t="s">
        <v>126</v>
      </c>
      <c r="AP610" s="23">
        <v>8475</v>
      </c>
      <c r="AQ610" s="22" t="s">
        <v>100</v>
      </c>
      <c r="AR610" s="51" t="str">
        <f t="shared" si="481"/>
        <v>JD8B-8475-AA</v>
      </c>
      <c r="AS610" s="3"/>
      <c r="AT610" s="22">
        <v>0</v>
      </c>
      <c r="AU610" s="22">
        <v>1</v>
      </c>
      <c r="AV610" s="22">
        <v>0</v>
      </c>
      <c r="AW610" s="22">
        <v>1</v>
      </c>
      <c r="AX610" s="22">
        <v>0</v>
      </c>
      <c r="AY610" s="22">
        <v>0</v>
      </c>
      <c r="AZ610" s="22">
        <v>1</v>
      </c>
      <c r="BA610" s="22">
        <v>0</v>
      </c>
      <c r="BB610" s="64">
        <f t="shared" si="485"/>
        <v>0.44</v>
      </c>
      <c r="BD610" s="60">
        <v>-155.44</v>
      </c>
      <c r="BE610" s="60">
        <v>-3.52</v>
      </c>
      <c r="BF610" s="95">
        <v>-5.78</v>
      </c>
      <c r="BG610" s="95">
        <v>0</v>
      </c>
      <c r="BH610" s="95">
        <v>-6.75</v>
      </c>
      <c r="BI610" s="8">
        <f t="shared" si="502"/>
        <v>-171.49</v>
      </c>
      <c r="BJ610" s="2" t="s">
        <v>91</v>
      </c>
      <c r="BL610" s="70">
        <v>-5805000</v>
      </c>
      <c r="BM610" s="70">
        <v>-5805000</v>
      </c>
      <c r="BO610" s="70">
        <v>-1706360</v>
      </c>
      <c r="BP610" s="70">
        <v>-252956</v>
      </c>
      <c r="BQ610" s="72"/>
      <c r="BS610" s="61">
        <f t="shared" si="514"/>
        <v>0</v>
      </c>
      <c r="BT610" s="61">
        <f t="shared" si="515"/>
        <v>0</v>
      </c>
      <c r="BU610" s="61">
        <f t="shared" si="516"/>
        <v>0</v>
      </c>
      <c r="BV610" s="61">
        <f t="shared" si="516"/>
        <v>0</v>
      </c>
      <c r="BW610" s="61">
        <f t="shared" si="516"/>
        <v>0</v>
      </c>
      <c r="BX610" s="61">
        <f t="shared" si="516"/>
        <v>0</v>
      </c>
      <c r="BY610" s="61" t="s">
        <v>91</v>
      </c>
      <c r="CA610" s="61">
        <f t="shared" si="492"/>
        <v>0</v>
      </c>
      <c r="CB610" s="61">
        <f t="shared" si="492"/>
        <v>0</v>
      </c>
      <c r="CC610" s="61">
        <f t="shared" si="492"/>
        <v>0</v>
      </c>
      <c r="CD610" s="61">
        <f t="shared" ref="CD610:CH673" si="523">($Y610*R610-AW610*$BD610)/$C$2</f>
        <v>0</v>
      </c>
      <c r="CE610" s="61">
        <f t="shared" si="523"/>
        <v>0</v>
      </c>
      <c r="CF610" s="61">
        <f t="shared" si="523"/>
        <v>0</v>
      </c>
      <c r="CG610" s="61">
        <f t="shared" si="523"/>
        <v>0</v>
      </c>
      <c r="CH610" s="61">
        <f t="shared" si="489"/>
        <v>0</v>
      </c>
      <c r="CI610" s="61">
        <f t="shared" si="504"/>
        <v>0</v>
      </c>
      <c r="CJ610" s="61"/>
      <c r="CK610" s="61">
        <f t="shared" si="493"/>
        <v>0</v>
      </c>
      <c r="CL610" s="61">
        <f t="shared" si="493"/>
        <v>0</v>
      </c>
      <c r="CM610" s="61">
        <f t="shared" si="493"/>
        <v>0</v>
      </c>
      <c r="CN610" s="61">
        <f t="shared" ref="CN610:CR673" si="524">(R610*$AD610-AW610*$BI610)/$C$2</f>
        <v>0</v>
      </c>
      <c r="CO610" s="61">
        <f t="shared" si="524"/>
        <v>0</v>
      </c>
      <c r="CP610" s="61">
        <f t="shared" si="524"/>
        <v>0</v>
      </c>
      <c r="CQ610" s="61">
        <f t="shared" si="524"/>
        <v>0</v>
      </c>
      <c r="CR610" s="61">
        <f t="shared" si="490"/>
        <v>0</v>
      </c>
      <c r="CS610" s="61">
        <f t="shared" si="505"/>
        <v>0</v>
      </c>
      <c r="CT610" s="61">
        <f t="shared" si="506"/>
        <v>0</v>
      </c>
      <c r="CV610" s="61">
        <f t="shared" si="507"/>
        <v>0</v>
      </c>
      <c r="CW610" s="61">
        <f t="shared" si="508"/>
        <v>0</v>
      </c>
      <c r="CX610" s="61"/>
      <c r="CY610" s="61">
        <f t="shared" si="509"/>
        <v>0</v>
      </c>
      <c r="CZ610" s="61">
        <f t="shared" si="509"/>
        <v>0</v>
      </c>
      <c r="DA610" s="61">
        <f t="shared" si="509"/>
        <v>0</v>
      </c>
      <c r="DB610" s="2" t="s">
        <v>1118</v>
      </c>
      <c r="DC610" s="2" t="s">
        <v>85</v>
      </c>
      <c r="DD610" s="2" t="s">
        <v>142</v>
      </c>
      <c r="DE610" s="2" t="s">
        <v>264</v>
      </c>
      <c r="DF610" s="3" t="s">
        <v>86</v>
      </c>
      <c r="DG610" s="102">
        <v>42927</v>
      </c>
      <c r="EC610" s="60"/>
      <c r="ED610" s="60"/>
      <c r="EE610" s="60"/>
      <c r="EF610" s="60"/>
    </row>
    <row r="611" spans="2:140" ht="12.75" hidden="1" customHeight="1">
      <c r="B611" s="115" t="s">
        <v>836</v>
      </c>
      <c r="C611" s="22" t="s">
        <v>1119</v>
      </c>
      <c r="D611" s="22" t="s">
        <v>1120</v>
      </c>
      <c r="E611" s="2" t="str">
        <f>VLOOKUP($C611,[1]Detail!$C:$AK,6,0)</f>
        <v>PMT1</v>
      </c>
      <c r="F611" s="2" t="str">
        <f>VLOOKUP($C611,[1]Detail!$C:$AK,7,0)</f>
        <v>TH</v>
      </c>
      <c r="G611" s="2" t="str">
        <f>VLOOKUP($C611,[1]Detail!$C:$AK,5,0)</f>
        <v>B</v>
      </c>
      <c r="J611" s="22" t="s">
        <v>138</v>
      </c>
      <c r="K611" s="23">
        <v>8475</v>
      </c>
      <c r="L611" s="22" t="s">
        <v>140</v>
      </c>
      <c r="M611" s="51" t="str">
        <f t="shared" si="468"/>
        <v>JD8B-8475-AC</v>
      </c>
      <c r="O611" s="22">
        <v>0</v>
      </c>
      <c r="P611" s="22">
        <v>1</v>
      </c>
      <c r="Q611" s="22">
        <v>0</v>
      </c>
      <c r="R611" s="22">
        <v>1</v>
      </c>
      <c r="S611" s="22">
        <v>0</v>
      </c>
      <c r="T611" s="22">
        <v>0</v>
      </c>
      <c r="U611" s="22">
        <v>1</v>
      </c>
      <c r="V611" s="22">
        <v>0</v>
      </c>
      <c r="W611" s="64">
        <f t="shared" si="513"/>
        <v>0.44</v>
      </c>
      <c r="Y611" s="8">
        <v>-155.43</v>
      </c>
      <c r="Z611" s="8">
        <v>-3.52</v>
      </c>
      <c r="AA611" s="8">
        <v>-5.78</v>
      </c>
      <c r="AB611" s="8">
        <v>0</v>
      </c>
      <c r="AC611" s="8">
        <v>-6.75</v>
      </c>
      <c r="AD611" s="8">
        <f>SUM(Y611:AC611)</f>
        <v>-171.48000000000002</v>
      </c>
      <c r="AE611" s="2" t="s">
        <v>91</v>
      </c>
      <c r="AG611" s="8">
        <v>-5805000</v>
      </c>
      <c r="AH611" s="8">
        <v>-5805000</v>
      </c>
      <c r="AI611" s="6"/>
      <c r="AJ611" s="70">
        <v>-1706360</v>
      </c>
      <c r="AK611" s="70">
        <v>-252956</v>
      </c>
      <c r="AL611" s="72"/>
      <c r="AM611" s="22"/>
      <c r="AO611" s="22" t="s">
        <v>138</v>
      </c>
      <c r="AP611" s="23">
        <v>8475</v>
      </c>
      <c r="AQ611" s="22" t="s">
        <v>141</v>
      </c>
      <c r="AR611" s="51" t="str">
        <f>TRIM(AO611)&amp;"-"&amp;TRIM(AP611)&amp;"-"&amp;TRIM(AQ611)</f>
        <v>JD8B-8475-AB</v>
      </c>
      <c r="AS611" s="3"/>
      <c r="AT611" s="22">
        <v>0</v>
      </c>
      <c r="AU611" s="22">
        <v>1</v>
      </c>
      <c r="AV611" s="22">
        <v>0</v>
      </c>
      <c r="AW611" s="22">
        <v>1</v>
      </c>
      <c r="AX611" s="22">
        <v>0</v>
      </c>
      <c r="AY611" s="22">
        <v>0</v>
      </c>
      <c r="AZ611" s="22">
        <v>1</v>
      </c>
      <c r="BA611" s="22">
        <v>0</v>
      </c>
      <c r="BB611" s="64">
        <f t="shared" si="485"/>
        <v>0.44</v>
      </c>
      <c r="BD611" s="60">
        <v>-155.43</v>
      </c>
      <c r="BE611" s="60">
        <v>-3.52</v>
      </c>
      <c r="BF611" s="95">
        <v>-5.78</v>
      </c>
      <c r="BG611" s="95">
        <v>0</v>
      </c>
      <c r="BH611" s="95">
        <v>-6.75</v>
      </c>
      <c r="BI611" s="8">
        <f>SUM(BD611:BH611)</f>
        <v>-171.48000000000002</v>
      </c>
      <c r="BJ611" s="2" t="s">
        <v>91</v>
      </c>
      <c r="BL611" s="70">
        <v>-5805000</v>
      </c>
      <c r="BM611" s="70">
        <v>-5805000</v>
      </c>
      <c r="BO611" s="70">
        <v>-1706360</v>
      </c>
      <c r="BP611" s="70">
        <v>-252956</v>
      </c>
      <c r="BQ611" s="72"/>
      <c r="BS611" s="61">
        <f t="shared" si="514"/>
        <v>0</v>
      </c>
      <c r="BT611" s="61">
        <f t="shared" si="515"/>
        <v>0</v>
      </c>
      <c r="BU611" s="61">
        <f t="shared" si="516"/>
        <v>0</v>
      </c>
      <c r="BV611" s="61">
        <f t="shared" si="516"/>
        <v>0</v>
      </c>
      <c r="BW611" s="61">
        <f t="shared" si="516"/>
        <v>0</v>
      </c>
      <c r="BX611" s="61">
        <f t="shared" si="516"/>
        <v>0</v>
      </c>
      <c r="BY611" s="61" t="s">
        <v>91</v>
      </c>
      <c r="CA611" s="61">
        <f t="shared" ref="CA611:CE674" si="525">($Y611*O611-AT611*$BD611)/$C$2</f>
        <v>0</v>
      </c>
      <c r="CB611" s="61">
        <f t="shared" si="525"/>
        <v>0</v>
      </c>
      <c r="CC611" s="61">
        <f t="shared" si="525"/>
        <v>0</v>
      </c>
      <c r="CD611" s="61">
        <f t="shared" si="523"/>
        <v>0</v>
      </c>
      <c r="CE611" s="61">
        <f t="shared" si="523"/>
        <v>0</v>
      </c>
      <c r="CF611" s="61">
        <f t="shared" si="523"/>
        <v>0</v>
      </c>
      <c r="CG611" s="61">
        <f t="shared" si="523"/>
        <v>0</v>
      </c>
      <c r="CH611" s="61">
        <f t="shared" si="489"/>
        <v>0</v>
      </c>
      <c r="CI611" s="61">
        <f t="shared" si="504"/>
        <v>0</v>
      </c>
      <c r="CJ611" s="61"/>
      <c r="CK611" s="61">
        <f t="shared" ref="CK611:CO674" si="526">(O611*$AD611-AT611*$BI611)/$C$2</f>
        <v>0</v>
      </c>
      <c r="CL611" s="61">
        <f t="shared" si="526"/>
        <v>0</v>
      </c>
      <c r="CM611" s="61">
        <f t="shared" si="526"/>
        <v>0</v>
      </c>
      <c r="CN611" s="61">
        <f t="shared" si="524"/>
        <v>0</v>
      </c>
      <c r="CO611" s="61">
        <f t="shared" si="524"/>
        <v>0</v>
      </c>
      <c r="CP611" s="61">
        <f t="shared" si="524"/>
        <v>0</v>
      </c>
      <c r="CQ611" s="61">
        <f t="shared" si="524"/>
        <v>0</v>
      </c>
      <c r="CR611" s="61">
        <f t="shared" si="490"/>
        <v>0</v>
      </c>
      <c r="CS611" s="61">
        <f t="shared" si="505"/>
        <v>0</v>
      </c>
      <c r="CT611" s="61">
        <f t="shared" si="506"/>
        <v>0</v>
      </c>
      <c r="CV611" s="61">
        <f>SUM(AG611)-SUM(BL611)</f>
        <v>0</v>
      </c>
      <c r="CW611" s="61">
        <f>SUM(AH611)-SUM(BM611)</f>
        <v>0</v>
      </c>
      <c r="CX611" s="61"/>
      <c r="CY611" s="61">
        <f>SUM(AJ611)-SUM(BO611)</f>
        <v>0</v>
      </c>
      <c r="CZ611" s="61">
        <f>SUM(AK611)-SUM(BP611)</f>
        <v>0</v>
      </c>
      <c r="DA611" s="61">
        <f>SUM(AL611)-SUM(BQ611)</f>
        <v>0</v>
      </c>
      <c r="DB611" s="2" t="s">
        <v>102</v>
      </c>
      <c r="DC611" s="2" t="s">
        <v>134</v>
      </c>
      <c r="DD611" s="2" t="s">
        <v>142</v>
      </c>
      <c r="DE611" s="2" t="s">
        <v>143</v>
      </c>
      <c r="DF611" s="3" t="s">
        <v>86</v>
      </c>
      <c r="DG611" s="62">
        <v>43166</v>
      </c>
      <c r="EC611" s="60" t="str">
        <f>VLOOKUP($M611,[1]Detail!$M:$BO,1,0)</f>
        <v>JD8B-8475-AC</v>
      </c>
      <c r="ED611" s="60">
        <f>VLOOKUP($M611,[1]Detail!$M:$BO,22,0)</f>
        <v>-171.48000000000002</v>
      </c>
      <c r="EE611" s="60">
        <f>VLOOKUP($M611,[1]Detail!$M:$BO,42,0)</f>
        <v>-5805000</v>
      </c>
      <c r="EF611" s="60">
        <f>VLOOKUP($M611,[1]Detail!$M:$BO,45,0)</f>
        <v>-1706360</v>
      </c>
      <c r="EH611" s="60">
        <f>ED611-AD611</f>
        <v>0</v>
      </c>
      <c r="EI611" s="60">
        <f>EE611-AG611</f>
        <v>0</v>
      </c>
      <c r="EJ611" s="60">
        <f>EF611-AJ611</f>
        <v>0</v>
      </c>
    </row>
    <row r="612" spans="2:140" ht="12.75" hidden="1" customHeight="1">
      <c r="B612" s="99" t="s">
        <v>1117</v>
      </c>
      <c r="C612" s="22" t="s">
        <v>834</v>
      </c>
      <c r="D612" s="22" t="s">
        <v>835</v>
      </c>
      <c r="E612" s="2" t="str">
        <f>VLOOKUP($C612,[1]Detail!$C:$AK,6,0)</f>
        <v>PMT1</v>
      </c>
      <c r="F612" s="2" t="str">
        <f>VLOOKUP($C612,[1]Detail!$C:$AK,7,0)</f>
        <v>TH</v>
      </c>
      <c r="G612" s="2" t="str">
        <f>VLOOKUP($C612,[1]Detail!$C:$AK,5,0)</f>
        <v>B</v>
      </c>
      <c r="J612" s="22" t="s">
        <v>126</v>
      </c>
      <c r="K612" s="23">
        <v>8475</v>
      </c>
      <c r="L612" s="22" t="s">
        <v>120</v>
      </c>
      <c r="M612" s="51" t="str">
        <f t="shared" si="468"/>
        <v>JD8B-8475-BB</v>
      </c>
      <c r="O612" s="22">
        <v>0</v>
      </c>
      <c r="P612" s="22">
        <v>0</v>
      </c>
      <c r="Q612" s="22">
        <v>0</v>
      </c>
      <c r="R612" s="22">
        <v>0</v>
      </c>
      <c r="S612" s="22">
        <v>1</v>
      </c>
      <c r="T612" s="22">
        <v>1</v>
      </c>
      <c r="U612" s="22">
        <v>0</v>
      </c>
      <c r="V612" s="22">
        <v>1</v>
      </c>
      <c r="W612" s="64">
        <f t="shared" si="513"/>
        <v>0.28000000000000003</v>
      </c>
      <c r="Y612" s="8">
        <v>-152.13999999999999</v>
      </c>
      <c r="Z612" s="8">
        <v>-3.52</v>
      </c>
      <c r="AA612" s="8">
        <v>-5.78</v>
      </c>
      <c r="AB612" s="8">
        <v>0</v>
      </c>
      <c r="AC612" s="8">
        <v>-4.6900000000000004</v>
      </c>
      <c r="AD612" s="8">
        <f t="shared" si="498"/>
        <v>-166.13</v>
      </c>
      <c r="AE612" s="2" t="s">
        <v>84</v>
      </c>
      <c r="AG612" s="8">
        <v>-5605000</v>
      </c>
      <c r="AH612" s="8">
        <v>-5605000</v>
      </c>
      <c r="AI612" s="6"/>
      <c r="AJ612" s="70">
        <v>-754233</v>
      </c>
      <c r="AK612" s="70">
        <v>-160972</v>
      </c>
      <c r="AL612" s="72"/>
      <c r="AM612" s="22"/>
      <c r="AO612" s="22" t="s">
        <v>126</v>
      </c>
      <c r="AP612" s="23">
        <v>8475</v>
      </c>
      <c r="AQ612" s="22" t="s">
        <v>111</v>
      </c>
      <c r="AR612" s="51" t="str">
        <f t="shared" si="481"/>
        <v>JD8B-8475-BA</v>
      </c>
      <c r="AS612" s="3"/>
      <c r="AT612" s="22">
        <v>0</v>
      </c>
      <c r="AU612" s="22">
        <v>0</v>
      </c>
      <c r="AV612" s="22">
        <v>0</v>
      </c>
      <c r="AW612" s="22">
        <v>0</v>
      </c>
      <c r="AX612" s="22">
        <v>1</v>
      </c>
      <c r="AY612" s="22">
        <v>1</v>
      </c>
      <c r="AZ612" s="22">
        <v>0</v>
      </c>
      <c r="BA612" s="22">
        <v>1</v>
      </c>
      <c r="BB612" s="64">
        <f t="shared" si="485"/>
        <v>0.28000000000000003</v>
      </c>
      <c r="BD612" s="60">
        <v>-152.13999999999999</v>
      </c>
      <c r="BE612" s="60">
        <v>-3.52</v>
      </c>
      <c r="BF612" s="95">
        <v>-5.78</v>
      </c>
      <c r="BG612" s="95">
        <v>0</v>
      </c>
      <c r="BH612" s="95">
        <v>-4.6900000000000004</v>
      </c>
      <c r="BI612" s="8">
        <f t="shared" si="502"/>
        <v>-166.13</v>
      </c>
      <c r="BJ612" s="2" t="s">
        <v>91</v>
      </c>
      <c r="BL612" s="70">
        <v>-5605000</v>
      </c>
      <c r="BM612" s="70">
        <v>-5605000</v>
      </c>
      <c r="BO612" s="70">
        <v>-754233</v>
      </c>
      <c r="BP612" s="70">
        <v>-160972</v>
      </c>
      <c r="BQ612" s="72"/>
      <c r="BS612" s="61">
        <f t="shared" si="514"/>
        <v>0</v>
      </c>
      <c r="BT612" s="61">
        <f t="shared" si="515"/>
        <v>0</v>
      </c>
      <c r="BU612" s="61">
        <f t="shared" si="516"/>
        <v>0</v>
      </c>
      <c r="BV612" s="61">
        <f t="shared" si="516"/>
        <v>0</v>
      </c>
      <c r="BW612" s="61">
        <f t="shared" si="516"/>
        <v>0</v>
      </c>
      <c r="BX612" s="61">
        <f t="shared" si="516"/>
        <v>0</v>
      </c>
      <c r="BY612" s="61" t="s">
        <v>91</v>
      </c>
      <c r="CA612" s="61">
        <f t="shared" si="525"/>
        <v>0</v>
      </c>
      <c r="CB612" s="61">
        <f t="shared" si="525"/>
        <v>0</v>
      </c>
      <c r="CC612" s="61">
        <f t="shared" si="525"/>
        <v>0</v>
      </c>
      <c r="CD612" s="61">
        <f t="shared" si="523"/>
        <v>0</v>
      </c>
      <c r="CE612" s="61">
        <f t="shared" si="523"/>
        <v>0</v>
      </c>
      <c r="CF612" s="61">
        <f t="shared" si="523"/>
        <v>0</v>
      </c>
      <c r="CG612" s="61">
        <f t="shared" si="523"/>
        <v>0</v>
      </c>
      <c r="CH612" s="61">
        <f t="shared" si="489"/>
        <v>0</v>
      </c>
      <c r="CI612" s="61">
        <f t="shared" si="504"/>
        <v>0</v>
      </c>
      <c r="CJ612" s="61"/>
      <c r="CK612" s="61">
        <f t="shared" si="526"/>
        <v>0</v>
      </c>
      <c r="CL612" s="61">
        <f t="shared" si="526"/>
        <v>0</v>
      </c>
      <c r="CM612" s="61">
        <f t="shared" si="526"/>
        <v>0</v>
      </c>
      <c r="CN612" s="61">
        <f t="shared" si="524"/>
        <v>0</v>
      </c>
      <c r="CO612" s="61">
        <f t="shared" si="524"/>
        <v>0</v>
      </c>
      <c r="CP612" s="61">
        <f t="shared" si="524"/>
        <v>0</v>
      </c>
      <c r="CQ612" s="61">
        <f t="shared" si="524"/>
        <v>0</v>
      </c>
      <c r="CR612" s="61">
        <f t="shared" si="490"/>
        <v>0</v>
      </c>
      <c r="CS612" s="61">
        <f t="shared" si="505"/>
        <v>0</v>
      </c>
      <c r="CT612" s="61">
        <f t="shared" si="506"/>
        <v>0</v>
      </c>
      <c r="CV612" s="61">
        <f t="shared" si="507"/>
        <v>0</v>
      </c>
      <c r="CW612" s="61">
        <f t="shared" si="508"/>
        <v>0</v>
      </c>
      <c r="CX612" s="61"/>
      <c r="CY612" s="61">
        <f t="shared" si="509"/>
        <v>0</v>
      </c>
      <c r="CZ612" s="61">
        <f t="shared" si="509"/>
        <v>0</v>
      </c>
      <c r="DA612" s="61">
        <f t="shared" si="509"/>
        <v>0</v>
      </c>
      <c r="DB612" s="2" t="s">
        <v>134</v>
      </c>
      <c r="DC612" s="2" t="s">
        <v>85</v>
      </c>
      <c r="DD612" s="2" t="s">
        <v>142</v>
      </c>
      <c r="DE612" s="2" t="s">
        <v>264</v>
      </c>
      <c r="DF612" s="3" t="s">
        <v>86</v>
      </c>
      <c r="DG612" s="102">
        <v>42927</v>
      </c>
      <c r="EC612" s="60"/>
      <c r="ED612" s="60"/>
      <c r="EE612" s="60"/>
      <c r="EF612" s="60"/>
    </row>
    <row r="613" spans="2:140" ht="12.75" hidden="1" customHeight="1">
      <c r="B613" s="115" t="s">
        <v>836</v>
      </c>
      <c r="C613" s="22" t="s">
        <v>1119</v>
      </c>
      <c r="D613" s="22" t="s">
        <v>1120</v>
      </c>
      <c r="E613" s="2" t="str">
        <f>VLOOKUP($C613,[1]Detail!$C:$AK,6,0)</f>
        <v>PMT1</v>
      </c>
      <c r="F613" s="2" t="str">
        <f>VLOOKUP($C613,[1]Detail!$C:$AK,7,0)</f>
        <v>TH</v>
      </c>
      <c r="G613" s="2" t="str">
        <f>VLOOKUP($C613,[1]Detail!$C:$AK,5,0)</f>
        <v>B</v>
      </c>
      <c r="J613" s="22" t="s">
        <v>138</v>
      </c>
      <c r="K613" s="23">
        <v>8475</v>
      </c>
      <c r="L613" s="22" t="s">
        <v>1121</v>
      </c>
      <c r="M613" s="51" t="str">
        <f t="shared" si="468"/>
        <v>JD8B-8475-BC</v>
      </c>
      <c r="O613" s="22">
        <v>0</v>
      </c>
      <c r="P613" s="22">
        <v>0</v>
      </c>
      <c r="Q613" s="22">
        <v>0</v>
      </c>
      <c r="R613" s="22">
        <v>0</v>
      </c>
      <c r="S613" s="22">
        <v>1</v>
      </c>
      <c r="T613" s="22">
        <v>1</v>
      </c>
      <c r="U613" s="22">
        <v>0</v>
      </c>
      <c r="V613" s="22">
        <v>1</v>
      </c>
      <c r="W613" s="64">
        <f t="shared" si="513"/>
        <v>0.28000000000000003</v>
      </c>
      <c r="Y613" s="8">
        <v>-152.13999999999999</v>
      </c>
      <c r="Z613" s="8">
        <v>-3.52</v>
      </c>
      <c r="AA613" s="8">
        <v>-5.78</v>
      </c>
      <c r="AB613" s="8">
        <v>0</v>
      </c>
      <c r="AC613" s="8">
        <v>-4.6900000000000004</v>
      </c>
      <c r="AD613" s="8">
        <f>SUM(Y613:AC613)</f>
        <v>-166.13</v>
      </c>
      <c r="AE613" s="2" t="s">
        <v>91</v>
      </c>
      <c r="AG613" s="8">
        <f>-5605000-28000</f>
        <v>-5633000</v>
      </c>
      <c r="AH613" s="8">
        <f>-5605000-28000</f>
        <v>-5633000</v>
      </c>
      <c r="AI613" s="6"/>
      <c r="AJ613" s="70">
        <v>-754233</v>
      </c>
      <c r="AK613" s="70">
        <v>-160972</v>
      </c>
      <c r="AL613" s="72"/>
      <c r="AM613" s="22"/>
      <c r="AO613" s="22" t="s">
        <v>138</v>
      </c>
      <c r="AP613" s="23">
        <v>8475</v>
      </c>
      <c r="AQ613" s="22" t="s">
        <v>970</v>
      </c>
      <c r="AR613" s="51" t="str">
        <f>TRIM(AO613)&amp;"-"&amp;TRIM(AP613)&amp;"-"&amp;TRIM(AQ613)</f>
        <v>JD8B-8475-BB</v>
      </c>
      <c r="AS613" s="3"/>
      <c r="AT613" s="22">
        <v>0</v>
      </c>
      <c r="AU613" s="22">
        <v>0</v>
      </c>
      <c r="AV613" s="22">
        <v>0</v>
      </c>
      <c r="AW613" s="22">
        <v>0</v>
      </c>
      <c r="AX613" s="22">
        <v>1</v>
      </c>
      <c r="AY613" s="22">
        <v>1</v>
      </c>
      <c r="AZ613" s="22">
        <v>0</v>
      </c>
      <c r="BA613" s="22">
        <v>1</v>
      </c>
      <c r="BB613" s="64">
        <f t="shared" si="485"/>
        <v>0.28000000000000003</v>
      </c>
      <c r="BD613" s="60">
        <v>-152.13999999999999</v>
      </c>
      <c r="BE613" s="60">
        <v>-3.52</v>
      </c>
      <c r="BF613" s="95">
        <v>-5.78</v>
      </c>
      <c r="BG613" s="95">
        <v>0</v>
      </c>
      <c r="BH613" s="95">
        <v>-4.6900000000000004</v>
      </c>
      <c r="BI613" s="8">
        <f>SUM(BD613:BH613)</f>
        <v>-166.13</v>
      </c>
      <c r="BJ613" s="2" t="s">
        <v>91</v>
      </c>
      <c r="BL613" s="70">
        <v>-5605000</v>
      </c>
      <c r="BM613" s="70">
        <v>-5605000</v>
      </c>
      <c r="BO613" s="70">
        <v>-754233</v>
      </c>
      <c r="BP613" s="70">
        <v>-160972</v>
      </c>
      <c r="BQ613" s="72"/>
      <c r="BS613" s="61">
        <f t="shared" si="514"/>
        <v>0</v>
      </c>
      <c r="BT613" s="61">
        <f t="shared" si="515"/>
        <v>0</v>
      </c>
      <c r="BU613" s="61">
        <f t="shared" si="516"/>
        <v>0</v>
      </c>
      <c r="BV613" s="61">
        <f t="shared" si="516"/>
        <v>0</v>
      </c>
      <c r="BW613" s="61">
        <f t="shared" si="516"/>
        <v>0</v>
      </c>
      <c r="BX613" s="61">
        <f t="shared" si="516"/>
        <v>0</v>
      </c>
      <c r="BY613" s="61" t="s">
        <v>91</v>
      </c>
      <c r="CA613" s="61">
        <f t="shared" si="525"/>
        <v>0</v>
      </c>
      <c r="CB613" s="61">
        <f t="shared" si="525"/>
        <v>0</v>
      </c>
      <c r="CC613" s="61">
        <f t="shared" si="525"/>
        <v>0</v>
      </c>
      <c r="CD613" s="61">
        <f t="shared" si="523"/>
        <v>0</v>
      </c>
      <c r="CE613" s="61">
        <f t="shared" si="523"/>
        <v>0</v>
      </c>
      <c r="CF613" s="61">
        <f t="shared" si="523"/>
        <v>0</v>
      </c>
      <c r="CG613" s="61">
        <f t="shared" si="523"/>
        <v>0</v>
      </c>
      <c r="CH613" s="61">
        <f t="shared" si="489"/>
        <v>0</v>
      </c>
      <c r="CI613" s="61">
        <f t="shared" si="504"/>
        <v>0</v>
      </c>
      <c r="CJ613" s="61"/>
      <c r="CK613" s="61">
        <f t="shared" si="526"/>
        <v>0</v>
      </c>
      <c r="CL613" s="61">
        <f t="shared" si="526"/>
        <v>0</v>
      </c>
      <c r="CM613" s="61">
        <f t="shared" si="526"/>
        <v>0</v>
      </c>
      <c r="CN613" s="61">
        <f t="shared" si="524"/>
        <v>0</v>
      </c>
      <c r="CO613" s="61">
        <f t="shared" si="524"/>
        <v>0</v>
      </c>
      <c r="CP613" s="61">
        <f t="shared" si="524"/>
        <v>0</v>
      </c>
      <c r="CQ613" s="61">
        <f t="shared" si="524"/>
        <v>0</v>
      </c>
      <c r="CR613" s="61">
        <f t="shared" si="490"/>
        <v>0</v>
      </c>
      <c r="CS613" s="61">
        <f t="shared" si="505"/>
        <v>0</v>
      </c>
      <c r="CT613" s="61">
        <f t="shared" si="506"/>
        <v>0</v>
      </c>
      <c r="CV613" s="61">
        <f>SUM(AG613)-SUM(BL613)</f>
        <v>-28000</v>
      </c>
      <c r="CW613" s="61">
        <f>SUM(AH613)-SUM(BM613)</f>
        <v>-28000</v>
      </c>
      <c r="CX613" s="61"/>
      <c r="CY613" s="61">
        <f>SUM(AJ613)-SUM(BO613)</f>
        <v>0</v>
      </c>
      <c r="CZ613" s="61">
        <f>SUM(AK613)-SUM(BP613)</f>
        <v>0</v>
      </c>
      <c r="DA613" s="61">
        <f>SUM(AL613)-SUM(BQ613)</f>
        <v>0</v>
      </c>
      <c r="DB613" s="2" t="s">
        <v>102</v>
      </c>
      <c r="DC613" s="2" t="s">
        <v>134</v>
      </c>
      <c r="DD613" s="2" t="s">
        <v>142</v>
      </c>
      <c r="DE613" s="2" t="s">
        <v>143</v>
      </c>
      <c r="DF613" s="3" t="s">
        <v>86</v>
      </c>
      <c r="DG613" s="62">
        <v>43166</v>
      </c>
      <c r="EC613" s="60" t="str">
        <f>VLOOKUP($M613,[1]Detail!$M:$BO,1,0)</f>
        <v>JD8B-8475-BC</v>
      </c>
      <c r="ED613" s="60">
        <f>VLOOKUP($M613,[1]Detail!$M:$BO,22,0)</f>
        <v>-166.13</v>
      </c>
      <c r="EE613" s="60">
        <f>VLOOKUP($M613,[1]Detail!$M:$BO,42,0)</f>
        <v>-5605000</v>
      </c>
      <c r="EF613" s="60">
        <f>VLOOKUP($M613,[1]Detail!$M:$BO,45,0)</f>
        <v>-754233</v>
      </c>
      <c r="EH613" s="60">
        <f>ED613-AD613</f>
        <v>0</v>
      </c>
      <c r="EI613" s="60">
        <f>EE613-AG613</f>
        <v>28000</v>
      </c>
      <c r="EJ613" s="60">
        <f>EF613-AJ613</f>
        <v>0</v>
      </c>
    </row>
    <row r="614" spans="2:140" ht="12.75" hidden="1" customHeight="1">
      <c r="B614" s="99" t="s">
        <v>1117</v>
      </c>
      <c r="C614" s="22" t="s">
        <v>834</v>
      </c>
      <c r="D614" s="22" t="s">
        <v>835</v>
      </c>
      <c r="E614" s="2" t="str">
        <f>VLOOKUP($C614,[1]Detail!$C:$AK,6,0)</f>
        <v>PMT1</v>
      </c>
      <c r="F614" s="2" t="str">
        <f>VLOOKUP($C614,[1]Detail!$C:$AK,7,0)</f>
        <v>TH</v>
      </c>
      <c r="G614" s="2" t="str">
        <f>VLOOKUP($C614,[1]Detail!$C:$AK,5,0)</f>
        <v>B</v>
      </c>
      <c r="J614" s="22" t="s">
        <v>126</v>
      </c>
      <c r="K614" s="23">
        <v>8475</v>
      </c>
      <c r="L614" s="22" t="s">
        <v>122</v>
      </c>
      <c r="M614" s="51" t="str">
        <f t="shared" si="468"/>
        <v>JD8B-8475-CB</v>
      </c>
      <c r="O614" s="22">
        <v>1</v>
      </c>
      <c r="P614" s="22">
        <v>0</v>
      </c>
      <c r="Q614" s="22">
        <v>1</v>
      </c>
      <c r="R614" s="22">
        <v>0</v>
      </c>
      <c r="S614" s="22">
        <v>0</v>
      </c>
      <c r="T614" s="22">
        <v>0</v>
      </c>
      <c r="U614" s="22">
        <v>0</v>
      </c>
      <c r="V614" s="22">
        <v>0</v>
      </c>
      <c r="W614" s="64">
        <f t="shared" si="513"/>
        <v>0.28000000000000003</v>
      </c>
      <c r="Y614" s="8">
        <v>-161.25</v>
      </c>
      <c r="Z614" s="8">
        <v>-3.52</v>
      </c>
      <c r="AA614" s="8">
        <v>-5.78</v>
      </c>
      <c r="AB614" s="8">
        <v>0</v>
      </c>
      <c r="AC614" s="8">
        <v>0</v>
      </c>
      <c r="AD614" s="8">
        <f t="shared" si="498"/>
        <v>-170.55</v>
      </c>
      <c r="AE614" s="2" t="s">
        <v>84</v>
      </c>
      <c r="AG614" s="8">
        <v>-445000</v>
      </c>
      <c r="AH614" s="8">
        <v>-445000</v>
      </c>
      <c r="AI614" s="6"/>
      <c r="AJ614" s="70">
        <v>0</v>
      </c>
      <c r="AK614" s="70">
        <v>0</v>
      </c>
      <c r="AL614" s="72"/>
      <c r="AM614" s="22"/>
      <c r="AO614" s="22" t="s">
        <v>126</v>
      </c>
      <c r="AP614" s="23">
        <v>8475</v>
      </c>
      <c r="AQ614" s="22" t="s">
        <v>113</v>
      </c>
      <c r="AR614" s="51" t="str">
        <f t="shared" si="481"/>
        <v>JD8B-8475-CA</v>
      </c>
      <c r="AS614" s="3"/>
      <c r="AT614" s="22">
        <v>1</v>
      </c>
      <c r="AU614" s="22">
        <v>0</v>
      </c>
      <c r="AV614" s="22">
        <v>1</v>
      </c>
      <c r="AW614" s="22">
        <v>0</v>
      </c>
      <c r="AX614" s="22">
        <v>0</v>
      </c>
      <c r="AY614" s="22">
        <v>0</v>
      </c>
      <c r="AZ614" s="22">
        <v>0</v>
      </c>
      <c r="BA614" s="22">
        <v>0</v>
      </c>
      <c r="BB614" s="64">
        <f t="shared" si="485"/>
        <v>0.28000000000000003</v>
      </c>
      <c r="BD614" s="60">
        <v>-161.25</v>
      </c>
      <c r="BE614" s="60">
        <v>-3.52</v>
      </c>
      <c r="BF614" s="95">
        <v>-5.78</v>
      </c>
      <c r="BG614" s="95">
        <v>0</v>
      </c>
      <c r="BH614" s="95">
        <v>0</v>
      </c>
      <c r="BI614" s="8">
        <f t="shared" si="502"/>
        <v>-170.55</v>
      </c>
      <c r="BJ614" s="2" t="s">
        <v>91</v>
      </c>
      <c r="BL614" s="70">
        <v>-445000</v>
      </c>
      <c r="BM614" s="70">
        <v>-445000</v>
      </c>
      <c r="BO614" s="70">
        <v>0</v>
      </c>
      <c r="BP614" s="70">
        <v>0</v>
      </c>
      <c r="BQ614" s="72"/>
      <c r="BS614" s="61">
        <f t="shared" si="514"/>
        <v>0</v>
      </c>
      <c r="BT614" s="61">
        <f t="shared" si="515"/>
        <v>0</v>
      </c>
      <c r="BU614" s="61">
        <f t="shared" si="516"/>
        <v>0</v>
      </c>
      <c r="BV614" s="61">
        <f t="shared" si="516"/>
        <v>0</v>
      </c>
      <c r="BW614" s="61">
        <f t="shared" si="516"/>
        <v>0</v>
      </c>
      <c r="BX614" s="61">
        <f t="shared" si="516"/>
        <v>0</v>
      </c>
      <c r="BY614" s="61" t="s">
        <v>91</v>
      </c>
      <c r="CA614" s="61">
        <f t="shared" si="525"/>
        <v>0</v>
      </c>
      <c r="CB614" s="61">
        <f t="shared" si="525"/>
        <v>0</v>
      </c>
      <c r="CC614" s="61">
        <f t="shared" si="525"/>
        <v>0</v>
      </c>
      <c r="CD614" s="61">
        <f t="shared" si="523"/>
        <v>0</v>
      </c>
      <c r="CE614" s="61">
        <f t="shared" si="523"/>
        <v>0</v>
      </c>
      <c r="CF614" s="61">
        <f t="shared" si="523"/>
        <v>0</v>
      </c>
      <c r="CG614" s="61">
        <f t="shared" si="523"/>
        <v>0</v>
      </c>
      <c r="CH614" s="61">
        <f t="shared" si="489"/>
        <v>0</v>
      </c>
      <c r="CI614" s="61">
        <f t="shared" si="504"/>
        <v>0</v>
      </c>
      <c r="CJ614" s="61"/>
      <c r="CK614" s="61">
        <f t="shared" si="526"/>
        <v>0</v>
      </c>
      <c r="CL614" s="61">
        <f t="shared" si="526"/>
        <v>0</v>
      </c>
      <c r="CM614" s="61">
        <f t="shared" si="526"/>
        <v>0</v>
      </c>
      <c r="CN614" s="61">
        <f t="shared" si="524"/>
        <v>0</v>
      </c>
      <c r="CO614" s="61">
        <f t="shared" si="524"/>
        <v>0</v>
      </c>
      <c r="CP614" s="61">
        <f t="shared" si="524"/>
        <v>0</v>
      </c>
      <c r="CQ614" s="61">
        <f t="shared" si="524"/>
        <v>0</v>
      </c>
      <c r="CR614" s="61">
        <f t="shared" si="490"/>
        <v>0</v>
      </c>
      <c r="CS614" s="61">
        <f t="shared" si="505"/>
        <v>0</v>
      </c>
      <c r="CT614" s="61">
        <f t="shared" si="506"/>
        <v>0</v>
      </c>
      <c r="CV614" s="61">
        <f t="shared" si="507"/>
        <v>0</v>
      </c>
      <c r="CW614" s="61">
        <f t="shared" si="508"/>
        <v>0</v>
      </c>
      <c r="CX614" s="61"/>
      <c r="CY614" s="61">
        <f t="shared" si="509"/>
        <v>0</v>
      </c>
      <c r="CZ614" s="61">
        <f t="shared" si="509"/>
        <v>0</v>
      </c>
      <c r="DA614" s="61">
        <f t="shared" si="509"/>
        <v>0</v>
      </c>
      <c r="DB614" s="2" t="s">
        <v>134</v>
      </c>
      <c r="DC614" s="2" t="s">
        <v>85</v>
      </c>
      <c r="DD614" s="2" t="s">
        <v>142</v>
      </c>
      <c r="DE614" s="2" t="s">
        <v>264</v>
      </c>
      <c r="DF614" s="3" t="s">
        <v>86</v>
      </c>
      <c r="DG614" s="102">
        <v>42927</v>
      </c>
      <c r="EC614" s="60"/>
      <c r="ED614" s="60"/>
      <c r="EE614" s="60"/>
      <c r="EF614" s="60"/>
    </row>
    <row r="615" spans="2:140" ht="12.75" hidden="1" customHeight="1">
      <c r="B615" s="115" t="s">
        <v>836</v>
      </c>
      <c r="C615" s="22" t="s">
        <v>1119</v>
      </c>
      <c r="D615" s="22" t="s">
        <v>1120</v>
      </c>
      <c r="E615" s="2" t="str">
        <f>VLOOKUP($C615,[1]Detail!$C:$AK,6,0)</f>
        <v>PMT1</v>
      </c>
      <c r="F615" s="2" t="str">
        <f>VLOOKUP($C615,[1]Detail!$C:$AK,7,0)</f>
        <v>TH</v>
      </c>
      <c r="G615" s="2" t="str">
        <f>VLOOKUP($C615,[1]Detail!$C:$AK,5,0)</f>
        <v>B</v>
      </c>
      <c r="J615" s="22" t="s">
        <v>138</v>
      </c>
      <c r="K615" s="23">
        <v>8475</v>
      </c>
      <c r="L615" s="22" t="s">
        <v>1122</v>
      </c>
      <c r="M615" s="51" t="str">
        <f t="shared" si="468"/>
        <v>JD8B-8475-CC</v>
      </c>
      <c r="O615" s="22">
        <v>1</v>
      </c>
      <c r="P615" s="22">
        <v>0</v>
      </c>
      <c r="Q615" s="22">
        <v>1</v>
      </c>
      <c r="R615" s="22">
        <v>0</v>
      </c>
      <c r="S615" s="22">
        <v>0</v>
      </c>
      <c r="T615" s="22">
        <v>0</v>
      </c>
      <c r="U615" s="22">
        <v>0</v>
      </c>
      <c r="V615" s="22">
        <v>0</v>
      </c>
      <c r="W615" s="64">
        <f t="shared" si="513"/>
        <v>0.28000000000000003</v>
      </c>
      <c r="Y615" s="8">
        <v>-161.25</v>
      </c>
      <c r="Z615" s="8">
        <v>-3.52</v>
      </c>
      <c r="AA615" s="8">
        <v>-5.78</v>
      </c>
      <c r="AB615" s="8">
        <v>0</v>
      </c>
      <c r="AC615" s="8">
        <v>0</v>
      </c>
      <c r="AD615" s="8">
        <f>SUM(Y615:AC615)</f>
        <v>-170.55</v>
      </c>
      <c r="AE615" s="2" t="s">
        <v>91</v>
      </c>
      <c r="AG615" s="8">
        <v>-445000</v>
      </c>
      <c r="AH615" s="8">
        <v>-445000</v>
      </c>
      <c r="AI615" s="6"/>
      <c r="AJ615" s="70">
        <v>0</v>
      </c>
      <c r="AK615" s="70">
        <v>0</v>
      </c>
      <c r="AL615" s="72"/>
      <c r="AM615" s="22"/>
      <c r="AO615" s="22" t="s">
        <v>138</v>
      </c>
      <c r="AP615" s="23">
        <v>8475</v>
      </c>
      <c r="AQ615" s="22" t="s">
        <v>1123</v>
      </c>
      <c r="AR615" s="51" t="str">
        <f>TRIM(AO615)&amp;"-"&amp;TRIM(AP615)&amp;"-"&amp;TRIM(AQ615)</f>
        <v>JD8B-8475-Cb</v>
      </c>
      <c r="AS615" s="3"/>
      <c r="AT615" s="22">
        <v>1</v>
      </c>
      <c r="AU615" s="22">
        <v>0</v>
      </c>
      <c r="AV615" s="22">
        <v>1</v>
      </c>
      <c r="AW615" s="22">
        <v>0</v>
      </c>
      <c r="AX615" s="22">
        <v>0</v>
      </c>
      <c r="AY615" s="22">
        <v>0</v>
      </c>
      <c r="AZ615" s="22">
        <v>0</v>
      </c>
      <c r="BA615" s="22">
        <v>0</v>
      </c>
      <c r="BB615" s="64">
        <f t="shared" si="485"/>
        <v>0.28000000000000003</v>
      </c>
      <c r="BD615" s="60">
        <v>-161.25</v>
      </c>
      <c r="BE615" s="60">
        <v>-3.52</v>
      </c>
      <c r="BF615" s="95">
        <v>-5.78</v>
      </c>
      <c r="BG615" s="95">
        <v>0</v>
      </c>
      <c r="BH615" s="95">
        <v>0</v>
      </c>
      <c r="BI615" s="8">
        <f>SUM(BD615:BH615)</f>
        <v>-170.55</v>
      </c>
      <c r="BJ615" s="2" t="s">
        <v>91</v>
      </c>
      <c r="BL615" s="70">
        <v>-445000</v>
      </c>
      <c r="BM615" s="70">
        <v>-445000</v>
      </c>
      <c r="BO615" s="70">
        <v>0</v>
      </c>
      <c r="BP615" s="70">
        <v>0</v>
      </c>
      <c r="BQ615" s="72"/>
      <c r="BS615" s="61">
        <f t="shared" si="514"/>
        <v>0</v>
      </c>
      <c r="BT615" s="61">
        <f t="shared" si="515"/>
        <v>0</v>
      </c>
      <c r="BU615" s="61">
        <f t="shared" si="516"/>
        <v>0</v>
      </c>
      <c r="BV615" s="61">
        <f t="shared" si="516"/>
        <v>0</v>
      </c>
      <c r="BW615" s="61">
        <f t="shared" si="516"/>
        <v>0</v>
      </c>
      <c r="BX615" s="61">
        <f t="shared" si="516"/>
        <v>0</v>
      </c>
      <c r="BY615" s="61" t="s">
        <v>91</v>
      </c>
      <c r="CA615" s="61">
        <f t="shared" si="525"/>
        <v>0</v>
      </c>
      <c r="CB615" s="61">
        <f t="shared" si="525"/>
        <v>0</v>
      </c>
      <c r="CC615" s="61">
        <f t="shared" si="525"/>
        <v>0</v>
      </c>
      <c r="CD615" s="61">
        <f t="shared" si="523"/>
        <v>0</v>
      </c>
      <c r="CE615" s="61">
        <f t="shared" si="523"/>
        <v>0</v>
      </c>
      <c r="CF615" s="61">
        <f t="shared" si="523"/>
        <v>0</v>
      </c>
      <c r="CG615" s="61">
        <f t="shared" si="523"/>
        <v>0</v>
      </c>
      <c r="CH615" s="61">
        <f t="shared" si="489"/>
        <v>0</v>
      </c>
      <c r="CI615" s="61">
        <f t="shared" si="504"/>
        <v>0</v>
      </c>
      <c r="CJ615" s="61"/>
      <c r="CK615" s="61">
        <f t="shared" si="526"/>
        <v>0</v>
      </c>
      <c r="CL615" s="61">
        <f t="shared" si="526"/>
        <v>0</v>
      </c>
      <c r="CM615" s="61">
        <f t="shared" si="526"/>
        <v>0</v>
      </c>
      <c r="CN615" s="61">
        <f t="shared" si="524"/>
        <v>0</v>
      </c>
      <c r="CO615" s="61">
        <f t="shared" si="524"/>
        <v>0</v>
      </c>
      <c r="CP615" s="61">
        <f t="shared" si="524"/>
        <v>0</v>
      </c>
      <c r="CQ615" s="61">
        <f t="shared" si="524"/>
        <v>0</v>
      </c>
      <c r="CR615" s="61">
        <f t="shared" si="490"/>
        <v>0</v>
      </c>
      <c r="CS615" s="61">
        <f t="shared" si="505"/>
        <v>0</v>
      </c>
      <c r="CT615" s="61">
        <f t="shared" si="506"/>
        <v>0</v>
      </c>
      <c r="CV615" s="61">
        <f>SUM(AG615)-SUM(BL615)</f>
        <v>0</v>
      </c>
      <c r="CW615" s="61">
        <f>SUM(AH615)-SUM(BM615)</f>
        <v>0</v>
      </c>
      <c r="CX615" s="61"/>
      <c r="CY615" s="61">
        <f>SUM(AJ615)-SUM(BO615)</f>
        <v>0</v>
      </c>
      <c r="CZ615" s="61">
        <f>SUM(AK615)-SUM(BP615)</f>
        <v>0</v>
      </c>
      <c r="DA615" s="61">
        <f>SUM(AL615)-SUM(BQ615)</f>
        <v>0</v>
      </c>
      <c r="DB615" s="2" t="s">
        <v>102</v>
      </c>
      <c r="DC615" s="2" t="s">
        <v>134</v>
      </c>
      <c r="DD615" s="2" t="s">
        <v>142</v>
      </c>
      <c r="DE615" s="2" t="s">
        <v>143</v>
      </c>
      <c r="DF615" s="3" t="s">
        <v>86</v>
      </c>
      <c r="DG615" s="62">
        <v>43166</v>
      </c>
      <c r="EC615" s="60" t="str">
        <f>VLOOKUP($M615,[1]Detail!$M:$BO,1,0)</f>
        <v>JD8B-8475-CC</v>
      </c>
      <c r="ED615" s="60">
        <f>VLOOKUP($M615,[1]Detail!$M:$BO,22,0)</f>
        <v>-170.55</v>
      </c>
      <c r="EE615" s="60">
        <f>VLOOKUP($M615,[1]Detail!$M:$BO,42,0)</f>
        <v>-445000</v>
      </c>
      <c r="EF615" s="60">
        <f>VLOOKUP($M615,[1]Detail!$M:$BO,45,0)</f>
        <v>0</v>
      </c>
      <c r="EH615" s="60">
        <f t="shared" ref="EH615:EH616" si="527">ED615-AD615</f>
        <v>0</v>
      </c>
      <c r="EI615" s="60">
        <f t="shared" ref="EI615:EI616" si="528">EE615-AG615</f>
        <v>0</v>
      </c>
      <c r="EJ615" s="60">
        <f t="shared" ref="EJ615:EJ616" si="529">EF615-AJ615</f>
        <v>0</v>
      </c>
    </row>
    <row r="616" spans="2:140" ht="12.75" hidden="1" customHeight="1">
      <c r="B616" s="99" t="s">
        <v>1124</v>
      </c>
      <c r="C616" s="22" t="s">
        <v>991</v>
      </c>
      <c r="D616" s="51" t="s">
        <v>992</v>
      </c>
      <c r="E616" s="2" t="s">
        <v>993</v>
      </c>
      <c r="F616" s="2" t="s">
        <v>969</v>
      </c>
      <c r="G616" s="2" t="s">
        <v>331</v>
      </c>
      <c r="J616" s="22" t="s">
        <v>126</v>
      </c>
      <c r="K616" s="23" t="s">
        <v>1125</v>
      </c>
      <c r="L616" s="22" t="s">
        <v>196</v>
      </c>
      <c r="M616" s="51" t="str">
        <f t="shared" si="468"/>
        <v>JD8B-F044H83-AAW</v>
      </c>
      <c r="O616" s="22">
        <v>1</v>
      </c>
      <c r="P616" s="22">
        <v>1</v>
      </c>
      <c r="Q616" s="22">
        <v>1</v>
      </c>
      <c r="R616" s="22">
        <v>1</v>
      </c>
      <c r="S616" s="22">
        <v>1</v>
      </c>
      <c r="T616" s="22">
        <v>1</v>
      </c>
      <c r="U616" s="22"/>
      <c r="V616" s="22"/>
      <c r="W616" s="64">
        <f t="shared" si="513"/>
        <v>0.9</v>
      </c>
      <c r="Y616" s="8">
        <v>-15.480212765957445</v>
      </c>
      <c r="Z616" s="8"/>
      <c r="AA616" s="8">
        <v>-0.02</v>
      </c>
      <c r="AB616" s="8"/>
      <c r="AC616" s="8"/>
      <c r="AD616" s="8">
        <f t="shared" si="498"/>
        <v>-15.500212765957444</v>
      </c>
      <c r="AE616" s="2" t="s">
        <v>91</v>
      </c>
      <c r="AG616" s="8">
        <v>-200000</v>
      </c>
      <c r="AH616" s="8">
        <v>-200000</v>
      </c>
      <c r="AI616" s="6"/>
      <c r="AJ616" s="70">
        <v>0</v>
      </c>
      <c r="AK616" s="70">
        <v>0</v>
      </c>
      <c r="AL616" s="72"/>
      <c r="AM616" s="22"/>
      <c r="AO616" s="22" t="s">
        <v>126</v>
      </c>
      <c r="AP616" s="23" t="s">
        <v>1125</v>
      </c>
      <c r="AQ616" s="22" t="s">
        <v>196</v>
      </c>
      <c r="AR616" s="51" t="str">
        <f t="shared" si="481"/>
        <v>JD8B-F044H83-AAW</v>
      </c>
      <c r="AS616" s="3"/>
      <c r="AT616" s="22">
        <v>1</v>
      </c>
      <c r="AU616" s="22">
        <v>1</v>
      </c>
      <c r="AV616" s="22">
        <v>1</v>
      </c>
      <c r="AW616" s="22">
        <v>1</v>
      </c>
      <c r="AX616" s="22">
        <v>1</v>
      </c>
      <c r="AY616" s="22">
        <v>1</v>
      </c>
      <c r="AZ616" s="22"/>
      <c r="BA616" s="22"/>
      <c r="BB616" s="64">
        <f t="shared" si="485"/>
        <v>0.9</v>
      </c>
      <c r="BD616" s="60">
        <v>-15.360212765957446</v>
      </c>
      <c r="BE616" s="60"/>
      <c r="BF616" s="95">
        <v>-0.02</v>
      </c>
      <c r="BG616" s="95"/>
      <c r="BH616" s="95"/>
      <c r="BI616" s="8">
        <f t="shared" si="502"/>
        <v>-15.380212765957445</v>
      </c>
      <c r="BJ616" s="2" t="s">
        <v>91</v>
      </c>
      <c r="BL616" s="70">
        <v>-200000</v>
      </c>
      <c r="BM616" s="70">
        <v>-200000</v>
      </c>
      <c r="BO616" s="70">
        <v>0</v>
      </c>
      <c r="BP616" s="70">
        <v>0</v>
      </c>
      <c r="BQ616" s="72"/>
      <c r="BS616" s="61">
        <f t="shared" si="514"/>
        <v>-0.11999999999999922</v>
      </c>
      <c r="BT616" s="61">
        <f t="shared" si="515"/>
        <v>0</v>
      </c>
      <c r="BU616" s="61">
        <f t="shared" si="516"/>
        <v>0</v>
      </c>
      <c r="BV616" s="61">
        <f t="shared" si="516"/>
        <v>0</v>
      </c>
      <c r="BW616" s="61">
        <f t="shared" si="516"/>
        <v>0</v>
      </c>
      <c r="BX616" s="61">
        <f t="shared" si="516"/>
        <v>-0.11999999999999922</v>
      </c>
      <c r="BY616" s="61" t="s">
        <v>91</v>
      </c>
      <c r="CA616" s="61">
        <f t="shared" si="525"/>
        <v>-1.8053257108469868E-2</v>
      </c>
      <c r="CB616" s="61">
        <f t="shared" si="525"/>
        <v>-1.8053257108469868E-2</v>
      </c>
      <c r="CC616" s="61">
        <f t="shared" si="525"/>
        <v>-1.8053257108469868E-2</v>
      </c>
      <c r="CD616" s="61">
        <f t="shared" si="523"/>
        <v>-1.8053257108469868E-2</v>
      </c>
      <c r="CE616" s="61">
        <f t="shared" si="523"/>
        <v>-1.8053257108469868E-2</v>
      </c>
      <c r="CF616" s="61">
        <f t="shared" si="523"/>
        <v>-1.8053257108469868E-2</v>
      </c>
      <c r="CG616" s="61">
        <f t="shared" si="523"/>
        <v>0</v>
      </c>
      <c r="CH616" s="61">
        <f t="shared" si="489"/>
        <v>0</v>
      </c>
      <c r="CI616" s="61">
        <f t="shared" si="504"/>
        <v>-1.6247931397622883E-2</v>
      </c>
      <c r="CJ616" s="61"/>
      <c r="CK616" s="61">
        <f t="shared" si="526"/>
        <v>-1.8053257108469868E-2</v>
      </c>
      <c r="CL616" s="61">
        <f t="shared" si="526"/>
        <v>-1.8053257108469868E-2</v>
      </c>
      <c r="CM616" s="61">
        <f t="shared" si="526"/>
        <v>-1.8053257108469868E-2</v>
      </c>
      <c r="CN616" s="61">
        <f t="shared" si="524"/>
        <v>-1.8053257108469868E-2</v>
      </c>
      <c r="CO616" s="61">
        <f t="shared" si="524"/>
        <v>-1.8053257108469868E-2</v>
      </c>
      <c r="CP616" s="61">
        <f t="shared" si="524"/>
        <v>-1.8053257108469868E-2</v>
      </c>
      <c r="CQ616" s="61">
        <f t="shared" si="524"/>
        <v>0</v>
      </c>
      <c r="CR616" s="61">
        <f t="shared" si="490"/>
        <v>0</v>
      </c>
      <c r="CS616" s="61">
        <f t="shared" si="505"/>
        <v>-1.6247931397622883E-2</v>
      </c>
      <c r="CT616" s="61">
        <f t="shared" si="506"/>
        <v>-0.1079999999999993</v>
      </c>
      <c r="CV616" s="61">
        <f t="shared" si="507"/>
        <v>0</v>
      </c>
      <c r="CW616" s="61">
        <f t="shared" si="508"/>
        <v>0</v>
      </c>
      <c r="CX616" s="61"/>
      <c r="CY616" s="61">
        <f t="shared" si="509"/>
        <v>0</v>
      </c>
      <c r="CZ616" s="61">
        <f t="shared" si="509"/>
        <v>0</v>
      </c>
      <c r="DA616" s="61">
        <f t="shared" si="509"/>
        <v>0</v>
      </c>
      <c r="DB616" s="2" t="s">
        <v>86</v>
      </c>
      <c r="DC616" s="2" t="s">
        <v>86</v>
      </c>
      <c r="DD616" s="2" t="s">
        <v>142</v>
      </c>
      <c r="DE616" s="2" t="s">
        <v>264</v>
      </c>
      <c r="DF616" s="3" t="s">
        <v>86</v>
      </c>
      <c r="DG616" s="62">
        <v>42976</v>
      </c>
      <c r="EC616" s="60" t="str">
        <f>VLOOKUP($M616,[1]Detail!$M:$BO,1,0)</f>
        <v>JD8B-F044H83-AAW</v>
      </c>
      <c r="ED616" s="60">
        <f>VLOOKUP($M616,[1]Detail!$M:$BO,22,0)</f>
        <v>-15.500212765957444</v>
      </c>
      <c r="EE616" s="60">
        <f>VLOOKUP($M616,[1]Detail!$M:$BO,42,0)</f>
        <v>-200000</v>
      </c>
      <c r="EF616" s="60">
        <f>VLOOKUP($M616,[1]Detail!$M:$BO,45,0)</f>
        <v>0</v>
      </c>
      <c r="EH616" s="60">
        <f t="shared" si="527"/>
        <v>0</v>
      </c>
      <c r="EI616" s="60">
        <f t="shared" si="528"/>
        <v>0</v>
      </c>
      <c r="EJ616" s="60">
        <f t="shared" si="529"/>
        <v>0</v>
      </c>
    </row>
    <row r="617" spans="2:140" ht="12.75" hidden="1" customHeight="1">
      <c r="B617" s="99" t="s">
        <v>1124</v>
      </c>
      <c r="C617" s="22" t="s">
        <v>991</v>
      </c>
      <c r="D617" s="51" t="s">
        <v>992</v>
      </c>
      <c r="E617" s="2" t="s">
        <v>993</v>
      </c>
      <c r="F617" s="2" t="s">
        <v>969</v>
      </c>
      <c r="G617" s="2" t="s">
        <v>331</v>
      </c>
      <c r="J617" s="22" t="s">
        <v>126</v>
      </c>
      <c r="K617" s="23" t="s">
        <v>1125</v>
      </c>
      <c r="L617" s="22" t="s">
        <v>198</v>
      </c>
      <c r="M617" s="51" t="str">
        <f t="shared" si="468"/>
        <v>JD8B-F044H83-BAW</v>
      </c>
      <c r="O617" s="22"/>
      <c r="P617" s="22"/>
      <c r="Q617" s="22"/>
      <c r="R617" s="22"/>
      <c r="S617" s="22"/>
      <c r="T617" s="22"/>
      <c r="U617" s="22">
        <v>1</v>
      </c>
      <c r="V617" s="22">
        <v>1</v>
      </c>
      <c r="W617" s="64">
        <f t="shared" si="513"/>
        <v>0.1</v>
      </c>
      <c r="Y617" s="8">
        <v>-32.450212765957446</v>
      </c>
      <c r="Z617" s="8"/>
      <c r="AA617" s="8">
        <v>-0.02</v>
      </c>
      <c r="AB617" s="8"/>
      <c r="AC617" s="8"/>
      <c r="AD617" s="8">
        <f t="shared" si="498"/>
        <v>-32.470212765957449</v>
      </c>
      <c r="AE617" s="2" t="s">
        <v>91</v>
      </c>
      <c r="AG617" s="8">
        <v>-435000</v>
      </c>
      <c r="AH617" s="8">
        <v>-435000</v>
      </c>
      <c r="AI617" s="6"/>
      <c r="AJ617" s="70">
        <v>0</v>
      </c>
      <c r="AK617" s="70">
        <v>0</v>
      </c>
      <c r="AL617" s="72"/>
      <c r="AM617" s="22"/>
      <c r="AO617" s="22" t="s">
        <v>126</v>
      </c>
      <c r="AP617" s="23" t="s">
        <v>1125</v>
      </c>
      <c r="AQ617" s="22" t="s">
        <v>198</v>
      </c>
      <c r="AR617" s="51" t="str">
        <f t="shared" si="481"/>
        <v>JD8B-F044H83-BAW</v>
      </c>
      <c r="AS617" s="3"/>
      <c r="AT617" s="22"/>
      <c r="AU617" s="22"/>
      <c r="AV617" s="22"/>
      <c r="AW617" s="22"/>
      <c r="AX617" s="22"/>
      <c r="AY617" s="22"/>
      <c r="AZ617" s="22">
        <v>1</v>
      </c>
      <c r="BA617" s="22">
        <v>1</v>
      </c>
      <c r="BB617" s="64">
        <f t="shared" si="485"/>
        <v>0.1</v>
      </c>
      <c r="BD617" s="60">
        <v>-26.860212765957446</v>
      </c>
      <c r="BE617" s="60"/>
      <c r="BF617" s="60">
        <v>-0.02</v>
      </c>
      <c r="BG617" s="95"/>
      <c r="BH617" s="95"/>
      <c r="BI617" s="8">
        <f t="shared" si="502"/>
        <v>-26.880212765957445</v>
      </c>
      <c r="BJ617" s="2" t="s">
        <v>91</v>
      </c>
      <c r="BL617" s="70">
        <v>-435000</v>
      </c>
      <c r="BM617" s="70">
        <v>-435000</v>
      </c>
      <c r="BO617" s="70">
        <v>0</v>
      </c>
      <c r="BP617" s="70">
        <v>0</v>
      </c>
      <c r="BQ617" s="72"/>
      <c r="BS617" s="61">
        <f t="shared" si="514"/>
        <v>-5.59</v>
      </c>
      <c r="BT617" s="61">
        <f t="shared" si="515"/>
        <v>0</v>
      </c>
      <c r="BU617" s="61">
        <f t="shared" si="516"/>
        <v>0</v>
      </c>
      <c r="BV617" s="61">
        <f t="shared" si="516"/>
        <v>0</v>
      </c>
      <c r="BW617" s="61">
        <f t="shared" si="516"/>
        <v>0</v>
      </c>
      <c r="BX617" s="61">
        <f t="shared" si="516"/>
        <v>-5.5900000000000034</v>
      </c>
      <c r="BY617" s="61" t="s">
        <v>91</v>
      </c>
      <c r="CA617" s="61">
        <f t="shared" si="525"/>
        <v>0</v>
      </c>
      <c r="CB617" s="61">
        <f t="shared" si="525"/>
        <v>0</v>
      </c>
      <c r="CC617" s="61">
        <f t="shared" si="525"/>
        <v>0</v>
      </c>
      <c r="CD617" s="61">
        <f t="shared" si="523"/>
        <v>0</v>
      </c>
      <c r="CE617" s="61">
        <f t="shared" si="523"/>
        <v>0</v>
      </c>
      <c r="CF617" s="61">
        <f t="shared" si="523"/>
        <v>0</v>
      </c>
      <c r="CG617" s="61">
        <f t="shared" si="523"/>
        <v>-0.84098089363622686</v>
      </c>
      <c r="CH617" s="61">
        <f t="shared" si="489"/>
        <v>-0.84098089363622686</v>
      </c>
      <c r="CI617" s="61">
        <f t="shared" si="504"/>
        <v>-8.4098089363622688E-2</v>
      </c>
      <c r="CJ617" s="61"/>
      <c r="CK617" s="61">
        <f t="shared" si="526"/>
        <v>0</v>
      </c>
      <c r="CL617" s="61">
        <f t="shared" si="526"/>
        <v>0</v>
      </c>
      <c r="CM617" s="61">
        <f t="shared" si="526"/>
        <v>0</v>
      </c>
      <c r="CN617" s="61">
        <f t="shared" si="524"/>
        <v>0</v>
      </c>
      <c r="CO617" s="61">
        <f t="shared" si="524"/>
        <v>0</v>
      </c>
      <c r="CP617" s="61">
        <f t="shared" si="524"/>
        <v>0</v>
      </c>
      <c r="CQ617" s="61">
        <f t="shared" si="524"/>
        <v>-0.8409808936362273</v>
      </c>
      <c r="CR617" s="61">
        <f t="shared" si="490"/>
        <v>-0.8409808936362273</v>
      </c>
      <c r="CS617" s="61">
        <f t="shared" si="505"/>
        <v>-8.409808936362273E-2</v>
      </c>
      <c r="CT617" s="61">
        <f t="shared" si="506"/>
        <v>-0.55900000000000027</v>
      </c>
      <c r="CV617" s="61">
        <f t="shared" si="507"/>
        <v>0</v>
      </c>
      <c r="CW617" s="61">
        <f t="shared" si="508"/>
        <v>0</v>
      </c>
      <c r="CX617" s="61"/>
      <c r="CY617" s="61">
        <f t="shared" si="509"/>
        <v>0</v>
      </c>
      <c r="CZ617" s="61">
        <f t="shared" si="509"/>
        <v>0</v>
      </c>
      <c r="DA617" s="61">
        <f t="shared" si="509"/>
        <v>0</v>
      </c>
      <c r="DB617" s="2" t="s">
        <v>85</v>
      </c>
      <c r="DC617" s="2" t="s">
        <v>86</v>
      </c>
      <c r="DD617" s="2" t="s">
        <v>142</v>
      </c>
      <c r="DE617" s="2" t="s">
        <v>264</v>
      </c>
      <c r="DF617" s="3" t="s">
        <v>86</v>
      </c>
      <c r="DG617" s="62">
        <v>42976</v>
      </c>
      <c r="EC617" s="60"/>
      <c r="ED617" s="60"/>
      <c r="EE617" s="60"/>
      <c r="EF617" s="60"/>
    </row>
    <row r="618" spans="2:140" ht="12.75" hidden="1" customHeight="1">
      <c r="B618" s="99" t="s">
        <v>1126</v>
      </c>
      <c r="C618" s="22" t="s">
        <v>991</v>
      </c>
      <c r="D618" s="51" t="s">
        <v>992</v>
      </c>
      <c r="E618" s="2" t="s">
        <v>993</v>
      </c>
      <c r="F618" s="2" t="s">
        <v>969</v>
      </c>
      <c r="G618" s="2" t="s">
        <v>331</v>
      </c>
      <c r="J618" s="22" t="s">
        <v>126</v>
      </c>
      <c r="K618" s="23" t="s">
        <v>1125</v>
      </c>
      <c r="L618" s="22" t="s">
        <v>210</v>
      </c>
      <c r="M618" s="51" t="str">
        <f t="shared" si="468"/>
        <v>JD8B-F044H83-BBW</v>
      </c>
      <c r="O618" s="22"/>
      <c r="P618" s="22"/>
      <c r="Q618" s="22"/>
      <c r="R618" s="22"/>
      <c r="S618" s="22"/>
      <c r="T618" s="22"/>
      <c r="U618" s="22">
        <v>1</v>
      </c>
      <c r="V618" s="22">
        <v>1</v>
      </c>
      <c r="W618" s="64">
        <f t="shared" si="513"/>
        <v>0.1</v>
      </c>
      <c r="Y618" s="8">
        <f>-32.4502127659574-1.7</f>
        <v>-34.150212765957406</v>
      </c>
      <c r="Z618" s="8"/>
      <c r="AA618" s="8">
        <v>-0.02</v>
      </c>
      <c r="AB618" s="8"/>
      <c r="AC618" s="8"/>
      <c r="AD618" s="8">
        <f t="shared" ref="AD618" si="530">SUM(Y618:AC618)</f>
        <v>-34.170212765957409</v>
      </c>
      <c r="AE618" s="2" t="s">
        <v>91</v>
      </c>
      <c r="AG618" s="8">
        <v>-435000</v>
      </c>
      <c r="AH618" s="8">
        <v>-435000</v>
      </c>
      <c r="AI618" s="6"/>
      <c r="AJ618" s="70">
        <v>0</v>
      </c>
      <c r="AK618" s="70">
        <v>0</v>
      </c>
      <c r="AL618" s="72"/>
      <c r="AM618" s="22"/>
      <c r="AO618" s="22" t="s">
        <v>126</v>
      </c>
      <c r="AP618" s="23" t="s">
        <v>1125</v>
      </c>
      <c r="AQ618" s="22" t="s">
        <v>198</v>
      </c>
      <c r="AR618" s="51" t="str">
        <f t="shared" si="481"/>
        <v>JD8B-F044H83-BAW</v>
      </c>
      <c r="AS618" s="3"/>
      <c r="AT618" s="22"/>
      <c r="AU618" s="22"/>
      <c r="AV618" s="22"/>
      <c r="AW618" s="22"/>
      <c r="AX618" s="22"/>
      <c r="AY618" s="22"/>
      <c r="AZ618" s="22">
        <v>1</v>
      </c>
      <c r="BA618" s="22">
        <v>1</v>
      </c>
      <c r="BB618" s="64">
        <f t="shared" si="485"/>
        <v>0.1</v>
      </c>
      <c r="BD618" s="8">
        <v>-32.450212765957446</v>
      </c>
      <c r="BE618" s="8"/>
      <c r="BF618" s="8">
        <v>-0.02</v>
      </c>
      <c r="BG618" s="8"/>
      <c r="BH618" s="8"/>
      <c r="BI618" s="8">
        <f t="shared" si="502"/>
        <v>-32.470212765957449</v>
      </c>
      <c r="BJ618" s="2" t="s">
        <v>91</v>
      </c>
      <c r="BL618" s="8">
        <v>-435000</v>
      </c>
      <c r="BM618" s="8">
        <v>-435000</v>
      </c>
      <c r="BO618" s="70">
        <v>0</v>
      </c>
      <c r="BP618" s="70">
        <v>0</v>
      </c>
      <c r="BQ618" s="72"/>
      <c r="BS618" s="61">
        <f t="shared" si="514"/>
        <v>-1.6999999999999602</v>
      </c>
      <c r="BT618" s="61">
        <f t="shared" si="515"/>
        <v>0</v>
      </c>
      <c r="BU618" s="61">
        <f t="shared" si="516"/>
        <v>0</v>
      </c>
      <c r="BV618" s="61">
        <f t="shared" si="516"/>
        <v>0</v>
      </c>
      <c r="BW618" s="61">
        <f t="shared" si="516"/>
        <v>0</v>
      </c>
      <c r="BX618" s="61">
        <f t="shared" si="516"/>
        <v>-1.6999999999999602</v>
      </c>
      <c r="BY618" s="61" t="s">
        <v>91</v>
      </c>
      <c r="CA618" s="61">
        <f t="shared" si="525"/>
        <v>0</v>
      </c>
      <c r="CB618" s="61">
        <f t="shared" si="525"/>
        <v>0</v>
      </c>
      <c r="CC618" s="61">
        <f t="shared" si="525"/>
        <v>0</v>
      </c>
      <c r="CD618" s="61">
        <f t="shared" si="523"/>
        <v>0</v>
      </c>
      <c r="CE618" s="61">
        <f t="shared" si="523"/>
        <v>0</v>
      </c>
      <c r="CF618" s="61">
        <f t="shared" si="523"/>
        <v>0</v>
      </c>
      <c r="CG618" s="61">
        <f t="shared" si="523"/>
        <v>-0.25575447570331883</v>
      </c>
      <c r="CH618" s="61">
        <f t="shared" si="489"/>
        <v>-0.25575447570331883</v>
      </c>
      <c r="CI618" s="61">
        <f t="shared" si="504"/>
        <v>-2.5575447570331884E-2</v>
      </c>
      <c r="CJ618" s="61"/>
      <c r="CK618" s="61">
        <f t="shared" si="526"/>
        <v>0</v>
      </c>
      <c r="CL618" s="61">
        <f t="shared" si="526"/>
        <v>0</v>
      </c>
      <c r="CM618" s="61">
        <f t="shared" si="526"/>
        <v>0</v>
      </c>
      <c r="CN618" s="61">
        <f t="shared" si="524"/>
        <v>0</v>
      </c>
      <c r="CO618" s="61">
        <f t="shared" si="524"/>
        <v>0</v>
      </c>
      <c r="CP618" s="61">
        <f t="shared" si="524"/>
        <v>0</v>
      </c>
      <c r="CQ618" s="61">
        <f t="shared" si="524"/>
        <v>-0.25575447570331883</v>
      </c>
      <c r="CR618" s="61">
        <f t="shared" si="490"/>
        <v>-0.25575447570331883</v>
      </c>
      <c r="CS618" s="61">
        <f t="shared" si="505"/>
        <v>-2.5575447570331884E-2</v>
      </c>
      <c r="CT618" s="67">
        <f t="shared" si="506"/>
        <v>-0.16999999999999604</v>
      </c>
      <c r="CV618" s="61">
        <f t="shared" ref="CV618" si="531">SUM(AG618)-SUM(BL618)</f>
        <v>0</v>
      </c>
      <c r="CW618" s="61">
        <f t="shared" ref="CW618" si="532">SUM(AH618)-SUM(BM618)</f>
        <v>0</v>
      </c>
      <c r="CX618" s="61"/>
      <c r="CY618" s="61">
        <f t="shared" si="509"/>
        <v>0</v>
      </c>
      <c r="CZ618" s="61">
        <f t="shared" si="509"/>
        <v>0</v>
      </c>
      <c r="DA618" s="61">
        <f t="shared" si="509"/>
        <v>0</v>
      </c>
      <c r="DB618" s="2" t="s">
        <v>86</v>
      </c>
      <c r="DC618" s="2" t="s">
        <v>85</v>
      </c>
      <c r="DD618" s="2" t="s">
        <v>142</v>
      </c>
      <c r="DE618" s="2" t="s">
        <v>1028</v>
      </c>
      <c r="DF618" s="3" t="s">
        <v>86</v>
      </c>
      <c r="DG618" s="62">
        <v>43084</v>
      </c>
      <c r="EC618" s="60" t="str">
        <f>VLOOKUP($M618,[1]Detail!$M:$BO,1,0)</f>
        <v>JD8B-F044H83-BBW</v>
      </c>
      <c r="ED618" s="60">
        <f>VLOOKUP($M618,[1]Detail!$M:$BO,22,0)</f>
        <v>-34.170212765957409</v>
      </c>
      <c r="EE618" s="60">
        <f>VLOOKUP($M618,[1]Detail!$M:$BO,42,0)</f>
        <v>-435000</v>
      </c>
      <c r="EF618" s="60">
        <f>VLOOKUP($M618,[1]Detail!$M:$BO,45,0)</f>
        <v>0</v>
      </c>
      <c r="EH618" s="60">
        <f>ED618-AD618</f>
        <v>0</v>
      </c>
      <c r="EI618" s="60">
        <f>EE618-AG618</f>
        <v>0</v>
      </c>
      <c r="EJ618" s="60">
        <f>EF618-AJ618</f>
        <v>0</v>
      </c>
    </row>
    <row r="619" spans="2:140" ht="12.75" hidden="1" customHeight="1">
      <c r="B619" s="99" t="s">
        <v>1124</v>
      </c>
      <c r="C619" s="22" t="s">
        <v>991</v>
      </c>
      <c r="D619" s="51" t="s">
        <v>992</v>
      </c>
      <c r="E619" s="2" t="s">
        <v>993</v>
      </c>
      <c r="F619" s="2" t="s">
        <v>969</v>
      </c>
      <c r="G619" s="2" t="s">
        <v>331</v>
      </c>
      <c r="J619" s="22" t="s">
        <v>126</v>
      </c>
      <c r="K619" s="23" t="s">
        <v>1127</v>
      </c>
      <c r="L619" s="22" t="s">
        <v>196</v>
      </c>
      <c r="M619" s="51" t="str">
        <f t="shared" ref="M619:M630" si="533">TRIM(J619)&amp;"-"&amp;TRIM(K619)&amp;"-"&amp;TRIM(L619)</f>
        <v>JD8B-F045A06-AAW</v>
      </c>
      <c r="O619" s="22"/>
      <c r="P619" s="22"/>
      <c r="Q619" s="22">
        <v>1</v>
      </c>
      <c r="R619" s="22">
        <v>1</v>
      </c>
      <c r="S619" s="22"/>
      <c r="T619" s="22"/>
      <c r="U619" s="22"/>
      <c r="V619" s="22"/>
      <c r="W619" s="64">
        <f t="shared" si="513"/>
        <v>0.37</v>
      </c>
      <c r="Y619" s="8">
        <v>-233.38996730807054</v>
      </c>
      <c r="Z619" s="8"/>
      <c r="AA619" s="8">
        <v>-0.93</v>
      </c>
      <c r="AB619" s="8"/>
      <c r="AC619" s="8"/>
      <c r="AD619" s="8">
        <f t="shared" si="498"/>
        <v>-234.31996730807055</v>
      </c>
      <c r="AE619" s="2" t="s">
        <v>91</v>
      </c>
      <c r="AG619" s="8">
        <v>-5065590</v>
      </c>
      <c r="AH619" s="8">
        <v>-5065590</v>
      </c>
      <c r="AI619" s="6"/>
      <c r="AJ619" s="70">
        <v>0</v>
      </c>
      <c r="AK619" s="70">
        <v>0</v>
      </c>
      <c r="AL619" s="72"/>
      <c r="AM619" s="22"/>
      <c r="AO619" s="22" t="s">
        <v>126</v>
      </c>
      <c r="AP619" s="23" t="s">
        <v>1127</v>
      </c>
      <c r="AQ619" s="22" t="s">
        <v>196</v>
      </c>
      <c r="AR619" s="51" t="str">
        <f t="shared" si="481"/>
        <v>JD8B-F045A06-AAW</v>
      </c>
      <c r="AS619" s="3"/>
      <c r="AT619" s="22"/>
      <c r="AU619" s="22"/>
      <c r="AV619" s="22">
        <v>1</v>
      </c>
      <c r="AW619" s="22">
        <v>1</v>
      </c>
      <c r="AX619" s="22"/>
      <c r="AY619" s="22"/>
      <c r="AZ619" s="22"/>
      <c r="BA619" s="22"/>
      <c r="BB619" s="64">
        <f t="shared" si="485"/>
        <v>0.37</v>
      </c>
      <c r="BD619" s="60">
        <v>-207.35996730807054</v>
      </c>
      <c r="BE619" s="60"/>
      <c r="BF619" s="60">
        <v>-0.93</v>
      </c>
      <c r="BG619" s="95"/>
      <c r="BH619" s="95"/>
      <c r="BI619" s="8">
        <f t="shared" si="502"/>
        <v>-208.28996730807054</v>
      </c>
      <c r="BJ619" s="2" t="s">
        <v>91</v>
      </c>
      <c r="BL619" s="70">
        <v>-4244320</v>
      </c>
      <c r="BM619" s="70">
        <v>-4244320</v>
      </c>
      <c r="BO619" s="70">
        <v>0</v>
      </c>
      <c r="BP619" s="70">
        <v>0</v>
      </c>
      <c r="BQ619" s="72"/>
      <c r="BS619" s="61">
        <f t="shared" si="514"/>
        <v>-26.03</v>
      </c>
      <c r="BT619" s="61">
        <f t="shared" si="515"/>
        <v>0</v>
      </c>
      <c r="BU619" s="61">
        <f t="shared" si="516"/>
        <v>0</v>
      </c>
      <c r="BV619" s="61">
        <f t="shared" si="516"/>
        <v>0</v>
      </c>
      <c r="BW619" s="61">
        <f t="shared" si="516"/>
        <v>0</v>
      </c>
      <c r="BX619" s="61">
        <f t="shared" si="516"/>
        <v>-26.03</v>
      </c>
      <c r="BY619" s="61" t="s">
        <v>91</v>
      </c>
      <c r="CA619" s="61">
        <f t="shared" si="525"/>
        <v>0</v>
      </c>
      <c r="CB619" s="61">
        <f t="shared" si="525"/>
        <v>0</v>
      </c>
      <c r="CC619" s="61">
        <f t="shared" si="525"/>
        <v>-3.9160523544456147</v>
      </c>
      <c r="CD619" s="61">
        <f t="shared" si="523"/>
        <v>-3.9160523544456147</v>
      </c>
      <c r="CE619" s="61">
        <f t="shared" si="523"/>
        <v>0</v>
      </c>
      <c r="CF619" s="61">
        <f t="shared" si="523"/>
        <v>0</v>
      </c>
      <c r="CG619" s="61">
        <f t="shared" si="523"/>
        <v>0</v>
      </c>
      <c r="CH619" s="61">
        <f t="shared" si="489"/>
        <v>0</v>
      </c>
      <c r="CI619" s="61">
        <f t="shared" si="504"/>
        <v>-1.4489393711448775</v>
      </c>
      <c r="CJ619" s="61"/>
      <c r="CK619" s="61">
        <f t="shared" si="526"/>
        <v>0</v>
      </c>
      <c r="CL619" s="61">
        <f t="shared" si="526"/>
        <v>0</v>
      </c>
      <c r="CM619" s="61">
        <f t="shared" si="526"/>
        <v>-3.9160523544456147</v>
      </c>
      <c r="CN619" s="61">
        <f t="shared" si="524"/>
        <v>-3.9160523544456147</v>
      </c>
      <c r="CO619" s="61">
        <f t="shared" si="524"/>
        <v>0</v>
      </c>
      <c r="CP619" s="61">
        <f t="shared" si="524"/>
        <v>0</v>
      </c>
      <c r="CQ619" s="61">
        <f t="shared" si="524"/>
        <v>0</v>
      </c>
      <c r="CR619" s="61">
        <f t="shared" si="490"/>
        <v>0</v>
      </c>
      <c r="CS619" s="61">
        <f t="shared" si="505"/>
        <v>-1.4489393711448775</v>
      </c>
      <c r="CT619" s="61">
        <f t="shared" si="506"/>
        <v>-9.6311000000000018</v>
      </c>
      <c r="CV619" s="61">
        <f t="shared" si="507"/>
        <v>-821270</v>
      </c>
      <c r="CW619" s="61">
        <f t="shared" si="508"/>
        <v>-821270</v>
      </c>
      <c r="CX619" s="61"/>
      <c r="CY619" s="61">
        <f t="shared" si="509"/>
        <v>0</v>
      </c>
      <c r="CZ619" s="61">
        <f t="shared" si="509"/>
        <v>0</v>
      </c>
      <c r="DA619" s="61">
        <f t="shared" si="509"/>
        <v>0</v>
      </c>
      <c r="DB619" s="2" t="s">
        <v>85</v>
      </c>
      <c r="DC619" s="2" t="s">
        <v>86</v>
      </c>
      <c r="DD619" s="2" t="s">
        <v>142</v>
      </c>
      <c r="DE619" s="2" t="s">
        <v>264</v>
      </c>
      <c r="DF619" s="3" t="s">
        <v>86</v>
      </c>
      <c r="DG619" s="62">
        <v>42976</v>
      </c>
      <c r="EC619" s="60"/>
      <c r="ED619" s="60"/>
      <c r="EE619" s="60"/>
      <c r="EF619" s="60"/>
    </row>
    <row r="620" spans="2:140" ht="12.75" hidden="1" customHeight="1">
      <c r="B620" s="99" t="s">
        <v>1124</v>
      </c>
      <c r="C620" s="22" t="s">
        <v>991</v>
      </c>
      <c r="D620" s="51" t="s">
        <v>992</v>
      </c>
      <c r="E620" s="2" t="s">
        <v>993</v>
      </c>
      <c r="F620" s="2" t="s">
        <v>969</v>
      </c>
      <c r="G620" s="2" t="s">
        <v>331</v>
      </c>
      <c r="J620" s="22" t="s">
        <v>126</v>
      </c>
      <c r="K620" s="23" t="s">
        <v>1127</v>
      </c>
      <c r="L620" s="22" t="s">
        <v>198</v>
      </c>
      <c r="M620" s="51" t="str">
        <f t="shared" si="533"/>
        <v>JD8B-F045A06-BAW</v>
      </c>
      <c r="O620" s="22"/>
      <c r="P620" s="22"/>
      <c r="Q620" s="22"/>
      <c r="R620" s="22"/>
      <c r="S620" s="22"/>
      <c r="T620" s="22"/>
      <c r="U620" s="22">
        <v>1</v>
      </c>
      <c r="V620" s="22">
        <v>1</v>
      </c>
      <c r="W620" s="64">
        <f t="shared" si="513"/>
        <v>0.1</v>
      </c>
      <c r="Y620" s="8">
        <v>-235.83696730807054</v>
      </c>
      <c r="Z620" s="8"/>
      <c r="AA620" s="8">
        <v>-0.93</v>
      </c>
      <c r="AB620" s="8"/>
      <c r="AC620" s="8"/>
      <c r="AD620" s="8">
        <f t="shared" si="498"/>
        <v>-236.76696730807055</v>
      </c>
      <c r="AE620" s="2" t="s">
        <v>91</v>
      </c>
      <c r="AG620" s="8">
        <v>0</v>
      </c>
      <c r="AH620" s="8">
        <v>0</v>
      </c>
      <c r="AJ620" s="70">
        <v>0</v>
      </c>
      <c r="AK620" s="70">
        <v>0</v>
      </c>
      <c r="AL620" s="72"/>
      <c r="AM620" s="22"/>
      <c r="AO620" s="22" t="s">
        <v>126</v>
      </c>
      <c r="AP620" s="23" t="s">
        <v>1127</v>
      </c>
      <c r="AQ620" s="22" t="s">
        <v>198</v>
      </c>
      <c r="AR620" s="51" t="str">
        <f t="shared" si="481"/>
        <v>JD8B-F045A06-BAW</v>
      </c>
      <c r="AS620" s="3"/>
      <c r="AT620" s="22"/>
      <c r="AU620" s="22"/>
      <c r="AV620" s="22"/>
      <c r="AW620" s="22"/>
      <c r="AX620" s="22"/>
      <c r="AY620" s="22"/>
      <c r="AZ620" s="22">
        <v>1</v>
      </c>
      <c r="BA620" s="22">
        <v>1</v>
      </c>
      <c r="BB620" s="6">
        <f t="shared" si="485"/>
        <v>0.1</v>
      </c>
      <c r="BC620" s="6"/>
      <c r="BD620" s="60">
        <v>-213.17696730807054</v>
      </c>
      <c r="BE620" s="60"/>
      <c r="BF620" s="60">
        <v>-0.93</v>
      </c>
      <c r="BG620" s="95"/>
      <c r="BH620" s="95"/>
      <c r="BI620" s="8">
        <f t="shared" si="502"/>
        <v>-214.10696730807055</v>
      </c>
      <c r="BJ620" s="2" t="s">
        <v>91</v>
      </c>
      <c r="BL620" s="70">
        <v>0</v>
      </c>
      <c r="BM620" s="70">
        <v>0</v>
      </c>
      <c r="BO620" s="70">
        <v>0</v>
      </c>
      <c r="BP620" s="70">
        <v>0</v>
      </c>
      <c r="BQ620" s="72"/>
      <c r="BS620" s="61">
        <f t="shared" si="514"/>
        <v>-22.659999999999997</v>
      </c>
      <c r="BT620" s="61">
        <f t="shared" si="515"/>
        <v>0</v>
      </c>
      <c r="BU620" s="61">
        <f t="shared" si="516"/>
        <v>0</v>
      </c>
      <c r="BV620" s="61">
        <f t="shared" si="516"/>
        <v>0</v>
      </c>
      <c r="BW620" s="61">
        <f t="shared" si="516"/>
        <v>0</v>
      </c>
      <c r="BX620" s="61">
        <f t="shared" si="516"/>
        <v>-22.659999999999997</v>
      </c>
      <c r="BY620" s="61" t="s">
        <v>91</v>
      </c>
      <c r="CA620" s="61">
        <f t="shared" si="525"/>
        <v>0</v>
      </c>
      <c r="CB620" s="61">
        <f t="shared" si="525"/>
        <v>0</v>
      </c>
      <c r="CC620" s="61">
        <f t="shared" si="525"/>
        <v>0</v>
      </c>
      <c r="CD620" s="61">
        <f t="shared" si="523"/>
        <v>0</v>
      </c>
      <c r="CE620" s="61">
        <f t="shared" si="523"/>
        <v>0</v>
      </c>
      <c r="CF620" s="61">
        <f t="shared" si="523"/>
        <v>0</v>
      </c>
      <c r="CG620" s="61">
        <f t="shared" si="523"/>
        <v>-3.4090567173160817</v>
      </c>
      <c r="CH620" s="61">
        <f t="shared" si="489"/>
        <v>-3.4090567173160817</v>
      </c>
      <c r="CI620" s="61">
        <f t="shared" si="504"/>
        <v>-0.34090567173160818</v>
      </c>
      <c r="CJ620" s="61"/>
      <c r="CK620" s="61">
        <f t="shared" si="526"/>
        <v>0</v>
      </c>
      <c r="CL620" s="61">
        <f t="shared" si="526"/>
        <v>0</v>
      </c>
      <c r="CM620" s="61">
        <f t="shared" si="526"/>
        <v>0</v>
      </c>
      <c r="CN620" s="61">
        <f t="shared" si="524"/>
        <v>0</v>
      </c>
      <c r="CO620" s="61">
        <f t="shared" si="524"/>
        <v>0</v>
      </c>
      <c r="CP620" s="61">
        <f t="shared" si="524"/>
        <v>0</v>
      </c>
      <c r="CQ620" s="61">
        <f t="shared" si="524"/>
        <v>-3.4090567173160817</v>
      </c>
      <c r="CR620" s="61">
        <f t="shared" si="490"/>
        <v>-3.4090567173160817</v>
      </c>
      <c r="CS620" s="61">
        <f t="shared" si="505"/>
        <v>-0.34090567173160818</v>
      </c>
      <c r="CT620" s="61">
        <f t="shared" si="506"/>
        <v>-2.2659999999999996</v>
      </c>
      <c r="CV620" s="61">
        <f t="shared" si="507"/>
        <v>0</v>
      </c>
      <c r="CW620" s="61">
        <f t="shared" si="508"/>
        <v>0</v>
      </c>
      <c r="CX620" s="61"/>
      <c r="CY620" s="61">
        <f t="shared" si="509"/>
        <v>0</v>
      </c>
      <c r="CZ620" s="61">
        <f t="shared" si="509"/>
        <v>0</v>
      </c>
      <c r="DA620" s="61">
        <f t="shared" si="509"/>
        <v>0</v>
      </c>
      <c r="DB620" s="2" t="s">
        <v>85</v>
      </c>
      <c r="DC620" s="2" t="s">
        <v>86</v>
      </c>
      <c r="DD620" s="2" t="s">
        <v>142</v>
      </c>
      <c r="DE620" s="2" t="s">
        <v>264</v>
      </c>
      <c r="DF620" s="3" t="s">
        <v>86</v>
      </c>
      <c r="DG620" s="62">
        <v>42976</v>
      </c>
      <c r="EC620" s="60"/>
      <c r="ED620" s="60"/>
      <c r="EE620" s="60"/>
      <c r="EF620" s="60"/>
    </row>
    <row r="621" spans="2:140" ht="12.75" hidden="1" customHeight="1">
      <c r="B621" s="99" t="s">
        <v>1124</v>
      </c>
      <c r="C621" s="22" t="s">
        <v>991</v>
      </c>
      <c r="D621" s="51" t="s">
        <v>992</v>
      </c>
      <c r="E621" s="2" t="s">
        <v>993</v>
      </c>
      <c r="F621" s="2" t="s">
        <v>969</v>
      </c>
      <c r="G621" s="2" t="s">
        <v>331</v>
      </c>
      <c r="J621" s="22" t="s">
        <v>126</v>
      </c>
      <c r="K621" s="23" t="s">
        <v>1127</v>
      </c>
      <c r="L621" s="22" t="s">
        <v>269</v>
      </c>
      <c r="M621" s="51" t="str">
        <f t="shared" si="533"/>
        <v>JD8B-F045A06-CAW</v>
      </c>
      <c r="O621" s="22">
        <v>1</v>
      </c>
      <c r="P621" s="22">
        <v>1</v>
      </c>
      <c r="Q621" s="22"/>
      <c r="R621" s="22"/>
      <c r="S621" s="22"/>
      <c r="T621" s="22"/>
      <c r="U621" s="22"/>
      <c r="V621" s="22"/>
      <c r="W621" s="64">
        <f t="shared" si="513"/>
        <v>0.30000000000000004</v>
      </c>
      <c r="Y621" s="8">
        <v>-190.16196730807053</v>
      </c>
      <c r="Z621" s="8"/>
      <c r="AA621" s="8">
        <v>-0.93</v>
      </c>
      <c r="AB621" s="8"/>
      <c r="AC621" s="8"/>
      <c r="AD621" s="8">
        <f t="shared" ref="AD621" si="534">SUM(Y621:AC621)</f>
        <v>-191.09196730807054</v>
      </c>
      <c r="AE621" s="2" t="s">
        <v>91</v>
      </c>
      <c r="AG621" s="8">
        <v>0</v>
      </c>
      <c r="AH621" s="8">
        <v>0</v>
      </c>
      <c r="AJ621" s="70">
        <v>0</v>
      </c>
      <c r="AK621" s="70">
        <v>0</v>
      </c>
      <c r="AL621" s="72"/>
      <c r="AM621" s="22"/>
      <c r="AO621" s="22" t="s">
        <v>126</v>
      </c>
      <c r="AP621" s="23" t="s">
        <v>1127</v>
      </c>
      <c r="AQ621" s="22" t="s">
        <v>269</v>
      </c>
      <c r="AR621" s="51" t="str">
        <f t="shared" si="481"/>
        <v>JD8B-F045A06-CAW</v>
      </c>
      <c r="AS621" s="3"/>
      <c r="AT621" s="22">
        <v>1</v>
      </c>
      <c r="AU621" s="22">
        <v>1</v>
      </c>
      <c r="AV621" s="22"/>
      <c r="AW621" s="22"/>
      <c r="AX621" s="22"/>
      <c r="AY621" s="22"/>
      <c r="AZ621" s="22"/>
      <c r="BA621" s="22"/>
      <c r="BB621" s="6">
        <f t="shared" si="485"/>
        <v>0.30000000000000004</v>
      </c>
      <c r="BC621" s="6"/>
      <c r="BD621" s="60">
        <v>-180.34196730807054</v>
      </c>
      <c r="BE621" s="60"/>
      <c r="BF621" s="60">
        <v>-0.93</v>
      </c>
      <c r="BG621" s="95"/>
      <c r="BH621" s="95"/>
      <c r="BI621" s="8">
        <f t="shared" ref="BI621" si="535">SUM(BD621:BH621)</f>
        <v>-181.27196730807054</v>
      </c>
      <c r="BJ621" s="2" t="s">
        <v>91</v>
      </c>
      <c r="BL621" s="70">
        <v>0</v>
      </c>
      <c r="BM621" s="70">
        <v>0</v>
      </c>
      <c r="BO621" s="70">
        <v>0</v>
      </c>
      <c r="BP621" s="70">
        <v>0</v>
      </c>
      <c r="BQ621" s="72"/>
      <c r="BS621" s="61">
        <f t="shared" si="514"/>
        <v>-9.8199999999999932</v>
      </c>
      <c r="BT621" s="61">
        <f t="shared" si="515"/>
        <v>0</v>
      </c>
      <c r="BU621" s="61">
        <f t="shared" si="516"/>
        <v>0</v>
      </c>
      <c r="BV621" s="61">
        <f t="shared" si="516"/>
        <v>0</v>
      </c>
      <c r="BW621" s="61">
        <f t="shared" si="516"/>
        <v>0</v>
      </c>
      <c r="BX621" s="61">
        <f t="shared" si="516"/>
        <v>-9.8199999999999932</v>
      </c>
      <c r="BY621" s="61" t="s">
        <v>91</v>
      </c>
      <c r="CA621" s="61">
        <f t="shared" si="525"/>
        <v>-1.4773582067097928</v>
      </c>
      <c r="CB621" s="61">
        <f t="shared" si="525"/>
        <v>-1.4773582067097928</v>
      </c>
      <c r="CC621" s="61">
        <f t="shared" si="525"/>
        <v>0</v>
      </c>
      <c r="CD621" s="61">
        <f t="shared" si="523"/>
        <v>0</v>
      </c>
      <c r="CE621" s="61">
        <f t="shared" si="523"/>
        <v>0</v>
      </c>
      <c r="CF621" s="61">
        <f t="shared" si="523"/>
        <v>0</v>
      </c>
      <c r="CG621" s="61">
        <f t="shared" si="523"/>
        <v>0</v>
      </c>
      <c r="CH621" s="61">
        <f t="shared" si="489"/>
        <v>0</v>
      </c>
      <c r="CI621" s="61">
        <f t="shared" si="504"/>
        <v>-0.44320746201293787</v>
      </c>
      <c r="CJ621" s="61"/>
      <c r="CK621" s="61">
        <f t="shared" si="526"/>
        <v>-1.4773582067097928</v>
      </c>
      <c r="CL621" s="61">
        <f t="shared" si="526"/>
        <v>-1.4773582067097928</v>
      </c>
      <c r="CM621" s="61">
        <f t="shared" si="526"/>
        <v>0</v>
      </c>
      <c r="CN621" s="61">
        <f t="shared" si="524"/>
        <v>0</v>
      </c>
      <c r="CO621" s="61">
        <f t="shared" si="524"/>
        <v>0</v>
      </c>
      <c r="CP621" s="61">
        <f t="shared" si="524"/>
        <v>0</v>
      </c>
      <c r="CQ621" s="61">
        <f t="shared" si="524"/>
        <v>0</v>
      </c>
      <c r="CR621" s="61">
        <f t="shared" si="490"/>
        <v>0</v>
      </c>
      <c r="CS621" s="61">
        <f t="shared" si="505"/>
        <v>-0.44320746201293787</v>
      </c>
      <c r="CT621" s="61">
        <f t="shared" si="506"/>
        <v>-2.945999999999998</v>
      </c>
      <c r="CV621" s="61">
        <f t="shared" ref="CV621" si="536">SUM(AG621)-SUM(BL621)</f>
        <v>0</v>
      </c>
      <c r="CW621" s="61">
        <f t="shared" ref="CW621" si="537">SUM(AH621)-SUM(BM621)</f>
        <v>0</v>
      </c>
      <c r="CX621" s="61"/>
      <c r="CY621" s="61">
        <f t="shared" si="509"/>
        <v>0</v>
      </c>
      <c r="CZ621" s="61">
        <f t="shared" si="509"/>
        <v>0</v>
      </c>
      <c r="DA621" s="61">
        <f t="shared" si="509"/>
        <v>0</v>
      </c>
      <c r="DB621" s="2" t="s">
        <v>85</v>
      </c>
      <c r="DC621" s="2" t="s">
        <v>86</v>
      </c>
      <c r="DD621" s="2" t="s">
        <v>142</v>
      </c>
      <c r="DE621" s="2" t="s">
        <v>264</v>
      </c>
      <c r="DF621" s="3" t="s">
        <v>86</v>
      </c>
      <c r="DG621" s="62">
        <v>42976</v>
      </c>
      <c r="EC621" s="60"/>
      <c r="ED621" s="60"/>
      <c r="EE621" s="60"/>
      <c r="EF621" s="60"/>
    </row>
    <row r="622" spans="2:140" ht="12.75" hidden="1" customHeight="1">
      <c r="B622" s="99" t="s">
        <v>1124</v>
      </c>
      <c r="C622" s="22" t="s">
        <v>991</v>
      </c>
      <c r="D622" s="51" t="s">
        <v>992</v>
      </c>
      <c r="E622" s="2" t="s">
        <v>993</v>
      </c>
      <c r="F622" s="2" t="s">
        <v>969</v>
      </c>
      <c r="G622" s="2" t="s">
        <v>331</v>
      </c>
      <c r="J622" s="22" t="s">
        <v>126</v>
      </c>
      <c r="K622" s="23" t="s">
        <v>1127</v>
      </c>
      <c r="L622" s="22" t="s">
        <v>671</v>
      </c>
      <c r="M622" s="51" t="str">
        <f t="shared" si="533"/>
        <v>JD8B-F045A06-DAW</v>
      </c>
      <c r="O622" s="22"/>
      <c r="P622" s="22"/>
      <c r="Q622" s="22"/>
      <c r="R622" s="22"/>
      <c r="S622" s="22">
        <v>1</v>
      </c>
      <c r="T622" s="22">
        <v>1</v>
      </c>
      <c r="U622" s="22"/>
      <c r="V622" s="22">
        <v>1</v>
      </c>
      <c r="W622" s="64">
        <f t="shared" si="513"/>
        <v>0.28000000000000003</v>
      </c>
      <c r="Y622" s="8">
        <v>-233.38996730807054</v>
      </c>
      <c r="Z622" s="8"/>
      <c r="AA622" s="8">
        <v>-0.93</v>
      </c>
      <c r="AB622" s="8"/>
      <c r="AC622" s="8"/>
      <c r="AD622" s="8">
        <f t="shared" si="498"/>
        <v>-234.31996730807055</v>
      </c>
      <c r="AE622" s="2" t="s">
        <v>91</v>
      </c>
      <c r="AG622" s="8">
        <v>0</v>
      </c>
      <c r="AH622" s="8">
        <v>0</v>
      </c>
      <c r="AJ622" s="70">
        <v>0</v>
      </c>
      <c r="AK622" s="70">
        <v>0</v>
      </c>
      <c r="AL622" s="72"/>
      <c r="AM622" s="22"/>
      <c r="AO622" s="22" t="s">
        <v>126</v>
      </c>
      <c r="AP622" s="23" t="s">
        <v>1127</v>
      </c>
      <c r="AQ622" s="22" t="s">
        <v>671</v>
      </c>
      <c r="AR622" s="51" t="str">
        <f t="shared" si="481"/>
        <v>JD8B-F045A06-DAW</v>
      </c>
      <c r="AS622" s="3"/>
      <c r="AT622" s="22"/>
      <c r="AU622" s="22"/>
      <c r="AV622" s="22"/>
      <c r="AW622" s="22"/>
      <c r="AX622" s="22">
        <v>1</v>
      </c>
      <c r="AY622" s="22">
        <v>1</v>
      </c>
      <c r="AZ622" s="22"/>
      <c r="BA622" s="22">
        <v>1</v>
      </c>
      <c r="BB622" s="64">
        <f t="shared" si="485"/>
        <v>0.28000000000000003</v>
      </c>
      <c r="BD622" s="60">
        <v>-207.35996730807054</v>
      </c>
      <c r="BE622" s="60"/>
      <c r="BF622" s="60">
        <v>-0.93</v>
      </c>
      <c r="BG622" s="95"/>
      <c r="BH622" s="95"/>
      <c r="BI622" s="8">
        <f t="shared" si="502"/>
        <v>-208.28996730807054</v>
      </c>
      <c r="BJ622" s="2" t="s">
        <v>91</v>
      </c>
      <c r="BL622" s="70">
        <v>0</v>
      </c>
      <c r="BM622" s="70">
        <v>0</v>
      </c>
      <c r="BO622" s="70">
        <v>0</v>
      </c>
      <c r="BP622" s="70">
        <v>0</v>
      </c>
      <c r="BQ622" s="72"/>
      <c r="BS622" s="61">
        <f t="shared" si="514"/>
        <v>-26.03</v>
      </c>
      <c r="BT622" s="61">
        <f t="shared" si="515"/>
        <v>0</v>
      </c>
      <c r="BU622" s="61">
        <f t="shared" si="516"/>
        <v>0</v>
      </c>
      <c r="BV622" s="61">
        <f t="shared" si="516"/>
        <v>0</v>
      </c>
      <c r="BW622" s="61">
        <f t="shared" si="516"/>
        <v>0</v>
      </c>
      <c r="BX622" s="61">
        <f t="shared" si="516"/>
        <v>-26.03</v>
      </c>
      <c r="BY622" s="61" t="s">
        <v>91</v>
      </c>
      <c r="CA622" s="61">
        <f t="shared" si="525"/>
        <v>0</v>
      </c>
      <c r="CB622" s="61">
        <f t="shared" si="525"/>
        <v>0</v>
      </c>
      <c r="CC622" s="61">
        <f t="shared" si="525"/>
        <v>0</v>
      </c>
      <c r="CD622" s="61">
        <f t="shared" si="523"/>
        <v>0</v>
      </c>
      <c r="CE622" s="61">
        <f t="shared" si="523"/>
        <v>-3.9160523544456147</v>
      </c>
      <c r="CF622" s="61">
        <f t="shared" si="523"/>
        <v>-3.9160523544456147</v>
      </c>
      <c r="CG622" s="61">
        <f t="shared" si="523"/>
        <v>0</v>
      </c>
      <c r="CH622" s="61">
        <f t="shared" si="489"/>
        <v>-3.9160523544456147</v>
      </c>
      <c r="CI622" s="61">
        <f t="shared" si="504"/>
        <v>-1.0964946592447722</v>
      </c>
      <c r="CJ622" s="61"/>
      <c r="CK622" s="61">
        <f t="shared" si="526"/>
        <v>0</v>
      </c>
      <c r="CL622" s="61">
        <f t="shared" si="526"/>
        <v>0</v>
      </c>
      <c r="CM622" s="61">
        <f t="shared" si="526"/>
        <v>0</v>
      </c>
      <c r="CN622" s="61">
        <f t="shared" si="524"/>
        <v>0</v>
      </c>
      <c r="CO622" s="61">
        <f t="shared" si="524"/>
        <v>-3.9160523544456147</v>
      </c>
      <c r="CP622" s="61">
        <f t="shared" si="524"/>
        <v>-3.9160523544456147</v>
      </c>
      <c r="CQ622" s="61">
        <f t="shared" si="524"/>
        <v>0</v>
      </c>
      <c r="CR622" s="61">
        <f t="shared" si="490"/>
        <v>-3.9160523544456147</v>
      </c>
      <c r="CS622" s="61">
        <f t="shared" si="505"/>
        <v>-1.0964946592447722</v>
      </c>
      <c r="CT622" s="61">
        <f t="shared" si="506"/>
        <v>-7.2884000000000011</v>
      </c>
      <c r="CV622" s="61">
        <f t="shared" si="507"/>
        <v>0</v>
      </c>
      <c r="CW622" s="61">
        <f t="shared" si="508"/>
        <v>0</v>
      </c>
      <c r="CX622" s="61"/>
      <c r="CY622" s="61">
        <f t="shared" si="509"/>
        <v>0</v>
      </c>
      <c r="CZ622" s="61">
        <f t="shared" si="509"/>
        <v>0</v>
      </c>
      <c r="DA622" s="61">
        <f t="shared" si="509"/>
        <v>0</v>
      </c>
      <c r="DB622" s="2" t="s">
        <v>85</v>
      </c>
      <c r="DC622" s="2" t="s">
        <v>86</v>
      </c>
      <c r="DD622" s="2" t="s">
        <v>142</v>
      </c>
      <c r="DE622" s="2" t="s">
        <v>264</v>
      </c>
      <c r="DF622" s="3" t="s">
        <v>86</v>
      </c>
      <c r="DG622" s="62">
        <v>42976</v>
      </c>
      <c r="EC622" s="60"/>
      <c r="ED622" s="60"/>
      <c r="EE622" s="60"/>
      <c r="EF622" s="60"/>
    </row>
    <row r="623" spans="2:140" ht="12.75" hidden="1" customHeight="1">
      <c r="B623" s="99" t="s">
        <v>1124</v>
      </c>
      <c r="C623" s="22" t="s">
        <v>991</v>
      </c>
      <c r="D623" s="51" t="s">
        <v>992</v>
      </c>
      <c r="E623" s="2" t="s">
        <v>993</v>
      </c>
      <c r="F623" s="2" t="s">
        <v>969</v>
      </c>
      <c r="G623" s="2" t="s">
        <v>331</v>
      </c>
      <c r="J623" s="22" t="s">
        <v>126</v>
      </c>
      <c r="K623" s="23" t="s">
        <v>1128</v>
      </c>
      <c r="L623" s="22" t="s">
        <v>196</v>
      </c>
      <c r="M623" s="51" t="str">
        <f t="shared" si="533"/>
        <v>JD8B-F046C00-AAW</v>
      </c>
      <c r="O623" s="22">
        <v>1</v>
      </c>
      <c r="P623" s="22">
        <v>1</v>
      </c>
      <c r="Q623" s="22"/>
      <c r="R623" s="22"/>
      <c r="S623" s="22"/>
      <c r="T623" s="22"/>
      <c r="U623" s="22"/>
      <c r="V623" s="22"/>
      <c r="W623" s="64">
        <f t="shared" si="513"/>
        <v>0.30000000000000004</v>
      </c>
      <c r="Y623" s="8">
        <v>-63.132723404255316</v>
      </c>
      <c r="Z623" s="8"/>
      <c r="AA623" s="8">
        <v>-0.4</v>
      </c>
      <c r="AB623" s="8"/>
      <c r="AC623" s="8"/>
      <c r="AD623" s="8">
        <f t="shared" si="498"/>
        <v>-63.532723404255314</v>
      </c>
      <c r="AE623" s="2" t="s">
        <v>91</v>
      </c>
      <c r="AG623" s="8">
        <v>-1589800</v>
      </c>
      <c r="AH623" s="8">
        <v>-1589800</v>
      </c>
      <c r="AI623" s="6"/>
      <c r="AJ623" s="70">
        <v>0</v>
      </c>
      <c r="AK623" s="70">
        <v>0</v>
      </c>
      <c r="AL623" s="72"/>
      <c r="AM623" s="22"/>
      <c r="AO623" s="22" t="s">
        <v>126</v>
      </c>
      <c r="AP623" s="23" t="s">
        <v>1128</v>
      </c>
      <c r="AQ623" s="22" t="s">
        <v>196</v>
      </c>
      <c r="AR623" s="51" t="str">
        <f t="shared" si="481"/>
        <v>JD8B-F046C00-AAW</v>
      </c>
      <c r="AS623" s="3"/>
      <c r="AT623" s="22">
        <v>1</v>
      </c>
      <c r="AU623" s="22">
        <v>1</v>
      </c>
      <c r="AV623" s="22"/>
      <c r="AW623" s="22"/>
      <c r="AX623" s="22"/>
      <c r="AY623" s="22"/>
      <c r="AZ623" s="22"/>
      <c r="BA623" s="22"/>
      <c r="BB623" s="64">
        <f t="shared" si="485"/>
        <v>0.30000000000000004</v>
      </c>
      <c r="BD623" s="60">
        <v>-62.452723404255316</v>
      </c>
      <c r="BE623" s="60"/>
      <c r="BF623" s="60">
        <v>-0.4</v>
      </c>
      <c r="BG623" s="95"/>
      <c r="BH623" s="95"/>
      <c r="BI623" s="8">
        <f t="shared" si="502"/>
        <v>-62.852723404255315</v>
      </c>
      <c r="BJ623" s="2" t="s">
        <v>91</v>
      </c>
      <c r="BL623" s="70">
        <v>-1589800</v>
      </c>
      <c r="BM623" s="70">
        <v>-1589800</v>
      </c>
      <c r="BO623" s="70">
        <v>0</v>
      </c>
      <c r="BP623" s="70">
        <v>0</v>
      </c>
      <c r="BQ623" s="72"/>
      <c r="BS623" s="61">
        <f t="shared" si="514"/>
        <v>-0.67999999999999972</v>
      </c>
      <c r="BT623" s="61">
        <f t="shared" si="515"/>
        <v>0</v>
      </c>
      <c r="BU623" s="61">
        <f t="shared" si="516"/>
        <v>0</v>
      </c>
      <c r="BV623" s="61">
        <f t="shared" si="516"/>
        <v>0</v>
      </c>
      <c r="BW623" s="61">
        <f t="shared" si="516"/>
        <v>0</v>
      </c>
      <c r="BX623" s="61">
        <f t="shared" si="516"/>
        <v>-0.67999999999999972</v>
      </c>
      <c r="BY623" s="61" t="s">
        <v>91</v>
      </c>
      <c r="CA623" s="61">
        <f t="shared" si="525"/>
        <v>-0.10230179028132988</v>
      </c>
      <c r="CB623" s="61">
        <f t="shared" si="525"/>
        <v>-0.10230179028132988</v>
      </c>
      <c r="CC623" s="61">
        <f t="shared" si="525"/>
        <v>0</v>
      </c>
      <c r="CD623" s="61">
        <f t="shared" si="523"/>
        <v>0</v>
      </c>
      <c r="CE623" s="61">
        <f t="shared" si="523"/>
        <v>0</v>
      </c>
      <c r="CF623" s="61">
        <f t="shared" si="523"/>
        <v>0</v>
      </c>
      <c r="CG623" s="61">
        <f t="shared" si="523"/>
        <v>0</v>
      </c>
      <c r="CH623" s="61">
        <f t="shared" si="489"/>
        <v>0</v>
      </c>
      <c r="CI623" s="61">
        <f t="shared" si="504"/>
        <v>-3.0690537084398964E-2</v>
      </c>
      <c r="CJ623" s="61"/>
      <c r="CK623" s="61">
        <f t="shared" si="526"/>
        <v>-0.10230179028132988</v>
      </c>
      <c r="CL623" s="61">
        <f t="shared" si="526"/>
        <v>-0.10230179028132988</v>
      </c>
      <c r="CM623" s="61">
        <f t="shared" si="526"/>
        <v>0</v>
      </c>
      <c r="CN623" s="61">
        <f t="shared" si="524"/>
        <v>0</v>
      </c>
      <c r="CO623" s="61">
        <f t="shared" si="524"/>
        <v>0</v>
      </c>
      <c r="CP623" s="61">
        <f t="shared" si="524"/>
        <v>0</v>
      </c>
      <c r="CQ623" s="61">
        <f t="shared" si="524"/>
        <v>0</v>
      </c>
      <c r="CR623" s="61">
        <f t="shared" si="490"/>
        <v>0</v>
      </c>
      <c r="CS623" s="61">
        <f t="shared" si="505"/>
        <v>-3.0690537084398964E-2</v>
      </c>
      <c r="CT623" s="61">
        <f t="shared" si="506"/>
        <v>-0.20399999999999993</v>
      </c>
      <c r="CV623" s="61">
        <f t="shared" si="507"/>
        <v>0</v>
      </c>
      <c r="CW623" s="61">
        <f t="shared" si="508"/>
        <v>0</v>
      </c>
      <c r="CX623" s="61"/>
      <c r="CY623" s="61">
        <f t="shared" si="509"/>
        <v>0</v>
      </c>
      <c r="CZ623" s="61">
        <f t="shared" si="509"/>
        <v>0</v>
      </c>
      <c r="DA623" s="61">
        <f t="shared" si="509"/>
        <v>0</v>
      </c>
      <c r="DB623" s="2" t="s">
        <v>85</v>
      </c>
      <c r="DC623" s="2" t="s">
        <v>86</v>
      </c>
      <c r="DD623" s="2" t="s">
        <v>142</v>
      </c>
      <c r="DE623" s="2" t="s">
        <v>264</v>
      </c>
      <c r="DF623" s="3" t="s">
        <v>86</v>
      </c>
      <c r="DG623" s="62">
        <v>42976</v>
      </c>
      <c r="EC623" s="60"/>
      <c r="ED623" s="60"/>
      <c r="EE623" s="60"/>
      <c r="EF623" s="60"/>
    </row>
    <row r="624" spans="2:140" ht="12.75" hidden="1" customHeight="1">
      <c r="B624" s="99" t="s">
        <v>1124</v>
      </c>
      <c r="C624" s="22" t="s">
        <v>991</v>
      </c>
      <c r="D624" s="51" t="s">
        <v>992</v>
      </c>
      <c r="E624" s="2" t="s">
        <v>993</v>
      </c>
      <c r="F624" s="2" t="s">
        <v>969</v>
      </c>
      <c r="G624" s="2" t="s">
        <v>331</v>
      </c>
      <c r="J624" s="22" t="s">
        <v>126</v>
      </c>
      <c r="K624" s="23" t="s">
        <v>1128</v>
      </c>
      <c r="L624" s="22" t="s">
        <v>198</v>
      </c>
      <c r="M624" s="51" t="str">
        <f t="shared" si="533"/>
        <v>JD8B-F046C00-BAW</v>
      </c>
      <c r="O624" s="22"/>
      <c r="P624" s="22"/>
      <c r="Q624" s="22">
        <v>1</v>
      </c>
      <c r="R624" s="22">
        <v>1</v>
      </c>
      <c r="S624" s="22">
        <v>1</v>
      </c>
      <c r="T624" s="22">
        <v>1</v>
      </c>
      <c r="U624" s="22"/>
      <c r="V624" s="22"/>
      <c r="W624" s="64">
        <f t="shared" si="513"/>
        <v>0.6</v>
      </c>
      <c r="Y624" s="8">
        <v>-62.722723404255312</v>
      </c>
      <c r="Z624" s="8"/>
      <c r="AA624" s="8">
        <v>-0.4</v>
      </c>
      <c r="AB624" s="8"/>
      <c r="AC624" s="8"/>
      <c r="AD624" s="8">
        <f t="shared" si="498"/>
        <v>-63.122723404255311</v>
      </c>
      <c r="AE624" s="2" t="s">
        <v>91</v>
      </c>
      <c r="AG624" s="8">
        <v>0</v>
      </c>
      <c r="AH624" s="8">
        <v>0</v>
      </c>
      <c r="AJ624" s="70">
        <v>0</v>
      </c>
      <c r="AK624" s="70">
        <v>0</v>
      </c>
      <c r="AL624" s="72"/>
      <c r="AM624" s="22"/>
      <c r="AO624" s="22" t="s">
        <v>126</v>
      </c>
      <c r="AP624" s="23" t="s">
        <v>1128</v>
      </c>
      <c r="AQ624" s="22" t="s">
        <v>198</v>
      </c>
      <c r="AR624" s="51" t="str">
        <f t="shared" si="481"/>
        <v>JD8B-F046C00-BAW</v>
      </c>
      <c r="AS624" s="3"/>
      <c r="AT624" s="22"/>
      <c r="AU624" s="22"/>
      <c r="AV624" s="22">
        <v>1</v>
      </c>
      <c r="AW624" s="22">
        <v>1</v>
      </c>
      <c r="AX624" s="22">
        <v>1</v>
      </c>
      <c r="AY624" s="22">
        <v>1</v>
      </c>
      <c r="AZ624" s="22"/>
      <c r="BA624" s="22"/>
      <c r="BB624" s="64">
        <f t="shared" si="485"/>
        <v>0.6</v>
      </c>
      <c r="BD624" s="60">
        <v>-62.042723404255312</v>
      </c>
      <c r="BE624" s="60"/>
      <c r="BF624" s="60">
        <v>-0.4</v>
      </c>
      <c r="BG624" s="95"/>
      <c r="BH624" s="95"/>
      <c r="BI624" s="8">
        <f t="shared" si="502"/>
        <v>-62.442723404255311</v>
      </c>
      <c r="BJ624" s="2" t="s">
        <v>91</v>
      </c>
      <c r="BL624" s="70">
        <v>0</v>
      </c>
      <c r="BM624" s="70">
        <v>0</v>
      </c>
      <c r="BO624" s="70">
        <v>0</v>
      </c>
      <c r="BP624" s="70">
        <v>0</v>
      </c>
      <c r="BQ624" s="72"/>
      <c r="BS624" s="61">
        <f t="shared" si="514"/>
        <v>-0.67999999999999972</v>
      </c>
      <c r="BT624" s="61">
        <f t="shared" si="515"/>
        <v>0</v>
      </c>
      <c r="BU624" s="61">
        <f t="shared" si="516"/>
        <v>0</v>
      </c>
      <c r="BV624" s="61">
        <f t="shared" si="516"/>
        <v>0</v>
      </c>
      <c r="BW624" s="61">
        <f t="shared" si="516"/>
        <v>0</v>
      </c>
      <c r="BX624" s="61">
        <f t="shared" si="516"/>
        <v>-0.67999999999999972</v>
      </c>
      <c r="BY624" s="61" t="s">
        <v>91</v>
      </c>
      <c r="CA624" s="61">
        <f t="shared" si="525"/>
        <v>0</v>
      </c>
      <c r="CB624" s="61">
        <f t="shared" si="525"/>
        <v>0</v>
      </c>
      <c r="CC624" s="61">
        <f t="shared" si="525"/>
        <v>-0.10230179028132988</v>
      </c>
      <c r="CD624" s="61">
        <f t="shared" si="523"/>
        <v>-0.10230179028132988</v>
      </c>
      <c r="CE624" s="61">
        <f t="shared" si="523"/>
        <v>-0.10230179028132988</v>
      </c>
      <c r="CF624" s="61">
        <f t="shared" si="523"/>
        <v>-0.10230179028132988</v>
      </c>
      <c r="CG624" s="61">
        <f t="shared" si="523"/>
        <v>0</v>
      </c>
      <c r="CH624" s="61">
        <f t="shared" si="489"/>
        <v>0</v>
      </c>
      <c r="CI624" s="61">
        <f t="shared" si="504"/>
        <v>-6.1381074168797935E-2</v>
      </c>
      <c r="CJ624" s="61"/>
      <c r="CK624" s="61">
        <f t="shared" si="526"/>
        <v>0</v>
      </c>
      <c r="CL624" s="61">
        <f t="shared" si="526"/>
        <v>0</v>
      </c>
      <c r="CM624" s="61">
        <f t="shared" si="526"/>
        <v>-0.10230179028132988</v>
      </c>
      <c r="CN624" s="61">
        <f t="shared" si="524"/>
        <v>-0.10230179028132988</v>
      </c>
      <c r="CO624" s="61">
        <f t="shared" si="524"/>
        <v>-0.10230179028132988</v>
      </c>
      <c r="CP624" s="61">
        <f t="shared" si="524"/>
        <v>-0.10230179028132988</v>
      </c>
      <c r="CQ624" s="61">
        <f t="shared" si="524"/>
        <v>0</v>
      </c>
      <c r="CR624" s="61">
        <f t="shared" si="490"/>
        <v>0</v>
      </c>
      <c r="CS624" s="61">
        <f t="shared" si="505"/>
        <v>-6.1381074168797935E-2</v>
      </c>
      <c r="CT624" s="61">
        <f t="shared" si="506"/>
        <v>-0.40799999999999986</v>
      </c>
      <c r="CV624" s="61">
        <f t="shared" si="507"/>
        <v>0</v>
      </c>
      <c r="CW624" s="61">
        <f t="shared" si="508"/>
        <v>0</v>
      </c>
      <c r="CX624" s="61"/>
      <c r="CY624" s="61">
        <f t="shared" si="509"/>
        <v>0</v>
      </c>
      <c r="CZ624" s="61">
        <f t="shared" si="509"/>
        <v>0</v>
      </c>
      <c r="DA624" s="61">
        <f t="shared" si="509"/>
        <v>0</v>
      </c>
      <c r="DB624" s="2" t="s">
        <v>85</v>
      </c>
      <c r="DC624" s="2" t="s">
        <v>86</v>
      </c>
      <c r="DD624" s="2" t="s">
        <v>142</v>
      </c>
      <c r="DE624" s="2" t="s">
        <v>264</v>
      </c>
      <c r="DF624" s="3" t="s">
        <v>86</v>
      </c>
      <c r="DG624" s="62">
        <v>42976</v>
      </c>
      <c r="EC624" s="60"/>
      <c r="ED624" s="60"/>
      <c r="EE624" s="60"/>
      <c r="EF624" s="60"/>
    </row>
    <row r="625" spans="2:140" ht="12.75" hidden="1" customHeight="1">
      <c r="B625" s="99" t="s">
        <v>1124</v>
      </c>
      <c r="C625" s="22" t="s">
        <v>991</v>
      </c>
      <c r="D625" s="51" t="s">
        <v>992</v>
      </c>
      <c r="E625" s="2" t="s">
        <v>993</v>
      </c>
      <c r="F625" s="2" t="s">
        <v>969</v>
      </c>
      <c r="G625" s="2" t="s">
        <v>331</v>
      </c>
      <c r="J625" s="22" t="s">
        <v>126</v>
      </c>
      <c r="K625" s="23" t="s">
        <v>1128</v>
      </c>
      <c r="L625" s="22" t="s">
        <v>269</v>
      </c>
      <c r="M625" s="51" t="str">
        <f t="shared" si="533"/>
        <v>JD8B-F046C00-CAW</v>
      </c>
      <c r="O625" s="22"/>
      <c r="P625" s="22"/>
      <c r="Q625" s="22"/>
      <c r="R625" s="22"/>
      <c r="S625" s="22"/>
      <c r="T625" s="22"/>
      <c r="U625" s="22">
        <v>1</v>
      </c>
      <c r="V625" s="22">
        <v>1</v>
      </c>
      <c r="W625" s="64">
        <f t="shared" si="513"/>
        <v>0.1</v>
      </c>
      <c r="Y625" s="8">
        <v>-76.622723404255311</v>
      </c>
      <c r="Z625" s="8"/>
      <c r="AA625" s="8">
        <v>-0.4</v>
      </c>
      <c r="AB625" s="8"/>
      <c r="AC625" s="8"/>
      <c r="AD625" s="8">
        <f t="shared" si="498"/>
        <v>-77.022723404255316</v>
      </c>
      <c r="AE625" s="2" t="s">
        <v>91</v>
      </c>
      <c r="AG625" s="8">
        <v>0</v>
      </c>
      <c r="AH625" s="8">
        <v>0</v>
      </c>
      <c r="AJ625" s="70">
        <v>0</v>
      </c>
      <c r="AK625" s="70">
        <v>0</v>
      </c>
      <c r="AL625" s="72"/>
      <c r="AM625" s="22"/>
      <c r="AO625" s="22" t="s">
        <v>126</v>
      </c>
      <c r="AP625" s="23" t="s">
        <v>1128</v>
      </c>
      <c r="AQ625" s="22" t="s">
        <v>269</v>
      </c>
      <c r="AR625" s="51" t="str">
        <f t="shared" si="481"/>
        <v>JD8B-F046C00-CAW</v>
      </c>
      <c r="AS625" s="3"/>
      <c r="AT625" s="22"/>
      <c r="AU625" s="22"/>
      <c r="AV625" s="22"/>
      <c r="AW625" s="22"/>
      <c r="AX625" s="22"/>
      <c r="AY625" s="22"/>
      <c r="AZ625" s="22">
        <v>1</v>
      </c>
      <c r="BA625" s="22">
        <v>1</v>
      </c>
      <c r="BB625" s="64">
        <f t="shared" si="485"/>
        <v>0.1</v>
      </c>
      <c r="BD625" s="60">
        <v>-75.942723404255304</v>
      </c>
      <c r="BE625" s="60"/>
      <c r="BF625" s="60">
        <v>-0.4</v>
      </c>
      <c r="BG625" s="95"/>
      <c r="BH625" s="95"/>
      <c r="BI625" s="8">
        <f t="shared" si="502"/>
        <v>-76.34272340425531</v>
      </c>
      <c r="BJ625" s="2" t="s">
        <v>91</v>
      </c>
      <c r="BL625" s="70">
        <v>0</v>
      </c>
      <c r="BM625" s="70">
        <v>0</v>
      </c>
      <c r="BO625" s="70">
        <v>0</v>
      </c>
      <c r="BP625" s="70">
        <v>0</v>
      </c>
      <c r="BQ625" s="72"/>
      <c r="BS625" s="61">
        <f t="shared" si="514"/>
        <v>-0.68000000000000682</v>
      </c>
      <c r="BT625" s="61">
        <f t="shared" si="515"/>
        <v>0</v>
      </c>
      <c r="BU625" s="61">
        <f t="shared" si="516"/>
        <v>0</v>
      </c>
      <c r="BV625" s="61">
        <f t="shared" si="516"/>
        <v>0</v>
      </c>
      <c r="BW625" s="61">
        <f t="shared" si="516"/>
        <v>0</v>
      </c>
      <c r="BX625" s="61">
        <f t="shared" si="516"/>
        <v>-0.68000000000000682</v>
      </c>
      <c r="BY625" s="61" t="s">
        <v>91</v>
      </c>
      <c r="CA625" s="61">
        <f t="shared" si="525"/>
        <v>0</v>
      </c>
      <c r="CB625" s="61">
        <f t="shared" si="525"/>
        <v>0</v>
      </c>
      <c r="CC625" s="61">
        <f t="shared" si="525"/>
        <v>0</v>
      </c>
      <c r="CD625" s="61">
        <f t="shared" si="523"/>
        <v>0</v>
      </c>
      <c r="CE625" s="61">
        <f t="shared" si="523"/>
        <v>0</v>
      </c>
      <c r="CF625" s="61">
        <f t="shared" si="523"/>
        <v>0</v>
      </c>
      <c r="CG625" s="61">
        <f t="shared" si="523"/>
        <v>-0.10230179028133095</v>
      </c>
      <c r="CH625" s="61">
        <f t="shared" si="489"/>
        <v>-0.10230179028133095</v>
      </c>
      <c r="CI625" s="61">
        <f t="shared" si="504"/>
        <v>-1.0230179028133096E-2</v>
      </c>
      <c r="CJ625" s="61"/>
      <c r="CK625" s="61">
        <f t="shared" si="526"/>
        <v>0</v>
      </c>
      <c r="CL625" s="61">
        <f t="shared" si="526"/>
        <v>0</v>
      </c>
      <c r="CM625" s="61">
        <f t="shared" si="526"/>
        <v>0</v>
      </c>
      <c r="CN625" s="61">
        <f t="shared" si="524"/>
        <v>0</v>
      </c>
      <c r="CO625" s="61">
        <f t="shared" si="524"/>
        <v>0</v>
      </c>
      <c r="CP625" s="61">
        <f t="shared" si="524"/>
        <v>0</v>
      </c>
      <c r="CQ625" s="61">
        <f t="shared" si="524"/>
        <v>-0.10230179028133095</v>
      </c>
      <c r="CR625" s="61">
        <f t="shared" si="490"/>
        <v>-0.10230179028133095</v>
      </c>
      <c r="CS625" s="61">
        <f t="shared" si="505"/>
        <v>-1.0230179028133096E-2</v>
      </c>
      <c r="CT625" s="61">
        <f t="shared" si="506"/>
        <v>-6.8000000000000685E-2</v>
      </c>
      <c r="CV625" s="61">
        <f t="shared" si="507"/>
        <v>0</v>
      </c>
      <c r="CW625" s="61">
        <f t="shared" si="508"/>
        <v>0</v>
      </c>
      <c r="CX625" s="61"/>
      <c r="CY625" s="61">
        <f t="shared" si="509"/>
        <v>0</v>
      </c>
      <c r="CZ625" s="61">
        <f t="shared" si="509"/>
        <v>0</v>
      </c>
      <c r="DA625" s="61">
        <f t="shared" si="509"/>
        <v>0</v>
      </c>
      <c r="DB625" s="2" t="s">
        <v>85</v>
      </c>
      <c r="DC625" s="2" t="s">
        <v>86</v>
      </c>
      <c r="DD625" s="2" t="s">
        <v>142</v>
      </c>
      <c r="DE625" s="2" t="s">
        <v>264</v>
      </c>
      <c r="DF625" s="3" t="s">
        <v>86</v>
      </c>
      <c r="DG625" s="62">
        <v>42976</v>
      </c>
      <c r="EC625" s="60"/>
      <c r="ED625" s="60"/>
      <c r="EE625" s="60"/>
      <c r="EF625" s="60"/>
    </row>
    <row r="626" spans="2:140" ht="12.75" hidden="1" customHeight="1">
      <c r="B626" s="99" t="s">
        <v>1129</v>
      </c>
      <c r="C626" s="22" t="s">
        <v>1130</v>
      </c>
      <c r="D626" s="22" t="s">
        <v>1131</v>
      </c>
      <c r="E626" s="2" t="s">
        <v>1005</v>
      </c>
      <c r="F626" s="2" t="s">
        <v>330</v>
      </c>
      <c r="G626" s="2" t="s">
        <v>331</v>
      </c>
      <c r="J626" s="22" t="s">
        <v>427</v>
      </c>
      <c r="K626" s="23" t="s">
        <v>1132</v>
      </c>
      <c r="L626" s="22" t="s">
        <v>132</v>
      </c>
      <c r="M626" s="51" t="str">
        <f t="shared" si="533"/>
        <v>JD8G-3B436-AB</v>
      </c>
      <c r="O626" s="22">
        <v>1</v>
      </c>
      <c r="P626" s="22">
        <v>0</v>
      </c>
      <c r="Q626" s="22">
        <v>1</v>
      </c>
      <c r="R626" s="22">
        <v>0</v>
      </c>
      <c r="S626" s="22">
        <v>0</v>
      </c>
      <c r="T626" s="22">
        <v>0</v>
      </c>
      <c r="U626" s="22">
        <v>0</v>
      </c>
      <c r="V626" s="22">
        <v>0</v>
      </c>
      <c r="W626" s="64">
        <v>0.28000000000000003</v>
      </c>
      <c r="Y626" s="8">
        <v>-326.98</v>
      </c>
      <c r="Z626" s="8">
        <v>-1.5</v>
      </c>
      <c r="AA626" s="8">
        <v>-1.6</v>
      </c>
      <c r="AB626" s="8">
        <v>0</v>
      </c>
      <c r="AC626" s="8">
        <v>0</v>
      </c>
      <c r="AD626" s="8">
        <f t="shared" si="498"/>
        <v>-330.08000000000004</v>
      </c>
      <c r="AE626" s="2" t="s">
        <v>91</v>
      </c>
      <c r="AG626" s="8">
        <v>-168750</v>
      </c>
      <c r="AH626" s="8">
        <v>-168750</v>
      </c>
      <c r="AI626" s="6"/>
      <c r="AJ626" s="70">
        <v>0</v>
      </c>
      <c r="AK626" s="70">
        <v>0</v>
      </c>
      <c r="AL626" s="72"/>
      <c r="AM626" s="22"/>
      <c r="AO626" s="22" t="s">
        <v>427</v>
      </c>
      <c r="AP626" s="85" t="s">
        <v>1132</v>
      </c>
      <c r="AQ626" s="22" t="s">
        <v>180</v>
      </c>
      <c r="AR626" s="51" t="s">
        <v>1133</v>
      </c>
      <c r="AS626" s="3"/>
      <c r="AT626" s="94">
        <v>1</v>
      </c>
      <c r="AU626" s="94">
        <v>0</v>
      </c>
      <c r="AV626" s="94">
        <v>1</v>
      </c>
      <c r="AW626" s="94">
        <v>0</v>
      </c>
      <c r="AX626" s="94">
        <v>0</v>
      </c>
      <c r="AY626" s="94">
        <v>0</v>
      </c>
      <c r="AZ626" s="94">
        <v>0</v>
      </c>
      <c r="BA626" s="94">
        <v>0</v>
      </c>
      <c r="BB626" s="64">
        <v>0.28000000000000003</v>
      </c>
      <c r="BD626" s="60">
        <v>-326.98</v>
      </c>
      <c r="BE626" s="60">
        <v>-1.5</v>
      </c>
      <c r="BF626" s="95">
        <v>-1.6</v>
      </c>
      <c r="BG626" s="95">
        <v>0</v>
      </c>
      <c r="BH626" s="95">
        <v>0</v>
      </c>
      <c r="BI626" s="8">
        <f t="shared" si="502"/>
        <v>-330.08000000000004</v>
      </c>
      <c r="BJ626" s="2" t="s">
        <v>91</v>
      </c>
      <c r="BL626" s="70">
        <v>-168750</v>
      </c>
      <c r="BM626" s="70">
        <v>-168750</v>
      </c>
      <c r="BO626" s="70">
        <v>0</v>
      </c>
      <c r="BP626" s="70">
        <v>0</v>
      </c>
      <c r="BQ626" s="72"/>
      <c r="BS626" s="61">
        <f t="shared" si="514"/>
        <v>0</v>
      </c>
      <c r="BT626" s="61">
        <f t="shared" si="515"/>
        <v>0</v>
      </c>
      <c r="BU626" s="61">
        <f t="shared" si="516"/>
        <v>0</v>
      </c>
      <c r="BV626" s="61">
        <f t="shared" si="516"/>
        <v>0</v>
      </c>
      <c r="BW626" s="61">
        <f t="shared" si="516"/>
        <v>0</v>
      </c>
      <c r="BX626" s="61">
        <f t="shared" si="516"/>
        <v>0</v>
      </c>
      <c r="BY626" s="61" t="s">
        <v>91</v>
      </c>
      <c r="CA626" s="61">
        <f t="shared" si="525"/>
        <v>0</v>
      </c>
      <c r="CB626" s="61">
        <f t="shared" si="525"/>
        <v>0</v>
      </c>
      <c r="CC626" s="61">
        <f t="shared" si="525"/>
        <v>0</v>
      </c>
      <c r="CD626" s="61">
        <f t="shared" si="523"/>
        <v>0</v>
      </c>
      <c r="CE626" s="61">
        <f t="shared" si="523"/>
        <v>0</v>
      </c>
      <c r="CF626" s="61">
        <f t="shared" si="523"/>
        <v>0</v>
      </c>
      <c r="CG626" s="61">
        <f t="shared" si="523"/>
        <v>0</v>
      </c>
      <c r="CH626" s="61">
        <f t="shared" si="489"/>
        <v>0</v>
      </c>
      <c r="CI626" s="61">
        <f t="shared" si="504"/>
        <v>0</v>
      </c>
      <c r="CJ626" s="61"/>
      <c r="CK626" s="61">
        <f t="shared" si="526"/>
        <v>0</v>
      </c>
      <c r="CL626" s="61">
        <f t="shared" si="526"/>
        <v>0</v>
      </c>
      <c r="CM626" s="61">
        <f t="shared" si="526"/>
        <v>0</v>
      </c>
      <c r="CN626" s="61">
        <f t="shared" si="524"/>
        <v>0</v>
      </c>
      <c r="CO626" s="61">
        <f t="shared" si="524"/>
        <v>0</v>
      </c>
      <c r="CP626" s="61">
        <f t="shared" si="524"/>
        <v>0</v>
      </c>
      <c r="CQ626" s="61">
        <f t="shared" si="524"/>
        <v>0</v>
      </c>
      <c r="CR626" s="61">
        <f t="shared" si="490"/>
        <v>0</v>
      </c>
      <c r="CS626" s="61">
        <f t="shared" si="505"/>
        <v>0</v>
      </c>
      <c r="CT626" s="61">
        <f t="shared" si="506"/>
        <v>0</v>
      </c>
      <c r="CV626" s="61">
        <f t="shared" si="507"/>
        <v>0</v>
      </c>
      <c r="CW626" s="61">
        <f t="shared" si="508"/>
        <v>0</v>
      </c>
      <c r="CX626" s="61"/>
      <c r="CY626" s="61">
        <f t="shared" si="509"/>
        <v>0</v>
      </c>
      <c r="CZ626" s="61">
        <f t="shared" si="509"/>
        <v>0</v>
      </c>
      <c r="DA626" s="61">
        <f t="shared" si="509"/>
        <v>0</v>
      </c>
      <c r="DB626" s="2" t="s">
        <v>86</v>
      </c>
      <c r="DC626" s="2" t="s">
        <v>102</v>
      </c>
      <c r="DD626" s="2" t="s">
        <v>142</v>
      </c>
      <c r="DE626" s="2" t="s">
        <v>264</v>
      </c>
      <c r="DF626" s="3" t="s">
        <v>86</v>
      </c>
      <c r="DG626" s="62">
        <v>42961</v>
      </c>
      <c r="EC626" s="60" t="str">
        <f>VLOOKUP($M626,[1]Detail!$M:$BO,1,0)</f>
        <v>JD8G-3B436-AB</v>
      </c>
      <c r="ED626" s="60">
        <f>VLOOKUP($M626,[1]Detail!$M:$BO,22,0)</f>
        <v>-330.08000000000004</v>
      </c>
      <c r="EE626" s="60">
        <f>VLOOKUP($M626,[1]Detail!$M:$BO,42,0)</f>
        <v>-337500</v>
      </c>
      <c r="EF626" s="60">
        <f>VLOOKUP($M626,[1]Detail!$M:$BO,45,0)</f>
        <v>0</v>
      </c>
      <c r="EH626" s="60">
        <f>ED626-AD626</f>
        <v>0</v>
      </c>
      <c r="EI626" s="60">
        <f>EE626-AG626</f>
        <v>-168750</v>
      </c>
      <c r="EJ626" s="60">
        <f>EF626-AJ626</f>
        <v>0</v>
      </c>
    </row>
    <row r="627" spans="2:140" ht="15" hidden="1" customHeight="1">
      <c r="B627" s="99" t="s">
        <v>1129</v>
      </c>
      <c r="C627" s="22" t="s">
        <v>1134</v>
      </c>
      <c r="D627" s="22" t="s">
        <v>1131</v>
      </c>
      <c r="E627" s="2" t="s">
        <v>1005</v>
      </c>
      <c r="F627" s="2" t="s">
        <v>330</v>
      </c>
      <c r="G627" s="2" t="s">
        <v>331</v>
      </c>
      <c r="J627" s="22" t="s">
        <v>427</v>
      </c>
      <c r="K627" s="23" t="s">
        <v>1132</v>
      </c>
      <c r="L627" s="22" t="s">
        <v>120</v>
      </c>
      <c r="M627" s="51" t="str">
        <f t="shared" si="533"/>
        <v>JD8G-3B436-BB</v>
      </c>
      <c r="O627" s="22">
        <v>0</v>
      </c>
      <c r="P627" s="22">
        <v>1</v>
      </c>
      <c r="Q627" s="22">
        <v>0</v>
      </c>
      <c r="R627" s="22">
        <v>1</v>
      </c>
      <c r="S627" s="22">
        <v>0</v>
      </c>
      <c r="T627" s="22">
        <v>1</v>
      </c>
      <c r="U627" s="22">
        <v>1</v>
      </c>
      <c r="V627" s="22">
        <v>1</v>
      </c>
      <c r="W627" s="64">
        <v>0.63000000000000012</v>
      </c>
      <c r="Y627" s="8">
        <v>-351.35</v>
      </c>
      <c r="Z627" s="8">
        <v>-1.5</v>
      </c>
      <c r="AA627" s="8">
        <v>-1.6</v>
      </c>
      <c r="AB627" s="8">
        <v>0</v>
      </c>
      <c r="AC627" s="8">
        <v>0</v>
      </c>
      <c r="AD627" s="8">
        <f t="shared" si="498"/>
        <v>-354.45000000000005</v>
      </c>
      <c r="AE627" s="2" t="s">
        <v>91</v>
      </c>
      <c r="AG627" s="8">
        <v>-368750</v>
      </c>
      <c r="AH627" s="8">
        <v>-368750</v>
      </c>
      <c r="AI627" s="6"/>
      <c r="AJ627" s="70">
        <v>0</v>
      </c>
      <c r="AK627" s="70">
        <v>0</v>
      </c>
      <c r="AL627" s="72"/>
      <c r="AM627" s="22"/>
      <c r="AO627" s="22" t="s">
        <v>427</v>
      </c>
      <c r="AP627" s="85" t="s">
        <v>1132</v>
      </c>
      <c r="AQ627" s="22" t="s">
        <v>182</v>
      </c>
      <c r="AR627" s="51" t="s">
        <v>1135</v>
      </c>
      <c r="AS627" s="3"/>
      <c r="AT627" s="94">
        <v>0</v>
      </c>
      <c r="AU627" s="94">
        <v>1</v>
      </c>
      <c r="AV627" s="94">
        <v>0</v>
      </c>
      <c r="AW627" s="94">
        <v>1</v>
      </c>
      <c r="AX627" s="94">
        <v>0</v>
      </c>
      <c r="AY627" s="94">
        <v>1</v>
      </c>
      <c r="AZ627" s="94">
        <v>1</v>
      </c>
      <c r="BA627" s="94">
        <v>1</v>
      </c>
      <c r="BB627" s="64">
        <v>0.63000000000000012</v>
      </c>
      <c r="BD627" s="60">
        <v>-360.96</v>
      </c>
      <c r="BE627" s="60">
        <v>-1.5</v>
      </c>
      <c r="BF627" s="95">
        <v>-1.6</v>
      </c>
      <c r="BG627" s="95">
        <v>0</v>
      </c>
      <c r="BH627" s="95">
        <v>0</v>
      </c>
      <c r="BI627" s="8">
        <f t="shared" si="502"/>
        <v>-364.06</v>
      </c>
      <c r="BJ627" s="2" t="s">
        <v>91</v>
      </c>
      <c r="BL627" s="70">
        <v>-168750</v>
      </c>
      <c r="BM627" s="70">
        <v>-168750</v>
      </c>
      <c r="BO627" s="70">
        <v>0</v>
      </c>
      <c r="BP627" s="70">
        <v>0</v>
      </c>
      <c r="BQ627" s="72"/>
      <c r="BS627" s="61">
        <f t="shared" si="514"/>
        <v>9.6099999999999568</v>
      </c>
      <c r="BT627" s="61">
        <f t="shared" si="515"/>
        <v>0</v>
      </c>
      <c r="BU627" s="61">
        <f t="shared" si="516"/>
        <v>0</v>
      </c>
      <c r="BV627" s="61">
        <f t="shared" si="516"/>
        <v>0</v>
      </c>
      <c r="BW627" s="61">
        <f t="shared" si="516"/>
        <v>0</v>
      </c>
      <c r="BX627" s="61">
        <f t="shared" si="516"/>
        <v>9.6099999999999568</v>
      </c>
      <c r="BY627" s="61" t="s">
        <v>91</v>
      </c>
      <c r="CA627" s="61">
        <f t="shared" si="525"/>
        <v>0</v>
      </c>
      <c r="CB627" s="61">
        <f t="shared" si="525"/>
        <v>1.4457650067699648</v>
      </c>
      <c r="CC627" s="61">
        <f t="shared" si="525"/>
        <v>0</v>
      </c>
      <c r="CD627" s="61">
        <f t="shared" si="523"/>
        <v>1.4457650067699648</v>
      </c>
      <c r="CE627" s="61">
        <f t="shared" si="523"/>
        <v>0</v>
      </c>
      <c r="CF627" s="61">
        <f t="shared" si="523"/>
        <v>1.4457650067699648</v>
      </c>
      <c r="CG627" s="61">
        <f t="shared" si="523"/>
        <v>1.4457650067699648</v>
      </c>
      <c r="CH627" s="61">
        <f t="shared" si="489"/>
        <v>1.4457650067699648</v>
      </c>
      <c r="CI627" s="61">
        <f t="shared" si="504"/>
        <v>0.91083195426507801</v>
      </c>
      <c r="CJ627" s="61"/>
      <c r="CK627" s="61">
        <f t="shared" si="526"/>
        <v>0</v>
      </c>
      <c r="CL627" s="61">
        <f t="shared" si="526"/>
        <v>1.4457650067699648</v>
      </c>
      <c r="CM627" s="61">
        <f t="shared" si="526"/>
        <v>0</v>
      </c>
      <c r="CN627" s="61">
        <f t="shared" si="524"/>
        <v>1.4457650067699648</v>
      </c>
      <c r="CO627" s="61">
        <f t="shared" si="524"/>
        <v>0</v>
      </c>
      <c r="CP627" s="61">
        <f t="shared" si="524"/>
        <v>1.4457650067699648</v>
      </c>
      <c r="CQ627" s="61">
        <f t="shared" si="524"/>
        <v>1.4457650067699648</v>
      </c>
      <c r="CR627" s="61">
        <f t="shared" si="490"/>
        <v>1.4457650067699648</v>
      </c>
      <c r="CS627" s="61">
        <f t="shared" si="505"/>
        <v>0.91083195426507801</v>
      </c>
      <c r="CT627" s="61">
        <f t="shared" si="506"/>
        <v>6.0542999999999738</v>
      </c>
      <c r="CV627" s="61">
        <f t="shared" si="507"/>
        <v>-200000</v>
      </c>
      <c r="CW627" s="61">
        <f t="shared" si="508"/>
        <v>-200000</v>
      </c>
      <c r="CX627" s="61"/>
      <c r="CY627" s="61">
        <f t="shared" si="509"/>
        <v>0</v>
      </c>
      <c r="CZ627" s="61">
        <f t="shared" si="509"/>
        <v>0</v>
      </c>
      <c r="DA627" s="61">
        <f t="shared" si="509"/>
        <v>0</v>
      </c>
      <c r="DB627" s="2" t="s">
        <v>85</v>
      </c>
      <c r="DC627" s="2" t="s">
        <v>102</v>
      </c>
      <c r="DD627" s="2" t="s">
        <v>142</v>
      </c>
      <c r="DE627" s="2" t="s">
        <v>264</v>
      </c>
      <c r="DF627" s="3" t="s">
        <v>86</v>
      </c>
      <c r="DG627" s="62">
        <v>42961</v>
      </c>
      <c r="EC627" s="60"/>
      <c r="ED627" s="60"/>
      <c r="EE627" s="60"/>
      <c r="EF627" s="60"/>
    </row>
    <row r="628" spans="2:140" ht="12.75" hidden="1" customHeight="1">
      <c r="B628" s="99" t="s">
        <v>1136</v>
      </c>
      <c r="C628" s="22" t="s">
        <v>1134</v>
      </c>
      <c r="D628" s="22" t="s">
        <v>1131</v>
      </c>
      <c r="E628" s="2" t="s">
        <v>1005</v>
      </c>
      <c r="F628" s="2" t="s">
        <v>330</v>
      </c>
      <c r="G628" s="2" t="s">
        <v>331</v>
      </c>
      <c r="J628" s="22" t="s">
        <v>427</v>
      </c>
      <c r="K628" s="23" t="s">
        <v>1132</v>
      </c>
      <c r="L628" s="22" t="s">
        <v>120</v>
      </c>
      <c r="M628" s="51" t="str">
        <f t="shared" si="533"/>
        <v>JD8G-3B436-BB</v>
      </c>
      <c r="O628" s="22">
        <v>0</v>
      </c>
      <c r="P628" s="22">
        <v>1</v>
      </c>
      <c r="Q628" s="22">
        <v>0</v>
      </c>
      <c r="R628" s="22">
        <v>1</v>
      </c>
      <c r="S628" s="22">
        <v>0</v>
      </c>
      <c r="T628" s="22">
        <v>1</v>
      </c>
      <c r="U628" s="22">
        <v>1</v>
      </c>
      <c r="V628" s="22">
        <v>1</v>
      </c>
      <c r="W628" s="64">
        <v>0.63000000000000012</v>
      </c>
      <c r="Y628" s="8">
        <f>-351.35+16.01</f>
        <v>-335.34000000000003</v>
      </c>
      <c r="Z628" s="8">
        <v>-1.5</v>
      </c>
      <c r="AA628" s="8">
        <v>-1.6</v>
      </c>
      <c r="AB628" s="8">
        <v>0</v>
      </c>
      <c r="AC628" s="8">
        <v>0</v>
      </c>
      <c r="AD628" s="8">
        <f t="shared" ref="AD628" si="538">SUM(Y628:AC628)</f>
        <v>-338.44000000000005</v>
      </c>
      <c r="AE628" s="2" t="s">
        <v>91</v>
      </c>
      <c r="AG628" s="8">
        <v>-368750</v>
      </c>
      <c r="AH628" s="8">
        <v>-368750</v>
      </c>
      <c r="AI628" s="6"/>
      <c r="AJ628" s="70">
        <v>0</v>
      </c>
      <c r="AK628" s="70">
        <v>0</v>
      </c>
      <c r="AL628" s="72"/>
      <c r="AM628" s="22"/>
      <c r="AO628" s="22" t="s">
        <v>427</v>
      </c>
      <c r="AP628" s="23" t="s">
        <v>1132</v>
      </c>
      <c r="AQ628" s="22" t="s">
        <v>120</v>
      </c>
      <c r="AR628" s="51" t="str">
        <f t="shared" ref="AR628" si="539">TRIM(AO628)&amp;"-"&amp;TRIM(AP628)&amp;"-"&amp;TRIM(AQ628)</f>
        <v>JD8G-3B436-BB</v>
      </c>
      <c r="AS628" s="3"/>
      <c r="AT628" s="22">
        <v>0</v>
      </c>
      <c r="AU628" s="22">
        <v>1</v>
      </c>
      <c r="AV628" s="22">
        <v>0</v>
      </c>
      <c r="AW628" s="22">
        <v>1</v>
      </c>
      <c r="AX628" s="22">
        <v>0</v>
      </c>
      <c r="AY628" s="22">
        <v>1</v>
      </c>
      <c r="AZ628" s="22">
        <v>1</v>
      </c>
      <c r="BA628" s="22">
        <v>1</v>
      </c>
      <c r="BB628" s="64">
        <v>0.63000000000000012</v>
      </c>
      <c r="BD628" s="8">
        <v>-351.35</v>
      </c>
      <c r="BE628" s="8">
        <v>-1.5</v>
      </c>
      <c r="BF628" s="8">
        <v>-1.6</v>
      </c>
      <c r="BG628" s="8">
        <v>0</v>
      </c>
      <c r="BH628" s="8">
        <v>0</v>
      </c>
      <c r="BI628" s="8">
        <f t="shared" ref="BI628" si="540">SUM(BD628:BH628)</f>
        <v>-354.45000000000005</v>
      </c>
      <c r="BJ628" s="2" t="s">
        <v>91</v>
      </c>
      <c r="BL628" s="8">
        <v>-368750</v>
      </c>
      <c r="BM628" s="8">
        <v>-368750</v>
      </c>
      <c r="BO628" s="70">
        <v>0</v>
      </c>
      <c r="BP628" s="70">
        <v>0</v>
      </c>
      <c r="BQ628" s="72"/>
      <c r="BS628" s="61">
        <f t="shared" si="514"/>
        <v>16.009999999999991</v>
      </c>
      <c r="BT628" s="61">
        <f t="shared" si="515"/>
        <v>0</v>
      </c>
      <c r="BU628" s="61">
        <f t="shared" si="516"/>
        <v>0</v>
      </c>
      <c r="BV628" s="61">
        <f t="shared" si="516"/>
        <v>0</v>
      </c>
      <c r="BW628" s="61">
        <f t="shared" si="516"/>
        <v>0</v>
      </c>
      <c r="BX628" s="61">
        <f t="shared" si="516"/>
        <v>16.009999999999991</v>
      </c>
      <c r="BY628" s="61" t="s">
        <v>91</v>
      </c>
      <c r="CA628" s="61">
        <f t="shared" si="525"/>
        <v>0</v>
      </c>
      <c r="CB628" s="61">
        <f t="shared" si="525"/>
        <v>2.4086053858883694</v>
      </c>
      <c r="CC628" s="61">
        <f t="shared" si="525"/>
        <v>0</v>
      </c>
      <c r="CD628" s="61">
        <f t="shared" si="523"/>
        <v>2.4086053858883694</v>
      </c>
      <c r="CE628" s="61">
        <f t="shared" si="523"/>
        <v>0</v>
      </c>
      <c r="CF628" s="61">
        <f t="shared" si="523"/>
        <v>2.4086053858883694</v>
      </c>
      <c r="CG628" s="61">
        <f t="shared" si="523"/>
        <v>2.4086053858883694</v>
      </c>
      <c r="CH628" s="61">
        <f t="shared" si="489"/>
        <v>2.4086053858883694</v>
      </c>
      <c r="CI628" s="61">
        <f t="shared" si="504"/>
        <v>1.5174213931096729</v>
      </c>
      <c r="CJ628" s="61"/>
      <c r="CK628" s="61">
        <f t="shared" si="526"/>
        <v>0</v>
      </c>
      <c r="CL628" s="61">
        <f t="shared" si="526"/>
        <v>2.4086053858883694</v>
      </c>
      <c r="CM628" s="61">
        <f t="shared" si="526"/>
        <v>0</v>
      </c>
      <c r="CN628" s="61">
        <f t="shared" si="524"/>
        <v>2.4086053858883694</v>
      </c>
      <c r="CO628" s="61">
        <f t="shared" si="524"/>
        <v>0</v>
      </c>
      <c r="CP628" s="61">
        <f t="shared" si="524"/>
        <v>2.4086053858883694</v>
      </c>
      <c r="CQ628" s="61">
        <f t="shared" si="524"/>
        <v>2.4086053858883694</v>
      </c>
      <c r="CR628" s="61">
        <f t="shared" si="490"/>
        <v>2.4086053858883694</v>
      </c>
      <c r="CS628" s="61">
        <f t="shared" si="505"/>
        <v>1.5174213931096729</v>
      </c>
      <c r="CT628" s="61">
        <f t="shared" si="506"/>
        <v>10.086299999999996</v>
      </c>
      <c r="CV628" s="61">
        <f t="shared" ref="CV628" si="541">SUM(AG628)-SUM(BL628)</f>
        <v>0</v>
      </c>
      <c r="CW628" s="61">
        <f t="shared" ref="CW628" si="542">SUM(AH628)-SUM(BM628)</f>
        <v>0</v>
      </c>
      <c r="CX628" s="61"/>
      <c r="CY628" s="61">
        <f t="shared" si="509"/>
        <v>0</v>
      </c>
      <c r="CZ628" s="61">
        <f t="shared" si="509"/>
        <v>0</v>
      </c>
      <c r="DA628" s="61">
        <f t="shared" si="509"/>
        <v>0</v>
      </c>
      <c r="DB628" s="2" t="s">
        <v>86</v>
      </c>
      <c r="DC628" s="2" t="s">
        <v>85</v>
      </c>
      <c r="DD628" s="2" t="s">
        <v>142</v>
      </c>
      <c r="DE628" s="2" t="s">
        <v>106</v>
      </c>
      <c r="DG628" s="62"/>
      <c r="DZ628" s="3" t="e">
        <v>#N/A</v>
      </c>
      <c r="EC628" s="60" t="str">
        <f>VLOOKUP($M628,[1]Detail!$M:$BO,1,0)</f>
        <v>JD8G-3B436-BB</v>
      </c>
      <c r="ED628" s="60">
        <f>VLOOKUP($M628,[1]Detail!$M:$BO,22,0)</f>
        <v>-338.44000000000005</v>
      </c>
      <c r="EE628" s="60">
        <f>VLOOKUP($M628,[1]Detail!$M:$BO,42,0)</f>
        <v>-368750</v>
      </c>
      <c r="EF628" s="60">
        <f>VLOOKUP($M628,[1]Detail!$M:$BO,45,0)</f>
        <v>0</v>
      </c>
      <c r="EH628" s="60">
        <f t="shared" ref="EH628:EH630" si="543">ED628-AD628</f>
        <v>0</v>
      </c>
      <c r="EI628" s="60">
        <f t="shared" ref="EI628:EI630" si="544">EE628-AG628</f>
        <v>0</v>
      </c>
      <c r="EJ628" s="60">
        <f t="shared" ref="EJ628:EJ630" si="545">EF628-AJ628</f>
        <v>0</v>
      </c>
    </row>
    <row r="629" spans="2:140" ht="12.75" hidden="1" customHeight="1">
      <c r="B629" s="99" t="s">
        <v>1137</v>
      </c>
      <c r="C629" s="22" t="s">
        <v>1138</v>
      </c>
      <c r="D629" s="22" t="s">
        <v>1139</v>
      </c>
      <c r="E629" s="2" t="s">
        <v>1140</v>
      </c>
      <c r="F629" s="2" t="s">
        <v>330</v>
      </c>
      <c r="G629" s="2" t="s">
        <v>1087</v>
      </c>
      <c r="J629" s="22" t="s">
        <v>1141</v>
      </c>
      <c r="K629" s="23" t="s">
        <v>1142</v>
      </c>
      <c r="L629" s="22" t="s">
        <v>446</v>
      </c>
      <c r="M629" s="51" t="str">
        <f t="shared" si="533"/>
        <v>AV61-R10525-AE</v>
      </c>
      <c r="O629" s="22">
        <v>1</v>
      </c>
      <c r="P629" s="22"/>
      <c r="Q629" s="22">
        <v>1</v>
      </c>
      <c r="R629" s="22"/>
      <c r="S629" s="22">
        <v>1</v>
      </c>
      <c r="T629" s="22"/>
      <c r="U629" s="22"/>
      <c r="V629" s="22"/>
      <c r="W629" s="64">
        <f>SUMPRODUCT(O629:V629,$O$6:$V$6)</f>
        <v>0.37</v>
      </c>
      <c r="Y629" s="8">
        <v>-70.45</v>
      </c>
      <c r="Z629" s="8">
        <v>-1.44</v>
      </c>
      <c r="AA629" s="8">
        <v>-0.96</v>
      </c>
      <c r="AB629" s="8">
        <v>0</v>
      </c>
      <c r="AC629" s="8">
        <v>0</v>
      </c>
      <c r="AD629" s="8">
        <f t="shared" si="498"/>
        <v>-72.849999999999994</v>
      </c>
      <c r="AE629" s="2" t="s">
        <v>84</v>
      </c>
      <c r="AG629" s="8"/>
      <c r="AH629" s="8"/>
      <c r="AJ629" s="70"/>
      <c r="AK629" s="70"/>
      <c r="AL629" s="72"/>
      <c r="AM629" s="22"/>
      <c r="AO629" s="22" t="s">
        <v>1141</v>
      </c>
      <c r="AP629" s="23" t="s">
        <v>1142</v>
      </c>
      <c r="AQ629" s="22" t="s">
        <v>446</v>
      </c>
      <c r="AR629" s="51" t="str">
        <f>TRIM(AO629)&amp;"-"&amp;TRIM(AP629)&amp;"-"&amp;TRIM(AQ629)</f>
        <v>AV61-R10525-AE</v>
      </c>
      <c r="AS629" s="3"/>
      <c r="AT629" s="22">
        <v>1</v>
      </c>
      <c r="AU629" s="22"/>
      <c r="AV629" s="22">
        <v>1</v>
      </c>
      <c r="AW629" s="22"/>
      <c r="AX629" s="22">
        <v>1</v>
      </c>
      <c r="AY629" s="22"/>
      <c r="AZ629" s="22"/>
      <c r="BA629" s="22"/>
      <c r="BB629" s="64">
        <f>SUMPRODUCT(AT629:BA629,$O$6:$V$6)</f>
        <v>0.37</v>
      </c>
      <c r="BD629" s="60">
        <v>-70.45</v>
      </c>
      <c r="BE629" s="60">
        <v>-1.44</v>
      </c>
      <c r="BF629" s="60">
        <v>-0.96</v>
      </c>
      <c r="BG629" s="60">
        <v>0</v>
      </c>
      <c r="BH629" s="60">
        <v>0</v>
      </c>
      <c r="BI629" s="8">
        <f t="shared" si="502"/>
        <v>-72.849999999999994</v>
      </c>
      <c r="BJ629" s="2" t="s">
        <v>84</v>
      </c>
      <c r="BL629" s="70"/>
      <c r="BM629" s="70"/>
      <c r="BO629" s="70"/>
      <c r="BP629" s="70"/>
      <c r="BQ629" s="72"/>
      <c r="BS629" s="61">
        <f t="shared" si="514"/>
        <v>0</v>
      </c>
      <c r="BT629" s="61">
        <f t="shared" si="515"/>
        <v>0</v>
      </c>
      <c r="BU629" s="61">
        <f t="shared" si="516"/>
        <v>0</v>
      </c>
      <c r="BV629" s="61">
        <f t="shared" si="516"/>
        <v>0</v>
      </c>
      <c r="BW629" s="61">
        <f t="shared" si="516"/>
        <v>0</v>
      </c>
      <c r="BX629" s="61">
        <f t="shared" si="516"/>
        <v>0</v>
      </c>
      <c r="BY629" s="61" t="s">
        <v>91</v>
      </c>
      <c r="CA629" s="61">
        <f t="shared" si="525"/>
        <v>0</v>
      </c>
      <c r="CB629" s="61">
        <f t="shared" si="525"/>
        <v>0</v>
      </c>
      <c r="CC629" s="61">
        <f t="shared" si="525"/>
        <v>0</v>
      </c>
      <c r="CD629" s="61">
        <f t="shared" si="523"/>
        <v>0</v>
      </c>
      <c r="CE629" s="61">
        <f t="shared" si="523"/>
        <v>0</v>
      </c>
      <c r="CF629" s="61">
        <f t="shared" si="523"/>
        <v>0</v>
      </c>
      <c r="CG629" s="61">
        <f t="shared" si="523"/>
        <v>0</v>
      </c>
      <c r="CH629" s="61">
        <f t="shared" si="489"/>
        <v>0</v>
      </c>
      <c r="CI629" s="61">
        <f t="shared" si="504"/>
        <v>0</v>
      </c>
      <c r="CJ629" s="61"/>
      <c r="CK629" s="61">
        <f t="shared" si="526"/>
        <v>0</v>
      </c>
      <c r="CL629" s="61">
        <f t="shared" si="526"/>
        <v>0</v>
      </c>
      <c r="CM629" s="61">
        <f t="shared" si="526"/>
        <v>0</v>
      </c>
      <c r="CN629" s="61">
        <f t="shared" si="524"/>
        <v>0</v>
      </c>
      <c r="CO629" s="61">
        <f t="shared" si="524"/>
        <v>0</v>
      </c>
      <c r="CP629" s="61">
        <f t="shared" si="524"/>
        <v>0</v>
      </c>
      <c r="CQ629" s="61">
        <f t="shared" si="524"/>
        <v>0</v>
      </c>
      <c r="CR629" s="61">
        <f t="shared" si="490"/>
        <v>0</v>
      </c>
      <c r="CS629" s="61">
        <f t="shared" si="505"/>
        <v>0</v>
      </c>
      <c r="CT629" s="61">
        <f t="shared" si="506"/>
        <v>0</v>
      </c>
      <c r="CV629" s="61">
        <f t="shared" si="507"/>
        <v>0</v>
      </c>
      <c r="CW629" s="61">
        <f t="shared" si="508"/>
        <v>0</v>
      </c>
      <c r="CX629" s="61"/>
      <c r="CY629" s="61">
        <f t="shared" si="509"/>
        <v>0</v>
      </c>
      <c r="CZ629" s="61">
        <f t="shared" si="509"/>
        <v>0</v>
      </c>
      <c r="DA629" s="61">
        <f t="shared" si="509"/>
        <v>0</v>
      </c>
      <c r="DB629" s="2" t="s">
        <v>86</v>
      </c>
      <c r="DC629" s="2" t="s">
        <v>85</v>
      </c>
      <c r="DD629" s="2" t="s">
        <v>142</v>
      </c>
      <c r="DE629" s="2" t="s">
        <v>264</v>
      </c>
      <c r="DG629" s="62"/>
      <c r="DZ629" s="3" t="e">
        <v>#N/A</v>
      </c>
      <c r="EC629" s="60" t="str">
        <f>VLOOKUP($M629,[1]Detail!$M:$BO,1,0)</f>
        <v>AV61-R10525-AE</v>
      </c>
      <c r="ED629" s="60">
        <f>VLOOKUP($M629,[1]Detail!$M:$BO,22,0)</f>
        <v>-72.849999999999994</v>
      </c>
      <c r="EE629" s="60">
        <f>VLOOKUP($M629,[1]Detail!$M:$BO,42,0)</f>
        <v>0</v>
      </c>
      <c r="EF629" s="60">
        <f>VLOOKUP($M629,[1]Detail!$M:$BO,45,0)</f>
        <v>0</v>
      </c>
      <c r="EH629" s="60">
        <f t="shared" si="543"/>
        <v>0</v>
      </c>
      <c r="EI629" s="60">
        <f t="shared" si="544"/>
        <v>0</v>
      </c>
      <c r="EJ629" s="60">
        <f t="shared" si="545"/>
        <v>0</v>
      </c>
    </row>
    <row r="630" spans="2:140" ht="12.75" hidden="1" customHeight="1">
      <c r="B630" s="99" t="s">
        <v>1137</v>
      </c>
      <c r="C630" s="22" t="s">
        <v>1138</v>
      </c>
      <c r="D630" s="22" t="s">
        <v>1139</v>
      </c>
      <c r="E630" s="2" t="s">
        <v>1140</v>
      </c>
      <c r="F630" s="2" t="s">
        <v>330</v>
      </c>
      <c r="G630" s="2" t="s">
        <v>1087</v>
      </c>
      <c r="J630" s="22" t="s">
        <v>126</v>
      </c>
      <c r="K630" s="23" t="s">
        <v>1143</v>
      </c>
      <c r="L630" s="22" t="s">
        <v>100</v>
      </c>
      <c r="M630" s="51" t="str">
        <f t="shared" si="533"/>
        <v>JD8B-R10525-AA</v>
      </c>
      <c r="O630" s="22"/>
      <c r="P630" s="22">
        <v>1</v>
      </c>
      <c r="Q630" s="22"/>
      <c r="R630" s="22">
        <v>1</v>
      </c>
      <c r="S630" s="22"/>
      <c r="T630" s="22">
        <v>1</v>
      </c>
      <c r="U630" s="22">
        <v>1</v>
      </c>
      <c r="V630" s="22">
        <v>1</v>
      </c>
      <c r="W630" s="64">
        <f>SUMPRODUCT(O630:V630,$O$6:$V$6)</f>
        <v>0.63000000000000012</v>
      </c>
      <c r="Y630" s="8">
        <v>-70.17</v>
      </c>
      <c r="Z630" s="8">
        <v>-1.44</v>
      </c>
      <c r="AA630" s="8">
        <v>-0.96</v>
      </c>
      <c r="AB630" s="8">
        <v>0</v>
      </c>
      <c r="AC630" s="8">
        <v>0</v>
      </c>
      <c r="AD630" s="8">
        <f t="shared" si="498"/>
        <v>-72.569999999999993</v>
      </c>
      <c r="AE630" s="2" t="s">
        <v>84</v>
      </c>
      <c r="AG630" s="8"/>
      <c r="AH630" s="8"/>
      <c r="AJ630" s="70"/>
      <c r="AK630" s="70"/>
      <c r="AL630" s="72"/>
      <c r="AM630" s="22"/>
      <c r="AO630" s="22" t="s">
        <v>1141</v>
      </c>
      <c r="AP630" s="23" t="s">
        <v>1142</v>
      </c>
      <c r="AQ630" s="22" t="s">
        <v>446</v>
      </c>
      <c r="AR630" s="51" t="str">
        <f>TRIM(AO630)&amp;"-"&amp;TRIM(AP630)&amp;"-"&amp;TRIM(AQ630)</f>
        <v>AV61-R10525-AE</v>
      </c>
      <c r="AS630" s="3"/>
      <c r="AT630" s="22"/>
      <c r="AU630" s="22">
        <v>1</v>
      </c>
      <c r="AV630" s="22"/>
      <c r="AW630" s="22">
        <v>1</v>
      </c>
      <c r="AX630" s="22"/>
      <c r="AY630" s="22">
        <v>1</v>
      </c>
      <c r="AZ630" s="22">
        <v>1</v>
      </c>
      <c r="BA630" s="22">
        <v>1</v>
      </c>
      <c r="BB630" s="64">
        <f>SUMPRODUCT(AT630:BA630,$O$6:$V$6)</f>
        <v>0.63000000000000012</v>
      </c>
      <c r="BD630" s="60">
        <v>-70.17</v>
      </c>
      <c r="BE630" s="60">
        <v>-1.44</v>
      </c>
      <c r="BF630" s="60">
        <v>-0.96</v>
      </c>
      <c r="BG630" s="60">
        <v>0</v>
      </c>
      <c r="BH630" s="60">
        <v>0</v>
      </c>
      <c r="BI630" s="8">
        <f t="shared" ref="BI630:BI665" si="546">SUM(BD630:BH630)</f>
        <v>-72.569999999999993</v>
      </c>
      <c r="BJ630" s="2" t="s">
        <v>84</v>
      </c>
      <c r="BL630" s="70"/>
      <c r="BM630" s="70"/>
      <c r="BO630" s="70"/>
      <c r="BP630" s="70"/>
      <c r="BQ630" s="72"/>
      <c r="BS630" s="61">
        <f t="shared" si="514"/>
        <v>0</v>
      </c>
      <c r="BT630" s="61">
        <f t="shared" si="515"/>
        <v>0</v>
      </c>
      <c r="BU630" s="61">
        <f t="shared" si="516"/>
        <v>0</v>
      </c>
      <c r="BV630" s="61">
        <f t="shared" si="516"/>
        <v>0</v>
      </c>
      <c r="BW630" s="61">
        <f t="shared" si="516"/>
        <v>0</v>
      </c>
      <c r="BX630" s="61">
        <f t="shared" si="516"/>
        <v>0</v>
      </c>
      <c r="BY630" s="61" t="s">
        <v>91</v>
      </c>
      <c r="CA630" s="61">
        <f t="shared" si="525"/>
        <v>0</v>
      </c>
      <c r="CB630" s="61">
        <f t="shared" si="525"/>
        <v>0</v>
      </c>
      <c r="CC630" s="61">
        <f t="shared" si="525"/>
        <v>0</v>
      </c>
      <c r="CD630" s="61">
        <f t="shared" si="523"/>
        <v>0</v>
      </c>
      <c r="CE630" s="61">
        <f t="shared" si="523"/>
        <v>0</v>
      </c>
      <c r="CF630" s="61">
        <f t="shared" si="523"/>
        <v>0</v>
      </c>
      <c r="CG630" s="61">
        <f t="shared" si="523"/>
        <v>0</v>
      </c>
      <c r="CH630" s="61">
        <f t="shared" si="489"/>
        <v>0</v>
      </c>
      <c r="CI630" s="61">
        <f t="shared" si="504"/>
        <v>0</v>
      </c>
      <c r="CJ630" s="61"/>
      <c r="CK630" s="61">
        <f t="shared" si="526"/>
        <v>0</v>
      </c>
      <c r="CL630" s="61">
        <f t="shared" si="526"/>
        <v>0</v>
      </c>
      <c r="CM630" s="61">
        <f t="shared" si="526"/>
        <v>0</v>
      </c>
      <c r="CN630" s="61">
        <f t="shared" si="524"/>
        <v>0</v>
      </c>
      <c r="CO630" s="61">
        <f t="shared" si="524"/>
        <v>0</v>
      </c>
      <c r="CP630" s="61">
        <f t="shared" si="524"/>
        <v>0</v>
      </c>
      <c r="CQ630" s="61">
        <f t="shared" si="524"/>
        <v>0</v>
      </c>
      <c r="CR630" s="61">
        <f t="shared" si="490"/>
        <v>0</v>
      </c>
      <c r="CS630" s="61">
        <f t="shared" si="505"/>
        <v>0</v>
      </c>
      <c r="CT630" s="61">
        <f t="shared" si="506"/>
        <v>0</v>
      </c>
      <c r="CV630" s="61">
        <f t="shared" si="507"/>
        <v>0</v>
      </c>
      <c r="CW630" s="61">
        <f t="shared" si="508"/>
        <v>0</v>
      </c>
      <c r="CX630" s="61"/>
      <c r="CY630" s="61">
        <f t="shared" si="509"/>
        <v>0</v>
      </c>
      <c r="CZ630" s="61">
        <f t="shared" si="509"/>
        <v>0</v>
      </c>
      <c r="DA630" s="61">
        <f t="shared" si="509"/>
        <v>0</v>
      </c>
      <c r="DB630" s="2" t="s">
        <v>86</v>
      </c>
      <c r="DC630" s="2" t="s">
        <v>85</v>
      </c>
      <c r="DD630" s="2" t="s">
        <v>142</v>
      </c>
      <c r="DE630" s="2" t="s">
        <v>264</v>
      </c>
      <c r="DG630" s="62"/>
      <c r="DZ630" s="3" t="e">
        <v>#N/A</v>
      </c>
      <c r="EC630" s="60" t="str">
        <f>VLOOKUP($M630,[1]Detail!$M:$BO,1,0)</f>
        <v>JD8B-R10525-AA</v>
      </c>
      <c r="ED630" s="60">
        <f>VLOOKUP($M630,[1]Detail!$M:$BO,22,0)</f>
        <v>-72.569999999999993</v>
      </c>
      <c r="EE630" s="60">
        <f>VLOOKUP($M630,[1]Detail!$M:$BO,42,0)</f>
        <v>0</v>
      </c>
      <c r="EF630" s="60">
        <f>VLOOKUP($M630,[1]Detail!$M:$BO,45,0)</f>
        <v>0</v>
      </c>
      <c r="EH630" s="60">
        <f t="shared" si="543"/>
        <v>0</v>
      </c>
      <c r="EI630" s="60">
        <f t="shared" si="544"/>
        <v>0</v>
      </c>
      <c r="EJ630" s="60">
        <f t="shared" si="545"/>
        <v>0</v>
      </c>
    </row>
    <row r="631" spans="2:140" ht="12.75" hidden="1" customHeight="1">
      <c r="B631" s="99" t="s">
        <v>1144</v>
      </c>
      <c r="C631" s="2" t="s">
        <v>1034</v>
      </c>
      <c r="D631" s="2" t="s">
        <v>1035</v>
      </c>
      <c r="E631" s="2" t="s">
        <v>993</v>
      </c>
      <c r="F631" s="2" t="s">
        <v>969</v>
      </c>
      <c r="G631" s="2" t="s">
        <v>331</v>
      </c>
      <c r="J631" s="22" t="s">
        <v>138</v>
      </c>
      <c r="K631" s="23" t="s">
        <v>1042</v>
      </c>
      <c r="L631" s="22" t="s">
        <v>203</v>
      </c>
      <c r="M631" s="51" t="s">
        <v>1145</v>
      </c>
      <c r="O631" s="22"/>
      <c r="P631" s="22"/>
      <c r="Q631" s="22"/>
      <c r="R631" s="22"/>
      <c r="S631" s="22"/>
      <c r="T631" s="22"/>
      <c r="U631" s="22">
        <v>1</v>
      </c>
      <c r="V631" s="22">
        <v>1</v>
      </c>
      <c r="W631" s="64">
        <v>0.1</v>
      </c>
      <c r="Y631" s="8">
        <v>-2148.4560000000001</v>
      </c>
      <c r="Z631" s="8">
        <v>0</v>
      </c>
      <c r="AA631" s="8">
        <v>0</v>
      </c>
      <c r="AB631" s="8">
        <v>0</v>
      </c>
      <c r="AC631" s="8">
        <v>-6.5039999999999996</v>
      </c>
      <c r="AD631" s="8">
        <f t="shared" si="498"/>
        <v>-2154.96</v>
      </c>
      <c r="AE631" s="2" t="s">
        <v>84</v>
      </c>
      <c r="AG631" s="8"/>
      <c r="AH631" s="8"/>
      <c r="AJ631" s="70"/>
      <c r="AK631" s="70"/>
      <c r="AL631" s="72"/>
      <c r="AM631" s="22"/>
      <c r="AO631" s="22" t="s">
        <v>138</v>
      </c>
      <c r="AP631" s="23" t="s">
        <v>1042</v>
      </c>
      <c r="AQ631" s="22" t="s">
        <v>203</v>
      </c>
      <c r="AR631" s="51" t="s">
        <v>1145</v>
      </c>
      <c r="AS631" s="3"/>
      <c r="AT631" s="22"/>
      <c r="AU631" s="22"/>
      <c r="AV631" s="22"/>
      <c r="AW631" s="22"/>
      <c r="AX631" s="22"/>
      <c r="AY631" s="22"/>
      <c r="AZ631" s="22">
        <v>1</v>
      </c>
      <c r="BA631" s="22">
        <v>1</v>
      </c>
      <c r="BB631" s="64">
        <v>0.1</v>
      </c>
      <c r="BD631" s="60">
        <v>-2148.4560000000001</v>
      </c>
      <c r="BE631" s="60">
        <v>0</v>
      </c>
      <c r="BF631" s="95">
        <v>0</v>
      </c>
      <c r="BG631" s="95">
        <v>0</v>
      </c>
      <c r="BH631" s="95">
        <v>-6.5039999999999996</v>
      </c>
      <c r="BI631" s="8">
        <f t="shared" si="546"/>
        <v>-2154.96</v>
      </c>
      <c r="BJ631" s="2" t="s">
        <v>91</v>
      </c>
      <c r="BL631" s="70"/>
      <c r="BM631" s="70"/>
      <c r="BO631" s="70"/>
      <c r="BP631" s="70"/>
      <c r="BQ631" s="72"/>
      <c r="BS631" s="61">
        <f t="shared" si="514"/>
        <v>0</v>
      </c>
      <c r="BT631" s="61">
        <f t="shared" si="515"/>
        <v>0</v>
      </c>
      <c r="BU631" s="61">
        <f t="shared" si="516"/>
        <v>0</v>
      </c>
      <c r="BV631" s="61">
        <f t="shared" si="516"/>
        <v>0</v>
      </c>
      <c r="BW631" s="61">
        <f t="shared" si="516"/>
        <v>0</v>
      </c>
      <c r="BX631" s="61">
        <f t="shared" si="516"/>
        <v>0</v>
      </c>
      <c r="BY631" s="61" t="s">
        <v>91</v>
      </c>
      <c r="CA631" s="61">
        <f t="shared" si="525"/>
        <v>0</v>
      </c>
      <c r="CB631" s="61">
        <f t="shared" si="525"/>
        <v>0</v>
      </c>
      <c r="CC631" s="61">
        <f t="shared" si="525"/>
        <v>0</v>
      </c>
      <c r="CD631" s="61">
        <f t="shared" si="523"/>
        <v>0</v>
      </c>
      <c r="CE631" s="61">
        <f t="shared" si="523"/>
        <v>0</v>
      </c>
      <c r="CF631" s="61">
        <f t="shared" si="523"/>
        <v>0</v>
      </c>
      <c r="CG631" s="61">
        <f t="shared" si="523"/>
        <v>0</v>
      </c>
      <c r="CH631" s="61">
        <f t="shared" si="489"/>
        <v>0</v>
      </c>
      <c r="CI631" s="61">
        <f t="shared" si="504"/>
        <v>0</v>
      </c>
      <c r="CJ631" s="61"/>
      <c r="CK631" s="61">
        <f t="shared" si="526"/>
        <v>0</v>
      </c>
      <c r="CL631" s="61">
        <f t="shared" si="526"/>
        <v>0</v>
      </c>
      <c r="CM631" s="61">
        <f t="shared" si="526"/>
        <v>0</v>
      </c>
      <c r="CN631" s="61">
        <f t="shared" si="524"/>
        <v>0</v>
      </c>
      <c r="CO631" s="61">
        <f t="shared" si="524"/>
        <v>0</v>
      </c>
      <c r="CP631" s="61">
        <f t="shared" si="524"/>
        <v>0</v>
      </c>
      <c r="CQ631" s="61">
        <f t="shared" si="524"/>
        <v>0</v>
      </c>
      <c r="CR631" s="61">
        <f t="shared" si="490"/>
        <v>0</v>
      </c>
      <c r="CS631" s="61">
        <f t="shared" si="505"/>
        <v>0</v>
      </c>
      <c r="CT631" s="61">
        <f t="shared" si="506"/>
        <v>0</v>
      </c>
      <c r="CV631" s="61">
        <f t="shared" si="507"/>
        <v>0</v>
      </c>
      <c r="CW631" s="61">
        <f t="shared" si="508"/>
        <v>0</v>
      </c>
      <c r="CX631" s="61"/>
      <c r="CY631" s="61">
        <f t="shared" si="509"/>
        <v>0</v>
      </c>
      <c r="CZ631" s="61">
        <f t="shared" si="509"/>
        <v>0</v>
      </c>
      <c r="DA631" s="61">
        <f t="shared" si="509"/>
        <v>0</v>
      </c>
      <c r="DB631" s="2" t="s">
        <v>85</v>
      </c>
      <c r="DC631" s="2" t="s">
        <v>85</v>
      </c>
      <c r="DD631" s="2" t="s">
        <v>142</v>
      </c>
      <c r="DE631" s="2" t="s">
        <v>1146</v>
      </c>
      <c r="DG631" s="62"/>
      <c r="EC631" s="60"/>
      <c r="ED631" s="60"/>
      <c r="EE631" s="60"/>
      <c r="EF631" s="60"/>
    </row>
    <row r="632" spans="2:140" ht="12.75" hidden="1" customHeight="1">
      <c r="B632" s="99" t="s">
        <v>1144</v>
      </c>
      <c r="C632" s="2" t="s">
        <v>1034</v>
      </c>
      <c r="D632" s="2" t="s">
        <v>1035</v>
      </c>
      <c r="E632" s="2" t="s">
        <v>993</v>
      </c>
      <c r="F632" s="2" t="s">
        <v>969</v>
      </c>
      <c r="G632" s="2" t="s">
        <v>331</v>
      </c>
      <c r="J632" s="22" t="s">
        <v>138</v>
      </c>
      <c r="K632" s="23" t="s">
        <v>1042</v>
      </c>
      <c r="L632" s="22" t="s">
        <v>206</v>
      </c>
      <c r="M632" s="51" t="s">
        <v>1147</v>
      </c>
      <c r="O632" s="22"/>
      <c r="P632" s="22"/>
      <c r="Q632" s="22"/>
      <c r="R632" s="22"/>
      <c r="S632" s="22">
        <v>1</v>
      </c>
      <c r="T632" s="22">
        <v>1</v>
      </c>
      <c r="U632" s="22"/>
      <c r="V632" s="22"/>
      <c r="W632" s="64">
        <v>0.23</v>
      </c>
      <c r="Y632" s="8">
        <v>-1514.7260000000001</v>
      </c>
      <c r="Z632" s="8">
        <v>0</v>
      </c>
      <c r="AA632" s="8">
        <v>0</v>
      </c>
      <c r="AB632" s="8">
        <v>0</v>
      </c>
      <c r="AC632" s="8">
        <v>-6.5039999999999996</v>
      </c>
      <c r="AD632" s="8">
        <f t="shared" si="498"/>
        <v>-1521.23</v>
      </c>
      <c r="AE632" s="2" t="s">
        <v>84</v>
      </c>
      <c r="AG632" s="8"/>
      <c r="AH632" s="8"/>
      <c r="AJ632" s="70"/>
      <c r="AK632" s="70"/>
      <c r="AL632" s="72"/>
      <c r="AM632" s="22"/>
      <c r="AO632" s="22" t="s">
        <v>138</v>
      </c>
      <c r="AP632" s="23" t="s">
        <v>1042</v>
      </c>
      <c r="AQ632" s="22" t="s">
        <v>206</v>
      </c>
      <c r="AR632" s="51" t="s">
        <v>1147</v>
      </c>
      <c r="AS632" s="3"/>
      <c r="AT632" s="22"/>
      <c r="AU632" s="22"/>
      <c r="AV632" s="22"/>
      <c r="AW632" s="22"/>
      <c r="AX632" s="22">
        <v>1</v>
      </c>
      <c r="AY632" s="22">
        <v>1</v>
      </c>
      <c r="AZ632" s="22"/>
      <c r="BA632" s="22"/>
      <c r="BB632" s="64">
        <v>0.23</v>
      </c>
      <c r="BD632" s="60">
        <v>-1514.7260000000001</v>
      </c>
      <c r="BE632" s="60">
        <v>0</v>
      </c>
      <c r="BF632" s="95">
        <v>0</v>
      </c>
      <c r="BG632" s="95">
        <v>0</v>
      </c>
      <c r="BH632" s="95">
        <v>-6.5039999999999996</v>
      </c>
      <c r="BI632" s="8">
        <f t="shared" si="546"/>
        <v>-1521.23</v>
      </c>
      <c r="BJ632" s="2" t="s">
        <v>91</v>
      </c>
      <c r="BL632" s="70"/>
      <c r="BM632" s="70"/>
      <c r="BO632" s="70"/>
      <c r="BP632" s="70"/>
      <c r="BQ632" s="72"/>
      <c r="BS632" s="61">
        <f t="shared" si="514"/>
        <v>0</v>
      </c>
      <c r="BT632" s="61">
        <f t="shared" si="515"/>
        <v>0</v>
      </c>
      <c r="BU632" s="61">
        <f t="shared" si="516"/>
        <v>0</v>
      </c>
      <c r="BV632" s="61">
        <f t="shared" si="516"/>
        <v>0</v>
      </c>
      <c r="BW632" s="61">
        <f t="shared" si="516"/>
        <v>0</v>
      </c>
      <c r="BX632" s="61">
        <f t="shared" si="516"/>
        <v>0</v>
      </c>
      <c r="BY632" s="61" t="s">
        <v>91</v>
      </c>
      <c r="CA632" s="61">
        <f t="shared" si="525"/>
        <v>0</v>
      </c>
      <c r="CB632" s="61">
        <f t="shared" si="525"/>
        <v>0</v>
      </c>
      <c r="CC632" s="61">
        <f t="shared" si="525"/>
        <v>0</v>
      </c>
      <c r="CD632" s="61">
        <f t="shared" si="523"/>
        <v>0</v>
      </c>
      <c r="CE632" s="61">
        <f t="shared" si="523"/>
        <v>0</v>
      </c>
      <c r="CF632" s="61">
        <f t="shared" si="523"/>
        <v>0</v>
      </c>
      <c r="CG632" s="61">
        <f t="shared" si="523"/>
        <v>0</v>
      </c>
      <c r="CH632" s="61">
        <f t="shared" si="489"/>
        <v>0</v>
      </c>
      <c r="CI632" s="61">
        <f t="shared" si="504"/>
        <v>0</v>
      </c>
      <c r="CJ632" s="61"/>
      <c r="CK632" s="61">
        <f t="shared" si="526"/>
        <v>0</v>
      </c>
      <c r="CL632" s="61">
        <f t="shared" si="526"/>
        <v>0</v>
      </c>
      <c r="CM632" s="61">
        <f t="shared" si="526"/>
        <v>0</v>
      </c>
      <c r="CN632" s="61">
        <f t="shared" si="524"/>
        <v>0</v>
      </c>
      <c r="CO632" s="61">
        <f t="shared" si="524"/>
        <v>0</v>
      </c>
      <c r="CP632" s="61">
        <f t="shared" si="524"/>
        <v>0</v>
      </c>
      <c r="CQ632" s="61">
        <f t="shared" si="524"/>
        <v>0</v>
      </c>
      <c r="CR632" s="61">
        <f t="shared" si="490"/>
        <v>0</v>
      </c>
      <c r="CS632" s="61">
        <f t="shared" si="505"/>
        <v>0</v>
      </c>
      <c r="CT632" s="61">
        <f t="shared" si="506"/>
        <v>0</v>
      </c>
      <c r="CV632" s="61">
        <f t="shared" si="507"/>
        <v>0</v>
      </c>
      <c r="CW632" s="61">
        <f t="shared" si="508"/>
        <v>0</v>
      </c>
      <c r="CX632" s="61"/>
      <c r="CY632" s="61">
        <f t="shared" si="509"/>
        <v>0</v>
      </c>
      <c r="CZ632" s="61">
        <f t="shared" si="509"/>
        <v>0</v>
      </c>
      <c r="DA632" s="61">
        <f t="shared" si="509"/>
        <v>0</v>
      </c>
      <c r="DB632" s="2" t="s">
        <v>85</v>
      </c>
      <c r="DC632" s="2" t="s">
        <v>85</v>
      </c>
      <c r="DD632" s="2" t="s">
        <v>142</v>
      </c>
      <c r="DE632" s="2" t="s">
        <v>1146</v>
      </c>
      <c r="DG632" s="62"/>
      <c r="EC632" s="60"/>
      <c r="ED632" s="60"/>
      <c r="EE632" s="60"/>
      <c r="EF632" s="60"/>
    </row>
    <row r="633" spans="2:140" ht="12.75" hidden="1" customHeight="1">
      <c r="B633" s="99" t="s">
        <v>1148</v>
      </c>
      <c r="C633" s="22" t="s">
        <v>271</v>
      </c>
      <c r="D633" s="22" t="s">
        <v>272</v>
      </c>
      <c r="E633" s="2" t="str">
        <f>VLOOKUP($C633,[1]Detail!$C:$AK,6,0)</f>
        <v>BIW</v>
      </c>
      <c r="F633" s="2" t="s">
        <v>273</v>
      </c>
      <c r="G633" s="2" t="str">
        <f>VLOOKUP($C633,[1]Detail!$C:$AK,5,0)</f>
        <v>D</v>
      </c>
      <c r="J633" s="22" t="s">
        <v>126</v>
      </c>
      <c r="K633" s="23" t="s">
        <v>274</v>
      </c>
      <c r="L633" s="22" t="s">
        <v>132</v>
      </c>
      <c r="M633" s="51" t="str">
        <f t="shared" ref="M633:M696" si="547">TRIM(J633)&amp;"-"&amp;TRIM(K633)&amp;"-"&amp;TRIM(L633)</f>
        <v>JD8B-18B260-AB</v>
      </c>
      <c r="O633" s="22">
        <v>1</v>
      </c>
      <c r="P633" s="22">
        <v>1</v>
      </c>
      <c r="Q633" s="22">
        <v>1</v>
      </c>
      <c r="R633" s="22">
        <v>1</v>
      </c>
      <c r="S633" s="22">
        <v>1</v>
      </c>
      <c r="T633" s="22">
        <v>1</v>
      </c>
      <c r="U633" s="22">
        <v>1</v>
      </c>
      <c r="V633" s="22">
        <v>1</v>
      </c>
      <c r="W633" s="64">
        <f t="shared" ref="W633:W696" si="548">SUMPRODUCT(O633:V633,$O$6:$V$6)</f>
        <v>1</v>
      </c>
      <c r="Y633" s="8">
        <v>-65.88</v>
      </c>
      <c r="Z633" s="8">
        <v>-2.80000000000001</v>
      </c>
      <c r="AA633" s="8"/>
      <c r="AB633" s="8"/>
      <c r="AC633" s="8"/>
      <c r="AD633" s="8">
        <f t="shared" si="498"/>
        <v>-68.680000000000007</v>
      </c>
      <c r="AE633" s="2" t="s">
        <v>91</v>
      </c>
      <c r="AG633" s="8">
        <v>-196304</v>
      </c>
      <c r="AH633" s="8">
        <v>-196304</v>
      </c>
      <c r="AJ633" s="70"/>
      <c r="AK633" s="70"/>
      <c r="AL633" s="72"/>
      <c r="AM633" s="22"/>
      <c r="AO633" s="22" t="s">
        <v>126</v>
      </c>
      <c r="AP633" s="23" t="s">
        <v>274</v>
      </c>
      <c r="AQ633" s="22" t="s">
        <v>100</v>
      </c>
      <c r="AR633" s="51" t="str">
        <f t="shared" ref="AR633:AR696" si="549">TRIM(AO633)&amp;"-"&amp;TRIM(AP633)&amp;"-"&amp;TRIM(AQ633)</f>
        <v>JD8B-18B260-AA</v>
      </c>
      <c r="AS633" s="3"/>
      <c r="AT633" s="22">
        <v>1</v>
      </c>
      <c r="AU633" s="22">
        <v>1</v>
      </c>
      <c r="AV633" s="22">
        <v>1</v>
      </c>
      <c r="AW633" s="22">
        <v>1</v>
      </c>
      <c r="AX633" s="22">
        <v>1</v>
      </c>
      <c r="AY633" s="22">
        <v>1</v>
      </c>
      <c r="AZ633" s="22">
        <v>1</v>
      </c>
      <c r="BA633" s="22">
        <v>1</v>
      </c>
      <c r="BB633" s="64">
        <f t="shared" ref="BB633:BB696" si="550">SUMPRODUCT(AT633:BA633,$O$6:$V$6)</f>
        <v>1</v>
      </c>
      <c r="BD633" s="60">
        <v>-65.88</v>
      </c>
      <c r="BE633" s="60">
        <v>-2.80000000000001</v>
      </c>
      <c r="BF633" s="60"/>
      <c r="BG633" s="60"/>
      <c r="BH633" s="60"/>
      <c r="BI633" s="8">
        <f t="shared" si="546"/>
        <v>-68.680000000000007</v>
      </c>
      <c r="BJ633" s="2" t="s">
        <v>91</v>
      </c>
      <c r="BL633" s="71">
        <v>-182279</v>
      </c>
      <c r="BM633" s="71">
        <v>-182279</v>
      </c>
      <c r="BO633" s="70"/>
      <c r="BP633" s="70"/>
      <c r="BQ633" s="72"/>
      <c r="BS633" s="61">
        <f t="shared" si="514"/>
        <v>0</v>
      </c>
      <c r="BT633" s="61">
        <f t="shared" si="515"/>
        <v>0</v>
      </c>
      <c r="BU633" s="61">
        <f t="shared" si="516"/>
        <v>0</v>
      </c>
      <c r="BV633" s="61">
        <f t="shared" si="516"/>
        <v>0</v>
      </c>
      <c r="BW633" s="61">
        <f t="shared" si="516"/>
        <v>0</v>
      </c>
      <c r="BX633" s="61">
        <f t="shared" si="516"/>
        <v>0</v>
      </c>
      <c r="BY633" s="61" t="s">
        <v>91</v>
      </c>
      <c r="CA633" s="61">
        <f t="shared" si="525"/>
        <v>0</v>
      </c>
      <c r="CB633" s="61">
        <f t="shared" si="525"/>
        <v>0</v>
      </c>
      <c r="CC633" s="61">
        <f t="shared" si="525"/>
        <v>0</v>
      </c>
      <c r="CD633" s="61">
        <f t="shared" si="523"/>
        <v>0</v>
      </c>
      <c r="CE633" s="61">
        <f t="shared" si="523"/>
        <v>0</v>
      </c>
      <c r="CF633" s="61">
        <f t="shared" si="523"/>
        <v>0</v>
      </c>
      <c r="CG633" s="61">
        <f t="shared" si="523"/>
        <v>0</v>
      </c>
      <c r="CH633" s="61">
        <f t="shared" si="489"/>
        <v>0</v>
      </c>
      <c r="CI633" s="61">
        <f t="shared" si="504"/>
        <v>0</v>
      </c>
      <c r="CJ633" s="61"/>
      <c r="CK633" s="61">
        <f t="shared" si="526"/>
        <v>0</v>
      </c>
      <c r="CL633" s="61">
        <f t="shared" si="526"/>
        <v>0</v>
      </c>
      <c r="CM633" s="61">
        <f t="shared" si="526"/>
        <v>0</v>
      </c>
      <c r="CN633" s="61">
        <f t="shared" si="524"/>
        <v>0</v>
      </c>
      <c r="CO633" s="61">
        <f t="shared" si="524"/>
        <v>0</v>
      </c>
      <c r="CP633" s="61">
        <f t="shared" si="524"/>
        <v>0</v>
      </c>
      <c r="CQ633" s="61">
        <f t="shared" si="524"/>
        <v>0</v>
      </c>
      <c r="CR633" s="61">
        <f t="shared" si="490"/>
        <v>0</v>
      </c>
      <c r="CS633" s="61">
        <f t="shared" si="505"/>
        <v>0</v>
      </c>
      <c r="CT633" s="61">
        <f t="shared" si="506"/>
        <v>0</v>
      </c>
      <c r="CV633" s="61">
        <f t="shared" si="507"/>
        <v>-14025</v>
      </c>
      <c r="CW633" s="61">
        <f t="shared" si="508"/>
        <v>-14025</v>
      </c>
      <c r="CX633" s="61"/>
      <c r="CY633" s="61">
        <f t="shared" si="509"/>
        <v>0</v>
      </c>
      <c r="CZ633" s="61">
        <f t="shared" si="509"/>
        <v>0</v>
      </c>
      <c r="DA633" s="61">
        <f t="shared" si="509"/>
        <v>0</v>
      </c>
      <c r="DB633" s="2" t="s">
        <v>86</v>
      </c>
      <c r="DC633" s="2" t="s">
        <v>85</v>
      </c>
      <c r="DD633" s="2" t="s">
        <v>142</v>
      </c>
      <c r="DE633" s="2" t="s">
        <v>1146</v>
      </c>
      <c r="DF633" s="3" t="s">
        <v>86</v>
      </c>
      <c r="DG633" s="62">
        <v>42954</v>
      </c>
      <c r="EC633" s="60" t="str">
        <f>VLOOKUP($M633,[1]Detail!$M:$BO,1,0)</f>
        <v>JD8B-18B260-AB</v>
      </c>
      <c r="ED633" s="60">
        <f>VLOOKUP($M633,[1]Detail!$M:$BO,22,0)</f>
        <v>-68.680000000000007</v>
      </c>
      <c r="EE633" s="60">
        <f>VLOOKUP($M633,[1]Detail!$M:$BO,42,0)</f>
        <v>-196304</v>
      </c>
      <c r="EF633" s="60">
        <f>VLOOKUP($M633,[1]Detail!$M:$BO,45,0)</f>
        <v>0</v>
      </c>
      <c r="EH633" s="60">
        <f t="shared" ref="EH633:EH637" si="551">ED633-AD633</f>
        <v>0</v>
      </c>
      <c r="EI633" s="60">
        <f t="shared" ref="EI633:EI637" si="552">EE633-AG633</f>
        <v>0</v>
      </c>
      <c r="EJ633" s="60">
        <f t="shared" ref="EJ633:EJ637" si="553">EF633-AJ633</f>
        <v>0</v>
      </c>
    </row>
    <row r="634" spans="2:140" ht="12.75" hidden="1" customHeight="1">
      <c r="B634" s="99" t="s">
        <v>1148</v>
      </c>
      <c r="C634" s="22" t="s">
        <v>271</v>
      </c>
      <c r="D634" s="22" t="s">
        <v>272</v>
      </c>
      <c r="E634" s="2" t="str">
        <f>VLOOKUP($C634,[1]Detail!$C:$AK,6,0)</f>
        <v>BIW</v>
      </c>
      <c r="F634" s="2" t="s">
        <v>273</v>
      </c>
      <c r="G634" s="2" t="str">
        <f>VLOOKUP($C634,[1]Detail!$C:$AK,5,0)</f>
        <v>D</v>
      </c>
      <c r="J634" s="22" t="s">
        <v>126</v>
      </c>
      <c r="K634" s="23" t="s">
        <v>1149</v>
      </c>
      <c r="L634" s="22" t="s">
        <v>132</v>
      </c>
      <c r="M634" s="51" t="str">
        <f t="shared" si="547"/>
        <v>JD8B-F17496-AB</v>
      </c>
      <c r="O634" s="22">
        <v>1</v>
      </c>
      <c r="P634" s="22">
        <v>1</v>
      </c>
      <c r="Q634" s="22">
        <v>1</v>
      </c>
      <c r="R634" s="22">
        <v>1</v>
      </c>
      <c r="S634" s="22">
        <v>1</v>
      </c>
      <c r="T634" s="22">
        <v>1</v>
      </c>
      <c r="U634" s="22">
        <v>1</v>
      </c>
      <c r="V634" s="22">
        <v>1</v>
      </c>
      <c r="W634" s="64">
        <f t="shared" si="548"/>
        <v>1</v>
      </c>
      <c r="Y634" s="8">
        <v>-2.63</v>
      </c>
      <c r="Z634" s="8">
        <v>-0.18</v>
      </c>
      <c r="AA634" s="8">
        <v>-0.28000000000000003</v>
      </c>
      <c r="AB634" s="8">
        <v>0</v>
      </c>
      <c r="AC634" s="8">
        <v>0</v>
      </c>
      <c r="AD634" s="8">
        <f t="shared" si="498"/>
        <v>-3.09</v>
      </c>
      <c r="AE634" s="2" t="s">
        <v>84</v>
      </c>
      <c r="AG634" s="8">
        <v>-435787</v>
      </c>
      <c r="AH634" s="8">
        <v>-435787</v>
      </c>
      <c r="AJ634" s="70"/>
      <c r="AK634" s="70"/>
      <c r="AL634" s="72"/>
      <c r="AM634" s="22"/>
      <c r="AO634" s="22" t="s">
        <v>126</v>
      </c>
      <c r="AP634" s="23" t="s">
        <v>1149</v>
      </c>
      <c r="AQ634" s="22" t="s">
        <v>100</v>
      </c>
      <c r="AR634" s="51" t="str">
        <f t="shared" si="549"/>
        <v>JD8B-F17496-AA</v>
      </c>
      <c r="AS634" s="3"/>
      <c r="AT634" s="22">
        <v>1</v>
      </c>
      <c r="AU634" s="22">
        <v>1</v>
      </c>
      <c r="AV634" s="22">
        <v>1</v>
      </c>
      <c r="AW634" s="22">
        <v>1</v>
      </c>
      <c r="AX634" s="22">
        <v>1</v>
      </c>
      <c r="AY634" s="22">
        <v>1</v>
      </c>
      <c r="AZ634" s="22">
        <v>1</v>
      </c>
      <c r="BA634" s="22">
        <v>1</v>
      </c>
      <c r="BB634" s="64">
        <f t="shared" si="550"/>
        <v>1</v>
      </c>
      <c r="BD634" s="60">
        <v>-2.63</v>
      </c>
      <c r="BE634" s="60">
        <v>-0.18</v>
      </c>
      <c r="BF634" s="60">
        <v>-0.28000000000000003</v>
      </c>
      <c r="BG634" s="60">
        <v>0</v>
      </c>
      <c r="BH634" s="60">
        <v>0</v>
      </c>
      <c r="BI634" s="8">
        <f t="shared" si="546"/>
        <v>-3.09</v>
      </c>
      <c r="BJ634" s="2" t="s">
        <v>91</v>
      </c>
      <c r="BL634" s="71">
        <v>-376127</v>
      </c>
      <c r="BM634" s="71">
        <v>-376127</v>
      </c>
      <c r="BO634" s="70"/>
      <c r="BP634" s="70"/>
      <c r="BQ634" s="72"/>
      <c r="BS634" s="61">
        <f t="shared" si="514"/>
        <v>0</v>
      </c>
      <c r="BT634" s="61">
        <f t="shared" si="515"/>
        <v>0</v>
      </c>
      <c r="BU634" s="61">
        <f t="shared" si="516"/>
        <v>0</v>
      </c>
      <c r="BV634" s="61">
        <f t="shared" si="516"/>
        <v>0</v>
      </c>
      <c r="BW634" s="61">
        <f t="shared" si="516"/>
        <v>0</v>
      </c>
      <c r="BX634" s="61">
        <f t="shared" si="516"/>
        <v>0</v>
      </c>
      <c r="BY634" s="61" t="s">
        <v>91</v>
      </c>
      <c r="CA634" s="61">
        <f t="shared" si="525"/>
        <v>0</v>
      </c>
      <c r="CB634" s="61">
        <f t="shared" si="525"/>
        <v>0</v>
      </c>
      <c r="CC634" s="61">
        <f t="shared" si="525"/>
        <v>0</v>
      </c>
      <c r="CD634" s="61">
        <f t="shared" si="523"/>
        <v>0</v>
      </c>
      <c r="CE634" s="61">
        <f t="shared" si="523"/>
        <v>0</v>
      </c>
      <c r="CF634" s="61">
        <f t="shared" si="523"/>
        <v>0</v>
      </c>
      <c r="CG634" s="61">
        <f t="shared" si="523"/>
        <v>0</v>
      </c>
      <c r="CH634" s="61">
        <f t="shared" si="489"/>
        <v>0</v>
      </c>
      <c r="CI634" s="61">
        <f t="shared" si="504"/>
        <v>0</v>
      </c>
      <c r="CJ634" s="61"/>
      <c r="CK634" s="61">
        <f t="shared" si="526"/>
        <v>0</v>
      </c>
      <c r="CL634" s="61">
        <f t="shared" si="526"/>
        <v>0</v>
      </c>
      <c r="CM634" s="61">
        <f t="shared" si="526"/>
        <v>0</v>
      </c>
      <c r="CN634" s="61">
        <f t="shared" si="524"/>
        <v>0</v>
      </c>
      <c r="CO634" s="61">
        <f t="shared" si="524"/>
        <v>0</v>
      </c>
      <c r="CP634" s="61">
        <f t="shared" si="524"/>
        <v>0</v>
      </c>
      <c r="CQ634" s="61">
        <f t="shared" si="524"/>
        <v>0</v>
      </c>
      <c r="CR634" s="61">
        <f t="shared" si="490"/>
        <v>0</v>
      </c>
      <c r="CS634" s="61">
        <f t="shared" si="505"/>
        <v>0</v>
      </c>
      <c r="CT634" s="61">
        <f t="shared" si="506"/>
        <v>0</v>
      </c>
      <c r="CV634" s="61">
        <f t="shared" si="507"/>
        <v>-59660</v>
      </c>
      <c r="CW634" s="61">
        <f t="shared" si="508"/>
        <v>-59660</v>
      </c>
      <c r="CX634" s="61"/>
      <c r="CY634" s="61">
        <f t="shared" si="509"/>
        <v>0</v>
      </c>
      <c r="CZ634" s="61">
        <f t="shared" si="509"/>
        <v>0</v>
      </c>
      <c r="DA634" s="61">
        <f t="shared" si="509"/>
        <v>0</v>
      </c>
      <c r="DB634" s="2" t="s">
        <v>86</v>
      </c>
      <c r="DC634" s="2" t="s">
        <v>85</v>
      </c>
      <c r="DD634" s="2" t="s">
        <v>142</v>
      </c>
      <c r="DE634" s="2" t="s">
        <v>1146</v>
      </c>
      <c r="DF634" s="3" t="s">
        <v>86</v>
      </c>
      <c r="DG634" s="62">
        <v>42954</v>
      </c>
      <c r="EC634" s="60" t="str">
        <f>VLOOKUP($M634,[1]Detail!$M:$BO,1,0)</f>
        <v>JD8B-F17496-AB</v>
      </c>
      <c r="ED634" s="60">
        <f>VLOOKUP($M634,[1]Detail!$M:$BO,22,0)</f>
        <v>-3.08</v>
      </c>
      <c r="EE634" s="60">
        <f>VLOOKUP($M634,[1]Detail!$M:$BO,42,0)</f>
        <v>-435787</v>
      </c>
      <c r="EF634" s="60">
        <f>VLOOKUP($M634,[1]Detail!$M:$BO,45,0)</f>
        <v>0</v>
      </c>
      <c r="EH634" s="60">
        <f t="shared" si="551"/>
        <v>9.9999999999997868E-3</v>
      </c>
      <c r="EI634" s="60">
        <f t="shared" si="552"/>
        <v>0</v>
      </c>
      <c r="EJ634" s="60">
        <f t="shared" si="553"/>
        <v>0</v>
      </c>
    </row>
    <row r="635" spans="2:140" ht="12.75" hidden="1" customHeight="1">
      <c r="B635" s="99" t="s">
        <v>1150</v>
      </c>
      <c r="C635" s="22" t="s">
        <v>1151</v>
      </c>
      <c r="D635" s="22" t="s">
        <v>1152</v>
      </c>
      <c r="E635" s="22" t="s">
        <v>260</v>
      </c>
      <c r="F635" s="2" t="s">
        <v>330</v>
      </c>
      <c r="G635" s="118" t="s">
        <v>1153</v>
      </c>
      <c r="J635" s="22" t="s">
        <v>126</v>
      </c>
      <c r="K635" s="23" t="s">
        <v>1154</v>
      </c>
      <c r="L635" s="22" t="s">
        <v>100</v>
      </c>
      <c r="M635" s="51" t="str">
        <f t="shared" si="547"/>
        <v>JD8B-F04545-AA</v>
      </c>
      <c r="O635" s="22">
        <v>1</v>
      </c>
      <c r="P635" s="22">
        <v>1</v>
      </c>
      <c r="Q635" s="22">
        <v>1</v>
      </c>
      <c r="R635" s="22">
        <v>1</v>
      </c>
      <c r="S635" s="22">
        <v>1</v>
      </c>
      <c r="T635" s="22">
        <v>1</v>
      </c>
      <c r="U635" s="22">
        <v>1</v>
      </c>
      <c r="V635" s="22">
        <v>1</v>
      </c>
      <c r="W635" s="64">
        <f t="shared" si="548"/>
        <v>1</v>
      </c>
      <c r="Y635" s="8">
        <v>-250.14</v>
      </c>
      <c r="Z635" s="8">
        <v>-1.1200000000000001</v>
      </c>
      <c r="AA635" s="8">
        <v>-4.92</v>
      </c>
      <c r="AB635" s="8"/>
      <c r="AC635" s="8"/>
      <c r="AD635" s="8">
        <f t="shared" si="498"/>
        <v>-256.18</v>
      </c>
      <c r="AE635" s="2" t="s">
        <v>84</v>
      </c>
      <c r="AG635" s="8" t="s">
        <v>1155</v>
      </c>
      <c r="AH635" s="8">
        <v>0</v>
      </c>
      <c r="AJ635" s="70"/>
      <c r="AK635" s="70">
        <v>0</v>
      </c>
      <c r="AL635" s="72">
        <v>0</v>
      </c>
      <c r="AM635" s="22"/>
      <c r="AO635" s="22" t="s">
        <v>128</v>
      </c>
      <c r="AP635" s="85" t="s">
        <v>1154</v>
      </c>
      <c r="AQ635" s="22" t="s">
        <v>129</v>
      </c>
      <c r="AR635" s="51" t="str">
        <f t="shared" si="549"/>
        <v>ED8B-F04545-AE</v>
      </c>
      <c r="AS635" s="3"/>
      <c r="AT635" s="94">
        <v>1</v>
      </c>
      <c r="AU635" s="94">
        <v>1</v>
      </c>
      <c r="AV635" s="94">
        <v>1</v>
      </c>
      <c r="AW635" s="94">
        <v>1</v>
      </c>
      <c r="AX635" s="94">
        <v>1</v>
      </c>
      <c r="AY635" s="94">
        <v>1</v>
      </c>
      <c r="AZ635" s="94">
        <v>1</v>
      </c>
      <c r="BA635" s="94">
        <v>1</v>
      </c>
      <c r="BB635" s="64">
        <f t="shared" si="550"/>
        <v>1</v>
      </c>
      <c r="BD635" s="60">
        <v>-252.14</v>
      </c>
      <c r="BE635" s="60">
        <v>-1.1200000000000001</v>
      </c>
      <c r="BF635" s="60">
        <v>-4.92</v>
      </c>
      <c r="BG635" s="60"/>
      <c r="BH635" s="95"/>
      <c r="BI635" s="8">
        <f t="shared" si="546"/>
        <v>-258.18</v>
      </c>
      <c r="BJ635" s="2" t="s">
        <v>91</v>
      </c>
      <c r="BL635" s="70"/>
      <c r="BM635" s="70"/>
      <c r="BO635" s="70"/>
      <c r="BP635" s="70"/>
      <c r="BQ635" s="72"/>
      <c r="BS635" s="61">
        <f t="shared" si="514"/>
        <v>2</v>
      </c>
      <c r="BT635" s="61">
        <f t="shared" si="515"/>
        <v>0</v>
      </c>
      <c r="BU635" s="61">
        <f t="shared" si="516"/>
        <v>0</v>
      </c>
      <c r="BV635" s="61">
        <f t="shared" si="516"/>
        <v>0</v>
      </c>
      <c r="BW635" s="61">
        <f t="shared" si="516"/>
        <v>0</v>
      </c>
      <c r="BX635" s="61">
        <f t="shared" si="516"/>
        <v>2</v>
      </c>
      <c r="BY635" s="61" t="s">
        <v>91</v>
      </c>
      <c r="CA635" s="61">
        <f t="shared" si="525"/>
        <v>0.30088761847449974</v>
      </c>
      <c r="CB635" s="61">
        <f t="shared" si="525"/>
        <v>0.30088761847449974</v>
      </c>
      <c r="CC635" s="61">
        <f t="shared" si="525"/>
        <v>0.30088761847449974</v>
      </c>
      <c r="CD635" s="61">
        <f t="shared" si="523"/>
        <v>0.30088761847449974</v>
      </c>
      <c r="CE635" s="61">
        <f t="shared" si="523"/>
        <v>0.30088761847449974</v>
      </c>
      <c r="CF635" s="61">
        <f t="shared" si="523"/>
        <v>0.30088761847449974</v>
      </c>
      <c r="CG635" s="61">
        <f t="shared" si="523"/>
        <v>0.30088761847449974</v>
      </c>
      <c r="CH635" s="61">
        <f t="shared" si="489"/>
        <v>0.30088761847449974</v>
      </c>
      <c r="CI635" s="61">
        <f t="shared" si="504"/>
        <v>0.3008876184744998</v>
      </c>
      <c r="CJ635" s="61"/>
      <c r="CK635" s="61">
        <f t="shared" si="526"/>
        <v>0.30088761847449974</v>
      </c>
      <c r="CL635" s="61">
        <f t="shared" si="526"/>
        <v>0.30088761847449974</v>
      </c>
      <c r="CM635" s="61">
        <f t="shared" si="526"/>
        <v>0.30088761847449974</v>
      </c>
      <c r="CN635" s="61">
        <f t="shared" si="524"/>
        <v>0.30088761847449974</v>
      </c>
      <c r="CO635" s="61">
        <f t="shared" si="524"/>
        <v>0.30088761847449974</v>
      </c>
      <c r="CP635" s="61">
        <f t="shared" si="524"/>
        <v>0.30088761847449974</v>
      </c>
      <c r="CQ635" s="61">
        <f t="shared" si="524"/>
        <v>0.30088761847449974</v>
      </c>
      <c r="CR635" s="61">
        <f t="shared" si="490"/>
        <v>0.30088761847449974</v>
      </c>
      <c r="CS635" s="61">
        <f t="shared" si="505"/>
        <v>0.3008876184744998</v>
      </c>
      <c r="CT635" s="61">
        <f t="shared" si="506"/>
        <v>2</v>
      </c>
      <c r="CV635" s="61">
        <f t="shared" si="507"/>
        <v>0</v>
      </c>
      <c r="CW635" s="61">
        <f t="shared" si="508"/>
        <v>0</v>
      </c>
      <c r="CX635" s="61"/>
      <c r="CY635" s="61">
        <f t="shared" si="509"/>
        <v>0</v>
      </c>
      <c r="CZ635" s="61">
        <f t="shared" si="509"/>
        <v>0</v>
      </c>
      <c r="DA635" s="61">
        <f t="shared" si="509"/>
        <v>0</v>
      </c>
      <c r="DB635" s="2" t="s">
        <v>86</v>
      </c>
      <c r="DC635" s="2" t="s">
        <v>86</v>
      </c>
      <c r="DD635" s="2" t="s">
        <v>142</v>
      </c>
      <c r="DE635" s="2" t="s">
        <v>1146</v>
      </c>
      <c r="DG635" s="62"/>
      <c r="DZ635" s="3" t="e">
        <v>#N/A</v>
      </c>
      <c r="EC635" s="60" t="str">
        <f>VLOOKUP($M635,[1]Detail!$M:$BO,1,0)</f>
        <v>JD8B-F04545-AA</v>
      </c>
      <c r="ED635" s="60">
        <f>VLOOKUP($M635,[1]Detail!$M:$BO,22,0)</f>
        <v>-256.18</v>
      </c>
      <c r="EE635" s="60">
        <f>VLOOKUP($M635,[1]Detail!$M:$BO,42,0)</f>
        <v>0</v>
      </c>
      <c r="EF635" s="60">
        <f>VLOOKUP($M635,[1]Detail!$M:$BO,45,0)</f>
        <v>0</v>
      </c>
      <c r="EH635" s="60">
        <f t="shared" si="551"/>
        <v>0</v>
      </c>
      <c r="EI635" s="60" t="e">
        <f t="shared" si="552"/>
        <v>#VALUE!</v>
      </c>
      <c r="EJ635" s="60">
        <f t="shared" si="553"/>
        <v>0</v>
      </c>
    </row>
    <row r="636" spans="2:140" ht="12.75" hidden="1" customHeight="1">
      <c r="B636" s="99" t="s">
        <v>1156</v>
      </c>
      <c r="C636" s="22" t="s">
        <v>1157</v>
      </c>
      <c r="D636" s="22" t="s">
        <v>1158</v>
      </c>
      <c r="E636" s="2" t="s">
        <v>993</v>
      </c>
      <c r="F636" s="2" t="s">
        <v>969</v>
      </c>
      <c r="G636" s="2" t="s">
        <v>331</v>
      </c>
      <c r="J636" s="22" t="s">
        <v>128</v>
      </c>
      <c r="K636" s="23" t="s">
        <v>1159</v>
      </c>
      <c r="L636" s="22" t="s">
        <v>267</v>
      </c>
      <c r="M636" s="51" t="str">
        <f t="shared" si="547"/>
        <v>ED8B-F04293-ADW</v>
      </c>
      <c r="O636" s="22"/>
      <c r="P636" s="22"/>
      <c r="Q636" s="22"/>
      <c r="R636" s="22"/>
      <c r="S636" s="22">
        <v>1</v>
      </c>
      <c r="T636" s="22">
        <v>1</v>
      </c>
      <c r="U636" s="22"/>
      <c r="V636" s="22">
        <v>1</v>
      </c>
      <c r="W636" s="64">
        <f t="shared" si="548"/>
        <v>0.28000000000000003</v>
      </c>
      <c r="Y636" s="8">
        <v>-11.34</v>
      </c>
      <c r="Z636" s="8">
        <v>0</v>
      </c>
      <c r="AA636" s="8">
        <v>-0.1</v>
      </c>
      <c r="AB636" s="8"/>
      <c r="AC636" s="8"/>
      <c r="AD636" s="8">
        <f t="shared" si="498"/>
        <v>-11.44</v>
      </c>
      <c r="AE636" s="2" t="s">
        <v>84</v>
      </c>
      <c r="AG636" s="8">
        <v>-723800</v>
      </c>
      <c r="AH636" s="8">
        <v>-1063800</v>
      </c>
      <c r="AJ636" s="70"/>
      <c r="AK636" s="70"/>
      <c r="AL636" s="72"/>
      <c r="AM636" s="22"/>
      <c r="AO636" s="22" t="s">
        <v>128</v>
      </c>
      <c r="AP636" s="23" t="s">
        <v>1159</v>
      </c>
      <c r="AQ636" s="22" t="s">
        <v>267</v>
      </c>
      <c r="AR636" s="51" t="str">
        <f t="shared" si="549"/>
        <v>ED8B-F04293-ADW</v>
      </c>
      <c r="AS636" s="3"/>
      <c r="AT636" s="94">
        <v>1</v>
      </c>
      <c r="AU636" s="94">
        <v>1</v>
      </c>
      <c r="AV636" s="94">
        <v>1</v>
      </c>
      <c r="AW636" s="94">
        <v>1</v>
      </c>
      <c r="AX636" s="94">
        <v>1</v>
      </c>
      <c r="AY636" s="94">
        <v>1</v>
      </c>
      <c r="AZ636" s="94">
        <v>1</v>
      </c>
      <c r="BA636" s="94">
        <v>1</v>
      </c>
      <c r="BB636" s="64">
        <f t="shared" si="550"/>
        <v>1</v>
      </c>
      <c r="BD636" s="60">
        <v>-11.34</v>
      </c>
      <c r="BE636" s="60">
        <v>0</v>
      </c>
      <c r="BF636" s="60">
        <v>-0.1</v>
      </c>
      <c r="BG636" s="60"/>
      <c r="BH636" s="60"/>
      <c r="BI636" s="8">
        <f t="shared" si="546"/>
        <v>-11.44</v>
      </c>
      <c r="BJ636" s="2" t="s">
        <v>84</v>
      </c>
      <c r="BL636" s="70">
        <v>-723800</v>
      </c>
      <c r="BM636" s="70">
        <v>-1063800</v>
      </c>
      <c r="BO636" s="70"/>
      <c r="BP636" s="70"/>
      <c r="BQ636" s="72"/>
      <c r="BS636" s="61">
        <f t="shared" si="514"/>
        <v>0</v>
      </c>
      <c r="BT636" s="61">
        <f t="shared" si="515"/>
        <v>0</v>
      </c>
      <c r="BU636" s="61">
        <f t="shared" si="516"/>
        <v>0</v>
      </c>
      <c r="BV636" s="61">
        <f t="shared" si="516"/>
        <v>0</v>
      </c>
      <c r="BW636" s="61">
        <f t="shared" si="516"/>
        <v>0</v>
      </c>
      <c r="BX636" s="61">
        <f t="shared" si="516"/>
        <v>0</v>
      </c>
      <c r="BY636" s="61" t="s">
        <v>91</v>
      </c>
      <c r="CA636" s="61">
        <f t="shared" si="525"/>
        <v>1.7060327967504136</v>
      </c>
      <c r="CB636" s="61">
        <f t="shared" si="525"/>
        <v>1.7060327967504136</v>
      </c>
      <c r="CC636" s="61">
        <f t="shared" si="525"/>
        <v>1.7060327967504136</v>
      </c>
      <c r="CD636" s="61">
        <f t="shared" si="523"/>
        <v>1.7060327967504136</v>
      </c>
      <c r="CE636" s="61">
        <f t="shared" si="523"/>
        <v>0</v>
      </c>
      <c r="CF636" s="61">
        <f t="shared" si="523"/>
        <v>0</v>
      </c>
      <c r="CG636" s="61">
        <f t="shared" si="523"/>
        <v>1.7060327967504136</v>
      </c>
      <c r="CH636" s="61">
        <f t="shared" si="489"/>
        <v>0</v>
      </c>
      <c r="CI636" s="61">
        <f t="shared" si="504"/>
        <v>1.2283436136602979</v>
      </c>
      <c r="CJ636" s="61"/>
      <c r="CK636" s="61">
        <f t="shared" si="526"/>
        <v>1.7210771776741385</v>
      </c>
      <c r="CL636" s="61">
        <f t="shared" si="526"/>
        <v>1.7210771776741385</v>
      </c>
      <c r="CM636" s="61">
        <f t="shared" si="526"/>
        <v>1.7210771776741385</v>
      </c>
      <c r="CN636" s="61">
        <f t="shared" si="524"/>
        <v>1.7210771776741385</v>
      </c>
      <c r="CO636" s="61">
        <f t="shared" si="524"/>
        <v>0</v>
      </c>
      <c r="CP636" s="61">
        <f t="shared" si="524"/>
        <v>0</v>
      </c>
      <c r="CQ636" s="61">
        <f t="shared" si="524"/>
        <v>1.7210771776741385</v>
      </c>
      <c r="CR636" s="61">
        <f t="shared" si="490"/>
        <v>0</v>
      </c>
      <c r="CS636" s="61">
        <f t="shared" si="505"/>
        <v>1.23917556792538</v>
      </c>
      <c r="CT636" s="61">
        <f t="shared" si="506"/>
        <v>8.2368000000000006</v>
      </c>
      <c r="CV636" s="61">
        <f t="shared" si="507"/>
        <v>0</v>
      </c>
      <c r="CW636" s="61">
        <f t="shared" si="508"/>
        <v>0</v>
      </c>
      <c r="CX636" s="61"/>
      <c r="CY636" s="61">
        <f t="shared" si="509"/>
        <v>0</v>
      </c>
      <c r="CZ636" s="61">
        <f t="shared" si="509"/>
        <v>0</v>
      </c>
      <c r="DA636" s="61">
        <f t="shared" si="509"/>
        <v>0</v>
      </c>
      <c r="DB636" s="2" t="s">
        <v>86</v>
      </c>
      <c r="DC636" s="2" t="s">
        <v>85</v>
      </c>
      <c r="DD636" s="2" t="s">
        <v>142</v>
      </c>
      <c r="DE636" s="2" t="s">
        <v>1146</v>
      </c>
      <c r="DG636" s="62"/>
      <c r="DZ636" s="3" t="e">
        <v>#N/A</v>
      </c>
      <c r="EC636" s="60" t="str">
        <f>VLOOKUP($M636,[1]Detail!$M:$BO,1,0)</f>
        <v>ED8B-F04293-ADW</v>
      </c>
      <c r="ED636" s="60">
        <f>VLOOKUP($M636,[1]Detail!$M:$BO,22,0)</f>
        <v>-11.44</v>
      </c>
      <c r="EE636" s="60">
        <f>VLOOKUP($M636,[1]Detail!$M:$BO,42,0)</f>
        <v>0</v>
      </c>
      <c r="EF636" s="60">
        <f>VLOOKUP($M636,[1]Detail!$M:$BO,45,0)</f>
        <v>0</v>
      </c>
      <c r="EH636" s="60">
        <f t="shared" si="551"/>
        <v>0</v>
      </c>
      <c r="EI636" s="60">
        <f t="shared" si="552"/>
        <v>723800</v>
      </c>
      <c r="EJ636" s="60">
        <f t="shared" si="553"/>
        <v>0</v>
      </c>
    </row>
    <row r="637" spans="2:140" ht="12.75" hidden="1" customHeight="1">
      <c r="B637" s="99" t="s">
        <v>1156</v>
      </c>
      <c r="C637" s="22" t="s">
        <v>1157</v>
      </c>
      <c r="D637" s="22" t="s">
        <v>1158</v>
      </c>
      <c r="E637" s="2" t="s">
        <v>993</v>
      </c>
      <c r="F637" s="2" t="s">
        <v>969</v>
      </c>
      <c r="G637" s="2" t="s">
        <v>331</v>
      </c>
      <c r="J637" s="22" t="s">
        <v>128</v>
      </c>
      <c r="K637" s="23" t="s">
        <v>1159</v>
      </c>
      <c r="L637" s="22" t="s">
        <v>198</v>
      </c>
      <c r="M637" s="51" t="str">
        <f t="shared" si="547"/>
        <v>ED8B-F04293-BAW</v>
      </c>
      <c r="O637" s="22">
        <v>1</v>
      </c>
      <c r="P637" s="22">
        <v>1</v>
      </c>
      <c r="Q637" s="22">
        <v>1</v>
      </c>
      <c r="R637" s="22">
        <v>1</v>
      </c>
      <c r="S637" s="94">
        <v>0</v>
      </c>
      <c r="T637" s="94">
        <v>0</v>
      </c>
      <c r="U637" s="94">
        <v>1</v>
      </c>
      <c r="V637" s="94">
        <v>0</v>
      </c>
      <c r="W637" s="64">
        <f t="shared" si="548"/>
        <v>0.72000000000000008</v>
      </c>
      <c r="Y637" s="8">
        <v>-20.28</v>
      </c>
      <c r="Z637" s="8">
        <v>0</v>
      </c>
      <c r="AA637" s="8">
        <v>-0.1</v>
      </c>
      <c r="AB637" s="8"/>
      <c r="AC637" s="8"/>
      <c r="AD637" s="8">
        <f t="shared" si="498"/>
        <v>-20.380000000000003</v>
      </c>
      <c r="AE637" s="2" t="s">
        <v>84</v>
      </c>
      <c r="AG637" s="8">
        <v>-95000</v>
      </c>
      <c r="AH637" s="8">
        <v>-95000</v>
      </c>
      <c r="AJ637" s="70"/>
      <c r="AK637" s="70"/>
      <c r="AL637" s="72"/>
      <c r="AM637" s="22"/>
      <c r="AO637" s="22" t="s">
        <v>128</v>
      </c>
      <c r="AP637" s="23" t="s">
        <v>1159</v>
      </c>
      <c r="AQ637" s="22" t="s">
        <v>198</v>
      </c>
      <c r="AR637" s="51" t="str">
        <f t="shared" si="549"/>
        <v>ED8B-F04293-BAW</v>
      </c>
      <c r="AS637" s="3"/>
      <c r="AT637" s="94">
        <v>0</v>
      </c>
      <c r="AU637" s="94">
        <v>0</v>
      </c>
      <c r="AV637" s="94">
        <v>0</v>
      </c>
      <c r="AW637" s="94">
        <v>0</v>
      </c>
      <c r="AX637" s="94">
        <v>0</v>
      </c>
      <c r="AY637" s="94">
        <v>0</v>
      </c>
      <c r="AZ637" s="94">
        <v>0</v>
      </c>
      <c r="BA637" s="94">
        <v>0</v>
      </c>
      <c r="BB637" s="64">
        <f t="shared" si="550"/>
        <v>0</v>
      </c>
      <c r="BD637" s="60"/>
      <c r="BE637" s="60"/>
      <c r="BF637" s="95"/>
      <c r="BG637" s="95"/>
      <c r="BH637" s="95"/>
      <c r="BI637" s="8">
        <f t="shared" si="546"/>
        <v>0</v>
      </c>
      <c r="BL637" s="70"/>
      <c r="BM637" s="70"/>
      <c r="BO637" s="70"/>
      <c r="BP637" s="70"/>
      <c r="BQ637" s="72"/>
      <c r="BS637" s="61">
        <f t="shared" si="514"/>
        <v>-20.28</v>
      </c>
      <c r="BT637" s="61">
        <f t="shared" si="515"/>
        <v>0</v>
      </c>
      <c r="BU637" s="61">
        <f t="shared" si="516"/>
        <v>-0.1</v>
      </c>
      <c r="BV637" s="61">
        <f t="shared" si="516"/>
        <v>0</v>
      </c>
      <c r="BW637" s="61">
        <f t="shared" si="516"/>
        <v>0</v>
      </c>
      <c r="BX637" s="61">
        <f t="shared" si="516"/>
        <v>-20.380000000000003</v>
      </c>
      <c r="BY637" s="61" t="s">
        <v>91</v>
      </c>
      <c r="CA637" s="61">
        <f t="shared" si="525"/>
        <v>-3.0510004513314279</v>
      </c>
      <c r="CB637" s="61">
        <f t="shared" si="525"/>
        <v>-3.0510004513314279</v>
      </c>
      <c r="CC637" s="61">
        <f t="shared" si="525"/>
        <v>-3.0510004513314279</v>
      </c>
      <c r="CD637" s="61">
        <f t="shared" si="523"/>
        <v>-3.0510004513314279</v>
      </c>
      <c r="CE637" s="61">
        <f t="shared" si="523"/>
        <v>0</v>
      </c>
      <c r="CF637" s="61">
        <f t="shared" si="523"/>
        <v>0</v>
      </c>
      <c r="CG637" s="61">
        <f t="shared" si="523"/>
        <v>-3.0510004513314279</v>
      </c>
      <c r="CH637" s="61">
        <f t="shared" si="523"/>
        <v>0</v>
      </c>
      <c r="CI637" s="61">
        <f t="shared" si="504"/>
        <v>-2.1967203249586285</v>
      </c>
      <c r="CJ637" s="61"/>
      <c r="CK637" s="61">
        <f t="shared" si="526"/>
        <v>-3.066044832255153</v>
      </c>
      <c r="CL637" s="61">
        <f t="shared" si="526"/>
        <v>-3.066044832255153</v>
      </c>
      <c r="CM637" s="61">
        <f t="shared" si="526"/>
        <v>-3.066044832255153</v>
      </c>
      <c r="CN637" s="61">
        <f t="shared" si="524"/>
        <v>-3.066044832255153</v>
      </c>
      <c r="CO637" s="61">
        <f t="shared" si="524"/>
        <v>0</v>
      </c>
      <c r="CP637" s="61">
        <f t="shared" si="524"/>
        <v>0</v>
      </c>
      <c r="CQ637" s="61">
        <f t="shared" si="524"/>
        <v>-3.066044832255153</v>
      </c>
      <c r="CR637" s="61">
        <f t="shared" si="524"/>
        <v>0</v>
      </c>
      <c r="CS637" s="61">
        <f t="shared" si="505"/>
        <v>-2.2075522792237106</v>
      </c>
      <c r="CT637" s="61">
        <f t="shared" si="506"/>
        <v>-14.673600000000004</v>
      </c>
      <c r="CV637" s="61">
        <f t="shared" si="507"/>
        <v>-95000</v>
      </c>
      <c r="CW637" s="61">
        <f t="shared" si="508"/>
        <v>-95000</v>
      </c>
      <c r="CX637" s="61"/>
      <c r="CY637" s="61">
        <f t="shared" si="509"/>
        <v>0</v>
      </c>
      <c r="CZ637" s="61">
        <f t="shared" si="509"/>
        <v>0</v>
      </c>
      <c r="DA637" s="61">
        <f t="shared" si="509"/>
        <v>0</v>
      </c>
      <c r="DB637" s="2" t="s">
        <v>86</v>
      </c>
      <c r="DC637" s="2" t="s">
        <v>85</v>
      </c>
      <c r="DD637" s="2" t="s">
        <v>142</v>
      </c>
      <c r="DE637" s="2" t="s">
        <v>1146</v>
      </c>
      <c r="DG637" s="62"/>
      <c r="DZ637" s="3" t="e">
        <v>#N/A</v>
      </c>
      <c r="EC637" s="60" t="str">
        <f>VLOOKUP($M637,[1]Detail!$M:$BO,1,0)</f>
        <v>ED8B-F04293-BAW</v>
      </c>
      <c r="ED637" s="60">
        <f>VLOOKUP($M637,[1]Detail!$M:$BO,22,0)</f>
        <v>-20.380000000000003</v>
      </c>
      <c r="EE637" s="60">
        <f>VLOOKUP($M637,[1]Detail!$M:$BO,42,0)</f>
        <v>0</v>
      </c>
      <c r="EF637" s="60">
        <f>VLOOKUP($M637,[1]Detail!$M:$BO,45,0)</f>
        <v>0</v>
      </c>
      <c r="EH637" s="60">
        <f t="shared" si="551"/>
        <v>0</v>
      </c>
      <c r="EI637" s="60">
        <f t="shared" si="552"/>
        <v>95000</v>
      </c>
      <c r="EJ637" s="60">
        <f t="shared" si="553"/>
        <v>0</v>
      </c>
    </row>
    <row r="638" spans="2:140" ht="12.75" hidden="1" customHeight="1">
      <c r="B638" s="99" t="s">
        <v>1160</v>
      </c>
      <c r="C638" s="22" t="s">
        <v>1034</v>
      </c>
      <c r="D638" s="22" t="s">
        <v>1035</v>
      </c>
      <c r="E638" s="2" t="s">
        <v>993</v>
      </c>
      <c r="F638" s="2" t="s">
        <v>969</v>
      </c>
      <c r="G638" s="2" t="s">
        <v>331</v>
      </c>
      <c r="J638" s="22" t="s">
        <v>138</v>
      </c>
      <c r="K638" s="23" t="s">
        <v>1161</v>
      </c>
      <c r="L638" s="22" t="s">
        <v>208</v>
      </c>
      <c r="M638" s="51" t="str">
        <f t="shared" si="547"/>
        <v>JD8B-F610A62-BAW</v>
      </c>
      <c r="O638" s="22"/>
      <c r="P638" s="22"/>
      <c r="Q638" s="22">
        <v>1</v>
      </c>
      <c r="R638" s="22">
        <v>1</v>
      </c>
      <c r="S638" s="22">
        <v>1</v>
      </c>
      <c r="T638" s="22">
        <v>1</v>
      </c>
      <c r="U638" s="22">
        <v>1</v>
      </c>
      <c r="V638" s="22">
        <v>1</v>
      </c>
      <c r="W638" s="64">
        <f t="shared" si="548"/>
        <v>0.70000000000000007</v>
      </c>
      <c r="Y638" s="8">
        <v>0</v>
      </c>
      <c r="Z638" s="8"/>
      <c r="AA638" s="8"/>
      <c r="AB638" s="8"/>
      <c r="AC638" s="8">
        <v>0</v>
      </c>
      <c r="AD638" s="8">
        <f t="shared" si="498"/>
        <v>0</v>
      </c>
      <c r="AE638" s="2" t="s">
        <v>91</v>
      </c>
      <c r="AG638" s="8"/>
      <c r="AH638" s="8"/>
      <c r="AJ638" s="70"/>
      <c r="AK638" s="70"/>
      <c r="AL638" s="72"/>
      <c r="AM638" s="22"/>
      <c r="AO638" s="22" t="s">
        <v>138</v>
      </c>
      <c r="AP638" s="85" t="s">
        <v>1161</v>
      </c>
      <c r="AQ638" s="22" t="s">
        <v>208</v>
      </c>
      <c r="AR638" s="51" t="str">
        <f t="shared" si="549"/>
        <v>JD8B-F610A62-BAW</v>
      </c>
      <c r="AS638" s="3"/>
      <c r="AT638" s="22"/>
      <c r="AU638" s="22"/>
      <c r="AV638" s="22">
        <v>1</v>
      </c>
      <c r="AW638" s="22">
        <v>1</v>
      </c>
      <c r="AX638" s="22">
        <v>1</v>
      </c>
      <c r="AY638" s="22">
        <v>1</v>
      </c>
      <c r="AZ638" s="22">
        <v>1</v>
      </c>
      <c r="BA638" s="22">
        <v>1</v>
      </c>
      <c r="BB638" s="64">
        <f t="shared" si="550"/>
        <v>0.70000000000000007</v>
      </c>
      <c r="BD638" s="60">
        <v>0</v>
      </c>
      <c r="BE638" s="60"/>
      <c r="BF638" s="60"/>
      <c r="BG638" s="60"/>
      <c r="BH638" s="60">
        <v>0</v>
      </c>
      <c r="BI638" s="8">
        <f t="shared" si="546"/>
        <v>0</v>
      </c>
      <c r="BJ638" s="2" t="s">
        <v>91</v>
      </c>
      <c r="BL638" s="70"/>
      <c r="BM638" s="70"/>
      <c r="BO638" s="70"/>
      <c r="BP638" s="70"/>
      <c r="BQ638" s="72"/>
      <c r="BS638" s="61">
        <f t="shared" si="514"/>
        <v>0</v>
      </c>
      <c r="BT638" s="61">
        <f t="shared" si="515"/>
        <v>0</v>
      </c>
      <c r="BU638" s="61">
        <f t="shared" si="516"/>
        <v>0</v>
      </c>
      <c r="BV638" s="61">
        <f t="shared" si="516"/>
        <v>0</v>
      </c>
      <c r="BW638" s="61">
        <f t="shared" si="516"/>
        <v>0</v>
      </c>
      <c r="BX638" s="61">
        <f t="shared" si="516"/>
        <v>0</v>
      </c>
      <c r="BY638" s="61" t="s">
        <v>91</v>
      </c>
      <c r="CA638" s="61">
        <f t="shared" si="525"/>
        <v>0</v>
      </c>
      <c r="CB638" s="61">
        <f t="shared" si="525"/>
        <v>0</v>
      </c>
      <c r="CC638" s="61">
        <f t="shared" si="525"/>
        <v>0</v>
      </c>
      <c r="CD638" s="61">
        <f t="shared" si="523"/>
        <v>0</v>
      </c>
      <c r="CE638" s="61">
        <f t="shared" si="523"/>
        <v>0</v>
      </c>
      <c r="CF638" s="61">
        <f t="shared" si="523"/>
        <v>0</v>
      </c>
      <c r="CG638" s="61">
        <f t="shared" si="523"/>
        <v>0</v>
      </c>
      <c r="CH638" s="61">
        <f t="shared" si="523"/>
        <v>0</v>
      </c>
      <c r="CI638" s="61">
        <f t="shared" si="504"/>
        <v>0</v>
      </c>
      <c r="CJ638" s="61"/>
      <c r="CK638" s="61">
        <f t="shared" si="526"/>
        <v>0</v>
      </c>
      <c r="CL638" s="61">
        <f t="shared" si="526"/>
        <v>0</v>
      </c>
      <c r="CM638" s="61">
        <f t="shared" si="526"/>
        <v>0</v>
      </c>
      <c r="CN638" s="61">
        <f t="shared" si="524"/>
        <v>0</v>
      </c>
      <c r="CO638" s="61">
        <f t="shared" si="524"/>
        <v>0</v>
      </c>
      <c r="CP638" s="61">
        <f t="shared" si="524"/>
        <v>0</v>
      </c>
      <c r="CQ638" s="61">
        <f t="shared" si="524"/>
        <v>0</v>
      </c>
      <c r="CR638" s="61">
        <f t="shared" si="524"/>
        <v>0</v>
      </c>
      <c r="CS638" s="61">
        <f t="shared" si="505"/>
        <v>0</v>
      </c>
      <c r="CT638" s="61">
        <f t="shared" si="506"/>
        <v>0</v>
      </c>
      <c r="CV638" s="61">
        <f t="shared" si="507"/>
        <v>0</v>
      </c>
      <c r="CW638" s="61">
        <f t="shared" si="508"/>
        <v>0</v>
      </c>
      <c r="CX638" s="61"/>
      <c r="CY638" s="61">
        <f t="shared" si="509"/>
        <v>0</v>
      </c>
      <c r="CZ638" s="61">
        <f t="shared" si="509"/>
        <v>0</v>
      </c>
      <c r="DA638" s="61">
        <f t="shared" si="509"/>
        <v>0</v>
      </c>
      <c r="DB638" s="2" t="s">
        <v>85</v>
      </c>
      <c r="DC638" s="2" t="s">
        <v>85</v>
      </c>
      <c r="DD638" s="2" t="s">
        <v>142</v>
      </c>
      <c r="DE638" s="2" t="s">
        <v>1146</v>
      </c>
      <c r="DG638" s="62"/>
      <c r="EC638" s="60"/>
      <c r="ED638" s="60"/>
      <c r="EE638" s="60"/>
      <c r="EF638" s="60"/>
    </row>
    <row r="639" spans="2:140" ht="12.75" hidden="1" customHeight="1">
      <c r="B639" s="99" t="s">
        <v>1160</v>
      </c>
      <c r="C639" s="22" t="s">
        <v>1034</v>
      </c>
      <c r="D639" s="22" t="s">
        <v>1035</v>
      </c>
      <c r="E639" s="2" t="s">
        <v>993</v>
      </c>
      <c r="F639" s="2" t="s">
        <v>969</v>
      </c>
      <c r="G639" s="2" t="s">
        <v>331</v>
      </c>
      <c r="J639" s="22" t="s">
        <v>138</v>
      </c>
      <c r="K639" s="23" t="s">
        <v>1162</v>
      </c>
      <c r="L639" s="22" t="s">
        <v>206</v>
      </c>
      <c r="M639" s="51" t="str">
        <f t="shared" si="547"/>
        <v>JD8B-F64417-DAW</v>
      </c>
      <c r="O639" s="22"/>
      <c r="P639" s="22"/>
      <c r="Q639" s="22"/>
      <c r="R639" s="22"/>
      <c r="S639" s="22">
        <v>1</v>
      </c>
      <c r="T639" s="22">
        <v>1</v>
      </c>
      <c r="U639" s="22"/>
      <c r="V639" s="22"/>
      <c r="W639" s="64">
        <f t="shared" si="548"/>
        <v>0.23</v>
      </c>
      <c r="Y639" s="8">
        <v>0</v>
      </c>
      <c r="Z639" s="8"/>
      <c r="AA639" s="8"/>
      <c r="AB639" s="8"/>
      <c r="AC639" s="8">
        <v>0</v>
      </c>
      <c r="AD639" s="8">
        <f t="shared" si="498"/>
        <v>0</v>
      </c>
      <c r="AE639" s="2" t="s">
        <v>91</v>
      </c>
      <c r="AG639" s="8"/>
      <c r="AH639" s="8"/>
      <c r="AJ639" s="70"/>
      <c r="AK639" s="70"/>
      <c r="AL639" s="72"/>
      <c r="AM639" s="22"/>
      <c r="AO639" s="22" t="s">
        <v>138</v>
      </c>
      <c r="AP639" s="85" t="s">
        <v>1162</v>
      </c>
      <c r="AQ639" s="22" t="s">
        <v>206</v>
      </c>
      <c r="AR639" s="51" t="str">
        <f t="shared" si="549"/>
        <v>JD8B-F64417-DAW</v>
      </c>
      <c r="AS639" s="3"/>
      <c r="AT639" s="22"/>
      <c r="AU639" s="22"/>
      <c r="AV639" s="22"/>
      <c r="AW639" s="22"/>
      <c r="AX639" s="22">
        <v>1</v>
      </c>
      <c r="AY639" s="22">
        <v>1</v>
      </c>
      <c r="AZ639" s="22"/>
      <c r="BA639" s="22"/>
      <c r="BB639" s="64">
        <f t="shared" si="550"/>
        <v>0.23</v>
      </c>
      <c r="BD639" s="60">
        <v>0</v>
      </c>
      <c r="BE639" s="60"/>
      <c r="BF639" s="60"/>
      <c r="BG639" s="60"/>
      <c r="BH639" s="60">
        <v>0</v>
      </c>
      <c r="BI639" s="8">
        <f t="shared" si="546"/>
        <v>0</v>
      </c>
      <c r="BJ639" s="2" t="s">
        <v>91</v>
      </c>
      <c r="BL639" s="70"/>
      <c r="BM639" s="70"/>
      <c r="BO639" s="70"/>
      <c r="BP639" s="70"/>
      <c r="BQ639" s="72"/>
      <c r="BS639" s="61">
        <f t="shared" si="514"/>
        <v>0</v>
      </c>
      <c r="BT639" s="61">
        <f t="shared" si="515"/>
        <v>0</v>
      </c>
      <c r="BU639" s="61">
        <f t="shared" si="516"/>
        <v>0</v>
      </c>
      <c r="BV639" s="61">
        <f t="shared" si="516"/>
        <v>0</v>
      </c>
      <c r="BW639" s="61">
        <f t="shared" si="516"/>
        <v>0</v>
      </c>
      <c r="BX639" s="61">
        <f t="shared" si="516"/>
        <v>0</v>
      </c>
      <c r="BY639" s="61" t="s">
        <v>91</v>
      </c>
      <c r="CA639" s="61">
        <f t="shared" si="525"/>
        <v>0</v>
      </c>
      <c r="CB639" s="61">
        <f t="shared" si="525"/>
        <v>0</v>
      </c>
      <c r="CC639" s="61">
        <f t="shared" si="525"/>
        <v>0</v>
      </c>
      <c r="CD639" s="61">
        <f t="shared" si="523"/>
        <v>0</v>
      </c>
      <c r="CE639" s="61">
        <f t="shared" si="523"/>
        <v>0</v>
      </c>
      <c r="CF639" s="61">
        <f t="shared" si="523"/>
        <v>0</v>
      </c>
      <c r="CG639" s="61">
        <f t="shared" si="523"/>
        <v>0</v>
      </c>
      <c r="CH639" s="61">
        <f t="shared" si="523"/>
        <v>0</v>
      </c>
      <c r="CI639" s="61">
        <f t="shared" si="504"/>
        <v>0</v>
      </c>
      <c r="CJ639" s="61"/>
      <c r="CK639" s="61">
        <f t="shared" si="526"/>
        <v>0</v>
      </c>
      <c r="CL639" s="61">
        <f t="shared" si="526"/>
        <v>0</v>
      </c>
      <c r="CM639" s="61">
        <f t="shared" si="526"/>
        <v>0</v>
      </c>
      <c r="CN639" s="61">
        <f t="shared" si="524"/>
        <v>0</v>
      </c>
      <c r="CO639" s="61">
        <f t="shared" si="524"/>
        <v>0</v>
      </c>
      <c r="CP639" s="61">
        <f t="shared" si="524"/>
        <v>0</v>
      </c>
      <c r="CQ639" s="61">
        <f t="shared" si="524"/>
        <v>0</v>
      </c>
      <c r="CR639" s="61">
        <f t="shared" si="524"/>
        <v>0</v>
      </c>
      <c r="CS639" s="61">
        <f t="shared" si="505"/>
        <v>0</v>
      </c>
      <c r="CT639" s="61">
        <f t="shared" si="506"/>
        <v>0</v>
      </c>
      <c r="CV639" s="61">
        <f t="shared" si="507"/>
        <v>0</v>
      </c>
      <c r="CW639" s="61">
        <f t="shared" si="508"/>
        <v>0</v>
      </c>
      <c r="CX639" s="61"/>
      <c r="CY639" s="61">
        <f t="shared" si="509"/>
        <v>0</v>
      </c>
      <c r="CZ639" s="61">
        <f t="shared" si="509"/>
        <v>0</v>
      </c>
      <c r="DA639" s="61">
        <f t="shared" si="509"/>
        <v>0</v>
      </c>
      <c r="DB639" s="2" t="s">
        <v>85</v>
      </c>
      <c r="DC639" s="2" t="s">
        <v>85</v>
      </c>
      <c r="DD639" s="2" t="s">
        <v>142</v>
      </c>
      <c r="DE639" s="2" t="s">
        <v>1146</v>
      </c>
      <c r="DG639" s="62"/>
      <c r="EC639" s="60"/>
      <c r="ED639" s="60"/>
      <c r="EE639" s="60"/>
      <c r="EF639" s="60"/>
    </row>
    <row r="640" spans="2:140" ht="12.75" hidden="1" customHeight="1">
      <c r="B640" s="99" t="s">
        <v>1160</v>
      </c>
      <c r="C640" s="22" t="s">
        <v>1034</v>
      </c>
      <c r="D640" s="22" t="s">
        <v>1035</v>
      </c>
      <c r="E640" s="2" t="s">
        <v>993</v>
      </c>
      <c r="F640" s="2" t="s">
        <v>969</v>
      </c>
      <c r="G640" s="2" t="s">
        <v>331</v>
      </c>
      <c r="J640" s="22" t="s">
        <v>138</v>
      </c>
      <c r="K640" s="23" t="s">
        <v>1162</v>
      </c>
      <c r="L640" s="22" t="s">
        <v>203</v>
      </c>
      <c r="M640" s="51" t="str">
        <f t="shared" si="547"/>
        <v>JD8B-F64417-CAW</v>
      </c>
      <c r="O640" s="22"/>
      <c r="P640" s="22"/>
      <c r="Q640" s="22"/>
      <c r="R640" s="22"/>
      <c r="S640" s="22"/>
      <c r="T640" s="22"/>
      <c r="U640" s="22">
        <v>1</v>
      </c>
      <c r="V640" s="22">
        <v>1</v>
      </c>
      <c r="W640" s="64">
        <f t="shared" si="548"/>
        <v>0.1</v>
      </c>
      <c r="Y640" s="8">
        <v>0</v>
      </c>
      <c r="Z640" s="8"/>
      <c r="AA640" s="8"/>
      <c r="AB640" s="8"/>
      <c r="AC640" s="8">
        <v>0</v>
      </c>
      <c r="AD640" s="8">
        <f t="shared" si="498"/>
        <v>0</v>
      </c>
      <c r="AE640" s="2" t="s">
        <v>91</v>
      </c>
      <c r="AG640" s="8"/>
      <c r="AH640" s="8"/>
      <c r="AJ640" s="70"/>
      <c r="AK640" s="70"/>
      <c r="AL640" s="72"/>
      <c r="AM640" s="22"/>
      <c r="AO640" s="22" t="s">
        <v>138</v>
      </c>
      <c r="AP640" s="85" t="s">
        <v>1162</v>
      </c>
      <c r="AQ640" s="22" t="s">
        <v>203</v>
      </c>
      <c r="AR640" s="51" t="str">
        <f t="shared" si="549"/>
        <v>JD8B-F64417-CAW</v>
      </c>
      <c r="AS640" s="3"/>
      <c r="AT640" s="22"/>
      <c r="AU640" s="22"/>
      <c r="AV640" s="22"/>
      <c r="AW640" s="22"/>
      <c r="AX640" s="22"/>
      <c r="AY640" s="22"/>
      <c r="AZ640" s="22">
        <v>1</v>
      </c>
      <c r="BA640" s="22">
        <v>1</v>
      </c>
      <c r="BB640" s="64">
        <f t="shared" si="550"/>
        <v>0.1</v>
      </c>
      <c r="BD640" s="60">
        <v>0</v>
      </c>
      <c r="BE640" s="60"/>
      <c r="BF640" s="60"/>
      <c r="BG640" s="60"/>
      <c r="BH640" s="60">
        <v>0</v>
      </c>
      <c r="BI640" s="8">
        <f t="shared" si="546"/>
        <v>0</v>
      </c>
      <c r="BJ640" s="2" t="s">
        <v>91</v>
      </c>
      <c r="BL640" s="70"/>
      <c r="BM640" s="70"/>
      <c r="BO640" s="70"/>
      <c r="BP640" s="70"/>
      <c r="BQ640" s="72"/>
      <c r="BS640" s="61">
        <f t="shared" si="514"/>
        <v>0</v>
      </c>
      <c r="BT640" s="61">
        <f t="shared" si="515"/>
        <v>0</v>
      </c>
      <c r="BU640" s="61">
        <f t="shared" si="516"/>
        <v>0</v>
      </c>
      <c r="BV640" s="61">
        <f t="shared" si="516"/>
        <v>0</v>
      </c>
      <c r="BW640" s="61">
        <f t="shared" si="516"/>
        <v>0</v>
      </c>
      <c r="BX640" s="61">
        <f t="shared" si="516"/>
        <v>0</v>
      </c>
      <c r="BY640" s="61" t="s">
        <v>91</v>
      </c>
      <c r="CA640" s="61">
        <f t="shared" si="525"/>
        <v>0</v>
      </c>
      <c r="CB640" s="61">
        <f t="shared" si="525"/>
        <v>0</v>
      </c>
      <c r="CC640" s="61">
        <f t="shared" si="525"/>
        <v>0</v>
      </c>
      <c r="CD640" s="61">
        <f t="shared" si="523"/>
        <v>0</v>
      </c>
      <c r="CE640" s="61">
        <f t="shared" si="523"/>
        <v>0</v>
      </c>
      <c r="CF640" s="61">
        <f t="shared" si="523"/>
        <v>0</v>
      </c>
      <c r="CG640" s="61">
        <f t="shared" si="523"/>
        <v>0</v>
      </c>
      <c r="CH640" s="61">
        <f t="shared" si="523"/>
        <v>0</v>
      </c>
      <c r="CI640" s="61">
        <f t="shared" si="504"/>
        <v>0</v>
      </c>
      <c r="CJ640" s="61"/>
      <c r="CK640" s="61">
        <f t="shared" si="526"/>
        <v>0</v>
      </c>
      <c r="CL640" s="61">
        <f t="shared" si="526"/>
        <v>0</v>
      </c>
      <c r="CM640" s="61">
        <f t="shared" si="526"/>
        <v>0</v>
      </c>
      <c r="CN640" s="61">
        <f t="shared" si="524"/>
        <v>0</v>
      </c>
      <c r="CO640" s="61">
        <f t="shared" si="524"/>
        <v>0</v>
      </c>
      <c r="CP640" s="61">
        <f t="shared" si="524"/>
        <v>0</v>
      </c>
      <c r="CQ640" s="61">
        <f t="shared" si="524"/>
        <v>0</v>
      </c>
      <c r="CR640" s="61">
        <f t="shared" si="524"/>
        <v>0</v>
      </c>
      <c r="CS640" s="61">
        <f t="shared" si="505"/>
        <v>0</v>
      </c>
      <c r="CT640" s="61">
        <f t="shared" si="506"/>
        <v>0</v>
      </c>
      <c r="CV640" s="61">
        <f t="shared" ref="CV640:CV700" si="554">SUM(AG640)-SUM(BL640)</f>
        <v>0</v>
      </c>
      <c r="CW640" s="61">
        <f t="shared" si="508"/>
        <v>0</v>
      </c>
      <c r="CX640" s="61"/>
      <c r="CY640" s="61">
        <f t="shared" ref="CY640:DA685" si="555">SUM(AJ640)-SUM(BO640)</f>
        <v>0</v>
      </c>
      <c r="CZ640" s="61">
        <f t="shared" si="555"/>
        <v>0</v>
      </c>
      <c r="DA640" s="61">
        <f t="shared" si="555"/>
        <v>0</v>
      </c>
      <c r="DB640" s="2" t="s">
        <v>85</v>
      </c>
      <c r="DC640" s="2" t="s">
        <v>85</v>
      </c>
      <c r="DD640" s="2" t="s">
        <v>142</v>
      </c>
      <c r="DE640" s="2" t="s">
        <v>1146</v>
      </c>
      <c r="DG640" s="62"/>
      <c r="EC640" s="60"/>
      <c r="ED640" s="60"/>
      <c r="EE640" s="60"/>
      <c r="EF640" s="60"/>
    </row>
    <row r="641" spans="1:140" ht="12.75" hidden="1" customHeight="1">
      <c r="B641" s="99" t="s">
        <v>1160</v>
      </c>
      <c r="C641" s="22" t="s">
        <v>1034</v>
      </c>
      <c r="D641" s="22" t="s">
        <v>1035</v>
      </c>
      <c r="E641" s="2" t="s">
        <v>993</v>
      </c>
      <c r="F641" s="2" t="s">
        <v>969</v>
      </c>
      <c r="G641" s="2" t="s">
        <v>331</v>
      </c>
      <c r="J641" s="22" t="s">
        <v>138</v>
      </c>
      <c r="K641" s="23" t="s">
        <v>1163</v>
      </c>
      <c r="L641" s="22" t="s">
        <v>203</v>
      </c>
      <c r="M641" s="51" t="str">
        <f t="shared" si="547"/>
        <v>JD8B-F63804-CAW</v>
      </c>
      <c r="O641" s="22"/>
      <c r="P641" s="22"/>
      <c r="Q641" s="22"/>
      <c r="R641" s="22"/>
      <c r="S641" s="22"/>
      <c r="T641" s="22"/>
      <c r="U641" s="22">
        <v>1</v>
      </c>
      <c r="V641" s="22">
        <v>1</v>
      </c>
      <c r="W641" s="64">
        <f t="shared" si="548"/>
        <v>0.1</v>
      </c>
      <c r="Y641" s="8">
        <v>0</v>
      </c>
      <c r="Z641" s="8"/>
      <c r="AA641" s="8"/>
      <c r="AB641" s="8"/>
      <c r="AC641" s="8">
        <v>0</v>
      </c>
      <c r="AD641" s="8">
        <f t="shared" si="498"/>
        <v>0</v>
      </c>
      <c r="AE641" s="2" t="s">
        <v>91</v>
      </c>
      <c r="AG641" s="8"/>
      <c r="AH641" s="8"/>
      <c r="AJ641" s="70"/>
      <c r="AK641" s="70"/>
      <c r="AL641" s="72"/>
      <c r="AM641" s="22"/>
      <c r="AO641" s="22" t="s">
        <v>138</v>
      </c>
      <c r="AP641" s="85" t="s">
        <v>1163</v>
      </c>
      <c r="AQ641" s="22" t="s">
        <v>203</v>
      </c>
      <c r="AR641" s="51" t="str">
        <f t="shared" si="549"/>
        <v>JD8B-F63804-CAW</v>
      </c>
      <c r="AS641" s="3"/>
      <c r="AT641" s="22"/>
      <c r="AU641" s="22"/>
      <c r="AV641" s="22"/>
      <c r="AW641" s="22"/>
      <c r="AX641" s="22"/>
      <c r="AY641" s="22"/>
      <c r="AZ641" s="22">
        <v>1</v>
      </c>
      <c r="BA641" s="22">
        <v>1</v>
      </c>
      <c r="BB641" s="64">
        <f t="shared" si="550"/>
        <v>0.1</v>
      </c>
      <c r="BD641" s="60">
        <v>0</v>
      </c>
      <c r="BE641" s="60"/>
      <c r="BF641" s="60"/>
      <c r="BG641" s="60"/>
      <c r="BH641" s="60">
        <v>0</v>
      </c>
      <c r="BI641" s="8">
        <f t="shared" si="546"/>
        <v>0</v>
      </c>
      <c r="BJ641" s="2" t="s">
        <v>91</v>
      </c>
      <c r="BL641" s="70"/>
      <c r="BM641" s="70"/>
      <c r="BO641" s="70"/>
      <c r="BP641" s="70"/>
      <c r="BQ641" s="72"/>
      <c r="BS641" s="61">
        <f t="shared" si="514"/>
        <v>0</v>
      </c>
      <c r="BT641" s="61">
        <f t="shared" si="515"/>
        <v>0</v>
      </c>
      <c r="BU641" s="61">
        <f t="shared" si="516"/>
        <v>0</v>
      </c>
      <c r="BV641" s="61">
        <f t="shared" si="516"/>
        <v>0</v>
      </c>
      <c r="BW641" s="61">
        <f t="shared" si="516"/>
        <v>0</v>
      </c>
      <c r="BX641" s="61">
        <f t="shared" si="516"/>
        <v>0</v>
      </c>
      <c r="BY641" s="61" t="s">
        <v>91</v>
      </c>
      <c r="CA641" s="61">
        <f t="shared" si="525"/>
        <v>0</v>
      </c>
      <c r="CB641" s="61">
        <f t="shared" si="525"/>
        <v>0</v>
      </c>
      <c r="CC641" s="61">
        <f t="shared" si="525"/>
        <v>0</v>
      </c>
      <c r="CD641" s="61">
        <f t="shared" si="523"/>
        <v>0</v>
      </c>
      <c r="CE641" s="61">
        <f t="shared" si="523"/>
        <v>0</v>
      </c>
      <c r="CF641" s="61">
        <f t="shared" si="523"/>
        <v>0</v>
      </c>
      <c r="CG641" s="61">
        <f t="shared" si="523"/>
        <v>0</v>
      </c>
      <c r="CH641" s="61">
        <f t="shared" si="523"/>
        <v>0</v>
      </c>
      <c r="CI641" s="61">
        <f t="shared" si="504"/>
        <v>0</v>
      </c>
      <c r="CJ641" s="61"/>
      <c r="CK641" s="61">
        <f t="shared" si="526"/>
        <v>0</v>
      </c>
      <c r="CL641" s="61">
        <f t="shared" si="526"/>
        <v>0</v>
      </c>
      <c r="CM641" s="61">
        <f t="shared" si="526"/>
        <v>0</v>
      </c>
      <c r="CN641" s="61">
        <f t="shared" si="524"/>
        <v>0</v>
      </c>
      <c r="CO641" s="61">
        <f t="shared" si="524"/>
        <v>0</v>
      </c>
      <c r="CP641" s="61">
        <f t="shared" si="524"/>
        <v>0</v>
      </c>
      <c r="CQ641" s="61">
        <f t="shared" si="524"/>
        <v>0</v>
      </c>
      <c r="CR641" s="61">
        <f t="shared" si="524"/>
        <v>0</v>
      </c>
      <c r="CS641" s="61">
        <f t="shared" si="505"/>
        <v>0</v>
      </c>
      <c r="CT641" s="61">
        <f t="shared" si="506"/>
        <v>0</v>
      </c>
      <c r="CV641" s="61">
        <f t="shared" si="554"/>
        <v>0</v>
      </c>
      <c r="CW641" s="61">
        <f t="shared" si="508"/>
        <v>0</v>
      </c>
      <c r="CX641" s="61"/>
      <c r="CY641" s="61">
        <f t="shared" si="555"/>
        <v>0</v>
      </c>
      <c r="CZ641" s="61">
        <f t="shared" si="555"/>
        <v>0</v>
      </c>
      <c r="DA641" s="61">
        <f t="shared" si="555"/>
        <v>0</v>
      </c>
      <c r="DB641" s="2" t="s">
        <v>85</v>
      </c>
      <c r="DC641" s="2" t="s">
        <v>85</v>
      </c>
      <c r="DD641" s="2" t="s">
        <v>142</v>
      </c>
      <c r="DE641" s="2" t="s">
        <v>1146</v>
      </c>
      <c r="DG641" s="62"/>
      <c r="EC641" s="60"/>
      <c r="ED641" s="60"/>
      <c r="EE641" s="60"/>
      <c r="EF641" s="60"/>
    </row>
    <row r="642" spans="1:140" s="131" customFormat="1" ht="12.75" hidden="1" customHeight="1">
      <c r="A642" s="131" t="s">
        <v>3</v>
      </c>
      <c r="B642" s="129" t="s">
        <v>1160</v>
      </c>
      <c r="C642" s="130" t="s">
        <v>1034</v>
      </c>
      <c r="D642" s="130" t="s">
        <v>1035</v>
      </c>
      <c r="E642" s="131" t="s">
        <v>993</v>
      </c>
      <c r="F642" s="131" t="s">
        <v>969</v>
      </c>
      <c r="G642" s="131" t="s">
        <v>331</v>
      </c>
      <c r="H642" s="2"/>
      <c r="J642" s="130" t="s">
        <v>138</v>
      </c>
      <c r="K642" s="132" t="s">
        <v>1047</v>
      </c>
      <c r="L642" s="130" t="s">
        <v>203</v>
      </c>
      <c r="M642" s="133" t="str">
        <f t="shared" si="547"/>
        <v>JD8B-F600A30-CAW</v>
      </c>
      <c r="N642" s="134"/>
      <c r="O642" s="130"/>
      <c r="P642" s="130"/>
      <c r="Q642" s="130"/>
      <c r="R642" s="130"/>
      <c r="S642" s="130"/>
      <c r="T642" s="130"/>
      <c r="U642" s="130">
        <v>1</v>
      </c>
      <c r="V642" s="130">
        <v>1</v>
      </c>
      <c r="W642" s="135">
        <f t="shared" si="548"/>
        <v>0.1</v>
      </c>
      <c r="Y642" s="136">
        <v>-1211.8320000000001</v>
      </c>
      <c r="Z642" s="136"/>
      <c r="AA642" s="136"/>
      <c r="AB642" s="136"/>
      <c r="AC642" s="136">
        <v>-4.8780000000000001</v>
      </c>
      <c r="AD642" s="136">
        <f t="shared" si="498"/>
        <v>-1216.71</v>
      </c>
      <c r="AE642" s="131" t="s">
        <v>91</v>
      </c>
      <c r="AG642" s="136">
        <v>-9543879</v>
      </c>
      <c r="AH642" s="136">
        <v>-9543879</v>
      </c>
      <c r="AJ642" s="137"/>
      <c r="AK642" s="137"/>
      <c r="AL642" s="138"/>
      <c r="AM642" s="130"/>
      <c r="AO642" s="130" t="s">
        <v>138</v>
      </c>
      <c r="AP642" s="142" t="s">
        <v>1047</v>
      </c>
      <c r="AQ642" s="130" t="s">
        <v>203</v>
      </c>
      <c r="AR642" s="133" t="str">
        <f t="shared" si="549"/>
        <v>JD8B-F600A30-CAW</v>
      </c>
      <c r="AS642" s="134"/>
      <c r="AT642" s="130"/>
      <c r="AU642" s="130"/>
      <c r="AV642" s="130"/>
      <c r="AW642" s="130"/>
      <c r="AX642" s="130"/>
      <c r="AY642" s="130"/>
      <c r="AZ642" s="130">
        <v>1</v>
      </c>
      <c r="BA642" s="130">
        <v>1</v>
      </c>
      <c r="BB642" s="135">
        <f t="shared" si="550"/>
        <v>0.1</v>
      </c>
      <c r="BD642" s="139">
        <f>-1211.832-2.38</f>
        <v>-1214.2120000000002</v>
      </c>
      <c r="BE642" s="139"/>
      <c r="BF642" s="139"/>
      <c r="BG642" s="139"/>
      <c r="BH642" s="139">
        <v>-4.8780000000000001</v>
      </c>
      <c r="BI642" s="136">
        <f t="shared" si="546"/>
        <v>-1219.0900000000001</v>
      </c>
      <c r="BJ642" s="131" t="s">
        <v>91</v>
      </c>
      <c r="BL642" s="137">
        <v>-9543879</v>
      </c>
      <c r="BM642" s="137">
        <v>-9543879</v>
      </c>
      <c r="BO642" s="137"/>
      <c r="BP642" s="137"/>
      <c r="BQ642" s="138"/>
      <c r="BS642" s="61">
        <f t="shared" si="514"/>
        <v>2.3800000000001091</v>
      </c>
      <c r="BT642" s="61">
        <f t="shared" si="515"/>
        <v>0</v>
      </c>
      <c r="BU642" s="61">
        <f t="shared" si="516"/>
        <v>0</v>
      </c>
      <c r="BV642" s="61">
        <f t="shared" si="516"/>
        <v>0</v>
      </c>
      <c r="BW642" s="61">
        <f t="shared" si="516"/>
        <v>0</v>
      </c>
      <c r="BX642" s="61">
        <f t="shared" si="516"/>
        <v>2.3800000000001091</v>
      </c>
      <c r="BY642" s="61" t="s">
        <v>91</v>
      </c>
      <c r="BZ642" s="2"/>
      <c r="CA642" s="61">
        <f t="shared" si="525"/>
        <v>0</v>
      </c>
      <c r="CB642" s="61">
        <f t="shared" si="525"/>
        <v>0</v>
      </c>
      <c r="CC642" s="61">
        <f t="shared" si="525"/>
        <v>0</v>
      </c>
      <c r="CD642" s="61">
        <f t="shared" si="523"/>
        <v>0</v>
      </c>
      <c r="CE642" s="61">
        <f t="shared" si="523"/>
        <v>0</v>
      </c>
      <c r="CF642" s="61">
        <f t="shared" si="523"/>
        <v>0</v>
      </c>
      <c r="CG642" s="61">
        <f t="shared" si="523"/>
        <v>0.35805626598467116</v>
      </c>
      <c r="CH642" s="61">
        <f t="shared" si="523"/>
        <v>0.35805626598467116</v>
      </c>
      <c r="CI642" s="61">
        <f t="shared" si="504"/>
        <v>3.5805626598467116E-2</v>
      </c>
      <c r="CJ642" s="61"/>
      <c r="CK642" s="61">
        <f t="shared" si="526"/>
        <v>0</v>
      </c>
      <c r="CL642" s="61">
        <f t="shared" si="526"/>
        <v>0</v>
      </c>
      <c r="CM642" s="61">
        <f t="shared" si="526"/>
        <v>0</v>
      </c>
      <c r="CN642" s="61">
        <f t="shared" si="524"/>
        <v>0</v>
      </c>
      <c r="CO642" s="61">
        <f t="shared" si="524"/>
        <v>0</v>
      </c>
      <c r="CP642" s="61">
        <f t="shared" si="524"/>
        <v>0</v>
      </c>
      <c r="CQ642" s="61">
        <f t="shared" si="524"/>
        <v>0.35805626598467116</v>
      </c>
      <c r="CR642" s="61">
        <f t="shared" si="524"/>
        <v>0.35805626598467116</v>
      </c>
      <c r="CS642" s="61">
        <f t="shared" si="505"/>
        <v>3.5805626598467116E-2</v>
      </c>
      <c r="CT642" s="61">
        <f t="shared" si="506"/>
        <v>0.23800000000001093</v>
      </c>
      <c r="CU642" s="2"/>
      <c r="CV642" s="61">
        <f t="shared" si="554"/>
        <v>0</v>
      </c>
      <c r="CW642" s="61">
        <f t="shared" si="508"/>
        <v>0</v>
      </c>
      <c r="CX642" s="61"/>
      <c r="CY642" s="61">
        <f t="shared" si="555"/>
        <v>0</v>
      </c>
      <c r="CZ642" s="61">
        <f t="shared" si="555"/>
        <v>0</v>
      </c>
      <c r="DA642" s="61">
        <f t="shared" si="555"/>
        <v>0</v>
      </c>
      <c r="DB642" s="131" t="s">
        <v>85</v>
      </c>
      <c r="DC642" s="131" t="s">
        <v>85</v>
      </c>
      <c r="DD642" s="131" t="s">
        <v>142</v>
      </c>
      <c r="DE642" s="131" t="s">
        <v>1146</v>
      </c>
      <c r="DF642" s="134"/>
      <c r="DG642" s="141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134"/>
      <c r="EC642" s="139"/>
      <c r="ED642" s="139"/>
      <c r="EE642" s="139"/>
      <c r="EF642" s="139"/>
    </row>
    <row r="643" spans="1:140" ht="12.75" hidden="1" customHeight="1">
      <c r="A643" s="2" t="s">
        <v>3</v>
      </c>
      <c r="B643" s="99" t="s">
        <v>1051</v>
      </c>
      <c r="C643" s="22" t="s">
        <v>1034</v>
      </c>
      <c r="D643" s="22" t="s">
        <v>1035</v>
      </c>
      <c r="E643" s="2" t="s">
        <v>993</v>
      </c>
      <c r="F643" s="2" t="s">
        <v>969</v>
      </c>
      <c r="G643" s="2" t="s">
        <v>331</v>
      </c>
      <c r="J643" s="22" t="s">
        <v>138</v>
      </c>
      <c r="K643" s="23" t="s">
        <v>1047</v>
      </c>
      <c r="L643" s="22" t="s">
        <v>498</v>
      </c>
      <c r="M643" s="51" t="str">
        <f t="shared" si="547"/>
        <v>JD8B-F600A30-CBW</v>
      </c>
      <c r="O643" s="22"/>
      <c r="P643" s="22"/>
      <c r="Q643" s="22"/>
      <c r="R643" s="22"/>
      <c r="S643" s="22"/>
      <c r="T643" s="22"/>
      <c r="U643" s="22">
        <v>1</v>
      </c>
      <c r="V643" s="22">
        <v>1</v>
      </c>
      <c r="W643" s="64">
        <f t="shared" si="548"/>
        <v>0.1</v>
      </c>
      <c r="Y643" s="8">
        <v>-1211.8320000000001</v>
      </c>
      <c r="Z643" s="8"/>
      <c r="AA643" s="8"/>
      <c r="AB643" s="8"/>
      <c r="AC643" s="8">
        <v>-4.8780000000000001</v>
      </c>
      <c r="AD643" s="8">
        <f t="shared" ref="AD643" si="556">SUM(Y643:AC643)</f>
        <v>-1216.71</v>
      </c>
      <c r="AE643" s="2" t="s">
        <v>91</v>
      </c>
      <c r="AG643" s="6">
        <f>-9543879*0</f>
        <v>0</v>
      </c>
      <c r="AH643" s="6">
        <f>-9543879*0</f>
        <v>0</v>
      </c>
      <c r="AJ643" s="70"/>
      <c r="AK643" s="70"/>
      <c r="AL643" s="72"/>
      <c r="AM643" s="22"/>
      <c r="AO643" s="22" t="s">
        <v>138</v>
      </c>
      <c r="AP643" s="23" t="s">
        <v>1047</v>
      </c>
      <c r="AQ643" s="22" t="s">
        <v>203</v>
      </c>
      <c r="AR643" s="51" t="str">
        <f t="shared" si="549"/>
        <v>JD8B-F600A30-CAW</v>
      </c>
      <c r="AS643" s="3"/>
      <c r="AT643" s="22"/>
      <c r="AU643" s="22"/>
      <c r="AV643" s="22"/>
      <c r="AW643" s="22"/>
      <c r="AX643" s="22"/>
      <c r="AY643" s="22"/>
      <c r="AZ643" s="22">
        <v>1</v>
      </c>
      <c r="BA643" s="22">
        <v>1</v>
      </c>
      <c r="BB643" s="64">
        <f t="shared" si="550"/>
        <v>0.1</v>
      </c>
      <c r="BD643" s="8">
        <v>-1211.8320000000001</v>
      </c>
      <c r="BE643" s="8"/>
      <c r="BF643" s="8"/>
      <c r="BG643" s="8"/>
      <c r="BH643" s="8">
        <v>-4.8780000000000001</v>
      </c>
      <c r="BI643" s="8">
        <f t="shared" si="546"/>
        <v>-1216.71</v>
      </c>
      <c r="BJ643" s="2" t="s">
        <v>91</v>
      </c>
      <c r="BL643" s="6">
        <f>-9543879*0</f>
        <v>0</v>
      </c>
      <c r="BM643" s="6">
        <f>-9543879*0</f>
        <v>0</v>
      </c>
      <c r="BO643" s="70"/>
      <c r="BP643" s="70"/>
      <c r="BQ643" s="72"/>
      <c r="BS643" s="61">
        <f t="shared" si="514"/>
        <v>0</v>
      </c>
      <c r="BT643" s="61">
        <f t="shared" si="515"/>
        <v>0</v>
      </c>
      <c r="BU643" s="61">
        <f t="shared" si="516"/>
        <v>0</v>
      </c>
      <c r="BV643" s="61">
        <f t="shared" si="516"/>
        <v>0</v>
      </c>
      <c r="BW643" s="61">
        <f t="shared" si="516"/>
        <v>0</v>
      </c>
      <c r="BX643" s="61">
        <f t="shared" si="516"/>
        <v>0</v>
      </c>
      <c r="BY643" s="61" t="s">
        <v>91</v>
      </c>
      <c r="CA643" s="61">
        <f t="shared" si="525"/>
        <v>0</v>
      </c>
      <c r="CB643" s="61">
        <f t="shared" si="525"/>
        <v>0</v>
      </c>
      <c r="CC643" s="61">
        <f t="shared" si="525"/>
        <v>0</v>
      </c>
      <c r="CD643" s="61">
        <f t="shared" si="523"/>
        <v>0</v>
      </c>
      <c r="CE643" s="61">
        <f t="shared" si="523"/>
        <v>0</v>
      </c>
      <c r="CF643" s="61">
        <f t="shared" si="523"/>
        <v>0</v>
      </c>
      <c r="CG643" s="61">
        <f t="shared" si="523"/>
        <v>0</v>
      </c>
      <c r="CH643" s="61">
        <f t="shared" si="523"/>
        <v>0</v>
      </c>
      <c r="CI643" s="61">
        <f t="shared" si="504"/>
        <v>0</v>
      </c>
      <c r="CJ643" s="61"/>
      <c r="CK643" s="61">
        <f t="shared" si="526"/>
        <v>0</v>
      </c>
      <c r="CL643" s="61">
        <f t="shared" si="526"/>
        <v>0</v>
      </c>
      <c r="CM643" s="61">
        <f t="shared" si="526"/>
        <v>0</v>
      </c>
      <c r="CN643" s="61">
        <f t="shared" si="524"/>
        <v>0</v>
      </c>
      <c r="CO643" s="61">
        <f t="shared" si="524"/>
        <v>0</v>
      </c>
      <c r="CP643" s="61">
        <f t="shared" si="524"/>
        <v>0</v>
      </c>
      <c r="CQ643" s="61">
        <f t="shared" si="524"/>
        <v>0</v>
      </c>
      <c r="CR643" s="61">
        <f t="shared" si="524"/>
        <v>0</v>
      </c>
      <c r="CS643" s="61">
        <f t="shared" si="505"/>
        <v>0</v>
      </c>
      <c r="CT643" s="61">
        <f t="shared" si="506"/>
        <v>0</v>
      </c>
      <c r="CV643" s="61">
        <f t="shared" ref="CV643" si="557">SUM(AG643)-SUM(BL643)</f>
        <v>0</v>
      </c>
      <c r="CW643" s="61">
        <f t="shared" si="508"/>
        <v>0</v>
      </c>
      <c r="CX643" s="61"/>
      <c r="CY643" s="61">
        <f t="shared" si="555"/>
        <v>0</v>
      </c>
      <c r="CZ643" s="61">
        <f t="shared" si="555"/>
        <v>0</v>
      </c>
      <c r="DA643" s="61">
        <f t="shared" si="555"/>
        <v>0</v>
      </c>
      <c r="DB643" s="2" t="s">
        <v>86</v>
      </c>
      <c r="DC643" s="2" t="s">
        <v>85</v>
      </c>
      <c r="DD643" s="2" t="s">
        <v>142</v>
      </c>
      <c r="DE643" s="2" t="s">
        <v>106</v>
      </c>
      <c r="DF643" s="3" t="s">
        <v>86</v>
      </c>
      <c r="DG643" s="62">
        <v>43136</v>
      </c>
      <c r="EC643" s="60" t="str">
        <f>VLOOKUP($M643,[1]Detail!$M:$BO,1,0)</f>
        <v>JD8B-F600A30-CBW</v>
      </c>
      <c r="ED643" s="60">
        <f>VLOOKUP($M643,[1]Detail!$M:$BO,22,0)</f>
        <v>-1216.71</v>
      </c>
      <c r="EE643" s="60">
        <f>VLOOKUP($M643,[1]Detail!$M:$BO,42,0)</f>
        <v>0</v>
      </c>
      <c r="EF643" s="60" t="str">
        <f>VLOOKUP($M643,[1]Detail!$M:$BO,45,0)</f>
        <v>incl.above</v>
      </c>
      <c r="EH643" s="60">
        <f>ED643-AD643</f>
        <v>0</v>
      </c>
      <c r="EI643" s="60">
        <f>SUM(EE643)-SUM(AG643)</f>
        <v>0</v>
      </c>
      <c r="EJ643" s="60">
        <f>SUM(EF643)-SUM(AJ643)</f>
        <v>0</v>
      </c>
    </row>
    <row r="644" spans="1:140" ht="12.75" hidden="1" customHeight="1">
      <c r="B644" s="99" t="s">
        <v>1160</v>
      </c>
      <c r="C644" s="22" t="s">
        <v>1034</v>
      </c>
      <c r="D644" s="22" t="s">
        <v>1035</v>
      </c>
      <c r="E644" s="2" t="s">
        <v>993</v>
      </c>
      <c r="F644" s="2" t="s">
        <v>969</v>
      </c>
      <c r="G644" s="2" t="s">
        <v>331</v>
      </c>
      <c r="J644" s="22" t="s">
        <v>138</v>
      </c>
      <c r="K644" s="23" t="s">
        <v>1164</v>
      </c>
      <c r="L644" s="22" t="s">
        <v>203</v>
      </c>
      <c r="M644" s="51" t="str">
        <f t="shared" si="547"/>
        <v>JD8B-F66601-CAW</v>
      </c>
      <c r="O644" s="22"/>
      <c r="P644" s="22"/>
      <c r="Q644" s="22"/>
      <c r="R644" s="22"/>
      <c r="S644" s="22"/>
      <c r="T644" s="22"/>
      <c r="U644" s="22">
        <v>1</v>
      </c>
      <c r="V644" s="22">
        <v>1</v>
      </c>
      <c r="W644" s="64">
        <f t="shared" si="548"/>
        <v>0.1</v>
      </c>
      <c r="Y644" s="8">
        <v>0</v>
      </c>
      <c r="Z644" s="8"/>
      <c r="AA644" s="8"/>
      <c r="AB644" s="8"/>
      <c r="AC644" s="8">
        <v>0</v>
      </c>
      <c r="AD644" s="8">
        <f t="shared" si="498"/>
        <v>0</v>
      </c>
      <c r="AE644" s="2" t="s">
        <v>91</v>
      </c>
      <c r="AG644" s="8"/>
      <c r="AH644" s="8"/>
      <c r="AJ644" s="70"/>
      <c r="AK644" s="70"/>
      <c r="AL644" s="72"/>
      <c r="AM644" s="22"/>
      <c r="AO644" s="22" t="s">
        <v>138</v>
      </c>
      <c r="AP644" s="85" t="s">
        <v>1164</v>
      </c>
      <c r="AQ644" s="22" t="s">
        <v>203</v>
      </c>
      <c r="AR644" s="51" t="str">
        <f t="shared" si="549"/>
        <v>JD8B-F66601-CAW</v>
      </c>
      <c r="AS644" s="3"/>
      <c r="AT644" s="22"/>
      <c r="AU644" s="22"/>
      <c r="AV644" s="22"/>
      <c r="AW644" s="22"/>
      <c r="AX644" s="22"/>
      <c r="AY644" s="22"/>
      <c r="AZ644" s="22">
        <v>1</v>
      </c>
      <c r="BA644" s="22">
        <v>1</v>
      </c>
      <c r="BB644" s="64">
        <f t="shared" si="550"/>
        <v>0.1</v>
      </c>
      <c r="BD644" s="60">
        <v>0</v>
      </c>
      <c r="BE644" s="60"/>
      <c r="BF644" s="60"/>
      <c r="BG644" s="60"/>
      <c r="BH644" s="60">
        <v>0</v>
      </c>
      <c r="BI644" s="8">
        <f t="shared" si="546"/>
        <v>0</v>
      </c>
      <c r="BJ644" s="2" t="s">
        <v>91</v>
      </c>
      <c r="BL644" s="70"/>
      <c r="BM644" s="70"/>
      <c r="BO644" s="70"/>
      <c r="BP644" s="70"/>
      <c r="BQ644" s="72"/>
      <c r="BS644" s="61">
        <f t="shared" si="514"/>
        <v>0</v>
      </c>
      <c r="BT644" s="61">
        <f t="shared" si="515"/>
        <v>0</v>
      </c>
      <c r="BU644" s="61">
        <f t="shared" si="516"/>
        <v>0</v>
      </c>
      <c r="BV644" s="61">
        <f t="shared" si="516"/>
        <v>0</v>
      </c>
      <c r="BW644" s="61">
        <f t="shared" si="516"/>
        <v>0</v>
      </c>
      <c r="BX644" s="61">
        <f t="shared" si="516"/>
        <v>0</v>
      </c>
      <c r="BY644" s="61" t="s">
        <v>91</v>
      </c>
      <c r="CA644" s="61">
        <f t="shared" si="525"/>
        <v>0</v>
      </c>
      <c r="CB644" s="61">
        <f t="shared" si="525"/>
        <v>0</v>
      </c>
      <c r="CC644" s="61">
        <f t="shared" si="525"/>
        <v>0</v>
      </c>
      <c r="CD644" s="61">
        <f t="shared" si="523"/>
        <v>0</v>
      </c>
      <c r="CE644" s="61">
        <f t="shared" si="523"/>
        <v>0</v>
      </c>
      <c r="CF644" s="61">
        <f t="shared" si="523"/>
        <v>0</v>
      </c>
      <c r="CG644" s="61">
        <f t="shared" si="523"/>
        <v>0</v>
      </c>
      <c r="CH644" s="61">
        <f t="shared" si="523"/>
        <v>0</v>
      </c>
      <c r="CI644" s="61">
        <f t="shared" si="504"/>
        <v>0</v>
      </c>
      <c r="CJ644" s="61"/>
      <c r="CK644" s="61">
        <f t="shared" si="526"/>
        <v>0</v>
      </c>
      <c r="CL644" s="61">
        <f t="shared" si="526"/>
        <v>0</v>
      </c>
      <c r="CM644" s="61">
        <f t="shared" si="526"/>
        <v>0</v>
      </c>
      <c r="CN644" s="61">
        <f t="shared" si="524"/>
        <v>0</v>
      </c>
      <c r="CO644" s="61">
        <f t="shared" si="524"/>
        <v>0</v>
      </c>
      <c r="CP644" s="61">
        <f t="shared" si="524"/>
        <v>0</v>
      </c>
      <c r="CQ644" s="61">
        <f t="shared" si="524"/>
        <v>0</v>
      </c>
      <c r="CR644" s="61">
        <f t="shared" si="524"/>
        <v>0</v>
      </c>
      <c r="CS644" s="61">
        <f t="shared" si="505"/>
        <v>0</v>
      </c>
      <c r="CT644" s="61">
        <f t="shared" si="506"/>
        <v>0</v>
      </c>
      <c r="CV644" s="61">
        <f t="shared" si="554"/>
        <v>0</v>
      </c>
      <c r="CW644" s="61">
        <f t="shared" si="508"/>
        <v>0</v>
      </c>
      <c r="CX644" s="61"/>
      <c r="CY644" s="61">
        <f t="shared" si="555"/>
        <v>0</v>
      </c>
      <c r="CZ644" s="61">
        <f t="shared" si="555"/>
        <v>0</v>
      </c>
      <c r="DA644" s="61">
        <f t="shared" si="555"/>
        <v>0</v>
      </c>
      <c r="DB644" s="2" t="s">
        <v>85</v>
      </c>
      <c r="DC644" s="2" t="s">
        <v>85</v>
      </c>
      <c r="DD644" s="2" t="s">
        <v>142</v>
      </c>
      <c r="DE644" s="2" t="s">
        <v>1146</v>
      </c>
      <c r="DG644" s="62"/>
      <c r="EC644" s="60"/>
      <c r="ED644" s="60"/>
      <c r="EE644" s="60"/>
      <c r="EF644" s="60"/>
    </row>
    <row r="645" spans="1:140" ht="12.75" hidden="1" customHeight="1">
      <c r="B645" s="99" t="s">
        <v>1160</v>
      </c>
      <c r="C645" s="22" t="s">
        <v>1034</v>
      </c>
      <c r="D645" s="22" t="s">
        <v>1035</v>
      </c>
      <c r="E645" s="2" t="s">
        <v>993</v>
      </c>
      <c r="F645" s="2" t="s">
        <v>969</v>
      </c>
      <c r="G645" s="2" t="s">
        <v>331</v>
      </c>
      <c r="J645" s="22" t="s">
        <v>138</v>
      </c>
      <c r="K645" s="23" t="s">
        <v>1165</v>
      </c>
      <c r="L645" s="22" t="s">
        <v>83</v>
      </c>
      <c r="M645" s="51" t="str">
        <f t="shared" si="547"/>
        <v>JD8B-F67244-AAW</v>
      </c>
      <c r="O645" s="22"/>
      <c r="P645" s="22"/>
      <c r="Q645" s="22"/>
      <c r="R645" s="22"/>
      <c r="S645" s="22">
        <v>1</v>
      </c>
      <c r="T645" s="22">
        <v>1</v>
      </c>
      <c r="U645" s="22"/>
      <c r="V645" s="22"/>
      <c r="W645" s="64">
        <f t="shared" si="548"/>
        <v>0.23</v>
      </c>
      <c r="Y645" s="8">
        <v>0</v>
      </c>
      <c r="Z645" s="8"/>
      <c r="AA645" s="8"/>
      <c r="AB645" s="8"/>
      <c r="AC645" s="8">
        <v>0</v>
      </c>
      <c r="AD645" s="8">
        <f t="shared" si="498"/>
        <v>0</v>
      </c>
      <c r="AE645" s="2" t="s">
        <v>91</v>
      </c>
      <c r="AG645" s="8"/>
      <c r="AH645" s="8"/>
      <c r="AJ645" s="70"/>
      <c r="AK645" s="70"/>
      <c r="AL645" s="72"/>
      <c r="AM645" s="22"/>
      <c r="AO645" s="22" t="s">
        <v>138</v>
      </c>
      <c r="AP645" s="85" t="s">
        <v>1165</v>
      </c>
      <c r="AQ645" s="22" t="s">
        <v>83</v>
      </c>
      <c r="AR645" s="51" t="str">
        <f t="shared" si="549"/>
        <v>JD8B-F67244-AAW</v>
      </c>
      <c r="AS645" s="3"/>
      <c r="AT645" s="22"/>
      <c r="AU645" s="22"/>
      <c r="AV645" s="22"/>
      <c r="AW645" s="22"/>
      <c r="AX645" s="22">
        <v>1</v>
      </c>
      <c r="AY645" s="22">
        <v>1</v>
      </c>
      <c r="AZ645" s="22"/>
      <c r="BA645" s="22"/>
      <c r="BB645" s="64">
        <f t="shared" si="550"/>
        <v>0.23</v>
      </c>
      <c r="BD645" s="60">
        <v>0</v>
      </c>
      <c r="BE645" s="60"/>
      <c r="BF645" s="60"/>
      <c r="BG645" s="60"/>
      <c r="BH645" s="60">
        <v>0</v>
      </c>
      <c r="BI645" s="8">
        <f t="shared" si="546"/>
        <v>0</v>
      </c>
      <c r="BJ645" s="2" t="s">
        <v>91</v>
      </c>
      <c r="BL645" s="70"/>
      <c r="BM645" s="70"/>
      <c r="BO645" s="70"/>
      <c r="BP645" s="70"/>
      <c r="BQ645" s="72"/>
      <c r="BS645" s="61">
        <f t="shared" si="514"/>
        <v>0</v>
      </c>
      <c r="BT645" s="61">
        <f t="shared" si="515"/>
        <v>0</v>
      </c>
      <c r="BU645" s="61">
        <f t="shared" si="516"/>
        <v>0</v>
      </c>
      <c r="BV645" s="61">
        <f t="shared" si="516"/>
        <v>0</v>
      </c>
      <c r="BW645" s="61">
        <f t="shared" si="516"/>
        <v>0</v>
      </c>
      <c r="BX645" s="61">
        <f t="shared" si="516"/>
        <v>0</v>
      </c>
      <c r="BY645" s="61" t="s">
        <v>91</v>
      </c>
      <c r="CA645" s="61">
        <f t="shared" si="525"/>
        <v>0</v>
      </c>
      <c r="CB645" s="61">
        <f t="shared" si="525"/>
        <v>0</v>
      </c>
      <c r="CC645" s="61">
        <f t="shared" si="525"/>
        <v>0</v>
      </c>
      <c r="CD645" s="61">
        <f t="shared" si="523"/>
        <v>0</v>
      </c>
      <c r="CE645" s="61">
        <f t="shared" si="523"/>
        <v>0</v>
      </c>
      <c r="CF645" s="61">
        <f t="shared" si="523"/>
        <v>0</v>
      </c>
      <c r="CG645" s="61">
        <f t="shared" si="523"/>
        <v>0</v>
      </c>
      <c r="CH645" s="61">
        <f t="shared" si="523"/>
        <v>0</v>
      </c>
      <c r="CI645" s="61">
        <f t="shared" si="504"/>
        <v>0</v>
      </c>
      <c r="CJ645" s="61"/>
      <c r="CK645" s="61">
        <f t="shared" si="526"/>
        <v>0</v>
      </c>
      <c r="CL645" s="61">
        <f t="shared" si="526"/>
        <v>0</v>
      </c>
      <c r="CM645" s="61">
        <f t="shared" si="526"/>
        <v>0</v>
      </c>
      <c r="CN645" s="61">
        <f t="shared" si="524"/>
        <v>0</v>
      </c>
      <c r="CO645" s="61">
        <f t="shared" si="524"/>
        <v>0</v>
      </c>
      <c r="CP645" s="61">
        <f t="shared" si="524"/>
        <v>0</v>
      </c>
      <c r="CQ645" s="61">
        <f t="shared" si="524"/>
        <v>0</v>
      </c>
      <c r="CR645" s="61">
        <f t="shared" si="524"/>
        <v>0</v>
      </c>
      <c r="CS645" s="61">
        <f t="shared" si="505"/>
        <v>0</v>
      </c>
      <c r="CT645" s="61">
        <f t="shared" si="506"/>
        <v>0</v>
      </c>
      <c r="CV645" s="61">
        <f t="shared" si="554"/>
        <v>0</v>
      </c>
      <c r="CW645" s="61">
        <f t="shared" si="508"/>
        <v>0</v>
      </c>
      <c r="CX645" s="61"/>
      <c r="CY645" s="61">
        <f t="shared" si="555"/>
        <v>0</v>
      </c>
      <c r="CZ645" s="61">
        <f t="shared" si="555"/>
        <v>0</v>
      </c>
      <c r="DA645" s="61">
        <f t="shared" si="555"/>
        <v>0</v>
      </c>
      <c r="DB645" s="2" t="s">
        <v>85</v>
      </c>
      <c r="DC645" s="2" t="s">
        <v>85</v>
      </c>
      <c r="DD645" s="2" t="s">
        <v>142</v>
      </c>
      <c r="DE645" s="2" t="s">
        <v>1146</v>
      </c>
      <c r="DG645" s="62"/>
      <c r="EC645" s="60"/>
      <c r="ED645" s="60"/>
      <c r="EE645" s="60"/>
      <c r="EF645" s="60"/>
    </row>
    <row r="646" spans="1:140" ht="12.75" hidden="1" customHeight="1">
      <c r="B646" s="99" t="s">
        <v>1160</v>
      </c>
      <c r="C646" s="22" t="s">
        <v>1034</v>
      </c>
      <c r="D646" s="22" t="s">
        <v>1035</v>
      </c>
      <c r="E646" s="2" t="s">
        <v>993</v>
      </c>
      <c r="F646" s="2" t="s">
        <v>969</v>
      </c>
      <c r="G646" s="2" t="s">
        <v>331</v>
      </c>
      <c r="J646" s="22" t="s">
        <v>138</v>
      </c>
      <c r="K646" s="23" t="s">
        <v>1166</v>
      </c>
      <c r="L646" s="22" t="s">
        <v>203</v>
      </c>
      <c r="M646" s="51" t="str">
        <f t="shared" si="547"/>
        <v>JD8B-F600M65-CAW</v>
      </c>
      <c r="O646" s="22"/>
      <c r="P646" s="22"/>
      <c r="Q646" s="22"/>
      <c r="R646" s="22"/>
      <c r="S646" s="22"/>
      <c r="T646" s="22"/>
      <c r="U646" s="22">
        <v>1</v>
      </c>
      <c r="V646" s="22">
        <v>1</v>
      </c>
      <c r="W646" s="64">
        <f t="shared" si="548"/>
        <v>0.1</v>
      </c>
      <c r="Y646" s="8">
        <v>0</v>
      </c>
      <c r="Z646" s="8"/>
      <c r="AA646" s="8"/>
      <c r="AB646" s="8"/>
      <c r="AC646" s="8">
        <v>0</v>
      </c>
      <c r="AD646" s="8">
        <f t="shared" si="498"/>
        <v>0</v>
      </c>
      <c r="AE646" s="2" t="s">
        <v>91</v>
      </c>
      <c r="AG646" s="8"/>
      <c r="AH646" s="8"/>
      <c r="AJ646" s="70"/>
      <c r="AK646" s="70"/>
      <c r="AL646" s="72"/>
      <c r="AM646" s="22"/>
      <c r="AO646" s="22" t="s">
        <v>138</v>
      </c>
      <c r="AP646" s="85" t="s">
        <v>1166</v>
      </c>
      <c r="AQ646" s="22" t="s">
        <v>203</v>
      </c>
      <c r="AR646" s="51" t="str">
        <f t="shared" si="549"/>
        <v>JD8B-F600M65-CAW</v>
      </c>
      <c r="AS646" s="3"/>
      <c r="AT646" s="22"/>
      <c r="AU646" s="22"/>
      <c r="AV646" s="22"/>
      <c r="AW646" s="22"/>
      <c r="AX646" s="22"/>
      <c r="AY646" s="22"/>
      <c r="AZ646" s="22">
        <v>1</v>
      </c>
      <c r="BA646" s="22">
        <v>1</v>
      </c>
      <c r="BB646" s="64">
        <f t="shared" si="550"/>
        <v>0.1</v>
      </c>
      <c r="BD646" s="60">
        <v>0</v>
      </c>
      <c r="BE646" s="60"/>
      <c r="BF646" s="60"/>
      <c r="BG646" s="60"/>
      <c r="BH646" s="60">
        <v>0</v>
      </c>
      <c r="BI646" s="8">
        <f t="shared" si="546"/>
        <v>0</v>
      </c>
      <c r="BJ646" s="2" t="s">
        <v>91</v>
      </c>
      <c r="BL646" s="70"/>
      <c r="BM646" s="70"/>
      <c r="BO646" s="70"/>
      <c r="BP646" s="70"/>
      <c r="BQ646" s="72"/>
      <c r="BS646" s="61">
        <f t="shared" si="514"/>
        <v>0</v>
      </c>
      <c r="BT646" s="61">
        <f t="shared" si="515"/>
        <v>0</v>
      </c>
      <c r="BU646" s="61">
        <f t="shared" si="516"/>
        <v>0</v>
      </c>
      <c r="BV646" s="61">
        <f t="shared" si="516"/>
        <v>0</v>
      </c>
      <c r="BW646" s="61">
        <f t="shared" si="516"/>
        <v>0</v>
      </c>
      <c r="BX646" s="61">
        <f t="shared" si="516"/>
        <v>0</v>
      </c>
      <c r="BY646" s="61" t="s">
        <v>91</v>
      </c>
      <c r="CA646" s="61">
        <f t="shared" si="525"/>
        <v>0</v>
      </c>
      <c r="CB646" s="61">
        <f t="shared" si="525"/>
        <v>0</v>
      </c>
      <c r="CC646" s="61">
        <f t="shared" si="525"/>
        <v>0</v>
      </c>
      <c r="CD646" s="61">
        <f t="shared" si="523"/>
        <v>0</v>
      </c>
      <c r="CE646" s="61">
        <f t="shared" si="523"/>
        <v>0</v>
      </c>
      <c r="CF646" s="61">
        <f t="shared" si="523"/>
        <v>0</v>
      </c>
      <c r="CG646" s="61">
        <f t="shared" si="523"/>
        <v>0</v>
      </c>
      <c r="CH646" s="61">
        <f t="shared" si="523"/>
        <v>0</v>
      </c>
      <c r="CI646" s="61">
        <f t="shared" si="504"/>
        <v>0</v>
      </c>
      <c r="CJ646" s="61"/>
      <c r="CK646" s="61">
        <f t="shared" si="526"/>
        <v>0</v>
      </c>
      <c r="CL646" s="61">
        <f t="shared" si="526"/>
        <v>0</v>
      </c>
      <c r="CM646" s="61">
        <f t="shared" si="526"/>
        <v>0</v>
      </c>
      <c r="CN646" s="61">
        <f t="shared" si="524"/>
        <v>0</v>
      </c>
      <c r="CO646" s="61">
        <f t="shared" si="524"/>
        <v>0</v>
      </c>
      <c r="CP646" s="61">
        <f t="shared" si="524"/>
        <v>0</v>
      </c>
      <c r="CQ646" s="61">
        <f t="shared" si="524"/>
        <v>0</v>
      </c>
      <c r="CR646" s="61">
        <f t="shared" si="524"/>
        <v>0</v>
      </c>
      <c r="CS646" s="61">
        <f t="shared" si="505"/>
        <v>0</v>
      </c>
      <c r="CT646" s="61">
        <f t="shared" si="506"/>
        <v>0</v>
      </c>
      <c r="CV646" s="61">
        <f t="shared" si="554"/>
        <v>0</v>
      </c>
      <c r="CW646" s="61">
        <f t="shared" si="508"/>
        <v>0</v>
      </c>
      <c r="CX646" s="61"/>
      <c r="CY646" s="61">
        <f t="shared" si="555"/>
        <v>0</v>
      </c>
      <c r="CZ646" s="61">
        <f t="shared" si="555"/>
        <v>0</v>
      </c>
      <c r="DA646" s="61">
        <f t="shared" si="555"/>
        <v>0</v>
      </c>
      <c r="DB646" s="2" t="s">
        <v>85</v>
      </c>
      <c r="DC646" s="2" t="s">
        <v>85</v>
      </c>
      <c r="DD646" s="2" t="s">
        <v>142</v>
      </c>
      <c r="DE646" s="2" t="s">
        <v>1146</v>
      </c>
      <c r="DG646" s="62"/>
      <c r="EC646" s="60"/>
      <c r="ED646" s="60"/>
      <c r="EE646" s="60"/>
      <c r="EF646" s="60"/>
    </row>
    <row r="647" spans="1:140" ht="12.75" hidden="1" customHeight="1">
      <c r="B647" s="99" t="s">
        <v>1167</v>
      </c>
      <c r="C647" s="22" t="s">
        <v>1034</v>
      </c>
      <c r="D647" s="22" t="s">
        <v>1035</v>
      </c>
      <c r="E647" s="2" t="s">
        <v>993</v>
      </c>
      <c r="F647" s="2" t="s">
        <v>969</v>
      </c>
      <c r="G647" s="2" t="s">
        <v>331</v>
      </c>
      <c r="J647" s="22" t="s">
        <v>138</v>
      </c>
      <c r="K647" s="23" t="s">
        <v>1168</v>
      </c>
      <c r="L647" s="22" t="s">
        <v>203</v>
      </c>
      <c r="M647" s="51" t="str">
        <f t="shared" si="547"/>
        <v>JD8B-F62900-CAW</v>
      </c>
      <c r="O647" s="22"/>
      <c r="P647" s="22"/>
      <c r="Q647" s="22"/>
      <c r="R647" s="22"/>
      <c r="S647" s="22"/>
      <c r="T647" s="22"/>
      <c r="U647" s="22">
        <v>1</v>
      </c>
      <c r="V647" s="22">
        <v>1</v>
      </c>
      <c r="W647" s="64">
        <f t="shared" si="548"/>
        <v>0.1</v>
      </c>
      <c r="Y647" s="8">
        <v>0</v>
      </c>
      <c r="Z647" s="8"/>
      <c r="AA647" s="8"/>
      <c r="AB647" s="8"/>
      <c r="AC647" s="8">
        <v>0</v>
      </c>
      <c r="AD647" s="8">
        <f t="shared" si="498"/>
        <v>0</v>
      </c>
      <c r="AE647" s="2" t="s">
        <v>91</v>
      </c>
      <c r="AG647" s="8"/>
      <c r="AH647" s="8"/>
      <c r="AJ647" s="70"/>
      <c r="AK647" s="70"/>
      <c r="AL647" s="72"/>
      <c r="AM647" s="22"/>
      <c r="AO647" s="22" t="s">
        <v>138</v>
      </c>
      <c r="AP647" s="85" t="s">
        <v>1168</v>
      </c>
      <c r="AQ647" s="22" t="s">
        <v>203</v>
      </c>
      <c r="AR647" s="51" t="str">
        <f t="shared" si="549"/>
        <v>JD8B-F62900-CAW</v>
      </c>
      <c r="AS647" s="3"/>
      <c r="AT647" s="22"/>
      <c r="AU647" s="22"/>
      <c r="AV647" s="22"/>
      <c r="AW647" s="22"/>
      <c r="AX647" s="22"/>
      <c r="AY647" s="22"/>
      <c r="AZ647" s="22">
        <v>1</v>
      </c>
      <c r="BA647" s="22">
        <v>1</v>
      </c>
      <c r="BB647" s="64">
        <f t="shared" si="550"/>
        <v>0.1</v>
      </c>
      <c r="BD647" s="60">
        <v>0</v>
      </c>
      <c r="BE647" s="60"/>
      <c r="BF647" s="60"/>
      <c r="BG647" s="60"/>
      <c r="BH647" s="60">
        <v>0</v>
      </c>
      <c r="BI647" s="8">
        <f t="shared" si="546"/>
        <v>0</v>
      </c>
      <c r="BJ647" s="2" t="s">
        <v>91</v>
      </c>
      <c r="BL647" s="70"/>
      <c r="BM647" s="70"/>
      <c r="BO647" s="70"/>
      <c r="BP647" s="70"/>
      <c r="BQ647" s="72"/>
      <c r="BS647" s="61">
        <f t="shared" si="514"/>
        <v>0</v>
      </c>
      <c r="BT647" s="61">
        <f t="shared" si="515"/>
        <v>0</v>
      </c>
      <c r="BU647" s="61">
        <f t="shared" si="516"/>
        <v>0</v>
      </c>
      <c r="BV647" s="61">
        <f t="shared" si="516"/>
        <v>0</v>
      </c>
      <c r="BW647" s="61">
        <f t="shared" si="516"/>
        <v>0</v>
      </c>
      <c r="BX647" s="61">
        <f t="shared" si="516"/>
        <v>0</v>
      </c>
      <c r="BY647" s="61" t="s">
        <v>91</v>
      </c>
      <c r="CA647" s="61">
        <f t="shared" si="525"/>
        <v>0</v>
      </c>
      <c r="CB647" s="61">
        <f t="shared" si="525"/>
        <v>0</v>
      </c>
      <c r="CC647" s="61">
        <f t="shared" si="525"/>
        <v>0</v>
      </c>
      <c r="CD647" s="61">
        <f t="shared" si="523"/>
        <v>0</v>
      </c>
      <c r="CE647" s="61">
        <f t="shared" si="523"/>
        <v>0</v>
      </c>
      <c r="CF647" s="61">
        <f t="shared" si="523"/>
        <v>0</v>
      </c>
      <c r="CG647" s="61">
        <f t="shared" si="523"/>
        <v>0</v>
      </c>
      <c r="CH647" s="61">
        <f t="shared" si="523"/>
        <v>0</v>
      </c>
      <c r="CI647" s="61">
        <f t="shared" si="504"/>
        <v>0</v>
      </c>
      <c r="CJ647" s="61"/>
      <c r="CK647" s="61">
        <f t="shared" si="526"/>
        <v>0</v>
      </c>
      <c r="CL647" s="61">
        <f t="shared" si="526"/>
        <v>0</v>
      </c>
      <c r="CM647" s="61">
        <f t="shared" si="526"/>
        <v>0</v>
      </c>
      <c r="CN647" s="61">
        <f t="shared" si="524"/>
        <v>0</v>
      </c>
      <c r="CO647" s="61">
        <f t="shared" si="524"/>
        <v>0</v>
      </c>
      <c r="CP647" s="61">
        <f t="shared" si="524"/>
        <v>0</v>
      </c>
      <c r="CQ647" s="61">
        <f t="shared" si="524"/>
        <v>0</v>
      </c>
      <c r="CR647" s="61">
        <f t="shared" si="524"/>
        <v>0</v>
      </c>
      <c r="CS647" s="61">
        <f t="shared" si="505"/>
        <v>0</v>
      </c>
      <c r="CT647" s="61">
        <f t="shared" si="506"/>
        <v>0</v>
      </c>
      <c r="CV647" s="61">
        <f t="shared" si="554"/>
        <v>0</v>
      </c>
      <c r="CW647" s="61">
        <f t="shared" si="508"/>
        <v>0</v>
      </c>
      <c r="CX647" s="61"/>
      <c r="CY647" s="61">
        <f t="shared" si="555"/>
        <v>0</v>
      </c>
      <c r="CZ647" s="61">
        <f t="shared" si="555"/>
        <v>0</v>
      </c>
      <c r="DA647" s="61">
        <f t="shared" si="555"/>
        <v>0</v>
      </c>
      <c r="DB647" s="2" t="s">
        <v>85</v>
      </c>
      <c r="DC647" s="2" t="s">
        <v>85</v>
      </c>
      <c r="DD647" s="2" t="s">
        <v>142</v>
      </c>
      <c r="DE647" s="2" t="s">
        <v>1146</v>
      </c>
      <c r="DG647" s="62"/>
      <c r="EC647" s="60"/>
      <c r="ED647" s="60"/>
      <c r="EE647" s="60"/>
      <c r="EF647" s="60"/>
    </row>
    <row r="648" spans="1:140" ht="12.75" hidden="1" customHeight="1">
      <c r="B648" s="99" t="s">
        <v>1160</v>
      </c>
      <c r="C648" s="22" t="s">
        <v>1034</v>
      </c>
      <c r="D648" s="22" t="s">
        <v>1035</v>
      </c>
      <c r="E648" s="2" t="s">
        <v>993</v>
      </c>
      <c r="F648" s="2" t="s">
        <v>969</v>
      </c>
      <c r="G648" s="2" t="s">
        <v>331</v>
      </c>
      <c r="J648" s="22">
        <v>0</v>
      </c>
      <c r="K648" s="23">
        <v>0</v>
      </c>
      <c r="L648" s="22">
        <v>0</v>
      </c>
      <c r="M648" s="51" t="str">
        <f t="shared" si="547"/>
        <v>0-0-0</v>
      </c>
      <c r="O648" s="22"/>
      <c r="P648" s="22"/>
      <c r="Q648" s="22"/>
      <c r="R648" s="22"/>
      <c r="S648" s="22"/>
      <c r="T648" s="22"/>
      <c r="U648" s="22"/>
      <c r="V648" s="22"/>
      <c r="W648" s="64">
        <f t="shared" si="548"/>
        <v>0</v>
      </c>
      <c r="Y648" s="8">
        <v>0</v>
      </c>
      <c r="Z648" s="8"/>
      <c r="AA648" s="8"/>
      <c r="AB648" s="8"/>
      <c r="AC648" s="8">
        <v>0</v>
      </c>
      <c r="AD648" s="8">
        <f t="shared" si="498"/>
        <v>0</v>
      </c>
      <c r="AE648" s="2" t="s">
        <v>91</v>
      </c>
      <c r="AG648" s="8"/>
      <c r="AH648" s="8"/>
      <c r="AJ648" s="70"/>
      <c r="AK648" s="70"/>
      <c r="AL648" s="72"/>
      <c r="AM648" s="22"/>
      <c r="AO648" s="22" t="s">
        <v>138</v>
      </c>
      <c r="AP648" s="85" t="s">
        <v>1165</v>
      </c>
      <c r="AQ648" s="22" t="s">
        <v>208</v>
      </c>
      <c r="AR648" s="51" t="str">
        <f t="shared" si="549"/>
        <v>JD8B-F67244-BAW</v>
      </c>
      <c r="AS648" s="3"/>
      <c r="AT648" s="22"/>
      <c r="AU648" s="22"/>
      <c r="AV648" s="22"/>
      <c r="AW648" s="22"/>
      <c r="AX648" s="22"/>
      <c r="AY648" s="22"/>
      <c r="AZ648" s="22">
        <v>1</v>
      </c>
      <c r="BA648" s="22">
        <v>1</v>
      </c>
      <c r="BB648" s="64">
        <f t="shared" si="550"/>
        <v>0.1</v>
      </c>
      <c r="BD648" s="60">
        <v>0</v>
      </c>
      <c r="BE648" s="60"/>
      <c r="BF648" s="60"/>
      <c r="BG648" s="60"/>
      <c r="BH648" s="60">
        <v>0</v>
      </c>
      <c r="BI648" s="8">
        <f t="shared" si="546"/>
        <v>0</v>
      </c>
      <c r="BJ648" s="2" t="s">
        <v>91</v>
      </c>
      <c r="BL648" s="70"/>
      <c r="BM648" s="70"/>
      <c r="BO648" s="70"/>
      <c r="BP648" s="70"/>
      <c r="BQ648" s="72"/>
      <c r="BS648" s="61">
        <f t="shared" si="514"/>
        <v>0</v>
      </c>
      <c r="BT648" s="61">
        <f t="shared" si="515"/>
        <v>0</v>
      </c>
      <c r="BU648" s="61">
        <f t="shared" si="516"/>
        <v>0</v>
      </c>
      <c r="BV648" s="61">
        <f t="shared" si="516"/>
        <v>0</v>
      </c>
      <c r="BW648" s="61">
        <f t="shared" si="516"/>
        <v>0</v>
      </c>
      <c r="BX648" s="61">
        <f t="shared" si="516"/>
        <v>0</v>
      </c>
      <c r="BY648" s="61" t="s">
        <v>91</v>
      </c>
      <c r="CA648" s="61">
        <f t="shared" si="525"/>
        <v>0</v>
      </c>
      <c r="CB648" s="61">
        <f t="shared" si="525"/>
        <v>0</v>
      </c>
      <c r="CC648" s="61">
        <f t="shared" si="525"/>
        <v>0</v>
      </c>
      <c r="CD648" s="61">
        <f t="shared" si="523"/>
        <v>0</v>
      </c>
      <c r="CE648" s="61">
        <f t="shared" si="523"/>
        <v>0</v>
      </c>
      <c r="CF648" s="61">
        <f t="shared" si="523"/>
        <v>0</v>
      </c>
      <c r="CG648" s="61">
        <f t="shared" si="523"/>
        <v>0</v>
      </c>
      <c r="CH648" s="61">
        <f t="shared" si="523"/>
        <v>0</v>
      </c>
      <c r="CI648" s="61">
        <f t="shared" si="504"/>
        <v>0</v>
      </c>
      <c r="CJ648" s="61"/>
      <c r="CK648" s="61">
        <f t="shared" si="526"/>
        <v>0</v>
      </c>
      <c r="CL648" s="61">
        <f t="shared" si="526"/>
        <v>0</v>
      </c>
      <c r="CM648" s="61">
        <f t="shared" si="526"/>
        <v>0</v>
      </c>
      <c r="CN648" s="61">
        <f t="shared" si="524"/>
        <v>0</v>
      </c>
      <c r="CO648" s="61">
        <f t="shared" si="524"/>
        <v>0</v>
      </c>
      <c r="CP648" s="61">
        <f t="shared" si="524"/>
        <v>0</v>
      </c>
      <c r="CQ648" s="61">
        <f t="shared" si="524"/>
        <v>0</v>
      </c>
      <c r="CR648" s="61">
        <f t="shared" si="524"/>
        <v>0</v>
      </c>
      <c r="CS648" s="61">
        <f t="shared" si="505"/>
        <v>0</v>
      </c>
      <c r="CT648" s="61">
        <f t="shared" si="506"/>
        <v>0</v>
      </c>
      <c r="CV648" s="61">
        <f t="shared" si="554"/>
        <v>0</v>
      </c>
      <c r="CW648" s="61">
        <f t="shared" si="508"/>
        <v>0</v>
      </c>
      <c r="CX648" s="61"/>
      <c r="CY648" s="61">
        <f t="shared" si="555"/>
        <v>0</v>
      </c>
      <c r="CZ648" s="61">
        <f t="shared" si="555"/>
        <v>0</v>
      </c>
      <c r="DA648" s="61">
        <f t="shared" si="555"/>
        <v>0</v>
      </c>
      <c r="DB648" s="2" t="s">
        <v>85</v>
      </c>
      <c r="DC648" s="2" t="s">
        <v>85</v>
      </c>
      <c r="DD648" s="2" t="s">
        <v>142</v>
      </c>
      <c r="DE648" s="2" t="s">
        <v>1146</v>
      </c>
      <c r="DG648" s="62"/>
      <c r="EC648" s="60"/>
      <c r="ED648" s="60"/>
      <c r="EE648" s="60"/>
      <c r="EF648" s="60"/>
    </row>
    <row r="649" spans="1:140" ht="12.75" hidden="1" customHeight="1">
      <c r="B649" s="99" t="s">
        <v>1160</v>
      </c>
      <c r="C649" s="22" t="s">
        <v>1034</v>
      </c>
      <c r="D649" s="22" t="s">
        <v>1035</v>
      </c>
      <c r="E649" s="2" t="s">
        <v>993</v>
      </c>
      <c r="F649" s="2" t="s">
        <v>969</v>
      </c>
      <c r="G649" s="2" t="s">
        <v>331</v>
      </c>
      <c r="J649" s="22" t="s">
        <v>138</v>
      </c>
      <c r="K649" s="23" t="s">
        <v>1169</v>
      </c>
      <c r="L649" s="22" t="s">
        <v>206</v>
      </c>
      <c r="M649" s="51" t="str">
        <f t="shared" si="547"/>
        <v>JD8B-F64416-DAW</v>
      </c>
      <c r="O649" s="22"/>
      <c r="P649" s="22"/>
      <c r="Q649" s="22"/>
      <c r="R649" s="22"/>
      <c r="S649" s="22">
        <v>1</v>
      </c>
      <c r="T649" s="22">
        <v>1</v>
      </c>
      <c r="U649" s="22"/>
      <c r="V649" s="22"/>
      <c r="W649" s="64">
        <f t="shared" si="548"/>
        <v>0.23</v>
      </c>
      <c r="Y649" s="8">
        <v>0</v>
      </c>
      <c r="Z649" s="8"/>
      <c r="AA649" s="8"/>
      <c r="AB649" s="8"/>
      <c r="AC649" s="8">
        <v>0</v>
      </c>
      <c r="AD649" s="8">
        <f t="shared" si="498"/>
        <v>0</v>
      </c>
      <c r="AE649" s="2" t="s">
        <v>91</v>
      </c>
      <c r="AG649" s="8"/>
      <c r="AH649" s="8"/>
      <c r="AJ649" s="70"/>
      <c r="AK649" s="70"/>
      <c r="AL649" s="72"/>
      <c r="AM649" s="22"/>
      <c r="AO649" s="22" t="s">
        <v>138</v>
      </c>
      <c r="AP649" s="85" t="s">
        <v>1169</v>
      </c>
      <c r="AQ649" s="22" t="s">
        <v>206</v>
      </c>
      <c r="AR649" s="51" t="str">
        <f t="shared" si="549"/>
        <v>JD8B-F64416-DAW</v>
      </c>
      <c r="AS649" s="3"/>
      <c r="AT649" s="22"/>
      <c r="AU649" s="22"/>
      <c r="AV649" s="22"/>
      <c r="AW649" s="22"/>
      <c r="AX649" s="22">
        <v>1</v>
      </c>
      <c r="AY649" s="22">
        <v>1</v>
      </c>
      <c r="AZ649" s="22"/>
      <c r="BA649" s="22"/>
      <c r="BB649" s="64">
        <f t="shared" si="550"/>
        <v>0.23</v>
      </c>
      <c r="BD649" s="60">
        <v>0</v>
      </c>
      <c r="BE649" s="60"/>
      <c r="BF649" s="60"/>
      <c r="BG649" s="60"/>
      <c r="BH649" s="60">
        <v>0</v>
      </c>
      <c r="BI649" s="8">
        <f t="shared" si="546"/>
        <v>0</v>
      </c>
      <c r="BJ649" s="2" t="s">
        <v>91</v>
      </c>
      <c r="BL649" s="70"/>
      <c r="BM649" s="70"/>
      <c r="BO649" s="70"/>
      <c r="BP649" s="70"/>
      <c r="BQ649" s="72"/>
      <c r="BS649" s="61">
        <f t="shared" si="514"/>
        <v>0</v>
      </c>
      <c r="BT649" s="61">
        <f t="shared" si="515"/>
        <v>0</v>
      </c>
      <c r="BU649" s="61">
        <f t="shared" si="516"/>
        <v>0</v>
      </c>
      <c r="BV649" s="61">
        <f t="shared" si="516"/>
        <v>0</v>
      </c>
      <c r="BW649" s="61">
        <f t="shared" si="516"/>
        <v>0</v>
      </c>
      <c r="BX649" s="61">
        <f t="shared" si="516"/>
        <v>0</v>
      </c>
      <c r="BY649" s="61" t="s">
        <v>91</v>
      </c>
      <c r="CA649" s="61">
        <f t="shared" si="525"/>
        <v>0</v>
      </c>
      <c r="CB649" s="61">
        <f t="shared" si="525"/>
        <v>0</v>
      </c>
      <c r="CC649" s="61">
        <f t="shared" si="525"/>
        <v>0</v>
      </c>
      <c r="CD649" s="61">
        <f t="shared" si="523"/>
        <v>0</v>
      </c>
      <c r="CE649" s="61">
        <f t="shared" si="523"/>
        <v>0</v>
      </c>
      <c r="CF649" s="61">
        <f t="shared" si="523"/>
        <v>0</v>
      </c>
      <c r="CG649" s="61">
        <f t="shared" si="523"/>
        <v>0</v>
      </c>
      <c r="CH649" s="61">
        <f t="shared" si="523"/>
        <v>0</v>
      </c>
      <c r="CI649" s="61">
        <f t="shared" si="504"/>
        <v>0</v>
      </c>
      <c r="CJ649" s="61"/>
      <c r="CK649" s="61">
        <f t="shared" si="526"/>
        <v>0</v>
      </c>
      <c r="CL649" s="61">
        <f t="shared" si="526"/>
        <v>0</v>
      </c>
      <c r="CM649" s="61">
        <f t="shared" si="526"/>
        <v>0</v>
      </c>
      <c r="CN649" s="61">
        <f t="shared" si="524"/>
        <v>0</v>
      </c>
      <c r="CO649" s="61">
        <f t="shared" si="524"/>
        <v>0</v>
      </c>
      <c r="CP649" s="61">
        <f t="shared" si="524"/>
        <v>0</v>
      </c>
      <c r="CQ649" s="61">
        <f t="shared" si="524"/>
        <v>0</v>
      </c>
      <c r="CR649" s="61">
        <f t="shared" si="524"/>
        <v>0</v>
      </c>
      <c r="CS649" s="61">
        <f t="shared" si="505"/>
        <v>0</v>
      </c>
      <c r="CT649" s="61">
        <f t="shared" si="506"/>
        <v>0</v>
      </c>
      <c r="CV649" s="61">
        <f t="shared" si="554"/>
        <v>0</v>
      </c>
      <c r="CW649" s="61">
        <f t="shared" si="508"/>
        <v>0</v>
      </c>
      <c r="CX649" s="61"/>
      <c r="CY649" s="61">
        <f t="shared" si="555"/>
        <v>0</v>
      </c>
      <c r="CZ649" s="61">
        <f t="shared" si="555"/>
        <v>0</v>
      </c>
      <c r="DA649" s="61">
        <f t="shared" si="555"/>
        <v>0</v>
      </c>
      <c r="DB649" s="2" t="s">
        <v>85</v>
      </c>
      <c r="DC649" s="2" t="s">
        <v>85</v>
      </c>
      <c r="DD649" s="2" t="s">
        <v>142</v>
      </c>
      <c r="DE649" s="2" t="s">
        <v>1146</v>
      </c>
      <c r="DG649" s="62"/>
      <c r="EC649" s="60"/>
      <c r="ED649" s="60"/>
      <c r="EE649" s="60"/>
      <c r="EF649" s="60"/>
    </row>
    <row r="650" spans="1:140" ht="12.75" hidden="1" customHeight="1">
      <c r="B650" s="99" t="s">
        <v>1160</v>
      </c>
      <c r="C650" s="22" t="s">
        <v>1034</v>
      </c>
      <c r="D650" s="22" t="s">
        <v>1035</v>
      </c>
      <c r="E650" s="2" t="s">
        <v>993</v>
      </c>
      <c r="F650" s="2" t="s">
        <v>969</v>
      </c>
      <c r="G650" s="2" t="s">
        <v>331</v>
      </c>
      <c r="J650" s="22" t="s">
        <v>138</v>
      </c>
      <c r="K650" s="23" t="s">
        <v>1163</v>
      </c>
      <c r="L650" s="22" t="s">
        <v>83</v>
      </c>
      <c r="M650" s="51" t="str">
        <f t="shared" si="547"/>
        <v>JD8B-F63804-AAW</v>
      </c>
      <c r="O650" s="22">
        <v>1</v>
      </c>
      <c r="P650" s="22">
        <v>1</v>
      </c>
      <c r="Q650" s="22"/>
      <c r="R650" s="22"/>
      <c r="S650" s="22"/>
      <c r="T650" s="22"/>
      <c r="U650" s="22"/>
      <c r="V650" s="22"/>
      <c r="W650" s="64">
        <f t="shared" si="548"/>
        <v>0.30000000000000004</v>
      </c>
      <c r="Y650" s="8">
        <v>0</v>
      </c>
      <c r="Z650" s="8"/>
      <c r="AA650" s="8"/>
      <c r="AB650" s="8"/>
      <c r="AC650" s="8">
        <v>0</v>
      </c>
      <c r="AD650" s="8">
        <f t="shared" si="498"/>
        <v>0</v>
      </c>
      <c r="AE650" s="2" t="s">
        <v>91</v>
      </c>
      <c r="AG650" s="8"/>
      <c r="AH650" s="8"/>
      <c r="AJ650" s="70"/>
      <c r="AK650" s="70"/>
      <c r="AL650" s="72"/>
      <c r="AM650" s="22"/>
      <c r="AO650" s="22" t="s">
        <v>138</v>
      </c>
      <c r="AP650" s="85" t="s">
        <v>1163</v>
      </c>
      <c r="AQ650" s="22" t="s">
        <v>83</v>
      </c>
      <c r="AR650" s="51" t="str">
        <f t="shared" si="549"/>
        <v>JD8B-F63804-AAW</v>
      </c>
      <c r="AS650" s="3"/>
      <c r="AT650" s="22">
        <v>1</v>
      </c>
      <c r="AU650" s="22">
        <v>1</v>
      </c>
      <c r="AV650" s="22"/>
      <c r="AW650" s="22"/>
      <c r="AX650" s="22"/>
      <c r="AY650" s="22"/>
      <c r="AZ650" s="22"/>
      <c r="BA650" s="22"/>
      <c r="BB650" s="64">
        <f t="shared" si="550"/>
        <v>0.30000000000000004</v>
      </c>
      <c r="BD650" s="60">
        <v>0</v>
      </c>
      <c r="BE650" s="60"/>
      <c r="BF650" s="60"/>
      <c r="BG650" s="60"/>
      <c r="BH650" s="60">
        <v>0</v>
      </c>
      <c r="BI650" s="8">
        <f t="shared" si="546"/>
        <v>0</v>
      </c>
      <c r="BJ650" s="2" t="s">
        <v>91</v>
      </c>
      <c r="BL650" s="70"/>
      <c r="BM650" s="70"/>
      <c r="BO650" s="70"/>
      <c r="BP650" s="70"/>
      <c r="BQ650" s="72"/>
      <c r="BS650" s="61">
        <f t="shared" si="514"/>
        <v>0</v>
      </c>
      <c r="BT650" s="61">
        <f t="shared" si="515"/>
        <v>0</v>
      </c>
      <c r="BU650" s="61">
        <f t="shared" si="516"/>
        <v>0</v>
      </c>
      <c r="BV650" s="61">
        <f t="shared" si="516"/>
        <v>0</v>
      </c>
      <c r="BW650" s="61">
        <f t="shared" si="516"/>
        <v>0</v>
      </c>
      <c r="BX650" s="61">
        <f t="shared" si="516"/>
        <v>0</v>
      </c>
      <c r="BY650" s="61" t="s">
        <v>91</v>
      </c>
      <c r="CA650" s="61">
        <f t="shared" si="525"/>
        <v>0</v>
      </c>
      <c r="CB650" s="61">
        <f t="shared" si="525"/>
        <v>0</v>
      </c>
      <c r="CC650" s="61">
        <f t="shared" si="525"/>
        <v>0</v>
      </c>
      <c r="CD650" s="61">
        <f t="shared" si="523"/>
        <v>0</v>
      </c>
      <c r="CE650" s="61">
        <f t="shared" si="523"/>
        <v>0</v>
      </c>
      <c r="CF650" s="61">
        <f t="shared" si="523"/>
        <v>0</v>
      </c>
      <c r="CG650" s="61">
        <f t="shared" si="523"/>
        <v>0</v>
      </c>
      <c r="CH650" s="61">
        <f t="shared" si="523"/>
        <v>0</v>
      </c>
      <c r="CI650" s="61">
        <f t="shared" si="504"/>
        <v>0</v>
      </c>
      <c r="CJ650" s="61"/>
      <c r="CK650" s="61">
        <f t="shared" si="526"/>
        <v>0</v>
      </c>
      <c r="CL650" s="61">
        <f t="shared" si="526"/>
        <v>0</v>
      </c>
      <c r="CM650" s="61">
        <f t="shared" si="526"/>
        <v>0</v>
      </c>
      <c r="CN650" s="61">
        <f t="shared" si="524"/>
        <v>0</v>
      </c>
      <c r="CO650" s="61">
        <f t="shared" si="524"/>
        <v>0</v>
      </c>
      <c r="CP650" s="61">
        <f t="shared" si="524"/>
        <v>0</v>
      </c>
      <c r="CQ650" s="61">
        <f t="shared" si="524"/>
        <v>0</v>
      </c>
      <c r="CR650" s="61">
        <f t="shared" si="524"/>
        <v>0</v>
      </c>
      <c r="CS650" s="61">
        <f t="shared" si="505"/>
        <v>0</v>
      </c>
      <c r="CT650" s="61">
        <f t="shared" si="506"/>
        <v>0</v>
      </c>
      <c r="CV650" s="61">
        <f t="shared" si="554"/>
        <v>0</v>
      </c>
      <c r="CW650" s="61">
        <f t="shared" si="508"/>
        <v>0</v>
      </c>
      <c r="CX650" s="61"/>
      <c r="CY650" s="61">
        <f t="shared" si="555"/>
        <v>0</v>
      </c>
      <c r="CZ650" s="61">
        <f t="shared" si="555"/>
        <v>0</v>
      </c>
      <c r="DA650" s="61">
        <f t="shared" si="555"/>
        <v>0</v>
      </c>
      <c r="DB650" s="2" t="s">
        <v>85</v>
      </c>
      <c r="DC650" s="2" t="s">
        <v>85</v>
      </c>
      <c r="DD650" s="2" t="s">
        <v>142</v>
      </c>
      <c r="DE650" s="2" t="s">
        <v>1146</v>
      </c>
      <c r="DG650" s="62"/>
      <c r="EC650" s="60"/>
      <c r="ED650" s="60"/>
      <c r="EE650" s="60"/>
      <c r="EF650" s="60"/>
    </row>
    <row r="651" spans="1:140" ht="12.75" hidden="1" customHeight="1">
      <c r="B651" s="99" t="s">
        <v>1160</v>
      </c>
      <c r="C651" s="22" t="s">
        <v>1034</v>
      </c>
      <c r="D651" s="22" t="s">
        <v>1035</v>
      </c>
      <c r="E651" s="2" t="s">
        <v>993</v>
      </c>
      <c r="F651" s="2" t="s">
        <v>969</v>
      </c>
      <c r="G651" s="2" t="s">
        <v>331</v>
      </c>
      <c r="J651" s="22" t="s">
        <v>138</v>
      </c>
      <c r="K651" s="23" t="s">
        <v>1170</v>
      </c>
      <c r="L651" s="22" t="s">
        <v>83</v>
      </c>
      <c r="M651" s="51" t="str">
        <f t="shared" si="547"/>
        <v>JD8B-F63392-AAW</v>
      </c>
      <c r="O651" s="22">
        <v>1</v>
      </c>
      <c r="P651" s="22">
        <v>1</v>
      </c>
      <c r="Q651" s="22"/>
      <c r="R651" s="22"/>
      <c r="S651" s="22"/>
      <c r="T651" s="22"/>
      <c r="U651" s="22"/>
      <c r="V651" s="22"/>
      <c r="W651" s="64">
        <f t="shared" si="548"/>
        <v>0.30000000000000004</v>
      </c>
      <c r="Y651" s="8">
        <v>0</v>
      </c>
      <c r="Z651" s="8"/>
      <c r="AA651" s="8"/>
      <c r="AB651" s="8"/>
      <c r="AC651" s="8">
        <v>0</v>
      </c>
      <c r="AD651" s="8">
        <f t="shared" si="498"/>
        <v>0</v>
      </c>
      <c r="AE651" s="2" t="s">
        <v>91</v>
      </c>
      <c r="AG651" s="8"/>
      <c r="AH651" s="8"/>
      <c r="AJ651" s="70"/>
      <c r="AK651" s="70"/>
      <c r="AL651" s="72"/>
      <c r="AM651" s="22"/>
      <c r="AO651" s="22" t="s">
        <v>138</v>
      </c>
      <c r="AP651" s="85" t="s">
        <v>1170</v>
      </c>
      <c r="AQ651" s="22" t="s">
        <v>83</v>
      </c>
      <c r="AR651" s="51" t="str">
        <f t="shared" si="549"/>
        <v>JD8B-F63392-AAW</v>
      </c>
      <c r="AS651" s="3"/>
      <c r="AT651" s="22">
        <v>1</v>
      </c>
      <c r="AU651" s="22">
        <v>1</v>
      </c>
      <c r="AV651" s="22"/>
      <c r="AW651" s="22"/>
      <c r="AX651" s="22"/>
      <c r="AY651" s="22"/>
      <c r="AZ651" s="22"/>
      <c r="BA651" s="22"/>
      <c r="BB651" s="64">
        <f t="shared" si="550"/>
        <v>0.30000000000000004</v>
      </c>
      <c r="BD651" s="60">
        <v>0</v>
      </c>
      <c r="BE651" s="60"/>
      <c r="BF651" s="60"/>
      <c r="BG651" s="60"/>
      <c r="BH651" s="60">
        <v>0</v>
      </c>
      <c r="BI651" s="8">
        <f t="shared" si="546"/>
        <v>0</v>
      </c>
      <c r="BJ651" s="2" t="s">
        <v>91</v>
      </c>
      <c r="BL651" s="70"/>
      <c r="BM651" s="70"/>
      <c r="BO651" s="70"/>
      <c r="BP651" s="70"/>
      <c r="BQ651" s="72"/>
      <c r="BS651" s="61">
        <f t="shared" si="514"/>
        <v>0</v>
      </c>
      <c r="BT651" s="61">
        <f t="shared" si="515"/>
        <v>0</v>
      </c>
      <c r="BU651" s="61">
        <f t="shared" si="516"/>
        <v>0</v>
      </c>
      <c r="BV651" s="61">
        <f t="shared" si="516"/>
        <v>0</v>
      </c>
      <c r="BW651" s="61">
        <f t="shared" si="516"/>
        <v>0</v>
      </c>
      <c r="BX651" s="61">
        <f t="shared" si="516"/>
        <v>0</v>
      </c>
      <c r="BY651" s="61" t="s">
        <v>91</v>
      </c>
      <c r="CA651" s="61">
        <f t="shared" si="525"/>
        <v>0</v>
      </c>
      <c r="CB651" s="61">
        <f t="shared" si="525"/>
        <v>0</v>
      </c>
      <c r="CC651" s="61">
        <f t="shared" si="525"/>
        <v>0</v>
      </c>
      <c r="CD651" s="61">
        <f t="shared" si="523"/>
        <v>0</v>
      </c>
      <c r="CE651" s="61">
        <f t="shared" si="523"/>
        <v>0</v>
      </c>
      <c r="CF651" s="61">
        <f t="shared" si="523"/>
        <v>0</v>
      </c>
      <c r="CG651" s="61">
        <f t="shared" si="523"/>
        <v>0</v>
      </c>
      <c r="CH651" s="61">
        <f t="shared" si="523"/>
        <v>0</v>
      </c>
      <c r="CI651" s="61">
        <f t="shared" si="504"/>
        <v>0</v>
      </c>
      <c r="CJ651" s="61"/>
      <c r="CK651" s="61">
        <f t="shared" si="526"/>
        <v>0</v>
      </c>
      <c r="CL651" s="61">
        <f t="shared" si="526"/>
        <v>0</v>
      </c>
      <c r="CM651" s="61">
        <f t="shared" si="526"/>
        <v>0</v>
      </c>
      <c r="CN651" s="61">
        <f t="shared" si="524"/>
        <v>0</v>
      </c>
      <c r="CO651" s="61">
        <f t="shared" si="524"/>
        <v>0</v>
      </c>
      <c r="CP651" s="61">
        <f t="shared" si="524"/>
        <v>0</v>
      </c>
      <c r="CQ651" s="61">
        <f t="shared" si="524"/>
        <v>0</v>
      </c>
      <c r="CR651" s="61">
        <f t="shared" si="524"/>
        <v>0</v>
      </c>
      <c r="CS651" s="61">
        <f t="shared" si="505"/>
        <v>0</v>
      </c>
      <c r="CT651" s="61">
        <f t="shared" si="506"/>
        <v>0</v>
      </c>
      <c r="CV651" s="61">
        <f t="shared" si="554"/>
        <v>0</v>
      </c>
      <c r="CW651" s="61">
        <f t="shared" si="508"/>
        <v>0</v>
      </c>
      <c r="CX651" s="61"/>
      <c r="CY651" s="61">
        <f t="shared" si="555"/>
        <v>0</v>
      </c>
      <c r="CZ651" s="61">
        <f t="shared" si="555"/>
        <v>0</v>
      </c>
      <c r="DA651" s="61">
        <f t="shared" si="555"/>
        <v>0</v>
      </c>
      <c r="DB651" s="2" t="s">
        <v>85</v>
      </c>
      <c r="DC651" s="2" t="s">
        <v>85</v>
      </c>
      <c r="DD651" s="2" t="s">
        <v>142</v>
      </c>
      <c r="DE651" s="2" t="s">
        <v>1146</v>
      </c>
      <c r="DG651" s="62"/>
      <c r="EC651" s="60"/>
      <c r="ED651" s="60"/>
      <c r="EE651" s="60"/>
      <c r="EF651" s="60"/>
    </row>
    <row r="652" spans="1:140" ht="12.75" hidden="1" customHeight="1">
      <c r="B652" s="99" t="s">
        <v>1160</v>
      </c>
      <c r="C652" s="22" t="s">
        <v>1034</v>
      </c>
      <c r="D652" s="22" t="s">
        <v>1035</v>
      </c>
      <c r="E652" s="2" t="s">
        <v>993</v>
      </c>
      <c r="F652" s="2" t="s">
        <v>969</v>
      </c>
      <c r="G652" s="2" t="s">
        <v>331</v>
      </c>
      <c r="J652" s="22" t="s">
        <v>138</v>
      </c>
      <c r="K652" s="23" t="s">
        <v>1042</v>
      </c>
      <c r="L652" s="22" t="s">
        <v>83</v>
      </c>
      <c r="M652" s="51" t="str">
        <f t="shared" si="547"/>
        <v>JD8B-F600B28-AAW</v>
      </c>
      <c r="O652" s="22">
        <v>1</v>
      </c>
      <c r="P652" s="22">
        <v>1</v>
      </c>
      <c r="Q652" s="22"/>
      <c r="R652" s="22"/>
      <c r="S652" s="22"/>
      <c r="T652" s="22"/>
      <c r="U652" s="22"/>
      <c r="V652" s="22"/>
      <c r="W652" s="64">
        <f t="shared" si="548"/>
        <v>0.30000000000000004</v>
      </c>
      <c r="Y652" s="8">
        <v>-843.45600000000002</v>
      </c>
      <c r="Z652" s="8"/>
      <c r="AA652" s="8"/>
      <c r="AB652" s="8"/>
      <c r="AC652" s="8">
        <f>-6.504</f>
        <v>-6.5039999999999996</v>
      </c>
      <c r="AD652" s="8">
        <f t="shared" si="498"/>
        <v>-849.96</v>
      </c>
      <c r="AE652" s="2" t="s">
        <v>91</v>
      </c>
      <c r="AG652" s="8"/>
      <c r="AH652" s="8"/>
      <c r="AJ652" s="70"/>
      <c r="AK652" s="70"/>
      <c r="AL652" s="72"/>
      <c r="AM652" s="22"/>
      <c r="AO652" s="22" t="s">
        <v>138</v>
      </c>
      <c r="AP652" s="85" t="s">
        <v>1042</v>
      </c>
      <c r="AQ652" s="22" t="s">
        <v>83</v>
      </c>
      <c r="AR652" s="51" t="str">
        <f t="shared" si="549"/>
        <v>JD8B-F600B28-AAW</v>
      </c>
      <c r="AS652" s="3"/>
      <c r="AT652" s="22">
        <v>1</v>
      </c>
      <c r="AU652" s="22">
        <v>1</v>
      </c>
      <c r="AV652" s="22"/>
      <c r="AW652" s="22"/>
      <c r="AX652" s="22"/>
      <c r="AY652" s="22"/>
      <c r="AZ652" s="22"/>
      <c r="BA652" s="22"/>
      <c r="BB652" s="64">
        <f t="shared" si="550"/>
        <v>0.30000000000000004</v>
      </c>
      <c r="BD652" s="60">
        <f>-843.456-2.57</f>
        <v>-846.02600000000007</v>
      </c>
      <c r="BE652" s="60"/>
      <c r="BF652" s="60"/>
      <c r="BG652" s="60"/>
      <c r="BH652" s="60">
        <f>-6.504</f>
        <v>-6.5039999999999996</v>
      </c>
      <c r="BI652" s="8">
        <f t="shared" si="546"/>
        <v>-852.53000000000009</v>
      </c>
      <c r="BJ652" s="2" t="s">
        <v>91</v>
      </c>
      <c r="BL652" s="70"/>
      <c r="BM652" s="70"/>
      <c r="BO652" s="70"/>
      <c r="BP652" s="70"/>
      <c r="BQ652" s="72"/>
      <c r="BS652" s="61">
        <f t="shared" si="514"/>
        <v>2.57000000000005</v>
      </c>
      <c r="BT652" s="61">
        <f t="shared" si="515"/>
        <v>0</v>
      </c>
      <c r="BU652" s="61">
        <f t="shared" si="516"/>
        <v>0</v>
      </c>
      <c r="BV652" s="61">
        <f t="shared" si="516"/>
        <v>0</v>
      </c>
      <c r="BW652" s="61">
        <f t="shared" si="516"/>
        <v>0</v>
      </c>
      <c r="BX652" s="61">
        <f t="shared" si="516"/>
        <v>2.57000000000005</v>
      </c>
      <c r="BY652" s="61" t="s">
        <v>91</v>
      </c>
      <c r="CA652" s="61">
        <f t="shared" si="525"/>
        <v>0.38664058973973975</v>
      </c>
      <c r="CB652" s="61">
        <f t="shared" si="525"/>
        <v>0.38664058973973975</v>
      </c>
      <c r="CC652" s="61">
        <f t="shared" si="525"/>
        <v>0</v>
      </c>
      <c r="CD652" s="61">
        <f t="shared" si="523"/>
        <v>0</v>
      </c>
      <c r="CE652" s="61">
        <f t="shared" si="523"/>
        <v>0</v>
      </c>
      <c r="CF652" s="61">
        <f t="shared" si="523"/>
        <v>0</v>
      </c>
      <c r="CG652" s="61">
        <f t="shared" si="523"/>
        <v>0</v>
      </c>
      <c r="CH652" s="61">
        <f t="shared" si="523"/>
        <v>0</v>
      </c>
      <c r="CI652" s="61">
        <f t="shared" si="504"/>
        <v>0.11599217692192193</v>
      </c>
      <c r="CJ652" s="61"/>
      <c r="CK652" s="61">
        <f t="shared" si="526"/>
        <v>0.38664058973973975</v>
      </c>
      <c r="CL652" s="61">
        <f t="shared" si="526"/>
        <v>0.38664058973973975</v>
      </c>
      <c r="CM652" s="61">
        <f t="shared" si="526"/>
        <v>0</v>
      </c>
      <c r="CN652" s="61">
        <f t="shared" si="524"/>
        <v>0</v>
      </c>
      <c r="CO652" s="61">
        <f t="shared" si="524"/>
        <v>0</v>
      </c>
      <c r="CP652" s="61">
        <f t="shared" si="524"/>
        <v>0</v>
      </c>
      <c r="CQ652" s="61">
        <f t="shared" si="524"/>
        <v>0</v>
      </c>
      <c r="CR652" s="61">
        <f t="shared" si="524"/>
        <v>0</v>
      </c>
      <c r="CS652" s="61">
        <f t="shared" si="505"/>
        <v>0.11599217692192193</v>
      </c>
      <c r="CT652" s="61">
        <f t="shared" si="506"/>
        <v>0.77100000000001512</v>
      </c>
      <c r="CV652" s="61">
        <f t="shared" si="554"/>
        <v>0</v>
      </c>
      <c r="CW652" s="61">
        <f t="shared" si="508"/>
        <v>0</v>
      </c>
      <c r="CX652" s="61"/>
      <c r="CY652" s="61">
        <f t="shared" si="555"/>
        <v>0</v>
      </c>
      <c r="CZ652" s="61">
        <f t="shared" si="555"/>
        <v>0</v>
      </c>
      <c r="DA652" s="61">
        <f t="shared" si="555"/>
        <v>0</v>
      </c>
      <c r="DB652" s="2" t="s">
        <v>85</v>
      </c>
      <c r="DC652" s="2" t="s">
        <v>85</v>
      </c>
      <c r="DD652" s="2" t="s">
        <v>142</v>
      </c>
      <c r="DE652" s="2" t="s">
        <v>1146</v>
      </c>
      <c r="DG652" s="62"/>
      <c r="EC652" s="60"/>
      <c r="ED652" s="60"/>
      <c r="EE652" s="60"/>
      <c r="EF652" s="60"/>
    </row>
    <row r="653" spans="1:140" ht="12.75" hidden="1" customHeight="1">
      <c r="B653" s="99" t="s">
        <v>1051</v>
      </c>
      <c r="C653" s="22" t="s">
        <v>1034</v>
      </c>
      <c r="D653" s="22" t="s">
        <v>1035</v>
      </c>
      <c r="E653" s="2" t="s">
        <v>993</v>
      </c>
      <c r="F653" s="2" t="s">
        <v>969</v>
      </c>
      <c r="G653" s="2" t="s">
        <v>331</v>
      </c>
      <c r="J653" s="22" t="s">
        <v>138</v>
      </c>
      <c r="K653" s="23" t="s">
        <v>1042</v>
      </c>
      <c r="L653" s="22" t="s">
        <v>473</v>
      </c>
      <c r="M653" s="51" t="str">
        <f t="shared" si="547"/>
        <v>JD8B-F600B28-ABW</v>
      </c>
      <c r="O653" s="22">
        <v>1</v>
      </c>
      <c r="P653" s="22">
        <v>1</v>
      </c>
      <c r="Q653" s="22"/>
      <c r="R653" s="22"/>
      <c r="S653" s="22"/>
      <c r="T653" s="22"/>
      <c r="U653" s="22"/>
      <c r="V653" s="22"/>
      <c r="W653" s="64">
        <f t="shared" si="548"/>
        <v>0.30000000000000004</v>
      </c>
      <c r="Y653" s="8">
        <f>-843.456-1.61</f>
        <v>-845.06600000000003</v>
      </c>
      <c r="Z653" s="8"/>
      <c r="AA653" s="8"/>
      <c r="AB653" s="8"/>
      <c r="AC653" s="8">
        <f>-6.504</f>
        <v>-6.5039999999999996</v>
      </c>
      <c r="AD653" s="8">
        <f t="shared" ref="AD653" si="558">SUM(Y653:AC653)</f>
        <v>-851.57</v>
      </c>
      <c r="AE653" s="2" t="s">
        <v>91</v>
      </c>
      <c r="AG653" s="8"/>
      <c r="AH653" s="8"/>
      <c r="AJ653" s="70"/>
      <c r="AK653" s="70"/>
      <c r="AL653" s="72"/>
      <c r="AM653" s="22"/>
      <c r="AO653" s="22" t="s">
        <v>138</v>
      </c>
      <c r="AP653" s="23" t="s">
        <v>1042</v>
      </c>
      <c r="AQ653" s="22" t="s">
        <v>83</v>
      </c>
      <c r="AR653" s="51" t="str">
        <f t="shared" si="549"/>
        <v>JD8B-F600B28-AAW</v>
      </c>
      <c r="AS653" s="3"/>
      <c r="AT653" s="22">
        <v>1</v>
      </c>
      <c r="AU653" s="22">
        <v>1</v>
      </c>
      <c r="AV653" s="22"/>
      <c r="AW653" s="22"/>
      <c r="AX653" s="22"/>
      <c r="AY653" s="22"/>
      <c r="AZ653" s="22"/>
      <c r="BA653" s="22"/>
      <c r="BB653" s="64">
        <f t="shared" si="550"/>
        <v>0.30000000000000004</v>
      </c>
      <c r="BD653" s="8">
        <v>-843.45600000000002</v>
      </c>
      <c r="BE653" s="8"/>
      <c r="BF653" s="8"/>
      <c r="BG653" s="8"/>
      <c r="BH653" s="8">
        <f>-6.504</f>
        <v>-6.5039999999999996</v>
      </c>
      <c r="BI653" s="8">
        <f t="shared" si="546"/>
        <v>-849.96</v>
      </c>
      <c r="BJ653" s="2" t="s">
        <v>91</v>
      </c>
      <c r="BL653" s="70"/>
      <c r="BM653" s="70"/>
      <c r="BO653" s="70"/>
      <c r="BP653" s="70"/>
      <c r="BQ653" s="72"/>
      <c r="BS653" s="61">
        <f t="shared" si="514"/>
        <v>-1.6100000000000136</v>
      </c>
      <c r="BT653" s="61">
        <f t="shared" si="515"/>
        <v>0</v>
      </c>
      <c r="BU653" s="61">
        <f t="shared" si="516"/>
        <v>0</v>
      </c>
      <c r="BV653" s="61">
        <f t="shared" si="516"/>
        <v>0</v>
      </c>
      <c r="BW653" s="61">
        <f t="shared" si="516"/>
        <v>0</v>
      </c>
      <c r="BX653" s="61">
        <f t="shared" si="516"/>
        <v>-1.6100000000000136</v>
      </c>
      <c r="BY653" s="61" t="s">
        <v>91</v>
      </c>
      <c r="CA653" s="61">
        <f t="shared" si="525"/>
        <v>-0.24221453287197436</v>
      </c>
      <c r="CB653" s="61">
        <f t="shared" si="525"/>
        <v>-0.24221453287197436</v>
      </c>
      <c r="CC653" s="61">
        <f t="shared" si="525"/>
        <v>0</v>
      </c>
      <c r="CD653" s="61">
        <f t="shared" si="523"/>
        <v>0</v>
      </c>
      <c r="CE653" s="61">
        <f t="shared" si="523"/>
        <v>0</v>
      </c>
      <c r="CF653" s="61">
        <f t="shared" si="523"/>
        <v>0</v>
      </c>
      <c r="CG653" s="61">
        <f t="shared" si="523"/>
        <v>0</v>
      </c>
      <c r="CH653" s="61">
        <f t="shared" si="523"/>
        <v>0</v>
      </c>
      <c r="CI653" s="61">
        <f t="shared" si="504"/>
        <v>-7.2664359861592309E-2</v>
      </c>
      <c r="CJ653" s="61"/>
      <c r="CK653" s="61">
        <f t="shared" si="526"/>
        <v>-0.24221453287197436</v>
      </c>
      <c r="CL653" s="61">
        <f t="shared" si="526"/>
        <v>-0.24221453287197436</v>
      </c>
      <c r="CM653" s="61">
        <f t="shared" si="526"/>
        <v>0</v>
      </c>
      <c r="CN653" s="61">
        <f t="shared" si="524"/>
        <v>0</v>
      </c>
      <c r="CO653" s="61">
        <f t="shared" si="524"/>
        <v>0</v>
      </c>
      <c r="CP653" s="61">
        <f t="shared" si="524"/>
        <v>0</v>
      </c>
      <c r="CQ653" s="61">
        <f t="shared" si="524"/>
        <v>0</v>
      </c>
      <c r="CR653" s="61">
        <f t="shared" si="524"/>
        <v>0</v>
      </c>
      <c r="CS653" s="61">
        <f t="shared" si="505"/>
        <v>-7.2664359861592309E-2</v>
      </c>
      <c r="CT653" s="143">
        <f t="shared" si="506"/>
        <v>-0.48300000000000409</v>
      </c>
      <c r="CV653" s="61">
        <f t="shared" ref="CV653" si="559">SUM(AG653)-SUM(BL653)</f>
        <v>0</v>
      </c>
      <c r="CW653" s="61">
        <f t="shared" ref="CW653" si="560">SUM(AH653)-SUM(BM653)</f>
        <v>0</v>
      </c>
      <c r="CX653" s="61"/>
      <c r="CY653" s="61">
        <f t="shared" si="555"/>
        <v>0</v>
      </c>
      <c r="CZ653" s="61">
        <f t="shared" si="555"/>
        <v>0</v>
      </c>
      <c r="DA653" s="61">
        <f t="shared" si="555"/>
        <v>0</v>
      </c>
      <c r="DB653" s="2" t="s">
        <v>86</v>
      </c>
      <c r="DC653" s="2" t="s">
        <v>85</v>
      </c>
      <c r="DD653" s="2" t="s">
        <v>142</v>
      </c>
      <c r="DE653" s="2" t="s">
        <v>106</v>
      </c>
      <c r="DF653" s="3" t="s">
        <v>86</v>
      </c>
      <c r="DG653" s="62">
        <v>43136</v>
      </c>
      <c r="EC653" s="60" t="str">
        <f>VLOOKUP($M653,[1]Detail!$M:$BO,1,0)</f>
        <v>JD8B-F600B28-ABW</v>
      </c>
      <c r="ED653" s="60">
        <f>VLOOKUP($M653,[1]Detail!$M:$BO,22,0)</f>
        <v>-851.57</v>
      </c>
      <c r="EE653" s="60">
        <f>VLOOKUP($M653,[1]Detail!$M:$BO,42,0)</f>
        <v>0</v>
      </c>
      <c r="EF653" s="60" t="str">
        <f>VLOOKUP($M653,[1]Detail!$M:$BO,45,0)</f>
        <v>incl.above</v>
      </c>
      <c r="EH653" s="60">
        <f>ED653-AD653</f>
        <v>0</v>
      </c>
      <c r="EI653" s="60">
        <f>SUM(EE653)-SUM(AG653)</f>
        <v>0</v>
      </c>
      <c r="EJ653" s="60">
        <f>SUM(EF653)-SUM(AJ653)</f>
        <v>0</v>
      </c>
    </row>
    <row r="654" spans="1:140" ht="12.75" hidden="1" customHeight="1">
      <c r="B654" s="99" t="s">
        <v>1160</v>
      </c>
      <c r="C654" s="22" t="s">
        <v>1034</v>
      </c>
      <c r="D654" s="22" t="s">
        <v>1035</v>
      </c>
      <c r="E654" s="2" t="s">
        <v>993</v>
      </c>
      <c r="F654" s="2" t="s">
        <v>969</v>
      </c>
      <c r="G654" s="2" t="s">
        <v>331</v>
      </c>
      <c r="J654" s="22" t="s">
        <v>138</v>
      </c>
      <c r="K654" s="23" t="s">
        <v>1171</v>
      </c>
      <c r="L654" s="22" t="s">
        <v>203</v>
      </c>
      <c r="M654" s="51" t="str">
        <f t="shared" si="547"/>
        <v>JD8B-F62901-CAW</v>
      </c>
      <c r="O654" s="22"/>
      <c r="P654" s="22"/>
      <c r="Q654" s="22"/>
      <c r="R654" s="22"/>
      <c r="S654" s="22"/>
      <c r="T654" s="22"/>
      <c r="U654" s="22">
        <v>1</v>
      </c>
      <c r="V654" s="22">
        <v>1</v>
      </c>
      <c r="W654" s="64">
        <f t="shared" si="548"/>
        <v>0.1</v>
      </c>
      <c r="Y654" s="8">
        <v>0</v>
      </c>
      <c r="Z654" s="8"/>
      <c r="AA654" s="8"/>
      <c r="AB654" s="8"/>
      <c r="AC654" s="8">
        <v>0</v>
      </c>
      <c r="AD654" s="8">
        <f t="shared" si="498"/>
        <v>0</v>
      </c>
      <c r="AE654" s="2" t="s">
        <v>91</v>
      </c>
      <c r="AG654" s="8"/>
      <c r="AH654" s="8"/>
      <c r="AJ654" s="70"/>
      <c r="AK654" s="70"/>
      <c r="AL654" s="72"/>
      <c r="AM654" s="22"/>
      <c r="AO654" s="22" t="s">
        <v>138</v>
      </c>
      <c r="AP654" s="85" t="s">
        <v>1171</v>
      </c>
      <c r="AQ654" s="22" t="s">
        <v>203</v>
      </c>
      <c r="AR654" s="51" t="str">
        <f t="shared" si="549"/>
        <v>JD8B-F62901-CAW</v>
      </c>
      <c r="AS654" s="3"/>
      <c r="AT654" s="22"/>
      <c r="AU654" s="22"/>
      <c r="AV654" s="22"/>
      <c r="AW654" s="22"/>
      <c r="AX654" s="22"/>
      <c r="AY654" s="22"/>
      <c r="AZ654" s="22">
        <v>1</v>
      </c>
      <c r="BA654" s="22">
        <v>1</v>
      </c>
      <c r="BB654" s="64">
        <f t="shared" si="550"/>
        <v>0.1</v>
      </c>
      <c r="BD654" s="60">
        <v>0</v>
      </c>
      <c r="BE654" s="60"/>
      <c r="BF654" s="60"/>
      <c r="BG654" s="60"/>
      <c r="BH654" s="60">
        <v>0</v>
      </c>
      <c r="BI654" s="8">
        <f t="shared" si="546"/>
        <v>0</v>
      </c>
      <c r="BJ654" s="2" t="s">
        <v>91</v>
      </c>
      <c r="BL654" s="70"/>
      <c r="BM654" s="70"/>
      <c r="BO654" s="70"/>
      <c r="BP654" s="70"/>
      <c r="BQ654" s="72"/>
      <c r="BS654" s="61">
        <f t="shared" si="514"/>
        <v>0</v>
      </c>
      <c r="BT654" s="61">
        <f t="shared" si="515"/>
        <v>0</v>
      </c>
      <c r="BU654" s="61">
        <f t="shared" si="516"/>
        <v>0</v>
      </c>
      <c r="BV654" s="61">
        <f t="shared" si="516"/>
        <v>0</v>
      </c>
      <c r="BW654" s="61">
        <f t="shared" si="516"/>
        <v>0</v>
      </c>
      <c r="BX654" s="61">
        <f t="shared" si="516"/>
        <v>0</v>
      </c>
      <c r="BY654" s="61" t="s">
        <v>91</v>
      </c>
      <c r="CA654" s="61">
        <f t="shared" si="525"/>
        <v>0</v>
      </c>
      <c r="CB654" s="61">
        <f t="shared" si="525"/>
        <v>0</v>
      </c>
      <c r="CC654" s="61">
        <f t="shared" si="525"/>
        <v>0</v>
      </c>
      <c r="CD654" s="61">
        <f t="shared" si="523"/>
        <v>0</v>
      </c>
      <c r="CE654" s="61">
        <f t="shared" si="523"/>
        <v>0</v>
      </c>
      <c r="CF654" s="61">
        <f t="shared" si="523"/>
        <v>0</v>
      </c>
      <c r="CG654" s="61">
        <f t="shared" si="523"/>
        <v>0</v>
      </c>
      <c r="CH654" s="61">
        <f t="shared" si="523"/>
        <v>0</v>
      </c>
      <c r="CI654" s="61">
        <f t="shared" si="504"/>
        <v>0</v>
      </c>
      <c r="CJ654" s="61"/>
      <c r="CK654" s="61">
        <f t="shared" si="526"/>
        <v>0</v>
      </c>
      <c r="CL654" s="61">
        <f t="shared" si="526"/>
        <v>0</v>
      </c>
      <c r="CM654" s="61">
        <f t="shared" si="526"/>
        <v>0</v>
      </c>
      <c r="CN654" s="61">
        <f t="shared" si="524"/>
        <v>0</v>
      </c>
      <c r="CO654" s="61">
        <f t="shared" si="524"/>
        <v>0</v>
      </c>
      <c r="CP654" s="61">
        <f t="shared" si="524"/>
        <v>0</v>
      </c>
      <c r="CQ654" s="61">
        <f t="shared" si="524"/>
        <v>0</v>
      </c>
      <c r="CR654" s="61">
        <f t="shared" si="524"/>
        <v>0</v>
      </c>
      <c r="CS654" s="61">
        <f t="shared" si="505"/>
        <v>0</v>
      </c>
      <c r="CT654" s="61">
        <f t="shared" si="506"/>
        <v>0</v>
      </c>
      <c r="CV654" s="61">
        <f t="shared" si="554"/>
        <v>0</v>
      </c>
      <c r="CW654" s="61">
        <f t="shared" si="508"/>
        <v>0</v>
      </c>
      <c r="CX654" s="61"/>
      <c r="CY654" s="61">
        <f t="shared" si="555"/>
        <v>0</v>
      </c>
      <c r="CZ654" s="61">
        <f t="shared" si="555"/>
        <v>0</v>
      </c>
      <c r="DA654" s="61">
        <f t="shared" si="555"/>
        <v>0</v>
      </c>
      <c r="DB654" s="2" t="s">
        <v>85</v>
      </c>
      <c r="DC654" s="2" t="s">
        <v>85</v>
      </c>
      <c r="DD654" s="2" t="s">
        <v>142</v>
      </c>
      <c r="DE654" s="2" t="s">
        <v>1146</v>
      </c>
      <c r="DG654" s="62"/>
      <c r="EC654" s="60"/>
      <c r="ED654" s="60"/>
      <c r="EE654" s="60"/>
      <c r="EF654" s="60"/>
    </row>
    <row r="655" spans="1:140" ht="12.75" hidden="1" customHeight="1">
      <c r="B655" s="99" t="s">
        <v>1160</v>
      </c>
      <c r="C655" s="22" t="s">
        <v>1034</v>
      </c>
      <c r="D655" s="22" t="s">
        <v>1035</v>
      </c>
      <c r="E655" s="2" t="s">
        <v>993</v>
      </c>
      <c r="F655" s="2" t="s">
        <v>969</v>
      </c>
      <c r="G655" s="2" t="s">
        <v>331</v>
      </c>
      <c r="J655" s="22" t="s">
        <v>138</v>
      </c>
      <c r="K655" s="23" t="s">
        <v>1054</v>
      </c>
      <c r="L655" s="22" t="s">
        <v>206</v>
      </c>
      <c r="M655" s="51" t="str">
        <f t="shared" si="547"/>
        <v>JD8B-F600A31-DAW</v>
      </c>
      <c r="O655" s="22"/>
      <c r="P655" s="22"/>
      <c r="Q655" s="22"/>
      <c r="R655" s="22"/>
      <c r="S655" s="22">
        <v>1</v>
      </c>
      <c r="T655" s="22">
        <v>1</v>
      </c>
      <c r="U655" s="22"/>
      <c r="V655" s="22">
        <v>1</v>
      </c>
      <c r="W655" s="64">
        <f t="shared" si="548"/>
        <v>0.28000000000000003</v>
      </c>
      <c r="Y655" s="8">
        <v>-1173.0619999999999</v>
      </c>
      <c r="Z655" s="8"/>
      <c r="AA655" s="8"/>
      <c r="AB655" s="8"/>
      <c r="AC655" s="8">
        <v>-4.8780000000000001</v>
      </c>
      <c r="AD655" s="8">
        <f t="shared" si="498"/>
        <v>-1177.9399999999998</v>
      </c>
      <c r="AE655" s="2" t="s">
        <v>91</v>
      </c>
      <c r="AG655" s="8"/>
      <c r="AH655" s="8"/>
      <c r="AJ655" s="70"/>
      <c r="AK655" s="70"/>
      <c r="AL655" s="72"/>
      <c r="AM655" s="22"/>
      <c r="AO655" s="22" t="s">
        <v>138</v>
      </c>
      <c r="AP655" s="85" t="s">
        <v>1054</v>
      </c>
      <c r="AQ655" s="22" t="s">
        <v>206</v>
      </c>
      <c r="AR655" s="51" t="str">
        <f t="shared" si="549"/>
        <v>JD8B-F600A31-DAW</v>
      </c>
      <c r="AS655" s="3"/>
      <c r="AT655" s="22"/>
      <c r="AU655" s="22"/>
      <c r="AV655" s="22"/>
      <c r="AW655" s="22"/>
      <c r="AX655" s="22">
        <v>1</v>
      </c>
      <c r="AY655" s="22">
        <v>1</v>
      </c>
      <c r="AZ655" s="22"/>
      <c r="BA655" s="22">
        <v>1</v>
      </c>
      <c r="BB655" s="64">
        <f t="shared" si="550"/>
        <v>0.28000000000000003</v>
      </c>
      <c r="BD655" s="60">
        <f>-1173.062-51.57</f>
        <v>-1224.6319999999998</v>
      </c>
      <c r="BE655" s="60"/>
      <c r="BF655" s="60"/>
      <c r="BG655" s="60"/>
      <c r="BH655" s="60">
        <v>-4.8780000000000001</v>
      </c>
      <c r="BI655" s="8">
        <f t="shared" si="546"/>
        <v>-1229.5099999999998</v>
      </c>
      <c r="BJ655" s="2" t="s">
        <v>91</v>
      </c>
      <c r="BL655" s="70"/>
      <c r="BM655" s="70"/>
      <c r="BO655" s="70"/>
      <c r="BP655" s="70"/>
      <c r="BQ655" s="72"/>
      <c r="BS655" s="61">
        <f t="shared" si="514"/>
        <v>51.569999999999936</v>
      </c>
      <c r="BT655" s="61">
        <f t="shared" si="515"/>
        <v>0</v>
      </c>
      <c r="BU655" s="61">
        <f t="shared" si="516"/>
        <v>0</v>
      </c>
      <c r="BV655" s="61">
        <f t="shared" si="516"/>
        <v>0</v>
      </c>
      <c r="BW655" s="61">
        <f t="shared" si="516"/>
        <v>0</v>
      </c>
      <c r="BX655" s="61">
        <f t="shared" si="516"/>
        <v>51.569999999999936</v>
      </c>
      <c r="BY655" s="61" t="s">
        <v>91</v>
      </c>
      <c r="CA655" s="61">
        <f t="shared" si="525"/>
        <v>0</v>
      </c>
      <c r="CB655" s="61">
        <f t="shared" si="525"/>
        <v>0</v>
      </c>
      <c r="CC655" s="61">
        <f t="shared" si="525"/>
        <v>0</v>
      </c>
      <c r="CD655" s="61">
        <f t="shared" si="523"/>
        <v>0</v>
      </c>
      <c r="CE655" s="61">
        <f t="shared" si="523"/>
        <v>7.7583872423649671</v>
      </c>
      <c r="CF655" s="61">
        <f t="shared" si="523"/>
        <v>7.7583872423649671</v>
      </c>
      <c r="CG655" s="61">
        <f t="shared" si="523"/>
        <v>0</v>
      </c>
      <c r="CH655" s="61">
        <f t="shared" si="523"/>
        <v>7.7583872423649671</v>
      </c>
      <c r="CI655" s="61">
        <f t="shared" si="504"/>
        <v>2.172348427862191</v>
      </c>
      <c r="CJ655" s="61"/>
      <c r="CK655" s="61">
        <f t="shared" si="526"/>
        <v>0</v>
      </c>
      <c r="CL655" s="61">
        <f t="shared" si="526"/>
        <v>0</v>
      </c>
      <c r="CM655" s="61">
        <f t="shared" si="526"/>
        <v>0</v>
      </c>
      <c r="CN655" s="61">
        <f t="shared" si="524"/>
        <v>0</v>
      </c>
      <c r="CO655" s="61">
        <f t="shared" si="524"/>
        <v>7.7583872423649671</v>
      </c>
      <c r="CP655" s="61">
        <f t="shared" si="524"/>
        <v>7.7583872423649671</v>
      </c>
      <c r="CQ655" s="61">
        <f t="shared" si="524"/>
        <v>0</v>
      </c>
      <c r="CR655" s="61">
        <f t="shared" si="524"/>
        <v>7.7583872423649671</v>
      </c>
      <c r="CS655" s="61">
        <f t="shared" si="505"/>
        <v>2.172348427862191</v>
      </c>
      <c r="CT655" s="61">
        <f t="shared" si="506"/>
        <v>14.439599999999984</v>
      </c>
      <c r="CV655" s="61">
        <f t="shared" si="554"/>
        <v>0</v>
      </c>
      <c r="CW655" s="61">
        <f t="shared" si="508"/>
        <v>0</v>
      </c>
      <c r="CX655" s="61"/>
      <c r="CY655" s="61">
        <f t="shared" si="555"/>
        <v>0</v>
      </c>
      <c r="CZ655" s="61">
        <f t="shared" si="555"/>
        <v>0</v>
      </c>
      <c r="DA655" s="61">
        <f t="shared" si="555"/>
        <v>0</v>
      </c>
      <c r="DB655" s="2" t="s">
        <v>85</v>
      </c>
      <c r="DC655" s="2" t="s">
        <v>85</v>
      </c>
      <c r="DD655" s="2" t="s">
        <v>142</v>
      </c>
      <c r="DE655" s="2" t="s">
        <v>1146</v>
      </c>
      <c r="DG655" s="62"/>
      <c r="EC655" s="60"/>
      <c r="ED655" s="60"/>
      <c r="EE655" s="60"/>
      <c r="EF655" s="60"/>
    </row>
    <row r="656" spans="1:140" ht="12.75" hidden="1" customHeight="1">
      <c r="B656" s="99" t="s">
        <v>1172</v>
      </c>
      <c r="C656" s="22" t="s">
        <v>1034</v>
      </c>
      <c r="D656" s="22" t="s">
        <v>1035</v>
      </c>
      <c r="E656" s="2" t="s">
        <v>993</v>
      </c>
      <c r="F656" s="2" t="s">
        <v>969</v>
      </c>
      <c r="G656" s="2" t="s">
        <v>331</v>
      </c>
      <c r="J656" s="22" t="s">
        <v>138</v>
      </c>
      <c r="K656" s="23" t="s">
        <v>1054</v>
      </c>
      <c r="L656" s="22" t="s">
        <v>212</v>
      </c>
      <c r="M656" s="51" t="str">
        <f t="shared" si="547"/>
        <v>JD8B-F600A31-DBW</v>
      </c>
      <c r="O656" s="22"/>
      <c r="P656" s="22"/>
      <c r="Q656" s="22"/>
      <c r="R656" s="22"/>
      <c r="S656" s="22">
        <v>1</v>
      </c>
      <c r="T656" s="22">
        <v>1</v>
      </c>
      <c r="U656" s="22"/>
      <c r="V656" s="22">
        <v>1</v>
      </c>
      <c r="W656" s="64">
        <f t="shared" si="548"/>
        <v>0.28000000000000003</v>
      </c>
      <c r="Y656" s="8">
        <v>-1173.0619999999999</v>
      </c>
      <c r="Z656" s="8"/>
      <c r="AA656" s="8"/>
      <c r="AB656" s="8"/>
      <c r="AC656" s="8">
        <v>-4.8780000000000001</v>
      </c>
      <c r="AD656" s="8">
        <f t="shared" ref="AD656" si="561">SUM(Y656:AC656)</f>
        <v>-1177.9399999999998</v>
      </c>
      <c r="AE656" s="2" t="s">
        <v>91</v>
      </c>
      <c r="AG656" s="8"/>
      <c r="AH656" s="8"/>
      <c r="AJ656" s="70"/>
      <c r="AK656" s="70"/>
      <c r="AL656" s="72"/>
      <c r="AM656" s="22"/>
      <c r="AO656" s="22" t="s">
        <v>138</v>
      </c>
      <c r="AP656" s="85" t="s">
        <v>1054</v>
      </c>
      <c r="AQ656" s="22" t="s">
        <v>206</v>
      </c>
      <c r="AR656" s="51" t="str">
        <f t="shared" si="549"/>
        <v>JD8B-F600A31-DAW</v>
      </c>
      <c r="AS656" s="3"/>
      <c r="AT656" s="22"/>
      <c r="AU656" s="22"/>
      <c r="AV656" s="22"/>
      <c r="AW656" s="22"/>
      <c r="AX656" s="22">
        <v>1</v>
      </c>
      <c r="AY656" s="22">
        <v>1</v>
      </c>
      <c r="AZ656" s="22"/>
      <c r="BA656" s="22">
        <v>1</v>
      </c>
      <c r="BB656" s="64">
        <f t="shared" si="550"/>
        <v>0.28000000000000003</v>
      </c>
      <c r="BD656" s="8">
        <v>-1173.0619999999999</v>
      </c>
      <c r="BE656" s="8"/>
      <c r="BF656" s="8"/>
      <c r="BG656" s="8"/>
      <c r="BH656" s="8">
        <v>-4.8780000000000001</v>
      </c>
      <c r="BI656" s="8">
        <f t="shared" ref="BI656:BI657" si="562">SUM(BD656:BH656)</f>
        <v>-1177.9399999999998</v>
      </c>
      <c r="BJ656" s="2" t="s">
        <v>91</v>
      </c>
      <c r="BL656" s="70"/>
      <c r="BM656" s="70"/>
      <c r="BO656" s="70"/>
      <c r="BP656" s="70"/>
      <c r="BQ656" s="72"/>
      <c r="BS656" s="61">
        <f t="shared" si="514"/>
        <v>0</v>
      </c>
      <c r="BT656" s="61">
        <f t="shared" si="515"/>
        <v>0</v>
      </c>
      <c r="BU656" s="61">
        <f t="shared" si="516"/>
        <v>0</v>
      </c>
      <c r="BV656" s="61">
        <f t="shared" si="516"/>
        <v>0</v>
      </c>
      <c r="BW656" s="61">
        <f t="shared" si="516"/>
        <v>0</v>
      </c>
      <c r="BX656" s="61">
        <f t="shared" si="516"/>
        <v>0</v>
      </c>
      <c r="BY656" s="61" t="s">
        <v>91</v>
      </c>
      <c r="CA656" s="61">
        <f t="shared" si="525"/>
        <v>0</v>
      </c>
      <c r="CB656" s="61">
        <f t="shared" si="525"/>
        <v>0</v>
      </c>
      <c r="CC656" s="61">
        <f t="shared" si="525"/>
        <v>0</v>
      </c>
      <c r="CD656" s="61">
        <f t="shared" si="523"/>
        <v>0</v>
      </c>
      <c r="CE656" s="61">
        <f t="shared" si="523"/>
        <v>0</v>
      </c>
      <c r="CF656" s="61">
        <f t="shared" si="523"/>
        <v>0</v>
      </c>
      <c r="CG656" s="61">
        <f t="shared" si="523"/>
        <v>0</v>
      </c>
      <c r="CH656" s="61">
        <f t="shared" si="523"/>
        <v>0</v>
      </c>
      <c r="CI656" s="61">
        <f t="shared" si="504"/>
        <v>0</v>
      </c>
      <c r="CJ656" s="61"/>
      <c r="CK656" s="61">
        <f t="shared" si="526"/>
        <v>0</v>
      </c>
      <c r="CL656" s="61">
        <f t="shared" si="526"/>
        <v>0</v>
      </c>
      <c r="CM656" s="61">
        <f t="shared" si="526"/>
        <v>0</v>
      </c>
      <c r="CN656" s="61">
        <f t="shared" si="524"/>
        <v>0</v>
      </c>
      <c r="CO656" s="61">
        <f t="shared" si="524"/>
        <v>0</v>
      </c>
      <c r="CP656" s="61">
        <f t="shared" si="524"/>
        <v>0</v>
      </c>
      <c r="CQ656" s="61">
        <f t="shared" si="524"/>
        <v>0</v>
      </c>
      <c r="CR656" s="61">
        <f t="shared" si="524"/>
        <v>0</v>
      </c>
      <c r="CS656" s="61">
        <f t="shared" si="505"/>
        <v>0</v>
      </c>
      <c r="CT656" s="61">
        <f t="shared" si="506"/>
        <v>0</v>
      </c>
      <c r="CV656" s="61">
        <f t="shared" ref="CV656" si="563">SUM(AG656)-SUM(BL656)</f>
        <v>0</v>
      </c>
      <c r="CW656" s="61">
        <f t="shared" ref="CW656:CW657" si="564">SUM(AH656)-SUM(BM656)</f>
        <v>0</v>
      </c>
      <c r="CX656" s="61"/>
      <c r="CY656" s="61">
        <f t="shared" si="555"/>
        <v>0</v>
      </c>
      <c r="CZ656" s="61">
        <f t="shared" si="555"/>
        <v>0</v>
      </c>
      <c r="DA656" s="61">
        <f t="shared" si="555"/>
        <v>0</v>
      </c>
      <c r="DB656" s="2" t="s">
        <v>85</v>
      </c>
      <c r="DC656" s="2" t="s">
        <v>85</v>
      </c>
      <c r="DD656" s="2" t="s">
        <v>142</v>
      </c>
      <c r="DE656" s="2" t="s">
        <v>1146</v>
      </c>
      <c r="DF656" s="3" t="s">
        <v>86</v>
      </c>
      <c r="DG656" s="62">
        <v>43060</v>
      </c>
      <c r="EC656" s="60"/>
      <c r="ED656" s="60"/>
      <c r="EE656" s="60"/>
      <c r="EF656" s="60"/>
    </row>
    <row r="657" spans="2:140" ht="12.75" hidden="1" customHeight="1">
      <c r="B657" s="99" t="s">
        <v>1173</v>
      </c>
      <c r="C657" s="22" t="s">
        <v>1034</v>
      </c>
      <c r="D657" s="22" t="s">
        <v>1035</v>
      </c>
      <c r="E657" s="2" t="s">
        <v>993</v>
      </c>
      <c r="F657" s="2" t="s">
        <v>969</v>
      </c>
      <c r="G657" s="2" t="s">
        <v>331</v>
      </c>
      <c r="J657" s="22" t="s">
        <v>138</v>
      </c>
      <c r="K657" s="23" t="s">
        <v>1054</v>
      </c>
      <c r="L657" s="22" t="s">
        <v>217</v>
      </c>
      <c r="M657" s="51" t="str">
        <f t="shared" si="547"/>
        <v>JD8B-F600A31-DCW</v>
      </c>
      <c r="O657" s="22"/>
      <c r="P657" s="22"/>
      <c r="Q657" s="22"/>
      <c r="R657" s="22"/>
      <c r="S657" s="22">
        <v>1</v>
      </c>
      <c r="T657" s="22">
        <v>1</v>
      </c>
      <c r="U657" s="22"/>
      <c r="V657" s="22">
        <v>1</v>
      </c>
      <c r="W657" s="64">
        <f t="shared" si="548"/>
        <v>0.28000000000000003</v>
      </c>
      <c r="Y657" s="8">
        <v>-1173.0619999999999</v>
      </c>
      <c r="Z657" s="8"/>
      <c r="AA657" s="8"/>
      <c r="AB657" s="8"/>
      <c r="AC657" s="8">
        <v>-4.8780000000000001</v>
      </c>
      <c r="AD657" s="8">
        <f t="shared" ref="AD657" si="565">SUM(Y657:AC657)</f>
        <v>-1177.9399999999998</v>
      </c>
      <c r="AE657" s="2" t="s">
        <v>91</v>
      </c>
      <c r="AG657" s="8"/>
      <c r="AH657" s="8"/>
      <c r="AJ657" s="70"/>
      <c r="AK657" s="70"/>
      <c r="AL657" s="72"/>
      <c r="AM657" s="22"/>
      <c r="AO657" s="22" t="s">
        <v>138</v>
      </c>
      <c r="AP657" s="23" t="s">
        <v>1054</v>
      </c>
      <c r="AQ657" s="22" t="s">
        <v>212</v>
      </c>
      <c r="AR657" s="51" t="str">
        <f t="shared" si="549"/>
        <v>JD8B-F600A31-DBW</v>
      </c>
      <c r="AS657" s="3"/>
      <c r="AT657" s="22"/>
      <c r="AU657" s="22"/>
      <c r="AV657" s="22"/>
      <c r="AW657" s="22"/>
      <c r="AX657" s="22">
        <v>1</v>
      </c>
      <c r="AY657" s="22">
        <v>1</v>
      </c>
      <c r="AZ657" s="22"/>
      <c r="BA657" s="22">
        <v>1</v>
      </c>
      <c r="BB657" s="64">
        <f t="shared" si="550"/>
        <v>0.28000000000000003</v>
      </c>
      <c r="BD657" s="8">
        <v>-1173.0619999999999</v>
      </c>
      <c r="BE657" s="8"/>
      <c r="BF657" s="8"/>
      <c r="BG657" s="8"/>
      <c r="BH657" s="8">
        <v>-4.8780000000000001</v>
      </c>
      <c r="BI657" s="8">
        <f t="shared" si="562"/>
        <v>-1177.9399999999998</v>
      </c>
      <c r="BJ657" s="2" t="s">
        <v>91</v>
      </c>
      <c r="BL657" s="70"/>
      <c r="BM657" s="70"/>
      <c r="BO657" s="70"/>
      <c r="BP657" s="70"/>
      <c r="BQ657" s="72"/>
      <c r="BS657" s="61">
        <f t="shared" si="514"/>
        <v>0</v>
      </c>
      <c r="BT657" s="61">
        <f t="shared" si="515"/>
        <v>0</v>
      </c>
      <c r="BU657" s="61">
        <f t="shared" si="516"/>
        <v>0</v>
      </c>
      <c r="BV657" s="61">
        <f t="shared" si="516"/>
        <v>0</v>
      </c>
      <c r="BW657" s="61">
        <f t="shared" si="516"/>
        <v>0</v>
      </c>
      <c r="BX657" s="61">
        <f t="shared" si="516"/>
        <v>0</v>
      </c>
      <c r="BY657" s="61" t="s">
        <v>91</v>
      </c>
      <c r="CA657" s="61">
        <f t="shared" si="525"/>
        <v>0</v>
      </c>
      <c r="CB657" s="61">
        <f t="shared" si="525"/>
        <v>0</v>
      </c>
      <c r="CC657" s="61">
        <f t="shared" si="525"/>
        <v>0</v>
      </c>
      <c r="CD657" s="61">
        <f t="shared" si="523"/>
        <v>0</v>
      </c>
      <c r="CE657" s="61">
        <f t="shared" si="523"/>
        <v>0</v>
      </c>
      <c r="CF657" s="61">
        <f t="shared" si="523"/>
        <v>0</v>
      </c>
      <c r="CG657" s="61">
        <f t="shared" si="523"/>
        <v>0</v>
      </c>
      <c r="CH657" s="61">
        <f t="shared" si="523"/>
        <v>0</v>
      </c>
      <c r="CI657" s="61">
        <f t="shared" si="504"/>
        <v>0</v>
      </c>
      <c r="CJ657" s="61"/>
      <c r="CK657" s="61">
        <f t="shared" si="526"/>
        <v>0</v>
      </c>
      <c r="CL657" s="61">
        <f t="shared" si="526"/>
        <v>0</v>
      </c>
      <c r="CM657" s="61">
        <f t="shared" si="526"/>
        <v>0</v>
      </c>
      <c r="CN657" s="61">
        <f t="shared" si="524"/>
        <v>0</v>
      </c>
      <c r="CO657" s="61">
        <f t="shared" si="524"/>
        <v>0</v>
      </c>
      <c r="CP657" s="61">
        <f t="shared" si="524"/>
        <v>0</v>
      </c>
      <c r="CQ657" s="61">
        <f t="shared" si="524"/>
        <v>0</v>
      </c>
      <c r="CR657" s="61">
        <f t="shared" si="524"/>
        <v>0</v>
      </c>
      <c r="CS657" s="61">
        <f t="shared" si="505"/>
        <v>0</v>
      </c>
      <c r="CT657" s="61">
        <f t="shared" si="506"/>
        <v>0</v>
      </c>
      <c r="CV657" s="61">
        <f t="shared" ref="CV657" si="566">SUM(AG657)-SUM(BL657)</f>
        <v>0</v>
      </c>
      <c r="CW657" s="61">
        <f t="shared" si="564"/>
        <v>0</v>
      </c>
      <c r="CX657" s="61"/>
      <c r="CY657" s="61">
        <f t="shared" si="555"/>
        <v>0</v>
      </c>
      <c r="CZ657" s="61">
        <f t="shared" si="555"/>
        <v>0</v>
      </c>
      <c r="DA657" s="61">
        <f t="shared" si="555"/>
        <v>0</v>
      </c>
      <c r="DB657" s="2" t="s">
        <v>86</v>
      </c>
      <c r="DC657" s="2" t="s">
        <v>85</v>
      </c>
      <c r="DD657" s="2" t="s">
        <v>142</v>
      </c>
      <c r="DE657" s="2" t="s">
        <v>106</v>
      </c>
      <c r="DF657" s="3" t="s">
        <v>86</v>
      </c>
      <c r="DG657" s="62">
        <v>43136</v>
      </c>
      <c r="EC657" s="60" t="str">
        <f>VLOOKUP($M657,[1]Detail!$M:$BO,1,0)</f>
        <v>JD8B-F600A31-DCW</v>
      </c>
      <c r="ED657" s="60">
        <f>VLOOKUP($M657,[1]Detail!$M:$BO,22,0)</f>
        <v>-1177.9399999999998</v>
      </c>
      <c r="EE657" s="60">
        <f>VLOOKUP($M657,[1]Detail!$M:$BO,42,0)</f>
        <v>0</v>
      </c>
      <c r="EF657" s="60" t="str">
        <f>VLOOKUP($M657,[1]Detail!$M:$BO,45,0)</f>
        <v>incl.above</v>
      </c>
      <c r="EH657" s="60">
        <f>ED657-AD657</f>
        <v>0</v>
      </c>
      <c r="EI657" s="60">
        <f>SUM(EE657)-SUM(AG657)</f>
        <v>0</v>
      </c>
      <c r="EJ657" s="60">
        <f>SUM(EF657)-SUM(AJ657)</f>
        <v>0</v>
      </c>
    </row>
    <row r="658" spans="2:140" ht="12.75" hidden="1" customHeight="1">
      <c r="B658" s="99" t="s">
        <v>1160</v>
      </c>
      <c r="C658" s="22" t="s">
        <v>1034</v>
      </c>
      <c r="D658" s="22" t="s">
        <v>1035</v>
      </c>
      <c r="E658" s="2" t="s">
        <v>993</v>
      </c>
      <c r="F658" s="2" t="s">
        <v>969</v>
      </c>
      <c r="G658" s="2" t="s">
        <v>331</v>
      </c>
      <c r="J658" s="22" t="s">
        <v>138</v>
      </c>
      <c r="K658" s="23" t="s">
        <v>1169</v>
      </c>
      <c r="L658" s="22" t="s">
        <v>203</v>
      </c>
      <c r="M658" s="51" t="str">
        <f t="shared" si="547"/>
        <v>JD8B-F64416-CAW</v>
      </c>
      <c r="O658" s="22"/>
      <c r="P658" s="22"/>
      <c r="Q658" s="22"/>
      <c r="R658" s="22"/>
      <c r="S658" s="22"/>
      <c r="T658" s="22"/>
      <c r="U658" s="22">
        <v>1</v>
      </c>
      <c r="V658" s="22">
        <v>1</v>
      </c>
      <c r="W658" s="64">
        <f t="shared" si="548"/>
        <v>0.1</v>
      </c>
      <c r="Y658" s="8">
        <v>0</v>
      </c>
      <c r="Z658" s="8"/>
      <c r="AA658" s="8"/>
      <c r="AB658" s="8"/>
      <c r="AC658" s="8">
        <v>0</v>
      </c>
      <c r="AD658" s="8">
        <f t="shared" ref="AD658:AD750" si="567">SUM(Y658:AC658)</f>
        <v>0</v>
      </c>
      <c r="AE658" s="2" t="s">
        <v>91</v>
      </c>
      <c r="AG658" s="8"/>
      <c r="AH658" s="8"/>
      <c r="AJ658" s="70"/>
      <c r="AK658" s="70"/>
      <c r="AL658" s="72"/>
      <c r="AM658" s="22"/>
      <c r="AO658" s="22" t="s">
        <v>138</v>
      </c>
      <c r="AP658" s="85" t="s">
        <v>1169</v>
      </c>
      <c r="AQ658" s="22" t="s">
        <v>203</v>
      </c>
      <c r="AR658" s="51" t="str">
        <f t="shared" si="549"/>
        <v>JD8B-F64416-CAW</v>
      </c>
      <c r="AS658" s="3"/>
      <c r="AT658" s="22"/>
      <c r="AU658" s="22"/>
      <c r="AV658" s="22"/>
      <c r="AW658" s="22"/>
      <c r="AX658" s="22"/>
      <c r="AY658" s="22"/>
      <c r="AZ658" s="22">
        <v>1</v>
      </c>
      <c r="BA658" s="22">
        <v>1</v>
      </c>
      <c r="BB658" s="64">
        <f t="shared" si="550"/>
        <v>0.1</v>
      </c>
      <c r="BD658" s="60">
        <v>0</v>
      </c>
      <c r="BE658" s="60"/>
      <c r="BF658" s="60"/>
      <c r="BG658" s="60"/>
      <c r="BH658" s="60">
        <v>0</v>
      </c>
      <c r="BI658" s="8">
        <f t="shared" si="546"/>
        <v>0</v>
      </c>
      <c r="BJ658" s="2" t="s">
        <v>91</v>
      </c>
      <c r="BL658" s="70"/>
      <c r="BM658" s="70"/>
      <c r="BO658" s="70"/>
      <c r="BP658" s="70"/>
      <c r="BQ658" s="72"/>
      <c r="BS658" s="61">
        <f t="shared" si="514"/>
        <v>0</v>
      </c>
      <c r="BT658" s="61">
        <f t="shared" si="515"/>
        <v>0</v>
      </c>
      <c r="BU658" s="61">
        <f t="shared" si="516"/>
        <v>0</v>
      </c>
      <c r="BV658" s="61">
        <f t="shared" si="516"/>
        <v>0</v>
      </c>
      <c r="BW658" s="61">
        <f t="shared" si="516"/>
        <v>0</v>
      </c>
      <c r="BX658" s="61">
        <f t="shared" si="516"/>
        <v>0</v>
      </c>
      <c r="BY658" s="61" t="s">
        <v>91</v>
      </c>
      <c r="CA658" s="61">
        <f t="shared" si="525"/>
        <v>0</v>
      </c>
      <c r="CB658" s="61">
        <f t="shared" si="525"/>
        <v>0</v>
      </c>
      <c r="CC658" s="61">
        <f t="shared" si="525"/>
        <v>0</v>
      </c>
      <c r="CD658" s="61">
        <f t="shared" si="523"/>
        <v>0</v>
      </c>
      <c r="CE658" s="61">
        <f t="shared" si="523"/>
        <v>0</v>
      </c>
      <c r="CF658" s="61">
        <f t="shared" si="523"/>
        <v>0</v>
      </c>
      <c r="CG658" s="61">
        <f t="shared" si="523"/>
        <v>0</v>
      </c>
      <c r="CH658" s="61">
        <f t="shared" si="523"/>
        <v>0</v>
      </c>
      <c r="CI658" s="61">
        <f t="shared" si="504"/>
        <v>0</v>
      </c>
      <c r="CJ658" s="61"/>
      <c r="CK658" s="61">
        <f t="shared" si="526"/>
        <v>0</v>
      </c>
      <c r="CL658" s="61">
        <f t="shared" si="526"/>
        <v>0</v>
      </c>
      <c r="CM658" s="61">
        <f t="shared" si="526"/>
        <v>0</v>
      </c>
      <c r="CN658" s="61">
        <f t="shared" si="524"/>
        <v>0</v>
      </c>
      <c r="CO658" s="61">
        <f t="shared" si="524"/>
        <v>0</v>
      </c>
      <c r="CP658" s="61">
        <f t="shared" si="524"/>
        <v>0</v>
      </c>
      <c r="CQ658" s="61">
        <f t="shared" si="524"/>
        <v>0</v>
      </c>
      <c r="CR658" s="61">
        <f t="shared" si="524"/>
        <v>0</v>
      </c>
      <c r="CS658" s="61">
        <f t="shared" si="505"/>
        <v>0</v>
      </c>
      <c r="CT658" s="61">
        <f t="shared" si="506"/>
        <v>0</v>
      </c>
      <c r="CV658" s="61">
        <f t="shared" si="554"/>
        <v>0</v>
      </c>
      <c r="CW658" s="61">
        <f t="shared" si="508"/>
        <v>0</v>
      </c>
      <c r="CX658" s="61"/>
      <c r="CY658" s="61">
        <f t="shared" si="555"/>
        <v>0</v>
      </c>
      <c r="CZ658" s="61">
        <f t="shared" si="555"/>
        <v>0</v>
      </c>
      <c r="DA658" s="61">
        <f t="shared" si="555"/>
        <v>0</v>
      </c>
      <c r="DB658" s="2" t="s">
        <v>85</v>
      </c>
      <c r="DC658" s="2" t="s">
        <v>85</v>
      </c>
      <c r="DD658" s="2" t="s">
        <v>142</v>
      </c>
      <c r="DE658" s="2" t="s">
        <v>1146</v>
      </c>
      <c r="DG658" s="62"/>
      <c r="EC658" s="60"/>
      <c r="ED658" s="60"/>
      <c r="EE658" s="60"/>
      <c r="EF658" s="60"/>
    </row>
    <row r="659" spans="2:140" ht="12.75" hidden="1" customHeight="1">
      <c r="B659" s="99" t="s">
        <v>1160</v>
      </c>
      <c r="C659" s="22" t="s">
        <v>1034</v>
      </c>
      <c r="D659" s="22" t="s">
        <v>1035</v>
      </c>
      <c r="E659" s="2" t="s">
        <v>993</v>
      </c>
      <c r="F659" s="2" t="s">
        <v>969</v>
      </c>
      <c r="G659" s="2" t="s">
        <v>331</v>
      </c>
      <c r="J659" s="22" t="s">
        <v>138</v>
      </c>
      <c r="K659" s="23" t="s">
        <v>1174</v>
      </c>
      <c r="L659" s="22" t="s">
        <v>206</v>
      </c>
      <c r="M659" s="51" t="str">
        <f t="shared" si="547"/>
        <v>JD8B-F600M64-DAW</v>
      </c>
      <c r="O659" s="22"/>
      <c r="P659" s="22"/>
      <c r="Q659" s="22"/>
      <c r="R659" s="22"/>
      <c r="S659" s="22">
        <v>1</v>
      </c>
      <c r="T659" s="22">
        <v>1</v>
      </c>
      <c r="U659" s="22"/>
      <c r="V659" s="22"/>
      <c r="W659" s="64">
        <f t="shared" si="548"/>
        <v>0.23</v>
      </c>
      <c r="Y659" s="8">
        <v>0</v>
      </c>
      <c r="Z659" s="8"/>
      <c r="AA659" s="8"/>
      <c r="AB659" s="8"/>
      <c r="AC659" s="8">
        <v>0</v>
      </c>
      <c r="AD659" s="8">
        <f t="shared" si="567"/>
        <v>0</v>
      </c>
      <c r="AE659" s="2" t="s">
        <v>91</v>
      </c>
      <c r="AG659" s="8"/>
      <c r="AH659" s="8"/>
      <c r="AJ659" s="70"/>
      <c r="AK659" s="70"/>
      <c r="AL659" s="72"/>
      <c r="AM659" s="22"/>
      <c r="AO659" s="22" t="s">
        <v>138</v>
      </c>
      <c r="AP659" s="85" t="s">
        <v>1174</v>
      </c>
      <c r="AQ659" s="22" t="s">
        <v>206</v>
      </c>
      <c r="AR659" s="51" t="str">
        <f t="shared" si="549"/>
        <v>JD8B-F600M64-DAW</v>
      </c>
      <c r="AS659" s="3"/>
      <c r="AT659" s="22"/>
      <c r="AU659" s="22"/>
      <c r="AV659" s="22"/>
      <c r="AW659" s="22"/>
      <c r="AX659" s="22">
        <v>1</v>
      </c>
      <c r="AY659" s="22">
        <v>1</v>
      </c>
      <c r="AZ659" s="22"/>
      <c r="BA659" s="22"/>
      <c r="BB659" s="64">
        <f t="shared" si="550"/>
        <v>0.23</v>
      </c>
      <c r="BD659" s="60">
        <v>0</v>
      </c>
      <c r="BE659" s="60"/>
      <c r="BF659" s="60"/>
      <c r="BG659" s="60"/>
      <c r="BH659" s="60">
        <v>0</v>
      </c>
      <c r="BI659" s="8">
        <f t="shared" si="546"/>
        <v>0</v>
      </c>
      <c r="BJ659" s="2" t="s">
        <v>91</v>
      </c>
      <c r="BL659" s="70"/>
      <c r="BM659" s="70"/>
      <c r="BO659" s="70"/>
      <c r="BP659" s="70"/>
      <c r="BQ659" s="72"/>
      <c r="BS659" s="61">
        <f t="shared" si="514"/>
        <v>0</v>
      </c>
      <c r="BT659" s="61">
        <f t="shared" si="515"/>
        <v>0</v>
      </c>
      <c r="BU659" s="61">
        <f t="shared" si="516"/>
        <v>0</v>
      </c>
      <c r="BV659" s="61">
        <f t="shared" si="516"/>
        <v>0</v>
      </c>
      <c r="BW659" s="61">
        <f t="shared" si="516"/>
        <v>0</v>
      </c>
      <c r="BX659" s="61">
        <f t="shared" si="516"/>
        <v>0</v>
      </c>
      <c r="BY659" s="61" t="s">
        <v>91</v>
      </c>
      <c r="CA659" s="61">
        <f t="shared" si="525"/>
        <v>0</v>
      </c>
      <c r="CB659" s="61">
        <f t="shared" si="525"/>
        <v>0</v>
      </c>
      <c r="CC659" s="61">
        <f t="shared" si="525"/>
        <v>0</v>
      </c>
      <c r="CD659" s="61">
        <f t="shared" si="523"/>
        <v>0</v>
      </c>
      <c r="CE659" s="61">
        <f t="shared" si="523"/>
        <v>0</v>
      </c>
      <c r="CF659" s="61">
        <f t="shared" si="523"/>
        <v>0</v>
      </c>
      <c r="CG659" s="61">
        <f t="shared" si="523"/>
        <v>0</v>
      </c>
      <c r="CH659" s="61">
        <f t="shared" si="523"/>
        <v>0</v>
      </c>
      <c r="CI659" s="61">
        <f t="shared" si="504"/>
        <v>0</v>
      </c>
      <c r="CJ659" s="61"/>
      <c r="CK659" s="61">
        <f t="shared" si="526"/>
        <v>0</v>
      </c>
      <c r="CL659" s="61">
        <f t="shared" si="526"/>
        <v>0</v>
      </c>
      <c r="CM659" s="61">
        <f t="shared" si="526"/>
        <v>0</v>
      </c>
      <c r="CN659" s="61">
        <f t="shared" si="524"/>
        <v>0</v>
      </c>
      <c r="CO659" s="61">
        <f t="shared" si="524"/>
        <v>0</v>
      </c>
      <c r="CP659" s="61">
        <f t="shared" si="524"/>
        <v>0</v>
      </c>
      <c r="CQ659" s="61">
        <f t="shared" si="524"/>
        <v>0</v>
      </c>
      <c r="CR659" s="61">
        <f t="shared" si="524"/>
        <v>0</v>
      </c>
      <c r="CS659" s="61">
        <f t="shared" si="505"/>
        <v>0</v>
      </c>
      <c r="CT659" s="61">
        <f t="shared" si="506"/>
        <v>0</v>
      </c>
      <c r="CV659" s="61">
        <f t="shared" si="554"/>
        <v>0</v>
      </c>
      <c r="CW659" s="61">
        <f t="shared" si="508"/>
        <v>0</v>
      </c>
      <c r="CX659" s="61"/>
      <c r="CY659" s="61">
        <f t="shared" si="555"/>
        <v>0</v>
      </c>
      <c r="CZ659" s="61">
        <f t="shared" si="555"/>
        <v>0</v>
      </c>
      <c r="DA659" s="61">
        <f t="shared" si="555"/>
        <v>0</v>
      </c>
      <c r="DB659" s="2" t="s">
        <v>86</v>
      </c>
      <c r="DC659" s="2" t="s">
        <v>85</v>
      </c>
      <c r="DD659" s="2" t="s">
        <v>142</v>
      </c>
      <c r="DE659" s="2" t="s">
        <v>1146</v>
      </c>
      <c r="DG659" s="62"/>
      <c r="EC659" s="60" t="s">
        <v>1175</v>
      </c>
      <c r="ED659" s="60" t="s">
        <v>1175</v>
      </c>
      <c r="EE659" s="60" t="s">
        <v>1175</v>
      </c>
      <c r="EF659" s="60" t="s">
        <v>1175</v>
      </c>
      <c r="EH659" s="60" t="s">
        <v>1175</v>
      </c>
      <c r="EI659" s="60" t="s">
        <v>1175</v>
      </c>
      <c r="EJ659" s="60" t="s">
        <v>1175</v>
      </c>
    </row>
    <row r="660" spans="2:140" ht="12.75" hidden="1" customHeight="1">
      <c r="B660" s="99" t="s">
        <v>1160</v>
      </c>
      <c r="C660" s="22" t="s">
        <v>1034</v>
      </c>
      <c r="D660" s="22" t="s">
        <v>1035</v>
      </c>
      <c r="E660" s="2" t="s">
        <v>993</v>
      </c>
      <c r="F660" s="2" t="s">
        <v>969</v>
      </c>
      <c r="G660" s="2" t="s">
        <v>331</v>
      </c>
      <c r="J660" s="22" t="s">
        <v>138</v>
      </c>
      <c r="K660" s="23" t="s">
        <v>1166</v>
      </c>
      <c r="L660" s="22" t="s">
        <v>206</v>
      </c>
      <c r="M660" s="51" t="str">
        <f t="shared" si="547"/>
        <v>JD8B-F600M65-DAW</v>
      </c>
      <c r="O660" s="22"/>
      <c r="P660" s="22"/>
      <c r="Q660" s="22"/>
      <c r="R660" s="22"/>
      <c r="S660" s="22">
        <v>1</v>
      </c>
      <c r="T660" s="22">
        <v>1</v>
      </c>
      <c r="U660" s="22"/>
      <c r="V660" s="22"/>
      <c r="W660" s="64">
        <f t="shared" si="548"/>
        <v>0.23</v>
      </c>
      <c r="Y660" s="8">
        <v>0</v>
      </c>
      <c r="Z660" s="8"/>
      <c r="AA660" s="8"/>
      <c r="AB660" s="8"/>
      <c r="AC660" s="8">
        <v>0</v>
      </c>
      <c r="AD660" s="8">
        <f t="shared" si="567"/>
        <v>0</v>
      </c>
      <c r="AE660" s="2" t="s">
        <v>91</v>
      </c>
      <c r="AG660" s="8"/>
      <c r="AH660" s="8"/>
      <c r="AJ660" s="70"/>
      <c r="AK660" s="70"/>
      <c r="AL660" s="72"/>
      <c r="AM660" s="22"/>
      <c r="AO660" s="22" t="s">
        <v>138</v>
      </c>
      <c r="AP660" s="85" t="s">
        <v>1166</v>
      </c>
      <c r="AQ660" s="22" t="s">
        <v>206</v>
      </c>
      <c r="AR660" s="51" t="str">
        <f t="shared" si="549"/>
        <v>JD8B-F600M65-DAW</v>
      </c>
      <c r="AS660" s="3"/>
      <c r="AT660" s="22"/>
      <c r="AU660" s="22"/>
      <c r="AV660" s="22"/>
      <c r="AW660" s="22"/>
      <c r="AX660" s="22">
        <v>1</v>
      </c>
      <c r="AY660" s="22">
        <v>1</v>
      </c>
      <c r="AZ660" s="22"/>
      <c r="BA660" s="22"/>
      <c r="BB660" s="64">
        <f t="shared" si="550"/>
        <v>0.23</v>
      </c>
      <c r="BD660" s="60">
        <v>0</v>
      </c>
      <c r="BE660" s="60"/>
      <c r="BF660" s="60"/>
      <c r="BG660" s="60"/>
      <c r="BH660" s="60">
        <v>0</v>
      </c>
      <c r="BI660" s="8">
        <f t="shared" si="546"/>
        <v>0</v>
      </c>
      <c r="BJ660" s="2" t="s">
        <v>91</v>
      </c>
      <c r="BL660" s="70"/>
      <c r="BM660" s="70"/>
      <c r="BO660" s="70"/>
      <c r="BP660" s="70"/>
      <c r="BQ660" s="72"/>
      <c r="BS660" s="61">
        <f t="shared" si="514"/>
        <v>0</v>
      </c>
      <c r="BT660" s="61">
        <f t="shared" si="515"/>
        <v>0</v>
      </c>
      <c r="BU660" s="61">
        <f t="shared" si="516"/>
        <v>0</v>
      </c>
      <c r="BV660" s="61">
        <f t="shared" si="516"/>
        <v>0</v>
      </c>
      <c r="BW660" s="61">
        <f t="shared" si="516"/>
        <v>0</v>
      </c>
      <c r="BX660" s="61">
        <f t="shared" si="516"/>
        <v>0</v>
      </c>
      <c r="BY660" s="61" t="s">
        <v>91</v>
      </c>
      <c r="CA660" s="61">
        <f t="shared" si="525"/>
        <v>0</v>
      </c>
      <c r="CB660" s="61">
        <f t="shared" si="525"/>
        <v>0</v>
      </c>
      <c r="CC660" s="61">
        <f t="shared" si="525"/>
        <v>0</v>
      </c>
      <c r="CD660" s="61">
        <f t="shared" si="523"/>
        <v>0</v>
      </c>
      <c r="CE660" s="61">
        <f t="shared" si="523"/>
        <v>0</v>
      </c>
      <c r="CF660" s="61">
        <f t="shared" si="523"/>
        <v>0</v>
      </c>
      <c r="CG660" s="61">
        <f t="shared" si="523"/>
        <v>0</v>
      </c>
      <c r="CH660" s="61">
        <f t="shared" si="523"/>
        <v>0</v>
      </c>
      <c r="CI660" s="61">
        <f t="shared" si="504"/>
        <v>0</v>
      </c>
      <c r="CJ660" s="61"/>
      <c r="CK660" s="61">
        <f t="shared" si="526"/>
        <v>0</v>
      </c>
      <c r="CL660" s="61">
        <f t="shared" si="526"/>
        <v>0</v>
      </c>
      <c r="CM660" s="61">
        <f t="shared" si="526"/>
        <v>0</v>
      </c>
      <c r="CN660" s="61">
        <f t="shared" si="524"/>
        <v>0</v>
      </c>
      <c r="CO660" s="61">
        <f t="shared" si="524"/>
        <v>0</v>
      </c>
      <c r="CP660" s="61">
        <f t="shared" si="524"/>
        <v>0</v>
      </c>
      <c r="CQ660" s="61">
        <f t="shared" si="524"/>
        <v>0</v>
      </c>
      <c r="CR660" s="61">
        <f t="shared" si="524"/>
        <v>0</v>
      </c>
      <c r="CS660" s="61">
        <f t="shared" si="505"/>
        <v>0</v>
      </c>
      <c r="CT660" s="61">
        <f t="shared" si="506"/>
        <v>0</v>
      </c>
      <c r="CV660" s="61">
        <f t="shared" si="554"/>
        <v>0</v>
      </c>
      <c r="CW660" s="61">
        <f t="shared" si="508"/>
        <v>0</v>
      </c>
      <c r="CX660" s="61"/>
      <c r="CY660" s="61">
        <f t="shared" si="555"/>
        <v>0</v>
      </c>
      <c r="CZ660" s="61">
        <f t="shared" si="555"/>
        <v>0</v>
      </c>
      <c r="DA660" s="61">
        <f t="shared" si="555"/>
        <v>0</v>
      </c>
      <c r="DB660" s="2" t="s">
        <v>85</v>
      </c>
      <c r="DC660" s="2" t="s">
        <v>85</v>
      </c>
      <c r="DD660" s="2" t="s">
        <v>142</v>
      </c>
      <c r="DE660" s="2" t="s">
        <v>1146</v>
      </c>
      <c r="DG660" s="62"/>
      <c r="EC660" s="60"/>
      <c r="ED660" s="60"/>
      <c r="EE660" s="60"/>
      <c r="EF660" s="60"/>
    </row>
    <row r="661" spans="2:140" ht="12.75" hidden="1" customHeight="1">
      <c r="B661" s="99" t="s">
        <v>1160</v>
      </c>
      <c r="C661" s="22" t="s">
        <v>1034</v>
      </c>
      <c r="D661" s="22" t="s">
        <v>1035</v>
      </c>
      <c r="E661" s="2" t="s">
        <v>993</v>
      </c>
      <c r="F661" s="2" t="s">
        <v>969</v>
      </c>
      <c r="G661" s="2" t="s">
        <v>331</v>
      </c>
      <c r="J661" s="22" t="s">
        <v>138</v>
      </c>
      <c r="K661" s="23" t="s">
        <v>1042</v>
      </c>
      <c r="L661" s="22" t="s">
        <v>203</v>
      </c>
      <c r="M661" s="51" t="str">
        <f t="shared" si="547"/>
        <v>JD8B-F600B28-CAW</v>
      </c>
      <c r="O661" s="22"/>
      <c r="P661" s="22"/>
      <c r="Q661" s="22"/>
      <c r="R661" s="22"/>
      <c r="S661" s="22"/>
      <c r="T661" s="22"/>
      <c r="U661" s="22">
        <v>1</v>
      </c>
      <c r="V661" s="22">
        <v>1</v>
      </c>
      <c r="W661" s="64">
        <f t="shared" si="548"/>
        <v>0.1</v>
      </c>
      <c r="Y661" s="8">
        <v>-1605.0461299999999</v>
      </c>
      <c r="Z661" s="8"/>
      <c r="AA661" s="8"/>
      <c r="AB661" s="8"/>
      <c r="AC661" s="8">
        <v>-11.343999999999999</v>
      </c>
      <c r="AD661" s="8">
        <f t="shared" si="567"/>
        <v>-1616.39013</v>
      </c>
      <c r="AE661" s="2" t="s">
        <v>91</v>
      </c>
      <c r="AG661" s="8"/>
      <c r="AH661" s="8"/>
      <c r="AJ661" s="70"/>
      <c r="AK661" s="70"/>
      <c r="AL661" s="72"/>
      <c r="AM661" s="22"/>
      <c r="AO661" s="22" t="s">
        <v>138</v>
      </c>
      <c r="AP661" s="85" t="s">
        <v>1042</v>
      </c>
      <c r="AQ661" s="22" t="s">
        <v>203</v>
      </c>
      <c r="AR661" s="51" t="str">
        <f t="shared" si="549"/>
        <v>JD8B-F600B28-CAW</v>
      </c>
      <c r="AS661" s="3"/>
      <c r="AT661" s="22"/>
      <c r="AU661" s="22"/>
      <c r="AV661" s="22"/>
      <c r="AW661" s="22"/>
      <c r="AX661" s="22"/>
      <c r="AY661" s="22"/>
      <c r="AZ661" s="22">
        <v>1</v>
      </c>
      <c r="BA661" s="22">
        <v>1</v>
      </c>
      <c r="BB661" s="64">
        <f t="shared" si="550"/>
        <v>0.1</v>
      </c>
      <c r="BD661" s="60">
        <f>-1605.04613-538.57</f>
        <v>-2143.6161299999999</v>
      </c>
      <c r="BE661" s="60"/>
      <c r="BF661" s="60"/>
      <c r="BG661" s="60"/>
      <c r="BH661" s="60">
        <v>-11.343999999999999</v>
      </c>
      <c r="BI661" s="8">
        <f t="shared" si="546"/>
        <v>-2154.9601299999999</v>
      </c>
      <c r="BJ661" s="2" t="s">
        <v>91</v>
      </c>
      <c r="BL661" s="70"/>
      <c r="BM661" s="70"/>
      <c r="BO661" s="70"/>
      <c r="BP661" s="70"/>
      <c r="BQ661" s="72"/>
      <c r="BS661" s="61">
        <f t="shared" si="514"/>
        <v>538.56999999999994</v>
      </c>
      <c r="BT661" s="61">
        <f t="shared" si="515"/>
        <v>0</v>
      </c>
      <c r="BU661" s="61">
        <f t="shared" si="516"/>
        <v>0</v>
      </c>
      <c r="BV661" s="61">
        <f t="shared" si="516"/>
        <v>0</v>
      </c>
      <c r="BW661" s="61">
        <f t="shared" si="516"/>
        <v>0</v>
      </c>
      <c r="BX661" s="61">
        <f t="shared" si="516"/>
        <v>538.56999999999994</v>
      </c>
      <c r="BY661" s="61" t="s">
        <v>91</v>
      </c>
      <c r="CA661" s="61">
        <f t="shared" si="525"/>
        <v>0</v>
      </c>
      <c r="CB661" s="61">
        <f t="shared" si="525"/>
        <v>0</v>
      </c>
      <c r="CC661" s="61">
        <f t="shared" si="525"/>
        <v>0</v>
      </c>
      <c r="CD661" s="61">
        <f t="shared" si="523"/>
        <v>0</v>
      </c>
      <c r="CE661" s="61">
        <f t="shared" si="523"/>
        <v>0</v>
      </c>
      <c r="CF661" s="61">
        <f t="shared" si="523"/>
        <v>0</v>
      </c>
      <c r="CG661" s="61">
        <f t="shared" si="523"/>
        <v>81.024522340905662</v>
      </c>
      <c r="CH661" s="61">
        <f t="shared" si="523"/>
        <v>81.024522340905662</v>
      </c>
      <c r="CI661" s="61">
        <f t="shared" si="504"/>
        <v>8.1024522340905669</v>
      </c>
      <c r="CJ661" s="61"/>
      <c r="CK661" s="61">
        <f t="shared" si="526"/>
        <v>0</v>
      </c>
      <c r="CL661" s="61">
        <f t="shared" si="526"/>
        <v>0</v>
      </c>
      <c r="CM661" s="61">
        <f t="shared" si="526"/>
        <v>0</v>
      </c>
      <c r="CN661" s="61">
        <f t="shared" si="524"/>
        <v>0</v>
      </c>
      <c r="CO661" s="61">
        <f t="shared" si="524"/>
        <v>0</v>
      </c>
      <c r="CP661" s="61">
        <f t="shared" si="524"/>
        <v>0</v>
      </c>
      <c r="CQ661" s="61">
        <f t="shared" si="524"/>
        <v>81.024522340905662</v>
      </c>
      <c r="CR661" s="61">
        <f t="shared" si="524"/>
        <v>81.024522340905662</v>
      </c>
      <c r="CS661" s="61">
        <f t="shared" si="505"/>
        <v>8.1024522340905669</v>
      </c>
      <c r="CT661" s="61">
        <f t="shared" si="506"/>
        <v>53.856999999999999</v>
      </c>
      <c r="CV661" s="61">
        <f t="shared" si="554"/>
        <v>0</v>
      </c>
      <c r="CW661" s="61">
        <f t="shared" si="508"/>
        <v>0</v>
      </c>
      <c r="CX661" s="61"/>
      <c r="CY661" s="61">
        <f t="shared" si="555"/>
        <v>0</v>
      </c>
      <c r="CZ661" s="61">
        <f t="shared" si="555"/>
        <v>0</v>
      </c>
      <c r="DA661" s="61">
        <f t="shared" si="555"/>
        <v>0</v>
      </c>
      <c r="DB661" s="2" t="s">
        <v>85</v>
      </c>
      <c r="DC661" s="2" t="s">
        <v>85</v>
      </c>
      <c r="DD661" s="2" t="s">
        <v>142</v>
      </c>
      <c r="DE661" s="2" t="s">
        <v>1146</v>
      </c>
      <c r="DG661" s="62"/>
      <c r="EC661" s="60"/>
      <c r="ED661" s="60"/>
      <c r="EE661" s="60"/>
      <c r="EF661" s="60"/>
    </row>
    <row r="662" spans="2:140" ht="12.75" hidden="1" customHeight="1">
      <c r="B662" s="99" t="s">
        <v>1160</v>
      </c>
      <c r="C662" s="22" t="s">
        <v>1034</v>
      </c>
      <c r="D662" s="22" t="s">
        <v>1035</v>
      </c>
      <c r="E662" s="2" t="s">
        <v>993</v>
      </c>
      <c r="F662" s="2" t="s">
        <v>969</v>
      </c>
      <c r="G662" s="2" t="s">
        <v>331</v>
      </c>
      <c r="J662" s="22" t="s">
        <v>138</v>
      </c>
      <c r="K662" s="23" t="s">
        <v>1170</v>
      </c>
      <c r="L662" s="22" t="s">
        <v>203</v>
      </c>
      <c r="M662" s="51" t="str">
        <f t="shared" si="547"/>
        <v>JD8B-F63392-CAW</v>
      </c>
      <c r="O662" s="22"/>
      <c r="P662" s="22"/>
      <c r="Q662" s="22"/>
      <c r="R662" s="22"/>
      <c r="S662" s="22"/>
      <c r="T662" s="22"/>
      <c r="U662" s="22">
        <v>1</v>
      </c>
      <c r="V662" s="22">
        <v>1</v>
      </c>
      <c r="W662" s="64">
        <f t="shared" si="548"/>
        <v>0.1</v>
      </c>
      <c r="Y662" s="8">
        <v>0</v>
      </c>
      <c r="Z662" s="8"/>
      <c r="AA662" s="8"/>
      <c r="AB662" s="8"/>
      <c r="AC662" s="8">
        <v>0</v>
      </c>
      <c r="AD662" s="8">
        <f t="shared" si="567"/>
        <v>0</v>
      </c>
      <c r="AE662" s="2" t="s">
        <v>91</v>
      </c>
      <c r="AG662" s="8"/>
      <c r="AH662" s="8"/>
      <c r="AJ662" s="70"/>
      <c r="AK662" s="70"/>
      <c r="AL662" s="72"/>
      <c r="AM662" s="22"/>
      <c r="AO662" s="22" t="s">
        <v>138</v>
      </c>
      <c r="AP662" s="85" t="s">
        <v>1170</v>
      </c>
      <c r="AQ662" s="22" t="s">
        <v>203</v>
      </c>
      <c r="AR662" s="51" t="str">
        <f t="shared" si="549"/>
        <v>JD8B-F63392-CAW</v>
      </c>
      <c r="AS662" s="3"/>
      <c r="AT662" s="22"/>
      <c r="AU662" s="22"/>
      <c r="AV662" s="22"/>
      <c r="AW662" s="22"/>
      <c r="AX662" s="22"/>
      <c r="AY662" s="22"/>
      <c r="AZ662" s="22">
        <v>1</v>
      </c>
      <c r="BA662" s="22">
        <v>1</v>
      </c>
      <c r="BB662" s="64">
        <f t="shared" si="550"/>
        <v>0.1</v>
      </c>
      <c r="BD662" s="60">
        <v>0</v>
      </c>
      <c r="BE662" s="60"/>
      <c r="BF662" s="60"/>
      <c r="BG662" s="60"/>
      <c r="BH662" s="60">
        <v>0</v>
      </c>
      <c r="BI662" s="8">
        <f t="shared" si="546"/>
        <v>0</v>
      </c>
      <c r="BJ662" s="2" t="s">
        <v>91</v>
      </c>
      <c r="BL662" s="70"/>
      <c r="BM662" s="70"/>
      <c r="BO662" s="70"/>
      <c r="BP662" s="70"/>
      <c r="BQ662" s="72"/>
      <c r="BS662" s="61">
        <f t="shared" si="514"/>
        <v>0</v>
      </c>
      <c r="BT662" s="61">
        <f t="shared" si="515"/>
        <v>0</v>
      </c>
      <c r="BU662" s="61">
        <f t="shared" si="516"/>
        <v>0</v>
      </c>
      <c r="BV662" s="61">
        <f t="shared" si="516"/>
        <v>0</v>
      </c>
      <c r="BW662" s="61">
        <f t="shared" si="516"/>
        <v>0</v>
      </c>
      <c r="BX662" s="61">
        <f t="shared" si="516"/>
        <v>0</v>
      </c>
      <c r="BY662" s="61" t="s">
        <v>91</v>
      </c>
      <c r="CA662" s="61">
        <f t="shared" si="525"/>
        <v>0</v>
      </c>
      <c r="CB662" s="61">
        <f t="shared" si="525"/>
        <v>0</v>
      </c>
      <c r="CC662" s="61">
        <f t="shared" si="525"/>
        <v>0</v>
      </c>
      <c r="CD662" s="61">
        <f t="shared" si="523"/>
        <v>0</v>
      </c>
      <c r="CE662" s="61">
        <f t="shared" si="523"/>
        <v>0</v>
      </c>
      <c r="CF662" s="61">
        <f t="shared" si="523"/>
        <v>0</v>
      </c>
      <c r="CG662" s="61">
        <f t="shared" si="523"/>
        <v>0</v>
      </c>
      <c r="CH662" s="61">
        <f t="shared" si="523"/>
        <v>0</v>
      </c>
      <c r="CI662" s="61">
        <f t="shared" si="504"/>
        <v>0</v>
      </c>
      <c r="CJ662" s="61"/>
      <c r="CK662" s="61">
        <f t="shared" si="526"/>
        <v>0</v>
      </c>
      <c r="CL662" s="61">
        <f t="shared" si="526"/>
        <v>0</v>
      </c>
      <c r="CM662" s="61">
        <f t="shared" si="526"/>
        <v>0</v>
      </c>
      <c r="CN662" s="61">
        <f t="shared" si="524"/>
        <v>0</v>
      </c>
      <c r="CO662" s="61">
        <f t="shared" si="524"/>
        <v>0</v>
      </c>
      <c r="CP662" s="61">
        <f t="shared" si="524"/>
        <v>0</v>
      </c>
      <c r="CQ662" s="61">
        <f t="shared" si="524"/>
        <v>0</v>
      </c>
      <c r="CR662" s="61">
        <f t="shared" si="524"/>
        <v>0</v>
      </c>
      <c r="CS662" s="61">
        <f t="shared" si="505"/>
        <v>0</v>
      </c>
      <c r="CT662" s="61">
        <f t="shared" si="506"/>
        <v>0</v>
      </c>
      <c r="CV662" s="61">
        <f t="shared" si="554"/>
        <v>0</v>
      </c>
      <c r="CW662" s="61">
        <f t="shared" si="508"/>
        <v>0</v>
      </c>
      <c r="CX662" s="61"/>
      <c r="CY662" s="61">
        <f t="shared" si="555"/>
        <v>0</v>
      </c>
      <c r="CZ662" s="61">
        <f t="shared" si="555"/>
        <v>0</v>
      </c>
      <c r="DA662" s="61">
        <f t="shared" si="555"/>
        <v>0</v>
      </c>
      <c r="DB662" s="2" t="s">
        <v>85</v>
      </c>
      <c r="DC662" s="2" t="s">
        <v>85</v>
      </c>
      <c r="DD662" s="2" t="s">
        <v>142</v>
      </c>
      <c r="DE662" s="2" t="s">
        <v>1146</v>
      </c>
      <c r="DG662" s="62"/>
      <c r="EC662" s="60"/>
      <c r="ED662" s="60"/>
      <c r="EE662" s="60"/>
      <c r="EF662" s="60"/>
    </row>
    <row r="663" spans="2:140" ht="12.75" hidden="1" customHeight="1">
      <c r="B663" s="99" t="s">
        <v>1160</v>
      </c>
      <c r="C663" s="22" t="s">
        <v>1034</v>
      </c>
      <c r="D663" s="22" t="s">
        <v>1035</v>
      </c>
      <c r="E663" s="2" t="s">
        <v>993</v>
      </c>
      <c r="F663" s="2" t="s">
        <v>969</v>
      </c>
      <c r="G663" s="2" t="s">
        <v>331</v>
      </c>
      <c r="J663" s="22" t="s">
        <v>138</v>
      </c>
      <c r="K663" s="23" t="s">
        <v>1164</v>
      </c>
      <c r="L663" s="22" t="s">
        <v>83</v>
      </c>
      <c r="M663" s="51" t="str">
        <f t="shared" si="547"/>
        <v>JD8B-F66601-AAW</v>
      </c>
      <c r="O663" s="22">
        <v>1</v>
      </c>
      <c r="P663" s="22">
        <v>1</v>
      </c>
      <c r="Q663" s="22"/>
      <c r="R663" s="22"/>
      <c r="S663" s="22"/>
      <c r="T663" s="22"/>
      <c r="U663" s="22"/>
      <c r="V663" s="22"/>
      <c r="W663" s="64">
        <f t="shared" si="548"/>
        <v>0.30000000000000004</v>
      </c>
      <c r="Y663" s="8">
        <v>0</v>
      </c>
      <c r="Z663" s="8"/>
      <c r="AA663" s="8"/>
      <c r="AB663" s="8"/>
      <c r="AC663" s="8">
        <v>0</v>
      </c>
      <c r="AD663" s="8">
        <f t="shared" si="567"/>
        <v>0</v>
      </c>
      <c r="AE663" s="2" t="s">
        <v>91</v>
      </c>
      <c r="AG663" s="8"/>
      <c r="AH663" s="8"/>
      <c r="AJ663" s="70"/>
      <c r="AK663" s="70"/>
      <c r="AL663" s="72"/>
      <c r="AM663" s="22"/>
      <c r="AO663" s="22" t="s">
        <v>138</v>
      </c>
      <c r="AP663" s="85" t="s">
        <v>1164</v>
      </c>
      <c r="AQ663" s="22" t="s">
        <v>83</v>
      </c>
      <c r="AR663" s="51" t="str">
        <f t="shared" si="549"/>
        <v>JD8B-F66601-AAW</v>
      </c>
      <c r="AS663" s="3"/>
      <c r="AT663" s="22">
        <v>1</v>
      </c>
      <c r="AU663" s="22">
        <v>1</v>
      </c>
      <c r="AV663" s="22"/>
      <c r="AW663" s="22"/>
      <c r="AX663" s="22"/>
      <c r="AY663" s="22"/>
      <c r="AZ663" s="22"/>
      <c r="BA663" s="22"/>
      <c r="BB663" s="64">
        <f t="shared" si="550"/>
        <v>0.30000000000000004</v>
      </c>
      <c r="BD663" s="60">
        <v>0</v>
      </c>
      <c r="BE663" s="60"/>
      <c r="BF663" s="60"/>
      <c r="BG663" s="60"/>
      <c r="BH663" s="60">
        <v>0</v>
      </c>
      <c r="BI663" s="8">
        <f t="shared" si="546"/>
        <v>0</v>
      </c>
      <c r="BJ663" s="2" t="s">
        <v>91</v>
      </c>
      <c r="BL663" s="70"/>
      <c r="BM663" s="70"/>
      <c r="BO663" s="70"/>
      <c r="BP663" s="70"/>
      <c r="BQ663" s="72"/>
      <c r="BS663" s="61">
        <f t="shared" si="514"/>
        <v>0</v>
      </c>
      <c r="BT663" s="61">
        <f t="shared" si="515"/>
        <v>0</v>
      </c>
      <c r="BU663" s="61">
        <f t="shared" si="516"/>
        <v>0</v>
      </c>
      <c r="BV663" s="61">
        <f t="shared" si="516"/>
        <v>0</v>
      </c>
      <c r="BW663" s="61">
        <f t="shared" si="516"/>
        <v>0</v>
      </c>
      <c r="BX663" s="61">
        <f t="shared" si="516"/>
        <v>0</v>
      </c>
      <c r="BY663" s="61" t="s">
        <v>91</v>
      </c>
      <c r="CA663" s="61">
        <f t="shared" si="525"/>
        <v>0</v>
      </c>
      <c r="CB663" s="61">
        <f t="shared" si="525"/>
        <v>0</v>
      </c>
      <c r="CC663" s="61">
        <f t="shared" si="525"/>
        <v>0</v>
      </c>
      <c r="CD663" s="61">
        <f t="shared" si="523"/>
        <v>0</v>
      </c>
      <c r="CE663" s="61">
        <f t="shared" si="523"/>
        <v>0</v>
      </c>
      <c r="CF663" s="61">
        <f t="shared" si="523"/>
        <v>0</v>
      </c>
      <c r="CG663" s="61">
        <f t="shared" si="523"/>
        <v>0</v>
      </c>
      <c r="CH663" s="61">
        <f t="shared" si="523"/>
        <v>0</v>
      </c>
      <c r="CI663" s="61">
        <f t="shared" si="504"/>
        <v>0</v>
      </c>
      <c r="CJ663" s="61"/>
      <c r="CK663" s="61">
        <f t="shared" si="526"/>
        <v>0</v>
      </c>
      <c r="CL663" s="61">
        <f t="shared" si="526"/>
        <v>0</v>
      </c>
      <c r="CM663" s="61">
        <f t="shared" si="526"/>
        <v>0</v>
      </c>
      <c r="CN663" s="61">
        <f t="shared" si="524"/>
        <v>0</v>
      </c>
      <c r="CO663" s="61">
        <f t="shared" si="524"/>
        <v>0</v>
      </c>
      <c r="CP663" s="61">
        <f t="shared" si="524"/>
        <v>0</v>
      </c>
      <c r="CQ663" s="61">
        <f t="shared" si="524"/>
        <v>0</v>
      </c>
      <c r="CR663" s="61">
        <f t="shared" si="524"/>
        <v>0</v>
      </c>
      <c r="CS663" s="61">
        <f t="shared" si="505"/>
        <v>0</v>
      </c>
      <c r="CT663" s="61">
        <f t="shared" si="506"/>
        <v>0</v>
      </c>
      <c r="CV663" s="61">
        <f t="shared" si="554"/>
        <v>0</v>
      </c>
      <c r="CW663" s="61">
        <f t="shared" si="508"/>
        <v>0</v>
      </c>
      <c r="CX663" s="61"/>
      <c r="CY663" s="61">
        <f t="shared" si="555"/>
        <v>0</v>
      </c>
      <c r="CZ663" s="61">
        <f t="shared" si="555"/>
        <v>0</v>
      </c>
      <c r="DA663" s="61">
        <f t="shared" si="555"/>
        <v>0</v>
      </c>
      <c r="DB663" s="2" t="s">
        <v>85</v>
      </c>
      <c r="DC663" s="2" t="s">
        <v>85</v>
      </c>
      <c r="DD663" s="2" t="s">
        <v>142</v>
      </c>
      <c r="DE663" s="2" t="s">
        <v>1146</v>
      </c>
      <c r="DG663" s="62"/>
      <c r="EC663" s="60"/>
      <c r="ED663" s="60"/>
      <c r="EE663" s="60"/>
      <c r="EF663" s="60"/>
    </row>
    <row r="664" spans="2:140" ht="12.75" hidden="1" customHeight="1">
      <c r="B664" s="99" t="s">
        <v>1160</v>
      </c>
      <c r="C664" s="22" t="s">
        <v>1034</v>
      </c>
      <c r="D664" s="22" t="s">
        <v>1035</v>
      </c>
      <c r="E664" s="2" t="s">
        <v>993</v>
      </c>
      <c r="F664" s="2" t="s">
        <v>969</v>
      </c>
      <c r="G664" s="2" t="s">
        <v>331</v>
      </c>
      <c r="J664" s="22" t="s">
        <v>138</v>
      </c>
      <c r="K664" s="23" t="s">
        <v>1047</v>
      </c>
      <c r="L664" s="22" t="s">
        <v>206</v>
      </c>
      <c r="M664" s="51" t="str">
        <f t="shared" si="547"/>
        <v>JD8B-F600A30-DAW</v>
      </c>
      <c r="O664" s="22"/>
      <c r="P664" s="22"/>
      <c r="Q664" s="22"/>
      <c r="R664" s="22"/>
      <c r="S664" s="22">
        <v>1</v>
      </c>
      <c r="T664" s="22">
        <v>1</v>
      </c>
      <c r="U664" s="22"/>
      <c r="V664" s="22"/>
      <c r="W664" s="64">
        <f t="shared" si="548"/>
        <v>0.23</v>
      </c>
      <c r="Y664" s="8">
        <v>-1138.4459999999999</v>
      </c>
      <c r="Z664" s="8"/>
      <c r="AA664" s="8"/>
      <c r="AB664" s="8"/>
      <c r="AC664" s="8">
        <v>-6.5039999999999996</v>
      </c>
      <c r="AD664" s="8">
        <f t="shared" si="567"/>
        <v>-1144.9499999999998</v>
      </c>
      <c r="AE664" s="2" t="s">
        <v>91</v>
      </c>
      <c r="AG664" s="8"/>
      <c r="AH664" s="8"/>
      <c r="AJ664" s="70"/>
      <c r="AK664" s="70"/>
      <c r="AL664" s="72"/>
      <c r="AM664" s="22"/>
      <c r="AO664" s="22" t="s">
        <v>138</v>
      </c>
      <c r="AP664" s="85" t="s">
        <v>1047</v>
      </c>
      <c r="AQ664" s="22" t="s">
        <v>206</v>
      </c>
      <c r="AR664" s="51" t="str">
        <f t="shared" si="549"/>
        <v>JD8B-F600A30-DAW</v>
      </c>
      <c r="AS664" s="3"/>
      <c r="AT664" s="22"/>
      <c r="AU664" s="22"/>
      <c r="AV664" s="22"/>
      <c r="AW664" s="22"/>
      <c r="AX664" s="22">
        <v>1</v>
      </c>
      <c r="AY664" s="22">
        <v>1</v>
      </c>
      <c r="AZ664" s="22"/>
      <c r="BA664" s="22"/>
      <c r="BB664" s="64">
        <f t="shared" si="550"/>
        <v>0.23</v>
      </c>
      <c r="BD664" s="60">
        <f>-1138.446-57.95</f>
        <v>-1196.396</v>
      </c>
      <c r="BE664" s="60"/>
      <c r="BF664" s="60"/>
      <c r="BG664" s="60"/>
      <c r="BH664" s="60">
        <v>-6.5039999999999996</v>
      </c>
      <c r="BI664" s="8">
        <f t="shared" si="546"/>
        <v>-1202.8999999999999</v>
      </c>
      <c r="BJ664" s="2" t="s">
        <v>91</v>
      </c>
      <c r="BL664" s="70"/>
      <c r="BM664" s="70"/>
      <c r="BO664" s="70"/>
      <c r="BP664" s="70"/>
      <c r="BQ664" s="72"/>
      <c r="BS664" s="61">
        <f t="shared" si="514"/>
        <v>57.950000000000045</v>
      </c>
      <c r="BT664" s="61">
        <f t="shared" si="515"/>
        <v>0</v>
      </c>
      <c r="BU664" s="61">
        <f t="shared" si="516"/>
        <v>0</v>
      </c>
      <c r="BV664" s="61">
        <f t="shared" si="516"/>
        <v>0</v>
      </c>
      <c r="BW664" s="61">
        <f t="shared" si="516"/>
        <v>0</v>
      </c>
      <c r="BX664" s="61">
        <f t="shared" si="516"/>
        <v>57.950000000000045</v>
      </c>
      <c r="BY664" s="61" t="s">
        <v>91</v>
      </c>
      <c r="CA664" s="61">
        <f t="shared" si="525"/>
        <v>0</v>
      </c>
      <c r="CB664" s="61">
        <f t="shared" si="525"/>
        <v>0</v>
      </c>
      <c r="CC664" s="61">
        <f t="shared" si="525"/>
        <v>0</v>
      </c>
      <c r="CD664" s="61">
        <f t="shared" si="523"/>
        <v>0</v>
      </c>
      <c r="CE664" s="61">
        <f t="shared" si="523"/>
        <v>8.7182187452986373</v>
      </c>
      <c r="CF664" s="61">
        <f t="shared" si="523"/>
        <v>8.7182187452986373</v>
      </c>
      <c r="CG664" s="61">
        <f t="shared" si="523"/>
        <v>0</v>
      </c>
      <c r="CH664" s="61">
        <f t="shared" si="523"/>
        <v>0</v>
      </c>
      <c r="CI664" s="61">
        <f t="shared" ref="CI664:CI727" si="568">SUMPRODUCT(CA664:CH664,$O$6:$V$6)</f>
        <v>2.0051903114186866</v>
      </c>
      <c r="CJ664" s="61"/>
      <c r="CK664" s="61">
        <f t="shared" si="526"/>
        <v>0</v>
      </c>
      <c r="CL664" s="61">
        <f t="shared" si="526"/>
        <v>0</v>
      </c>
      <c r="CM664" s="61">
        <f t="shared" si="526"/>
        <v>0</v>
      </c>
      <c r="CN664" s="61">
        <f t="shared" si="524"/>
        <v>0</v>
      </c>
      <c r="CO664" s="61">
        <f t="shared" si="524"/>
        <v>8.7182187452986373</v>
      </c>
      <c r="CP664" s="61">
        <f t="shared" si="524"/>
        <v>8.7182187452986373</v>
      </c>
      <c r="CQ664" s="61">
        <f t="shared" si="524"/>
        <v>0</v>
      </c>
      <c r="CR664" s="61">
        <f t="shared" si="524"/>
        <v>0</v>
      </c>
      <c r="CS664" s="61">
        <f t="shared" ref="CS664:CS727" si="569">SUMPRODUCT(CK664:CR664,$O$6:$V$6)</f>
        <v>2.0051903114186866</v>
      </c>
      <c r="CT664" s="61">
        <f t="shared" ref="CT664:CT727" si="570">CS664*$C$2</f>
        <v>13.328500000000011</v>
      </c>
      <c r="CV664" s="61">
        <f t="shared" si="554"/>
        <v>0</v>
      </c>
      <c r="CW664" s="61">
        <f t="shared" ref="CW664:CW727" si="571">SUM(AH664)-SUM(BM664)</f>
        <v>0</v>
      </c>
      <c r="CX664" s="61"/>
      <c r="CY664" s="61">
        <f t="shared" si="555"/>
        <v>0</v>
      </c>
      <c r="CZ664" s="61">
        <f t="shared" si="555"/>
        <v>0</v>
      </c>
      <c r="DA664" s="61">
        <f t="shared" si="555"/>
        <v>0</v>
      </c>
      <c r="DB664" s="2" t="s">
        <v>85</v>
      </c>
      <c r="DC664" s="2" t="s">
        <v>85</v>
      </c>
      <c r="DD664" s="2" t="s">
        <v>142</v>
      </c>
      <c r="DE664" s="2" t="s">
        <v>1146</v>
      </c>
      <c r="DG664" s="62"/>
      <c r="EC664" s="60"/>
      <c r="ED664" s="60"/>
      <c r="EE664" s="60"/>
      <c r="EF664" s="60"/>
    </row>
    <row r="665" spans="2:140" ht="12.75" hidden="1" customHeight="1">
      <c r="B665" s="99" t="s">
        <v>1051</v>
      </c>
      <c r="C665" s="22" t="s">
        <v>1034</v>
      </c>
      <c r="D665" s="22" t="s">
        <v>1035</v>
      </c>
      <c r="E665" s="2" t="s">
        <v>993</v>
      </c>
      <c r="F665" s="2" t="s">
        <v>969</v>
      </c>
      <c r="G665" s="2" t="s">
        <v>331</v>
      </c>
      <c r="J665" s="22" t="s">
        <v>138</v>
      </c>
      <c r="K665" s="23" t="s">
        <v>1047</v>
      </c>
      <c r="L665" s="22" t="s">
        <v>1176</v>
      </c>
      <c r="M665" s="51" t="str">
        <f t="shared" si="547"/>
        <v>JD8B-F600A30-DBW</v>
      </c>
      <c r="O665" s="22"/>
      <c r="P665" s="22"/>
      <c r="Q665" s="22"/>
      <c r="R665" s="22"/>
      <c r="S665" s="22">
        <v>1</v>
      </c>
      <c r="T665" s="22">
        <v>1</v>
      </c>
      <c r="U665" s="22"/>
      <c r="V665" s="22"/>
      <c r="W665" s="64">
        <f t="shared" si="548"/>
        <v>0.23</v>
      </c>
      <c r="Y665" s="8">
        <v>-1138.4459999999999</v>
      </c>
      <c r="Z665" s="8"/>
      <c r="AA665" s="8"/>
      <c r="AB665" s="8"/>
      <c r="AC665" s="8">
        <v>-6.5039999999999996</v>
      </c>
      <c r="AD665" s="8">
        <f t="shared" ref="AD665" si="572">SUM(Y665:AC665)</f>
        <v>-1144.9499999999998</v>
      </c>
      <c r="AE665" s="2" t="s">
        <v>91</v>
      </c>
      <c r="AG665" s="8"/>
      <c r="AH665" s="8"/>
      <c r="AJ665" s="70"/>
      <c r="AK665" s="70"/>
      <c r="AL665" s="72"/>
      <c r="AM665" s="22"/>
      <c r="AO665" s="22" t="s">
        <v>138</v>
      </c>
      <c r="AP665" s="23" t="s">
        <v>1047</v>
      </c>
      <c r="AQ665" s="22" t="s">
        <v>206</v>
      </c>
      <c r="AR665" s="51" t="str">
        <f t="shared" si="549"/>
        <v>JD8B-F600A30-DAW</v>
      </c>
      <c r="AS665" s="3"/>
      <c r="AT665" s="22"/>
      <c r="AU665" s="22"/>
      <c r="AV665" s="22"/>
      <c r="AW665" s="22"/>
      <c r="AX665" s="22">
        <v>1</v>
      </c>
      <c r="AY665" s="22">
        <v>1</v>
      </c>
      <c r="AZ665" s="22"/>
      <c r="BA665" s="22"/>
      <c r="BB665" s="64">
        <f t="shared" si="550"/>
        <v>0.23</v>
      </c>
      <c r="BD665" s="8">
        <v>-1138.4459999999999</v>
      </c>
      <c r="BE665" s="8"/>
      <c r="BF665" s="8"/>
      <c r="BG665" s="8"/>
      <c r="BH665" s="8">
        <v>-6.5039999999999996</v>
      </c>
      <c r="BI665" s="8">
        <f t="shared" si="546"/>
        <v>-1144.9499999999998</v>
      </c>
      <c r="BJ665" s="2" t="s">
        <v>91</v>
      </c>
      <c r="BL665" s="70"/>
      <c r="BM665" s="70"/>
      <c r="BO665" s="70"/>
      <c r="BP665" s="70"/>
      <c r="BQ665" s="72"/>
      <c r="BS665" s="61">
        <f t="shared" si="514"/>
        <v>0</v>
      </c>
      <c r="BT665" s="61">
        <f t="shared" si="515"/>
        <v>0</v>
      </c>
      <c r="BU665" s="61">
        <f t="shared" si="516"/>
        <v>0</v>
      </c>
      <c r="BV665" s="61">
        <f t="shared" si="516"/>
        <v>0</v>
      </c>
      <c r="BW665" s="61">
        <f t="shared" si="516"/>
        <v>0</v>
      </c>
      <c r="BX665" s="61">
        <f t="shared" si="516"/>
        <v>0</v>
      </c>
      <c r="BY665" s="61" t="s">
        <v>91</v>
      </c>
      <c r="CA665" s="61">
        <f t="shared" si="525"/>
        <v>0</v>
      </c>
      <c r="CB665" s="61">
        <f t="shared" si="525"/>
        <v>0</v>
      </c>
      <c r="CC665" s="61">
        <f t="shared" si="525"/>
        <v>0</v>
      </c>
      <c r="CD665" s="61">
        <f t="shared" si="523"/>
        <v>0</v>
      </c>
      <c r="CE665" s="61">
        <f t="shared" si="523"/>
        <v>0</v>
      </c>
      <c r="CF665" s="61">
        <f t="shared" si="523"/>
        <v>0</v>
      </c>
      <c r="CG665" s="61">
        <f t="shared" si="523"/>
        <v>0</v>
      </c>
      <c r="CH665" s="61">
        <f t="shared" si="523"/>
        <v>0</v>
      </c>
      <c r="CI665" s="61">
        <f t="shared" si="568"/>
        <v>0</v>
      </c>
      <c r="CJ665" s="61"/>
      <c r="CK665" s="61">
        <f t="shared" si="526"/>
        <v>0</v>
      </c>
      <c r="CL665" s="61">
        <f t="shared" si="526"/>
        <v>0</v>
      </c>
      <c r="CM665" s="61">
        <f t="shared" si="526"/>
        <v>0</v>
      </c>
      <c r="CN665" s="61">
        <f t="shared" si="524"/>
        <v>0</v>
      </c>
      <c r="CO665" s="61">
        <f t="shared" si="524"/>
        <v>0</v>
      </c>
      <c r="CP665" s="61">
        <f t="shared" si="524"/>
        <v>0</v>
      </c>
      <c r="CQ665" s="61">
        <f t="shared" si="524"/>
        <v>0</v>
      </c>
      <c r="CR665" s="61">
        <f t="shared" si="524"/>
        <v>0</v>
      </c>
      <c r="CS665" s="61">
        <f t="shared" si="569"/>
        <v>0</v>
      </c>
      <c r="CT665" s="61">
        <f t="shared" si="570"/>
        <v>0</v>
      </c>
      <c r="CV665" s="61">
        <f t="shared" ref="CV665" si="573">SUM(AG665)-SUM(BL665)</f>
        <v>0</v>
      </c>
      <c r="CW665" s="61">
        <f t="shared" ref="CW665" si="574">SUM(AH665)-SUM(BM665)</f>
        <v>0</v>
      </c>
      <c r="CX665" s="61"/>
      <c r="CY665" s="61">
        <f t="shared" si="555"/>
        <v>0</v>
      </c>
      <c r="CZ665" s="61">
        <f t="shared" si="555"/>
        <v>0</v>
      </c>
      <c r="DA665" s="61">
        <f t="shared" si="555"/>
        <v>0</v>
      </c>
      <c r="DB665" s="2" t="s">
        <v>86</v>
      </c>
      <c r="DC665" s="2" t="s">
        <v>85</v>
      </c>
      <c r="DD665" s="2" t="s">
        <v>142</v>
      </c>
      <c r="DE665" s="2" t="s">
        <v>1177</v>
      </c>
      <c r="DF665" s="3" t="s">
        <v>86</v>
      </c>
      <c r="DG665" s="62">
        <v>43136</v>
      </c>
      <c r="EC665" s="60" t="str">
        <f>VLOOKUP($M665,[1]Detail!$M:$BO,1,0)</f>
        <v>JD8B-F600A30-DBW</v>
      </c>
      <c r="ED665" s="60">
        <f>VLOOKUP($M665,[1]Detail!$M:$BO,22,0)</f>
        <v>-1144.9499999999998</v>
      </c>
      <c r="EE665" s="60">
        <f>VLOOKUP($M665,[1]Detail!$M:$BO,42,0)</f>
        <v>0</v>
      </c>
      <c r="EF665" s="60" t="str">
        <f>VLOOKUP($M665,[1]Detail!$M:$BO,45,0)</f>
        <v>incl.above</v>
      </c>
      <c r="EH665" s="60">
        <f>ED665-AD665</f>
        <v>0</v>
      </c>
      <c r="EI665" s="60">
        <f>SUM(EE665)-SUM(AG665)</f>
        <v>0</v>
      </c>
      <c r="EJ665" s="60">
        <f>SUM(EF665)-SUM(AJ665)</f>
        <v>0</v>
      </c>
    </row>
    <row r="666" spans="2:140" ht="12.75" hidden="1" customHeight="1">
      <c r="B666" s="99" t="s">
        <v>1160</v>
      </c>
      <c r="C666" s="22" t="s">
        <v>1034</v>
      </c>
      <c r="D666" s="22" t="s">
        <v>1035</v>
      </c>
      <c r="E666" s="2" t="s">
        <v>993</v>
      </c>
      <c r="F666" s="2" t="s">
        <v>969</v>
      </c>
      <c r="G666" s="2" t="s">
        <v>331</v>
      </c>
      <c r="J666" s="22" t="s">
        <v>138</v>
      </c>
      <c r="K666" s="23" t="s">
        <v>1054</v>
      </c>
      <c r="L666" s="22" t="s">
        <v>203</v>
      </c>
      <c r="M666" s="51" t="str">
        <f t="shared" si="547"/>
        <v>JD8B-F600A31-CAW</v>
      </c>
      <c r="O666" s="22"/>
      <c r="P666" s="22"/>
      <c r="Q666" s="22"/>
      <c r="R666" s="22"/>
      <c r="S666" s="22"/>
      <c r="T666" s="22"/>
      <c r="U666" s="22">
        <v>1</v>
      </c>
      <c r="V666" s="22">
        <v>1</v>
      </c>
      <c r="W666" s="64">
        <f t="shared" si="548"/>
        <v>0.1</v>
      </c>
      <c r="Y666" s="8">
        <v>-1673.7919999999999</v>
      </c>
      <c r="Z666" s="8"/>
      <c r="AA666" s="8"/>
      <c r="AB666" s="8"/>
      <c r="AC666" s="8">
        <v>-4.8780000000000001</v>
      </c>
      <c r="AD666" s="8">
        <f t="shared" si="567"/>
        <v>-1678.6699999999998</v>
      </c>
      <c r="AE666" s="2" t="s">
        <v>91</v>
      </c>
      <c r="AG666" s="8"/>
      <c r="AH666" s="8"/>
      <c r="AJ666" s="70"/>
      <c r="AK666" s="70"/>
      <c r="AL666" s="72"/>
      <c r="AM666" s="22"/>
      <c r="AO666" s="22" t="s">
        <v>138</v>
      </c>
      <c r="AP666" s="85" t="s">
        <v>1054</v>
      </c>
      <c r="AQ666" s="22" t="s">
        <v>203</v>
      </c>
      <c r="AR666" s="51" t="str">
        <f t="shared" si="549"/>
        <v>JD8B-F600A31-CAW</v>
      </c>
      <c r="AS666" s="3"/>
      <c r="AT666" s="22"/>
      <c r="AU666" s="22"/>
      <c r="AV666" s="22"/>
      <c r="AW666" s="22"/>
      <c r="AX666" s="22"/>
      <c r="AY666" s="22"/>
      <c r="AZ666" s="22">
        <v>1</v>
      </c>
      <c r="BA666" s="22">
        <v>1</v>
      </c>
      <c r="BB666" s="64">
        <f t="shared" si="550"/>
        <v>0.1</v>
      </c>
      <c r="BD666" s="60">
        <f>-1673.792-2.38</f>
        <v>-1676.172</v>
      </c>
      <c r="BE666" s="60"/>
      <c r="BF666" s="60"/>
      <c r="BG666" s="60"/>
      <c r="BH666" s="60">
        <v>-4.8780000000000001</v>
      </c>
      <c r="BI666" s="8">
        <f t="shared" ref="BI666:BI708" si="575">SUM(BD666:BH666)</f>
        <v>-1681.05</v>
      </c>
      <c r="BJ666" s="2" t="s">
        <v>91</v>
      </c>
      <c r="BL666" s="70"/>
      <c r="BM666" s="70"/>
      <c r="BO666" s="70"/>
      <c r="BP666" s="70"/>
      <c r="BQ666" s="72"/>
      <c r="BS666" s="61">
        <f t="shared" si="514"/>
        <v>2.3800000000001091</v>
      </c>
      <c r="BT666" s="61">
        <f t="shared" si="515"/>
        <v>0</v>
      </c>
      <c r="BU666" s="61">
        <f t="shared" si="516"/>
        <v>0</v>
      </c>
      <c r="BV666" s="61">
        <f t="shared" si="516"/>
        <v>0</v>
      </c>
      <c r="BW666" s="61">
        <f t="shared" si="516"/>
        <v>0</v>
      </c>
      <c r="BX666" s="61">
        <f t="shared" si="516"/>
        <v>2.3800000000001091</v>
      </c>
      <c r="BY666" s="61" t="s">
        <v>91</v>
      </c>
      <c r="CA666" s="61">
        <f t="shared" si="525"/>
        <v>0</v>
      </c>
      <c r="CB666" s="61">
        <f t="shared" si="525"/>
        <v>0</v>
      </c>
      <c r="CC666" s="61">
        <f t="shared" si="525"/>
        <v>0</v>
      </c>
      <c r="CD666" s="61">
        <f t="shared" si="523"/>
        <v>0</v>
      </c>
      <c r="CE666" s="61">
        <f t="shared" si="523"/>
        <v>0</v>
      </c>
      <c r="CF666" s="61">
        <f t="shared" ref="CF666:CH729" si="576">($Y666*T666-AY666*$BD666)/$C$2</f>
        <v>0</v>
      </c>
      <c r="CG666" s="61">
        <f t="shared" si="576"/>
        <v>0.35805626598467116</v>
      </c>
      <c r="CH666" s="61">
        <f t="shared" si="576"/>
        <v>0.35805626598467116</v>
      </c>
      <c r="CI666" s="61">
        <f t="shared" si="568"/>
        <v>3.5805626598467116E-2</v>
      </c>
      <c r="CJ666" s="61"/>
      <c r="CK666" s="61">
        <f t="shared" si="526"/>
        <v>0</v>
      </c>
      <c r="CL666" s="61">
        <f t="shared" si="526"/>
        <v>0</v>
      </c>
      <c r="CM666" s="61">
        <f t="shared" si="526"/>
        <v>0</v>
      </c>
      <c r="CN666" s="61">
        <f t="shared" si="524"/>
        <v>0</v>
      </c>
      <c r="CO666" s="61">
        <f t="shared" si="524"/>
        <v>0</v>
      </c>
      <c r="CP666" s="61">
        <f t="shared" ref="CP666:CR729" si="577">(T666*$AD666-AY666*$BI666)/$C$2</f>
        <v>0</v>
      </c>
      <c r="CQ666" s="61">
        <f t="shared" si="577"/>
        <v>0.35805626598467116</v>
      </c>
      <c r="CR666" s="61">
        <f t="shared" si="577"/>
        <v>0.35805626598467116</v>
      </c>
      <c r="CS666" s="61">
        <f t="shared" si="569"/>
        <v>3.5805626598467116E-2</v>
      </c>
      <c r="CT666" s="61">
        <f t="shared" si="570"/>
        <v>0.23800000000001093</v>
      </c>
      <c r="CV666" s="61">
        <f t="shared" si="554"/>
        <v>0</v>
      </c>
      <c r="CW666" s="61">
        <f t="shared" si="571"/>
        <v>0</v>
      </c>
      <c r="CX666" s="61"/>
      <c r="CY666" s="61">
        <f t="shared" si="555"/>
        <v>0</v>
      </c>
      <c r="CZ666" s="61">
        <f t="shared" si="555"/>
        <v>0</v>
      </c>
      <c r="DA666" s="61">
        <f t="shared" si="555"/>
        <v>0</v>
      </c>
      <c r="DB666" s="2" t="s">
        <v>134</v>
      </c>
      <c r="DC666" s="2" t="s">
        <v>85</v>
      </c>
      <c r="DD666" s="2" t="s">
        <v>142</v>
      </c>
      <c r="DE666" s="2" t="s">
        <v>1146</v>
      </c>
      <c r="DG666" s="62"/>
      <c r="EC666" s="60"/>
      <c r="ED666" s="60"/>
      <c r="EE666" s="60"/>
      <c r="EF666" s="60"/>
    </row>
    <row r="667" spans="2:140" ht="12.75" hidden="1" customHeight="1">
      <c r="B667" s="115" t="s">
        <v>1178</v>
      </c>
      <c r="C667" s="22" t="s">
        <v>1034</v>
      </c>
      <c r="D667" s="22" t="s">
        <v>1035</v>
      </c>
      <c r="E667" s="2" t="s">
        <v>993</v>
      </c>
      <c r="F667" s="2" t="s">
        <v>969</v>
      </c>
      <c r="G667" s="2" t="s">
        <v>331</v>
      </c>
      <c r="J667" s="22" t="s">
        <v>138</v>
      </c>
      <c r="K667" s="23" t="s">
        <v>1054</v>
      </c>
      <c r="L667" s="22" t="s">
        <v>203</v>
      </c>
      <c r="M667" s="51" t="str">
        <f t="shared" si="547"/>
        <v>JD8B-F600A31-CAW</v>
      </c>
      <c r="O667" s="22"/>
      <c r="P667" s="22"/>
      <c r="Q667" s="22"/>
      <c r="R667" s="22"/>
      <c r="S667" s="22"/>
      <c r="T667" s="22"/>
      <c r="U667" s="22">
        <v>1</v>
      </c>
      <c r="V667" s="22">
        <v>1</v>
      </c>
      <c r="W667" s="64">
        <f t="shared" si="548"/>
        <v>0.1</v>
      </c>
      <c r="Y667" s="8">
        <f>-1673.792-1.88</f>
        <v>-1675.672</v>
      </c>
      <c r="Z667" s="8"/>
      <c r="AA667" s="8"/>
      <c r="AB667" s="8"/>
      <c r="AC667" s="8">
        <v>-4.8780000000000001</v>
      </c>
      <c r="AD667" s="8">
        <f>SUM(Y667:AC667)</f>
        <v>-1680.55</v>
      </c>
      <c r="AE667" s="2" t="s">
        <v>91</v>
      </c>
      <c r="AG667" s="8">
        <f>-136500</f>
        <v>-136500</v>
      </c>
      <c r="AH667" s="8">
        <f>-136500</f>
        <v>-136500</v>
      </c>
      <c r="AJ667" s="70"/>
      <c r="AK667" s="70"/>
      <c r="AL667" s="72"/>
      <c r="AM667" s="22"/>
      <c r="AO667" s="22" t="s">
        <v>138</v>
      </c>
      <c r="AP667" s="23" t="s">
        <v>1054</v>
      </c>
      <c r="AQ667" s="22" t="s">
        <v>203</v>
      </c>
      <c r="AR667" s="51" t="str">
        <f>TRIM(AO667)&amp;"-"&amp;TRIM(AP667)&amp;"-"&amp;TRIM(AQ667)</f>
        <v>JD8B-F600A31-CAW</v>
      </c>
      <c r="AS667" s="3"/>
      <c r="AT667" s="22"/>
      <c r="AU667" s="22"/>
      <c r="AV667" s="22"/>
      <c r="AW667" s="22"/>
      <c r="AX667" s="22"/>
      <c r="AY667" s="22"/>
      <c r="AZ667" s="22">
        <v>1</v>
      </c>
      <c r="BA667" s="22">
        <v>1</v>
      </c>
      <c r="BB667" s="64">
        <f t="shared" si="550"/>
        <v>0.1</v>
      </c>
      <c r="BD667" s="113">
        <v>-1673.7919999999999</v>
      </c>
      <c r="BE667" s="85"/>
      <c r="BF667" s="85"/>
      <c r="BG667" s="85"/>
      <c r="BH667" s="85">
        <v>-4.8780000000000001</v>
      </c>
      <c r="BI667" s="8">
        <f>SUM(BD667:BH667)</f>
        <v>-1678.6699999999998</v>
      </c>
      <c r="BJ667" s="2" t="s">
        <v>91</v>
      </c>
      <c r="BL667" s="70"/>
      <c r="BM667" s="70"/>
      <c r="BO667" s="70"/>
      <c r="BP667" s="70"/>
      <c r="BQ667" s="72"/>
      <c r="BS667" s="61">
        <f t="shared" si="514"/>
        <v>-1.8800000000001091</v>
      </c>
      <c r="BT667" s="61">
        <f t="shared" si="515"/>
        <v>0</v>
      </c>
      <c r="BU667" s="61">
        <f t="shared" si="516"/>
        <v>0</v>
      </c>
      <c r="BV667" s="61">
        <f t="shared" si="516"/>
        <v>0</v>
      </c>
      <c r="BW667" s="61">
        <f t="shared" si="516"/>
        <v>0</v>
      </c>
      <c r="BX667" s="61">
        <f t="shared" si="516"/>
        <v>-1.8800000000001091</v>
      </c>
      <c r="BY667" s="61" t="s">
        <v>91</v>
      </c>
      <c r="CA667" s="61">
        <f t="shared" si="525"/>
        <v>0</v>
      </c>
      <c r="CB667" s="61">
        <f t="shared" si="525"/>
        <v>0</v>
      </c>
      <c r="CC667" s="61">
        <f t="shared" si="525"/>
        <v>0</v>
      </c>
      <c r="CD667" s="61">
        <f t="shared" si="525"/>
        <v>0</v>
      </c>
      <c r="CE667" s="61">
        <f t="shared" si="525"/>
        <v>0</v>
      </c>
      <c r="CF667" s="61">
        <f t="shared" si="576"/>
        <v>0</v>
      </c>
      <c r="CG667" s="61">
        <f t="shared" si="576"/>
        <v>-0.28283436136604617</v>
      </c>
      <c r="CH667" s="61">
        <f t="shared" si="576"/>
        <v>-0.28283436136604617</v>
      </c>
      <c r="CI667" s="61">
        <f t="shared" si="568"/>
        <v>-2.8283436136604619E-2</v>
      </c>
      <c r="CJ667" s="61"/>
      <c r="CK667" s="61">
        <f t="shared" si="526"/>
        <v>0</v>
      </c>
      <c r="CL667" s="61">
        <f t="shared" si="526"/>
        <v>0</v>
      </c>
      <c r="CM667" s="61">
        <f t="shared" si="526"/>
        <v>0</v>
      </c>
      <c r="CN667" s="61">
        <f t="shared" si="526"/>
        <v>0</v>
      </c>
      <c r="CO667" s="61">
        <f t="shared" si="526"/>
        <v>0</v>
      </c>
      <c r="CP667" s="61">
        <f t="shared" si="577"/>
        <v>0</v>
      </c>
      <c r="CQ667" s="61">
        <f t="shared" si="577"/>
        <v>-0.28283436136604617</v>
      </c>
      <c r="CR667" s="61">
        <f t="shared" si="577"/>
        <v>-0.28283436136604617</v>
      </c>
      <c r="CS667" s="61">
        <f t="shared" si="569"/>
        <v>-2.8283436136604619E-2</v>
      </c>
      <c r="CT667" s="67">
        <f t="shared" si="570"/>
        <v>-0.18800000000001091</v>
      </c>
      <c r="CV667" s="61">
        <f>SUM(AG667)-SUM(BL667)</f>
        <v>-136500</v>
      </c>
      <c r="CW667" s="61">
        <f>SUM(AH667)-SUM(BM667)</f>
        <v>-136500</v>
      </c>
      <c r="CX667" s="61"/>
      <c r="CY667" s="61">
        <f t="shared" ref="CY667:DA668" si="578">SUM(AJ667)-SUM(BO667)</f>
        <v>0</v>
      </c>
      <c r="CZ667" s="61">
        <f t="shared" si="578"/>
        <v>0</v>
      </c>
      <c r="DA667" s="61">
        <f t="shared" si="578"/>
        <v>0</v>
      </c>
      <c r="DB667" s="2" t="s">
        <v>289</v>
      </c>
      <c r="DC667" s="2" t="s">
        <v>134</v>
      </c>
      <c r="DD667" s="2" t="s">
        <v>142</v>
      </c>
      <c r="DE667" s="2" t="s">
        <v>143</v>
      </c>
      <c r="DF667" s="3" t="s">
        <v>102</v>
      </c>
      <c r="DG667" s="62">
        <v>43089</v>
      </c>
      <c r="EC667" s="60"/>
      <c r="ED667" s="60"/>
      <c r="EE667" s="60"/>
      <c r="EF667" s="60"/>
    </row>
    <row r="668" spans="2:140" ht="12.75" hidden="1" customHeight="1">
      <c r="B668" s="115" t="s">
        <v>1051</v>
      </c>
      <c r="C668" s="22" t="s">
        <v>1034</v>
      </c>
      <c r="D668" s="22" t="s">
        <v>1035</v>
      </c>
      <c r="E668" s="2" t="s">
        <v>993</v>
      </c>
      <c r="F668" s="2" t="s">
        <v>969</v>
      </c>
      <c r="G668" s="2" t="s">
        <v>331</v>
      </c>
      <c r="J668" s="22" t="s">
        <v>138</v>
      </c>
      <c r="K668" s="23" t="s">
        <v>1054</v>
      </c>
      <c r="L668" s="22" t="s">
        <v>498</v>
      </c>
      <c r="M668" s="51" t="str">
        <f t="shared" si="547"/>
        <v>JD8B-F600A31-CBW</v>
      </c>
      <c r="O668" s="22"/>
      <c r="P668" s="22"/>
      <c r="Q668" s="22"/>
      <c r="R668" s="22"/>
      <c r="S668" s="22"/>
      <c r="T668" s="22"/>
      <c r="U668" s="22">
        <v>1</v>
      </c>
      <c r="V668" s="22">
        <v>1</v>
      </c>
      <c r="W668" s="64">
        <f t="shared" si="548"/>
        <v>0.1</v>
      </c>
      <c r="Y668" s="8">
        <f>-1673.792-1.88</f>
        <v>-1675.672</v>
      </c>
      <c r="Z668" s="8"/>
      <c r="AA668" s="8"/>
      <c r="AB668" s="8"/>
      <c r="AC668" s="8">
        <v>-4.8780000000000001</v>
      </c>
      <c r="AD668" s="8">
        <f>SUM(Y668:AC668)</f>
        <v>-1680.55</v>
      </c>
      <c r="AE668" s="2" t="s">
        <v>91</v>
      </c>
      <c r="AG668" s="8">
        <f>-136500</f>
        <v>-136500</v>
      </c>
      <c r="AH668" s="8">
        <f>-136500</f>
        <v>-136500</v>
      </c>
      <c r="AJ668" s="70"/>
      <c r="AK668" s="70"/>
      <c r="AL668" s="72"/>
      <c r="AM668" s="22"/>
      <c r="AO668" s="22" t="s">
        <v>138</v>
      </c>
      <c r="AP668" s="23" t="s">
        <v>1054</v>
      </c>
      <c r="AQ668" s="22" t="s">
        <v>203</v>
      </c>
      <c r="AR668" s="51" t="str">
        <f>TRIM(AO668)&amp;"-"&amp;TRIM(AP668)&amp;"-"&amp;TRIM(AQ668)</f>
        <v>JD8B-F600A31-CAW</v>
      </c>
      <c r="AS668" s="3"/>
      <c r="AT668" s="22"/>
      <c r="AU668" s="22"/>
      <c r="AV668" s="22"/>
      <c r="AW668" s="22"/>
      <c r="AX668" s="22"/>
      <c r="AY668" s="22"/>
      <c r="AZ668" s="22">
        <v>1</v>
      </c>
      <c r="BA668" s="22">
        <v>1</v>
      </c>
      <c r="BB668" s="64">
        <f t="shared" si="550"/>
        <v>0.1</v>
      </c>
      <c r="BD668" s="8">
        <f>-1673.792-1.88</f>
        <v>-1675.672</v>
      </c>
      <c r="BE668" s="8"/>
      <c r="BF668" s="8"/>
      <c r="BG668" s="8"/>
      <c r="BH668" s="8">
        <v>-4.8780000000000001</v>
      </c>
      <c r="BI668" s="8">
        <f>SUM(BD668:BH668)</f>
        <v>-1680.55</v>
      </c>
      <c r="BJ668" s="2" t="s">
        <v>91</v>
      </c>
      <c r="BL668" s="6">
        <f>-136500</f>
        <v>-136500</v>
      </c>
      <c r="BM668" s="6">
        <f>-136500</f>
        <v>-136500</v>
      </c>
      <c r="BO668" s="70"/>
      <c r="BP668" s="70"/>
      <c r="BQ668" s="72"/>
      <c r="BS668" s="61">
        <f t="shared" si="514"/>
        <v>0</v>
      </c>
      <c r="BT668" s="61">
        <f t="shared" si="515"/>
        <v>0</v>
      </c>
      <c r="BU668" s="61">
        <f t="shared" si="516"/>
        <v>0</v>
      </c>
      <c r="BV668" s="61">
        <f t="shared" si="516"/>
        <v>0</v>
      </c>
      <c r="BW668" s="61">
        <f t="shared" si="516"/>
        <v>0</v>
      </c>
      <c r="BX668" s="61">
        <f t="shared" si="516"/>
        <v>0</v>
      </c>
      <c r="BY668" s="61" t="s">
        <v>91</v>
      </c>
      <c r="CA668" s="61">
        <f t="shared" si="525"/>
        <v>0</v>
      </c>
      <c r="CB668" s="61">
        <f t="shared" si="525"/>
        <v>0</v>
      </c>
      <c r="CC668" s="61">
        <f t="shared" si="525"/>
        <v>0</v>
      </c>
      <c r="CD668" s="61">
        <f t="shared" si="525"/>
        <v>0</v>
      </c>
      <c r="CE668" s="61">
        <f t="shared" si="525"/>
        <v>0</v>
      </c>
      <c r="CF668" s="61">
        <f t="shared" si="576"/>
        <v>0</v>
      </c>
      <c r="CG668" s="61">
        <f t="shared" si="576"/>
        <v>0</v>
      </c>
      <c r="CH668" s="61">
        <f t="shared" si="576"/>
        <v>0</v>
      </c>
      <c r="CI668" s="61">
        <f t="shared" si="568"/>
        <v>0</v>
      </c>
      <c r="CJ668" s="61"/>
      <c r="CK668" s="61">
        <f t="shared" si="526"/>
        <v>0</v>
      </c>
      <c r="CL668" s="61">
        <f t="shared" si="526"/>
        <v>0</v>
      </c>
      <c r="CM668" s="61">
        <f t="shared" si="526"/>
        <v>0</v>
      </c>
      <c r="CN668" s="61">
        <f t="shared" si="526"/>
        <v>0</v>
      </c>
      <c r="CO668" s="61">
        <f t="shared" si="526"/>
        <v>0</v>
      </c>
      <c r="CP668" s="61">
        <f t="shared" si="577"/>
        <v>0</v>
      </c>
      <c r="CQ668" s="61">
        <f t="shared" si="577"/>
        <v>0</v>
      </c>
      <c r="CR668" s="61">
        <f t="shared" si="577"/>
        <v>0</v>
      </c>
      <c r="CS668" s="61">
        <f t="shared" si="569"/>
        <v>0</v>
      </c>
      <c r="CT668" s="67">
        <f t="shared" si="570"/>
        <v>0</v>
      </c>
      <c r="CV668" s="61">
        <f>SUM(AG558)-SUM(BL668)</f>
        <v>128750</v>
      </c>
      <c r="CW668" s="61">
        <f>SUM(AH558)-SUM(BM668)</f>
        <v>128750</v>
      </c>
      <c r="CX668" s="61"/>
      <c r="CY668" s="61">
        <f t="shared" si="578"/>
        <v>0</v>
      </c>
      <c r="CZ668" s="61">
        <f t="shared" si="578"/>
        <v>0</v>
      </c>
      <c r="DA668" s="61">
        <f t="shared" si="578"/>
        <v>0</v>
      </c>
      <c r="DB668" s="2" t="s">
        <v>102</v>
      </c>
      <c r="DC668" s="2" t="s">
        <v>134</v>
      </c>
      <c r="DD668" s="2" t="s">
        <v>142</v>
      </c>
      <c r="DE668" s="2" t="s">
        <v>143</v>
      </c>
      <c r="DF668" s="3" t="s">
        <v>86</v>
      </c>
      <c r="DG668" s="62">
        <v>43136</v>
      </c>
      <c r="EC668" s="60" t="str">
        <f>VLOOKUP($M668,[1]Detail!$M:$BO,1,0)</f>
        <v>JD8B-F600A31-CBW</v>
      </c>
      <c r="ED668" s="60">
        <f>VLOOKUP($M668,[1]Detail!$M:$BO,22,0)</f>
        <v>-1680.55</v>
      </c>
      <c r="EE668" s="60">
        <f>VLOOKUP($M668,[1]Detail!$M:$BO,42,0)</f>
        <v>-136500</v>
      </c>
      <c r="EF668" s="60" t="str">
        <f>VLOOKUP($M668,[1]Detail!$M:$BO,45,0)</f>
        <v>incl.above</v>
      </c>
      <c r="EH668" s="60">
        <f>ED668-AD668</f>
        <v>0</v>
      </c>
      <c r="EI668" s="60">
        <v>0</v>
      </c>
      <c r="EJ668" s="60">
        <v>0</v>
      </c>
    </row>
    <row r="669" spans="2:140" ht="12.75" hidden="1" customHeight="1">
      <c r="B669" s="99" t="s">
        <v>1160</v>
      </c>
      <c r="C669" s="22" t="s">
        <v>1034</v>
      </c>
      <c r="D669" s="22" t="s">
        <v>1035</v>
      </c>
      <c r="E669" s="2" t="s">
        <v>993</v>
      </c>
      <c r="F669" s="2" t="s">
        <v>969</v>
      </c>
      <c r="G669" s="2" t="s">
        <v>331</v>
      </c>
      <c r="J669" s="22" t="s">
        <v>138</v>
      </c>
      <c r="K669" s="23" t="s">
        <v>1161</v>
      </c>
      <c r="L669" s="22" t="s">
        <v>203</v>
      </c>
      <c r="M669" s="51" t="str">
        <f t="shared" si="547"/>
        <v>JD8B-F610A62-CAW</v>
      </c>
      <c r="O669" s="22"/>
      <c r="P669" s="22"/>
      <c r="Q669" s="22">
        <v>1</v>
      </c>
      <c r="R669" s="22">
        <v>1</v>
      </c>
      <c r="S669" s="22">
        <v>1</v>
      </c>
      <c r="T669" s="22">
        <v>1</v>
      </c>
      <c r="U669" s="22">
        <v>1</v>
      </c>
      <c r="V669" s="22">
        <v>1</v>
      </c>
      <c r="W669" s="64">
        <f t="shared" si="548"/>
        <v>0.70000000000000007</v>
      </c>
      <c r="Y669" s="8">
        <v>0</v>
      </c>
      <c r="Z669" s="8"/>
      <c r="AA669" s="8"/>
      <c r="AB669" s="8"/>
      <c r="AC669" s="8">
        <v>0</v>
      </c>
      <c r="AD669" s="8">
        <f t="shared" si="567"/>
        <v>0</v>
      </c>
      <c r="AE669" s="2" t="s">
        <v>91</v>
      </c>
      <c r="AG669" s="8"/>
      <c r="AH669" s="8"/>
      <c r="AJ669" s="70"/>
      <c r="AK669" s="70"/>
      <c r="AL669" s="72"/>
      <c r="AM669" s="22"/>
      <c r="AO669" s="22"/>
      <c r="AP669" s="85"/>
      <c r="AQ669" s="22"/>
      <c r="AR669" s="51" t="str">
        <f t="shared" si="549"/>
        <v>--</v>
      </c>
      <c r="AS669" s="3"/>
      <c r="AT669" s="22"/>
      <c r="AU669" s="22"/>
      <c r="AV669" s="22"/>
      <c r="AW669" s="22"/>
      <c r="AX669" s="22"/>
      <c r="AY669" s="22"/>
      <c r="AZ669" s="22"/>
      <c r="BA669" s="22"/>
      <c r="BB669" s="64">
        <f t="shared" si="550"/>
        <v>0</v>
      </c>
      <c r="BD669" s="60">
        <v>0</v>
      </c>
      <c r="BE669" s="60"/>
      <c r="BF669" s="60"/>
      <c r="BG669" s="60"/>
      <c r="BH669" s="60">
        <v>0</v>
      </c>
      <c r="BI669" s="8">
        <f t="shared" si="575"/>
        <v>0</v>
      </c>
      <c r="BJ669" s="2" t="s">
        <v>91</v>
      </c>
      <c r="BL669" s="70"/>
      <c r="BM669" s="70"/>
      <c r="BO669" s="70"/>
      <c r="BP669" s="70"/>
      <c r="BQ669" s="72"/>
      <c r="BS669" s="61">
        <f t="shared" si="514"/>
        <v>0</v>
      </c>
      <c r="BT669" s="61">
        <f t="shared" si="515"/>
        <v>0</v>
      </c>
      <c r="BU669" s="61">
        <f t="shared" si="516"/>
        <v>0</v>
      </c>
      <c r="BV669" s="61">
        <f t="shared" si="516"/>
        <v>0</v>
      </c>
      <c r="BW669" s="61">
        <f t="shared" si="516"/>
        <v>0</v>
      </c>
      <c r="BX669" s="61">
        <f t="shared" ref="BX669:BX732" si="579">SUM(AD669)-SUM(BI669)</f>
        <v>0</v>
      </c>
      <c r="BY669" s="61" t="s">
        <v>91</v>
      </c>
      <c r="CA669" s="61">
        <f t="shared" si="525"/>
        <v>0</v>
      </c>
      <c r="CB669" s="61">
        <f t="shared" si="525"/>
        <v>0</v>
      </c>
      <c r="CC669" s="61">
        <f t="shared" si="525"/>
        <v>0</v>
      </c>
      <c r="CD669" s="61">
        <f t="shared" si="525"/>
        <v>0</v>
      </c>
      <c r="CE669" s="61">
        <f t="shared" si="525"/>
        <v>0</v>
      </c>
      <c r="CF669" s="61">
        <f t="shared" si="576"/>
        <v>0</v>
      </c>
      <c r="CG669" s="61">
        <f t="shared" si="576"/>
        <v>0</v>
      </c>
      <c r="CH669" s="61">
        <f t="shared" si="576"/>
        <v>0</v>
      </c>
      <c r="CI669" s="61">
        <f t="shared" si="568"/>
        <v>0</v>
      </c>
      <c r="CJ669" s="61"/>
      <c r="CK669" s="61">
        <f t="shared" si="526"/>
        <v>0</v>
      </c>
      <c r="CL669" s="61">
        <f t="shared" si="526"/>
        <v>0</v>
      </c>
      <c r="CM669" s="61">
        <f t="shared" si="526"/>
        <v>0</v>
      </c>
      <c r="CN669" s="61">
        <f t="shared" si="526"/>
        <v>0</v>
      </c>
      <c r="CO669" s="61">
        <f t="shared" si="526"/>
        <v>0</v>
      </c>
      <c r="CP669" s="61">
        <f t="shared" si="577"/>
        <v>0</v>
      </c>
      <c r="CQ669" s="61">
        <f t="shared" si="577"/>
        <v>0</v>
      </c>
      <c r="CR669" s="61">
        <f t="shared" si="577"/>
        <v>0</v>
      </c>
      <c r="CS669" s="61">
        <f t="shared" si="569"/>
        <v>0</v>
      </c>
      <c r="CT669" s="61">
        <f t="shared" si="570"/>
        <v>0</v>
      </c>
      <c r="CV669" s="61">
        <f t="shared" si="554"/>
        <v>0</v>
      </c>
      <c r="CW669" s="61">
        <f t="shared" si="571"/>
        <v>0</v>
      </c>
      <c r="CX669" s="61"/>
      <c r="CY669" s="61">
        <f t="shared" si="555"/>
        <v>0</v>
      </c>
      <c r="CZ669" s="61">
        <f t="shared" si="555"/>
        <v>0</v>
      </c>
      <c r="DA669" s="61">
        <f t="shared" si="555"/>
        <v>0</v>
      </c>
      <c r="DB669" s="2" t="s">
        <v>85</v>
      </c>
      <c r="DC669" s="2" t="s">
        <v>85</v>
      </c>
      <c r="DD669" s="2" t="s">
        <v>142</v>
      </c>
      <c r="DE669" s="2" t="s">
        <v>1146</v>
      </c>
      <c r="DG669" s="62"/>
      <c r="EC669" s="60"/>
      <c r="ED669" s="60"/>
      <c r="EE669" s="60"/>
      <c r="EF669" s="60"/>
      <c r="EI669" s="144">
        <v>0</v>
      </c>
      <c r="EJ669" s="144">
        <v>0</v>
      </c>
    </row>
    <row r="670" spans="2:140" ht="12.75" hidden="1" customHeight="1">
      <c r="B670" s="99" t="s">
        <v>1179</v>
      </c>
      <c r="C670" s="22" t="s">
        <v>1180</v>
      </c>
      <c r="D670" s="22" t="s">
        <v>1181</v>
      </c>
      <c r="E670" s="2" t="s">
        <v>1024</v>
      </c>
      <c r="F670" s="2" t="s">
        <v>1182</v>
      </c>
      <c r="G670" s="118" t="s">
        <v>1183</v>
      </c>
      <c r="J670" s="22"/>
      <c r="K670" s="23" t="s">
        <v>1184</v>
      </c>
      <c r="L670" s="23" t="s">
        <v>1185</v>
      </c>
      <c r="M670" s="51" t="str">
        <f t="shared" si="547"/>
        <v>-W700121-S403</v>
      </c>
      <c r="O670" s="22">
        <v>2</v>
      </c>
      <c r="P670" s="22">
        <v>2</v>
      </c>
      <c r="Q670" s="22">
        <v>2</v>
      </c>
      <c r="R670" s="22">
        <v>2</v>
      </c>
      <c r="S670" s="22">
        <v>2</v>
      </c>
      <c r="T670" s="22">
        <v>2</v>
      </c>
      <c r="U670" s="22">
        <v>2</v>
      </c>
      <c r="V670" s="22">
        <v>2</v>
      </c>
      <c r="W670" s="64">
        <f t="shared" si="548"/>
        <v>2</v>
      </c>
      <c r="Y670" s="8">
        <v>-3.6799999999999999E-2</v>
      </c>
      <c r="Z670" s="8">
        <v>-1E-3</v>
      </c>
      <c r="AA670" s="8">
        <v>-2.3999999999999998E-3</v>
      </c>
      <c r="AB670" s="8">
        <v>-1.38E-2</v>
      </c>
      <c r="AC670" s="8"/>
      <c r="AD670" s="8">
        <f t="shared" si="567"/>
        <v>-5.3999999999999999E-2</v>
      </c>
      <c r="AE670" s="2" t="s">
        <v>84</v>
      </c>
      <c r="AG670" s="8"/>
      <c r="AH670" s="8"/>
      <c r="AJ670" s="70"/>
      <c r="AK670" s="70"/>
      <c r="AL670" s="72"/>
      <c r="AM670" s="22"/>
      <c r="AO670" s="22"/>
      <c r="AP670" s="85"/>
      <c r="AQ670" s="22"/>
      <c r="AR670" s="51" t="str">
        <f t="shared" si="549"/>
        <v>--</v>
      </c>
      <c r="AS670" s="3"/>
      <c r="AT670" s="22"/>
      <c r="AU670" s="22"/>
      <c r="AV670" s="22"/>
      <c r="AW670" s="22"/>
      <c r="AX670" s="22"/>
      <c r="AY670" s="22"/>
      <c r="AZ670" s="22"/>
      <c r="BA670" s="22"/>
      <c r="BB670" s="64">
        <f t="shared" si="550"/>
        <v>0</v>
      </c>
      <c r="BD670" s="60"/>
      <c r="BE670" s="60"/>
      <c r="BF670" s="95"/>
      <c r="BG670" s="95"/>
      <c r="BH670" s="95"/>
      <c r="BI670" s="8">
        <f t="shared" si="575"/>
        <v>0</v>
      </c>
      <c r="BL670" s="70"/>
      <c r="BM670" s="70"/>
      <c r="BO670" s="70"/>
      <c r="BP670" s="70"/>
      <c r="BQ670" s="72"/>
      <c r="BS670" s="61">
        <f t="shared" ref="BS670:BS733" si="580">SUM(Y670)-SUM(BD670)</f>
        <v>-3.6799999999999999E-2</v>
      </c>
      <c r="BT670" s="61">
        <f t="shared" ref="BT670:BT733" si="581">SUM(Z670)-SUM(BE670)</f>
        <v>-1E-3</v>
      </c>
      <c r="BU670" s="61">
        <f t="shared" ref="BU670:BX733" si="582">SUM(AA670)-SUM(BF670)</f>
        <v>-2.3999999999999998E-3</v>
      </c>
      <c r="BV670" s="61">
        <f t="shared" si="582"/>
        <v>-1.38E-2</v>
      </c>
      <c r="BW670" s="61">
        <f t="shared" si="582"/>
        <v>0</v>
      </c>
      <c r="BX670" s="61">
        <f t="shared" si="579"/>
        <v>-5.3999999999999999E-2</v>
      </c>
      <c r="BY670" s="61" t="s">
        <v>91</v>
      </c>
      <c r="CA670" s="61">
        <f t="shared" si="525"/>
        <v>-1.1072664359861591E-2</v>
      </c>
      <c r="CB670" s="61">
        <f t="shared" si="525"/>
        <v>-1.1072664359861591E-2</v>
      </c>
      <c r="CC670" s="61">
        <f t="shared" si="525"/>
        <v>-1.1072664359861591E-2</v>
      </c>
      <c r="CD670" s="61">
        <f t="shared" si="525"/>
        <v>-1.1072664359861591E-2</v>
      </c>
      <c r="CE670" s="61">
        <f t="shared" si="525"/>
        <v>-1.1072664359861591E-2</v>
      </c>
      <c r="CF670" s="61">
        <f t="shared" si="576"/>
        <v>-1.1072664359861591E-2</v>
      </c>
      <c r="CG670" s="61">
        <f t="shared" si="576"/>
        <v>-1.1072664359861591E-2</v>
      </c>
      <c r="CH670" s="61">
        <f t="shared" si="576"/>
        <v>-1.1072664359861591E-2</v>
      </c>
      <c r="CI670" s="61">
        <f t="shared" si="568"/>
        <v>-1.1072664359861593E-2</v>
      </c>
      <c r="CJ670" s="61"/>
      <c r="CK670" s="61">
        <f t="shared" si="526"/>
        <v>-1.6247931397622987E-2</v>
      </c>
      <c r="CL670" s="61">
        <f t="shared" si="526"/>
        <v>-1.6247931397622987E-2</v>
      </c>
      <c r="CM670" s="61">
        <f t="shared" si="526"/>
        <v>-1.6247931397622987E-2</v>
      </c>
      <c r="CN670" s="61">
        <f t="shared" si="526"/>
        <v>-1.6247931397622987E-2</v>
      </c>
      <c r="CO670" s="61">
        <f t="shared" si="526"/>
        <v>-1.6247931397622987E-2</v>
      </c>
      <c r="CP670" s="61">
        <f t="shared" si="577"/>
        <v>-1.6247931397622987E-2</v>
      </c>
      <c r="CQ670" s="61">
        <f t="shared" si="577"/>
        <v>-1.6247931397622987E-2</v>
      </c>
      <c r="CR670" s="61">
        <f t="shared" si="577"/>
        <v>-1.6247931397622987E-2</v>
      </c>
      <c r="CS670" s="61">
        <f t="shared" si="569"/>
        <v>-1.624793139762299E-2</v>
      </c>
      <c r="CT670" s="61">
        <f t="shared" si="570"/>
        <v>-0.10800000000000003</v>
      </c>
      <c r="CV670" s="61">
        <f t="shared" si="554"/>
        <v>0</v>
      </c>
      <c r="CW670" s="61">
        <f t="shared" si="571"/>
        <v>0</v>
      </c>
      <c r="CX670" s="61"/>
      <c r="CY670" s="61">
        <f t="shared" si="555"/>
        <v>0</v>
      </c>
      <c r="CZ670" s="61">
        <f t="shared" si="555"/>
        <v>0</v>
      </c>
      <c r="DA670" s="61">
        <f t="shared" si="555"/>
        <v>0</v>
      </c>
      <c r="DB670" s="2" t="s">
        <v>85</v>
      </c>
      <c r="DC670" s="2" t="s">
        <v>85</v>
      </c>
      <c r="DD670" s="2" t="s">
        <v>142</v>
      </c>
      <c r="DE670" s="2" t="s">
        <v>1146</v>
      </c>
      <c r="DF670" s="3" t="s">
        <v>86</v>
      </c>
      <c r="DG670" s="62">
        <v>42962</v>
      </c>
      <c r="EC670" s="60"/>
      <c r="ED670" s="60"/>
      <c r="EE670" s="60"/>
      <c r="EF670" s="60"/>
    </row>
    <row r="671" spans="2:140" ht="12.75" hidden="1" customHeight="1">
      <c r="B671" s="22" t="s">
        <v>1186</v>
      </c>
      <c r="C671" s="22" t="s">
        <v>1034</v>
      </c>
      <c r="D671" s="22" t="s">
        <v>1035</v>
      </c>
      <c r="E671" s="2" t="s">
        <v>993</v>
      </c>
      <c r="F671" s="2" t="s">
        <v>969</v>
      </c>
      <c r="G671" s="2" t="s">
        <v>331</v>
      </c>
      <c r="J671" s="22" t="s">
        <v>126</v>
      </c>
      <c r="K671" s="23" t="s">
        <v>1187</v>
      </c>
      <c r="L671" s="22" t="s">
        <v>211</v>
      </c>
      <c r="M671" s="51" t="str">
        <f t="shared" si="547"/>
        <v>JD8B-F600B28-CBW</v>
      </c>
      <c r="O671" s="22"/>
      <c r="P671" s="22"/>
      <c r="Q671" s="22"/>
      <c r="R671" s="22"/>
      <c r="S671" s="22"/>
      <c r="T671" s="22"/>
      <c r="U671" s="22">
        <v>1</v>
      </c>
      <c r="V671" s="22">
        <v>1</v>
      </c>
      <c r="W671" s="64">
        <f t="shared" si="548"/>
        <v>0.1</v>
      </c>
      <c r="Y671" s="8">
        <v>-1605.0461299999999</v>
      </c>
      <c r="Z671" s="8"/>
      <c r="AA671" s="8"/>
      <c r="AB671" s="8"/>
      <c r="AC671" s="8">
        <v>-11.343999999999999</v>
      </c>
      <c r="AD671" s="8">
        <f t="shared" si="567"/>
        <v>-1616.39013</v>
      </c>
      <c r="AE671" s="2" t="s">
        <v>91</v>
      </c>
      <c r="AG671" s="6">
        <v>-69000</v>
      </c>
      <c r="AH671" s="6">
        <v>-69000</v>
      </c>
      <c r="AJ671" s="70"/>
      <c r="AK671" s="70"/>
      <c r="AL671" s="72"/>
      <c r="AM671" s="22"/>
      <c r="AO671" s="22" t="s">
        <v>126</v>
      </c>
      <c r="AP671" s="23" t="s">
        <v>1187</v>
      </c>
      <c r="AQ671" s="22" t="s">
        <v>269</v>
      </c>
      <c r="AR671" s="51" t="str">
        <f t="shared" si="549"/>
        <v>JD8B-F600B28-CAW</v>
      </c>
      <c r="AS671" s="3"/>
      <c r="AT671" s="22"/>
      <c r="AU671" s="22"/>
      <c r="AV671" s="22"/>
      <c r="AW671" s="22"/>
      <c r="AX671" s="22"/>
      <c r="AY671" s="22"/>
      <c r="AZ671" s="22">
        <v>1</v>
      </c>
      <c r="BA671" s="22">
        <v>1</v>
      </c>
      <c r="BB671" s="64">
        <f t="shared" si="550"/>
        <v>0.1</v>
      </c>
      <c r="BD671" s="60">
        <v>-1605.0461299999999</v>
      </c>
      <c r="BE671" s="60"/>
      <c r="BF671" s="60"/>
      <c r="BG671" s="60"/>
      <c r="BH671" s="60">
        <v>-11.343999999999999</v>
      </c>
      <c r="BI671" s="8">
        <f t="shared" si="575"/>
        <v>-1616.39013</v>
      </c>
      <c r="BJ671" s="2" t="s">
        <v>91</v>
      </c>
      <c r="BL671" s="70"/>
      <c r="BM671" s="70"/>
      <c r="BO671" s="70"/>
      <c r="BP671" s="70"/>
      <c r="BQ671" s="72"/>
      <c r="BS671" s="61">
        <f t="shared" si="580"/>
        <v>0</v>
      </c>
      <c r="BT671" s="61">
        <f t="shared" si="581"/>
        <v>0</v>
      </c>
      <c r="BU671" s="61">
        <f t="shared" si="582"/>
        <v>0</v>
      </c>
      <c r="BV671" s="61">
        <f t="shared" si="582"/>
        <v>0</v>
      </c>
      <c r="BW671" s="61">
        <f t="shared" si="582"/>
        <v>0</v>
      </c>
      <c r="BX671" s="61">
        <f t="shared" si="579"/>
        <v>0</v>
      </c>
      <c r="BY671" s="61" t="s">
        <v>91</v>
      </c>
      <c r="CA671" s="61">
        <f t="shared" si="525"/>
        <v>0</v>
      </c>
      <c r="CB671" s="61">
        <f t="shared" si="525"/>
        <v>0</v>
      </c>
      <c r="CC671" s="61">
        <f t="shared" si="525"/>
        <v>0</v>
      </c>
      <c r="CD671" s="61">
        <f t="shared" si="525"/>
        <v>0</v>
      </c>
      <c r="CE671" s="61">
        <f t="shared" si="525"/>
        <v>0</v>
      </c>
      <c r="CF671" s="61">
        <f t="shared" si="576"/>
        <v>0</v>
      </c>
      <c r="CG671" s="61">
        <f t="shared" si="576"/>
        <v>0</v>
      </c>
      <c r="CH671" s="61">
        <f t="shared" si="576"/>
        <v>0</v>
      </c>
      <c r="CI671" s="61">
        <f t="shared" si="568"/>
        <v>0</v>
      </c>
      <c r="CJ671" s="61"/>
      <c r="CK671" s="61">
        <f t="shared" si="526"/>
        <v>0</v>
      </c>
      <c r="CL671" s="61">
        <f t="shared" si="526"/>
        <v>0</v>
      </c>
      <c r="CM671" s="61">
        <f t="shared" si="526"/>
        <v>0</v>
      </c>
      <c r="CN671" s="61">
        <f t="shared" si="526"/>
        <v>0</v>
      </c>
      <c r="CO671" s="61">
        <f t="shared" si="526"/>
        <v>0</v>
      </c>
      <c r="CP671" s="61">
        <f t="shared" si="577"/>
        <v>0</v>
      </c>
      <c r="CQ671" s="61">
        <f t="shared" si="577"/>
        <v>0</v>
      </c>
      <c r="CR671" s="61">
        <f t="shared" si="577"/>
        <v>0</v>
      </c>
      <c r="CS671" s="61">
        <f t="shared" si="569"/>
        <v>0</v>
      </c>
      <c r="CT671" s="61">
        <f t="shared" si="570"/>
        <v>0</v>
      </c>
      <c r="CV671" s="61">
        <f t="shared" si="554"/>
        <v>-69000</v>
      </c>
      <c r="CW671" s="61">
        <f t="shared" si="571"/>
        <v>-69000</v>
      </c>
      <c r="CX671" s="61"/>
      <c r="CY671" s="61">
        <f t="shared" si="555"/>
        <v>0</v>
      </c>
      <c r="CZ671" s="61">
        <f t="shared" si="555"/>
        <v>0</v>
      </c>
      <c r="DA671" s="61">
        <f t="shared" si="555"/>
        <v>0</v>
      </c>
      <c r="DB671" s="2" t="s">
        <v>85</v>
      </c>
      <c r="DC671" s="2" t="s">
        <v>85</v>
      </c>
      <c r="DD671" s="2" t="s">
        <v>142</v>
      </c>
      <c r="DE671" s="2" t="s">
        <v>1146</v>
      </c>
      <c r="DG671" s="58"/>
      <c r="EC671" s="60"/>
      <c r="ED671" s="60"/>
      <c r="EE671" s="60"/>
      <c r="EF671" s="60"/>
    </row>
    <row r="672" spans="2:140" ht="12.75" hidden="1" customHeight="1">
      <c r="B672" s="2" t="s">
        <v>1188</v>
      </c>
      <c r="C672" s="22" t="s">
        <v>1034</v>
      </c>
      <c r="D672" s="22" t="s">
        <v>1035</v>
      </c>
      <c r="E672" s="2" t="s">
        <v>993</v>
      </c>
      <c r="F672" s="2" t="s">
        <v>969</v>
      </c>
      <c r="G672" s="2" t="s">
        <v>331</v>
      </c>
      <c r="J672" s="22" t="s">
        <v>138</v>
      </c>
      <c r="K672" s="23" t="s">
        <v>1042</v>
      </c>
      <c r="L672" s="22" t="s">
        <v>1189</v>
      </c>
      <c r="M672" s="51" t="str">
        <f t="shared" si="547"/>
        <v>JD8B-F600B28-CBW</v>
      </c>
      <c r="O672" s="22"/>
      <c r="P672" s="22"/>
      <c r="Q672" s="22"/>
      <c r="R672" s="22"/>
      <c r="S672" s="22"/>
      <c r="T672" s="22"/>
      <c r="U672" s="22">
        <v>1</v>
      </c>
      <c r="V672" s="22">
        <v>1</v>
      </c>
      <c r="W672" s="64">
        <f t="shared" si="548"/>
        <v>0.1</v>
      </c>
      <c r="Y672" s="8">
        <v>-1605.0461299999999</v>
      </c>
      <c r="Z672" s="8"/>
      <c r="AA672" s="8"/>
      <c r="AB672" s="8"/>
      <c r="AC672" s="8">
        <v>-11.343999999999999</v>
      </c>
      <c r="AD672" s="8">
        <f>SUM(Y672:AC672)</f>
        <v>-1616.39013</v>
      </c>
      <c r="AE672" s="2" t="s">
        <v>91</v>
      </c>
      <c r="AG672" s="6">
        <v>-69000</v>
      </c>
      <c r="AH672" s="6">
        <v>-69000</v>
      </c>
      <c r="AJ672" s="70"/>
      <c r="AK672" s="70"/>
      <c r="AL672" s="72"/>
      <c r="AM672" s="22"/>
      <c r="AO672" s="22" t="s">
        <v>138</v>
      </c>
      <c r="AP672" s="23" t="s">
        <v>1042</v>
      </c>
      <c r="AQ672" s="22" t="s">
        <v>1189</v>
      </c>
      <c r="AR672" s="51" t="str">
        <f>TRIM(AO672)&amp;"-"&amp;TRIM(AP672)&amp;"-"&amp;TRIM(AQ672)</f>
        <v>JD8B-F600B28-CBW</v>
      </c>
      <c r="AS672" s="3"/>
      <c r="AT672" s="22"/>
      <c r="AU672" s="22"/>
      <c r="AV672" s="22"/>
      <c r="AW672" s="22"/>
      <c r="AX672" s="22"/>
      <c r="AY672" s="22"/>
      <c r="AZ672" s="22">
        <v>1</v>
      </c>
      <c r="BA672" s="22">
        <v>1</v>
      </c>
      <c r="BB672" s="64">
        <f t="shared" si="550"/>
        <v>0.1</v>
      </c>
      <c r="BD672" s="113">
        <v>-1605.0461299999999</v>
      </c>
      <c r="BE672" s="85"/>
      <c r="BF672" s="85"/>
      <c r="BG672" s="85"/>
      <c r="BH672" s="113">
        <v>-11.343999999999999</v>
      </c>
      <c r="BI672" s="8">
        <f>SUM(BD672:BH672)</f>
        <v>-1616.39013</v>
      </c>
      <c r="BJ672" s="2" t="s">
        <v>91</v>
      </c>
      <c r="BL672" s="97">
        <v>-69000</v>
      </c>
      <c r="BM672" s="97">
        <v>-69000</v>
      </c>
      <c r="BO672" s="70"/>
      <c r="BP672" s="70"/>
      <c r="BQ672" s="72"/>
      <c r="BS672" s="61">
        <f t="shared" si="580"/>
        <v>0</v>
      </c>
      <c r="BT672" s="61">
        <f t="shared" si="581"/>
        <v>0</v>
      </c>
      <c r="BU672" s="61">
        <f t="shared" si="582"/>
        <v>0</v>
      </c>
      <c r="BV672" s="61">
        <f t="shared" si="582"/>
        <v>0</v>
      </c>
      <c r="BW672" s="61">
        <f t="shared" si="582"/>
        <v>0</v>
      </c>
      <c r="BX672" s="61">
        <f t="shared" si="579"/>
        <v>0</v>
      </c>
      <c r="BY672" s="61" t="s">
        <v>91</v>
      </c>
      <c r="CA672" s="61">
        <f t="shared" si="525"/>
        <v>0</v>
      </c>
      <c r="CB672" s="61">
        <f t="shared" si="525"/>
        <v>0</v>
      </c>
      <c r="CC672" s="61">
        <f t="shared" si="525"/>
        <v>0</v>
      </c>
      <c r="CD672" s="61">
        <f t="shared" si="525"/>
        <v>0</v>
      </c>
      <c r="CE672" s="61">
        <f t="shared" si="525"/>
        <v>0</v>
      </c>
      <c r="CF672" s="61">
        <f t="shared" si="576"/>
        <v>0</v>
      </c>
      <c r="CG672" s="61">
        <f t="shared" si="576"/>
        <v>0</v>
      </c>
      <c r="CH672" s="61">
        <f t="shared" si="576"/>
        <v>0</v>
      </c>
      <c r="CI672" s="61">
        <f t="shared" si="568"/>
        <v>0</v>
      </c>
      <c r="CJ672" s="61"/>
      <c r="CK672" s="61">
        <f t="shared" si="526"/>
        <v>0</v>
      </c>
      <c r="CL672" s="61">
        <f t="shared" si="526"/>
        <v>0</v>
      </c>
      <c r="CM672" s="61">
        <f t="shared" si="526"/>
        <v>0</v>
      </c>
      <c r="CN672" s="61">
        <f t="shared" si="526"/>
        <v>0</v>
      </c>
      <c r="CO672" s="61">
        <f t="shared" si="526"/>
        <v>0</v>
      </c>
      <c r="CP672" s="61">
        <f t="shared" si="577"/>
        <v>0</v>
      </c>
      <c r="CQ672" s="61">
        <f t="shared" si="577"/>
        <v>0</v>
      </c>
      <c r="CR672" s="61">
        <f t="shared" si="577"/>
        <v>0</v>
      </c>
      <c r="CS672" s="61">
        <f t="shared" si="569"/>
        <v>0</v>
      </c>
      <c r="CT672" s="61">
        <f t="shared" si="570"/>
        <v>0</v>
      </c>
      <c r="CV672" s="61">
        <f>SUM(AG672)-SUM(BL672)</f>
        <v>0</v>
      </c>
      <c r="CW672" s="61">
        <f>SUM(AH672)-SUM(BM672)</f>
        <v>0</v>
      </c>
      <c r="CX672" s="61"/>
      <c r="CY672" s="61">
        <f>SUM(AJ672)-SUM(BO672)</f>
        <v>0</v>
      </c>
      <c r="CZ672" s="61">
        <f>SUM(AK672)-SUM(BP672)</f>
        <v>0</v>
      </c>
      <c r="DA672" s="61">
        <f>SUM(AL672)-SUM(BQ672)</f>
        <v>0</v>
      </c>
      <c r="DB672" s="2" t="s">
        <v>289</v>
      </c>
      <c r="DC672" s="2" t="s">
        <v>134</v>
      </c>
      <c r="DD672" s="2" t="s">
        <v>142</v>
      </c>
      <c r="DE672" s="2" t="s">
        <v>1092</v>
      </c>
      <c r="DF672" s="3" t="s">
        <v>102</v>
      </c>
      <c r="DG672" s="145">
        <v>43089</v>
      </c>
      <c r="EC672" s="60"/>
      <c r="ED672" s="60"/>
      <c r="EE672" s="60"/>
      <c r="EF672" s="60"/>
    </row>
    <row r="673" spans="2:140" ht="12.75" hidden="1" customHeight="1">
      <c r="B673" s="22" t="s">
        <v>1186</v>
      </c>
      <c r="C673" s="22" t="s">
        <v>1034</v>
      </c>
      <c r="D673" s="22" t="s">
        <v>1035</v>
      </c>
      <c r="E673" s="2" t="s">
        <v>993</v>
      </c>
      <c r="F673" s="2" t="s">
        <v>969</v>
      </c>
      <c r="G673" s="2" t="s">
        <v>331</v>
      </c>
      <c r="J673" s="22" t="s">
        <v>126</v>
      </c>
      <c r="K673" s="23" t="s">
        <v>1187</v>
      </c>
      <c r="L673" s="22" t="s">
        <v>212</v>
      </c>
      <c r="M673" s="51" t="str">
        <f t="shared" si="547"/>
        <v>JD8B-F600B28-DBW</v>
      </c>
      <c r="O673" s="22"/>
      <c r="P673" s="22"/>
      <c r="Q673" s="22"/>
      <c r="R673" s="22"/>
      <c r="S673" s="22"/>
      <c r="T673" s="22"/>
      <c r="U673" s="22">
        <v>1</v>
      </c>
      <c r="V673" s="22">
        <v>1</v>
      </c>
      <c r="W673" s="64">
        <f t="shared" si="548"/>
        <v>0.1</v>
      </c>
      <c r="Y673" s="8">
        <v>-1514.7260000000001</v>
      </c>
      <c r="Z673" s="8"/>
      <c r="AA673" s="8"/>
      <c r="AB673" s="8"/>
      <c r="AC673" s="8">
        <v>-6.5039999999999996</v>
      </c>
      <c r="AD673" s="8">
        <f t="shared" si="567"/>
        <v>-1521.23</v>
      </c>
      <c r="AE673" s="2" t="s">
        <v>91</v>
      </c>
      <c r="AG673" s="6"/>
      <c r="AH673" s="6"/>
      <c r="AJ673" s="70"/>
      <c r="AK673" s="70"/>
      <c r="AL673" s="72"/>
      <c r="AM673" s="22"/>
      <c r="AO673" s="22" t="s">
        <v>126</v>
      </c>
      <c r="AP673" s="23" t="s">
        <v>1187</v>
      </c>
      <c r="AQ673" s="22" t="s">
        <v>671</v>
      </c>
      <c r="AR673" s="51" t="str">
        <f t="shared" si="549"/>
        <v>JD8B-F600B28-DAW</v>
      </c>
      <c r="AS673" s="3"/>
      <c r="AT673" s="22"/>
      <c r="AU673" s="22"/>
      <c r="AV673" s="22"/>
      <c r="AW673" s="22"/>
      <c r="AX673" s="22"/>
      <c r="AY673" s="22"/>
      <c r="AZ673" s="22">
        <v>1</v>
      </c>
      <c r="BA673" s="22">
        <v>1</v>
      </c>
      <c r="BB673" s="64">
        <f t="shared" si="550"/>
        <v>0.1</v>
      </c>
      <c r="BD673" s="60">
        <v>-1514.7260000000001</v>
      </c>
      <c r="BE673" s="60"/>
      <c r="BF673" s="60"/>
      <c r="BG673" s="60"/>
      <c r="BH673" s="60">
        <v>-6.5039999999999996</v>
      </c>
      <c r="BI673" s="8">
        <f t="shared" si="575"/>
        <v>-1521.23</v>
      </c>
      <c r="BJ673" s="2" t="s">
        <v>91</v>
      </c>
      <c r="BL673" s="70">
        <v>-9543879</v>
      </c>
      <c r="BM673" s="70">
        <v>-9543879</v>
      </c>
      <c r="BO673" s="70"/>
      <c r="BP673" s="70"/>
      <c r="BQ673" s="72"/>
      <c r="BS673" s="61">
        <f t="shared" si="580"/>
        <v>0</v>
      </c>
      <c r="BT673" s="61">
        <f t="shared" si="581"/>
        <v>0</v>
      </c>
      <c r="BU673" s="61">
        <f t="shared" si="582"/>
        <v>0</v>
      </c>
      <c r="BV673" s="61">
        <f t="shared" si="582"/>
        <v>0</v>
      </c>
      <c r="BW673" s="61">
        <f t="shared" si="582"/>
        <v>0</v>
      </c>
      <c r="BX673" s="61">
        <f t="shared" si="579"/>
        <v>0</v>
      </c>
      <c r="BY673" s="61" t="s">
        <v>91</v>
      </c>
      <c r="CA673" s="61">
        <f t="shared" si="525"/>
        <v>0</v>
      </c>
      <c r="CB673" s="61">
        <f t="shared" si="525"/>
        <v>0</v>
      </c>
      <c r="CC673" s="61">
        <f t="shared" si="525"/>
        <v>0</v>
      </c>
      <c r="CD673" s="61">
        <f t="shared" si="525"/>
        <v>0</v>
      </c>
      <c r="CE673" s="61">
        <f t="shared" si="525"/>
        <v>0</v>
      </c>
      <c r="CF673" s="61">
        <f t="shared" si="576"/>
        <v>0</v>
      </c>
      <c r="CG673" s="61">
        <f t="shared" si="576"/>
        <v>0</v>
      </c>
      <c r="CH673" s="61">
        <f t="shared" si="576"/>
        <v>0</v>
      </c>
      <c r="CI673" s="61">
        <f t="shared" si="568"/>
        <v>0</v>
      </c>
      <c r="CJ673" s="61"/>
      <c r="CK673" s="61">
        <f t="shared" si="526"/>
        <v>0</v>
      </c>
      <c r="CL673" s="61">
        <f t="shared" si="526"/>
        <v>0</v>
      </c>
      <c r="CM673" s="61">
        <f t="shared" si="526"/>
        <v>0</v>
      </c>
      <c r="CN673" s="61">
        <f t="shared" si="526"/>
        <v>0</v>
      </c>
      <c r="CO673" s="61">
        <f t="shared" si="526"/>
        <v>0</v>
      </c>
      <c r="CP673" s="61">
        <f t="shared" si="577"/>
        <v>0</v>
      </c>
      <c r="CQ673" s="61">
        <f t="shared" si="577"/>
        <v>0</v>
      </c>
      <c r="CR673" s="61">
        <f t="shared" si="577"/>
        <v>0</v>
      </c>
      <c r="CS673" s="61">
        <f t="shared" si="569"/>
        <v>0</v>
      </c>
      <c r="CT673" s="61">
        <f t="shared" si="570"/>
        <v>0</v>
      </c>
      <c r="CV673" s="61">
        <f t="shared" si="554"/>
        <v>9543879</v>
      </c>
      <c r="CW673" s="61">
        <f t="shared" si="571"/>
        <v>9543879</v>
      </c>
      <c r="CX673" s="61"/>
      <c r="CY673" s="61">
        <f t="shared" si="555"/>
        <v>0</v>
      </c>
      <c r="CZ673" s="61">
        <f t="shared" si="555"/>
        <v>0</v>
      </c>
      <c r="DA673" s="61">
        <f t="shared" si="555"/>
        <v>0</v>
      </c>
      <c r="DB673" s="2" t="s">
        <v>85</v>
      </c>
      <c r="DC673" s="2" t="s">
        <v>85</v>
      </c>
      <c r="DD673" s="2" t="s">
        <v>142</v>
      </c>
      <c r="DE673" s="2" t="s">
        <v>1146</v>
      </c>
      <c r="DG673" s="58"/>
      <c r="EC673" s="60"/>
      <c r="ED673" s="60"/>
      <c r="EE673" s="60"/>
      <c r="EF673" s="60"/>
    </row>
    <row r="674" spans="2:140" ht="12.75" hidden="1" customHeight="1">
      <c r="B674" s="22" t="s">
        <v>1190</v>
      </c>
      <c r="C674" s="22" t="s">
        <v>1034</v>
      </c>
      <c r="D674" s="22" t="s">
        <v>1035</v>
      </c>
      <c r="E674" s="2" t="s">
        <v>993</v>
      </c>
      <c r="F674" s="2" t="s">
        <v>969</v>
      </c>
      <c r="G674" s="2" t="s">
        <v>331</v>
      </c>
      <c r="J674" s="22" t="s">
        <v>126</v>
      </c>
      <c r="K674" s="23" t="s">
        <v>1187</v>
      </c>
      <c r="L674" s="22" t="s">
        <v>216</v>
      </c>
      <c r="M674" s="51" t="str">
        <f t="shared" si="547"/>
        <v>JD8B-F600B28-CCW</v>
      </c>
      <c r="O674" s="22"/>
      <c r="P674" s="22"/>
      <c r="Q674" s="22"/>
      <c r="R674" s="22"/>
      <c r="S674" s="22"/>
      <c r="T674" s="22"/>
      <c r="U674" s="22">
        <v>1</v>
      </c>
      <c r="V674" s="22">
        <v>1</v>
      </c>
      <c r="W674" s="64">
        <f t="shared" si="548"/>
        <v>0.1</v>
      </c>
      <c r="Y674" s="8">
        <f>-1605.04613+0.45</f>
        <v>-1604.5961299999999</v>
      </c>
      <c r="Z674" s="8"/>
      <c r="AA674" s="8"/>
      <c r="AB674" s="8"/>
      <c r="AC674" s="8">
        <v>-11.343999999999999</v>
      </c>
      <c r="AD674" s="8">
        <f t="shared" ref="AD674:AD677" si="583">SUM(Y674:AC674)</f>
        <v>-1615.94013</v>
      </c>
      <c r="AE674" s="2" t="s">
        <v>91</v>
      </c>
      <c r="AG674" s="146">
        <v>-69000</v>
      </c>
      <c r="AH674" s="146">
        <v>-69000</v>
      </c>
      <c r="AJ674" s="70"/>
      <c r="AK674" s="70"/>
      <c r="AL674" s="72"/>
      <c r="AM674" s="22"/>
      <c r="AO674" s="22" t="s">
        <v>126</v>
      </c>
      <c r="AP674" s="23" t="s">
        <v>1187</v>
      </c>
      <c r="AQ674" s="22" t="s">
        <v>211</v>
      </c>
      <c r="AR674" s="51" t="str">
        <f t="shared" si="549"/>
        <v>JD8B-F600B28-CBW</v>
      </c>
      <c r="AS674" s="3"/>
      <c r="AT674" s="22"/>
      <c r="AU674" s="22"/>
      <c r="AV674" s="22"/>
      <c r="AW674" s="22"/>
      <c r="AX674" s="22"/>
      <c r="AY674" s="22"/>
      <c r="AZ674" s="22">
        <v>1</v>
      </c>
      <c r="BA674" s="22">
        <v>1</v>
      </c>
      <c r="BB674" s="64">
        <f t="shared" si="550"/>
        <v>0.1</v>
      </c>
      <c r="BD674" s="8">
        <v>-1605.0461299999999</v>
      </c>
      <c r="BE674" s="8"/>
      <c r="BF674" s="8"/>
      <c r="BG674" s="8"/>
      <c r="BH674" s="8">
        <v>-11.343999999999999</v>
      </c>
      <c r="BI674" s="8">
        <f t="shared" ref="BI674:BI675" si="584">SUM(BD674:BH674)</f>
        <v>-1616.39013</v>
      </c>
      <c r="BJ674" s="2" t="s">
        <v>91</v>
      </c>
      <c r="BL674" s="97">
        <v>-69000</v>
      </c>
      <c r="BM674" s="97">
        <v>-69000</v>
      </c>
      <c r="BO674" s="70"/>
      <c r="BP674" s="70"/>
      <c r="BQ674" s="72"/>
      <c r="BS674" s="61">
        <f t="shared" si="580"/>
        <v>0.45000000000004547</v>
      </c>
      <c r="BT674" s="61">
        <f t="shared" si="581"/>
        <v>0</v>
      </c>
      <c r="BU674" s="61">
        <f t="shared" si="582"/>
        <v>0</v>
      </c>
      <c r="BV674" s="61">
        <f t="shared" si="582"/>
        <v>0</v>
      </c>
      <c r="BW674" s="61">
        <f t="shared" si="582"/>
        <v>0</v>
      </c>
      <c r="BX674" s="61">
        <f t="shared" si="579"/>
        <v>0.45000000000004547</v>
      </c>
      <c r="BY674" s="61" t="s">
        <v>91</v>
      </c>
      <c r="CA674" s="61">
        <f t="shared" si="525"/>
        <v>0</v>
      </c>
      <c r="CB674" s="61">
        <f t="shared" si="525"/>
        <v>0</v>
      </c>
      <c r="CC674" s="61">
        <f t="shared" si="525"/>
        <v>0</v>
      </c>
      <c r="CD674" s="61">
        <f t="shared" si="525"/>
        <v>0</v>
      </c>
      <c r="CE674" s="61">
        <f t="shared" si="525"/>
        <v>0</v>
      </c>
      <c r="CF674" s="61">
        <f t="shared" si="576"/>
        <v>0</v>
      </c>
      <c r="CG674" s="61">
        <f t="shared" si="576"/>
        <v>6.7699714156769286E-2</v>
      </c>
      <c r="CH674" s="61">
        <f t="shared" si="576"/>
        <v>6.7699714156769286E-2</v>
      </c>
      <c r="CI674" s="61">
        <f t="shared" si="568"/>
        <v>6.7699714156769291E-3</v>
      </c>
      <c r="CJ674" s="61"/>
      <c r="CK674" s="61">
        <f t="shared" si="526"/>
        <v>0</v>
      </c>
      <c r="CL674" s="61">
        <f t="shared" si="526"/>
        <v>0</v>
      </c>
      <c r="CM674" s="61">
        <f t="shared" si="526"/>
        <v>0</v>
      </c>
      <c r="CN674" s="61">
        <f t="shared" si="526"/>
        <v>0</v>
      </c>
      <c r="CO674" s="61">
        <f t="shared" si="526"/>
        <v>0</v>
      </c>
      <c r="CP674" s="61">
        <f t="shared" si="577"/>
        <v>0</v>
      </c>
      <c r="CQ674" s="61">
        <f t="shared" si="577"/>
        <v>6.7699714156769286E-2</v>
      </c>
      <c r="CR674" s="61">
        <f t="shared" si="577"/>
        <v>6.7699714156769286E-2</v>
      </c>
      <c r="CS674" s="61">
        <f t="shared" si="569"/>
        <v>6.7699714156769291E-3</v>
      </c>
      <c r="CT674" s="147">
        <f t="shared" si="570"/>
        <v>4.500000000000455E-2</v>
      </c>
      <c r="CV674" s="61">
        <f t="shared" ref="CV674:CV675" si="585">SUM(AG674)-SUM(BL674)</f>
        <v>0</v>
      </c>
      <c r="CW674" s="61">
        <f t="shared" ref="CW674:CW677" si="586">SUM(AH674)-SUM(BM674)</f>
        <v>0</v>
      </c>
      <c r="CX674" s="61"/>
      <c r="CY674" s="61">
        <f t="shared" si="555"/>
        <v>0</v>
      </c>
      <c r="CZ674" s="61">
        <f t="shared" si="555"/>
        <v>0</v>
      </c>
      <c r="DA674" s="61">
        <f t="shared" si="555"/>
        <v>0</v>
      </c>
      <c r="DB674" s="2" t="s">
        <v>85</v>
      </c>
      <c r="DC674" s="2" t="s">
        <v>85</v>
      </c>
      <c r="DD674" s="2" t="s">
        <v>142</v>
      </c>
      <c r="DE674" s="2" t="s">
        <v>106</v>
      </c>
      <c r="DF674" s="3" t="s">
        <v>86</v>
      </c>
      <c r="DG674" s="58">
        <v>43068</v>
      </c>
      <c r="EC674" s="60"/>
      <c r="ED674" s="60"/>
      <c r="EE674" s="60"/>
      <c r="EF674" s="60"/>
    </row>
    <row r="675" spans="2:140" ht="12.75" hidden="1" customHeight="1">
      <c r="B675" s="22" t="s">
        <v>1190</v>
      </c>
      <c r="C675" s="22" t="s">
        <v>1034</v>
      </c>
      <c r="D675" s="22" t="s">
        <v>1035</v>
      </c>
      <c r="E675" s="2" t="s">
        <v>993</v>
      </c>
      <c r="F675" s="2" t="s">
        <v>969</v>
      </c>
      <c r="G675" s="2" t="s">
        <v>331</v>
      </c>
      <c r="J675" s="22" t="s">
        <v>126</v>
      </c>
      <c r="K675" s="23" t="s">
        <v>1187</v>
      </c>
      <c r="L675" s="22" t="s">
        <v>217</v>
      </c>
      <c r="M675" s="51" t="str">
        <f t="shared" si="547"/>
        <v>JD8B-F600B28-DCW</v>
      </c>
      <c r="O675" s="22"/>
      <c r="P675" s="22"/>
      <c r="Q675" s="22"/>
      <c r="R675" s="22"/>
      <c r="S675" s="22"/>
      <c r="T675" s="22"/>
      <c r="U675" s="22">
        <v>1</v>
      </c>
      <c r="V675" s="22">
        <v>1</v>
      </c>
      <c r="W675" s="64">
        <f t="shared" si="548"/>
        <v>0.1</v>
      </c>
      <c r="Y675" s="8">
        <f>-1514.726+0.45</f>
        <v>-1514.2760000000001</v>
      </c>
      <c r="Z675" s="8"/>
      <c r="AA675" s="8"/>
      <c r="AB675" s="8"/>
      <c r="AC675" s="8">
        <v>-6.5039999999999996</v>
      </c>
      <c r="AD675" s="8">
        <f t="shared" si="583"/>
        <v>-1520.78</v>
      </c>
      <c r="AE675" s="2" t="s">
        <v>91</v>
      </c>
      <c r="AG675" s="6"/>
      <c r="AH675" s="6"/>
      <c r="AJ675" s="70"/>
      <c r="AK675" s="70"/>
      <c r="AL675" s="72"/>
      <c r="AM675" s="22"/>
      <c r="AO675" s="22" t="s">
        <v>126</v>
      </c>
      <c r="AP675" s="23" t="s">
        <v>1187</v>
      </c>
      <c r="AQ675" s="22" t="s">
        <v>212</v>
      </c>
      <c r="AR675" s="51" t="str">
        <f t="shared" si="549"/>
        <v>JD8B-F600B28-DBW</v>
      </c>
      <c r="AS675" s="3"/>
      <c r="AT675" s="22"/>
      <c r="AU675" s="22"/>
      <c r="AV675" s="22"/>
      <c r="AW675" s="22"/>
      <c r="AX675" s="22"/>
      <c r="AY675" s="22"/>
      <c r="AZ675" s="22">
        <v>1</v>
      </c>
      <c r="BA675" s="22">
        <v>1</v>
      </c>
      <c r="BB675" s="64">
        <f t="shared" si="550"/>
        <v>0.1</v>
      </c>
      <c r="BD675" s="8">
        <v>-1514.7260000000001</v>
      </c>
      <c r="BE675" s="8"/>
      <c r="BF675" s="8"/>
      <c r="BG675" s="8"/>
      <c r="BH675" s="8">
        <v>-6.5039999999999996</v>
      </c>
      <c r="BI675" s="8">
        <f t="shared" si="584"/>
        <v>-1521.23</v>
      </c>
      <c r="BJ675" s="2" t="s">
        <v>91</v>
      </c>
      <c r="BL675" s="70">
        <v>-9543879</v>
      </c>
      <c r="BM675" s="70">
        <v>-9543879</v>
      </c>
      <c r="BO675" s="70"/>
      <c r="BP675" s="70"/>
      <c r="BQ675" s="72"/>
      <c r="BS675" s="61">
        <f t="shared" si="580"/>
        <v>0.45000000000004547</v>
      </c>
      <c r="BT675" s="61">
        <f t="shared" si="581"/>
        <v>0</v>
      </c>
      <c r="BU675" s="61">
        <f t="shared" si="582"/>
        <v>0</v>
      </c>
      <c r="BV675" s="61">
        <f t="shared" si="582"/>
        <v>0</v>
      </c>
      <c r="BW675" s="61">
        <f t="shared" si="582"/>
        <v>0</v>
      </c>
      <c r="BX675" s="61">
        <f t="shared" si="579"/>
        <v>0.45000000000004547</v>
      </c>
      <c r="BY675" s="61" t="s">
        <v>91</v>
      </c>
      <c r="CA675" s="61">
        <f t="shared" ref="CA675:CE738" si="587">($Y675*O675-AT675*$BD675)/$C$2</f>
        <v>0</v>
      </c>
      <c r="CB675" s="61">
        <f t="shared" si="587"/>
        <v>0</v>
      </c>
      <c r="CC675" s="61">
        <f t="shared" si="587"/>
        <v>0</v>
      </c>
      <c r="CD675" s="61">
        <f t="shared" si="587"/>
        <v>0</v>
      </c>
      <c r="CE675" s="61">
        <f t="shared" si="587"/>
        <v>0</v>
      </c>
      <c r="CF675" s="61">
        <f t="shared" si="576"/>
        <v>0</v>
      </c>
      <c r="CG675" s="61">
        <f t="shared" si="576"/>
        <v>6.7699714156769286E-2</v>
      </c>
      <c r="CH675" s="61">
        <f t="shared" si="576"/>
        <v>6.7699714156769286E-2</v>
      </c>
      <c r="CI675" s="61">
        <f t="shared" si="568"/>
        <v>6.7699714156769291E-3</v>
      </c>
      <c r="CJ675" s="61"/>
      <c r="CK675" s="61">
        <f t="shared" ref="CK675:CO738" si="588">(O675*$AD675-AT675*$BI675)/$C$2</f>
        <v>0</v>
      </c>
      <c r="CL675" s="61">
        <f t="shared" si="588"/>
        <v>0</v>
      </c>
      <c r="CM675" s="61">
        <f t="shared" si="588"/>
        <v>0</v>
      </c>
      <c r="CN675" s="61">
        <f t="shared" si="588"/>
        <v>0</v>
      </c>
      <c r="CO675" s="61">
        <f t="shared" si="588"/>
        <v>0</v>
      </c>
      <c r="CP675" s="61">
        <f t="shared" si="577"/>
        <v>0</v>
      </c>
      <c r="CQ675" s="61">
        <f t="shared" si="577"/>
        <v>6.7699714156769286E-2</v>
      </c>
      <c r="CR675" s="61">
        <f t="shared" si="577"/>
        <v>6.7699714156769286E-2</v>
      </c>
      <c r="CS675" s="61">
        <f t="shared" si="569"/>
        <v>6.7699714156769291E-3</v>
      </c>
      <c r="CT675" s="63">
        <f t="shared" si="570"/>
        <v>4.500000000000455E-2</v>
      </c>
      <c r="CV675" s="61">
        <f t="shared" si="585"/>
        <v>9543879</v>
      </c>
      <c r="CW675" s="61">
        <f t="shared" si="586"/>
        <v>9543879</v>
      </c>
      <c r="CX675" s="61"/>
      <c r="CY675" s="61">
        <f t="shared" si="555"/>
        <v>0</v>
      </c>
      <c r="CZ675" s="61">
        <f t="shared" si="555"/>
        <v>0</v>
      </c>
      <c r="DA675" s="61">
        <f t="shared" si="555"/>
        <v>0</v>
      </c>
      <c r="DB675" s="2" t="s">
        <v>85</v>
      </c>
      <c r="DC675" s="2" t="s">
        <v>85</v>
      </c>
      <c r="DD675" s="2" t="s">
        <v>142</v>
      </c>
      <c r="DE675" s="2" t="s">
        <v>106</v>
      </c>
      <c r="DF675" s="3" t="s">
        <v>86</v>
      </c>
      <c r="DG675" s="58">
        <v>43068</v>
      </c>
      <c r="EC675" s="60"/>
      <c r="ED675" s="60"/>
      <c r="EE675" s="60"/>
      <c r="EF675" s="60"/>
    </row>
    <row r="676" spans="2:140" ht="12.75" hidden="1" customHeight="1">
      <c r="B676" s="115" t="s">
        <v>1051</v>
      </c>
      <c r="C676" s="22" t="s">
        <v>1034</v>
      </c>
      <c r="D676" s="22" t="s">
        <v>1035</v>
      </c>
      <c r="E676" s="2" t="s">
        <v>993</v>
      </c>
      <c r="F676" s="2" t="s">
        <v>969</v>
      </c>
      <c r="G676" s="2" t="s">
        <v>331</v>
      </c>
      <c r="J676" s="22" t="s">
        <v>126</v>
      </c>
      <c r="K676" s="23" t="s">
        <v>1187</v>
      </c>
      <c r="L676" s="22" t="s">
        <v>1191</v>
      </c>
      <c r="M676" s="51" t="str">
        <f t="shared" si="547"/>
        <v>JD8B-F600B28-CDW</v>
      </c>
      <c r="O676" s="22"/>
      <c r="P676" s="22"/>
      <c r="Q676" s="22"/>
      <c r="R676" s="22"/>
      <c r="S676" s="22"/>
      <c r="T676" s="22"/>
      <c r="U676" s="22">
        <v>1</v>
      </c>
      <c r="V676" s="22">
        <v>1</v>
      </c>
      <c r="W676" s="64">
        <f t="shared" si="548"/>
        <v>0.1</v>
      </c>
      <c r="Y676" s="8">
        <f>-1605.04613+0.45+2.12</f>
        <v>-1602.47613</v>
      </c>
      <c r="Z676" s="8"/>
      <c r="AA676" s="8"/>
      <c r="AB676" s="8"/>
      <c r="AC676" s="8">
        <v>-11.343999999999999</v>
      </c>
      <c r="AD676" s="8">
        <f t="shared" si="583"/>
        <v>-1613.8201300000001</v>
      </c>
      <c r="AE676" s="2" t="s">
        <v>91</v>
      </c>
      <c r="AG676" s="146">
        <v>-69000</v>
      </c>
      <c r="AH676" s="146">
        <v>-69000</v>
      </c>
      <c r="AJ676" s="70"/>
      <c r="AK676" s="70"/>
      <c r="AL676" s="72"/>
      <c r="AM676" s="22"/>
      <c r="AO676" s="22" t="s">
        <v>126</v>
      </c>
      <c r="AP676" s="23" t="s">
        <v>1187</v>
      </c>
      <c r="AQ676" s="22" t="s">
        <v>216</v>
      </c>
      <c r="AR676" s="51" t="str">
        <f t="shared" si="549"/>
        <v>JD8B-F600B28-CCW</v>
      </c>
      <c r="AS676" s="3"/>
      <c r="AT676" s="22"/>
      <c r="AU676" s="22"/>
      <c r="AV676" s="22"/>
      <c r="AW676" s="22"/>
      <c r="AX676" s="22"/>
      <c r="AY676" s="22"/>
      <c r="AZ676" s="22">
        <v>1</v>
      </c>
      <c r="BA676" s="22">
        <v>1</v>
      </c>
      <c r="BB676" s="64">
        <f t="shared" si="550"/>
        <v>0.1</v>
      </c>
      <c r="BD676" s="8">
        <f>-1605.04613+0.45</f>
        <v>-1604.5961299999999</v>
      </c>
      <c r="BE676" s="8"/>
      <c r="BF676" s="8"/>
      <c r="BG676" s="8"/>
      <c r="BH676" s="8">
        <v>-11.343999999999999</v>
      </c>
      <c r="BI676" s="8">
        <f t="shared" ref="BI676:BI677" si="589">SUM(BD676:BH676)</f>
        <v>-1615.94013</v>
      </c>
      <c r="BJ676" s="2" t="s">
        <v>91</v>
      </c>
      <c r="BL676" s="97">
        <v>-69000</v>
      </c>
      <c r="BM676" s="97">
        <v>-69000</v>
      </c>
      <c r="BO676" s="70"/>
      <c r="BP676" s="70"/>
      <c r="BQ676" s="72"/>
      <c r="BS676" s="61">
        <f t="shared" si="580"/>
        <v>2.1199999999998909</v>
      </c>
      <c r="BT676" s="61">
        <f t="shared" si="581"/>
        <v>0</v>
      </c>
      <c r="BU676" s="61">
        <f t="shared" si="582"/>
        <v>0</v>
      </c>
      <c r="BV676" s="61">
        <f t="shared" si="582"/>
        <v>0</v>
      </c>
      <c r="BW676" s="61">
        <f t="shared" si="582"/>
        <v>0</v>
      </c>
      <c r="BX676" s="61">
        <f t="shared" si="579"/>
        <v>2.1199999999998909</v>
      </c>
      <c r="BY676" s="61" t="s">
        <v>91</v>
      </c>
      <c r="CA676" s="61">
        <f t="shared" si="587"/>
        <v>0</v>
      </c>
      <c r="CB676" s="61">
        <f t="shared" si="587"/>
        <v>0</v>
      </c>
      <c r="CC676" s="61">
        <f t="shared" si="587"/>
        <v>0</v>
      </c>
      <c r="CD676" s="61">
        <f t="shared" si="587"/>
        <v>0</v>
      </c>
      <c r="CE676" s="61">
        <f t="shared" si="587"/>
        <v>0</v>
      </c>
      <c r="CF676" s="61">
        <f t="shared" si="576"/>
        <v>0</v>
      </c>
      <c r="CG676" s="61">
        <f t="shared" si="576"/>
        <v>0.31894087558295331</v>
      </c>
      <c r="CH676" s="61">
        <f t="shared" si="576"/>
        <v>0.31894087558295331</v>
      </c>
      <c r="CI676" s="61">
        <f t="shared" si="568"/>
        <v>3.1894087558295335E-2</v>
      </c>
      <c r="CJ676" s="61"/>
      <c r="CK676" s="61">
        <f t="shared" si="588"/>
        <v>0</v>
      </c>
      <c r="CL676" s="61">
        <f t="shared" si="588"/>
        <v>0</v>
      </c>
      <c r="CM676" s="61">
        <f t="shared" si="588"/>
        <v>0</v>
      </c>
      <c r="CN676" s="61">
        <f t="shared" si="588"/>
        <v>0</v>
      </c>
      <c r="CO676" s="61">
        <f t="shared" si="588"/>
        <v>0</v>
      </c>
      <c r="CP676" s="61">
        <f t="shared" si="577"/>
        <v>0</v>
      </c>
      <c r="CQ676" s="61">
        <f t="shared" si="577"/>
        <v>0.31894087558295331</v>
      </c>
      <c r="CR676" s="61">
        <f t="shared" si="577"/>
        <v>0.31894087558295331</v>
      </c>
      <c r="CS676" s="61">
        <f t="shared" si="569"/>
        <v>3.1894087558295335E-2</v>
      </c>
      <c r="CT676" s="148">
        <f t="shared" si="570"/>
        <v>0.21199999999998911</v>
      </c>
      <c r="CV676" s="61">
        <f t="shared" ref="CV676:CV677" si="590">SUM(AG676)-SUM(BL676)</f>
        <v>0</v>
      </c>
      <c r="CW676" s="61">
        <f t="shared" si="586"/>
        <v>0</v>
      </c>
      <c r="CX676" s="61"/>
      <c r="CY676" s="61">
        <f t="shared" si="555"/>
        <v>0</v>
      </c>
      <c r="CZ676" s="61">
        <f t="shared" si="555"/>
        <v>0</v>
      </c>
      <c r="DA676" s="61">
        <f t="shared" si="555"/>
        <v>0</v>
      </c>
      <c r="DB676" s="2" t="s">
        <v>86</v>
      </c>
      <c r="DC676" s="2" t="s">
        <v>85</v>
      </c>
      <c r="DD676" s="2" t="s">
        <v>142</v>
      </c>
      <c r="DE676" s="2" t="s">
        <v>106</v>
      </c>
      <c r="DF676" s="3" t="s">
        <v>86</v>
      </c>
      <c r="DG676" s="62">
        <v>43136</v>
      </c>
      <c r="EC676" s="60" t="str">
        <f>VLOOKUP($M676,[1]Detail!$M:$BO,1,0)</f>
        <v>JD8B-F600B28-CDW</v>
      </c>
      <c r="ED676" s="60">
        <f>VLOOKUP($M676,[1]Detail!$M:$BO,22,0)</f>
        <v>-1613.8201300000001</v>
      </c>
      <c r="EE676" s="60">
        <f>VLOOKUP($M676,[1]Detail!$M:$BO,42,0)</f>
        <v>-69000</v>
      </c>
      <c r="EF676" s="60" t="str">
        <f>VLOOKUP($M676,[1]Detail!$M:$BO,45,0)</f>
        <v>incl.above</v>
      </c>
      <c r="EH676" s="60">
        <f t="shared" ref="EH676:EH679" si="591">ED676-AD676</f>
        <v>0</v>
      </c>
      <c r="EI676" s="60">
        <v>0</v>
      </c>
      <c r="EJ676" s="60">
        <v>0</v>
      </c>
    </row>
    <row r="677" spans="2:140" ht="12.75" hidden="1" customHeight="1">
      <c r="B677" s="115" t="s">
        <v>1051</v>
      </c>
      <c r="C677" s="22" t="s">
        <v>1034</v>
      </c>
      <c r="D677" s="22" t="s">
        <v>1035</v>
      </c>
      <c r="E677" s="2" t="s">
        <v>993</v>
      </c>
      <c r="F677" s="2" t="s">
        <v>969</v>
      </c>
      <c r="G677" s="2" t="s">
        <v>331</v>
      </c>
      <c r="J677" s="22" t="s">
        <v>126</v>
      </c>
      <c r="K677" s="23" t="s">
        <v>1187</v>
      </c>
      <c r="L677" s="22" t="s">
        <v>1192</v>
      </c>
      <c r="M677" s="51" t="str">
        <f t="shared" si="547"/>
        <v>JD8B-F600B28-DDW</v>
      </c>
      <c r="O677" s="22"/>
      <c r="P677" s="22"/>
      <c r="Q677" s="22"/>
      <c r="R677" s="22"/>
      <c r="S677" s="22">
        <v>1</v>
      </c>
      <c r="T677" s="22">
        <v>1</v>
      </c>
      <c r="U677" s="22"/>
      <c r="V677" s="22"/>
      <c r="W677" s="64">
        <f t="shared" si="548"/>
        <v>0.23</v>
      </c>
      <c r="Y677" s="8">
        <f>-1514.726+0.45+2.12</f>
        <v>-1512.1560000000002</v>
      </c>
      <c r="Z677" s="8"/>
      <c r="AA677" s="8"/>
      <c r="AB677" s="8"/>
      <c r="AC677" s="8">
        <v>-6.5039999999999996</v>
      </c>
      <c r="AD677" s="8">
        <f t="shared" si="583"/>
        <v>-1518.66</v>
      </c>
      <c r="AE677" s="2" t="s">
        <v>91</v>
      </c>
      <c r="AG677" s="8"/>
      <c r="AH677" s="8"/>
      <c r="AJ677" s="70"/>
      <c r="AK677" s="70"/>
      <c r="AL677" s="72"/>
      <c r="AM677" s="22"/>
      <c r="AO677" s="22" t="s">
        <v>126</v>
      </c>
      <c r="AP677" s="23" t="s">
        <v>1187</v>
      </c>
      <c r="AQ677" s="22" t="s">
        <v>217</v>
      </c>
      <c r="AR677" s="51" t="str">
        <f t="shared" si="549"/>
        <v>JD8B-F600B28-DCW</v>
      </c>
      <c r="AS677" s="3"/>
      <c r="AT677" s="22"/>
      <c r="AU677" s="22"/>
      <c r="AV677" s="22"/>
      <c r="AW677" s="22"/>
      <c r="AX677" s="22">
        <v>1</v>
      </c>
      <c r="AY677" s="22">
        <v>1</v>
      </c>
      <c r="AZ677" s="22"/>
      <c r="BA677" s="22"/>
      <c r="BB677" s="64">
        <f t="shared" si="550"/>
        <v>0.23</v>
      </c>
      <c r="BD677" s="8">
        <f>-1514.726+0.45</f>
        <v>-1514.2760000000001</v>
      </c>
      <c r="BE677" s="8"/>
      <c r="BF677" s="8"/>
      <c r="BG677" s="8"/>
      <c r="BH677" s="8">
        <v>-6.5039999999999996</v>
      </c>
      <c r="BI677" s="8">
        <f t="shared" si="589"/>
        <v>-1520.78</v>
      </c>
      <c r="BJ677" s="2" t="s">
        <v>91</v>
      </c>
      <c r="BL677" s="70">
        <v>-9543879</v>
      </c>
      <c r="BM677" s="70">
        <v>-9543879</v>
      </c>
      <c r="BO677" s="70"/>
      <c r="BP677" s="70"/>
      <c r="BQ677" s="72"/>
      <c r="BS677" s="61">
        <f t="shared" si="580"/>
        <v>2.1199999999998909</v>
      </c>
      <c r="BT677" s="61">
        <f t="shared" si="581"/>
        <v>0</v>
      </c>
      <c r="BU677" s="61">
        <f t="shared" si="582"/>
        <v>0</v>
      </c>
      <c r="BV677" s="61">
        <f t="shared" si="582"/>
        <v>0</v>
      </c>
      <c r="BW677" s="61">
        <f t="shared" si="582"/>
        <v>0</v>
      </c>
      <c r="BX677" s="61">
        <f t="shared" si="579"/>
        <v>2.1199999999998909</v>
      </c>
      <c r="BY677" s="61" t="s">
        <v>91</v>
      </c>
      <c r="CA677" s="61">
        <f t="shared" si="587"/>
        <v>0</v>
      </c>
      <c r="CB677" s="61">
        <f t="shared" si="587"/>
        <v>0</v>
      </c>
      <c r="CC677" s="61">
        <f t="shared" si="587"/>
        <v>0</v>
      </c>
      <c r="CD677" s="61">
        <f t="shared" si="587"/>
        <v>0</v>
      </c>
      <c r="CE677" s="61">
        <f t="shared" si="587"/>
        <v>0.31894087558295331</v>
      </c>
      <c r="CF677" s="61">
        <f t="shared" si="576"/>
        <v>0.31894087558295331</v>
      </c>
      <c r="CG677" s="61">
        <f t="shared" si="576"/>
        <v>0</v>
      </c>
      <c r="CH677" s="61">
        <f t="shared" si="576"/>
        <v>0</v>
      </c>
      <c r="CI677" s="61">
        <f t="shared" si="568"/>
        <v>7.335640138407927E-2</v>
      </c>
      <c r="CJ677" s="61"/>
      <c r="CK677" s="61">
        <f t="shared" si="588"/>
        <v>0</v>
      </c>
      <c r="CL677" s="61">
        <f t="shared" si="588"/>
        <v>0</v>
      </c>
      <c r="CM677" s="61">
        <f t="shared" si="588"/>
        <v>0</v>
      </c>
      <c r="CN677" s="61">
        <f t="shared" si="588"/>
        <v>0</v>
      </c>
      <c r="CO677" s="61">
        <f t="shared" si="588"/>
        <v>0.31894087558295331</v>
      </c>
      <c r="CP677" s="61">
        <f t="shared" si="577"/>
        <v>0.31894087558295331</v>
      </c>
      <c r="CQ677" s="61">
        <f t="shared" si="577"/>
        <v>0</v>
      </c>
      <c r="CR677" s="61">
        <f t="shared" si="577"/>
        <v>0</v>
      </c>
      <c r="CS677" s="61">
        <f t="shared" si="569"/>
        <v>7.335640138407927E-2</v>
      </c>
      <c r="CT677" s="101">
        <f t="shared" si="570"/>
        <v>0.48759999999997494</v>
      </c>
      <c r="CV677" s="61">
        <f t="shared" si="590"/>
        <v>9543879</v>
      </c>
      <c r="CW677" s="61">
        <f t="shared" si="586"/>
        <v>9543879</v>
      </c>
      <c r="CX677" s="61"/>
      <c r="CY677" s="61">
        <f t="shared" si="555"/>
        <v>0</v>
      </c>
      <c r="CZ677" s="61">
        <f t="shared" si="555"/>
        <v>0</v>
      </c>
      <c r="DA677" s="61">
        <f t="shared" si="555"/>
        <v>0</v>
      </c>
      <c r="DB677" s="2" t="s">
        <v>86</v>
      </c>
      <c r="DC677" s="2" t="s">
        <v>85</v>
      </c>
      <c r="DD677" s="2" t="s">
        <v>142</v>
      </c>
      <c r="DE677" s="2" t="s">
        <v>106</v>
      </c>
      <c r="DF677" s="3" t="s">
        <v>86</v>
      </c>
      <c r="DG677" s="62">
        <v>43136</v>
      </c>
      <c r="EC677" s="60" t="str">
        <f>VLOOKUP($M677,[1]Detail!$M:$BO,1,0)</f>
        <v>JD8B-F600B28-DDW</v>
      </c>
      <c r="ED677" s="60">
        <f>VLOOKUP($M677,[1]Detail!$M:$BO,22,0)</f>
        <v>-1518.66</v>
      </c>
      <c r="EE677" s="60">
        <f>VLOOKUP($M677,[1]Detail!$M:$BO,42,0)</f>
        <v>0</v>
      </c>
      <c r="EF677" s="60" t="str">
        <f>VLOOKUP($M677,[1]Detail!$M:$BO,45,0)</f>
        <v>incl.above</v>
      </c>
      <c r="EH677" s="60">
        <f t="shared" si="591"/>
        <v>0</v>
      </c>
      <c r="EI677" s="60">
        <v>0</v>
      </c>
      <c r="EJ677" s="60">
        <v>0</v>
      </c>
    </row>
    <row r="678" spans="2:140" ht="12.75" hidden="1" customHeight="1">
      <c r="B678" s="99" t="s">
        <v>1193</v>
      </c>
      <c r="C678" s="22" t="s">
        <v>1194</v>
      </c>
      <c r="D678" s="22" t="s">
        <v>1195</v>
      </c>
      <c r="E678" s="22" t="s">
        <v>1024</v>
      </c>
      <c r="F678" s="22" t="s">
        <v>348</v>
      </c>
      <c r="G678" s="22" t="s">
        <v>339</v>
      </c>
      <c r="J678" s="22" t="s">
        <v>128</v>
      </c>
      <c r="K678" s="23" t="s">
        <v>1196</v>
      </c>
      <c r="L678" s="22" t="s">
        <v>162</v>
      </c>
      <c r="M678" s="51" t="str">
        <f t="shared" si="547"/>
        <v>ED8B-F10692-AD</v>
      </c>
      <c r="O678" s="22">
        <v>1</v>
      </c>
      <c r="P678" s="22">
        <v>1</v>
      </c>
      <c r="Q678" s="22">
        <v>1</v>
      </c>
      <c r="R678" s="22">
        <v>1</v>
      </c>
      <c r="S678" s="22">
        <v>1</v>
      </c>
      <c r="T678" s="22">
        <v>1</v>
      </c>
      <c r="U678" s="22">
        <v>1</v>
      </c>
      <c r="V678" s="22">
        <v>1</v>
      </c>
      <c r="W678" s="64">
        <f t="shared" si="548"/>
        <v>1</v>
      </c>
      <c r="Y678" s="8"/>
      <c r="Z678" s="8"/>
      <c r="AA678" s="8"/>
      <c r="AB678" s="8"/>
      <c r="AC678" s="8"/>
      <c r="AD678" s="8">
        <f t="shared" si="567"/>
        <v>0</v>
      </c>
      <c r="AE678" s="2" t="s">
        <v>84</v>
      </c>
      <c r="AG678" s="8"/>
      <c r="AH678" s="8"/>
      <c r="AJ678" s="70"/>
      <c r="AK678" s="70"/>
      <c r="AL678" s="72"/>
      <c r="AM678" s="22"/>
      <c r="AO678" s="22" t="s">
        <v>128</v>
      </c>
      <c r="AP678" s="23" t="s">
        <v>1196</v>
      </c>
      <c r="AQ678" s="22" t="s">
        <v>234</v>
      </c>
      <c r="AR678" s="51" t="str">
        <f t="shared" si="549"/>
        <v>ED8B-F10692-AC</v>
      </c>
      <c r="AS678" s="3"/>
      <c r="AT678" s="22">
        <v>1</v>
      </c>
      <c r="AU678" s="22">
        <v>1</v>
      </c>
      <c r="AV678" s="22">
        <v>1</v>
      </c>
      <c r="AW678" s="22">
        <v>1</v>
      </c>
      <c r="AX678" s="22">
        <v>1</v>
      </c>
      <c r="AY678" s="22">
        <v>1</v>
      </c>
      <c r="AZ678" s="22">
        <v>1</v>
      </c>
      <c r="BA678" s="22">
        <v>1</v>
      </c>
      <c r="BB678" s="64">
        <f t="shared" si="550"/>
        <v>1</v>
      </c>
      <c r="BD678" s="60">
        <v>-58.31</v>
      </c>
      <c r="BE678" s="60">
        <v>-1.75</v>
      </c>
      <c r="BF678" s="60">
        <v>-2.68</v>
      </c>
      <c r="BG678" s="60"/>
      <c r="BH678" s="60"/>
      <c r="BI678" s="8">
        <f t="shared" si="575"/>
        <v>-62.74</v>
      </c>
      <c r="BJ678" s="2" t="s">
        <v>84</v>
      </c>
      <c r="BL678" s="70"/>
      <c r="BM678" s="70"/>
      <c r="BO678" s="70"/>
      <c r="BP678" s="70"/>
      <c r="BQ678" s="72"/>
      <c r="BS678" s="61">
        <f t="shared" si="580"/>
        <v>58.31</v>
      </c>
      <c r="BT678" s="61">
        <f t="shared" si="581"/>
        <v>1.75</v>
      </c>
      <c r="BU678" s="61">
        <f t="shared" si="582"/>
        <v>2.68</v>
      </c>
      <c r="BV678" s="61">
        <f t="shared" si="582"/>
        <v>0</v>
      </c>
      <c r="BW678" s="61">
        <f t="shared" si="582"/>
        <v>0</v>
      </c>
      <c r="BX678" s="61">
        <f t="shared" si="579"/>
        <v>62.74</v>
      </c>
      <c r="BY678" s="61" t="s">
        <v>91</v>
      </c>
      <c r="CA678" s="61">
        <f t="shared" si="587"/>
        <v>8.7723785166240411</v>
      </c>
      <c r="CB678" s="61">
        <f t="shared" si="587"/>
        <v>8.7723785166240411</v>
      </c>
      <c r="CC678" s="61">
        <f t="shared" si="587"/>
        <v>8.7723785166240411</v>
      </c>
      <c r="CD678" s="61">
        <f t="shared" si="587"/>
        <v>8.7723785166240411</v>
      </c>
      <c r="CE678" s="61">
        <f t="shared" si="587"/>
        <v>8.7723785166240411</v>
      </c>
      <c r="CF678" s="61">
        <f t="shared" si="576"/>
        <v>8.7723785166240411</v>
      </c>
      <c r="CG678" s="61">
        <f t="shared" si="576"/>
        <v>8.7723785166240411</v>
      </c>
      <c r="CH678" s="61">
        <f t="shared" si="576"/>
        <v>8.7723785166240411</v>
      </c>
      <c r="CI678" s="61">
        <f t="shared" si="568"/>
        <v>8.7723785166240411</v>
      </c>
      <c r="CJ678" s="61"/>
      <c r="CK678" s="61">
        <f t="shared" si="588"/>
        <v>9.4388445915450578</v>
      </c>
      <c r="CL678" s="61">
        <f t="shared" si="588"/>
        <v>9.4388445915450578</v>
      </c>
      <c r="CM678" s="61">
        <f t="shared" si="588"/>
        <v>9.4388445915450578</v>
      </c>
      <c r="CN678" s="61">
        <f t="shared" si="588"/>
        <v>9.4388445915450578</v>
      </c>
      <c r="CO678" s="61">
        <f t="shared" si="588"/>
        <v>9.4388445915450578</v>
      </c>
      <c r="CP678" s="61">
        <f t="shared" si="577"/>
        <v>9.4388445915450578</v>
      </c>
      <c r="CQ678" s="61">
        <f t="shared" si="577"/>
        <v>9.4388445915450578</v>
      </c>
      <c r="CR678" s="61">
        <f t="shared" si="577"/>
        <v>9.4388445915450578</v>
      </c>
      <c r="CS678" s="61">
        <f t="shared" si="569"/>
        <v>9.4388445915450596</v>
      </c>
      <c r="CT678" s="61">
        <f t="shared" si="570"/>
        <v>62.740000000000016</v>
      </c>
      <c r="CV678" s="61">
        <f t="shared" si="554"/>
        <v>0</v>
      </c>
      <c r="CW678" s="61">
        <f t="shared" si="571"/>
        <v>0</v>
      </c>
      <c r="CX678" s="61"/>
      <c r="CY678" s="61">
        <f t="shared" si="555"/>
        <v>0</v>
      </c>
      <c r="CZ678" s="61">
        <f t="shared" si="555"/>
        <v>0</v>
      </c>
      <c r="DA678" s="61">
        <f t="shared" si="555"/>
        <v>0</v>
      </c>
      <c r="DB678" s="2" t="s">
        <v>86</v>
      </c>
      <c r="DC678" s="2" t="s">
        <v>85</v>
      </c>
      <c r="DD678" s="2" t="s">
        <v>142</v>
      </c>
      <c r="DE678" s="2" t="s">
        <v>1146</v>
      </c>
      <c r="DG678" s="62"/>
      <c r="DZ678" s="3" t="e">
        <v>#N/A</v>
      </c>
      <c r="EC678" s="60" t="str">
        <f>VLOOKUP($M678,[1]Detail!$M:$BO,1,0)</f>
        <v>ED8B-F10692-AD</v>
      </c>
      <c r="ED678" s="60">
        <f>VLOOKUP($M678,[1]Detail!$M:$BO,22,0)</f>
        <v>-61.53</v>
      </c>
      <c r="EE678" s="60">
        <f>VLOOKUP($M678,[1]Detail!$M:$BO,42,0)</f>
        <v>0</v>
      </c>
      <c r="EF678" s="60">
        <f>VLOOKUP($M678,[1]Detail!$M:$BO,45,0)</f>
        <v>0</v>
      </c>
      <c r="EH678" s="60">
        <f t="shared" si="591"/>
        <v>-61.53</v>
      </c>
      <c r="EI678" s="60">
        <f>EE678-AG678</f>
        <v>0</v>
      </c>
      <c r="EJ678" s="60">
        <f>EF678-AJ678</f>
        <v>0</v>
      </c>
    </row>
    <row r="679" spans="2:140" ht="12.75" hidden="1" customHeight="1">
      <c r="B679" s="115" t="s">
        <v>1197</v>
      </c>
      <c r="C679" s="22" t="s">
        <v>1198</v>
      </c>
      <c r="D679" s="22" t="s">
        <v>1199</v>
      </c>
      <c r="E679" s="22" t="s">
        <v>1005</v>
      </c>
      <c r="F679" s="22" t="s">
        <v>330</v>
      </c>
      <c r="G679" s="22" t="s">
        <v>983</v>
      </c>
      <c r="J679" s="22" t="s">
        <v>1200</v>
      </c>
      <c r="K679" s="23" t="s">
        <v>1201</v>
      </c>
      <c r="L679" s="22" t="s">
        <v>253</v>
      </c>
      <c r="M679" s="51" t="str">
        <f t="shared" si="547"/>
        <v>JX6G-6A957-CA</v>
      </c>
      <c r="O679" s="22">
        <v>1</v>
      </c>
      <c r="P679" s="22">
        <v>1</v>
      </c>
      <c r="Q679" s="22">
        <v>1</v>
      </c>
      <c r="R679" s="22">
        <v>1</v>
      </c>
      <c r="S679" s="22"/>
      <c r="T679" s="22"/>
      <c r="U679" s="22">
        <v>1</v>
      </c>
      <c r="V679" s="22"/>
      <c r="W679" s="64">
        <f t="shared" si="548"/>
        <v>0.72000000000000008</v>
      </c>
      <c r="Y679" s="8">
        <v>-2.94</v>
      </c>
      <c r="Z679" s="8">
        <v>-0.01</v>
      </c>
      <c r="AA679" s="8"/>
      <c r="AB679" s="8"/>
      <c r="AC679" s="8"/>
      <c r="AD679" s="8">
        <f t="shared" si="567"/>
        <v>-2.9499999999999997</v>
      </c>
      <c r="AE679" s="2" t="s">
        <v>91</v>
      </c>
      <c r="AG679" s="8"/>
      <c r="AH679" s="8"/>
      <c r="AJ679" s="70"/>
      <c r="AK679" s="70"/>
      <c r="AL679" s="72"/>
      <c r="AM679" s="22"/>
      <c r="AO679" s="22"/>
      <c r="AP679" s="85"/>
      <c r="AQ679" s="22"/>
      <c r="AR679" s="51" t="str">
        <f t="shared" si="549"/>
        <v>--</v>
      </c>
      <c r="AS679" s="3"/>
      <c r="AT679" s="94"/>
      <c r="AU679" s="94"/>
      <c r="AV679" s="94"/>
      <c r="AW679" s="94"/>
      <c r="AX679" s="94"/>
      <c r="AY679" s="94"/>
      <c r="AZ679" s="94"/>
      <c r="BA679" s="94"/>
      <c r="BB679" s="64">
        <f t="shared" si="550"/>
        <v>0</v>
      </c>
      <c r="BD679" s="60"/>
      <c r="BE679" s="60"/>
      <c r="BF679" s="95"/>
      <c r="BG679" s="95"/>
      <c r="BH679" s="95"/>
      <c r="BI679" s="8">
        <f t="shared" si="575"/>
        <v>0</v>
      </c>
      <c r="BL679" s="70"/>
      <c r="BM679" s="70"/>
      <c r="BO679" s="70"/>
      <c r="BP679" s="70"/>
      <c r="BQ679" s="72"/>
      <c r="BS679" s="61">
        <f t="shared" si="580"/>
        <v>-2.94</v>
      </c>
      <c r="BT679" s="61">
        <f t="shared" si="581"/>
        <v>-0.01</v>
      </c>
      <c r="BU679" s="61">
        <f t="shared" si="582"/>
        <v>0</v>
      </c>
      <c r="BV679" s="61">
        <f t="shared" si="582"/>
        <v>0</v>
      </c>
      <c r="BW679" s="61">
        <f t="shared" si="582"/>
        <v>0</v>
      </c>
      <c r="BX679" s="61">
        <f t="shared" si="579"/>
        <v>-2.9499999999999997</v>
      </c>
      <c r="BY679" s="61" t="s">
        <v>91</v>
      </c>
      <c r="CA679" s="61">
        <f t="shared" si="587"/>
        <v>-0.44230479915751464</v>
      </c>
      <c r="CB679" s="61">
        <f t="shared" si="587"/>
        <v>-0.44230479915751464</v>
      </c>
      <c r="CC679" s="61">
        <f t="shared" si="587"/>
        <v>-0.44230479915751464</v>
      </c>
      <c r="CD679" s="61">
        <f t="shared" si="587"/>
        <v>-0.44230479915751464</v>
      </c>
      <c r="CE679" s="61">
        <f t="shared" si="587"/>
        <v>0</v>
      </c>
      <c r="CF679" s="61">
        <f t="shared" si="576"/>
        <v>0</v>
      </c>
      <c r="CG679" s="61">
        <f t="shared" si="576"/>
        <v>-0.44230479915751464</v>
      </c>
      <c r="CH679" s="61">
        <f t="shared" si="576"/>
        <v>0</v>
      </c>
      <c r="CI679" s="61">
        <f t="shared" si="568"/>
        <v>-0.31845945539341053</v>
      </c>
      <c r="CJ679" s="61"/>
      <c r="CK679" s="61">
        <f t="shared" si="588"/>
        <v>-0.44380923724988713</v>
      </c>
      <c r="CL679" s="61">
        <f t="shared" si="588"/>
        <v>-0.44380923724988713</v>
      </c>
      <c r="CM679" s="61">
        <f t="shared" si="588"/>
        <v>-0.44380923724988713</v>
      </c>
      <c r="CN679" s="61">
        <f t="shared" si="588"/>
        <v>-0.44380923724988713</v>
      </c>
      <c r="CO679" s="61">
        <f t="shared" si="588"/>
        <v>0</v>
      </c>
      <c r="CP679" s="61">
        <f t="shared" si="577"/>
        <v>0</v>
      </c>
      <c r="CQ679" s="61">
        <f t="shared" si="577"/>
        <v>-0.44380923724988713</v>
      </c>
      <c r="CR679" s="61">
        <f t="shared" si="577"/>
        <v>0</v>
      </c>
      <c r="CS679" s="61">
        <f t="shared" si="569"/>
        <v>-0.31954265081991873</v>
      </c>
      <c r="CT679" s="61">
        <f t="shared" si="570"/>
        <v>-2.1239999999999997</v>
      </c>
      <c r="CV679" s="61">
        <f t="shared" si="554"/>
        <v>0</v>
      </c>
      <c r="CW679" s="61">
        <f t="shared" si="571"/>
        <v>0</v>
      </c>
      <c r="CX679" s="61"/>
      <c r="CY679" s="61">
        <f t="shared" si="555"/>
        <v>0</v>
      </c>
      <c r="CZ679" s="61">
        <f t="shared" si="555"/>
        <v>0</v>
      </c>
      <c r="DA679" s="61">
        <f t="shared" si="555"/>
        <v>0</v>
      </c>
      <c r="DB679" s="2" t="s">
        <v>102</v>
      </c>
      <c r="DC679" s="2" t="s">
        <v>102</v>
      </c>
      <c r="DD679" s="2" t="s">
        <v>142</v>
      </c>
      <c r="DE679" s="2" t="s">
        <v>1146</v>
      </c>
      <c r="DF679" s="3" t="s">
        <v>86</v>
      </c>
      <c r="DG679" s="62">
        <v>42962</v>
      </c>
      <c r="EC679" s="60" t="str">
        <f>VLOOKUP($M679,[1]Detail!$M:$BO,1,0)</f>
        <v>JX6G-6A957-CA</v>
      </c>
      <c r="ED679" s="60">
        <f>VLOOKUP($M679,[1]Detail!$M:$BO,22,0)</f>
        <v>-2.9499999999999997</v>
      </c>
      <c r="EE679" s="60">
        <f>VLOOKUP($M679,[1]Detail!$M:$BO,42,0)</f>
        <v>0</v>
      </c>
      <c r="EF679" s="60">
        <f>VLOOKUP($M679,[1]Detail!$M:$BO,45,0)</f>
        <v>0</v>
      </c>
      <c r="EH679" s="60">
        <f t="shared" si="591"/>
        <v>0</v>
      </c>
      <c r="EI679" s="60">
        <f>EE679-AG679</f>
        <v>0</v>
      </c>
      <c r="EJ679" s="60">
        <f>EF679-AJ679</f>
        <v>0</v>
      </c>
    </row>
    <row r="680" spans="2:140" ht="12.75" hidden="1" customHeight="1">
      <c r="B680" s="66" t="s">
        <v>1202</v>
      </c>
      <c r="C680" s="22" t="s">
        <v>1203</v>
      </c>
      <c r="D680" s="22" t="s">
        <v>1204</v>
      </c>
      <c r="E680" s="22" t="s">
        <v>1005</v>
      </c>
      <c r="F680" s="2" t="s">
        <v>969</v>
      </c>
      <c r="G680" s="2" t="s">
        <v>331</v>
      </c>
      <c r="J680" s="149" t="s">
        <v>427</v>
      </c>
      <c r="K680" s="23" t="s">
        <v>1205</v>
      </c>
      <c r="L680" s="149" t="s">
        <v>180</v>
      </c>
      <c r="M680" s="51" t="str">
        <f t="shared" si="547"/>
        <v>JD8G-6A949-AA</v>
      </c>
      <c r="O680" s="22"/>
      <c r="P680" s="22"/>
      <c r="Q680" s="22"/>
      <c r="R680" s="22"/>
      <c r="S680" s="22">
        <v>1</v>
      </c>
      <c r="T680" s="22">
        <v>1</v>
      </c>
      <c r="U680" s="22"/>
      <c r="V680" s="22">
        <v>1</v>
      </c>
      <c r="W680" s="64">
        <f t="shared" si="548"/>
        <v>0.28000000000000003</v>
      </c>
      <c r="Y680" s="60">
        <f>-34.11-24.86+31.03</f>
        <v>-27.939999999999998</v>
      </c>
      <c r="Z680" s="60">
        <v>-3.1</v>
      </c>
      <c r="AA680" s="95">
        <v>-0.45</v>
      </c>
      <c r="AB680" s="95">
        <v>0</v>
      </c>
      <c r="AC680" s="95">
        <v>0</v>
      </c>
      <c r="AD680" s="8">
        <f t="shared" ref="AD680:AD681" si="592">SUM(Y680:AC680)</f>
        <v>-31.49</v>
      </c>
      <c r="AE680" s="2" t="s">
        <v>91</v>
      </c>
      <c r="AG680" s="8">
        <v>-538464</v>
      </c>
      <c r="AH680" s="8">
        <v>-538464</v>
      </c>
      <c r="AJ680" s="70"/>
      <c r="AK680" s="70"/>
      <c r="AL680" s="72"/>
      <c r="AM680" s="22"/>
      <c r="AO680" s="22" t="s">
        <v>1200</v>
      </c>
      <c r="AP680" s="85" t="s">
        <v>1205</v>
      </c>
      <c r="AQ680" s="22" t="s">
        <v>1206</v>
      </c>
      <c r="AR680" s="51" t="str">
        <f t="shared" si="549"/>
        <v>JX6G-6A949-LA</v>
      </c>
      <c r="AS680" s="3"/>
      <c r="AT680" s="94"/>
      <c r="AU680" s="94"/>
      <c r="AV680" s="94"/>
      <c r="AW680" s="94"/>
      <c r="AX680" s="94">
        <v>1</v>
      </c>
      <c r="AY680" s="94">
        <v>1</v>
      </c>
      <c r="AZ680" s="94"/>
      <c r="BA680" s="94">
        <v>1</v>
      </c>
      <c r="BB680" s="64">
        <f t="shared" si="550"/>
        <v>0.28000000000000003</v>
      </c>
      <c r="BD680" s="60">
        <f>-34.11-24.86</f>
        <v>-58.97</v>
      </c>
      <c r="BE680" s="60">
        <v>-3.1</v>
      </c>
      <c r="BF680" s="95">
        <v>-0.45</v>
      </c>
      <c r="BG680" s="95">
        <v>0</v>
      </c>
      <c r="BH680" s="95">
        <v>0</v>
      </c>
      <c r="BI680" s="8">
        <f t="shared" si="575"/>
        <v>-62.52</v>
      </c>
      <c r="BL680" s="70">
        <v>-689600</v>
      </c>
      <c r="BM680" s="70">
        <v>-689600</v>
      </c>
      <c r="BO680" s="70"/>
      <c r="BP680" s="70"/>
      <c r="BQ680" s="72"/>
      <c r="BS680" s="61">
        <f t="shared" si="580"/>
        <v>31.03</v>
      </c>
      <c r="BT680" s="61">
        <f t="shared" si="581"/>
        <v>0</v>
      </c>
      <c r="BU680" s="61">
        <f t="shared" si="582"/>
        <v>0</v>
      </c>
      <c r="BV680" s="61">
        <f t="shared" si="582"/>
        <v>0</v>
      </c>
      <c r="BW680" s="61">
        <f t="shared" si="582"/>
        <v>0</v>
      </c>
      <c r="BX680" s="61">
        <f t="shared" si="579"/>
        <v>31.030000000000005</v>
      </c>
      <c r="BY680" s="61" t="s">
        <v>91</v>
      </c>
      <c r="CA680" s="61">
        <f t="shared" si="587"/>
        <v>0</v>
      </c>
      <c r="CB680" s="61">
        <f t="shared" si="587"/>
        <v>0</v>
      </c>
      <c r="CC680" s="61">
        <f t="shared" si="587"/>
        <v>0</v>
      </c>
      <c r="CD680" s="61">
        <f t="shared" si="587"/>
        <v>0</v>
      </c>
      <c r="CE680" s="61">
        <f t="shared" si="587"/>
        <v>4.6682714006318644</v>
      </c>
      <c r="CF680" s="61">
        <f t="shared" si="576"/>
        <v>4.6682714006318644</v>
      </c>
      <c r="CG680" s="61">
        <f t="shared" si="576"/>
        <v>0</v>
      </c>
      <c r="CH680" s="61">
        <f t="shared" si="576"/>
        <v>4.6682714006318644</v>
      </c>
      <c r="CI680" s="61">
        <f t="shared" si="568"/>
        <v>1.307115992176922</v>
      </c>
      <c r="CJ680" s="61"/>
      <c r="CK680" s="61">
        <f t="shared" si="588"/>
        <v>0</v>
      </c>
      <c r="CL680" s="61">
        <f t="shared" si="588"/>
        <v>0</v>
      </c>
      <c r="CM680" s="61">
        <f t="shared" si="588"/>
        <v>0</v>
      </c>
      <c r="CN680" s="61">
        <f t="shared" si="588"/>
        <v>0</v>
      </c>
      <c r="CO680" s="61">
        <f t="shared" si="588"/>
        <v>4.6682714006318644</v>
      </c>
      <c r="CP680" s="61">
        <f t="shared" si="577"/>
        <v>4.6682714006318644</v>
      </c>
      <c r="CQ680" s="61">
        <f t="shared" si="577"/>
        <v>0</v>
      </c>
      <c r="CR680" s="61">
        <f t="shared" si="577"/>
        <v>4.6682714006318644</v>
      </c>
      <c r="CS680" s="61">
        <f t="shared" si="569"/>
        <v>1.307115992176922</v>
      </c>
      <c r="CT680" s="61">
        <f t="shared" si="570"/>
        <v>8.6884000000000015</v>
      </c>
      <c r="CV680" s="61">
        <f t="shared" si="554"/>
        <v>151136</v>
      </c>
      <c r="CW680" s="61">
        <f t="shared" si="571"/>
        <v>151136</v>
      </c>
      <c r="CX680" s="61"/>
      <c r="CY680" s="61">
        <f t="shared" si="555"/>
        <v>0</v>
      </c>
      <c r="CZ680" s="61">
        <f t="shared" si="555"/>
        <v>0</v>
      </c>
      <c r="DA680" s="61">
        <f t="shared" si="555"/>
        <v>0</v>
      </c>
      <c r="DB680" s="2" t="s">
        <v>85</v>
      </c>
      <c r="DC680" s="2" t="s">
        <v>102</v>
      </c>
      <c r="DD680" s="2" t="s">
        <v>142</v>
      </c>
      <c r="DE680" s="2" t="s">
        <v>1146</v>
      </c>
      <c r="DF680" s="3" t="s">
        <v>86</v>
      </c>
      <c r="DG680" s="62">
        <v>43076</v>
      </c>
      <c r="EC680" s="60"/>
      <c r="ED680" s="60"/>
      <c r="EE680" s="60"/>
      <c r="EF680" s="60"/>
    </row>
    <row r="681" spans="2:140" ht="12.75" hidden="1" customHeight="1">
      <c r="B681" s="66" t="s">
        <v>1207</v>
      </c>
      <c r="C681" s="22" t="s">
        <v>1203</v>
      </c>
      <c r="D681" s="22" t="s">
        <v>1204</v>
      </c>
      <c r="E681" s="22" t="s">
        <v>1005</v>
      </c>
      <c r="F681" s="2" t="s">
        <v>969</v>
      </c>
      <c r="G681" s="2" t="s">
        <v>331</v>
      </c>
      <c r="J681" s="149" t="s">
        <v>427</v>
      </c>
      <c r="K681" s="23" t="s">
        <v>1205</v>
      </c>
      <c r="L681" s="149" t="s">
        <v>180</v>
      </c>
      <c r="M681" s="51" t="str">
        <f t="shared" si="547"/>
        <v>JD8G-6A949-AA</v>
      </c>
      <c r="O681" s="22"/>
      <c r="P681" s="22"/>
      <c r="Q681" s="22"/>
      <c r="R681" s="22"/>
      <c r="S681" s="22">
        <v>1</v>
      </c>
      <c r="T681" s="22">
        <v>1</v>
      </c>
      <c r="U681" s="22"/>
      <c r="V681" s="22">
        <v>1</v>
      </c>
      <c r="W681" s="64">
        <f t="shared" si="548"/>
        <v>0.28000000000000003</v>
      </c>
      <c r="Y681" s="60">
        <f>-34.11-24.86+31.03</f>
        <v>-27.939999999999998</v>
      </c>
      <c r="Z681" s="60">
        <v>-3.1</v>
      </c>
      <c r="AA681" s="95">
        <v>-0.45</v>
      </c>
      <c r="AB681" s="95">
        <v>0</v>
      </c>
      <c r="AC681" s="95">
        <v>0</v>
      </c>
      <c r="AD681" s="8">
        <f t="shared" si="592"/>
        <v>-31.49</v>
      </c>
      <c r="AE681" s="2" t="s">
        <v>91</v>
      </c>
      <c r="AG681" s="8">
        <v>-538464</v>
      </c>
      <c r="AH681" s="8">
        <v>-538464</v>
      </c>
      <c r="AJ681" s="70"/>
      <c r="AK681" s="70"/>
      <c r="AL681" s="72"/>
      <c r="AM681" s="22"/>
      <c r="AO681" s="149" t="s">
        <v>427</v>
      </c>
      <c r="AP681" s="23" t="s">
        <v>1205</v>
      </c>
      <c r="AQ681" s="149" t="s">
        <v>180</v>
      </c>
      <c r="AR681" s="51" t="str">
        <f t="shared" si="549"/>
        <v>JD8G-6A949-AA</v>
      </c>
      <c r="AS681" s="3"/>
      <c r="AT681" s="22"/>
      <c r="AU681" s="22"/>
      <c r="AV681" s="22"/>
      <c r="AW681" s="22"/>
      <c r="AX681" s="22">
        <v>1</v>
      </c>
      <c r="AY681" s="22">
        <v>1</v>
      </c>
      <c r="AZ681" s="22"/>
      <c r="BA681" s="22">
        <v>1</v>
      </c>
      <c r="BB681" s="64">
        <f t="shared" si="550"/>
        <v>0.28000000000000003</v>
      </c>
      <c r="BD681" s="60">
        <f>-34.11-24.86+31.03</f>
        <v>-27.939999999999998</v>
      </c>
      <c r="BE681" s="60">
        <v>-3.1</v>
      </c>
      <c r="BF681" s="95">
        <v>-0.45</v>
      </c>
      <c r="BG681" s="95">
        <v>0</v>
      </c>
      <c r="BH681" s="95">
        <v>0</v>
      </c>
      <c r="BI681" s="8">
        <f t="shared" ref="BI681" si="593">SUM(BD681:BH681)</f>
        <v>-31.49</v>
      </c>
      <c r="BJ681" s="2" t="s">
        <v>91</v>
      </c>
      <c r="BL681" s="8">
        <v>-538464</v>
      </c>
      <c r="BM681" s="8">
        <v>-538464</v>
      </c>
      <c r="BO681" s="70"/>
      <c r="BP681" s="70"/>
      <c r="BQ681" s="72"/>
      <c r="BS681" s="61">
        <f t="shared" si="580"/>
        <v>0</v>
      </c>
      <c r="BT681" s="61">
        <f t="shared" si="581"/>
        <v>0</v>
      </c>
      <c r="BU681" s="61">
        <f t="shared" si="582"/>
        <v>0</v>
      </c>
      <c r="BV681" s="61">
        <f t="shared" si="582"/>
        <v>0</v>
      </c>
      <c r="BW681" s="61">
        <f t="shared" si="582"/>
        <v>0</v>
      </c>
      <c r="BX681" s="61">
        <f t="shared" si="579"/>
        <v>0</v>
      </c>
      <c r="BY681" s="61" t="s">
        <v>91</v>
      </c>
      <c r="CA681" s="61">
        <f t="shared" si="587"/>
        <v>0</v>
      </c>
      <c r="CB681" s="61">
        <f t="shared" si="587"/>
        <v>0</v>
      </c>
      <c r="CC681" s="61">
        <f t="shared" si="587"/>
        <v>0</v>
      </c>
      <c r="CD681" s="61">
        <f t="shared" si="587"/>
        <v>0</v>
      </c>
      <c r="CE681" s="61">
        <f t="shared" si="587"/>
        <v>0</v>
      </c>
      <c r="CF681" s="61">
        <f t="shared" si="576"/>
        <v>0</v>
      </c>
      <c r="CG681" s="61">
        <f t="shared" si="576"/>
        <v>0</v>
      </c>
      <c r="CH681" s="61">
        <f t="shared" si="576"/>
        <v>0</v>
      </c>
      <c r="CI681" s="61">
        <f t="shared" si="568"/>
        <v>0</v>
      </c>
      <c r="CJ681" s="61"/>
      <c r="CK681" s="61">
        <f t="shared" si="588"/>
        <v>0</v>
      </c>
      <c r="CL681" s="61">
        <f t="shared" si="588"/>
        <v>0</v>
      </c>
      <c r="CM681" s="61">
        <f t="shared" si="588"/>
        <v>0</v>
      </c>
      <c r="CN681" s="61">
        <f t="shared" si="588"/>
        <v>0</v>
      </c>
      <c r="CO681" s="61">
        <f t="shared" si="588"/>
        <v>0</v>
      </c>
      <c r="CP681" s="61">
        <f t="shared" si="577"/>
        <v>0</v>
      </c>
      <c r="CQ681" s="61">
        <f t="shared" si="577"/>
        <v>0</v>
      </c>
      <c r="CR681" s="61">
        <f t="shared" si="577"/>
        <v>0</v>
      </c>
      <c r="CS681" s="61">
        <f t="shared" si="569"/>
        <v>0</v>
      </c>
      <c r="CT681" s="61">
        <f t="shared" si="570"/>
        <v>0</v>
      </c>
      <c r="CV681" s="61">
        <f t="shared" ref="CV681" si="594">SUM(AG681)-SUM(BL681)</f>
        <v>0</v>
      </c>
      <c r="CW681" s="61">
        <f t="shared" ref="CW681" si="595">SUM(AH681)-SUM(BM681)</f>
        <v>0</v>
      </c>
      <c r="CX681" s="61"/>
      <c r="CY681" s="61">
        <f t="shared" si="555"/>
        <v>0</v>
      </c>
      <c r="CZ681" s="61">
        <f t="shared" si="555"/>
        <v>0</v>
      </c>
      <c r="DA681" s="61">
        <f t="shared" si="555"/>
        <v>0</v>
      </c>
      <c r="DB681" s="2" t="s">
        <v>102</v>
      </c>
      <c r="DC681" s="2" t="s">
        <v>85</v>
      </c>
      <c r="DD681" s="2" t="s">
        <v>142</v>
      </c>
      <c r="DE681" s="2" t="s">
        <v>106</v>
      </c>
      <c r="DF681" s="2" t="s">
        <v>102</v>
      </c>
      <c r="DG681" s="62">
        <v>43129</v>
      </c>
      <c r="EC681" s="60" t="str">
        <f>VLOOKUP($M681,[1]Detail!$M:$BO,1,0)</f>
        <v>JD8G-6A949-AA</v>
      </c>
      <c r="ED681" s="60">
        <f>VLOOKUP($M681,[1]Detail!$M:$BO,22,0)</f>
        <v>-31.49</v>
      </c>
      <c r="EE681" s="60">
        <f>VLOOKUP($M681,[1]Detail!$M:$BO,42,0)</f>
        <v>-538464</v>
      </c>
      <c r="EF681" s="60">
        <f>VLOOKUP($M681,[1]Detail!$M:$BO,45,0)</f>
        <v>0</v>
      </c>
      <c r="EH681" s="60">
        <f>ED681-AD681</f>
        <v>0</v>
      </c>
      <c r="EI681" s="60">
        <f>EE681-AG681</f>
        <v>0</v>
      </c>
      <c r="EJ681" s="60">
        <f>EF681-AJ681</f>
        <v>0</v>
      </c>
    </row>
    <row r="682" spans="2:140" ht="12.75" hidden="1" customHeight="1">
      <c r="B682" s="115" t="s">
        <v>1208</v>
      </c>
      <c r="C682" s="2" t="s">
        <v>1209</v>
      </c>
      <c r="D682" s="22" t="s">
        <v>1210</v>
      </c>
      <c r="E682" s="2" t="s">
        <v>1005</v>
      </c>
      <c r="F682" s="2" t="s">
        <v>330</v>
      </c>
      <c r="G682" s="2" t="s">
        <v>331</v>
      </c>
      <c r="J682" s="149" t="s">
        <v>427</v>
      </c>
      <c r="K682" s="23" t="s">
        <v>1211</v>
      </c>
      <c r="L682" s="149" t="s">
        <v>182</v>
      </c>
      <c r="M682" s="51" t="str">
        <f t="shared" si="547"/>
        <v>JD8G-12A650-BA</v>
      </c>
      <c r="O682" s="150">
        <v>0</v>
      </c>
      <c r="P682" s="150">
        <v>1</v>
      </c>
      <c r="Q682" s="150">
        <v>0</v>
      </c>
      <c r="R682" s="150">
        <v>1</v>
      </c>
      <c r="S682" s="150">
        <v>0</v>
      </c>
      <c r="T682" s="150">
        <v>0</v>
      </c>
      <c r="U682" s="150">
        <v>1</v>
      </c>
      <c r="V682" s="150">
        <v>0</v>
      </c>
      <c r="W682" s="64">
        <f t="shared" si="548"/>
        <v>0.44</v>
      </c>
      <c r="Y682" s="8">
        <v>-400.16</v>
      </c>
      <c r="Z682" s="8">
        <v>-6.03</v>
      </c>
      <c r="AA682" s="8">
        <v>-9.3800000000000008</v>
      </c>
      <c r="AB682" s="8"/>
      <c r="AC682" s="8"/>
      <c r="AD682" s="8">
        <f t="shared" si="567"/>
        <v>-415.57</v>
      </c>
      <c r="AE682" s="2" t="s">
        <v>84</v>
      </c>
      <c r="AG682" s="8"/>
      <c r="AH682" s="8"/>
      <c r="AJ682" s="70"/>
      <c r="AK682" s="70"/>
      <c r="AL682" s="72"/>
      <c r="AM682" s="22"/>
      <c r="AO682" s="22" t="s">
        <v>427</v>
      </c>
      <c r="AP682" s="85" t="s">
        <v>1211</v>
      </c>
      <c r="AQ682" s="22" t="s">
        <v>182</v>
      </c>
      <c r="AR682" s="51" t="str">
        <f t="shared" si="549"/>
        <v>JD8G-12A650-BA</v>
      </c>
      <c r="AS682" s="3"/>
      <c r="AT682" s="94">
        <v>0</v>
      </c>
      <c r="AU682" s="94">
        <v>1</v>
      </c>
      <c r="AV682" s="94">
        <v>0</v>
      </c>
      <c r="AW682" s="94">
        <v>1</v>
      </c>
      <c r="AX682" s="94">
        <v>0</v>
      </c>
      <c r="AY682" s="94">
        <v>0</v>
      </c>
      <c r="AZ682" s="94">
        <v>1</v>
      </c>
      <c r="BA682" s="94">
        <v>0</v>
      </c>
      <c r="BB682" s="64">
        <f t="shared" si="550"/>
        <v>0.44</v>
      </c>
      <c r="BD682" s="60">
        <v>-400.16</v>
      </c>
      <c r="BE682" s="60">
        <v>-6.03</v>
      </c>
      <c r="BF682" s="60">
        <v>-9.3800000000000008</v>
      </c>
      <c r="BG682" s="95"/>
      <c r="BH682" s="95"/>
      <c r="BI682" s="8">
        <f t="shared" si="575"/>
        <v>-415.57</v>
      </c>
      <c r="BJ682" s="2" t="s">
        <v>84</v>
      </c>
      <c r="BL682" s="70"/>
      <c r="BM682" s="70"/>
      <c r="BO682" s="70"/>
      <c r="BP682" s="70"/>
      <c r="BQ682" s="72"/>
      <c r="BS682" s="61">
        <f t="shared" si="580"/>
        <v>0</v>
      </c>
      <c r="BT682" s="61">
        <f t="shared" si="581"/>
        <v>0</v>
      </c>
      <c r="BU682" s="61">
        <f t="shared" si="582"/>
        <v>0</v>
      </c>
      <c r="BV682" s="61">
        <f t="shared" si="582"/>
        <v>0</v>
      </c>
      <c r="BW682" s="61">
        <f t="shared" si="582"/>
        <v>0</v>
      </c>
      <c r="BX682" s="61">
        <f t="shared" si="579"/>
        <v>0</v>
      </c>
      <c r="BY682" s="61" t="s">
        <v>91</v>
      </c>
      <c r="CA682" s="61">
        <f t="shared" si="587"/>
        <v>0</v>
      </c>
      <c r="CB682" s="61">
        <f t="shared" si="587"/>
        <v>0</v>
      </c>
      <c r="CC682" s="61">
        <f t="shared" si="587"/>
        <v>0</v>
      </c>
      <c r="CD682" s="61">
        <f t="shared" si="587"/>
        <v>0</v>
      </c>
      <c r="CE682" s="61">
        <f t="shared" si="587"/>
        <v>0</v>
      </c>
      <c r="CF682" s="61">
        <f t="shared" si="576"/>
        <v>0</v>
      </c>
      <c r="CG682" s="61">
        <f t="shared" si="576"/>
        <v>0</v>
      </c>
      <c r="CH682" s="61">
        <f t="shared" si="576"/>
        <v>0</v>
      </c>
      <c r="CI682" s="61">
        <f t="shared" si="568"/>
        <v>0</v>
      </c>
      <c r="CJ682" s="61"/>
      <c r="CK682" s="61">
        <f t="shared" si="588"/>
        <v>0</v>
      </c>
      <c r="CL682" s="61">
        <f t="shared" si="588"/>
        <v>0</v>
      </c>
      <c r="CM682" s="61">
        <f t="shared" si="588"/>
        <v>0</v>
      </c>
      <c r="CN682" s="61">
        <f t="shared" si="588"/>
        <v>0</v>
      </c>
      <c r="CO682" s="61">
        <f t="shared" si="588"/>
        <v>0</v>
      </c>
      <c r="CP682" s="61">
        <f t="shared" si="577"/>
        <v>0</v>
      </c>
      <c r="CQ682" s="61">
        <f t="shared" si="577"/>
        <v>0</v>
      </c>
      <c r="CR682" s="61">
        <f t="shared" si="577"/>
        <v>0</v>
      </c>
      <c r="CS682" s="61">
        <f t="shared" si="569"/>
        <v>0</v>
      </c>
      <c r="CT682" s="61">
        <f t="shared" si="570"/>
        <v>0</v>
      </c>
      <c r="CV682" s="61">
        <f t="shared" si="554"/>
        <v>0</v>
      </c>
      <c r="CW682" s="61">
        <f t="shared" si="571"/>
        <v>0</v>
      </c>
      <c r="CX682" s="61"/>
      <c r="CY682" s="61">
        <f t="shared" si="555"/>
        <v>0</v>
      </c>
      <c r="CZ682" s="61">
        <f t="shared" si="555"/>
        <v>0</v>
      </c>
      <c r="DA682" s="61">
        <f t="shared" si="555"/>
        <v>0</v>
      </c>
      <c r="DB682" s="2" t="s">
        <v>134</v>
      </c>
      <c r="DC682" s="2" t="s">
        <v>102</v>
      </c>
      <c r="DD682" s="2" t="s">
        <v>142</v>
      </c>
      <c r="DE682" s="2" t="s">
        <v>1146</v>
      </c>
      <c r="DF682" s="2" t="s">
        <v>86</v>
      </c>
      <c r="DG682" s="62">
        <v>43076</v>
      </c>
      <c r="EC682" s="60"/>
      <c r="ED682" s="60"/>
      <c r="EE682" s="60"/>
      <c r="EF682" s="60"/>
    </row>
    <row r="683" spans="2:140" s="115" customFormat="1" ht="12.75" hidden="1" customHeight="1">
      <c r="B683" s="115" t="s">
        <v>1212</v>
      </c>
      <c r="C683" s="115" t="s">
        <v>1209</v>
      </c>
      <c r="D683" s="115" t="s">
        <v>1210</v>
      </c>
      <c r="E683" s="115" t="s">
        <v>1005</v>
      </c>
      <c r="F683" s="115" t="s">
        <v>330</v>
      </c>
      <c r="G683" s="115" t="s">
        <v>331</v>
      </c>
      <c r="J683" s="151" t="s">
        <v>427</v>
      </c>
      <c r="K683" s="122" t="s">
        <v>1211</v>
      </c>
      <c r="L683" s="151" t="s">
        <v>970</v>
      </c>
      <c r="M683" s="51" t="str">
        <f t="shared" si="547"/>
        <v>JD8G-12A650-BB</v>
      </c>
      <c r="N683" s="123"/>
      <c r="O683" s="152">
        <v>0</v>
      </c>
      <c r="P683" s="152">
        <v>1</v>
      </c>
      <c r="Q683" s="152">
        <v>0</v>
      </c>
      <c r="R683" s="152">
        <v>1</v>
      </c>
      <c r="S683" s="152">
        <v>0</v>
      </c>
      <c r="T683" s="152">
        <v>0</v>
      </c>
      <c r="U683" s="152">
        <v>1</v>
      </c>
      <c r="V683" s="152">
        <v>0</v>
      </c>
      <c r="W683" s="125">
        <f t="shared" si="548"/>
        <v>0.44</v>
      </c>
      <c r="Y683" s="126">
        <v>-400.16</v>
      </c>
      <c r="Z683" s="126">
        <v>-6.03</v>
      </c>
      <c r="AA683" s="126">
        <v>-9.3800000000000008</v>
      </c>
      <c r="AB683" s="126"/>
      <c r="AC683" s="126"/>
      <c r="AD683" s="126">
        <f>SUM(Y683:AC683)</f>
        <v>-415.57</v>
      </c>
      <c r="AE683" s="115" t="s">
        <v>91</v>
      </c>
      <c r="AG683" s="126"/>
      <c r="AH683" s="126"/>
      <c r="AJ683" s="70"/>
      <c r="AK683" s="70"/>
      <c r="AL683" s="72"/>
      <c r="AO683" s="149" t="s">
        <v>427</v>
      </c>
      <c r="AP683" s="23" t="s">
        <v>1211</v>
      </c>
      <c r="AQ683" s="149" t="s">
        <v>182</v>
      </c>
      <c r="AR683" s="51" t="str">
        <f>TRIM(AO683)&amp;"-"&amp;TRIM(AP683)&amp;"-"&amp;TRIM(AQ683)</f>
        <v>JD8G-12A650-BA</v>
      </c>
      <c r="AS683" s="24"/>
      <c r="AT683" s="94">
        <v>0</v>
      </c>
      <c r="AU683" s="94">
        <v>1</v>
      </c>
      <c r="AV683" s="94">
        <v>0</v>
      </c>
      <c r="AW683" s="94">
        <v>1</v>
      </c>
      <c r="AX683" s="94">
        <v>0</v>
      </c>
      <c r="AY683" s="94">
        <v>0</v>
      </c>
      <c r="AZ683" s="94">
        <v>1</v>
      </c>
      <c r="BA683" s="94">
        <v>0</v>
      </c>
      <c r="BB683" s="104">
        <f t="shared" si="550"/>
        <v>0.44</v>
      </c>
      <c r="BC683" s="22"/>
      <c r="BD683" s="113">
        <v>-400.16</v>
      </c>
      <c r="BE683" s="113">
        <v>-6.03</v>
      </c>
      <c r="BF683" s="113">
        <v>-9.3800000000000008</v>
      </c>
      <c r="BG683" s="114"/>
      <c r="BH683" s="114"/>
      <c r="BI683" s="105">
        <f>SUM(BD683:BH683)</f>
        <v>-415.57</v>
      </c>
      <c r="BJ683" s="22" t="s">
        <v>91</v>
      </c>
      <c r="BL683" s="70"/>
      <c r="BM683" s="70"/>
      <c r="BO683" s="70"/>
      <c r="BP683" s="70"/>
      <c r="BQ683" s="72"/>
      <c r="BS683" s="61">
        <f t="shared" si="580"/>
        <v>0</v>
      </c>
      <c r="BT683" s="61">
        <f t="shared" si="581"/>
        <v>0</v>
      </c>
      <c r="BU683" s="61">
        <f t="shared" si="582"/>
        <v>0</v>
      </c>
      <c r="BV683" s="61">
        <f t="shared" si="582"/>
        <v>0</v>
      </c>
      <c r="BW683" s="61">
        <f t="shared" si="582"/>
        <v>0</v>
      </c>
      <c r="BX683" s="61">
        <f t="shared" si="579"/>
        <v>0</v>
      </c>
      <c r="BY683" s="61" t="s">
        <v>91</v>
      </c>
      <c r="CA683" s="61">
        <f t="shared" si="587"/>
        <v>0</v>
      </c>
      <c r="CB683" s="61">
        <f t="shared" si="587"/>
        <v>0</v>
      </c>
      <c r="CC683" s="61">
        <f t="shared" si="587"/>
        <v>0</v>
      </c>
      <c r="CD683" s="61">
        <f t="shared" si="587"/>
        <v>0</v>
      </c>
      <c r="CE683" s="61">
        <f t="shared" si="587"/>
        <v>0</v>
      </c>
      <c r="CF683" s="61">
        <f t="shared" si="576"/>
        <v>0</v>
      </c>
      <c r="CG683" s="61">
        <f t="shared" si="576"/>
        <v>0</v>
      </c>
      <c r="CH683" s="61">
        <f t="shared" si="576"/>
        <v>0</v>
      </c>
      <c r="CI683" s="61">
        <f t="shared" si="568"/>
        <v>0</v>
      </c>
      <c r="CJ683" s="61"/>
      <c r="CK683" s="61">
        <f t="shared" si="588"/>
        <v>0</v>
      </c>
      <c r="CL683" s="61">
        <f t="shared" si="588"/>
        <v>0</v>
      </c>
      <c r="CM683" s="61">
        <f t="shared" si="588"/>
        <v>0</v>
      </c>
      <c r="CN683" s="61">
        <f t="shared" si="588"/>
        <v>0</v>
      </c>
      <c r="CO683" s="61">
        <f t="shared" si="588"/>
        <v>0</v>
      </c>
      <c r="CP683" s="61">
        <f t="shared" si="577"/>
        <v>0</v>
      </c>
      <c r="CQ683" s="61">
        <f t="shared" si="577"/>
        <v>0</v>
      </c>
      <c r="CR683" s="61">
        <f t="shared" si="577"/>
        <v>0</v>
      </c>
      <c r="CS683" s="61">
        <f t="shared" si="569"/>
        <v>0</v>
      </c>
      <c r="CT683" s="61">
        <f t="shared" si="570"/>
        <v>0</v>
      </c>
      <c r="CV683" s="61">
        <f>SUM(AG683)-SUM(BL683)</f>
        <v>0</v>
      </c>
      <c r="CW683" s="61">
        <f>SUM(AH683)-SUM(BM683)</f>
        <v>0</v>
      </c>
      <c r="CX683" s="61"/>
      <c r="CY683" s="61">
        <f t="shared" ref="CY683:DA684" si="596">SUM(AJ683)-SUM(BO683)</f>
        <v>0</v>
      </c>
      <c r="CZ683" s="61">
        <f t="shared" si="596"/>
        <v>0</v>
      </c>
      <c r="DA683" s="61">
        <f t="shared" si="596"/>
        <v>0</v>
      </c>
      <c r="DB683" s="115" t="s">
        <v>85</v>
      </c>
      <c r="DC683" s="115" t="s">
        <v>134</v>
      </c>
      <c r="DD683" s="115" t="s">
        <v>142</v>
      </c>
      <c r="DE683" s="115" t="s">
        <v>143</v>
      </c>
      <c r="DF683" s="2" t="s">
        <v>86</v>
      </c>
      <c r="DG683" s="62">
        <v>43103</v>
      </c>
      <c r="DZ683" s="123"/>
      <c r="EC683" s="60"/>
      <c r="ED683" s="60"/>
      <c r="EE683" s="60"/>
      <c r="EF683" s="60"/>
    </row>
    <row r="684" spans="2:140" s="115" customFormat="1" ht="12.75" hidden="1" customHeight="1">
      <c r="B684" s="115" t="s">
        <v>1213</v>
      </c>
      <c r="C684" s="115" t="s">
        <v>1209</v>
      </c>
      <c r="D684" s="115" t="s">
        <v>1210</v>
      </c>
      <c r="E684" s="115" t="s">
        <v>1005</v>
      </c>
      <c r="F684" s="115" t="s">
        <v>330</v>
      </c>
      <c r="G684" s="115" t="s">
        <v>331</v>
      </c>
      <c r="J684" s="151" t="s">
        <v>427</v>
      </c>
      <c r="K684" s="122" t="s">
        <v>1211</v>
      </c>
      <c r="L684" s="151" t="s">
        <v>599</v>
      </c>
      <c r="M684" s="51" t="str">
        <f t="shared" si="547"/>
        <v>JD8G-12A650-BC</v>
      </c>
      <c r="N684" s="123"/>
      <c r="O684" s="152">
        <v>0</v>
      </c>
      <c r="P684" s="152">
        <v>1</v>
      </c>
      <c r="Q684" s="152">
        <v>0</v>
      </c>
      <c r="R684" s="152">
        <v>1</v>
      </c>
      <c r="S684" s="152">
        <v>0</v>
      </c>
      <c r="T684" s="152">
        <v>0</v>
      </c>
      <c r="U684" s="152">
        <v>1</v>
      </c>
      <c r="V684" s="152">
        <v>0</v>
      </c>
      <c r="W684" s="125">
        <f t="shared" si="548"/>
        <v>0.44</v>
      </c>
      <c r="Y684" s="126">
        <v>-400.16</v>
      </c>
      <c r="Z684" s="126">
        <v>-6.03</v>
      </c>
      <c r="AA684" s="126">
        <v>-9.3800000000000008</v>
      </c>
      <c r="AB684" s="126"/>
      <c r="AC684" s="126"/>
      <c r="AD684" s="126">
        <f>SUM(Y684:AC684)</f>
        <v>-415.57</v>
      </c>
      <c r="AE684" s="115" t="s">
        <v>91</v>
      </c>
      <c r="AG684" s="126"/>
      <c r="AH684" s="126"/>
      <c r="AJ684" s="70"/>
      <c r="AK684" s="70"/>
      <c r="AL684" s="72"/>
      <c r="AO684" s="151" t="s">
        <v>427</v>
      </c>
      <c r="AP684" s="122" t="s">
        <v>1211</v>
      </c>
      <c r="AQ684" s="151" t="s">
        <v>970</v>
      </c>
      <c r="AR684" s="51" t="str">
        <f>TRIM(AO684)&amp;"-"&amp;TRIM(AP684)&amp;"-"&amp;TRIM(AQ684)</f>
        <v>JD8G-12A650-BB</v>
      </c>
      <c r="AS684" s="24"/>
      <c r="AT684" s="94">
        <v>0</v>
      </c>
      <c r="AU684" s="94">
        <v>1</v>
      </c>
      <c r="AV684" s="94">
        <v>0</v>
      </c>
      <c r="AW684" s="94">
        <v>1</v>
      </c>
      <c r="AX684" s="94">
        <v>0</v>
      </c>
      <c r="AY684" s="94">
        <v>0</v>
      </c>
      <c r="AZ684" s="94">
        <v>1</v>
      </c>
      <c r="BA684" s="94">
        <v>0</v>
      </c>
      <c r="BB684" s="104">
        <f t="shared" si="550"/>
        <v>0.44</v>
      </c>
      <c r="BC684" s="22"/>
      <c r="BD684" s="113">
        <v>-400.16</v>
      </c>
      <c r="BE684" s="113">
        <v>-6.03</v>
      </c>
      <c r="BF684" s="113">
        <v>-9.3800000000000008</v>
      </c>
      <c r="BG684" s="114"/>
      <c r="BH684" s="114"/>
      <c r="BI684" s="105">
        <f>SUM(BD684:BH684)</f>
        <v>-415.57</v>
      </c>
      <c r="BJ684" s="22" t="s">
        <v>91</v>
      </c>
      <c r="BL684" s="70"/>
      <c r="BM684" s="70"/>
      <c r="BO684" s="70"/>
      <c r="BP684" s="70"/>
      <c r="BQ684" s="72"/>
      <c r="BS684" s="61">
        <f t="shared" si="580"/>
        <v>0</v>
      </c>
      <c r="BT684" s="61">
        <f t="shared" si="581"/>
        <v>0</v>
      </c>
      <c r="BU684" s="61">
        <f t="shared" si="582"/>
        <v>0</v>
      </c>
      <c r="BV684" s="61">
        <f t="shared" si="582"/>
        <v>0</v>
      </c>
      <c r="BW684" s="61">
        <f t="shared" si="582"/>
        <v>0</v>
      </c>
      <c r="BX684" s="61">
        <f t="shared" si="579"/>
        <v>0</v>
      </c>
      <c r="BY684" s="61" t="s">
        <v>91</v>
      </c>
      <c r="CA684" s="61">
        <f t="shared" si="587"/>
        <v>0</v>
      </c>
      <c r="CB684" s="61">
        <f t="shared" si="587"/>
        <v>0</v>
      </c>
      <c r="CC684" s="61">
        <f t="shared" si="587"/>
        <v>0</v>
      </c>
      <c r="CD684" s="61">
        <f t="shared" si="587"/>
        <v>0</v>
      </c>
      <c r="CE684" s="61">
        <f t="shared" si="587"/>
        <v>0</v>
      </c>
      <c r="CF684" s="61">
        <f t="shared" si="576"/>
        <v>0</v>
      </c>
      <c r="CG684" s="61">
        <f t="shared" si="576"/>
        <v>0</v>
      </c>
      <c r="CH684" s="61">
        <f t="shared" si="576"/>
        <v>0</v>
      </c>
      <c r="CI684" s="61">
        <f t="shared" si="568"/>
        <v>0</v>
      </c>
      <c r="CJ684" s="61"/>
      <c r="CK684" s="61">
        <f t="shared" si="588"/>
        <v>0</v>
      </c>
      <c r="CL684" s="61">
        <f t="shared" si="588"/>
        <v>0</v>
      </c>
      <c r="CM684" s="61">
        <f t="shared" si="588"/>
        <v>0</v>
      </c>
      <c r="CN684" s="61">
        <f t="shared" si="588"/>
        <v>0</v>
      </c>
      <c r="CO684" s="61">
        <f t="shared" si="588"/>
        <v>0</v>
      </c>
      <c r="CP684" s="61">
        <f t="shared" si="577"/>
        <v>0</v>
      </c>
      <c r="CQ684" s="61">
        <f t="shared" si="577"/>
        <v>0</v>
      </c>
      <c r="CR684" s="61">
        <f t="shared" si="577"/>
        <v>0</v>
      </c>
      <c r="CS684" s="61">
        <f t="shared" si="569"/>
        <v>0</v>
      </c>
      <c r="CT684" s="61">
        <f t="shared" si="570"/>
        <v>0</v>
      </c>
      <c r="CV684" s="61">
        <f>SUM(AG684)-SUM(BL684)</f>
        <v>0</v>
      </c>
      <c r="CW684" s="61">
        <f>SUM(AH684)-SUM(BM684)</f>
        <v>0</v>
      </c>
      <c r="CX684" s="61"/>
      <c r="CY684" s="61">
        <f t="shared" si="596"/>
        <v>0</v>
      </c>
      <c r="CZ684" s="61">
        <f t="shared" si="596"/>
        <v>0</v>
      </c>
      <c r="DA684" s="61">
        <f t="shared" si="596"/>
        <v>0</v>
      </c>
      <c r="DB684" s="115" t="s">
        <v>102</v>
      </c>
      <c r="DC684" s="115" t="s">
        <v>134</v>
      </c>
      <c r="DD684" s="115" t="s">
        <v>142</v>
      </c>
      <c r="DE684" s="115" t="s">
        <v>143</v>
      </c>
      <c r="DF684" s="115" t="s">
        <v>86</v>
      </c>
      <c r="DG684" s="62">
        <v>43174</v>
      </c>
      <c r="DZ684" s="123"/>
      <c r="EC684" s="60" t="str">
        <f>VLOOKUP($M684,[1]Detail!$M:$BO,1,0)</f>
        <v>JD8G-12A650-BC</v>
      </c>
      <c r="ED684" s="60">
        <f>VLOOKUP($M684,[1]Detail!$M:$BO,22,0)</f>
        <v>-415.57</v>
      </c>
      <c r="EE684" s="60">
        <f>VLOOKUP($M684,[1]Detail!$M:$BO,42,0)</f>
        <v>0</v>
      </c>
      <c r="EF684" s="60">
        <f>VLOOKUP($M684,[1]Detail!$M:$BO,45,0)</f>
        <v>0</v>
      </c>
      <c r="EH684" s="60">
        <f>ED684-AD684</f>
        <v>0</v>
      </c>
      <c r="EI684" s="60">
        <f>EE684-AG684</f>
        <v>0</v>
      </c>
      <c r="EJ684" s="60">
        <f>EF684-AJ684</f>
        <v>0</v>
      </c>
    </row>
    <row r="685" spans="2:140" ht="12.75" hidden="1" customHeight="1">
      <c r="B685" s="99" t="s">
        <v>1208</v>
      </c>
      <c r="C685" s="2" t="s">
        <v>1209</v>
      </c>
      <c r="D685" s="22" t="s">
        <v>1210</v>
      </c>
      <c r="E685" s="2" t="s">
        <v>1005</v>
      </c>
      <c r="F685" s="2" t="s">
        <v>330</v>
      </c>
      <c r="G685" s="2" t="s">
        <v>331</v>
      </c>
      <c r="J685" s="149" t="s">
        <v>427</v>
      </c>
      <c r="K685" s="23" t="s">
        <v>1211</v>
      </c>
      <c r="L685" s="149" t="s">
        <v>253</v>
      </c>
      <c r="M685" s="51" t="str">
        <f t="shared" si="547"/>
        <v>JD8G-12A650-CA</v>
      </c>
      <c r="O685" s="150">
        <v>1</v>
      </c>
      <c r="P685" s="150">
        <v>0</v>
      </c>
      <c r="Q685" s="150">
        <v>1</v>
      </c>
      <c r="R685" s="150">
        <v>0</v>
      </c>
      <c r="S685" s="150">
        <v>0</v>
      </c>
      <c r="T685" s="150">
        <v>0</v>
      </c>
      <c r="U685" s="150">
        <v>0</v>
      </c>
      <c r="V685" s="150">
        <v>0</v>
      </c>
      <c r="W685" s="64">
        <f t="shared" si="548"/>
        <v>0.28000000000000003</v>
      </c>
      <c r="Y685" s="8">
        <v>-356.35</v>
      </c>
      <c r="Z685" s="8">
        <v>-6.03</v>
      </c>
      <c r="AA685" s="8">
        <v>-9.3800000000000008</v>
      </c>
      <c r="AB685" s="8"/>
      <c r="AC685" s="8"/>
      <c r="AD685" s="8">
        <f t="shared" si="567"/>
        <v>-371.76</v>
      </c>
      <c r="AE685" s="2" t="s">
        <v>84</v>
      </c>
      <c r="AG685" s="8"/>
      <c r="AH685" s="8"/>
      <c r="AJ685" s="70"/>
      <c r="AK685" s="70"/>
      <c r="AL685" s="72"/>
      <c r="AM685" s="22"/>
      <c r="AO685" s="22" t="s">
        <v>427</v>
      </c>
      <c r="AP685" s="85" t="s">
        <v>1211</v>
      </c>
      <c r="AQ685" s="22" t="s">
        <v>253</v>
      </c>
      <c r="AR685" s="51" t="str">
        <f t="shared" si="549"/>
        <v>JD8G-12A650-CA</v>
      </c>
      <c r="AS685" s="3"/>
      <c r="AT685" s="94">
        <v>1</v>
      </c>
      <c r="AU685" s="94">
        <v>0</v>
      </c>
      <c r="AV685" s="94">
        <v>1</v>
      </c>
      <c r="AW685" s="94">
        <v>0</v>
      </c>
      <c r="AX685" s="94">
        <v>0</v>
      </c>
      <c r="AY685" s="94">
        <v>0</v>
      </c>
      <c r="AZ685" s="94">
        <v>0</v>
      </c>
      <c r="BA685" s="94">
        <v>0</v>
      </c>
      <c r="BB685" s="64">
        <f t="shared" si="550"/>
        <v>0.28000000000000003</v>
      </c>
      <c r="BD685" s="60">
        <v>-356.35</v>
      </c>
      <c r="BE685" s="60">
        <v>-6.03</v>
      </c>
      <c r="BF685" s="60">
        <v>-9.3800000000000008</v>
      </c>
      <c r="BG685" s="95"/>
      <c r="BH685" s="95"/>
      <c r="BI685" s="8">
        <f t="shared" si="575"/>
        <v>-371.76</v>
      </c>
      <c r="BJ685" s="2" t="s">
        <v>84</v>
      </c>
      <c r="BL685" s="70"/>
      <c r="BM685" s="70"/>
      <c r="BO685" s="70"/>
      <c r="BP685" s="70"/>
      <c r="BQ685" s="72"/>
      <c r="BS685" s="61">
        <f t="shared" si="580"/>
        <v>0</v>
      </c>
      <c r="BT685" s="61">
        <f t="shared" si="581"/>
        <v>0</v>
      </c>
      <c r="BU685" s="61">
        <f t="shared" si="582"/>
        <v>0</v>
      </c>
      <c r="BV685" s="61">
        <f t="shared" si="582"/>
        <v>0</v>
      </c>
      <c r="BW685" s="61">
        <f t="shared" si="582"/>
        <v>0</v>
      </c>
      <c r="BX685" s="61">
        <f t="shared" si="579"/>
        <v>0</v>
      </c>
      <c r="BY685" s="61" t="s">
        <v>91</v>
      </c>
      <c r="CA685" s="61">
        <f t="shared" si="587"/>
        <v>0</v>
      </c>
      <c r="CB685" s="61">
        <f t="shared" si="587"/>
        <v>0</v>
      </c>
      <c r="CC685" s="61">
        <f t="shared" si="587"/>
        <v>0</v>
      </c>
      <c r="CD685" s="61">
        <f t="shared" si="587"/>
        <v>0</v>
      </c>
      <c r="CE685" s="61">
        <f t="shared" si="587"/>
        <v>0</v>
      </c>
      <c r="CF685" s="61">
        <f t="shared" si="576"/>
        <v>0</v>
      </c>
      <c r="CG685" s="61">
        <f t="shared" si="576"/>
        <v>0</v>
      </c>
      <c r="CH685" s="61">
        <f t="shared" si="576"/>
        <v>0</v>
      </c>
      <c r="CI685" s="61">
        <f t="shared" si="568"/>
        <v>0</v>
      </c>
      <c r="CJ685" s="61"/>
      <c r="CK685" s="61">
        <f t="shared" si="588"/>
        <v>0</v>
      </c>
      <c r="CL685" s="61">
        <f t="shared" si="588"/>
        <v>0</v>
      </c>
      <c r="CM685" s="61">
        <f t="shared" si="588"/>
        <v>0</v>
      </c>
      <c r="CN685" s="61">
        <f t="shared" si="588"/>
        <v>0</v>
      </c>
      <c r="CO685" s="61">
        <f t="shared" si="588"/>
        <v>0</v>
      </c>
      <c r="CP685" s="61">
        <f t="shared" si="577"/>
        <v>0</v>
      </c>
      <c r="CQ685" s="61">
        <f t="shared" si="577"/>
        <v>0</v>
      </c>
      <c r="CR685" s="61">
        <f t="shared" si="577"/>
        <v>0</v>
      </c>
      <c r="CS685" s="61">
        <f t="shared" si="569"/>
        <v>0</v>
      </c>
      <c r="CT685" s="61">
        <f t="shared" si="570"/>
        <v>0</v>
      </c>
      <c r="CV685" s="61">
        <f t="shared" si="554"/>
        <v>0</v>
      </c>
      <c r="CW685" s="61">
        <f t="shared" si="571"/>
        <v>0</v>
      </c>
      <c r="CX685" s="61"/>
      <c r="CY685" s="61">
        <f t="shared" si="555"/>
        <v>0</v>
      </c>
      <c r="CZ685" s="61">
        <f t="shared" si="555"/>
        <v>0</v>
      </c>
      <c r="DA685" s="61">
        <f t="shared" si="555"/>
        <v>0</v>
      </c>
      <c r="DB685" s="2" t="s">
        <v>85</v>
      </c>
      <c r="DC685" s="2" t="s">
        <v>102</v>
      </c>
      <c r="DD685" s="2" t="s">
        <v>142</v>
      </c>
      <c r="DE685" s="2" t="s">
        <v>1146</v>
      </c>
      <c r="DF685" s="2" t="s">
        <v>86</v>
      </c>
      <c r="DG685" s="62">
        <v>43076</v>
      </c>
      <c r="EC685" s="60"/>
      <c r="ED685" s="60"/>
      <c r="EE685" s="60"/>
      <c r="EF685" s="60"/>
    </row>
    <row r="686" spans="2:140" ht="12.75" hidden="1" customHeight="1">
      <c r="B686" s="99" t="s">
        <v>1208</v>
      </c>
      <c r="C686" s="2" t="s">
        <v>1209</v>
      </c>
      <c r="D686" s="22" t="s">
        <v>1210</v>
      </c>
      <c r="E686" s="2" t="s">
        <v>1005</v>
      </c>
      <c r="F686" s="2" t="s">
        <v>330</v>
      </c>
      <c r="G686" s="2" t="s">
        <v>331</v>
      </c>
      <c r="J686" s="149" t="s">
        <v>427</v>
      </c>
      <c r="K686" s="23" t="s">
        <v>1211</v>
      </c>
      <c r="L686" s="149" t="s">
        <v>880</v>
      </c>
      <c r="M686" s="51" t="str">
        <f t="shared" si="547"/>
        <v>JD8G-12A650-DA</v>
      </c>
      <c r="O686" s="150">
        <v>0</v>
      </c>
      <c r="P686" s="150">
        <v>1</v>
      </c>
      <c r="Q686" s="150">
        <v>0</v>
      </c>
      <c r="R686" s="150">
        <v>1</v>
      </c>
      <c r="S686" s="150">
        <v>0</v>
      </c>
      <c r="T686" s="150">
        <v>0</v>
      </c>
      <c r="U686" s="150">
        <v>1</v>
      </c>
      <c r="V686" s="150">
        <v>0</v>
      </c>
      <c r="W686" s="64">
        <f t="shared" si="548"/>
        <v>0.44</v>
      </c>
      <c r="Y686" s="8">
        <v>-413.35</v>
      </c>
      <c r="Z686" s="8">
        <v>-6.03</v>
      </c>
      <c r="AA686" s="8">
        <v>-9.3800000000000008</v>
      </c>
      <c r="AB686" s="8"/>
      <c r="AC686" s="8"/>
      <c r="AD686" s="8">
        <f t="shared" si="567"/>
        <v>-428.76</v>
      </c>
      <c r="AE686" s="2" t="s">
        <v>84</v>
      </c>
      <c r="AG686" s="8"/>
      <c r="AH686" s="8"/>
      <c r="AJ686" s="70"/>
      <c r="AK686" s="70"/>
      <c r="AL686" s="72"/>
      <c r="AM686" s="22"/>
      <c r="AO686" s="22" t="s">
        <v>427</v>
      </c>
      <c r="AP686" s="85" t="s">
        <v>1211</v>
      </c>
      <c r="AQ686" s="22" t="s">
        <v>880</v>
      </c>
      <c r="AR686" s="51" t="str">
        <f t="shared" si="549"/>
        <v>JD8G-12A650-DA</v>
      </c>
      <c r="AS686" s="3"/>
      <c r="AT686" s="94">
        <v>0</v>
      </c>
      <c r="AU686" s="94">
        <v>1</v>
      </c>
      <c r="AV686" s="94">
        <v>0</v>
      </c>
      <c r="AW686" s="94">
        <v>1</v>
      </c>
      <c r="AX686" s="94">
        <v>0</v>
      </c>
      <c r="AY686" s="94">
        <v>0</v>
      </c>
      <c r="AZ686" s="94">
        <v>1</v>
      </c>
      <c r="BA686" s="94">
        <v>0</v>
      </c>
      <c r="BB686" s="64">
        <f t="shared" si="550"/>
        <v>0.44</v>
      </c>
      <c r="BD686" s="60">
        <v>-413.35</v>
      </c>
      <c r="BE686" s="60">
        <v>-6.03</v>
      </c>
      <c r="BF686" s="60">
        <v>-9.3800000000000008</v>
      </c>
      <c r="BG686" s="95"/>
      <c r="BH686" s="95"/>
      <c r="BI686" s="8">
        <f t="shared" si="575"/>
        <v>-428.76</v>
      </c>
      <c r="BJ686" s="2" t="s">
        <v>84</v>
      </c>
      <c r="BL686" s="70"/>
      <c r="BM686" s="70"/>
      <c r="BO686" s="70"/>
      <c r="BP686" s="70"/>
      <c r="BQ686" s="72"/>
      <c r="BS686" s="61">
        <f t="shared" si="580"/>
        <v>0</v>
      </c>
      <c r="BT686" s="61">
        <f t="shared" si="581"/>
        <v>0</v>
      </c>
      <c r="BU686" s="61">
        <f t="shared" si="582"/>
        <v>0</v>
      </c>
      <c r="BV686" s="61">
        <f t="shared" si="582"/>
        <v>0</v>
      </c>
      <c r="BW686" s="61">
        <f t="shared" si="582"/>
        <v>0</v>
      </c>
      <c r="BX686" s="61">
        <f t="shared" si="579"/>
        <v>0</v>
      </c>
      <c r="BY686" s="61" t="s">
        <v>91</v>
      </c>
      <c r="CA686" s="61">
        <f t="shared" si="587"/>
        <v>0</v>
      </c>
      <c r="CB686" s="61">
        <f t="shared" si="587"/>
        <v>0</v>
      </c>
      <c r="CC686" s="61">
        <f t="shared" si="587"/>
        <v>0</v>
      </c>
      <c r="CD686" s="61">
        <f t="shared" si="587"/>
        <v>0</v>
      </c>
      <c r="CE686" s="61">
        <f t="shared" si="587"/>
        <v>0</v>
      </c>
      <c r="CF686" s="61">
        <f t="shared" si="576"/>
        <v>0</v>
      </c>
      <c r="CG686" s="61">
        <f t="shared" si="576"/>
        <v>0</v>
      </c>
      <c r="CH686" s="61">
        <f t="shared" si="576"/>
        <v>0</v>
      </c>
      <c r="CI686" s="61">
        <f t="shared" si="568"/>
        <v>0</v>
      </c>
      <c r="CJ686" s="61"/>
      <c r="CK686" s="61">
        <f t="shared" si="588"/>
        <v>0</v>
      </c>
      <c r="CL686" s="61">
        <f t="shared" si="588"/>
        <v>0</v>
      </c>
      <c r="CM686" s="61">
        <f t="shared" si="588"/>
        <v>0</v>
      </c>
      <c r="CN686" s="61">
        <f t="shared" si="588"/>
        <v>0</v>
      </c>
      <c r="CO686" s="61">
        <f t="shared" si="588"/>
        <v>0</v>
      </c>
      <c r="CP686" s="61">
        <f t="shared" si="577"/>
        <v>0</v>
      </c>
      <c r="CQ686" s="61">
        <f t="shared" si="577"/>
        <v>0</v>
      </c>
      <c r="CR686" s="61">
        <f t="shared" si="577"/>
        <v>0</v>
      </c>
      <c r="CS686" s="61">
        <f t="shared" si="569"/>
        <v>0</v>
      </c>
      <c r="CT686" s="61">
        <f t="shared" si="570"/>
        <v>0</v>
      </c>
      <c r="CV686" s="61">
        <f t="shared" si="554"/>
        <v>0</v>
      </c>
      <c r="CW686" s="61">
        <f t="shared" si="571"/>
        <v>0</v>
      </c>
      <c r="CX686" s="61"/>
      <c r="CY686" s="61">
        <f t="shared" ref="CY686:DA727" si="597">SUM(AJ686)-SUM(BO686)</f>
        <v>0</v>
      </c>
      <c r="CZ686" s="61">
        <f t="shared" si="597"/>
        <v>0</v>
      </c>
      <c r="DA686" s="61">
        <f t="shared" si="597"/>
        <v>0</v>
      </c>
      <c r="DB686" s="2" t="s">
        <v>85</v>
      </c>
      <c r="DC686" s="2" t="s">
        <v>102</v>
      </c>
      <c r="DD686" s="2" t="s">
        <v>142</v>
      </c>
      <c r="DE686" s="2" t="s">
        <v>1146</v>
      </c>
      <c r="DF686" s="2" t="s">
        <v>86</v>
      </c>
      <c r="DG686" s="62">
        <v>42962</v>
      </c>
      <c r="EC686" s="60"/>
      <c r="ED686" s="60"/>
      <c r="EE686" s="60"/>
      <c r="EF686" s="60"/>
    </row>
    <row r="687" spans="2:140" ht="12.75" hidden="1" customHeight="1">
      <c r="B687" s="99" t="s">
        <v>1214</v>
      </c>
      <c r="C687" s="2" t="s">
        <v>1209</v>
      </c>
      <c r="D687" s="22" t="s">
        <v>1210</v>
      </c>
      <c r="E687" s="2" t="s">
        <v>1005</v>
      </c>
      <c r="F687" s="2" t="s">
        <v>330</v>
      </c>
      <c r="G687" s="2" t="s">
        <v>331</v>
      </c>
      <c r="J687" s="149" t="s">
        <v>427</v>
      </c>
      <c r="K687" s="23" t="s">
        <v>1211</v>
      </c>
      <c r="L687" s="149" t="s">
        <v>122</v>
      </c>
      <c r="M687" s="51" t="str">
        <f t="shared" si="547"/>
        <v>JD8G-12A650-CB</v>
      </c>
      <c r="O687" s="150">
        <v>1</v>
      </c>
      <c r="P687" s="150">
        <v>0</v>
      </c>
      <c r="Q687" s="150">
        <v>1</v>
      </c>
      <c r="R687" s="150">
        <v>0</v>
      </c>
      <c r="S687" s="150">
        <v>0</v>
      </c>
      <c r="T687" s="150">
        <v>0</v>
      </c>
      <c r="U687" s="150">
        <v>0</v>
      </c>
      <c r="V687" s="150">
        <v>0</v>
      </c>
      <c r="W687" s="64">
        <f t="shared" si="548"/>
        <v>0.28000000000000003</v>
      </c>
      <c r="Y687" s="8">
        <v>-356.35</v>
      </c>
      <c r="Z687" s="8">
        <v>-6.03</v>
      </c>
      <c r="AA687" s="8">
        <v>-9.3800000000000008</v>
      </c>
      <c r="AB687" s="8"/>
      <c r="AC687" s="8"/>
      <c r="AD687" s="8">
        <f t="shared" ref="AD687:AD688" si="598">SUM(Y687:AC687)</f>
        <v>-371.76</v>
      </c>
      <c r="AE687" s="2" t="s">
        <v>84</v>
      </c>
      <c r="AG687" s="8"/>
      <c r="AH687" s="8"/>
      <c r="AJ687" s="70"/>
      <c r="AK687" s="70"/>
      <c r="AL687" s="72"/>
      <c r="AM687" s="22"/>
      <c r="AO687" s="149" t="s">
        <v>427</v>
      </c>
      <c r="AP687" s="23" t="s">
        <v>1211</v>
      </c>
      <c r="AQ687" s="149" t="s">
        <v>253</v>
      </c>
      <c r="AR687" s="51" t="str">
        <f t="shared" si="549"/>
        <v>JD8G-12A650-CA</v>
      </c>
      <c r="AS687" s="3"/>
      <c r="AT687" s="94">
        <v>1</v>
      </c>
      <c r="AU687" s="94">
        <v>0</v>
      </c>
      <c r="AV687" s="94">
        <v>1</v>
      </c>
      <c r="AW687" s="94">
        <v>0</v>
      </c>
      <c r="AX687" s="94">
        <v>0</v>
      </c>
      <c r="AY687" s="94">
        <v>0</v>
      </c>
      <c r="AZ687" s="94">
        <v>0</v>
      </c>
      <c r="BA687" s="94">
        <v>0</v>
      </c>
      <c r="BB687" s="64">
        <f t="shared" si="550"/>
        <v>0.28000000000000003</v>
      </c>
      <c r="BD687" s="8">
        <v>-356.35</v>
      </c>
      <c r="BE687" s="8">
        <v>-6.03</v>
      </c>
      <c r="BF687" s="8">
        <v>-9.3800000000000008</v>
      </c>
      <c r="BG687" s="8"/>
      <c r="BH687" s="8"/>
      <c r="BI687" s="8">
        <f t="shared" ref="BI687:BI688" si="599">SUM(BD687:BH687)</f>
        <v>-371.76</v>
      </c>
      <c r="BJ687" s="2" t="s">
        <v>84</v>
      </c>
      <c r="BL687" s="70"/>
      <c r="BM687" s="70"/>
      <c r="BO687" s="70"/>
      <c r="BP687" s="70"/>
      <c r="BQ687" s="72"/>
      <c r="BS687" s="61">
        <f t="shared" si="580"/>
        <v>0</v>
      </c>
      <c r="BT687" s="61">
        <f t="shared" si="581"/>
        <v>0</v>
      </c>
      <c r="BU687" s="61">
        <f t="shared" si="582"/>
        <v>0</v>
      </c>
      <c r="BV687" s="61">
        <f t="shared" si="582"/>
        <v>0</v>
      </c>
      <c r="BW687" s="61">
        <f t="shared" si="582"/>
        <v>0</v>
      </c>
      <c r="BX687" s="61">
        <f t="shared" si="579"/>
        <v>0</v>
      </c>
      <c r="BY687" s="61" t="s">
        <v>91</v>
      </c>
      <c r="CA687" s="61">
        <f t="shared" si="587"/>
        <v>0</v>
      </c>
      <c r="CB687" s="61">
        <f t="shared" si="587"/>
        <v>0</v>
      </c>
      <c r="CC687" s="61">
        <f t="shared" si="587"/>
        <v>0</v>
      </c>
      <c r="CD687" s="61">
        <f t="shared" si="587"/>
        <v>0</v>
      </c>
      <c r="CE687" s="61">
        <f t="shared" si="587"/>
        <v>0</v>
      </c>
      <c r="CF687" s="61">
        <f t="shared" si="576"/>
        <v>0</v>
      </c>
      <c r="CG687" s="61">
        <f t="shared" si="576"/>
        <v>0</v>
      </c>
      <c r="CH687" s="61">
        <f t="shared" si="576"/>
        <v>0</v>
      </c>
      <c r="CI687" s="61">
        <f t="shared" si="568"/>
        <v>0</v>
      </c>
      <c r="CJ687" s="61"/>
      <c r="CK687" s="61">
        <f t="shared" si="588"/>
        <v>0</v>
      </c>
      <c r="CL687" s="61">
        <f t="shared" si="588"/>
        <v>0</v>
      </c>
      <c r="CM687" s="61">
        <f t="shared" si="588"/>
        <v>0</v>
      </c>
      <c r="CN687" s="61">
        <f t="shared" si="588"/>
        <v>0</v>
      </c>
      <c r="CO687" s="61">
        <f t="shared" si="588"/>
        <v>0</v>
      </c>
      <c r="CP687" s="61">
        <f t="shared" si="577"/>
        <v>0</v>
      </c>
      <c r="CQ687" s="61">
        <f t="shared" si="577"/>
        <v>0</v>
      </c>
      <c r="CR687" s="61">
        <f t="shared" si="577"/>
        <v>0</v>
      </c>
      <c r="CS687" s="61">
        <f t="shared" si="569"/>
        <v>0</v>
      </c>
      <c r="CT687" s="61">
        <f t="shared" si="570"/>
        <v>0</v>
      </c>
      <c r="CV687" s="61">
        <f t="shared" si="554"/>
        <v>0</v>
      </c>
      <c r="CW687" s="61">
        <f t="shared" si="571"/>
        <v>0</v>
      </c>
      <c r="CX687" s="61"/>
      <c r="CY687" s="61">
        <f t="shared" si="597"/>
        <v>0</v>
      </c>
      <c r="CZ687" s="61">
        <f t="shared" si="597"/>
        <v>0</v>
      </c>
      <c r="DA687" s="61">
        <f t="shared" si="597"/>
        <v>0</v>
      </c>
      <c r="DB687" s="2" t="s">
        <v>102</v>
      </c>
      <c r="DC687" s="2" t="s">
        <v>85</v>
      </c>
      <c r="DD687" s="2" t="s">
        <v>142</v>
      </c>
      <c r="DE687" s="2" t="s">
        <v>106</v>
      </c>
      <c r="DF687" s="2" t="s">
        <v>86</v>
      </c>
      <c r="DG687" s="62">
        <v>43103</v>
      </c>
      <c r="EC687" s="60" t="str">
        <f>VLOOKUP($M687,[1]Detail!$M:$BO,1,0)</f>
        <v>JD8G-12A650-CB</v>
      </c>
      <c r="ED687" s="60">
        <f>VLOOKUP($M687,[1]Detail!$M:$BO,22,0)</f>
        <v>-371.76</v>
      </c>
      <c r="EE687" s="60">
        <f>VLOOKUP($M687,[1]Detail!$M:$BO,42,0)</f>
        <v>0</v>
      </c>
      <c r="EF687" s="60">
        <f>VLOOKUP($M687,[1]Detail!$M:$BO,45,0)</f>
        <v>0</v>
      </c>
      <c r="EH687" s="60">
        <f t="shared" ref="EH687:EH688" si="600">ED687-AD687</f>
        <v>0</v>
      </c>
      <c r="EI687" s="60">
        <f t="shared" ref="EI687:EI688" si="601">EE687-AG687</f>
        <v>0</v>
      </c>
      <c r="EJ687" s="60">
        <f t="shared" ref="EJ687:EJ688" si="602">EF687-AJ687</f>
        <v>0</v>
      </c>
    </row>
    <row r="688" spans="2:140" ht="12.75" hidden="1" customHeight="1">
      <c r="B688" s="99" t="s">
        <v>1214</v>
      </c>
      <c r="C688" s="2" t="s">
        <v>1209</v>
      </c>
      <c r="D688" s="22" t="s">
        <v>1210</v>
      </c>
      <c r="E688" s="2" t="s">
        <v>1005</v>
      </c>
      <c r="F688" s="2" t="s">
        <v>330</v>
      </c>
      <c r="G688" s="2" t="s">
        <v>331</v>
      </c>
      <c r="J688" s="149" t="s">
        <v>427</v>
      </c>
      <c r="K688" s="23" t="s">
        <v>1211</v>
      </c>
      <c r="L688" s="149" t="s">
        <v>758</v>
      </c>
      <c r="M688" s="51" t="str">
        <f t="shared" si="547"/>
        <v>JD8G-12A650-DB</v>
      </c>
      <c r="O688" s="150">
        <v>0</v>
      </c>
      <c r="P688" s="150">
        <v>1</v>
      </c>
      <c r="Q688" s="150">
        <v>0</v>
      </c>
      <c r="R688" s="150">
        <v>1</v>
      </c>
      <c r="S688" s="150">
        <v>0</v>
      </c>
      <c r="T688" s="150">
        <v>0</v>
      </c>
      <c r="U688" s="150">
        <v>1</v>
      </c>
      <c r="V688" s="150">
        <v>0</v>
      </c>
      <c r="W688" s="64">
        <f t="shared" si="548"/>
        <v>0.44</v>
      </c>
      <c r="Y688" s="8">
        <v>-413.35</v>
      </c>
      <c r="Z688" s="8">
        <v>-6.03</v>
      </c>
      <c r="AA688" s="8">
        <v>-9.3800000000000008</v>
      </c>
      <c r="AB688" s="8"/>
      <c r="AC688" s="8"/>
      <c r="AD688" s="8">
        <f t="shared" si="598"/>
        <v>-428.76</v>
      </c>
      <c r="AE688" s="2" t="s">
        <v>84</v>
      </c>
      <c r="AG688" s="8"/>
      <c r="AH688" s="8"/>
      <c r="AJ688" s="70"/>
      <c r="AK688" s="70"/>
      <c r="AL688" s="72"/>
      <c r="AM688" s="22"/>
      <c r="AO688" s="149" t="s">
        <v>427</v>
      </c>
      <c r="AP688" s="23" t="s">
        <v>1211</v>
      </c>
      <c r="AQ688" s="149" t="s">
        <v>880</v>
      </c>
      <c r="AR688" s="51" t="str">
        <f t="shared" si="549"/>
        <v>JD8G-12A650-DA</v>
      </c>
      <c r="AS688" s="3"/>
      <c r="AT688" s="94">
        <v>0</v>
      </c>
      <c r="AU688" s="94">
        <v>1</v>
      </c>
      <c r="AV688" s="94">
        <v>0</v>
      </c>
      <c r="AW688" s="94">
        <v>1</v>
      </c>
      <c r="AX688" s="94">
        <v>0</v>
      </c>
      <c r="AY688" s="94">
        <v>0</v>
      </c>
      <c r="AZ688" s="94">
        <v>1</v>
      </c>
      <c r="BA688" s="94">
        <v>0</v>
      </c>
      <c r="BB688" s="64">
        <f t="shared" si="550"/>
        <v>0.44</v>
      </c>
      <c r="BD688" s="8">
        <v>-413.35</v>
      </c>
      <c r="BE688" s="8">
        <v>-6.03</v>
      </c>
      <c r="BF688" s="8">
        <v>-9.3800000000000008</v>
      </c>
      <c r="BG688" s="8"/>
      <c r="BH688" s="8"/>
      <c r="BI688" s="8">
        <f t="shared" si="599"/>
        <v>-428.76</v>
      </c>
      <c r="BJ688" s="2" t="s">
        <v>84</v>
      </c>
      <c r="BL688" s="70"/>
      <c r="BM688" s="70"/>
      <c r="BO688" s="70"/>
      <c r="BP688" s="70"/>
      <c r="BQ688" s="72"/>
      <c r="BS688" s="61">
        <f t="shared" si="580"/>
        <v>0</v>
      </c>
      <c r="BT688" s="61">
        <f t="shared" si="581"/>
        <v>0</v>
      </c>
      <c r="BU688" s="61">
        <f t="shared" si="582"/>
        <v>0</v>
      </c>
      <c r="BV688" s="61">
        <f t="shared" si="582"/>
        <v>0</v>
      </c>
      <c r="BW688" s="61">
        <f t="shared" si="582"/>
        <v>0</v>
      </c>
      <c r="BX688" s="61">
        <f t="shared" si="579"/>
        <v>0</v>
      </c>
      <c r="BY688" s="61" t="s">
        <v>91</v>
      </c>
      <c r="CA688" s="61">
        <f t="shared" si="587"/>
        <v>0</v>
      </c>
      <c r="CB688" s="61">
        <f t="shared" si="587"/>
        <v>0</v>
      </c>
      <c r="CC688" s="61">
        <f t="shared" si="587"/>
        <v>0</v>
      </c>
      <c r="CD688" s="61">
        <f t="shared" si="587"/>
        <v>0</v>
      </c>
      <c r="CE688" s="61">
        <f t="shared" si="587"/>
        <v>0</v>
      </c>
      <c r="CF688" s="61">
        <f t="shared" si="576"/>
        <v>0</v>
      </c>
      <c r="CG688" s="61">
        <f t="shared" si="576"/>
        <v>0</v>
      </c>
      <c r="CH688" s="61">
        <f t="shared" si="576"/>
        <v>0</v>
      </c>
      <c r="CI688" s="61">
        <f t="shared" si="568"/>
        <v>0</v>
      </c>
      <c r="CJ688" s="61"/>
      <c r="CK688" s="61">
        <f t="shared" si="588"/>
        <v>0</v>
      </c>
      <c r="CL688" s="61">
        <f t="shared" si="588"/>
        <v>0</v>
      </c>
      <c r="CM688" s="61">
        <f t="shared" si="588"/>
        <v>0</v>
      </c>
      <c r="CN688" s="61">
        <f t="shared" si="588"/>
        <v>0</v>
      </c>
      <c r="CO688" s="61">
        <f t="shared" si="588"/>
        <v>0</v>
      </c>
      <c r="CP688" s="61">
        <f t="shared" si="577"/>
        <v>0</v>
      </c>
      <c r="CQ688" s="61">
        <f t="shared" si="577"/>
        <v>0</v>
      </c>
      <c r="CR688" s="61">
        <f t="shared" si="577"/>
        <v>0</v>
      </c>
      <c r="CS688" s="61">
        <f t="shared" si="569"/>
        <v>0</v>
      </c>
      <c r="CT688" s="61">
        <f t="shared" si="570"/>
        <v>0</v>
      </c>
      <c r="CV688" s="61">
        <f t="shared" si="554"/>
        <v>0</v>
      </c>
      <c r="CW688" s="61">
        <f t="shared" si="571"/>
        <v>0</v>
      </c>
      <c r="CX688" s="61"/>
      <c r="CY688" s="61">
        <f t="shared" si="597"/>
        <v>0</v>
      </c>
      <c r="CZ688" s="61">
        <f t="shared" si="597"/>
        <v>0</v>
      </c>
      <c r="DA688" s="61">
        <f t="shared" si="597"/>
        <v>0</v>
      </c>
      <c r="DB688" s="2" t="s">
        <v>102</v>
      </c>
      <c r="DC688" s="2" t="s">
        <v>85</v>
      </c>
      <c r="DD688" s="2" t="s">
        <v>142</v>
      </c>
      <c r="DE688" s="2" t="s">
        <v>106</v>
      </c>
      <c r="DF688" s="2" t="s">
        <v>86</v>
      </c>
      <c r="DG688" s="62">
        <v>43103</v>
      </c>
      <c r="EC688" s="60" t="str">
        <f>VLOOKUP($M688,[1]Detail!$M:$BO,1,0)</f>
        <v>JD8G-12A650-DB</v>
      </c>
      <c r="ED688" s="60">
        <f>VLOOKUP($M688,[1]Detail!$M:$BO,22,0)</f>
        <v>-428.76</v>
      </c>
      <c r="EE688" s="60">
        <f>VLOOKUP($M688,[1]Detail!$M:$BO,42,0)</f>
        <v>0</v>
      </c>
      <c r="EF688" s="60">
        <f>VLOOKUP($M688,[1]Detail!$M:$BO,45,0)</f>
        <v>0</v>
      </c>
      <c r="EH688" s="60">
        <f t="shared" si="600"/>
        <v>0</v>
      </c>
      <c r="EI688" s="60">
        <f t="shared" si="601"/>
        <v>0</v>
      </c>
      <c r="EJ688" s="60">
        <f t="shared" si="602"/>
        <v>0</v>
      </c>
    </row>
    <row r="689" spans="2:140" ht="12.75" hidden="1" customHeight="1">
      <c r="B689" s="99" t="s">
        <v>1215</v>
      </c>
      <c r="C689" s="153" t="s">
        <v>1216</v>
      </c>
      <c r="D689" s="51" t="s">
        <v>1217</v>
      </c>
      <c r="E689" s="2" t="s">
        <v>968</v>
      </c>
      <c r="F689" s="2" t="s">
        <v>969</v>
      </c>
      <c r="G689" s="3" t="s">
        <v>994</v>
      </c>
      <c r="J689" s="149" t="s">
        <v>126</v>
      </c>
      <c r="K689" s="23" t="s">
        <v>1218</v>
      </c>
      <c r="L689" s="149" t="s">
        <v>196</v>
      </c>
      <c r="M689" s="51" t="str">
        <f t="shared" si="547"/>
        <v>JD8B-F22600-AAW</v>
      </c>
      <c r="O689" s="22"/>
      <c r="P689" s="22"/>
      <c r="Q689" s="22"/>
      <c r="R689" s="22"/>
      <c r="S689" s="22"/>
      <c r="T689" s="22"/>
      <c r="U689" s="94">
        <v>2</v>
      </c>
      <c r="V689" s="94">
        <v>2</v>
      </c>
      <c r="W689" s="64">
        <f t="shared" si="548"/>
        <v>0.2</v>
      </c>
      <c r="Y689" s="8">
        <v>-17.388184048531571</v>
      </c>
      <c r="Z689" s="8">
        <v>-0.70638888888888884</v>
      </c>
      <c r="AA689" s="8">
        <v>-7.3758975729756551E-2</v>
      </c>
      <c r="AB689" s="8">
        <v>0</v>
      </c>
      <c r="AC689" s="8">
        <v>0</v>
      </c>
      <c r="AD689" s="8">
        <f t="shared" si="567"/>
        <v>-18.168331913150215</v>
      </c>
      <c r="AE689" s="2" t="s">
        <v>84</v>
      </c>
      <c r="AG689" s="8">
        <v>0</v>
      </c>
      <c r="AH689" s="8">
        <v>0</v>
      </c>
      <c r="AJ689" s="70">
        <v>0</v>
      </c>
      <c r="AK689" s="70"/>
      <c r="AL689" s="72"/>
      <c r="AM689" s="22"/>
      <c r="AO689" s="22" t="s">
        <v>128</v>
      </c>
      <c r="AP689" s="85" t="s">
        <v>1218</v>
      </c>
      <c r="AQ689" s="22" t="s">
        <v>565</v>
      </c>
      <c r="AR689" s="51" t="str">
        <f t="shared" si="549"/>
        <v>ED8B-F22600-ACW</v>
      </c>
      <c r="AS689" s="3"/>
      <c r="AT689" s="22"/>
      <c r="AU689" s="22"/>
      <c r="AV689" s="22"/>
      <c r="AW689" s="22"/>
      <c r="AX689" s="22"/>
      <c r="AY689" s="22"/>
      <c r="AZ689" s="94">
        <v>2</v>
      </c>
      <c r="BA689" s="94">
        <v>2</v>
      </c>
      <c r="BB689" s="64">
        <f t="shared" si="550"/>
        <v>0.2</v>
      </c>
      <c r="BD689" s="60">
        <f>-17.388184048531+0.46+0.07</f>
        <v>-16.858184048530998</v>
      </c>
      <c r="BE689" s="60">
        <v>-0.70638888888888884</v>
      </c>
      <c r="BF689" s="60">
        <v>-7.3758975729756551E-2</v>
      </c>
      <c r="BG689" s="60">
        <v>-7.0000000000000007E-2</v>
      </c>
      <c r="BH689" s="60">
        <v>0</v>
      </c>
      <c r="BI689" s="8">
        <f t="shared" si="575"/>
        <v>-17.708331913149642</v>
      </c>
      <c r="BJ689" s="2" t="s">
        <v>84</v>
      </c>
      <c r="BL689" s="70">
        <v>0</v>
      </c>
      <c r="BM689" s="70">
        <v>0</v>
      </c>
      <c r="BO689" s="70"/>
      <c r="BP689" s="70"/>
      <c r="BQ689" s="72"/>
      <c r="BS689" s="61">
        <f t="shared" si="580"/>
        <v>-0.53000000000057312</v>
      </c>
      <c r="BT689" s="61">
        <f t="shared" si="581"/>
        <v>0</v>
      </c>
      <c r="BU689" s="61">
        <f t="shared" si="582"/>
        <v>0</v>
      </c>
      <c r="BV689" s="61">
        <f t="shared" si="582"/>
        <v>7.0000000000000007E-2</v>
      </c>
      <c r="BW689" s="61">
        <f t="shared" si="582"/>
        <v>0</v>
      </c>
      <c r="BX689" s="61">
        <f t="shared" si="579"/>
        <v>-0.46000000000057284</v>
      </c>
      <c r="BY689" s="61" t="s">
        <v>91</v>
      </c>
      <c r="CA689" s="61">
        <f t="shared" si="587"/>
        <v>0</v>
      </c>
      <c r="CB689" s="61">
        <f t="shared" si="587"/>
        <v>0</v>
      </c>
      <c r="CC689" s="61">
        <f t="shared" si="587"/>
        <v>0</v>
      </c>
      <c r="CD689" s="61">
        <f t="shared" si="587"/>
        <v>0</v>
      </c>
      <c r="CE689" s="61">
        <f t="shared" si="587"/>
        <v>0</v>
      </c>
      <c r="CF689" s="61">
        <f t="shared" si="576"/>
        <v>0</v>
      </c>
      <c r="CG689" s="61">
        <f t="shared" si="576"/>
        <v>-0.15947043779165732</v>
      </c>
      <c r="CH689" s="61">
        <f t="shared" si="576"/>
        <v>-0.15947043779165732</v>
      </c>
      <c r="CI689" s="61">
        <f t="shared" si="568"/>
        <v>-1.5947043779165733E-2</v>
      </c>
      <c r="CJ689" s="61"/>
      <c r="CK689" s="61">
        <f t="shared" si="588"/>
        <v>0</v>
      </c>
      <c r="CL689" s="61">
        <f t="shared" si="588"/>
        <v>0</v>
      </c>
      <c r="CM689" s="61">
        <f t="shared" si="588"/>
        <v>0</v>
      </c>
      <c r="CN689" s="61">
        <f t="shared" si="588"/>
        <v>0</v>
      </c>
      <c r="CO689" s="61">
        <f t="shared" si="588"/>
        <v>0</v>
      </c>
      <c r="CP689" s="61">
        <f t="shared" si="577"/>
        <v>0</v>
      </c>
      <c r="CQ689" s="61">
        <f t="shared" si="577"/>
        <v>-0.13840830449844224</v>
      </c>
      <c r="CR689" s="61">
        <f t="shared" si="577"/>
        <v>-0.13840830449844224</v>
      </c>
      <c r="CS689" s="61">
        <f t="shared" si="569"/>
        <v>-1.3840830449844225E-2</v>
      </c>
      <c r="CT689" s="61">
        <f t="shared" si="570"/>
        <v>-9.200000000011456E-2</v>
      </c>
      <c r="CV689" s="61">
        <f t="shared" si="554"/>
        <v>0</v>
      </c>
      <c r="CW689" s="61">
        <f t="shared" si="571"/>
        <v>0</v>
      </c>
      <c r="CX689" s="61"/>
      <c r="CY689" s="61">
        <f t="shared" si="597"/>
        <v>0</v>
      </c>
      <c r="CZ689" s="61">
        <f t="shared" si="597"/>
        <v>0</v>
      </c>
      <c r="DA689" s="61">
        <f t="shared" si="597"/>
        <v>0</v>
      </c>
      <c r="DB689" s="2" t="s">
        <v>85</v>
      </c>
      <c r="DC689" s="2" t="s">
        <v>102</v>
      </c>
      <c r="DD689" s="2" t="s">
        <v>142</v>
      </c>
      <c r="DE689" s="2" t="s">
        <v>1146</v>
      </c>
      <c r="DF689" s="2" t="s">
        <v>86</v>
      </c>
      <c r="DG689" s="62"/>
      <c r="EC689" s="60"/>
      <c r="ED689" s="60"/>
      <c r="EE689" s="60"/>
      <c r="EF689" s="60"/>
    </row>
    <row r="690" spans="2:140" ht="12.75" hidden="1" customHeight="1">
      <c r="B690" s="99" t="s">
        <v>1215</v>
      </c>
      <c r="C690" s="153" t="s">
        <v>1216</v>
      </c>
      <c r="D690" s="51" t="s">
        <v>1217</v>
      </c>
      <c r="E690" s="2" t="s">
        <v>968</v>
      </c>
      <c r="F690" s="2" t="s">
        <v>969</v>
      </c>
      <c r="G690" s="3" t="s">
        <v>994</v>
      </c>
      <c r="J690" s="149" t="s">
        <v>126</v>
      </c>
      <c r="K690" s="23" t="s">
        <v>1219</v>
      </c>
      <c r="L690" s="149" t="s">
        <v>196</v>
      </c>
      <c r="M690" s="51" t="str">
        <f t="shared" si="547"/>
        <v>JD8B-F22601-AAW</v>
      </c>
      <c r="O690" s="22"/>
      <c r="P690" s="22"/>
      <c r="Q690" s="22"/>
      <c r="R690" s="22"/>
      <c r="S690" s="22"/>
      <c r="T690" s="22"/>
      <c r="U690" s="94">
        <v>1</v>
      </c>
      <c r="V690" s="94">
        <v>1</v>
      </c>
      <c r="W690" s="64">
        <f t="shared" si="548"/>
        <v>0.1</v>
      </c>
      <c r="Y690" s="8">
        <v>-17.935254048531572</v>
      </c>
      <c r="Z690" s="8">
        <v>-0.70638888888888884</v>
      </c>
      <c r="AA690" s="8">
        <v>-7.3758975729756551E-2</v>
      </c>
      <c r="AB690" s="8">
        <v>0</v>
      </c>
      <c r="AC690" s="8">
        <v>0</v>
      </c>
      <c r="AD690" s="8">
        <f t="shared" si="567"/>
        <v>-18.715401913150217</v>
      </c>
      <c r="AE690" s="2" t="s">
        <v>84</v>
      </c>
      <c r="AG690" s="8">
        <v>-3314245</v>
      </c>
      <c r="AH690" s="8">
        <v>-3314245</v>
      </c>
      <c r="AJ690" s="70">
        <v>-50000</v>
      </c>
      <c r="AK690" s="70">
        <f>-AJ690/0.07</f>
        <v>714285.7142857142</v>
      </c>
      <c r="AL690" s="72"/>
      <c r="AM690" s="22"/>
      <c r="AO690" s="22" t="s">
        <v>128</v>
      </c>
      <c r="AP690" s="85" t="s">
        <v>1219</v>
      </c>
      <c r="AQ690" s="22" t="s">
        <v>565</v>
      </c>
      <c r="AR690" s="51" t="str">
        <f t="shared" si="549"/>
        <v>ED8B-F22601-ACW</v>
      </c>
      <c r="AS690" s="3"/>
      <c r="AT690" s="22"/>
      <c r="AU690" s="22"/>
      <c r="AV690" s="22"/>
      <c r="AW690" s="22"/>
      <c r="AX690" s="22"/>
      <c r="AY690" s="22"/>
      <c r="AZ690" s="94">
        <v>1</v>
      </c>
      <c r="BA690" s="94">
        <v>1</v>
      </c>
      <c r="BB690" s="64">
        <f t="shared" si="550"/>
        <v>0.1</v>
      </c>
      <c r="BD690" s="60">
        <f>-17.9352540485316+1.01+0.07</f>
        <v>-16.855254048531599</v>
      </c>
      <c r="BE690" s="60">
        <v>-0.70638888888888884</v>
      </c>
      <c r="BF690" s="60">
        <v>-7.3758975729756551E-2</v>
      </c>
      <c r="BG690" s="60">
        <v>-7.0000000000000007E-2</v>
      </c>
      <c r="BH690" s="60">
        <v>0</v>
      </c>
      <c r="BI690" s="8">
        <f t="shared" si="575"/>
        <v>-17.705401913150244</v>
      </c>
      <c r="BJ690" s="2" t="s">
        <v>84</v>
      </c>
      <c r="BL690" s="70">
        <v>-2260000</v>
      </c>
      <c r="BM690" s="70">
        <v>-2260000</v>
      </c>
      <c r="BO690" s="70">
        <v>-50000</v>
      </c>
      <c r="BP690" s="70">
        <f>-BO690/0.07</f>
        <v>714285.7142857142</v>
      </c>
      <c r="BQ690" s="72"/>
      <c r="BS690" s="61">
        <f t="shared" si="580"/>
        <v>-1.0799999999999734</v>
      </c>
      <c r="BT690" s="61">
        <f t="shared" si="581"/>
        <v>0</v>
      </c>
      <c r="BU690" s="61">
        <f t="shared" si="582"/>
        <v>0</v>
      </c>
      <c r="BV690" s="61">
        <f t="shared" si="582"/>
        <v>7.0000000000000007E-2</v>
      </c>
      <c r="BW690" s="61">
        <f t="shared" si="582"/>
        <v>0</v>
      </c>
      <c r="BX690" s="61">
        <f t="shared" si="579"/>
        <v>-1.0099999999999731</v>
      </c>
      <c r="BY690" s="61" t="s">
        <v>91</v>
      </c>
      <c r="CA690" s="61">
        <f t="shared" si="587"/>
        <v>0</v>
      </c>
      <c r="CB690" s="61">
        <f t="shared" si="587"/>
        <v>0</v>
      </c>
      <c r="CC690" s="61">
        <f t="shared" si="587"/>
        <v>0</v>
      </c>
      <c r="CD690" s="61">
        <f t="shared" si="587"/>
        <v>0</v>
      </c>
      <c r="CE690" s="61">
        <f t="shared" si="587"/>
        <v>0</v>
      </c>
      <c r="CF690" s="61">
        <f t="shared" si="576"/>
        <v>0</v>
      </c>
      <c r="CG690" s="61">
        <f t="shared" si="576"/>
        <v>-0.16247931397622586</v>
      </c>
      <c r="CH690" s="61">
        <f t="shared" si="576"/>
        <v>-0.16247931397622586</v>
      </c>
      <c r="CI690" s="61">
        <f t="shared" si="568"/>
        <v>-1.6247931397622588E-2</v>
      </c>
      <c r="CJ690" s="61"/>
      <c r="CK690" s="61">
        <f t="shared" si="588"/>
        <v>0</v>
      </c>
      <c r="CL690" s="61">
        <f t="shared" si="588"/>
        <v>0</v>
      </c>
      <c r="CM690" s="61">
        <f t="shared" si="588"/>
        <v>0</v>
      </c>
      <c r="CN690" s="61">
        <f t="shared" si="588"/>
        <v>0</v>
      </c>
      <c r="CO690" s="61">
        <f t="shared" si="588"/>
        <v>0</v>
      </c>
      <c r="CP690" s="61">
        <f t="shared" si="577"/>
        <v>0</v>
      </c>
      <c r="CQ690" s="61">
        <f t="shared" si="577"/>
        <v>-0.15194824732961834</v>
      </c>
      <c r="CR690" s="61">
        <f t="shared" si="577"/>
        <v>-0.15194824732961834</v>
      </c>
      <c r="CS690" s="61">
        <f t="shared" si="569"/>
        <v>-1.5194824732961834E-2</v>
      </c>
      <c r="CT690" s="61">
        <f t="shared" si="570"/>
        <v>-0.10099999999999731</v>
      </c>
      <c r="CV690" s="61">
        <f t="shared" si="554"/>
        <v>-1054245</v>
      </c>
      <c r="CW690" s="61">
        <f t="shared" si="571"/>
        <v>-1054245</v>
      </c>
      <c r="CX690" s="61"/>
      <c r="CY690" s="61">
        <f t="shared" si="597"/>
        <v>0</v>
      </c>
      <c r="CZ690" s="61">
        <f t="shared" si="597"/>
        <v>0</v>
      </c>
      <c r="DA690" s="61">
        <f t="shared" si="597"/>
        <v>0</v>
      </c>
      <c r="DB690" s="2" t="s">
        <v>85</v>
      </c>
      <c r="DC690" s="2" t="s">
        <v>102</v>
      </c>
      <c r="DD690" s="2" t="s">
        <v>142</v>
      </c>
      <c r="DE690" s="2" t="s">
        <v>1146</v>
      </c>
      <c r="DF690" s="2" t="s">
        <v>86</v>
      </c>
      <c r="DG690" s="62"/>
      <c r="EC690" s="60"/>
      <c r="ED690" s="60"/>
      <c r="EE690" s="60"/>
      <c r="EF690" s="60"/>
    </row>
    <row r="691" spans="2:140" ht="12.75" hidden="1" customHeight="1">
      <c r="B691" s="99" t="s">
        <v>1215</v>
      </c>
      <c r="C691" s="153" t="s">
        <v>1216</v>
      </c>
      <c r="D691" s="51" t="s">
        <v>1217</v>
      </c>
      <c r="E691" s="2" t="s">
        <v>968</v>
      </c>
      <c r="F691" s="2" t="s">
        <v>969</v>
      </c>
      <c r="G691" s="3" t="s">
        <v>994</v>
      </c>
      <c r="J691" s="149" t="s">
        <v>126</v>
      </c>
      <c r="K691" s="23" t="s">
        <v>1219</v>
      </c>
      <c r="L691" s="149" t="s">
        <v>198</v>
      </c>
      <c r="M691" s="51" t="str">
        <f t="shared" si="547"/>
        <v>JD8B-F22601-BAW</v>
      </c>
      <c r="O691" s="22">
        <v>1</v>
      </c>
      <c r="P691" s="22">
        <v>1</v>
      </c>
      <c r="Q691" s="22">
        <v>1</v>
      </c>
      <c r="R691" s="22">
        <v>1</v>
      </c>
      <c r="S691" s="22">
        <v>1</v>
      </c>
      <c r="T691" s="22">
        <v>1</v>
      </c>
      <c r="U691" s="22"/>
      <c r="V691" s="22"/>
      <c r="W691" s="64">
        <f t="shared" si="548"/>
        <v>0.9</v>
      </c>
      <c r="Y691" s="8">
        <v>-17.38</v>
      </c>
      <c r="Z691" s="8">
        <v>-0.70638888888888884</v>
      </c>
      <c r="AA691" s="8">
        <v>-7.3758975729756551E-2</v>
      </c>
      <c r="AB691" s="8">
        <v>0</v>
      </c>
      <c r="AC691" s="8">
        <v>0</v>
      </c>
      <c r="AD691" s="8">
        <f t="shared" si="567"/>
        <v>-18.160147864618644</v>
      </c>
      <c r="AE691" s="2" t="s">
        <v>84</v>
      </c>
      <c r="AG691" s="8">
        <v>-259325</v>
      </c>
      <c r="AH691" s="8">
        <v>-259325</v>
      </c>
      <c r="AJ691" s="70">
        <v>0</v>
      </c>
      <c r="AK691" s="70"/>
      <c r="AL691" s="72"/>
      <c r="AM691" s="22"/>
      <c r="AO691" s="22" t="s">
        <v>128</v>
      </c>
      <c r="AP691" s="85" t="s">
        <v>1219</v>
      </c>
      <c r="AQ691" s="22" t="s">
        <v>565</v>
      </c>
      <c r="AR691" s="51" t="str">
        <f t="shared" si="549"/>
        <v>ED8B-F22601-ACW</v>
      </c>
      <c r="AS691" s="3"/>
      <c r="AT691" s="22">
        <v>1</v>
      </c>
      <c r="AU691" s="22">
        <v>1</v>
      </c>
      <c r="AV691" s="22">
        <v>1</v>
      </c>
      <c r="AW691" s="22">
        <v>1</v>
      </c>
      <c r="AX691" s="22">
        <v>1</v>
      </c>
      <c r="AY691" s="22">
        <v>1</v>
      </c>
      <c r="AZ691" s="22"/>
      <c r="BA691" s="22"/>
      <c r="BB691" s="64">
        <f t="shared" si="550"/>
        <v>0.9</v>
      </c>
      <c r="BD691" s="60">
        <f>0.45+0.07-17.38</f>
        <v>-16.86</v>
      </c>
      <c r="BE691" s="60">
        <v>-0.70638888888888884</v>
      </c>
      <c r="BF691" s="60">
        <v>-7.3758975729756551E-2</v>
      </c>
      <c r="BG691" s="60">
        <v>-7.0000000000000007E-2</v>
      </c>
      <c r="BH691" s="60">
        <v>0</v>
      </c>
      <c r="BI691" s="8">
        <f t="shared" si="575"/>
        <v>-17.710147864618644</v>
      </c>
      <c r="BJ691" s="2" t="s">
        <v>84</v>
      </c>
      <c r="BL691" s="70">
        <v>0</v>
      </c>
      <c r="BM691" s="70">
        <v>0</v>
      </c>
      <c r="BO691" s="70"/>
      <c r="BP691" s="70"/>
      <c r="BQ691" s="72"/>
      <c r="BS691" s="61">
        <f t="shared" si="580"/>
        <v>-0.51999999999999957</v>
      </c>
      <c r="BT691" s="61">
        <f t="shared" si="581"/>
        <v>0</v>
      </c>
      <c r="BU691" s="61">
        <f t="shared" si="582"/>
        <v>0</v>
      </c>
      <c r="BV691" s="61">
        <f t="shared" si="582"/>
        <v>7.0000000000000007E-2</v>
      </c>
      <c r="BW691" s="61">
        <f t="shared" si="582"/>
        <v>0</v>
      </c>
      <c r="BX691" s="61">
        <f t="shared" si="579"/>
        <v>-0.44999999999999929</v>
      </c>
      <c r="BY691" s="61" t="s">
        <v>91</v>
      </c>
      <c r="CA691" s="61">
        <f t="shared" si="587"/>
        <v>-7.823078080336987E-2</v>
      </c>
      <c r="CB691" s="61">
        <f t="shared" si="587"/>
        <v>-7.823078080336987E-2</v>
      </c>
      <c r="CC691" s="61">
        <f t="shared" si="587"/>
        <v>-7.823078080336987E-2</v>
      </c>
      <c r="CD691" s="61">
        <f t="shared" si="587"/>
        <v>-7.823078080336987E-2</v>
      </c>
      <c r="CE691" s="61">
        <f t="shared" si="587"/>
        <v>-7.823078080336987E-2</v>
      </c>
      <c r="CF691" s="61">
        <f t="shared" si="576"/>
        <v>-7.823078080336987E-2</v>
      </c>
      <c r="CG691" s="61">
        <f t="shared" si="576"/>
        <v>0</v>
      </c>
      <c r="CH691" s="61">
        <f t="shared" si="576"/>
        <v>0</v>
      </c>
      <c r="CI691" s="61">
        <f t="shared" si="568"/>
        <v>-7.0407702723032886E-2</v>
      </c>
      <c r="CJ691" s="61"/>
      <c r="CK691" s="61">
        <f t="shared" si="588"/>
        <v>-6.7699714156762333E-2</v>
      </c>
      <c r="CL691" s="61">
        <f t="shared" si="588"/>
        <v>-6.7699714156762333E-2</v>
      </c>
      <c r="CM691" s="61">
        <f t="shared" si="588"/>
        <v>-6.7699714156762333E-2</v>
      </c>
      <c r="CN691" s="61">
        <f t="shared" si="588"/>
        <v>-6.7699714156762333E-2</v>
      </c>
      <c r="CO691" s="61">
        <f t="shared" si="588"/>
        <v>-6.7699714156762333E-2</v>
      </c>
      <c r="CP691" s="61">
        <f t="shared" si="577"/>
        <v>-6.7699714156762333E-2</v>
      </c>
      <c r="CQ691" s="61">
        <f t="shared" si="577"/>
        <v>0</v>
      </c>
      <c r="CR691" s="61">
        <f t="shared" si="577"/>
        <v>0</v>
      </c>
      <c r="CS691" s="61">
        <f t="shared" si="569"/>
        <v>-6.0929742741086104E-2</v>
      </c>
      <c r="CT691" s="61">
        <f t="shared" si="570"/>
        <v>-0.40499999999999936</v>
      </c>
      <c r="CV691" s="61">
        <f t="shared" si="554"/>
        <v>-259325</v>
      </c>
      <c r="CW691" s="61">
        <f t="shared" si="571"/>
        <v>-259325</v>
      </c>
      <c r="CX691" s="61"/>
      <c r="CY691" s="61">
        <f t="shared" si="597"/>
        <v>0</v>
      </c>
      <c r="CZ691" s="61">
        <f t="shared" si="597"/>
        <v>0</v>
      </c>
      <c r="DA691" s="61">
        <f t="shared" si="597"/>
        <v>0</v>
      </c>
      <c r="DB691" s="2" t="s">
        <v>102</v>
      </c>
      <c r="DC691" s="2" t="s">
        <v>102</v>
      </c>
      <c r="DD691" s="2" t="s">
        <v>142</v>
      </c>
      <c r="DE691" s="2" t="s">
        <v>1146</v>
      </c>
      <c r="DF691" s="2" t="s">
        <v>86</v>
      </c>
      <c r="DG691" s="62"/>
      <c r="EC691" s="60" t="str">
        <f>VLOOKUP($M691,[1]Detail!$M:$BO,1,0)</f>
        <v>JD8B-F22601-BAW</v>
      </c>
      <c r="ED691" s="60">
        <f>VLOOKUP($M691,[1]Detail!$M:$BO,22,0)</f>
        <v>-18.160147864618644</v>
      </c>
      <c r="EE691" s="60">
        <f>VLOOKUP($M691,[1]Detail!$M:$BO,42,0)</f>
        <v>-3314245</v>
      </c>
      <c r="EF691" s="60">
        <f>VLOOKUP($M691,[1]Detail!$M:$BO,45,0)</f>
        <v>0</v>
      </c>
      <c r="EH691" s="60">
        <f t="shared" ref="EH691:EH694" si="603">ED691-AD691</f>
        <v>0</v>
      </c>
      <c r="EI691" s="60">
        <f t="shared" ref="EI691:EI694" si="604">EE691-AG691</f>
        <v>-3054920</v>
      </c>
      <c r="EJ691" s="60">
        <f t="shared" ref="EJ691:EJ694" si="605">EF691-AJ691</f>
        <v>0</v>
      </c>
    </row>
    <row r="692" spans="2:140" ht="12.75" hidden="1" customHeight="1">
      <c r="B692" s="99" t="s">
        <v>1215</v>
      </c>
      <c r="C692" s="153" t="s">
        <v>1216</v>
      </c>
      <c r="D692" s="51" t="s">
        <v>1217</v>
      </c>
      <c r="E692" s="2" t="s">
        <v>968</v>
      </c>
      <c r="F692" s="2" t="s">
        <v>969</v>
      </c>
      <c r="G692" s="3" t="s">
        <v>994</v>
      </c>
      <c r="J692" s="149" t="s">
        <v>126</v>
      </c>
      <c r="K692" s="23" t="s">
        <v>1220</v>
      </c>
      <c r="L692" s="149" t="s">
        <v>100</v>
      </c>
      <c r="M692" s="51" t="str">
        <f t="shared" si="547"/>
        <v>JD8B-F226A59-AA</v>
      </c>
      <c r="O692" s="22">
        <v>1</v>
      </c>
      <c r="P692" s="22">
        <v>1</v>
      </c>
      <c r="Q692" s="22">
        <v>1</v>
      </c>
      <c r="R692" s="22">
        <v>1</v>
      </c>
      <c r="S692" s="22">
        <v>1</v>
      </c>
      <c r="T692" s="22">
        <v>1</v>
      </c>
      <c r="U692" s="22">
        <v>1</v>
      </c>
      <c r="V692" s="22">
        <v>1</v>
      </c>
      <c r="W692" s="64">
        <f t="shared" si="548"/>
        <v>1</v>
      </c>
      <c r="Y692" s="8">
        <v>-0.9</v>
      </c>
      <c r="Z692" s="8">
        <v>-0.03</v>
      </c>
      <c r="AA692" s="8">
        <v>0</v>
      </c>
      <c r="AB692" s="8">
        <v>0</v>
      </c>
      <c r="AC692" s="8">
        <v>0</v>
      </c>
      <c r="AD692" s="8">
        <f t="shared" si="567"/>
        <v>-0.93</v>
      </c>
      <c r="AE692" s="2" t="s">
        <v>84</v>
      </c>
      <c r="AG692" s="8">
        <v>-265430</v>
      </c>
      <c r="AH692" s="8">
        <v>-265430</v>
      </c>
      <c r="AJ692" s="70">
        <v>0</v>
      </c>
      <c r="AK692" s="70"/>
      <c r="AL692" s="72"/>
      <c r="AM692" s="22"/>
      <c r="AO692" s="22" t="s">
        <v>128</v>
      </c>
      <c r="AP692" s="85" t="s">
        <v>1220</v>
      </c>
      <c r="AQ692" s="22" t="s">
        <v>132</v>
      </c>
      <c r="AR692" s="51" t="str">
        <f t="shared" si="549"/>
        <v>ED8B-F226A59-AB</v>
      </c>
      <c r="AS692" s="3"/>
      <c r="AT692" s="22">
        <v>1</v>
      </c>
      <c r="AU692" s="22">
        <v>1</v>
      </c>
      <c r="AV692" s="22">
        <v>1</v>
      </c>
      <c r="AW692" s="22">
        <v>1</v>
      </c>
      <c r="AX692" s="22">
        <v>1</v>
      </c>
      <c r="AY692" s="22">
        <v>1</v>
      </c>
      <c r="AZ692" s="22">
        <v>1</v>
      </c>
      <c r="BA692" s="22">
        <v>1</v>
      </c>
      <c r="BB692" s="64">
        <f t="shared" si="550"/>
        <v>1</v>
      </c>
      <c r="BD692" s="60">
        <v>-0.9</v>
      </c>
      <c r="BE692" s="60">
        <v>-0.03</v>
      </c>
      <c r="BF692" s="60">
        <v>0</v>
      </c>
      <c r="BG692" s="60">
        <v>0</v>
      </c>
      <c r="BH692" s="60">
        <v>0</v>
      </c>
      <c r="BI692" s="8">
        <f t="shared" si="575"/>
        <v>-0.93</v>
      </c>
      <c r="BJ692" s="2" t="s">
        <v>84</v>
      </c>
      <c r="BL692" s="70">
        <v>-130000</v>
      </c>
      <c r="BM692" s="70">
        <v>-130000</v>
      </c>
      <c r="BO692" s="70"/>
      <c r="BP692" s="70"/>
      <c r="BQ692" s="72"/>
      <c r="BS692" s="61">
        <f t="shared" si="580"/>
        <v>0</v>
      </c>
      <c r="BT692" s="61">
        <f t="shared" si="581"/>
        <v>0</v>
      </c>
      <c r="BU692" s="61">
        <f t="shared" si="582"/>
        <v>0</v>
      </c>
      <c r="BV692" s="61">
        <f t="shared" si="582"/>
        <v>0</v>
      </c>
      <c r="BW692" s="61">
        <f t="shared" si="582"/>
        <v>0</v>
      </c>
      <c r="BX692" s="61">
        <f t="shared" si="579"/>
        <v>0</v>
      </c>
      <c r="BY692" s="61" t="s">
        <v>91</v>
      </c>
      <c r="CA692" s="61">
        <f t="shared" si="587"/>
        <v>0</v>
      </c>
      <c r="CB692" s="61">
        <f t="shared" si="587"/>
        <v>0</v>
      </c>
      <c r="CC692" s="61">
        <f t="shared" si="587"/>
        <v>0</v>
      </c>
      <c r="CD692" s="61">
        <f t="shared" si="587"/>
        <v>0</v>
      </c>
      <c r="CE692" s="61">
        <f t="shared" si="587"/>
        <v>0</v>
      </c>
      <c r="CF692" s="61">
        <f t="shared" si="576"/>
        <v>0</v>
      </c>
      <c r="CG692" s="61">
        <f t="shared" si="576"/>
        <v>0</v>
      </c>
      <c r="CH692" s="61">
        <f t="shared" si="576"/>
        <v>0</v>
      </c>
      <c r="CI692" s="61">
        <f t="shared" si="568"/>
        <v>0</v>
      </c>
      <c r="CJ692" s="61"/>
      <c r="CK692" s="61">
        <f t="shared" si="588"/>
        <v>0</v>
      </c>
      <c r="CL692" s="61">
        <f t="shared" si="588"/>
        <v>0</v>
      </c>
      <c r="CM692" s="61">
        <f t="shared" si="588"/>
        <v>0</v>
      </c>
      <c r="CN692" s="61">
        <f t="shared" si="588"/>
        <v>0</v>
      </c>
      <c r="CO692" s="61">
        <f t="shared" si="588"/>
        <v>0</v>
      </c>
      <c r="CP692" s="61">
        <f t="shared" si="577"/>
        <v>0</v>
      </c>
      <c r="CQ692" s="61">
        <f t="shared" si="577"/>
        <v>0</v>
      </c>
      <c r="CR692" s="61">
        <f t="shared" si="577"/>
        <v>0</v>
      </c>
      <c r="CS692" s="61">
        <f t="shared" si="569"/>
        <v>0</v>
      </c>
      <c r="CT692" s="61">
        <f t="shared" si="570"/>
        <v>0</v>
      </c>
      <c r="CV692" s="61">
        <f t="shared" si="554"/>
        <v>-135430</v>
      </c>
      <c r="CW692" s="61">
        <f t="shared" si="571"/>
        <v>-135430</v>
      </c>
      <c r="CX692" s="61"/>
      <c r="CY692" s="61">
        <f t="shared" si="597"/>
        <v>0</v>
      </c>
      <c r="CZ692" s="61">
        <f t="shared" si="597"/>
        <v>0</v>
      </c>
      <c r="DA692" s="61">
        <f t="shared" si="597"/>
        <v>0</v>
      </c>
      <c r="DB692" s="2" t="s">
        <v>102</v>
      </c>
      <c r="DC692" s="2" t="s">
        <v>102</v>
      </c>
      <c r="DD692" s="2" t="s">
        <v>142</v>
      </c>
      <c r="DE692" s="2" t="s">
        <v>1146</v>
      </c>
      <c r="DF692" s="2" t="s">
        <v>86</v>
      </c>
      <c r="DG692" s="62"/>
      <c r="EC692" s="60" t="str">
        <f>VLOOKUP($M692,[1]Detail!$M:$BO,1,0)</f>
        <v>JD8B-F226A59-AA</v>
      </c>
      <c r="ED692" s="60">
        <f>VLOOKUP($M692,[1]Detail!$M:$BO,22,0)</f>
        <v>-0.93</v>
      </c>
      <c r="EE692" s="60">
        <f>VLOOKUP($M692,[1]Detail!$M:$BO,42,0)</f>
        <v>-259325</v>
      </c>
      <c r="EF692" s="60">
        <f>VLOOKUP($M692,[1]Detail!$M:$BO,45,0)</f>
        <v>0</v>
      </c>
      <c r="EH692" s="60">
        <f t="shared" si="603"/>
        <v>0</v>
      </c>
      <c r="EI692" s="60">
        <f t="shared" si="604"/>
        <v>6105</v>
      </c>
      <c r="EJ692" s="60">
        <f t="shared" si="605"/>
        <v>0</v>
      </c>
    </row>
    <row r="693" spans="2:140" ht="12.75" hidden="1" customHeight="1">
      <c r="B693" s="99" t="s">
        <v>1215</v>
      </c>
      <c r="C693" s="153" t="s">
        <v>1216</v>
      </c>
      <c r="D693" s="51" t="s">
        <v>1217</v>
      </c>
      <c r="E693" s="2" t="s">
        <v>968</v>
      </c>
      <c r="F693" s="2" t="s">
        <v>969</v>
      </c>
      <c r="G693" s="3" t="s">
        <v>994</v>
      </c>
      <c r="J693" s="149" t="s">
        <v>126</v>
      </c>
      <c r="K693" s="23" t="s">
        <v>1221</v>
      </c>
      <c r="L693" s="149" t="s">
        <v>196</v>
      </c>
      <c r="M693" s="51" t="str">
        <f t="shared" si="547"/>
        <v>JD8B-F22B35-AAW</v>
      </c>
      <c r="O693" s="22"/>
      <c r="P693" s="22"/>
      <c r="Q693" s="22"/>
      <c r="R693" s="22"/>
      <c r="S693" s="22"/>
      <c r="T693" s="22"/>
      <c r="U693" s="22">
        <v>1</v>
      </c>
      <c r="V693" s="22">
        <v>1</v>
      </c>
      <c r="W693" s="64">
        <f t="shared" si="548"/>
        <v>0.1</v>
      </c>
      <c r="Y693" s="8">
        <v>-17.388184048531571</v>
      </c>
      <c r="Z693" s="8">
        <v>-0.70638888888888884</v>
      </c>
      <c r="AA693" s="8">
        <v>-7.3758975729756551E-2</v>
      </c>
      <c r="AB693" s="8">
        <v>0</v>
      </c>
      <c r="AC693" s="8">
        <v>0</v>
      </c>
      <c r="AD693" s="8">
        <f t="shared" si="567"/>
        <v>-18.168331913150215</v>
      </c>
      <c r="AE693" s="2" t="s">
        <v>84</v>
      </c>
      <c r="AG693" s="8">
        <v>0</v>
      </c>
      <c r="AH693" s="8">
        <v>0</v>
      </c>
      <c r="AJ693" s="70">
        <v>0</v>
      </c>
      <c r="AK693" s="70"/>
      <c r="AL693" s="72"/>
      <c r="AM693" s="22"/>
      <c r="AO693" s="22" t="s">
        <v>128</v>
      </c>
      <c r="AP693" s="85" t="s">
        <v>1219</v>
      </c>
      <c r="AQ693" s="22" t="s">
        <v>565</v>
      </c>
      <c r="AR693" s="51" t="str">
        <f t="shared" si="549"/>
        <v>ED8B-F22601-ACW</v>
      </c>
      <c r="AS693" s="3"/>
      <c r="AT693" s="22"/>
      <c r="AU693" s="22"/>
      <c r="AV693" s="22"/>
      <c r="AW693" s="22"/>
      <c r="AX693" s="22"/>
      <c r="AY693" s="22"/>
      <c r="AZ693" s="22">
        <v>1</v>
      </c>
      <c r="BA693" s="22">
        <v>1</v>
      </c>
      <c r="BB693" s="64">
        <f t="shared" si="550"/>
        <v>0.1</v>
      </c>
      <c r="BD693" s="60">
        <f>0.07+0.46-17.3881840485316</f>
        <v>-16.858184048531598</v>
      </c>
      <c r="BE693" s="60">
        <v>-0.70638888888888884</v>
      </c>
      <c r="BF693" s="60">
        <v>-7.3758975729756551E-2</v>
      </c>
      <c r="BG693" s="60">
        <v>-7.0000000000000007E-2</v>
      </c>
      <c r="BH693" s="60">
        <v>0</v>
      </c>
      <c r="BI693" s="8">
        <f t="shared" si="575"/>
        <v>-17.708331913150243</v>
      </c>
      <c r="BJ693" s="2" t="s">
        <v>84</v>
      </c>
      <c r="BL693" s="70"/>
      <c r="BM693" s="70"/>
      <c r="BO693" s="70"/>
      <c r="BP693" s="70"/>
      <c r="BQ693" s="72"/>
      <c r="BS693" s="61">
        <f t="shared" si="580"/>
        <v>-0.52999999999997272</v>
      </c>
      <c r="BT693" s="61">
        <f t="shared" si="581"/>
        <v>0</v>
      </c>
      <c r="BU693" s="61">
        <f t="shared" si="582"/>
        <v>0</v>
      </c>
      <c r="BV693" s="61">
        <f t="shared" si="582"/>
        <v>7.0000000000000007E-2</v>
      </c>
      <c r="BW693" s="61">
        <f t="shared" si="582"/>
        <v>0</v>
      </c>
      <c r="BX693" s="61">
        <f t="shared" si="579"/>
        <v>-0.45999999999997243</v>
      </c>
      <c r="BY693" s="61" t="s">
        <v>91</v>
      </c>
      <c r="CA693" s="61">
        <f t="shared" si="587"/>
        <v>0</v>
      </c>
      <c r="CB693" s="61">
        <f t="shared" si="587"/>
        <v>0</v>
      </c>
      <c r="CC693" s="61">
        <f t="shared" si="587"/>
        <v>0</v>
      </c>
      <c r="CD693" s="61">
        <f t="shared" si="587"/>
        <v>0</v>
      </c>
      <c r="CE693" s="61">
        <f t="shared" si="587"/>
        <v>0</v>
      </c>
      <c r="CF693" s="61">
        <f t="shared" si="576"/>
        <v>0</v>
      </c>
      <c r="CG693" s="61">
        <f t="shared" si="576"/>
        <v>-7.9735218895738327E-2</v>
      </c>
      <c r="CH693" s="61">
        <f t="shared" si="576"/>
        <v>-7.9735218895738327E-2</v>
      </c>
      <c r="CI693" s="61">
        <f t="shared" si="568"/>
        <v>-7.9735218895738338E-3</v>
      </c>
      <c r="CJ693" s="61"/>
      <c r="CK693" s="61">
        <f t="shared" si="588"/>
        <v>0</v>
      </c>
      <c r="CL693" s="61">
        <f t="shared" si="588"/>
        <v>0</v>
      </c>
      <c r="CM693" s="61">
        <f t="shared" si="588"/>
        <v>0</v>
      </c>
      <c r="CN693" s="61">
        <f t="shared" si="588"/>
        <v>0</v>
      </c>
      <c r="CO693" s="61">
        <f t="shared" si="588"/>
        <v>0</v>
      </c>
      <c r="CP693" s="61">
        <f t="shared" si="577"/>
        <v>0</v>
      </c>
      <c r="CQ693" s="61">
        <f t="shared" si="577"/>
        <v>-6.9204152249130804E-2</v>
      </c>
      <c r="CR693" s="61">
        <f t="shared" si="577"/>
        <v>-6.9204152249130804E-2</v>
      </c>
      <c r="CS693" s="61">
        <f t="shared" si="569"/>
        <v>-6.9204152249130804E-3</v>
      </c>
      <c r="CT693" s="61">
        <f t="shared" si="570"/>
        <v>-4.5999999999997244E-2</v>
      </c>
      <c r="CV693" s="61">
        <f t="shared" si="554"/>
        <v>0</v>
      </c>
      <c r="CW693" s="61">
        <f t="shared" si="571"/>
        <v>0</v>
      </c>
      <c r="CX693" s="61"/>
      <c r="CY693" s="61">
        <f t="shared" si="597"/>
        <v>0</v>
      </c>
      <c r="CZ693" s="61">
        <f t="shared" si="597"/>
        <v>0</v>
      </c>
      <c r="DA693" s="61">
        <f t="shared" si="597"/>
        <v>0</v>
      </c>
      <c r="DB693" s="2" t="s">
        <v>102</v>
      </c>
      <c r="DC693" s="2" t="s">
        <v>102</v>
      </c>
      <c r="DD693" s="2" t="s">
        <v>142</v>
      </c>
      <c r="DE693" s="2" t="s">
        <v>1146</v>
      </c>
      <c r="DG693" s="62"/>
      <c r="DZ693" s="3" t="e">
        <v>#N/A</v>
      </c>
      <c r="EC693" s="60" t="str">
        <f>VLOOKUP($M693,[1]Detail!$M:$BO,1,0)</f>
        <v>JD8B-F22B35-AAW</v>
      </c>
      <c r="ED693" s="60">
        <f>VLOOKUP($M693,[1]Detail!$M:$BO,22,0)</f>
        <v>-18.168331913150215</v>
      </c>
      <c r="EE693" s="60">
        <f>VLOOKUP($M693,[1]Detail!$M:$BO,42,0)</f>
        <v>-265430</v>
      </c>
      <c r="EF693" s="60">
        <f>VLOOKUP($M693,[1]Detail!$M:$BO,45,0)</f>
        <v>0</v>
      </c>
      <c r="EH693" s="60">
        <f t="shared" si="603"/>
        <v>0</v>
      </c>
      <c r="EI693" s="60">
        <f t="shared" si="604"/>
        <v>-265430</v>
      </c>
      <c r="EJ693" s="60">
        <f t="shared" si="605"/>
        <v>0</v>
      </c>
    </row>
    <row r="694" spans="2:140" ht="12.75" hidden="1" customHeight="1">
      <c r="B694" s="99" t="s">
        <v>1222</v>
      </c>
      <c r="C694" s="22" t="s">
        <v>1223</v>
      </c>
      <c r="D694" s="22" t="s">
        <v>1224</v>
      </c>
      <c r="E694" s="2" t="s">
        <v>1024</v>
      </c>
      <c r="F694" s="2" t="s">
        <v>1025</v>
      </c>
      <c r="G694" s="3" t="s">
        <v>339</v>
      </c>
      <c r="J694" s="149"/>
      <c r="K694" s="23" t="s">
        <v>1225</v>
      </c>
      <c r="L694" s="149" t="s">
        <v>1226</v>
      </c>
      <c r="M694" s="51" t="str">
        <f t="shared" si="547"/>
        <v>-W704310-S307</v>
      </c>
      <c r="O694" s="22">
        <v>2</v>
      </c>
      <c r="P694" s="22">
        <v>2</v>
      </c>
      <c r="Q694" s="22">
        <v>2</v>
      </c>
      <c r="R694" s="22">
        <v>2</v>
      </c>
      <c r="S694" s="22">
        <v>2</v>
      </c>
      <c r="T694" s="22">
        <v>2</v>
      </c>
      <c r="U694" s="22">
        <v>2</v>
      </c>
      <c r="V694" s="22">
        <v>2</v>
      </c>
      <c r="W694" s="64">
        <f t="shared" si="548"/>
        <v>2</v>
      </c>
      <c r="Y694" s="8">
        <v>-0.17299999999999999</v>
      </c>
      <c r="Z694" s="8">
        <v>-4.8999999999999998E-3</v>
      </c>
      <c r="AA694" s="8">
        <v>-2.0999999999999999E-3</v>
      </c>
      <c r="AB694" s="8"/>
      <c r="AC694" s="8">
        <v>0</v>
      </c>
      <c r="AD694" s="8">
        <f t="shared" si="567"/>
        <v>-0.17999999999999997</v>
      </c>
      <c r="AE694" s="2" t="s">
        <v>84</v>
      </c>
      <c r="AG694" s="8"/>
      <c r="AH694" s="8"/>
      <c r="AJ694" s="70"/>
      <c r="AK694" s="70"/>
      <c r="AL694" s="72"/>
      <c r="AM694" s="22"/>
      <c r="AO694" s="22"/>
      <c r="AP694" s="23" t="s">
        <v>1227</v>
      </c>
      <c r="AQ694" s="149" t="s">
        <v>1228</v>
      </c>
      <c r="AR694" s="51" t="str">
        <f t="shared" si="549"/>
        <v>-W502670-S450B</v>
      </c>
      <c r="AS694" s="3"/>
      <c r="AT694" s="94">
        <v>2</v>
      </c>
      <c r="AU694" s="94">
        <v>2</v>
      </c>
      <c r="AV694" s="94">
        <v>2</v>
      </c>
      <c r="AW694" s="94">
        <v>2</v>
      </c>
      <c r="AX694" s="94">
        <v>2</v>
      </c>
      <c r="AY694" s="94">
        <v>2</v>
      </c>
      <c r="AZ694" s="94">
        <v>2</v>
      </c>
      <c r="BA694" s="94">
        <v>2</v>
      </c>
      <c r="BB694" s="64">
        <f t="shared" si="550"/>
        <v>2</v>
      </c>
      <c r="BD694" s="60">
        <v>-0.1263</v>
      </c>
      <c r="BE694" s="60">
        <v>-2.5999999999999999E-3</v>
      </c>
      <c r="BF694" s="60">
        <v>-1.1000000000000001E-3</v>
      </c>
      <c r="BG694" s="95"/>
      <c r="BH694" s="95"/>
      <c r="BI694" s="8">
        <f t="shared" si="575"/>
        <v>-0.12999999999999998</v>
      </c>
      <c r="BJ694" s="2" t="s">
        <v>84</v>
      </c>
      <c r="BL694" s="70"/>
      <c r="BM694" s="70"/>
      <c r="BO694" s="70"/>
      <c r="BP694" s="70"/>
      <c r="BQ694" s="72"/>
      <c r="BS694" s="61">
        <f t="shared" si="580"/>
        <v>-4.6699999999999992E-2</v>
      </c>
      <c r="BT694" s="61">
        <f t="shared" si="581"/>
        <v>-2.3E-3</v>
      </c>
      <c r="BU694" s="61">
        <f t="shared" si="582"/>
        <v>-9.999999999999998E-4</v>
      </c>
      <c r="BV694" s="61">
        <f t="shared" si="582"/>
        <v>0</v>
      </c>
      <c r="BW694" s="61">
        <f t="shared" si="582"/>
        <v>0</v>
      </c>
      <c r="BX694" s="61">
        <f t="shared" si="579"/>
        <v>-4.9999999999999989E-2</v>
      </c>
      <c r="BY694" s="61" t="s">
        <v>91</v>
      </c>
      <c r="CA694" s="61">
        <f t="shared" si="587"/>
        <v>-1.4051451782759137E-2</v>
      </c>
      <c r="CB694" s="61">
        <f t="shared" si="587"/>
        <v>-1.4051451782759137E-2</v>
      </c>
      <c r="CC694" s="61">
        <f t="shared" si="587"/>
        <v>-1.4051451782759137E-2</v>
      </c>
      <c r="CD694" s="61">
        <f t="shared" si="587"/>
        <v>-1.4051451782759137E-2</v>
      </c>
      <c r="CE694" s="61">
        <f t="shared" si="587"/>
        <v>-1.4051451782759137E-2</v>
      </c>
      <c r="CF694" s="61">
        <f t="shared" si="576"/>
        <v>-1.4051451782759137E-2</v>
      </c>
      <c r="CG694" s="61">
        <f t="shared" si="576"/>
        <v>-1.4051451782759137E-2</v>
      </c>
      <c r="CH694" s="61">
        <f t="shared" si="576"/>
        <v>-1.4051451782759137E-2</v>
      </c>
      <c r="CI694" s="61">
        <f t="shared" si="568"/>
        <v>-1.4051451782759138E-2</v>
      </c>
      <c r="CJ694" s="61"/>
      <c r="CK694" s="61">
        <f t="shared" si="588"/>
        <v>-1.5044380923724985E-2</v>
      </c>
      <c r="CL694" s="61">
        <f t="shared" si="588"/>
        <v>-1.5044380923724985E-2</v>
      </c>
      <c r="CM694" s="61">
        <f t="shared" si="588"/>
        <v>-1.5044380923724985E-2</v>
      </c>
      <c r="CN694" s="61">
        <f t="shared" si="588"/>
        <v>-1.5044380923724985E-2</v>
      </c>
      <c r="CO694" s="61">
        <f t="shared" si="588"/>
        <v>-1.5044380923724985E-2</v>
      </c>
      <c r="CP694" s="61">
        <f t="shared" si="577"/>
        <v>-1.5044380923724985E-2</v>
      </c>
      <c r="CQ694" s="61">
        <f t="shared" si="577"/>
        <v>-1.5044380923724985E-2</v>
      </c>
      <c r="CR694" s="61">
        <f t="shared" si="577"/>
        <v>-1.5044380923724985E-2</v>
      </c>
      <c r="CS694" s="61">
        <f t="shared" si="569"/>
        <v>-1.5044380923724987E-2</v>
      </c>
      <c r="CT694" s="61">
        <f t="shared" si="570"/>
        <v>-9.9999999999999992E-2</v>
      </c>
      <c r="CV694" s="61">
        <f t="shared" si="554"/>
        <v>0</v>
      </c>
      <c r="CW694" s="61">
        <f t="shared" si="571"/>
        <v>0</v>
      </c>
      <c r="CX694" s="61"/>
      <c r="CY694" s="61">
        <f t="shared" si="597"/>
        <v>0</v>
      </c>
      <c r="CZ694" s="61">
        <f t="shared" si="597"/>
        <v>0</v>
      </c>
      <c r="DA694" s="61">
        <f t="shared" si="597"/>
        <v>0</v>
      </c>
      <c r="DB694" s="2" t="s">
        <v>86</v>
      </c>
      <c r="DC694" s="2" t="s">
        <v>85</v>
      </c>
      <c r="DD694" s="2" t="s">
        <v>142</v>
      </c>
      <c r="DE694" s="2" t="s">
        <v>1146</v>
      </c>
      <c r="DG694" s="62"/>
      <c r="DZ694" s="3" t="e">
        <v>#N/A</v>
      </c>
      <c r="EC694" s="60" t="str">
        <f>VLOOKUP($M694,[1]Detail!$M:$BO,1,0)</f>
        <v>-W704310-S307</v>
      </c>
      <c r="ED694" s="60">
        <f>VLOOKUP($M694,[1]Detail!$M:$BO,22,0)</f>
        <v>-0.17999999999999997</v>
      </c>
      <c r="EE694" s="60">
        <f>VLOOKUP($M694,[1]Detail!$M:$BO,42,0)</f>
        <v>0</v>
      </c>
      <c r="EF694" s="60">
        <f>VLOOKUP($M694,[1]Detail!$M:$BO,45,0)</f>
        <v>0</v>
      </c>
      <c r="EH694" s="60">
        <f t="shared" si="603"/>
        <v>0</v>
      </c>
      <c r="EI694" s="60">
        <f t="shared" si="604"/>
        <v>0</v>
      </c>
      <c r="EJ694" s="60">
        <f t="shared" si="605"/>
        <v>0</v>
      </c>
    </row>
    <row r="695" spans="2:140" ht="12.75" hidden="1" customHeight="1">
      <c r="B695" s="99" t="s">
        <v>1229</v>
      </c>
      <c r="C695" s="22" t="s">
        <v>1230</v>
      </c>
      <c r="D695" s="22" t="s">
        <v>1231</v>
      </c>
      <c r="E695" s="2" t="s">
        <v>968</v>
      </c>
      <c r="F695" s="2" t="s">
        <v>969</v>
      </c>
      <c r="G695" s="3" t="s">
        <v>331</v>
      </c>
      <c r="J695" s="2" t="s">
        <v>138</v>
      </c>
      <c r="K695" s="149" t="s">
        <v>1232</v>
      </c>
      <c r="L695" s="23" t="s">
        <v>234</v>
      </c>
      <c r="M695" s="51" t="str">
        <f t="shared" si="547"/>
        <v>JD8B-13D154-AC</v>
      </c>
      <c r="O695" s="94">
        <v>0</v>
      </c>
      <c r="P695" s="94">
        <v>0</v>
      </c>
      <c r="Q695" s="94">
        <v>0</v>
      </c>
      <c r="R695" s="94">
        <v>0</v>
      </c>
      <c r="S695" s="94">
        <v>0</v>
      </c>
      <c r="T695" s="94">
        <v>0</v>
      </c>
      <c r="U695" s="94">
        <v>1</v>
      </c>
      <c r="V695" s="94">
        <v>1</v>
      </c>
      <c r="W695" s="64">
        <f t="shared" si="548"/>
        <v>0.1</v>
      </c>
      <c r="Y695" s="60">
        <f>-909.96</f>
        <v>-909.96</v>
      </c>
      <c r="Z695" s="60">
        <v>-7.59</v>
      </c>
      <c r="AA695" s="60">
        <v>-2.36</v>
      </c>
      <c r="AB695" s="8">
        <v>0</v>
      </c>
      <c r="AC695" s="8">
        <v>-3.99</v>
      </c>
      <c r="AD695" s="8">
        <f t="shared" si="567"/>
        <v>-923.90000000000009</v>
      </c>
      <c r="AE695" s="2" t="s">
        <v>91</v>
      </c>
      <c r="AG695" s="6">
        <f>-10983400*0-11253400</f>
        <v>-11253400</v>
      </c>
      <c r="AH695" s="6">
        <f>-10983400*0-11253400</f>
        <v>-11253400</v>
      </c>
      <c r="AI695" s="6"/>
      <c r="AJ695" s="71">
        <v>-458382.3</v>
      </c>
      <c r="AK695" s="71">
        <f>57489.9*2</f>
        <v>114979.8</v>
      </c>
      <c r="AL695" s="72"/>
      <c r="AM695" s="22"/>
      <c r="AO695" s="2" t="s">
        <v>138</v>
      </c>
      <c r="AP695" s="149" t="s">
        <v>1233</v>
      </c>
      <c r="AQ695" s="23" t="s">
        <v>141</v>
      </c>
      <c r="AR695" s="51" t="str">
        <f t="shared" si="549"/>
        <v>JD8B-13D154 -AB</v>
      </c>
      <c r="AS695" s="3"/>
      <c r="AT695" s="94">
        <v>0</v>
      </c>
      <c r="AU695" s="94">
        <v>0</v>
      </c>
      <c r="AV695" s="94">
        <v>0</v>
      </c>
      <c r="AW695" s="94">
        <v>0</v>
      </c>
      <c r="AX695" s="94">
        <v>0</v>
      </c>
      <c r="AY695" s="94">
        <v>0</v>
      </c>
      <c r="AZ695" s="94">
        <v>1</v>
      </c>
      <c r="BA695" s="94">
        <v>1</v>
      </c>
      <c r="BB695" s="64">
        <f t="shared" si="550"/>
        <v>0.1</v>
      </c>
      <c r="BD695" s="60">
        <v>-909.96</v>
      </c>
      <c r="BE695" s="60">
        <v>-7.59</v>
      </c>
      <c r="BF695" s="60">
        <v>-2.36</v>
      </c>
      <c r="BG695" s="60">
        <v>0</v>
      </c>
      <c r="BH695" s="60">
        <v>-3.99</v>
      </c>
      <c r="BI695" s="8">
        <f t="shared" si="575"/>
        <v>-923.90000000000009</v>
      </c>
      <c r="BJ695" s="2" t="s">
        <v>91</v>
      </c>
      <c r="BL695" s="70">
        <f>-10983400*0-11253400</f>
        <v>-11253400</v>
      </c>
      <c r="BM695" s="70">
        <f>-10983400*0-11253400</f>
        <v>-11253400</v>
      </c>
      <c r="BN695" s="6"/>
      <c r="BO695" s="71">
        <v>-458382.3</v>
      </c>
      <c r="BP695" s="71">
        <f>57489.9*2</f>
        <v>114979.8</v>
      </c>
      <c r="BQ695" s="72"/>
      <c r="BS695" s="61">
        <f t="shared" si="580"/>
        <v>0</v>
      </c>
      <c r="BT695" s="61">
        <f t="shared" si="581"/>
        <v>0</v>
      </c>
      <c r="BU695" s="61">
        <f t="shared" si="582"/>
        <v>0</v>
      </c>
      <c r="BV695" s="61">
        <f t="shared" si="582"/>
        <v>0</v>
      </c>
      <c r="BW695" s="61">
        <f t="shared" si="582"/>
        <v>0</v>
      </c>
      <c r="BX695" s="61">
        <f t="shared" si="579"/>
        <v>0</v>
      </c>
      <c r="BY695" s="61" t="s">
        <v>91</v>
      </c>
      <c r="CA695" s="61">
        <f t="shared" si="587"/>
        <v>0</v>
      </c>
      <c r="CB695" s="61">
        <f t="shared" si="587"/>
        <v>0</v>
      </c>
      <c r="CC695" s="61">
        <f t="shared" si="587"/>
        <v>0</v>
      </c>
      <c r="CD695" s="61">
        <f t="shared" si="587"/>
        <v>0</v>
      </c>
      <c r="CE695" s="61">
        <f t="shared" si="587"/>
        <v>0</v>
      </c>
      <c r="CF695" s="61">
        <f t="shared" si="576"/>
        <v>0</v>
      </c>
      <c r="CG695" s="61">
        <f t="shared" si="576"/>
        <v>0</v>
      </c>
      <c r="CH695" s="61">
        <f t="shared" si="576"/>
        <v>0</v>
      </c>
      <c r="CI695" s="61">
        <f t="shared" si="568"/>
        <v>0</v>
      </c>
      <c r="CJ695" s="61"/>
      <c r="CK695" s="61">
        <f t="shared" si="588"/>
        <v>0</v>
      </c>
      <c r="CL695" s="61">
        <f t="shared" si="588"/>
        <v>0</v>
      </c>
      <c r="CM695" s="61">
        <f t="shared" si="588"/>
        <v>0</v>
      </c>
      <c r="CN695" s="61">
        <f t="shared" si="588"/>
        <v>0</v>
      </c>
      <c r="CO695" s="61">
        <f t="shared" si="588"/>
        <v>0</v>
      </c>
      <c r="CP695" s="61">
        <f t="shared" si="577"/>
        <v>0</v>
      </c>
      <c r="CQ695" s="61">
        <f t="shared" si="577"/>
        <v>0</v>
      </c>
      <c r="CR695" s="61">
        <f t="shared" si="577"/>
        <v>0</v>
      </c>
      <c r="CS695" s="61">
        <f t="shared" si="569"/>
        <v>0</v>
      </c>
      <c r="CT695" s="63">
        <f t="shared" si="570"/>
        <v>0</v>
      </c>
      <c r="CV695" s="61">
        <f t="shared" si="554"/>
        <v>0</v>
      </c>
      <c r="CW695" s="61">
        <f t="shared" si="571"/>
        <v>0</v>
      </c>
      <c r="CX695" s="61"/>
      <c r="CY695" s="61">
        <f t="shared" si="597"/>
        <v>0</v>
      </c>
      <c r="CZ695" s="61">
        <f t="shared" si="597"/>
        <v>0</v>
      </c>
      <c r="DA695" s="61">
        <f t="shared" si="597"/>
        <v>0</v>
      </c>
      <c r="DB695" s="2" t="s">
        <v>85</v>
      </c>
      <c r="DC695" s="2" t="s">
        <v>85</v>
      </c>
      <c r="DD695" s="2" t="s">
        <v>142</v>
      </c>
      <c r="DE695" s="2" t="s">
        <v>264</v>
      </c>
      <c r="DG695" s="62"/>
      <c r="DZ695" s="3" t="e">
        <v>#N/A</v>
      </c>
      <c r="EC695" s="60"/>
      <c r="ED695" s="60"/>
      <c r="EE695" s="60"/>
      <c r="EF695" s="60"/>
    </row>
    <row r="696" spans="2:140" ht="12.75" hidden="1" customHeight="1">
      <c r="B696" s="99" t="s">
        <v>1229</v>
      </c>
      <c r="C696" s="22" t="s">
        <v>1230</v>
      </c>
      <c r="D696" s="22" t="s">
        <v>1231</v>
      </c>
      <c r="E696" s="2" t="s">
        <v>968</v>
      </c>
      <c r="F696" s="2" t="s">
        <v>969</v>
      </c>
      <c r="G696" s="2" t="s">
        <v>331</v>
      </c>
      <c r="J696" s="2" t="s">
        <v>138</v>
      </c>
      <c r="K696" s="149" t="s">
        <v>1234</v>
      </c>
      <c r="L696" s="23" t="s">
        <v>234</v>
      </c>
      <c r="M696" s="51" t="str">
        <f t="shared" si="547"/>
        <v>JD8B-13D155-AC</v>
      </c>
      <c r="O696" s="94">
        <v>0</v>
      </c>
      <c r="P696" s="94">
        <v>0</v>
      </c>
      <c r="Q696" s="94">
        <v>0</v>
      </c>
      <c r="R696" s="94">
        <v>0</v>
      </c>
      <c r="S696" s="94">
        <v>0</v>
      </c>
      <c r="T696" s="94">
        <v>0</v>
      </c>
      <c r="U696" s="94">
        <v>1</v>
      </c>
      <c r="V696" s="94">
        <v>1</v>
      </c>
      <c r="W696" s="64">
        <f t="shared" si="548"/>
        <v>0.1</v>
      </c>
      <c r="Y696" s="60">
        <f>-909.96</f>
        <v>-909.96</v>
      </c>
      <c r="Z696" s="60">
        <v>-7.59</v>
      </c>
      <c r="AA696" s="60">
        <v>-2.36</v>
      </c>
      <c r="AB696" s="8">
        <v>0</v>
      </c>
      <c r="AC696" s="8">
        <v>-3.99</v>
      </c>
      <c r="AD696" s="8">
        <f t="shared" si="567"/>
        <v>-923.90000000000009</v>
      </c>
      <c r="AE696" s="2" t="s">
        <v>91</v>
      </c>
      <c r="AG696" s="8">
        <v>0</v>
      </c>
      <c r="AH696" s="8">
        <v>0</v>
      </c>
      <c r="AJ696" s="71" t="s">
        <v>643</v>
      </c>
      <c r="AK696" s="71"/>
      <c r="AL696" s="72"/>
      <c r="AM696" s="22"/>
      <c r="AO696" s="2" t="s">
        <v>138</v>
      </c>
      <c r="AP696" s="149" t="s">
        <v>1235</v>
      </c>
      <c r="AQ696" s="23" t="s">
        <v>141</v>
      </c>
      <c r="AR696" s="51" t="str">
        <f t="shared" si="549"/>
        <v>JD8B-13D155 -AB</v>
      </c>
      <c r="AS696" s="3"/>
      <c r="AT696" s="94">
        <v>0</v>
      </c>
      <c r="AU696" s="94">
        <v>0</v>
      </c>
      <c r="AV696" s="94">
        <v>0</v>
      </c>
      <c r="AW696" s="94">
        <v>0</v>
      </c>
      <c r="AX696" s="94">
        <v>0</v>
      </c>
      <c r="AY696" s="94">
        <v>0</v>
      </c>
      <c r="AZ696" s="94">
        <v>1</v>
      </c>
      <c r="BA696" s="94">
        <v>1</v>
      </c>
      <c r="BB696" s="64">
        <f t="shared" si="550"/>
        <v>0.1</v>
      </c>
      <c r="BD696" s="60">
        <v>-909.96</v>
      </c>
      <c r="BE696" s="60">
        <v>-7.59</v>
      </c>
      <c r="BF696" s="60">
        <v>-2.36</v>
      </c>
      <c r="BG696" s="60">
        <v>0</v>
      </c>
      <c r="BH696" s="60">
        <v>-3.99</v>
      </c>
      <c r="BI696" s="8">
        <f t="shared" si="575"/>
        <v>-923.90000000000009</v>
      </c>
      <c r="BJ696" s="2" t="s">
        <v>91</v>
      </c>
      <c r="BL696" s="70">
        <v>0</v>
      </c>
      <c r="BM696" s="70">
        <v>0</v>
      </c>
      <c r="BO696" s="71" t="s">
        <v>643</v>
      </c>
      <c r="BP696" s="71"/>
      <c r="BQ696" s="72"/>
      <c r="BS696" s="61">
        <f t="shared" si="580"/>
        <v>0</v>
      </c>
      <c r="BT696" s="61">
        <f t="shared" si="581"/>
        <v>0</v>
      </c>
      <c r="BU696" s="61">
        <f t="shared" si="582"/>
        <v>0</v>
      </c>
      <c r="BV696" s="61">
        <f t="shared" si="582"/>
        <v>0</v>
      </c>
      <c r="BW696" s="61">
        <f t="shared" si="582"/>
        <v>0</v>
      </c>
      <c r="BX696" s="61">
        <f t="shared" si="579"/>
        <v>0</v>
      </c>
      <c r="BY696" s="61" t="s">
        <v>91</v>
      </c>
      <c r="CA696" s="61">
        <f t="shared" si="587"/>
        <v>0</v>
      </c>
      <c r="CB696" s="61">
        <f t="shared" si="587"/>
        <v>0</v>
      </c>
      <c r="CC696" s="61">
        <f t="shared" si="587"/>
        <v>0</v>
      </c>
      <c r="CD696" s="61">
        <f t="shared" si="587"/>
        <v>0</v>
      </c>
      <c r="CE696" s="61">
        <f t="shared" si="587"/>
        <v>0</v>
      </c>
      <c r="CF696" s="61">
        <f t="shared" si="576"/>
        <v>0</v>
      </c>
      <c r="CG696" s="61">
        <f t="shared" si="576"/>
        <v>0</v>
      </c>
      <c r="CH696" s="61">
        <f t="shared" si="576"/>
        <v>0</v>
      </c>
      <c r="CI696" s="61">
        <f t="shared" si="568"/>
        <v>0</v>
      </c>
      <c r="CJ696" s="61"/>
      <c r="CK696" s="61">
        <f t="shared" si="588"/>
        <v>0</v>
      </c>
      <c r="CL696" s="61">
        <f t="shared" si="588"/>
        <v>0</v>
      </c>
      <c r="CM696" s="61">
        <f t="shared" si="588"/>
        <v>0</v>
      </c>
      <c r="CN696" s="61">
        <f t="shared" si="588"/>
        <v>0</v>
      </c>
      <c r="CO696" s="61">
        <f t="shared" si="588"/>
        <v>0</v>
      </c>
      <c r="CP696" s="61">
        <f t="shared" si="577"/>
        <v>0</v>
      </c>
      <c r="CQ696" s="61">
        <f t="shared" si="577"/>
        <v>0</v>
      </c>
      <c r="CR696" s="61">
        <f t="shared" si="577"/>
        <v>0</v>
      </c>
      <c r="CS696" s="61">
        <f t="shared" si="569"/>
        <v>0</v>
      </c>
      <c r="CT696" s="63">
        <f t="shared" si="570"/>
        <v>0</v>
      </c>
      <c r="CV696" s="61">
        <f t="shared" si="554"/>
        <v>0</v>
      </c>
      <c r="CW696" s="61">
        <f t="shared" si="571"/>
        <v>0</v>
      </c>
      <c r="CX696" s="61"/>
      <c r="CY696" s="61">
        <f t="shared" si="597"/>
        <v>0</v>
      </c>
      <c r="CZ696" s="61">
        <f t="shared" si="597"/>
        <v>0</v>
      </c>
      <c r="DA696" s="61">
        <f t="shared" si="597"/>
        <v>0</v>
      </c>
      <c r="DB696" s="2" t="s">
        <v>85</v>
      </c>
      <c r="DC696" s="2" t="s">
        <v>85</v>
      </c>
      <c r="DD696" s="2" t="s">
        <v>142</v>
      </c>
      <c r="DE696" s="2" t="s">
        <v>264</v>
      </c>
      <c r="DG696" s="62"/>
      <c r="DZ696" s="3" t="e">
        <v>#N/A</v>
      </c>
      <c r="EC696" s="60"/>
      <c r="ED696" s="60"/>
      <c r="EE696" s="60"/>
      <c r="EF696" s="60"/>
    </row>
    <row r="697" spans="2:140" ht="12.75" hidden="1" customHeight="1">
      <c r="B697" s="99" t="s">
        <v>1236</v>
      </c>
      <c r="C697" s="22" t="s">
        <v>567</v>
      </c>
      <c r="D697" s="22" t="s">
        <v>568</v>
      </c>
      <c r="E697" s="2" t="s">
        <v>968</v>
      </c>
      <c r="F697" s="2" t="s">
        <v>969</v>
      </c>
      <c r="G697" s="2" t="s">
        <v>1087</v>
      </c>
      <c r="J697" s="149" t="s">
        <v>126</v>
      </c>
      <c r="K697" s="23" t="s">
        <v>1237</v>
      </c>
      <c r="L697" s="149" t="s">
        <v>162</v>
      </c>
      <c r="M697" s="51" t="str">
        <f t="shared" ref="M697:M708" si="606">TRIM(J697)&amp;"-"&amp;TRIM(K697)&amp;"-"&amp;TRIM(L697)</f>
        <v>JD8B-F16114-AD</v>
      </c>
      <c r="O697" s="22">
        <v>1</v>
      </c>
      <c r="P697" s="22">
        <v>1</v>
      </c>
      <c r="Q697" s="22">
        <v>1</v>
      </c>
      <c r="R697" s="22">
        <v>1</v>
      </c>
      <c r="S697" s="22">
        <v>1</v>
      </c>
      <c r="T697" s="22">
        <v>1</v>
      </c>
      <c r="U697" s="22">
        <v>1</v>
      </c>
      <c r="V697" s="22">
        <v>1</v>
      </c>
      <c r="W697" s="64">
        <f t="shared" ref="W697:W708" si="607">SUMPRODUCT(O697:V697,$O$6:$V$6)</f>
        <v>1</v>
      </c>
      <c r="Y697" s="8">
        <v>-43.89</v>
      </c>
      <c r="Z697" s="8">
        <v>-0.3</v>
      </c>
      <c r="AA697" s="8">
        <v>-0.6</v>
      </c>
      <c r="AB697" s="8">
        <v>0</v>
      </c>
      <c r="AC697" s="8">
        <v>0</v>
      </c>
      <c r="AD697" s="8">
        <f t="shared" si="567"/>
        <v>-44.79</v>
      </c>
      <c r="AE697" s="2" t="s">
        <v>91</v>
      </c>
      <c r="AG697" s="8">
        <v>-905000</v>
      </c>
      <c r="AH697" s="8">
        <v>-905000</v>
      </c>
      <c r="AJ697" s="70"/>
      <c r="AK697" s="70"/>
      <c r="AL697" s="72"/>
      <c r="AM697" s="22"/>
      <c r="AO697" s="22" t="s">
        <v>126</v>
      </c>
      <c r="AP697" s="23" t="s">
        <v>569</v>
      </c>
      <c r="AQ697" s="22" t="s">
        <v>234</v>
      </c>
      <c r="AR697" s="51" t="str">
        <f t="shared" ref="AR697:AR734" si="608">TRIM(AO697)&amp;"-"&amp;TRIM(AP697)&amp;"-"&amp;TRIM(AQ697)</f>
        <v>JD8B-F16114-AC</v>
      </c>
      <c r="AS697" s="3"/>
      <c r="AT697" s="22">
        <v>1</v>
      </c>
      <c r="AU697" s="22">
        <v>1</v>
      </c>
      <c r="AV697" s="22">
        <v>1</v>
      </c>
      <c r="AW697" s="22">
        <v>1</v>
      </c>
      <c r="AX697" s="22">
        <v>1</v>
      </c>
      <c r="AY697" s="22">
        <v>1</v>
      </c>
      <c r="AZ697" s="22">
        <v>1</v>
      </c>
      <c r="BA697" s="22">
        <v>1</v>
      </c>
      <c r="BB697" s="64">
        <f t="shared" ref="BB697:BB708" si="609">SUMPRODUCT(AT697:BA697,$O$6:$V$6)</f>
        <v>1</v>
      </c>
      <c r="BD697" s="2">
        <f>-34.61*0-34.03</f>
        <v>-34.03</v>
      </c>
      <c r="BE697" s="2">
        <v>-0.3</v>
      </c>
      <c r="BF697" s="2">
        <v>-0.6</v>
      </c>
      <c r="BG697" s="2">
        <v>0</v>
      </c>
      <c r="BH697" s="2">
        <v>0</v>
      </c>
      <c r="BI697" s="8">
        <f t="shared" si="575"/>
        <v>-34.93</v>
      </c>
      <c r="BJ697" s="2" t="s">
        <v>91</v>
      </c>
      <c r="BL697" s="2">
        <v>-880000</v>
      </c>
      <c r="BM697" s="2">
        <v>-880000</v>
      </c>
      <c r="BN697" s="6"/>
      <c r="BO697" s="71">
        <v>0</v>
      </c>
      <c r="BP697" s="71">
        <v>0</v>
      </c>
      <c r="BQ697" s="72">
        <v>0</v>
      </c>
      <c r="BS697" s="61">
        <f t="shared" si="580"/>
        <v>-9.86</v>
      </c>
      <c r="BT697" s="61">
        <f t="shared" si="581"/>
        <v>0</v>
      </c>
      <c r="BU697" s="61">
        <f t="shared" si="582"/>
        <v>0</v>
      </c>
      <c r="BV697" s="61">
        <f t="shared" si="582"/>
        <v>0</v>
      </c>
      <c r="BW697" s="61">
        <f t="shared" si="582"/>
        <v>0</v>
      </c>
      <c r="BX697" s="61">
        <f t="shared" si="579"/>
        <v>-9.86</v>
      </c>
      <c r="BY697" s="61" t="s">
        <v>91</v>
      </c>
      <c r="CA697" s="61">
        <f t="shared" si="587"/>
        <v>-1.4833759590792837</v>
      </c>
      <c r="CB697" s="61">
        <f t="shared" si="587"/>
        <v>-1.4833759590792837</v>
      </c>
      <c r="CC697" s="61">
        <f t="shared" si="587"/>
        <v>-1.4833759590792837</v>
      </c>
      <c r="CD697" s="61">
        <f t="shared" si="587"/>
        <v>-1.4833759590792837</v>
      </c>
      <c r="CE697" s="61">
        <f t="shared" si="587"/>
        <v>-1.4833759590792837</v>
      </c>
      <c r="CF697" s="61">
        <f t="shared" si="576"/>
        <v>-1.4833759590792837</v>
      </c>
      <c r="CG697" s="61">
        <f t="shared" si="576"/>
        <v>-1.4833759590792837</v>
      </c>
      <c r="CH697" s="61">
        <f t="shared" si="576"/>
        <v>-1.4833759590792837</v>
      </c>
      <c r="CI697" s="61">
        <f t="shared" si="568"/>
        <v>-1.4833759590792837</v>
      </c>
      <c r="CJ697" s="61"/>
      <c r="CK697" s="61">
        <f t="shared" si="588"/>
        <v>-1.4833759590792837</v>
      </c>
      <c r="CL697" s="61">
        <f t="shared" si="588"/>
        <v>-1.4833759590792837</v>
      </c>
      <c r="CM697" s="61">
        <f t="shared" si="588"/>
        <v>-1.4833759590792837</v>
      </c>
      <c r="CN697" s="61">
        <f t="shared" si="588"/>
        <v>-1.4833759590792837</v>
      </c>
      <c r="CO697" s="61">
        <f t="shared" si="588"/>
        <v>-1.4833759590792837</v>
      </c>
      <c r="CP697" s="61">
        <f t="shared" si="577"/>
        <v>-1.4833759590792837</v>
      </c>
      <c r="CQ697" s="61">
        <f t="shared" si="577"/>
        <v>-1.4833759590792837</v>
      </c>
      <c r="CR697" s="61">
        <f t="shared" si="577"/>
        <v>-1.4833759590792837</v>
      </c>
      <c r="CS697" s="61">
        <f t="shared" si="569"/>
        <v>-1.4833759590792837</v>
      </c>
      <c r="CT697" s="61">
        <f t="shared" si="570"/>
        <v>-9.86</v>
      </c>
      <c r="CV697" s="61">
        <f t="shared" si="554"/>
        <v>-25000</v>
      </c>
      <c r="CW697" s="61">
        <f t="shared" si="571"/>
        <v>-25000</v>
      </c>
      <c r="CX697" s="61"/>
      <c r="CY697" s="61">
        <f t="shared" si="597"/>
        <v>0</v>
      </c>
      <c r="CZ697" s="61">
        <f t="shared" si="597"/>
        <v>0</v>
      </c>
      <c r="DA697" s="61">
        <f t="shared" si="597"/>
        <v>0</v>
      </c>
      <c r="DB697" s="2" t="s">
        <v>86</v>
      </c>
      <c r="DC697" s="2" t="s">
        <v>85</v>
      </c>
      <c r="DD697" s="2" t="s">
        <v>87</v>
      </c>
      <c r="DE697" s="2" t="s">
        <v>264</v>
      </c>
      <c r="DG697" s="62"/>
      <c r="DZ697" s="3" t="e">
        <v>#N/A</v>
      </c>
      <c r="EC697" s="60" t="str">
        <f>VLOOKUP($M697,[1]Detail!$M:$BO,1,0)</f>
        <v>JD8B-F16114-AD</v>
      </c>
      <c r="ED697" s="60">
        <f>VLOOKUP($M697,[1]Detail!$M:$BO,22,0)</f>
        <v>-44.79</v>
      </c>
      <c r="EE697" s="60">
        <f>VLOOKUP($M697,[1]Detail!$M:$BO,42,0)</f>
        <v>-905000</v>
      </c>
      <c r="EF697" s="60">
        <f>VLOOKUP($M697,[1]Detail!$M:$BO,45,0)</f>
        <v>0</v>
      </c>
      <c r="EH697" s="60">
        <f>ED697-AD697</f>
        <v>0</v>
      </c>
      <c r="EI697" s="60">
        <f>EE697-AG697</f>
        <v>0</v>
      </c>
      <c r="EJ697" s="60">
        <f>EF697-AJ697</f>
        <v>0</v>
      </c>
    </row>
    <row r="698" spans="2:140" ht="12.75" hidden="1" customHeight="1">
      <c r="B698" s="99" t="s">
        <v>1238</v>
      </c>
      <c r="C698" s="22" t="s">
        <v>1239</v>
      </c>
      <c r="D698" s="22" t="s">
        <v>1240</v>
      </c>
      <c r="E698" s="2" t="s">
        <v>993</v>
      </c>
      <c r="F698" s="2" t="s">
        <v>969</v>
      </c>
      <c r="G698" s="2" t="s">
        <v>994</v>
      </c>
      <c r="J698" s="149" t="s">
        <v>126</v>
      </c>
      <c r="K698" s="23">
        <v>3600</v>
      </c>
      <c r="L698" s="149" t="s">
        <v>93</v>
      </c>
      <c r="M698" s="51" t="str">
        <f t="shared" si="606"/>
        <v>JD8B-3600-ABW</v>
      </c>
      <c r="O698" s="22">
        <v>1</v>
      </c>
      <c r="P698" s="22">
        <v>1</v>
      </c>
      <c r="Q698" s="22"/>
      <c r="R698" s="22"/>
      <c r="S698" s="22"/>
      <c r="T698" s="22"/>
      <c r="U698" s="22"/>
      <c r="V698" s="22"/>
      <c r="W698" s="64">
        <f t="shared" si="607"/>
        <v>0.30000000000000004</v>
      </c>
      <c r="Y698" s="60">
        <v>-94.17</v>
      </c>
      <c r="Z698" s="60">
        <v>-1.88</v>
      </c>
      <c r="AA698" s="60"/>
      <c r="AB698" s="60"/>
      <c r="AC698" s="60">
        <v>-5.42</v>
      </c>
      <c r="AD698" s="8">
        <f t="shared" si="567"/>
        <v>-101.47</v>
      </c>
      <c r="AE698" s="2" t="s">
        <v>84</v>
      </c>
      <c r="AG698" s="70">
        <v>-432200</v>
      </c>
      <c r="AH698" s="70">
        <v>-432200</v>
      </c>
      <c r="AI698" s="2">
        <v>-474200</v>
      </c>
      <c r="AJ698" s="70">
        <v>-4613877</v>
      </c>
      <c r="AK698" s="70">
        <f t="shared" ref="AK698:AK706" si="610">AJ698/AC698</f>
        <v>851268.8191881919</v>
      </c>
      <c r="AL698" s="72"/>
      <c r="AM698" s="22"/>
      <c r="AO698" s="149" t="s">
        <v>126</v>
      </c>
      <c r="AP698" s="23">
        <v>3600</v>
      </c>
      <c r="AQ698" s="22" t="s">
        <v>196</v>
      </c>
      <c r="AR698" s="51" t="str">
        <f t="shared" si="608"/>
        <v>JD8B-3600-AAW</v>
      </c>
      <c r="AS698" s="3"/>
      <c r="AT698" s="22">
        <v>1</v>
      </c>
      <c r="AU698" s="22">
        <v>1</v>
      </c>
      <c r="AV698" s="94">
        <v>0</v>
      </c>
      <c r="AW698" s="94">
        <v>0</v>
      </c>
      <c r="AX698" s="94">
        <v>0</v>
      </c>
      <c r="AY698" s="94">
        <v>0</v>
      </c>
      <c r="AZ698" s="94">
        <v>0</v>
      </c>
      <c r="BA698" s="94">
        <v>0</v>
      </c>
      <c r="BB698" s="64">
        <f t="shared" si="609"/>
        <v>0.30000000000000004</v>
      </c>
      <c r="BD698" s="60">
        <v>-94.17</v>
      </c>
      <c r="BE698" s="60">
        <v>-1.88</v>
      </c>
      <c r="BF698" s="60"/>
      <c r="BG698" s="60"/>
      <c r="BH698" s="60">
        <v>-5.42</v>
      </c>
      <c r="BI698" s="8">
        <f t="shared" si="575"/>
        <v>-101.47</v>
      </c>
      <c r="BJ698" s="2" t="s">
        <v>84</v>
      </c>
      <c r="BL698" s="70">
        <v>-474200</v>
      </c>
      <c r="BM698" s="70">
        <v>-474200</v>
      </c>
      <c r="BN698" s="2">
        <v>-474200</v>
      </c>
      <c r="BO698" s="70">
        <v>-4613877</v>
      </c>
      <c r="BP698" s="70">
        <f t="shared" ref="BP698:BP704" si="611">BO698/BH698</f>
        <v>851268.8191881919</v>
      </c>
      <c r="BQ698" s="72"/>
      <c r="BS698" s="61">
        <f t="shared" si="580"/>
        <v>0</v>
      </c>
      <c r="BT698" s="61">
        <f t="shared" si="581"/>
        <v>0</v>
      </c>
      <c r="BU698" s="61">
        <f t="shared" si="582"/>
        <v>0</v>
      </c>
      <c r="BV698" s="61">
        <f t="shared" si="582"/>
        <v>0</v>
      </c>
      <c r="BW698" s="61">
        <f t="shared" si="582"/>
        <v>0</v>
      </c>
      <c r="BX698" s="61">
        <f t="shared" si="579"/>
        <v>0</v>
      </c>
      <c r="BY698" s="61" t="s">
        <v>91</v>
      </c>
      <c r="CA698" s="61">
        <f t="shared" si="587"/>
        <v>0</v>
      </c>
      <c r="CB698" s="61">
        <f t="shared" si="587"/>
        <v>0</v>
      </c>
      <c r="CC698" s="61">
        <f t="shared" si="587"/>
        <v>0</v>
      </c>
      <c r="CD698" s="61">
        <f t="shared" si="587"/>
        <v>0</v>
      </c>
      <c r="CE698" s="61">
        <f t="shared" si="587"/>
        <v>0</v>
      </c>
      <c r="CF698" s="61">
        <f t="shared" si="576"/>
        <v>0</v>
      </c>
      <c r="CG698" s="61">
        <f t="shared" si="576"/>
        <v>0</v>
      </c>
      <c r="CH698" s="61">
        <f t="shared" si="576"/>
        <v>0</v>
      </c>
      <c r="CI698" s="61">
        <f t="shared" si="568"/>
        <v>0</v>
      </c>
      <c r="CJ698" s="61"/>
      <c r="CK698" s="61">
        <f t="shared" si="588"/>
        <v>0</v>
      </c>
      <c r="CL698" s="61">
        <f t="shared" si="588"/>
        <v>0</v>
      </c>
      <c r="CM698" s="61">
        <f t="shared" si="588"/>
        <v>0</v>
      </c>
      <c r="CN698" s="61">
        <f t="shared" si="588"/>
        <v>0</v>
      </c>
      <c r="CO698" s="61">
        <f t="shared" si="588"/>
        <v>0</v>
      </c>
      <c r="CP698" s="61">
        <f t="shared" si="577"/>
        <v>0</v>
      </c>
      <c r="CQ698" s="61">
        <f t="shared" si="577"/>
        <v>0</v>
      </c>
      <c r="CR698" s="61">
        <f t="shared" si="577"/>
        <v>0</v>
      </c>
      <c r="CS698" s="61">
        <f t="shared" si="569"/>
        <v>0</v>
      </c>
      <c r="CT698" s="61">
        <f t="shared" si="570"/>
        <v>0</v>
      </c>
      <c r="CV698" s="61">
        <f t="shared" si="554"/>
        <v>42000</v>
      </c>
      <c r="CW698" s="61">
        <f t="shared" si="571"/>
        <v>42000</v>
      </c>
      <c r="CX698" s="61"/>
      <c r="CY698" s="61">
        <f t="shared" si="597"/>
        <v>0</v>
      </c>
      <c r="CZ698" s="61">
        <f t="shared" si="597"/>
        <v>0</v>
      </c>
      <c r="DA698" s="61">
        <f t="shared" si="597"/>
        <v>0</v>
      </c>
      <c r="DB698" s="2" t="s">
        <v>85</v>
      </c>
      <c r="DC698" s="2" t="s">
        <v>85</v>
      </c>
      <c r="DD698" s="2" t="s">
        <v>87</v>
      </c>
      <c r="DE698" s="2" t="s">
        <v>264</v>
      </c>
      <c r="DG698" s="62"/>
      <c r="DZ698" s="3" t="e">
        <v>#N/A</v>
      </c>
      <c r="EC698" s="60"/>
      <c r="ED698" s="60"/>
      <c r="EE698" s="60"/>
      <c r="EF698" s="60"/>
    </row>
    <row r="699" spans="2:140" ht="12.75" hidden="1" customHeight="1">
      <c r="B699" s="99" t="s">
        <v>1238</v>
      </c>
      <c r="C699" s="22" t="s">
        <v>1239</v>
      </c>
      <c r="D699" s="22" t="s">
        <v>1240</v>
      </c>
      <c r="E699" s="2" t="s">
        <v>993</v>
      </c>
      <c r="F699" s="2" t="s">
        <v>969</v>
      </c>
      <c r="G699" s="2" t="s">
        <v>994</v>
      </c>
      <c r="J699" s="149" t="s">
        <v>126</v>
      </c>
      <c r="K699" s="23">
        <v>3600</v>
      </c>
      <c r="L699" s="149" t="s">
        <v>210</v>
      </c>
      <c r="M699" s="51" t="str">
        <f t="shared" si="606"/>
        <v>JD8B-3600-BBW</v>
      </c>
      <c r="O699" s="22"/>
      <c r="P699" s="22"/>
      <c r="Q699" s="22">
        <v>1</v>
      </c>
      <c r="R699" s="22">
        <v>1</v>
      </c>
      <c r="S699" s="22"/>
      <c r="T699" s="22"/>
      <c r="U699" s="22"/>
      <c r="V699" s="22"/>
      <c r="W699" s="64">
        <f t="shared" si="607"/>
        <v>0.37</v>
      </c>
      <c r="Y699" s="60">
        <v>-229.72370000000001</v>
      </c>
      <c r="Z699" s="60">
        <v>-2.31</v>
      </c>
      <c r="AA699" s="60"/>
      <c r="AB699" s="60"/>
      <c r="AC699" s="60">
        <v>-5.42</v>
      </c>
      <c r="AD699" s="8">
        <f t="shared" si="567"/>
        <v>-237.4537</v>
      </c>
      <c r="AE699" s="2" t="s">
        <v>84</v>
      </c>
      <c r="AG699" s="70">
        <v>-909200</v>
      </c>
      <c r="AH699" s="70">
        <v>-909200</v>
      </c>
      <c r="AI699" s="2">
        <v>-909200</v>
      </c>
      <c r="AJ699" s="70">
        <v>-4613877</v>
      </c>
      <c r="AK699" s="70">
        <f t="shared" si="610"/>
        <v>851268.8191881919</v>
      </c>
      <c r="AL699" s="72"/>
      <c r="AM699" s="22"/>
      <c r="AO699" s="149" t="s">
        <v>126</v>
      </c>
      <c r="AP699" s="23">
        <v>3600</v>
      </c>
      <c r="AQ699" s="22" t="s">
        <v>198</v>
      </c>
      <c r="AR699" s="51" t="str">
        <f t="shared" si="608"/>
        <v>JD8B-3600-BAW</v>
      </c>
      <c r="AS699" s="3"/>
      <c r="AT699" s="94">
        <v>0</v>
      </c>
      <c r="AU699" s="94">
        <v>0</v>
      </c>
      <c r="AV699" s="22">
        <v>1</v>
      </c>
      <c r="AW699" s="22">
        <v>1</v>
      </c>
      <c r="AX699" s="94">
        <v>0</v>
      </c>
      <c r="AY699" s="94">
        <v>0</v>
      </c>
      <c r="AZ699" s="94">
        <v>0</v>
      </c>
      <c r="BA699" s="94">
        <v>0</v>
      </c>
      <c r="BB699" s="64">
        <f t="shared" si="609"/>
        <v>0.37</v>
      </c>
      <c r="BD699" s="60">
        <v>-229.72370000000001</v>
      </c>
      <c r="BE699" s="60">
        <v>-2.31</v>
      </c>
      <c r="BF699" s="60"/>
      <c r="BG699" s="60"/>
      <c r="BH699" s="60">
        <v>-5.42</v>
      </c>
      <c r="BI699" s="8">
        <f t="shared" si="575"/>
        <v>-237.4537</v>
      </c>
      <c r="BJ699" s="2" t="s">
        <v>84</v>
      </c>
      <c r="BL699" s="70">
        <v>-909200</v>
      </c>
      <c r="BM699" s="70">
        <v>-909200</v>
      </c>
      <c r="BN699" s="2">
        <v>-909200</v>
      </c>
      <c r="BO699" s="70">
        <v>-4613877</v>
      </c>
      <c r="BP699" s="70">
        <f t="shared" si="611"/>
        <v>851268.8191881919</v>
      </c>
      <c r="BQ699" s="72"/>
      <c r="BS699" s="61">
        <f t="shared" si="580"/>
        <v>0</v>
      </c>
      <c r="BT699" s="61">
        <f t="shared" si="581"/>
        <v>0</v>
      </c>
      <c r="BU699" s="61">
        <f t="shared" si="582"/>
        <v>0</v>
      </c>
      <c r="BV699" s="61">
        <f t="shared" si="582"/>
        <v>0</v>
      </c>
      <c r="BW699" s="61">
        <f t="shared" si="582"/>
        <v>0</v>
      </c>
      <c r="BX699" s="61">
        <f t="shared" si="579"/>
        <v>0</v>
      </c>
      <c r="BY699" s="61" t="s">
        <v>91</v>
      </c>
      <c r="CA699" s="61">
        <f t="shared" si="587"/>
        <v>0</v>
      </c>
      <c r="CB699" s="61">
        <f t="shared" si="587"/>
        <v>0</v>
      </c>
      <c r="CC699" s="61">
        <f t="shared" si="587"/>
        <v>0</v>
      </c>
      <c r="CD699" s="61">
        <f t="shared" si="587"/>
        <v>0</v>
      </c>
      <c r="CE699" s="61">
        <f t="shared" si="587"/>
        <v>0</v>
      </c>
      <c r="CF699" s="61">
        <f t="shared" si="576"/>
        <v>0</v>
      </c>
      <c r="CG699" s="61">
        <f t="shared" si="576"/>
        <v>0</v>
      </c>
      <c r="CH699" s="61">
        <f t="shared" si="576"/>
        <v>0</v>
      </c>
      <c r="CI699" s="61">
        <f t="shared" si="568"/>
        <v>0</v>
      </c>
      <c r="CJ699" s="61"/>
      <c r="CK699" s="61">
        <f t="shared" si="588"/>
        <v>0</v>
      </c>
      <c r="CL699" s="61">
        <f t="shared" si="588"/>
        <v>0</v>
      </c>
      <c r="CM699" s="61">
        <f t="shared" si="588"/>
        <v>0</v>
      </c>
      <c r="CN699" s="61">
        <f t="shared" si="588"/>
        <v>0</v>
      </c>
      <c r="CO699" s="61">
        <f t="shared" si="588"/>
        <v>0</v>
      </c>
      <c r="CP699" s="61">
        <f t="shared" si="577"/>
        <v>0</v>
      </c>
      <c r="CQ699" s="61">
        <f t="shared" si="577"/>
        <v>0</v>
      </c>
      <c r="CR699" s="61">
        <f t="shared" si="577"/>
        <v>0</v>
      </c>
      <c r="CS699" s="61">
        <f t="shared" si="569"/>
        <v>0</v>
      </c>
      <c r="CT699" s="61">
        <f t="shared" si="570"/>
        <v>0</v>
      </c>
      <c r="CV699" s="61">
        <f t="shared" si="554"/>
        <v>0</v>
      </c>
      <c r="CW699" s="61">
        <f t="shared" si="571"/>
        <v>0</v>
      </c>
      <c r="CX699" s="61"/>
      <c r="CY699" s="61">
        <f t="shared" si="597"/>
        <v>0</v>
      </c>
      <c r="CZ699" s="61">
        <f t="shared" si="597"/>
        <v>0</v>
      </c>
      <c r="DA699" s="61">
        <f t="shared" si="597"/>
        <v>0</v>
      </c>
      <c r="DB699" s="2" t="s">
        <v>85</v>
      </c>
      <c r="DC699" s="2" t="s">
        <v>85</v>
      </c>
      <c r="DD699" s="2" t="s">
        <v>87</v>
      </c>
      <c r="DE699" s="2" t="s">
        <v>264</v>
      </c>
      <c r="DG699" s="62"/>
      <c r="DZ699" s="3" t="e">
        <v>#N/A</v>
      </c>
      <c r="EC699" s="60"/>
      <c r="ED699" s="60"/>
      <c r="EE699" s="60"/>
      <c r="EF699" s="60"/>
    </row>
    <row r="700" spans="2:140" ht="12.75" hidden="1" customHeight="1">
      <c r="B700" s="99" t="s">
        <v>1238</v>
      </c>
      <c r="C700" s="22" t="s">
        <v>1239</v>
      </c>
      <c r="D700" s="22" t="s">
        <v>1240</v>
      </c>
      <c r="E700" s="2" t="s">
        <v>993</v>
      </c>
      <c r="F700" s="2" t="s">
        <v>969</v>
      </c>
      <c r="G700" s="2" t="s">
        <v>994</v>
      </c>
      <c r="J700" s="149" t="s">
        <v>126</v>
      </c>
      <c r="K700" s="23">
        <v>3600</v>
      </c>
      <c r="L700" s="149" t="s">
        <v>211</v>
      </c>
      <c r="M700" s="51" t="str">
        <f t="shared" si="606"/>
        <v>JD8B-3600-CBW</v>
      </c>
      <c r="O700" s="22"/>
      <c r="P700" s="22"/>
      <c r="Q700" s="22"/>
      <c r="R700" s="22"/>
      <c r="S700" s="22">
        <v>1</v>
      </c>
      <c r="T700" s="22">
        <v>1</v>
      </c>
      <c r="U700" s="22">
        <v>1</v>
      </c>
      <c r="V700" s="22">
        <v>1</v>
      </c>
      <c r="W700" s="64">
        <f t="shared" si="607"/>
        <v>0.33</v>
      </c>
      <c r="Y700" s="60">
        <v>-257.64999999999998</v>
      </c>
      <c r="Z700" s="60">
        <v>-2.31</v>
      </c>
      <c r="AA700" s="60"/>
      <c r="AB700" s="60"/>
      <c r="AC700" s="60">
        <v>-5.42</v>
      </c>
      <c r="AD700" s="8">
        <f t="shared" si="567"/>
        <v>-265.38</v>
      </c>
      <c r="AE700" s="2" t="s">
        <v>84</v>
      </c>
      <c r="AG700" s="70">
        <v>-474200</v>
      </c>
      <c r="AH700" s="70">
        <v>-474200</v>
      </c>
      <c r="AI700" s="2">
        <v>-432200</v>
      </c>
      <c r="AJ700" s="70">
        <v>-4613877</v>
      </c>
      <c r="AK700" s="70">
        <f t="shared" si="610"/>
        <v>851268.8191881919</v>
      </c>
      <c r="AL700" s="72"/>
      <c r="AM700" s="22"/>
      <c r="AO700" s="149" t="s">
        <v>126</v>
      </c>
      <c r="AP700" s="23">
        <v>3600</v>
      </c>
      <c r="AQ700" s="22" t="s">
        <v>269</v>
      </c>
      <c r="AR700" s="51" t="str">
        <f t="shared" si="608"/>
        <v>JD8B-3600-CAW</v>
      </c>
      <c r="AS700" s="3"/>
      <c r="AT700" s="94">
        <v>0</v>
      </c>
      <c r="AU700" s="94">
        <v>0</v>
      </c>
      <c r="AV700" s="22"/>
      <c r="AW700" s="22"/>
      <c r="AX700" s="22">
        <v>1</v>
      </c>
      <c r="AY700" s="22">
        <v>1</v>
      </c>
      <c r="AZ700" s="22">
        <v>1</v>
      </c>
      <c r="BA700" s="22">
        <v>1</v>
      </c>
      <c r="BB700" s="64">
        <f t="shared" si="609"/>
        <v>0.33</v>
      </c>
      <c r="BD700" s="60">
        <v>-257.64999999999998</v>
      </c>
      <c r="BE700" s="60">
        <v>-2.31</v>
      </c>
      <c r="BF700" s="60"/>
      <c r="BG700" s="60"/>
      <c r="BH700" s="60">
        <v>-5.42</v>
      </c>
      <c r="BI700" s="8">
        <f t="shared" si="575"/>
        <v>-265.38</v>
      </c>
      <c r="BJ700" s="2" t="s">
        <v>84</v>
      </c>
      <c r="BL700" s="70">
        <v>-432200</v>
      </c>
      <c r="BM700" s="70">
        <v>-432200</v>
      </c>
      <c r="BO700" s="70">
        <v>-4613877</v>
      </c>
      <c r="BP700" s="70">
        <f t="shared" si="611"/>
        <v>851268.8191881919</v>
      </c>
      <c r="BQ700" s="72"/>
      <c r="BS700" s="61">
        <f t="shared" si="580"/>
        <v>0</v>
      </c>
      <c r="BT700" s="61">
        <f t="shared" si="581"/>
        <v>0</v>
      </c>
      <c r="BU700" s="61">
        <f t="shared" si="582"/>
        <v>0</v>
      </c>
      <c r="BV700" s="61">
        <f t="shared" si="582"/>
        <v>0</v>
      </c>
      <c r="BW700" s="61">
        <f t="shared" si="582"/>
        <v>0</v>
      </c>
      <c r="BX700" s="61">
        <f t="shared" si="579"/>
        <v>0</v>
      </c>
      <c r="BY700" s="61" t="s">
        <v>91</v>
      </c>
      <c r="CA700" s="61">
        <f t="shared" si="587"/>
        <v>0</v>
      </c>
      <c r="CB700" s="61">
        <f t="shared" si="587"/>
        <v>0</v>
      </c>
      <c r="CC700" s="61">
        <f t="shared" si="587"/>
        <v>0</v>
      </c>
      <c r="CD700" s="61">
        <f t="shared" si="587"/>
        <v>0</v>
      </c>
      <c r="CE700" s="61">
        <f t="shared" si="587"/>
        <v>0</v>
      </c>
      <c r="CF700" s="61">
        <f t="shared" si="576"/>
        <v>0</v>
      </c>
      <c r="CG700" s="61">
        <f t="shared" si="576"/>
        <v>0</v>
      </c>
      <c r="CH700" s="61">
        <f t="shared" si="576"/>
        <v>0</v>
      </c>
      <c r="CI700" s="61">
        <f t="shared" si="568"/>
        <v>0</v>
      </c>
      <c r="CJ700" s="61"/>
      <c r="CK700" s="61">
        <f t="shared" si="588"/>
        <v>0</v>
      </c>
      <c r="CL700" s="61">
        <f t="shared" si="588"/>
        <v>0</v>
      </c>
      <c r="CM700" s="61">
        <f t="shared" si="588"/>
        <v>0</v>
      </c>
      <c r="CN700" s="61">
        <f t="shared" si="588"/>
        <v>0</v>
      </c>
      <c r="CO700" s="61">
        <f t="shared" si="588"/>
        <v>0</v>
      </c>
      <c r="CP700" s="61">
        <f t="shared" si="577"/>
        <v>0</v>
      </c>
      <c r="CQ700" s="61">
        <f t="shared" si="577"/>
        <v>0</v>
      </c>
      <c r="CR700" s="61">
        <f t="shared" si="577"/>
        <v>0</v>
      </c>
      <c r="CS700" s="61">
        <f t="shared" si="569"/>
        <v>0</v>
      </c>
      <c r="CT700" s="61">
        <f t="shared" si="570"/>
        <v>0</v>
      </c>
      <c r="CV700" s="61">
        <f t="shared" si="554"/>
        <v>-42000</v>
      </c>
      <c r="CW700" s="61">
        <f t="shared" si="571"/>
        <v>-42000</v>
      </c>
      <c r="CX700" s="61"/>
      <c r="CY700" s="61">
        <f t="shared" si="597"/>
        <v>0</v>
      </c>
      <c r="CZ700" s="61">
        <f t="shared" si="597"/>
        <v>0</v>
      </c>
      <c r="DA700" s="61">
        <f t="shared" si="597"/>
        <v>0</v>
      </c>
      <c r="DB700" s="2" t="s">
        <v>85</v>
      </c>
      <c r="DC700" s="2" t="s">
        <v>85</v>
      </c>
      <c r="DD700" s="2" t="s">
        <v>87</v>
      </c>
      <c r="DE700" s="2" t="s">
        <v>264</v>
      </c>
      <c r="DG700" s="62"/>
      <c r="DZ700" s="3" t="e">
        <v>#N/A</v>
      </c>
      <c r="EC700" s="60"/>
      <c r="ED700" s="60"/>
      <c r="EE700" s="60"/>
      <c r="EF700" s="60"/>
    </row>
    <row r="701" spans="2:140" ht="12.75" hidden="1" customHeight="1">
      <c r="B701" s="99" t="s">
        <v>1241</v>
      </c>
      <c r="C701" s="22" t="s">
        <v>1239</v>
      </c>
      <c r="D701" s="22" t="s">
        <v>1240</v>
      </c>
      <c r="E701" s="2" t="s">
        <v>993</v>
      </c>
      <c r="F701" s="2" t="s">
        <v>969</v>
      </c>
      <c r="G701" s="2" t="s">
        <v>994</v>
      </c>
      <c r="J701" s="149" t="s">
        <v>126</v>
      </c>
      <c r="K701" s="23">
        <v>3600</v>
      </c>
      <c r="L701" s="149" t="s">
        <v>565</v>
      </c>
      <c r="M701" s="51" t="str">
        <f t="shared" si="606"/>
        <v>JD8B-3600-ACW</v>
      </c>
      <c r="O701" s="22">
        <v>1</v>
      </c>
      <c r="P701" s="22">
        <v>1</v>
      </c>
      <c r="Q701" s="22"/>
      <c r="R701" s="22"/>
      <c r="S701" s="22"/>
      <c r="T701" s="22"/>
      <c r="U701" s="22"/>
      <c r="V701" s="22"/>
      <c r="W701" s="64">
        <f t="shared" si="607"/>
        <v>0.30000000000000004</v>
      </c>
      <c r="Y701" s="60">
        <f>-94.17-0.12</f>
        <v>-94.29</v>
      </c>
      <c r="Z701" s="60">
        <v>-1.88</v>
      </c>
      <c r="AA701" s="60"/>
      <c r="AB701" s="60"/>
      <c r="AC701" s="60">
        <v>-5.42</v>
      </c>
      <c r="AD701" s="8">
        <f t="shared" ref="AD701:AD706" si="612">SUM(Y701:AC701)</f>
        <v>-101.59</v>
      </c>
      <c r="AE701" s="2" t="s">
        <v>84</v>
      </c>
      <c r="AG701" s="70">
        <v>-432200</v>
      </c>
      <c r="AH701" s="70">
        <v>-432200</v>
      </c>
      <c r="AI701" s="2">
        <v>-474200</v>
      </c>
      <c r="AJ701" s="70">
        <v>-4613877</v>
      </c>
      <c r="AK701" s="70">
        <f t="shared" si="610"/>
        <v>851268.8191881919</v>
      </c>
      <c r="AL701" s="72"/>
      <c r="AM701" s="22"/>
      <c r="AO701" s="149" t="s">
        <v>126</v>
      </c>
      <c r="AP701" s="23">
        <v>3600</v>
      </c>
      <c r="AQ701" s="149" t="s">
        <v>93</v>
      </c>
      <c r="AR701" s="51" t="str">
        <f t="shared" si="608"/>
        <v>JD8B-3600-ABW</v>
      </c>
      <c r="AS701" s="3"/>
      <c r="AT701" s="22">
        <v>1</v>
      </c>
      <c r="AU701" s="22">
        <v>1</v>
      </c>
      <c r="AV701" s="22"/>
      <c r="AW701" s="22"/>
      <c r="AX701" s="22"/>
      <c r="AY701" s="22"/>
      <c r="AZ701" s="22"/>
      <c r="BA701" s="22"/>
      <c r="BB701" s="64">
        <f t="shared" si="609"/>
        <v>0.30000000000000004</v>
      </c>
      <c r="BD701" s="60">
        <v>-94.17</v>
      </c>
      <c r="BE701" s="60">
        <v>-1.88</v>
      </c>
      <c r="BF701" s="60"/>
      <c r="BG701" s="60"/>
      <c r="BH701" s="60">
        <v>-5.42</v>
      </c>
      <c r="BI701" s="8">
        <f t="shared" ref="BI701:BI704" si="613">SUM(BD701:BH701)</f>
        <v>-101.47</v>
      </c>
      <c r="BJ701" s="2" t="s">
        <v>84</v>
      </c>
      <c r="BL701" s="70">
        <v>-474200</v>
      </c>
      <c r="BM701" s="70">
        <v>-474200</v>
      </c>
      <c r="BN701" s="2">
        <v>-474200</v>
      </c>
      <c r="BO701" s="70">
        <v>-4613877</v>
      </c>
      <c r="BP701" s="70">
        <f t="shared" si="611"/>
        <v>851268.8191881919</v>
      </c>
      <c r="BQ701" s="72"/>
      <c r="BR701" s="22"/>
      <c r="BS701" s="61">
        <f t="shared" si="580"/>
        <v>-0.12000000000000455</v>
      </c>
      <c r="BT701" s="61">
        <f t="shared" si="581"/>
        <v>0</v>
      </c>
      <c r="BU701" s="61">
        <f t="shared" si="582"/>
        <v>0</v>
      </c>
      <c r="BV701" s="61">
        <f t="shared" si="582"/>
        <v>0</v>
      </c>
      <c r="BW701" s="61">
        <f t="shared" si="582"/>
        <v>0</v>
      </c>
      <c r="BX701" s="61">
        <f t="shared" si="579"/>
        <v>-0.12000000000000455</v>
      </c>
      <c r="BY701" s="61" t="s">
        <v>91</v>
      </c>
      <c r="CA701" s="61">
        <f t="shared" si="587"/>
        <v>-1.805325710847067E-2</v>
      </c>
      <c r="CB701" s="61">
        <f t="shared" si="587"/>
        <v>-1.805325710847067E-2</v>
      </c>
      <c r="CC701" s="61">
        <f t="shared" si="587"/>
        <v>0</v>
      </c>
      <c r="CD701" s="61">
        <f t="shared" si="587"/>
        <v>0</v>
      </c>
      <c r="CE701" s="61">
        <f t="shared" si="587"/>
        <v>0</v>
      </c>
      <c r="CF701" s="61">
        <f t="shared" si="576"/>
        <v>0</v>
      </c>
      <c r="CG701" s="61">
        <f t="shared" si="576"/>
        <v>0</v>
      </c>
      <c r="CH701" s="61">
        <f t="shared" si="576"/>
        <v>0</v>
      </c>
      <c r="CI701" s="61">
        <f t="shared" si="568"/>
        <v>-5.4159771325412009E-3</v>
      </c>
      <c r="CJ701" s="61"/>
      <c r="CK701" s="61">
        <f t="shared" si="588"/>
        <v>-1.805325710847067E-2</v>
      </c>
      <c r="CL701" s="61">
        <f t="shared" si="588"/>
        <v>-1.805325710847067E-2</v>
      </c>
      <c r="CM701" s="61">
        <f t="shared" si="588"/>
        <v>0</v>
      </c>
      <c r="CN701" s="61">
        <f t="shared" si="588"/>
        <v>0</v>
      </c>
      <c r="CO701" s="61">
        <f t="shared" si="588"/>
        <v>0</v>
      </c>
      <c r="CP701" s="61">
        <f t="shared" si="577"/>
        <v>0</v>
      </c>
      <c r="CQ701" s="61">
        <f t="shared" si="577"/>
        <v>0</v>
      </c>
      <c r="CR701" s="61">
        <f t="shared" si="577"/>
        <v>0</v>
      </c>
      <c r="CS701" s="61">
        <f t="shared" si="569"/>
        <v>-5.4159771325412009E-3</v>
      </c>
      <c r="CT701" s="61">
        <f t="shared" si="570"/>
        <v>-3.6000000000001364E-2</v>
      </c>
      <c r="CV701" s="61">
        <f t="shared" ref="CV701:CV704" si="614">SUM(AG701)-SUM(BL701)</f>
        <v>42000</v>
      </c>
      <c r="CW701" s="61">
        <f t="shared" ref="CW701:CW706" si="615">SUM(AH701)-SUM(BM701)</f>
        <v>42000</v>
      </c>
      <c r="CX701" s="61"/>
      <c r="CY701" s="61">
        <f t="shared" si="597"/>
        <v>0</v>
      </c>
      <c r="CZ701" s="61">
        <f t="shared" si="597"/>
        <v>0</v>
      </c>
      <c r="DA701" s="61">
        <f t="shared" si="597"/>
        <v>0</v>
      </c>
      <c r="DB701" s="2" t="s">
        <v>134</v>
      </c>
      <c r="DC701" s="2" t="s">
        <v>85</v>
      </c>
      <c r="DD701" s="2" t="s">
        <v>87</v>
      </c>
      <c r="DE701" s="2" t="s">
        <v>106</v>
      </c>
      <c r="DF701" s="3" t="s">
        <v>86</v>
      </c>
      <c r="DG701" s="62">
        <v>43084</v>
      </c>
      <c r="EC701" s="60"/>
      <c r="ED701" s="60"/>
      <c r="EE701" s="60"/>
      <c r="EF701" s="60"/>
    </row>
    <row r="702" spans="2:140" ht="12.75" hidden="1" customHeight="1">
      <c r="B702" s="99" t="s">
        <v>1242</v>
      </c>
      <c r="C702" s="22" t="s">
        <v>1239</v>
      </c>
      <c r="D702" s="22" t="s">
        <v>1240</v>
      </c>
      <c r="E702" s="2" t="s">
        <v>993</v>
      </c>
      <c r="F702" s="2" t="s">
        <v>969</v>
      </c>
      <c r="G702" s="2" t="s">
        <v>994</v>
      </c>
      <c r="J702" s="149" t="s">
        <v>126</v>
      </c>
      <c r="K702" s="23">
        <v>3600</v>
      </c>
      <c r="L702" s="149" t="s">
        <v>267</v>
      </c>
      <c r="M702" s="51" t="str">
        <f t="shared" si="606"/>
        <v>JD8B-3600-ADW</v>
      </c>
      <c r="O702" s="22">
        <v>1</v>
      </c>
      <c r="P702" s="22">
        <v>1</v>
      </c>
      <c r="Q702" s="22"/>
      <c r="R702" s="22"/>
      <c r="S702" s="22"/>
      <c r="T702" s="22"/>
      <c r="U702" s="22"/>
      <c r="V702" s="22"/>
      <c r="W702" s="64">
        <f t="shared" si="607"/>
        <v>0.30000000000000004</v>
      </c>
      <c r="Y702" s="60">
        <f>-94.17-0.12</f>
        <v>-94.29</v>
      </c>
      <c r="Z702" s="60">
        <v>-1.88</v>
      </c>
      <c r="AA702" s="60"/>
      <c r="AB702" s="60"/>
      <c r="AC702" s="60">
        <v>-5.42</v>
      </c>
      <c r="AD702" s="8">
        <f t="shared" si="612"/>
        <v>-101.59</v>
      </c>
      <c r="AE702" s="2" t="s">
        <v>84</v>
      </c>
      <c r="AG702" s="70">
        <v>-432200</v>
      </c>
      <c r="AH702" s="70">
        <v>-432200</v>
      </c>
      <c r="AI702" s="2">
        <v>-474200</v>
      </c>
      <c r="AJ702" s="70">
        <v>-4613877</v>
      </c>
      <c r="AK702" s="70">
        <f t="shared" si="610"/>
        <v>851268.8191881919</v>
      </c>
      <c r="AL702" s="72"/>
      <c r="AM702" s="22"/>
      <c r="AO702" s="149" t="s">
        <v>126</v>
      </c>
      <c r="AP702" s="23">
        <v>3600</v>
      </c>
      <c r="AQ702" s="149" t="s">
        <v>219</v>
      </c>
      <c r="AR702" s="51" t="str">
        <f t="shared" si="608"/>
        <v>JD8B-3600-ACW</v>
      </c>
      <c r="AS702" s="3"/>
      <c r="AT702" s="22">
        <v>1</v>
      </c>
      <c r="AU702" s="22">
        <v>1</v>
      </c>
      <c r="AV702" s="22"/>
      <c r="AW702" s="22"/>
      <c r="AX702" s="22"/>
      <c r="AY702" s="22"/>
      <c r="AZ702" s="22"/>
      <c r="BA702" s="22"/>
      <c r="BB702" s="64">
        <f t="shared" si="609"/>
        <v>0.30000000000000004</v>
      </c>
      <c r="BD702" s="60">
        <v>-94.17</v>
      </c>
      <c r="BE702" s="60">
        <v>-1.88</v>
      </c>
      <c r="BF702" s="60"/>
      <c r="BG702" s="60"/>
      <c r="BH702" s="60">
        <v>-5.42</v>
      </c>
      <c r="BI702" s="8">
        <f t="shared" ref="BI702" si="616">SUM(BD702:BH702)</f>
        <v>-101.47</v>
      </c>
      <c r="BJ702" s="2" t="s">
        <v>84</v>
      </c>
      <c r="BL702" s="70">
        <v>-474200</v>
      </c>
      <c r="BM702" s="70">
        <v>-474200</v>
      </c>
      <c r="BN702" s="2">
        <v>-474200</v>
      </c>
      <c r="BO702" s="70">
        <v>-4613877</v>
      </c>
      <c r="BP702" s="70">
        <f t="shared" si="611"/>
        <v>851268.8191881919</v>
      </c>
      <c r="BQ702" s="72"/>
      <c r="BR702" s="22"/>
      <c r="BS702" s="61">
        <f t="shared" si="580"/>
        <v>-0.12000000000000455</v>
      </c>
      <c r="BT702" s="61">
        <f t="shared" si="581"/>
        <v>0</v>
      </c>
      <c r="BU702" s="61">
        <f t="shared" si="582"/>
        <v>0</v>
      </c>
      <c r="BV702" s="61">
        <f t="shared" si="582"/>
        <v>0</v>
      </c>
      <c r="BW702" s="61">
        <f t="shared" si="582"/>
        <v>0</v>
      </c>
      <c r="BX702" s="61">
        <f t="shared" si="579"/>
        <v>-0.12000000000000455</v>
      </c>
      <c r="BY702" s="61" t="s">
        <v>91</v>
      </c>
      <c r="CA702" s="61">
        <f t="shared" si="587"/>
        <v>-1.805325710847067E-2</v>
      </c>
      <c r="CB702" s="61">
        <f t="shared" si="587"/>
        <v>-1.805325710847067E-2</v>
      </c>
      <c r="CC702" s="61">
        <f t="shared" si="587"/>
        <v>0</v>
      </c>
      <c r="CD702" s="61">
        <f t="shared" si="587"/>
        <v>0</v>
      </c>
      <c r="CE702" s="61">
        <f t="shared" si="587"/>
        <v>0</v>
      </c>
      <c r="CF702" s="61">
        <f t="shared" si="576"/>
        <v>0</v>
      </c>
      <c r="CG702" s="61">
        <f t="shared" si="576"/>
        <v>0</v>
      </c>
      <c r="CH702" s="61">
        <f t="shared" si="576"/>
        <v>0</v>
      </c>
      <c r="CI702" s="61">
        <f t="shared" si="568"/>
        <v>-5.4159771325412009E-3</v>
      </c>
      <c r="CJ702" s="61"/>
      <c r="CK702" s="61">
        <f t="shared" si="588"/>
        <v>-1.805325710847067E-2</v>
      </c>
      <c r="CL702" s="61">
        <f t="shared" si="588"/>
        <v>-1.805325710847067E-2</v>
      </c>
      <c r="CM702" s="61">
        <f t="shared" si="588"/>
        <v>0</v>
      </c>
      <c r="CN702" s="61">
        <f t="shared" si="588"/>
        <v>0</v>
      </c>
      <c r="CO702" s="61">
        <f t="shared" si="588"/>
        <v>0</v>
      </c>
      <c r="CP702" s="61">
        <f t="shared" si="577"/>
        <v>0</v>
      </c>
      <c r="CQ702" s="61">
        <f t="shared" si="577"/>
        <v>0</v>
      </c>
      <c r="CR702" s="61">
        <f t="shared" si="577"/>
        <v>0</v>
      </c>
      <c r="CS702" s="61">
        <f t="shared" si="569"/>
        <v>-5.4159771325412009E-3</v>
      </c>
      <c r="CT702" s="61">
        <f t="shared" si="570"/>
        <v>-3.6000000000001364E-2</v>
      </c>
      <c r="CV702" s="61">
        <f t="shared" ref="CV702" si="617">SUM(AG702)-SUM(BL702)</f>
        <v>42000</v>
      </c>
      <c r="CW702" s="61">
        <f t="shared" ref="CW702" si="618">SUM(AH702)-SUM(BM702)</f>
        <v>42000</v>
      </c>
      <c r="CX702" s="61"/>
      <c r="CY702" s="61">
        <f t="shared" si="597"/>
        <v>0</v>
      </c>
      <c r="CZ702" s="61">
        <f t="shared" si="597"/>
        <v>0</v>
      </c>
      <c r="DA702" s="61">
        <f t="shared" si="597"/>
        <v>0</v>
      </c>
      <c r="DB702" s="2" t="s">
        <v>86</v>
      </c>
      <c r="DC702" s="2" t="s">
        <v>85</v>
      </c>
      <c r="DD702" s="2" t="s">
        <v>87</v>
      </c>
      <c r="DE702" s="2" t="s">
        <v>106</v>
      </c>
      <c r="DF702" s="3" t="s">
        <v>102</v>
      </c>
      <c r="DG702" s="62">
        <v>43089</v>
      </c>
      <c r="EC702" s="60" t="str">
        <f>VLOOKUP($M702,[1]Detail!$M:$BO,1,0)</f>
        <v>JD8B-3600-ADW</v>
      </c>
      <c r="ED702" s="60">
        <f>VLOOKUP($M702,[1]Detail!$M:$BO,22,0)</f>
        <v>-101.59</v>
      </c>
      <c r="EE702" s="60">
        <f>VLOOKUP($M702,[1]Detail!$M:$BO,42,0)</f>
        <v>-432200</v>
      </c>
      <c r="EF702" s="60">
        <f>VLOOKUP($M702,[1]Detail!$M:$BO,45,0)</f>
        <v>-4613877</v>
      </c>
      <c r="EH702" s="60">
        <f>ED702-AD702</f>
        <v>0</v>
      </c>
      <c r="EI702" s="60">
        <f>EE702-AG702</f>
        <v>0</v>
      </c>
      <c r="EJ702" s="60">
        <f>EF702-AJ702</f>
        <v>0</v>
      </c>
    </row>
    <row r="703" spans="2:140" ht="12.75" hidden="1" customHeight="1">
      <c r="B703" s="99" t="s">
        <v>1241</v>
      </c>
      <c r="C703" s="22" t="s">
        <v>1239</v>
      </c>
      <c r="D703" s="22" t="s">
        <v>1240</v>
      </c>
      <c r="E703" s="2" t="s">
        <v>993</v>
      </c>
      <c r="F703" s="2" t="s">
        <v>969</v>
      </c>
      <c r="G703" s="2" t="s">
        <v>994</v>
      </c>
      <c r="J703" s="149" t="s">
        <v>126</v>
      </c>
      <c r="K703" s="23">
        <v>3600</v>
      </c>
      <c r="L703" s="149" t="s">
        <v>215</v>
      </c>
      <c r="M703" s="51" t="str">
        <f t="shared" si="606"/>
        <v>JD8B-3600-BCW</v>
      </c>
      <c r="O703" s="22"/>
      <c r="P703" s="22"/>
      <c r="Q703" s="22">
        <v>1</v>
      </c>
      <c r="R703" s="22">
        <v>1</v>
      </c>
      <c r="S703" s="22"/>
      <c r="T703" s="22"/>
      <c r="U703" s="22"/>
      <c r="V703" s="22"/>
      <c r="W703" s="64">
        <f t="shared" si="607"/>
        <v>0.37</v>
      </c>
      <c r="Y703" s="60">
        <f>-229.7237-0.12</f>
        <v>-229.84370000000001</v>
      </c>
      <c r="Z703" s="60">
        <v>-2.31</v>
      </c>
      <c r="AA703" s="60"/>
      <c r="AB703" s="60"/>
      <c r="AC703" s="60">
        <v>-5.42</v>
      </c>
      <c r="AD703" s="8">
        <f t="shared" si="612"/>
        <v>-237.5737</v>
      </c>
      <c r="AE703" s="2" t="s">
        <v>84</v>
      </c>
      <c r="AG703" s="70">
        <v>-909200</v>
      </c>
      <c r="AH703" s="70">
        <v>-909200</v>
      </c>
      <c r="AI703" s="2">
        <v>-909200</v>
      </c>
      <c r="AJ703" s="70">
        <v>-4613877</v>
      </c>
      <c r="AK703" s="70">
        <f t="shared" si="610"/>
        <v>851268.8191881919</v>
      </c>
      <c r="AL703" s="72"/>
      <c r="AM703" s="22"/>
      <c r="AO703" s="149" t="s">
        <v>126</v>
      </c>
      <c r="AP703" s="23">
        <v>3600</v>
      </c>
      <c r="AQ703" s="149" t="s">
        <v>210</v>
      </c>
      <c r="AR703" s="51" t="str">
        <f t="shared" si="608"/>
        <v>JD8B-3600-BBW</v>
      </c>
      <c r="AS703" s="3"/>
      <c r="AT703" s="22"/>
      <c r="AU703" s="22"/>
      <c r="AV703" s="22">
        <v>1</v>
      </c>
      <c r="AW703" s="22">
        <v>1</v>
      </c>
      <c r="AX703" s="22"/>
      <c r="AY703" s="22"/>
      <c r="AZ703" s="22"/>
      <c r="BA703" s="22"/>
      <c r="BB703" s="64">
        <f t="shared" si="609"/>
        <v>0.37</v>
      </c>
      <c r="BD703" s="60">
        <v>-229.72370000000001</v>
      </c>
      <c r="BE703" s="60">
        <v>-2.31</v>
      </c>
      <c r="BF703" s="60"/>
      <c r="BG703" s="60"/>
      <c r="BH703" s="60">
        <v>-5.42</v>
      </c>
      <c r="BI703" s="8">
        <f t="shared" si="613"/>
        <v>-237.4537</v>
      </c>
      <c r="BJ703" s="2" t="s">
        <v>84</v>
      </c>
      <c r="BL703" s="70">
        <v>-909200</v>
      </c>
      <c r="BM703" s="70">
        <v>-909200</v>
      </c>
      <c r="BN703" s="2">
        <v>-909200</v>
      </c>
      <c r="BO703" s="70">
        <v>-4613877</v>
      </c>
      <c r="BP703" s="70">
        <f t="shared" si="611"/>
        <v>851268.8191881919</v>
      </c>
      <c r="BQ703" s="72"/>
      <c r="BR703" s="22"/>
      <c r="BS703" s="61">
        <f t="shared" si="580"/>
        <v>-0.12000000000000455</v>
      </c>
      <c r="BT703" s="61">
        <f t="shared" si="581"/>
        <v>0</v>
      </c>
      <c r="BU703" s="61">
        <f t="shared" si="582"/>
        <v>0</v>
      </c>
      <c r="BV703" s="61">
        <f t="shared" si="582"/>
        <v>0</v>
      </c>
      <c r="BW703" s="61">
        <f t="shared" si="582"/>
        <v>0</v>
      </c>
      <c r="BX703" s="61">
        <f t="shared" si="579"/>
        <v>-0.12000000000000455</v>
      </c>
      <c r="BY703" s="61" t="s">
        <v>91</v>
      </c>
      <c r="CA703" s="61">
        <f t="shared" si="587"/>
        <v>0</v>
      </c>
      <c r="CB703" s="61">
        <f t="shared" si="587"/>
        <v>0</v>
      </c>
      <c r="CC703" s="61">
        <f t="shared" si="587"/>
        <v>-1.805325710847067E-2</v>
      </c>
      <c r="CD703" s="61">
        <f t="shared" si="587"/>
        <v>-1.805325710847067E-2</v>
      </c>
      <c r="CE703" s="61">
        <f t="shared" si="587"/>
        <v>0</v>
      </c>
      <c r="CF703" s="61">
        <f t="shared" si="576"/>
        <v>0</v>
      </c>
      <c r="CG703" s="61">
        <f t="shared" si="576"/>
        <v>0</v>
      </c>
      <c r="CH703" s="61">
        <f t="shared" si="576"/>
        <v>0</v>
      </c>
      <c r="CI703" s="61">
        <f t="shared" si="568"/>
        <v>-6.6797051301341476E-3</v>
      </c>
      <c r="CJ703" s="61"/>
      <c r="CK703" s="61">
        <f t="shared" si="588"/>
        <v>0</v>
      </c>
      <c r="CL703" s="61">
        <f t="shared" si="588"/>
        <v>0</v>
      </c>
      <c r="CM703" s="61">
        <f t="shared" si="588"/>
        <v>-1.805325710847067E-2</v>
      </c>
      <c r="CN703" s="61">
        <f t="shared" si="588"/>
        <v>-1.805325710847067E-2</v>
      </c>
      <c r="CO703" s="61">
        <f t="shared" si="588"/>
        <v>0</v>
      </c>
      <c r="CP703" s="61">
        <f t="shared" si="577"/>
        <v>0</v>
      </c>
      <c r="CQ703" s="61">
        <f t="shared" si="577"/>
        <v>0</v>
      </c>
      <c r="CR703" s="61">
        <f t="shared" si="577"/>
        <v>0</v>
      </c>
      <c r="CS703" s="61">
        <f t="shared" si="569"/>
        <v>-6.6797051301341476E-3</v>
      </c>
      <c r="CT703" s="61">
        <f t="shared" si="570"/>
        <v>-4.4400000000001681E-2</v>
      </c>
      <c r="CV703" s="61">
        <f t="shared" si="614"/>
        <v>0</v>
      </c>
      <c r="CW703" s="61">
        <f t="shared" si="615"/>
        <v>0</v>
      </c>
      <c r="CX703" s="61"/>
      <c r="CY703" s="61">
        <f t="shared" si="597"/>
        <v>0</v>
      </c>
      <c r="CZ703" s="61">
        <f t="shared" si="597"/>
        <v>0</v>
      </c>
      <c r="DA703" s="61">
        <f t="shared" si="597"/>
        <v>0</v>
      </c>
      <c r="DB703" s="2" t="s">
        <v>85</v>
      </c>
      <c r="DC703" s="2" t="s">
        <v>85</v>
      </c>
      <c r="DD703" s="2" t="s">
        <v>87</v>
      </c>
      <c r="DE703" s="2" t="s">
        <v>106</v>
      </c>
      <c r="DF703" s="3" t="s">
        <v>86</v>
      </c>
      <c r="DG703" s="62">
        <v>43084</v>
      </c>
      <c r="EC703" s="60"/>
      <c r="ED703" s="60"/>
      <c r="EE703" s="60"/>
      <c r="EF703" s="60"/>
    </row>
    <row r="704" spans="2:140" ht="12.75" hidden="1" customHeight="1">
      <c r="B704" s="99" t="s">
        <v>1241</v>
      </c>
      <c r="C704" s="22" t="s">
        <v>1239</v>
      </c>
      <c r="D704" s="22" t="s">
        <v>1240</v>
      </c>
      <c r="E704" s="2" t="s">
        <v>993</v>
      </c>
      <c r="F704" s="2" t="s">
        <v>969</v>
      </c>
      <c r="G704" s="2" t="s">
        <v>994</v>
      </c>
      <c r="J704" s="149" t="s">
        <v>126</v>
      </c>
      <c r="K704" s="23">
        <v>3600</v>
      </c>
      <c r="L704" s="149" t="s">
        <v>216</v>
      </c>
      <c r="M704" s="51" t="str">
        <f t="shared" si="606"/>
        <v>JD8B-3600-CCW</v>
      </c>
      <c r="O704" s="22"/>
      <c r="P704" s="22"/>
      <c r="Q704" s="22"/>
      <c r="R704" s="22"/>
      <c r="S704" s="22">
        <v>1</v>
      </c>
      <c r="T704" s="22">
        <v>1</v>
      </c>
      <c r="U704" s="22">
        <v>1</v>
      </c>
      <c r="V704" s="22">
        <v>1</v>
      </c>
      <c r="W704" s="64">
        <f t="shared" si="607"/>
        <v>0.33</v>
      </c>
      <c r="Y704" s="60">
        <f>-257.65-0.12</f>
        <v>-257.77</v>
      </c>
      <c r="Z704" s="60">
        <v>-2.31</v>
      </c>
      <c r="AA704" s="60"/>
      <c r="AB704" s="60"/>
      <c r="AC704" s="60">
        <v>-5.42</v>
      </c>
      <c r="AD704" s="8">
        <f t="shared" si="612"/>
        <v>-265.5</v>
      </c>
      <c r="AE704" s="2" t="s">
        <v>84</v>
      </c>
      <c r="AG704" s="70">
        <v>-474200</v>
      </c>
      <c r="AH704" s="70">
        <v>-474200</v>
      </c>
      <c r="AI704" s="2">
        <v>-432200</v>
      </c>
      <c r="AJ704" s="70">
        <v>-4613877</v>
      </c>
      <c r="AK704" s="70">
        <f t="shared" si="610"/>
        <v>851268.8191881919</v>
      </c>
      <c r="AL704" s="72"/>
      <c r="AM704" s="22"/>
      <c r="AO704" s="149" t="s">
        <v>126</v>
      </c>
      <c r="AP704" s="23">
        <v>3600</v>
      </c>
      <c r="AQ704" s="149" t="s">
        <v>211</v>
      </c>
      <c r="AR704" s="51" t="str">
        <f t="shared" si="608"/>
        <v>JD8B-3600-CBW</v>
      </c>
      <c r="AS704" s="3"/>
      <c r="AT704" s="22"/>
      <c r="AU704" s="22"/>
      <c r="AV704" s="22"/>
      <c r="AW704" s="22"/>
      <c r="AX704" s="22">
        <v>1</v>
      </c>
      <c r="AY704" s="22">
        <v>1</v>
      </c>
      <c r="AZ704" s="22">
        <v>1</v>
      </c>
      <c r="BA704" s="22">
        <v>1</v>
      </c>
      <c r="BB704" s="64">
        <f t="shared" si="609"/>
        <v>0.33</v>
      </c>
      <c r="BD704" s="60">
        <v>-257.64999999999998</v>
      </c>
      <c r="BE704" s="60">
        <v>-2.31</v>
      </c>
      <c r="BF704" s="60"/>
      <c r="BG704" s="60"/>
      <c r="BH704" s="60">
        <v>-5.42</v>
      </c>
      <c r="BI704" s="8">
        <f t="shared" si="613"/>
        <v>-265.38</v>
      </c>
      <c r="BJ704" s="2" t="s">
        <v>84</v>
      </c>
      <c r="BL704" s="70">
        <v>-432200</v>
      </c>
      <c r="BM704" s="70">
        <v>-432200</v>
      </c>
      <c r="BN704" s="2">
        <v>-432200</v>
      </c>
      <c r="BO704" s="70">
        <v>-4613877</v>
      </c>
      <c r="BP704" s="70">
        <f t="shared" si="611"/>
        <v>851268.8191881919</v>
      </c>
      <c r="BQ704" s="72"/>
      <c r="BR704" s="22"/>
      <c r="BS704" s="61">
        <f t="shared" si="580"/>
        <v>-0.12000000000000455</v>
      </c>
      <c r="BT704" s="61">
        <f t="shared" si="581"/>
        <v>0</v>
      </c>
      <c r="BU704" s="61">
        <f t="shared" si="582"/>
        <v>0</v>
      </c>
      <c r="BV704" s="61">
        <f t="shared" si="582"/>
        <v>0</v>
      </c>
      <c r="BW704" s="61">
        <f t="shared" si="582"/>
        <v>0</v>
      </c>
      <c r="BX704" s="61">
        <f t="shared" si="579"/>
        <v>-0.12000000000000455</v>
      </c>
      <c r="BY704" s="61" t="s">
        <v>91</v>
      </c>
      <c r="CA704" s="61">
        <f t="shared" si="587"/>
        <v>0</v>
      </c>
      <c r="CB704" s="61">
        <f t="shared" si="587"/>
        <v>0</v>
      </c>
      <c r="CC704" s="61">
        <f t="shared" si="587"/>
        <v>0</v>
      </c>
      <c r="CD704" s="61">
        <f t="shared" si="587"/>
        <v>0</v>
      </c>
      <c r="CE704" s="61">
        <f t="shared" si="587"/>
        <v>-1.805325710847067E-2</v>
      </c>
      <c r="CF704" s="61">
        <f t="shared" si="576"/>
        <v>-1.805325710847067E-2</v>
      </c>
      <c r="CG704" s="61">
        <f t="shared" si="576"/>
        <v>-1.805325710847067E-2</v>
      </c>
      <c r="CH704" s="61">
        <f t="shared" si="576"/>
        <v>-1.805325710847067E-2</v>
      </c>
      <c r="CI704" s="61">
        <f t="shared" si="568"/>
        <v>-5.9575748457953211E-3</v>
      </c>
      <c r="CJ704" s="61"/>
      <c r="CK704" s="61">
        <f t="shared" si="588"/>
        <v>0</v>
      </c>
      <c r="CL704" s="61">
        <f t="shared" si="588"/>
        <v>0</v>
      </c>
      <c r="CM704" s="61">
        <f t="shared" si="588"/>
        <v>0</v>
      </c>
      <c r="CN704" s="61">
        <f t="shared" si="588"/>
        <v>0</v>
      </c>
      <c r="CO704" s="61">
        <f t="shared" si="588"/>
        <v>-1.805325710847067E-2</v>
      </c>
      <c r="CP704" s="61">
        <f t="shared" si="577"/>
        <v>-1.805325710847067E-2</v>
      </c>
      <c r="CQ704" s="61">
        <f t="shared" si="577"/>
        <v>-1.805325710847067E-2</v>
      </c>
      <c r="CR704" s="61">
        <f t="shared" si="577"/>
        <v>-1.805325710847067E-2</v>
      </c>
      <c r="CS704" s="61">
        <f t="shared" si="569"/>
        <v>-5.9575748457953211E-3</v>
      </c>
      <c r="CT704" s="61">
        <f t="shared" si="570"/>
        <v>-3.9600000000001502E-2</v>
      </c>
      <c r="CV704" s="61">
        <f t="shared" si="614"/>
        <v>-42000</v>
      </c>
      <c r="CW704" s="61">
        <f t="shared" si="615"/>
        <v>-42000</v>
      </c>
      <c r="CX704" s="61"/>
      <c r="CY704" s="61">
        <f t="shared" si="597"/>
        <v>0</v>
      </c>
      <c r="CZ704" s="61">
        <f t="shared" si="597"/>
        <v>0</v>
      </c>
      <c r="DA704" s="61">
        <f t="shared" si="597"/>
        <v>0</v>
      </c>
      <c r="DB704" s="2" t="s">
        <v>85</v>
      </c>
      <c r="DC704" s="2" t="s">
        <v>85</v>
      </c>
      <c r="DD704" s="2" t="s">
        <v>87</v>
      </c>
      <c r="DE704" s="2" t="s">
        <v>106</v>
      </c>
      <c r="DF704" s="3" t="s">
        <v>86</v>
      </c>
      <c r="DG704" s="62">
        <v>43084</v>
      </c>
      <c r="EC704" s="60"/>
      <c r="ED704" s="60"/>
      <c r="EE704" s="60"/>
      <c r="EF704" s="60"/>
    </row>
    <row r="705" spans="2:140" ht="12.75" hidden="1" customHeight="1">
      <c r="B705" s="99" t="s">
        <v>1243</v>
      </c>
      <c r="C705" s="22" t="s">
        <v>1239</v>
      </c>
      <c r="D705" s="22" t="s">
        <v>1240</v>
      </c>
      <c r="E705" s="2" t="s">
        <v>993</v>
      </c>
      <c r="F705" s="2" t="s">
        <v>969</v>
      </c>
      <c r="G705" s="2" t="s">
        <v>994</v>
      </c>
      <c r="J705" s="149" t="s">
        <v>126</v>
      </c>
      <c r="K705" s="23">
        <v>3600</v>
      </c>
      <c r="L705" s="149" t="s">
        <v>670</v>
      </c>
      <c r="M705" s="51" t="str">
        <f t="shared" si="606"/>
        <v>JD8B-3600-BDW</v>
      </c>
      <c r="O705" s="22"/>
      <c r="P705" s="22"/>
      <c r="Q705" s="22">
        <v>1</v>
      </c>
      <c r="R705" s="22">
        <v>1</v>
      </c>
      <c r="S705" s="22"/>
      <c r="T705" s="22"/>
      <c r="U705" s="22"/>
      <c r="V705" s="22"/>
      <c r="W705" s="64">
        <f t="shared" si="607"/>
        <v>0.37</v>
      </c>
      <c r="Y705" s="60">
        <f>-229.7237-0.12</f>
        <v>-229.84370000000001</v>
      </c>
      <c r="Z705" s="60">
        <v>-2.31</v>
      </c>
      <c r="AA705" s="60"/>
      <c r="AB705" s="60"/>
      <c r="AC705" s="60">
        <v>-5.42</v>
      </c>
      <c r="AD705" s="8">
        <f t="shared" si="612"/>
        <v>-237.5737</v>
      </c>
      <c r="AE705" s="2" t="s">
        <v>84</v>
      </c>
      <c r="AG705" s="70">
        <v>-909200</v>
      </c>
      <c r="AH705" s="70">
        <v>-909200</v>
      </c>
      <c r="AI705" s="2">
        <v>-909200</v>
      </c>
      <c r="AJ705" s="70">
        <v>-4613877</v>
      </c>
      <c r="AK705" s="70">
        <f t="shared" si="610"/>
        <v>851268.8191881919</v>
      </c>
      <c r="AL705" s="72"/>
      <c r="AM705" s="22"/>
      <c r="AO705" s="149" t="s">
        <v>126</v>
      </c>
      <c r="AP705" s="23">
        <v>3600</v>
      </c>
      <c r="AQ705" s="149" t="s">
        <v>210</v>
      </c>
      <c r="AR705" s="51" t="str">
        <f t="shared" si="608"/>
        <v>JD8B-3600-BBW</v>
      </c>
      <c r="AS705" s="3"/>
      <c r="AT705" s="22"/>
      <c r="AU705" s="22"/>
      <c r="AV705" s="22">
        <v>1</v>
      </c>
      <c r="AW705" s="22">
        <v>1</v>
      </c>
      <c r="AX705" s="22"/>
      <c r="AY705" s="22"/>
      <c r="AZ705" s="22"/>
      <c r="BA705" s="22"/>
      <c r="BB705" s="64">
        <f t="shared" si="609"/>
        <v>0.37</v>
      </c>
      <c r="BD705" s="60">
        <f>-229.7237-0.12</f>
        <v>-229.84370000000001</v>
      </c>
      <c r="BE705" s="60">
        <v>-2.31</v>
      </c>
      <c r="BF705" s="60"/>
      <c r="BG705" s="60"/>
      <c r="BH705" s="60">
        <v>-5.42</v>
      </c>
      <c r="BI705" s="8">
        <f t="shared" ref="BI705:BI706" si="619">SUM(BD705:BH705)</f>
        <v>-237.5737</v>
      </c>
      <c r="BJ705" s="2" t="s">
        <v>84</v>
      </c>
      <c r="BL705" s="70">
        <v>-909200</v>
      </c>
      <c r="BM705" s="70">
        <v>-909200</v>
      </c>
      <c r="BN705" s="2">
        <v>-909200</v>
      </c>
      <c r="BO705" s="70">
        <v>-4613877</v>
      </c>
      <c r="BP705" s="70">
        <v>851268.8191881919</v>
      </c>
      <c r="BQ705" s="72"/>
      <c r="BR705" s="22"/>
      <c r="BS705" s="61">
        <f t="shared" si="580"/>
        <v>0</v>
      </c>
      <c r="BT705" s="61">
        <f t="shared" si="581"/>
        <v>0</v>
      </c>
      <c r="BU705" s="61">
        <f t="shared" si="582"/>
        <v>0</v>
      </c>
      <c r="BV705" s="61">
        <f t="shared" si="582"/>
        <v>0</v>
      </c>
      <c r="BW705" s="61">
        <f t="shared" si="582"/>
        <v>0</v>
      </c>
      <c r="BX705" s="61">
        <f t="shared" si="579"/>
        <v>0</v>
      </c>
      <c r="BY705" s="61" t="s">
        <v>91</v>
      </c>
      <c r="CA705" s="61">
        <f t="shared" si="587"/>
        <v>0</v>
      </c>
      <c r="CB705" s="61">
        <f t="shared" si="587"/>
        <v>0</v>
      </c>
      <c r="CC705" s="61">
        <f t="shared" si="587"/>
        <v>0</v>
      </c>
      <c r="CD705" s="61">
        <f t="shared" si="587"/>
        <v>0</v>
      </c>
      <c r="CE705" s="61">
        <f t="shared" si="587"/>
        <v>0</v>
      </c>
      <c r="CF705" s="61">
        <f t="shared" si="576"/>
        <v>0</v>
      </c>
      <c r="CG705" s="61">
        <f t="shared" si="576"/>
        <v>0</v>
      </c>
      <c r="CH705" s="61">
        <f t="shared" si="576"/>
        <v>0</v>
      </c>
      <c r="CI705" s="61">
        <f t="shared" si="568"/>
        <v>0</v>
      </c>
      <c r="CJ705" s="61"/>
      <c r="CK705" s="61">
        <f t="shared" si="588"/>
        <v>0</v>
      </c>
      <c r="CL705" s="61">
        <f t="shared" si="588"/>
        <v>0</v>
      </c>
      <c r="CM705" s="61">
        <f t="shared" si="588"/>
        <v>0</v>
      </c>
      <c r="CN705" s="61">
        <f t="shared" si="588"/>
        <v>0</v>
      </c>
      <c r="CO705" s="61">
        <f t="shared" si="588"/>
        <v>0</v>
      </c>
      <c r="CP705" s="61">
        <f t="shared" si="577"/>
        <v>0</v>
      </c>
      <c r="CQ705" s="61">
        <f t="shared" si="577"/>
        <v>0</v>
      </c>
      <c r="CR705" s="61">
        <f t="shared" si="577"/>
        <v>0</v>
      </c>
      <c r="CS705" s="61">
        <f t="shared" si="569"/>
        <v>0</v>
      </c>
      <c r="CT705" s="63">
        <f t="shared" si="570"/>
        <v>0</v>
      </c>
      <c r="CV705" s="61">
        <f t="shared" ref="CV705:CV706" si="620">SUM(AG705)-SUM(BL705)</f>
        <v>0</v>
      </c>
      <c r="CW705" s="61">
        <f t="shared" si="615"/>
        <v>0</v>
      </c>
      <c r="CX705" s="61"/>
      <c r="CY705" s="61">
        <f t="shared" si="597"/>
        <v>0</v>
      </c>
      <c r="CZ705" s="61">
        <f t="shared" si="597"/>
        <v>0</v>
      </c>
      <c r="DA705" s="61">
        <f t="shared" si="597"/>
        <v>0</v>
      </c>
      <c r="DB705" s="2" t="s">
        <v>86</v>
      </c>
      <c r="DC705" s="2" t="s">
        <v>85</v>
      </c>
      <c r="DD705" s="2" t="s">
        <v>87</v>
      </c>
      <c r="DE705" s="2" t="s">
        <v>106</v>
      </c>
      <c r="DF705" s="3" t="s">
        <v>86</v>
      </c>
      <c r="DG705" s="62">
        <v>43172</v>
      </c>
      <c r="EC705" s="60" t="str">
        <f>VLOOKUP($M705,[1]Detail!$M:$BO,1,0)</f>
        <v>JD8B-3600-BDW</v>
      </c>
      <c r="ED705" s="60">
        <f>VLOOKUP($M705,[1]Detail!$M:$BO,22,0)</f>
        <v>-237.5737</v>
      </c>
      <c r="EE705" s="60">
        <f>VLOOKUP($M705,[1]Detail!$M:$BO,42,0)</f>
        <v>-909200</v>
      </c>
      <c r="EF705" s="60">
        <f>VLOOKUP($M705,[1]Detail!$M:$BO,45,0)</f>
        <v>-4613877</v>
      </c>
      <c r="EH705" s="60">
        <f t="shared" ref="EH705:EH706" si="621">ED705-AD705</f>
        <v>0</v>
      </c>
      <c r="EI705" s="60">
        <f t="shared" ref="EI705:EI706" si="622">EE705-AG705</f>
        <v>0</v>
      </c>
      <c r="EJ705" s="60">
        <f t="shared" ref="EJ705:EJ706" si="623">EF705-AJ705</f>
        <v>0</v>
      </c>
    </row>
    <row r="706" spans="2:140" ht="12.75" hidden="1" customHeight="1">
      <c r="B706" s="99" t="s">
        <v>1243</v>
      </c>
      <c r="C706" s="22" t="s">
        <v>1239</v>
      </c>
      <c r="D706" s="22" t="s">
        <v>1240</v>
      </c>
      <c r="E706" s="2" t="s">
        <v>993</v>
      </c>
      <c r="F706" s="2" t="s">
        <v>969</v>
      </c>
      <c r="G706" s="2" t="s">
        <v>994</v>
      </c>
      <c r="J706" s="149" t="s">
        <v>126</v>
      </c>
      <c r="K706" s="23">
        <v>3600</v>
      </c>
      <c r="L706" s="149" t="s">
        <v>1191</v>
      </c>
      <c r="M706" s="51" t="str">
        <f t="shared" si="606"/>
        <v>JD8B-3600-CDW</v>
      </c>
      <c r="O706" s="22"/>
      <c r="P706" s="22"/>
      <c r="Q706" s="22"/>
      <c r="R706" s="22"/>
      <c r="S706" s="22">
        <v>1</v>
      </c>
      <c r="T706" s="22">
        <v>1</v>
      </c>
      <c r="U706" s="22">
        <v>1</v>
      </c>
      <c r="V706" s="22">
        <v>1</v>
      </c>
      <c r="W706" s="64">
        <f t="shared" si="607"/>
        <v>0.33</v>
      </c>
      <c r="Y706" s="60">
        <f>-257.65-0.12</f>
        <v>-257.77</v>
      </c>
      <c r="Z706" s="60">
        <v>-2.31</v>
      </c>
      <c r="AA706" s="60"/>
      <c r="AB706" s="60"/>
      <c r="AC706" s="60">
        <v>-5.42</v>
      </c>
      <c r="AD706" s="8">
        <f t="shared" si="612"/>
        <v>-265.5</v>
      </c>
      <c r="AE706" s="2" t="s">
        <v>84</v>
      </c>
      <c r="AG706" s="70">
        <v>-474200</v>
      </c>
      <c r="AH706" s="70">
        <v>-474200</v>
      </c>
      <c r="AI706" s="2">
        <v>-432200</v>
      </c>
      <c r="AJ706" s="70">
        <v>-4613877</v>
      </c>
      <c r="AK706" s="70">
        <f t="shared" si="610"/>
        <v>851268.8191881919</v>
      </c>
      <c r="AL706" s="72"/>
      <c r="AM706" s="22"/>
      <c r="AO706" s="149" t="s">
        <v>126</v>
      </c>
      <c r="AP706" s="23">
        <v>3600</v>
      </c>
      <c r="AQ706" s="149" t="s">
        <v>211</v>
      </c>
      <c r="AR706" s="51" t="str">
        <f t="shared" si="608"/>
        <v>JD8B-3600-CBW</v>
      </c>
      <c r="AS706" s="3"/>
      <c r="AT706" s="22"/>
      <c r="AU706" s="22"/>
      <c r="AV706" s="22"/>
      <c r="AW706" s="22"/>
      <c r="AX706" s="22">
        <v>1</v>
      </c>
      <c r="AY706" s="22">
        <v>1</v>
      </c>
      <c r="AZ706" s="22">
        <v>1</v>
      </c>
      <c r="BA706" s="22">
        <v>1</v>
      </c>
      <c r="BB706" s="64">
        <f t="shared" si="609"/>
        <v>0.33</v>
      </c>
      <c r="BD706" s="60">
        <f>-257.65-0.12</f>
        <v>-257.77</v>
      </c>
      <c r="BE706" s="60">
        <v>-2.31</v>
      </c>
      <c r="BF706" s="60"/>
      <c r="BG706" s="60"/>
      <c r="BH706" s="60">
        <v>-5.42</v>
      </c>
      <c r="BI706" s="8">
        <f t="shared" si="619"/>
        <v>-265.5</v>
      </c>
      <c r="BJ706" s="2" t="s">
        <v>84</v>
      </c>
      <c r="BL706" s="70">
        <v>-474200</v>
      </c>
      <c r="BM706" s="70">
        <v>-474200</v>
      </c>
      <c r="BN706" s="2">
        <v>-432200</v>
      </c>
      <c r="BO706" s="70">
        <v>-4613877</v>
      </c>
      <c r="BP706" s="70">
        <v>851268.8191881919</v>
      </c>
      <c r="BQ706" s="72"/>
      <c r="BR706" s="22"/>
      <c r="BS706" s="61">
        <f t="shared" si="580"/>
        <v>0</v>
      </c>
      <c r="BT706" s="61">
        <f t="shared" si="581"/>
        <v>0</v>
      </c>
      <c r="BU706" s="61">
        <f t="shared" si="582"/>
        <v>0</v>
      </c>
      <c r="BV706" s="61">
        <f t="shared" si="582"/>
        <v>0</v>
      </c>
      <c r="BW706" s="61">
        <f t="shared" si="582"/>
        <v>0</v>
      </c>
      <c r="BX706" s="61">
        <f t="shared" si="579"/>
        <v>0</v>
      </c>
      <c r="BY706" s="61" t="s">
        <v>91</v>
      </c>
      <c r="CA706" s="61">
        <f t="shared" si="587"/>
        <v>0</v>
      </c>
      <c r="CB706" s="61">
        <f t="shared" si="587"/>
        <v>0</v>
      </c>
      <c r="CC706" s="61">
        <f t="shared" si="587"/>
        <v>0</v>
      </c>
      <c r="CD706" s="61">
        <f t="shared" si="587"/>
        <v>0</v>
      </c>
      <c r="CE706" s="61">
        <f t="shared" si="587"/>
        <v>0</v>
      </c>
      <c r="CF706" s="61">
        <f t="shared" si="576"/>
        <v>0</v>
      </c>
      <c r="CG706" s="61">
        <f t="shared" si="576"/>
        <v>0</v>
      </c>
      <c r="CH706" s="61">
        <f t="shared" si="576"/>
        <v>0</v>
      </c>
      <c r="CI706" s="61">
        <f t="shared" si="568"/>
        <v>0</v>
      </c>
      <c r="CJ706" s="61"/>
      <c r="CK706" s="61">
        <f t="shared" si="588"/>
        <v>0</v>
      </c>
      <c r="CL706" s="61">
        <f t="shared" si="588"/>
        <v>0</v>
      </c>
      <c r="CM706" s="61">
        <f t="shared" si="588"/>
        <v>0</v>
      </c>
      <c r="CN706" s="61">
        <f t="shared" si="588"/>
        <v>0</v>
      </c>
      <c r="CO706" s="61">
        <f t="shared" si="588"/>
        <v>0</v>
      </c>
      <c r="CP706" s="61">
        <f t="shared" si="577"/>
        <v>0</v>
      </c>
      <c r="CQ706" s="61">
        <f t="shared" si="577"/>
        <v>0</v>
      </c>
      <c r="CR706" s="61">
        <f t="shared" si="577"/>
        <v>0</v>
      </c>
      <c r="CS706" s="61">
        <f t="shared" si="569"/>
        <v>0</v>
      </c>
      <c r="CT706" s="61">
        <f t="shared" si="570"/>
        <v>0</v>
      </c>
      <c r="CV706" s="61">
        <f t="shared" si="620"/>
        <v>0</v>
      </c>
      <c r="CW706" s="61">
        <f t="shared" si="615"/>
        <v>0</v>
      </c>
      <c r="CX706" s="61"/>
      <c r="CY706" s="61">
        <f t="shared" si="597"/>
        <v>0</v>
      </c>
      <c r="CZ706" s="61">
        <f t="shared" si="597"/>
        <v>0</v>
      </c>
      <c r="DA706" s="61">
        <f t="shared" si="597"/>
        <v>0</v>
      </c>
      <c r="DB706" s="2" t="s">
        <v>86</v>
      </c>
      <c r="DC706" s="2" t="s">
        <v>85</v>
      </c>
      <c r="DD706" s="2" t="s">
        <v>87</v>
      </c>
      <c r="DE706" s="2" t="s">
        <v>106</v>
      </c>
      <c r="DF706" s="3" t="s">
        <v>86</v>
      </c>
      <c r="DG706" s="62">
        <v>43172</v>
      </c>
      <c r="EC706" s="60" t="str">
        <f>VLOOKUP($M706,[1]Detail!$M:$BO,1,0)</f>
        <v>JD8B-3600-CDW</v>
      </c>
      <c r="ED706" s="60">
        <f>VLOOKUP($M706,[1]Detail!$M:$BO,22,0)</f>
        <v>-265.5</v>
      </c>
      <c r="EE706" s="60">
        <f>VLOOKUP($M706,[1]Detail!$M:$BO,42,0)</f>
        <v>-474200</v>
      </c>
      <c r="EF706" s="60">
        <f>VLOOKUP($M706,[1]Detail!$M:$BO,45,0)</f>
        <v>-4613877</v>
      </c>
      <c r="EH706" s="60">
        <f t="shared" si="621"/>
        <v>0</v>
      </c>
      <c r="EI706" s="60">
        <f t="shared" si="622"/>
        <v>0</v>
      </c>
      <c r="EJ706" s="60">
        <f t="shared" si="623"/>
        <v>0</v>
      </c>
    </row>
    <row r="707" spans="2:140" ht="12.75" hidden="1" customHeight="1">
      <c r="B707" s="99" t="s">
        <v>1238</v>
      </c>
      <c r="C707" s="22" t="s">
        <v>1239</v>
      </c>
      <c r="D707" s="22" t="s">
        <v>1240</v>
      </c>
      <c r="E707" s="2" t="s">
        <v>993</v>
      </c>
      <c r="F707" s="2" t="s">
        <v>969</v>
      </c>
      <c r="G707" s="2" t="s">
        <v>994</v>
      </c>
      <c r="J707" s="149" t="s">
        <v>126</v>
      </c>
      <c r="K707" s="23" t="s">
        <v>844</v>
      </c>
      <c r="L707" s="149" t="s">
        <v>132</v>
      </c>
      <c r="M707" s="51" t="str">
        <f t="shared" si="606"/>
        <v>JD8B-F042B85-AB</v>
      </c>
      <c r="O707" s="22">
        <v>1</v>
      </c>
      <c r="P707" s="22">
        <v>1</v>
      </c>
      <c r="Q707" s="22">
        <v>1</v>
      </c>
      <c r="R707" s="22">
        <v>1</v>
      </c>
      <c r="S707" s="22">
        <v>1</v>
      </c>
      <c r="T707" s="22">
        <v>1</v>
      </c>
      <c r="U707" s="22">
        <v>1</v>
      </c>
      <c r="V707" s="22">
        <v>1</v>
      </c>
      <c r="W707" s="64">
        <f t="shared" si="607"/>
        <v>1</v>
      </c>
      <c r="Y707" s="60">
        <v>-143.51</v>
      </c>
      <c r="Z707" s="60">
        <v>-2.31</v>
      </c>
      <c r="AA707" s="60"/>
      <c r="AB707" s="60">
        <v>-0.75</v>
      </c>
      <c r="AC707" s="60">
        <v>-3.3</v>
      </c>
      <c r="AD707" s="8">
        <f t="shared" si="567"/>
        <v>-149.87</v>
      </c>
      <c r="AE707" s="2" t="s">
        <v>84</v>
      </c>
      <c r="AG707" s="70">
        <v>-460000</v>
      </c>
      <c r="AH707" s="70">
        <v>-460000</v>
      </c>
      <c r="AJ707" s="70" t="s">
        <v>1244</v>
      </c>
      <c r="AK707" s="70" t="s">
        <v>1245</v>
      </c>
      <c r="AL707" s="72"/>
      <c r="AM707" s="22"/>
      <c r="AO707" s="149" t="s">
        <v>126</v>
      </c>
      <c r="AP707" s="23" t="s">
        <v>844</v>
      </c>
      <c r="AQ707" s="22" t="s">
        <v>100</v>
      </c>
      <c r="AR707" s="51" t="str">
        <f t="shared" si="608"/>
        <v>JD8B-F042B85-AA</v>
      </c>
      <c r="AS707" s="3"/>
      <c r="AT707" s="22">
        <v>1</v>
      </c>
      <c r="AU707" s="22">
        <v>1</v>
      </c>
      <c r="AV707" s="22">
        <v>1</v>
      </c>
      <c r="AW707" s="22">
        <v>1</v>
      </c>
      <c r="AX707" s="22">
        <v>1</v>
      </c>
      <c r="AY707" s="22">
        <v>1</v>
      </c>
      <c r="AZ707" s="22">
        <v>1</v>
      </c>
      <c r="BA707" s="22">
        <v>1</v>
      </c>
      <c r="BB707" s="64">
        <f t="shared" si="609"/>
        <v>1</v>
      </c>
      <c r="BD707" s="60">
        <v>-143.51</v>
      </c>
      <c r="BE707" s="60">
        <v>-2.31</v>
      </c>
      <c r="BF707" s="60"/>
      <c r="BG707" s="60">
        <v>-0.75</v>
      </c>
      <c r="BH707" s="60">
        <v>-3.3</v>
      </c>
      <c r="BI707" s="8">
        <f t="shared" si="575"/>
        <v>-149.87</v>
      </c>
      <c r="BJ707" s="2" t="s">
        <v>84</v>
      </c>
      <c r="BL707" s="70">
        <v>-460000</v>
      </c>
      <c r="BM707" s="70">
        <v>-460000</v>
      </c>
      <c r="BO707" s="70" t="s">
        <v>1244</v>
      </c>
      <c r="BP707" s="70" t="s">
        <v>1245</v>
      </c>
      <c r="BQ707" s="72"/>
      <c r="BS707" s="61">
        <f t="shared" si="580"/>
        <v>0</v>
      </c>
      <c r="BT707" s="61">
        <f t="shared" si="581"/>
        <v>0</v>
      </c>
      <c r="BU707" s="61">
        <f t="shared" si="582"/>
        <v>0</v>
      </c>
      <c r="BV707" s="61">
        <f t="shared" si="582"/>
        <v>0</v>
      </c>
      <c r="BW707" s="61">
        <f t="shared" si="582"/>
        <v>0</v>
      </c>
      <c r="BX707" s="61">
        <f t="shared" si="579"/>
        <v>0</v>
      </c>
      <c r="BY707" s="61" t="s">
        <v>91</v>
      </c>
      <c r="CA707" s="61">
        <f t="shared" si="587"/>
        <v>0</v>
      </c>
      <c r="CB707" s="61">
        <f t="shared" si="587"/>
        <v>0</v>
      </c>
      <c r="CC707" s="61">
        <f t="shared" si="587"/>
        <v>0</v>
      </c>
      <c r="CD707" s="61">
        <f t="shared" si="587"/>
        <v>0</v>
      </c>
      <c r="CE707" s="61">
        <f t="shared" si="587"/>
        <v>0</v>
      </c>
      <c r="CF707" s="61">
        <f t="shared" si="576"/>
        <v>0</v>
      </c>
      <c r="CG707" s="61">
        <f t="shared" si="576"/>
        <v>0</v>
      </c>
      <c r="CH707" s="61">
        <f t="shared" si="576"/>
        <v>0</v>
      </c>
      <c r="CI707" s="61">
        <f t="shared" si="568"/>
        <v>0</v>
      </c>
      <c r="CJ707" s="61"/>
      <c r="CK707" s="61">
        <f t="shared" si="588"/>
        <v>0</v>
      </c>
      <c r="CL707" s="61">
        <f t="shared" si="588"/>
        <v>0</v>
      </c>
      <c r="CM707" s="61">
        <f t="shared" si="588"/>
        <v>0</v>
      </c>
      <c r="CN707" s="61">
        <f t="shared" si="588"/>
        <v>0</v>
      </c>
      <c r="CO707" s="61">
        <f t="shared" si="588"/>
        <v>0</v>
      </c>
      <c r="CP707" s="61">
        <f t="shared" si="577"/>
        <v>0</v>
      </c>
      <c r="CQ707" s="61">
        <f t="shared" si="577"/>
        <v>0</v>
      </c>
      <c r="CR707" s="61">
        <f t="shared" si="577"/>
        <v>0</v>
      </c>
      <c r="CS707" s="61">
        <f t="shared" si="569"/>
        <v>0</v>
      </c>
      <c r="CT707" s="61">
        <f t="shared" si="570"/>
        <v>0</v>
      </c>
      <c r="CV707" s="61">
        <f t="shared" ref="CV707:CV748" si="624">SUM(AG707)-SUM(BL707)</f>
        <v>0</v>
      </c>
      <c r="CW707" s="61">
        <f t="shared" si="571"/>
        <v>0</v>
      </c>
      <c r="CX707" s="61"/>
      <c r="CY707" s="61">
        <f t="shared" si="597"/>
        <v>0</v>
      </c>
      <c r="CZ707" s="61">
        <f t="shared" si="597"/>
        <v>0</v>
      </c>
      <c r="DA707" s="61">
        <f t="shared" si="597"/>
        <v>0</v>
      </c>
      <c r="DB707" s="2" t="s">
        <v>85</v>
      </c>
      <c r="DC707" s="2" t="s">
        <v>85</v>
      </c>
      <c r="DD707" s="2" t="s">
        <v>87</v>
      </c>
      <c r="DE707" s="2" t="s">
        <v>264</v>
      </c>
      <c r="DG707" s="62"/>
      <c r="DZ707" s="3" t="e">
        <v>#N/A</v>
      </c>
      <c r="EC707" s="60"/>
      <c r="ED707" s="60"/>
      <c r="EE707" s="60"/>
      <c r="EF707" s="60"/>
    </row>
    <row r="708" spans="2:140" ht="12.75" hidden="1" customHeight="1">
      <c r="B708" s="99" t="s">
        <v>1246</v>
      </c>
      <c r="C708" s="22" t="s">
        <v>1239</v>
      </c>
      <c r="D708" s="22" t="s">
        <v>1240</v>
      </c>
      <c r="E708" s="2" t="s">
        <v>993</v>
      </c>
      <c r="F708" s="2" t="s">
        <v>969</v>
      </c>
      <c r="G708" s="2" t="s">
        <v>994</v>
      </c>
      <c r="J708" s="149" t="s">
        <v>126</v>
      </c>
      <c r="K708" s="23" t="s">
        <v>844</v>
      </c>
      <c r="L708" s="149" t="s">
        <v>132</v>
      </c>
      <c r="M708" s="51" t="str">
        <f t="shared" si="606"/>
        <v>JD8B-F042B85-AB</v>
      </c>
      <c r="O708" s="22">
        <v>1</v>
      </c>
      <c r="P708" s="22">
        <v>1</v>
      </c>
      <c r="Q708" s="22">
        <v>1</v>
      </c>
      <c r="R708" s="22">
        <v>1</v>
      </c>
      <c r="S708" s="22">
        <v>1</v>
      </c>
      <c r="T708" s="22">
        <v>1</v>
      </c>
      <c r="U708" s="22">
        <v>1</v>
      </c>
      <c r="V708" s="22">
        <v>1</v>
      </c>
      <c r="W708" s="64">
        <f t="shared" si="607"/>
        <v>1</v>
      </c>
      <c r="Y708" s="60">
        <v>-143.51</v>
      </c>
      <c r="Z708" s="60">
        <v>-2.31</v>
      </c>
      <c r="AA708" s="60"/>
      <c r="AB708" s="60">
        <v>-0.75</v>
      </c>
      <c r="AC708" s="60">
        <v>-3.3</v>
      </c>
      <c r="AD708" s="8">
        <f t="shared" si="567"/>
        <v>-149.87</v>
      </c>
      <c r="AE708" s="2" t="s">
        <v>84</v>
      </c>
      <c r="AG708" s="70">
        <v>-460000</v>
      </c>
      <c r="AH708" s="70">
        <v>-460000</v>
      </c>
      <c r="AJ708" s="70" t="s">
        <v>1244</v>
      </c>
      <c r="AK708" s="70" t="s">
        <v>1245</v>
      </c>
      <c r="AL708" s="72"/>
      <c r="AM708" s="22"/>
      <c r="AO708" s="149" t="s">
        <v>126</v>
      </c>
      <c r="AP708" s="23" t="s">
        <v>844</v>
      </c>
      <c r="AQ708" s="22" t="s">
        <v>100</v>
      </c>
      <c r="AR708" s="51" t="str">
        <f t="shared" si="608"/>
        <v>JD8B-F042B85-AA</v>
      </c>
      <c r="AS708" s="3"/>
      <c r="AT708" s="22">
        <v>1</v>
      </c>
      <c r="AU708" s="22">
        <v>1</v>
      </c>
      <c r="AV708" s="22">
        <v>1</v>
      </c>
      <c r="AW708" s="22">
        <v>1</v>
      </c>
      <c r="AX708" s="22">
        <v>1</v>
      </c>
      <c r="AY708" s="22">
        <v>1</v>
      </c>
      <c r="AZ708" s="22">
        <v>1</v>
      </c>
      <c r="BA708" s="22">
        <v>1</v>
      </c>
      <c r="BB708" s="64">
        <f t="shared" si="609"/>
        <v>1</v>
      </c>
      <c r="BD708" s="60">
        <v>-143.51</v>
      </c>
      <c r="BE708" s="60">
        <v>-2.31</v>
      </c>
      <c r="BF708" s="60"/>
      <c r="BG708" s="60">
        <v>-0.75</v>
      </c>
      <c r="BH708" s="60">
        <v>-3.3</v>
      </c>
      <c r="BI708" s="8">
        <f t="shared" si="575"/>
        <v>-149.87</v>
      </c>
      <c r="BJ708" s="2" t="s">
        <v>84</v>
      </c>
      <c r="BL708" s="70">
        <v>-460000</v>
      </c>
      <c r="BM708" s="70">
        <v>-460000</v>
      </c>
      <c r="BO708" s="70" t="s">
        <v>1244</v>
      </c>
      <c r="BP708" s="70" t="s">
        <v>1245</v>
      </c>
      <c r="BQ708" s="72"/>
      <c r="BS708" s="61">
        <f t="shared" si="580"/>
        <v>0</v>
      </c>
      <c r="BT708" s="61">
        <f t="shared" si="581"/>
        <v>0</v>
      </c>
      <c r="BU708" s="61">
        <f t="shared" si="582"/>
        <v>0</v>
      </c>
      <c r="BV708" s="61">
        <f t="shared" si="582"/>
        <v>0</v>
      </c>
      <c r="BW708" s="61">
        <f t="shared" si="582"/>
        <v>0</v>
      </c>
      <c r="BX708" s="61">
        <f t="shared" si="579"/>
        <v>0</v>
      </c>
      <c r="BY708" s="61" t="s">
        <v>91</v>
      </c>
      <c r="CA708" s="61">
        <f t="shared" si="587"/>
        <v>0</v>
      </c>
      <c r="CB708" s="61">
        <f t="shared" si="587"/>
        <v>0</v>
      </c>
      <c r="CC708" s="61">
        <f t="shared" si="587"/>
        <v>0</v>
      </c>
      <c r="CD708" s="61">
        <f t="shared" si="587"/>
        <v>0</v>
      </c>
      <c r="CE708" s="61">
        <f t="shared" si="587"/>
        <v>0</v>
      </c>
      <c r="CF708" s="61">
        <f t="shared" si="576"/>
        <v>0</v>
      </c>
      <c r="CG708" s="61">
        <f t="shared" si="576"/>
        <v>0</v>
      </c>
      <c r="CH708" s="61">
        <f t="shared" si="576"/>
        <v>0</v>
      </c>
      <c r="CI708" s="61">
        <f t="shared" si="568"/>
        <v>0</v>
      </c>
      <c r="CJ708" s="61"/>
      <c r="CK708" s="61">
        <f t="shared" si="588"/>
        <v>0</v>
      </c>
      <c r="CL708" s="61">
        <f t="shared" si="588"/>
        <v>0</v>
      </c>
      <c r="CM708" s="61">
        <f t="shared" si="588"/>
        <v>0</v>
      </c>
      <c r="CN708" s="61">
        <f t="shared" si="588"/>
        <v>0</v>
      </c>
      <c r="CO708" s="61">
        <f t="shared" si="588"/>
        <v>0</v>
      </c>
      <c r="CP708" s="61">
        <f t="shared" si="577"/>
        <v>0</v>
      </c>
      <c r="CQ708" s="61">
        <f t="shared" si="577"/>
        <v>0</v>
      </c>
      <c r="CR708" s="61">
        <f t="shared" si="577"/>
        <v>0</v>
      </c>
      <c r="CS708" s="61">
        <f t="shared" si="569"/>
        <v>0</v>
      </c>
      <c r="CT708" s="61">
        <f t="shared" si="570"/>
        <v>0</v>
      </c>
      <c r="CV708" s="61">
        <f t="shared" si="624"/>
        <v>0</v>
      </c>
      <c r="CW708" s="61">
        <f t="shared" si="571"/>
        <v>0</v>
      </c>
      <c r="CX708" s="61"/>
      <c r="CY708" s="61">
        <f t="shared" si="597"/>
        <v>0</v>
      </c>
      <c r="CZ708" s="61">
        <f t="shared" si="597"/>
        <v>0</v>
      </c>
      <c r="DA708" s="61">
        <f t="shared" si="597"/>
        <v>0</v>
      </c>
      <c r="DB708" s="2" t="s">
        <v>86</v>
      </c>
      <c r="DC708" s="2" t="s">
        <v>85</v>
      </c>
      <c r="DD708" s="2" t="s">
        <v>87</v>
      </c>
      <c r="DE708" s="2" t="s">
        <v>264</v>
      </c>
      <c r="DG708" s="62"/>
      <c r="DZ708" s="3" t="e">
        <v>#N/A</v>
      </c>
      <c r="EC708" s="60" t="str">
        <f>VLOOKUP($M708,[1]Detail!$M:$BO,1,0)</f>
        <v>JD8B-F042B85-AB</v>
      </c>
      <c r="ED708" s="60">
        <f>VLOOKUP($M708,[1]Detail!$M:$BO,22,0)</f>
        <v>-149.87</v>
      </c>
      <c r="EE708" s="60">
        <f>VLOOKUP($M708,[1]Detail!$M:$BO,42,0)</f>
        <v>-460000</v>
      </c>
      <c r="EF708" s="60">
        <f>VLOOKUP($M708,[1]Detail!$M:$BO,45,0)</f>
        <v>-1841710</v>
      </c>
      <c r="EH708" s="60">
        <f t="shared" ref="EH708" si="625">ED708-AD708</f>
        <v>0</v>
      </c>
      <c r="EI708" s="60">
        <f t="shared" ref="EI708" si="626">EE708-AG708</f>
        <v>0</v>
      </c>
      <c r="EJ708" s="60" t="e">
        <f t="shared" ref="EJ708" si="627">EF708-AJ708</f>
        <v>#VALUE!</v>
      </c>
    </row>
    <row r="709" spans="2:140" ht="12.75" hidden="1" customHeight="1">
      <c r="B709" s="99" t="s">
        <v>1247</v>
      </c>
      <c r="C709" s="22" t="s">
        <v>1239</v>
      </c>
      <c r="D709" s="22" t="s">
        <v>1240</v>
      </c>
      <c r="E709" s="2" t="s">
        <v>993</v>
      </c>
      <c r="F709" s="2" t="s">
        <v>969</v>
      </c>
      <c r="G709" s="2" t="s">
        <v>331</v>
      </c>
      <c r="J709" s="149" t="s">
        <v>138</v>
      </c>
      <c r="K709" s="23">
        <v>3600</v>
      </c>
      <c r="L709" s="149" t="s">
        <v>83</v>
      </c>
      <c r="M709" s="51" t="s">
        <v>1248</v>
      </c>
      <c r="O709" s="22">
        <v>1</v>
      </c>
      <c r="P709" s="22">
        <v>1</v>
      </c>
      <c r="Q709" s="22"/>
      <c r="R709" s="22"/>
      <c r="S709" s="22"/>
      <c r="T709" s="22"/>
      <c r="U709" s="22"/>
      <c r="V709" s="22"/>
      <c r="W709" s="64">
        <v>0.3</v>
      </c>
      <c r="Y709" s="60">
        <v>-94.17</v>
      </c>
      <c r="Z709" s="60">
        <v>-1.88</v>
      </c>
      <c r="AA709" s="60" t="s">
        <v>1249</v>
      </c>
      <c r="AB709" s="60">
        <v>-1.57</v>
      </c>
      <c r="AC709" s="60">
        <v>-3.85</v>
      </c>
      <c r="AD709" s="8">
        <f t="shared" si="567"/>
        <v>-101.46999999999998</v>
      </c>
      <c r="AE709" s="2" t="s">
        <v>91</v>
      </c>
      <c r="AG709" s="70">
        <v>-1425200</v>
      </c>
      <c r="AH709" s="70">
        <v>-1425200</v>
      </c>
      <c r="AJ709" s="70">
        <v>-4613877</v>
      </c>
      <c r="AK709" s="70">
        <v>1198410</v>
      </c>
      <c r="AL709" s="72"/>
      <c r="AM709" s="22"/>
      <c r="AO709" s="22" t="s">
        <v>204</v>
      </c>
      <c r="AP709" s="85">
        <v>3600</v>
      </c>
      <c r="AQ709" s="22" t="s">
        <v>1029</v>
      </c>
      <c r="AR709" s="51" t="s">
        <v>1250</v>
      </c>
      <c r="AS709" s="3"/>
      <c r="AT709" s="94"/>
      <c r="AU709" s="94"/>
      <c r="AV709" s="94"/>
      <c r="AW709" s="94"/>
      <c r="AX709" s="94"/>
      <c r="AY709" s="94"/>
      <c r="AZ709" s="94"/>
      <c r="BA709" s="94"/>
      <c r="BB709" s="64">
        <v>0</v>
      </c>
      <c r="BD709" s="60">
        <v>-87.26</v>
      </c>
      <c r="BE709" s="60">
        <v>-1.88</v>
      </c>
      <c r="BF709" s="95" t="s">
        <v>1251</v>
      </c>
      <c r="BG709" s="95">
        <v>-1.57</v>
      </c>
      <c r="BH709" s="95"/>
      <c r="BI709" s="8">
        <v>-90.71</v>
      </c>
      <c r="BL709" s="70">
        <v>-993000</v>
      </c>
      <c r="BM709" s="70">
        <v>-993000</v>
      </c>
      <c r="BO709" s="70">
        <v>-2464388</v>
      </c>
      <c r="BP709" s="70">
        <v>1569674</v>
      </c>
      <c r="BQ709" s="72"/>
      <c r="BS709" s="61">
        <f t="shared" si="580"/>
        <v>-6.9099999999999966</v>
      </c>
      <c r="BT709" s="61">
        <f t="shared" si="581"/>
        <v>0</v>
      </c>
      <c r="BU709" s="61">
        <f t="shared" si="582"/>
        <v>0</v>
      </c>
      <c r="BV709" s="61">
        <f t="shared" si="582"/>
        <v>0</v>
      </c>
      <c r="BW709" s="61">
        <f t="shared" si="582"/>
        <v>-3.85</v>
      </c>
      <c r="BX709" s="61">
        <f t="shared" si="579"/>
        <v>-10.759999999999991</v>
      </c>
      <c r="BY709" s="61" t="s">
        <v>91</v>
      </c>
      <c r="CA709" s="61">
        <f t="shared" si="587"/>
        <v>-14.167293515871821</v>
      </c>
      <c r="CB709" s="61">
        <f t="shared" si="587"/>
        <v>-14.167293515871821</v>
      </c>
      <c r="CC709" s="61">
        <f t="shared" si="587"/>
        <v>0</v>
      </c>
      <c r="CD709" s="61">
        <f t="shared" si="587"/>
        <v>0</v>
      </c>
      <c r="CE709" s="61">
        <f t="shared" si="587"/>
        <v>0</v>
      </c>
      <c r="CF709" s="61">
        <f t="shared" si="576"/>
        <v>0</v>
      </c>
      <c r="CG709" s="61">
        <f t="shared" si="576"/>
        <v>0</v>
      </c>
      <c r="CH709" s="61">
        <f t="shared" si="576"/>
        <v>0</v>
      </c>
      <c r="CI709" s="61">
        <f t="shared" si="568"/>
        <v>-4.250188054761546</v>
      </c>
      <c r="CJ709" s="61"/>
      <c r="CK709" s="61">
        <f t="shared" si="588"/>
        <v>-15.265533323303742</v>
      </c>
      <c r="CL709" s="61">
        <f t="shared" si="588"/>
        <v>-15.265533323303742</v>
      </c>
      <c r="CM709" s="61">
        <f t="shared" si="588"/>
        <v>0</v>
      </c>
      <c r="CN709" s="61">
        <f t="shared" si="588"/>
        <v>0</v>
      </c>
      <c r="CO709" s="61">
        <f t="shared" si="588"/>
        <v>0</v>
      </c>
      <c r="CP709" s="61">
        <f t="shared" si="577"/>
        <v>0</v>
      </c>
      <c r="CQ709" s="61">
        <f t="shared" si="577"/>
        <v>0</v>
      </c>
      <c r="CR709" s="61">
        <f t="shared" si="577"/>
        <v>0</v>
      </c>
      <c r="CS709" s="61">
        <f t="shared" si="569"/>
        <v>-4.5796599969911229</v>
      </c>
      <c r="CT709" s="61">
        <f t="shared" si="570"/>
        <v>-30.440999999999995</v>
      </c>
      <c r="CV709" s="61">
        <f t="shared" si="624"/>
        <v>-432200</v>
      </c>
      <c r="CW709" s="61">
        <f t="shared" si="571"/>
        <v>-432200</v>
      </c>
      <c r="CX709" s="61"/>
      <c r="CY709" s="61">
        <f t="shared" si="597"/>
        <v>-2149489</v>
      </c>
      <c r="CZ709" s="61">
        <f t="shared" si="597"/>
        <v>-371264</v>
      </c>
      <c r="DA709" s="61">
        <f t="shared" si="597"/>
        <v>0</v>
      </c>
      <c r="DB709" s="2" t="s">
        <v>85</v>
      </c>
      <c r="DC709" s="2" t="s">
        <v>86</v>
      </c>
      <c r="DD709" s="2" t="s">
        <v>142</v>
      </c>
      <c r="DE709" s="2" t="s">
        <v>264</v>
      </c>
      <c r="DF709" s="3" t="s">
        <v>86</v>
      </c>
      <c r="DG709" s="62">
        <v>42976</v>
      </c>
      <c r="EC709" s="60"/>
      <c r="ED709" s="60"/>
      <c r="EE709" s="60"/>
      <c r="EF709" s="60"/>
      <c r="EH709" s="60"/>
      <c r="EI709" s="60"/>
      <c r="EJ709" s="60"/>
    </row>
    <row r="710" spans="2:140" ht="12.75" hidden="1" customHeight="1">
      <c r="B710" s="99" t="s">
        <v>1247</v>
      </c>
      <c r="C710" s="22" t="s">
        <v>1239</v>
      </c>
      <c r="D710" s="22" t="s">
        <v>1240</v>
      </c>
      <c r="E710" s="2" t="s">
        <v>993</v>
      </c>
      <c r="F710" s="2" t="s">
        <v>969</v>
      </c>
      <c r="G710" s="2" t="s">
        <v>331</v>
      </c>
      <c r="J710" s="149" t="s">
        <v>138</v>
      </c>
      <c r="K710" s="23">
        <v>3600</v>
      </c>
      <c r="L710" s="149" t="s">
        <v>208</v>
      </c>
      <c r="M710" s="51" t="s">
        <v>1252</v>
      </c>
      <c r="O710" s="22"/>
      <c r="P710" s="22"/>
      <c r="Q710" s="22">
        <v>1</v>
      </c>
      <c r="R710" s="22">
        <v>1</v>
      </c>
      <c r="S710" s="22">
        <v>1</v>
      </c>
      <c r="T710" s="22">
        <v>1</v>
      </c>
      <c r="U710" s="22"/>
      <c r="V710" s="22"/>
      <c r="W710" s="64">
        <v>0.6</v>
      </c>
      <c r="Y710" s="60">
        <v>-229.72</v>
      </c>
      <c r="Z710" s="60">
        <v>-2.31</v>
      </c>
      <c r="AA710" s="60" t="s">
        <v>1249</v>
      </c>
      <c r="AB710" s="60">
        <v>-1.57</v>
      </c>
      <c r="AC710" s="60">
        <v>-3.85</v>
      </c>
      <c r="AD710" s="8">
        <f t="shared" si="567"/>
        <v>-237.45</v>
      </c>
      <c r="AE710" s="2" t="s">
        <v>91</v>
      </c>
      <c r="AG710" s="70">
        <v>-1449200</v>
      </c>
      <c r="AH710" s="70">
        <v>-1449200</v>
      </c>
      <c r="AJ710" s="70">
        <v>-4613877</v>
      </c>
      <c r="AK710" s="70">
        <v>1198410</v>
      </c>
      <c r="AL710" s="72"/>
      <c r="AM710" s="22"/>
      <c r="AO710" s="22" t="s">
        <v>204</v>
      </c>
      <c r="AP710" s="85">
        <v>3600</v>
      </c>
      <c r="AQ710" s="22" t="s">
        <v>1253</v>
      </c>
      <c r="AR710" s="51" t="s">
        <v>1254</v>
      </c>
      <c r="AS710" s="3"/>
      <c r="AT710" s="94"/>
      <c r="AU710" s="94"/>
      <c r="AV710" s="94"/>
      <c r="AW710" s="94"/>
      <c r="AX710" s="94"/>
      <c r="AY710" s="94"/>
      <c r="AZ710" s="94"/>
      <c r="BA710" s="94"/>
      <c r="BB710" s="64">
        <v>0</v>
      </c>
      <c r="BD710" s="60">
        <v>-185.53</v>
      </c>
      <c r="BE710" s="60">
        <v>-2.31</v>
      </c>
      <c r="BF710" s="95" t="s">
        <v>1251</v>
      </c>
      <c r="BG710" s="95">
        <v>-1.57</v>
      </c>
      <c r="BH710" s="95"/>
      <c r="BI710" s="8">
        <v>-189.41</v>
      </c>
      <c r="BL710" s="70">
        <v>-540000</v>
      </c>
      <c r="BM710" s="70">
        <v>-540000</v>
      </c>
      <c r="BO710" s="70">
        <v>-2464388</v>
      </c>
      <c r="BP710" s="70">
        <v>1569674</v>
      </c>
      <c r="BQ710" s="72"/>
      <c r="BS710" s="61">
        <f t="shared" si="580"/>
        <v>-44.19</v>
      </c>
      <c r="BT710" s="61">
        <f t="shared" si="581"/>
        <v>0</v>
      </c>
      <c r="BU710" s="61">
        <f t="shared" si="582"/>
        <v>0</v>
      </c>
      <c r="BV710" s="61">
        <f t="shared" si="582"/>
        <v>0</v>
      </c>
      <c r="BW710" s="61">
        <f t="shared" si="582"/>
        <v>-3.85</v>
      </c>
      <c r="BX710" s="61">
        <f t="shared" si="579"/>
        <v>-48.039999999999992</v>
      </c>
      <c r="BY710" s="61" t="s">
        <v>91</v>
      </c>
      <c r="CA710" s="61">
        <f t="shared" si="587"/>
        <v>0</v>
      </c>
      <c r="CB710" s="61">
        <f t="shared" si="587"/>
        <v>0</v>
      </c>
      <c r="CC710" s="61">
        <f t="shared" si="587"/>
        <v>-34.559951857981041</v>
      </c>
      <c r="CD710" s="61">
        <f t="shared" si="587"/>
        <v>-34.559951857981041</v>
      </c>
      <c r="CE710" s="61">
        <f t="shared" si="587"/>
        <v>-34.559951857981041</v>
      </c>
      <c r="CF710" s="61">
        <f t="shared" si="576"/>
        <v>-34.559951857981041</v>
      </c>
      <c r="CG710" s="61">
        <f t="shared" si="576"/>
        <v>0</v>
      </c>
      <c r="CH710" s="61">
        <f t="shared" si="576"/>
        <v>0</v>
      </c>
      <c r="CI710" s="61">
        <f t="shared" si="568"/>
        <v>-20.735971114788626</v>
      </c>
      <c r="CJ710" s="61"/>
      <c r="CK710" s="61">
        <f t="shared" si="588"/>
        <v>0</v>
      </c>
      <c r="CL710" s="61">
        <f t="shared" si="588"/>
        <v>0</v>
      </c>
      <c r="CM710" s="61">
        <f t="shared" si="588"/>
        <v>-35.72288250338498</v>
      </c>
      <c r="CN710" s="61">
        <f t="shared" si="588"/>
        <v>-35.72288250338498</v>
      </c>
      <c r="CO710" s="61">
        <f t="shared" si="588"/>
        <v>-35.72288250338498</v>
      </c>
      <c r="CP710" s="61">
        <f t="shared" si="577"/>
        <v>-35.72288250338498</v>
      </c>
      <c r="CQ710" s="61">
        <f t="shared" si="577"/>
        <v>0</v>
      </c>
      <c r="CR710" s="61">
        <f t="shared" si="577"/>
        <v>0</v>
      </c>
      <c r="CS710" s="61">
        <f t="shared" si="569"/>
        <v>-21.433729502030992</v>
      </c>
      <c r="CT710" s="61">
        <f t="shared" si="570"/>
        <v>-142.47</v>
      </c>
      <c r="CV710" s="61">
        <f t="shared" si="624"/>
        <v>-909200</v>
      </c>
      <c r="CW710" s="61">
        <f t="shared" si="571"/>
        <v>-909200</v>
      </c>
      <c r="CX710" s="61"/>
      <c r="CY710" s="61">
        <f t="shared" si="597"/>
        <v>-2149489</v>
      </c>
      <c r="CZ710" s="61">
        <f t="shared" si="597"/>
        <v>-371264</v>
      </c>
      <c r="DA710" s="61">
        <f t="shared" si="597"/>
        <v>0</v>
      </c>
      <c r="DB710" s="2" t="s">
        <v>85</v>
      </c>
      <c r="DC710" s="2" t="s">
        <v>86</v>
      </c>
      <c r="DD710" s="2" t="s">
        <v>142</v>
      </c>
      <c r="DE710" s="2" t="s">
        <v>264</v>
      </c>
      <c r="DF710" s="3" t="s">
        <v>86</v>
      </c>
      <c r="DG710" s="62">
        <v>42976</v>
      </c>
      <c r="EC710" s="60"/>
      <c r="ED710" s="60"/>
      <c r="EE710" s="60"/>
      <c r="EF710" s="60"/>
      <c r="EH710" s="60"/>
      <c r="EI710" s="60"/>
      <c r="EJ710" s="60"/>
    </row>
    <row r="711" spans="2:140" ht="12.75" hidden="1" customHeight="1">
      <c r="B711" s="99" t="s">
        <v>1247</v>
      </c>
      <c r="C711" s="22" t="s">
        <v>1239</v>
      </c>
      <c r="D711" s="22" t="s">
        <v>1240</v>
      </c>
      <c r="E711" s="2" t="s">
        <v>993</v>
      </c>
      <c r="F711" s="2" t="s">
        <v>969</v>
      </c>
      <c r="G711" s="2" t="s">
        <v>331</v>
      </c>
      <c r="J711" s="149" t="s">
        <v>138</v>
      </c>
      <c r="K711" s="23">
        <v>3600</v>
      </c>
      <c r="L711" s="149" t="s">
        <v>203</v>
      </c>
      <c r="M711" s="51" t="s">
        <v>1255</v>
      </c>
      <c r="O711" s="22"/>
      <c r="P711" s="22"/>
      <c r="Q711" s="22"/>
      <c r="R711" s="22"/>
      <c r="S711" s="22"/>
      <c r="T711" s="22"/>
      <c r="U711" s="22">
        <v>1</v>
      </c>
      <c r="V711" s="22">
        <v>1</v>
      </c>
      <c r="W711" s="64">
        <v>0.1</v>
      </c>
      <c r="Y711" s="60">
        <v>-257.64999999999998</v>
      </c>
      <c r="Z711" s="60">
        <v>-2.31</v>
      </c>
      <c r="AA711" s="60" t="s">
        <v>1249</v>
      </c>
      <c r="AB711" s="60">
        <v>-1.57</v>
      </c>
      <c r="AC711" s="60">
        <v>-3.85</v>
      </c>
      <c r="AD711" s="8">
        <f t="shared" si="567"/>
        <v>-265.38</v>
      </c>
      <c r="AE711" s="2" t="s">
        <v>91</v>
      </c>
      <c r="AG711" s="70">
        <v>-1036000</v>
      </c>
      <c r="AH711" s="70">
        <v>-1036000</v>
      </c>
      <c r="AJ711" s="70">
        <v>-4613877</v>
      </c>
      <c r="AK711" s="70">
        <v>1198410</v>
      </c>
      <c r="AL711" s="72"/>
      <c r="AM711" s="22"/>
      <c r="AO711" s="22" t="s">
        <v>204</v>
      </c>
      <c r="AP711" s="85">
        <v>3600</v>
      </c>
      <c r="AQ711" s="22" t="s">
        <v>1256</v>
      </c>
      <c r="AR711" s="51" t="s">
        <v>1257</v>
      </c>
      <c r="AS711" s="3"/>
      <c r="AT711" s="94"/>
      <c r="AU711" s="94"/>
      <c r="AV711" s="94"/>
      <c r="AW711" s="94"/>
      <c r="AX711" s="94"/>
      <c r="AY711" s="94"/>
      <c r="AZ711" s="94"/>
      <c r="BA711" s="94"/>
      <c r="BB711" s="64">
        <v>0</v>
      </c>
      <c r="BD711" s="60">
        <v>-225.02</v>
      </c>
      <c r="BE711" s="60">
        <v>-2.31</v>
      </c>
      <c r="BF711" s="95" t="s">
        <v>1251</v>
      </c>
      <c r="BG711" s="95">
        <v>-1.57</v>
      </c>
      <c r="BH711" s="95"/>
      <c r="BI711" s="8">
        <v>-228.9</v>
      </c>
      <c r="BL711" s="70">
        <v>-561800</v>
      </c>
      <c r="BM711" s="70">
        <v>-561800</v>
      </c>
      <c r="BO711" s="70">
        <v>-2464388</v>
      </c>
      <c r="BP711" s="70">
        <v>1569674</v>
      </c>
      <c r="BQ711" s="72"/>
      <c r="BS711" s="61">
        <f t="shared" si="580"/>
        <v>-32.629999999999967</v>
      </c>
      <c r="BT711" s="61">
        <f t="shared" si="581"/>
        <v>0</v>
      </c>
      <c r="BU711" s="61">
        <f t="shared" si="582"/>
        <v>0</v>
      </c>
      <c r="BV711" s="61">
        <f t="shared" si="582"/>
        <v>0</v>
      </c>
      <c r="BW711" s="61">
        <f t="shared" si="582"/>
        <v>-3.85</v>
      </c>
      <c r="BX711" s="61">
        <f t="shared" si="579"/>
        <v>-36.47999999999999</v>
      </c>
      <c r="BY711" s="61" t="s">
        <v>91</v>
      </c>
      <c r="CA711" s="61">
        <f t="shared" si="587"/>
        <v>0</v>
      </c>
      <c r="CB711" s="61">
        <f t="shared" si="587"/>
        <v>0</v>
      </c>
      <c r="CC711" s="61">
        <f t="shared" si="587"/>
        <v>0</v>
      </c>
      <c r="CD711" s="61">
        <f t="shared" si="587"/>
        <v>0</v>
      </c>
      <c r="CE711" s="61">
        <f t="shared" si="587"/>
        <v>0</v>
      </c>
      <c r="CF711" s="61">
        <f t="shared" si="576"/>
        <v>0</v>
      </c>
      <c r="CG711" s="61">
        <f t="shared" si="576"/>
        <v>-38.761847449977431</v>
      </c>
      <c r="CH711" s="61">
        <f t="shared" si="576"/>
        <v>-38.761847449977431</v>
      </c>
      <c r="CI711" s="61">
        <f t="shared" si="568"/>
        <v>-3.8761847449977433</v>
      </c>
      <c r="CJ711" s="61"/>
      <c r="CK711" s="61">
        <f t="shared" si="588"/>
        <v>0</v>
      </c>
      <c r="CL711" s="61">
        <f t="shared" si="588"/>
        <v>0</v>
      </c>
      <c r="CM711" s="61">
        <f t="shared" si="588"/>
        <v>0</v>
      </c>
      <c r="CN711" s="61">
        <f t="shared" si="588"/>
        <v>0</v>
      </c>
      <c r="CO711" s="61">
        <f t="shared" si="588"/>
        <v>0</v>
      </c>
      <c r="CP711" s="61">
        <f t="shared" si="577"/>
        <v>0</v>
      </c>
      <c r="CQ711" s="61">
        <f t="shared" si="577"/>
        <v>-39.92477809538137</v>
      </c>
      <c r="CR711" s="61">
        <f t="shared" si="577"/>
        <v>-39.92477809538137</v>
      </c>
      <c r="CS711" s="61">
        <f t="shared" si="569"/>
        <v>-3.992477809538137</v>
      </c>
      <c r="CT711" s="61">
        <f t="shared" si="570"/>
        <v>-26.537999999999997</v>
      </c>
      <c r="CV711" s="61">
        <f t="shared" si="624"/>
        <v>-474200</v>
      </c>
      <c r="CW711" s="61">
        <f t="shared" si="571"/>
        <v>-474200</v>
      </c>
      <c r="CX711" s="61"/>
      <c r="CY711" s="61">
        <f t="shared" si="597"/>
        <v>-2149489</v>
      </c>
      <c r="CZ711" s="61">
        <f t="shared" si="597"/>
        <v>-371264</v>
      </c>
      <c r="DA711" s="61">
        <f t="shared" si="597"/>
        <v>0</v>
      </c>
      <c r="DB711" s="2" t="s">
        <v>85</v>
      </c>
      <c r="DC711" s="2" t="s">
        <v>86</v>
      </c>
      <c r="DD711" s="2" t="s">
        <v>142</v>
      </c>
      <c r="DE711" s="2" t="s">
        <v>264</v>
      </c>
      <c r="DF711" s="3" t="s">
        <v>86</v>
      </c>
      <c r="DG711" s="62">
        <v>42976</v>
      </c>
      <c r="EC711" s="60"/>
      <c r="ED711" s="60"/>
      <c r="EE711" s="60"/>
      <c r="EF711" s="60"/>
      <c r="EH711" s="60"/>
      <c r="EI711" s="60"/>
      <c r="EJ711" s="60"/>
    </row>
    <row r="712" spans="2:140" ht="12.75" hidden="1" customHeight="1">
      <c r="B712" s="99" t="s">
        <v>1258</v>
      </c>
      <c r="C712" s="22" t="s">
        <v>1259</v>
      </c>
      <c r="D712" s="22" t="s">
        <v>1259</v>
      </c>
      <c r="E712" s="2" t="s">
        <v>968</v>
      </c>
      <c r="F712" s="2" t="s">
        <v>969</v>
      </c>
      <c r="G712" s="2" t="s">
        <v>1087</v>
      </c>
      <c r="J712" s="149" t="s">
        <v>126</v>
      </c>
      <c r="K712" s="23">
        <v>6775</v>
      </c>
      <c r="L712" s="149" t="s">
        <v>100</v>
      </c>
      <c r="M712" s="51" t="str">
        <f t="shared" ref="M712:M775" si="628">TRIM(J712)&amp;"-"&amp;TRIM(K712)&amp;"-"&amp;TRIM(L712)</f>
        <v>JD8B-6775-AA</v>
      </c>
      <c r="O712" s="22">
        <v>1</v>
      </c>
      <c r="P712" s="22">
        <v>1</v>
      </c>
      <c r="Q712" s="22">
        <v>1</v>
      </c>
      <c r="R712" s="22">
        <v>1</v>
      </c>
      <c r="S712" s="22"/>
      <c r="T712" s="22"/>
      <c r="U712" s="22"/>
      <c r="V712" s="22"/>
      <c r="W712" s="64">
        <f t="shared" ref="W712:W775" si="629">SUMPRODUCT(O712:V712,$O$6:$V$6)</f>
        <v>0.67</v>
      </c>
      <c r="Y712" s="60">
        <v>-14.05</v>
      </c>
      <c r="Z712" s="60">
        <v>-0.3</v>
      </c>
      <c r="AA712" s="60">
        <v>-0.33</v>
      </c>
      <c r="AB712" s="60"/>
      <c r="AC712" s="60"/>
      <c r="AD712" s="8">
        <f t="shared" si="567"/>
        <v>-14.680000000000001</v>
      </c>
      <c r="AE712" s="2" t="s">
        <v>84</v>
      </c>
      <c r="AG712" s="70">
        <v>-360000</v>
      </c>
      <c r="AH712" s="70">
        <v>-360000</v>
      </c>
      <c r="AJ712" s="70"/>
      <c r="AK712" s="70"/>
      <c r="AL712" s="72"/>
      <c r="AM712" s="22"/>
      <c r="AO712" s="22" t="s">
        <v>1260</v>
      </c>
      <c r="AP712" s="85"/>
      <c r="AQ712" s="22"/>
      <c r="AR712" s="51" t="str">
        <f t="shared" ref="AR712:AR756" si="630">TRIM(AO712)&amp;"-"&amp;TRIM(AP712)&amp;"-"&amp;TRIM(AQ712)</f>
        <v>new added--</v>
      </c>
      <c r="AS712" s="3"/>
      <c r="AT712" s="94"/>
      <c r="AU712" s="94"/>
      <c r="AV712" s="94"/>
      <c r="AW712" s="94"/>
      <c r="AX712" s="94"/>
      <c r="AY712" s="94"/>
      <c r="AZ712" s="94"/>
      <c r="BA712" s="94"/>
      <c r="BB712" s="64">
        <f t="shared" ref="BB712:BB752" si="631">SUMPRODUCT(AT712:BA712,$O$6:$V$6)</f>
        <v>0</v>
      </c>
      <c r="BD712" s="60"/>
      <c r="BE712" s="60"/>
      <c r="BF712" s="95"/>
      <c r="BG712" s="95"/>
      <c r="BH712" s="95"/>
      <c r="BI712" s="8">
        <f t="shared" ref="BI712:BI752" si="632">SUM(BD712:BH712)</f>
        <v>0</v>
      </c>
      <c r="BJ712" s="2" t="s">
        <v>84</v>
      </c>
      <c r="BL712" s="70"/>
      <c r="BM712" s="70"/>
      <c r="BO712" s="70"/>
      <c r="BP712" s="70"/>
      <c r="BQ712" s="72"/>
      <c r="BS712" s="61">
        <f t="shared" si="580"/>
        <v>-14.05</v>
      </c>
      <c r="BT712" s="61">
        <f t="shared" si="581"/>
        <v>-0.3</v>
      </c>
      <c r="BU712" s="61">
        <f t="shared" si="582"/>
        <v>-0.33</v>
      </c>
      <c r="BV712" s="61">
        <f t="shared" si="582"/>
        <v>0</v>
      </c>
      <c r="BW712" s="61">
        <f t="shared" si="582"/>
        <v>0</v>
      </c>
      <c r="BX712" s="61">
        <f t="shared" si="579"/>
        <v>-14.680000000000001</v>
      </c>
      <c r="BY712" s="61" t="s">
        <v>91</v>
      </c>
      <c r="CA712" s="61">
        <f t="shared" si="587"/>
        <v>-2.1137355197833609</v>
      </c>
      <c r="CB712" s="61">
        <f t="shared" si="587"/>
        <v>-2.1137355197833609</v>
      </c>
      <c r="CC712" s="61">
        <f t="shared" si="587"/>
        <v>-2.1137355197833609</v>
      </c>
      <c r="CD712" s="61">
        <f t="shared" si="587"/>
        <v>-2.1137355197833609</v>
      </c>
      <c r="CE712" s="61">
        <f t="shared" si="587"/>
        <v>0</v>
      </c>
      <c r="CF712" s="61">
        <f t="shared" si="576"/>
        <v>0</v>
      </c>
      <c r="CG712" s="61">
        <f t="shared" si="576"/>
        <v>0</v>
      </c>
      <c r="CH712" s="61">
        <f t="shared" si="576"/>
        <v>0</v>
      </c>
      <c r="CI712" s="61">
        <f t="shared" si="568"/>
        <v>-1.416202798254852</v>
      </c>
      <c r="CJ712" s="61"/>
      <c r="CK712" s="61">
        <f t="shared" si="588"/>
        <v>-2.2085151196028283</v>
      </c>
      <c r="CL712" s="61">
        <f t="shared" si="588"/>
        <v>-2.2085151196028283</v>
      </c>
      <c r="CM712" s="61">
        <f t="shared" si="588"/>
        <v>-2.2085151196028283</v>
      </c>
      <c r="CN712" s="61">
        <f t="shared" si="588"/>
        <v>-2.2085151196028283</v>
      </c>
      <c r="CO712" s="61">
        <f t="shared" si="588"/>
        <v>0</v>
      </c>
      <c r="CP712" s="61">
        <f t="shared" si="577"/>
        <v>0</v>
      </c>
      <c r="CQ712" s="61">
        <f t="shared" si="577"/>
        <v>0</v>
      </c>
      <c r="CR712" s="61">
        <f t="shared" si="577"/>
        <v>0</v>
      </c>
      <c r="CS712" s="61">
        <f t="shared" si="569"/>
        <v>-1.479705130133895</v>
      </c>
      <c r="CT712" s="61">
        <f t="shared" si="570"/>
        <v>-9.8356000000000012</v>
      </c>
      <c r="CV712" s="61">
        <f t="shared" si="624"/>
        <v>-360000</v>
      </c>
      <c r="CW712" s="61">
        <f t="shared" si="571"/>
        <v>-360000</v>
      </c>
      <c r="CX712" s="61"/>
      <c r="CY712" s="61">
        <f t="shared" si="597"/>
        <v>0</v>
      </c>
      <c r="CZ712" s="61">
        <f t="shared" si="597"/>
        <v>0</v>
      </c>
      <c r="DA712" s="61">
        <f t="shared" si="597"/>
        <v>0</v>
      </c>
      <c r="DB712" s="2" t="s">
        <v>85</v>
      </c>
      <c r="DC712" s="2" t="s">
        <v>85</v>
      </c>
      <c r="DD712" s="2" t="s">
        <v>142</v>
      </c>
      <c r="DE712" s="2" t="s">
        <v>264</v>
      </c>
      <c r="DG712" s="62"/>
      <c r="DZ712" s="3" t="e">
        <v>#N/A</v>
      </c>
      <c r="EC712" s="60"/>
      <c r="ED712" s="60"/>
      <c r="EE712" s="60"/>
      <c r="EF712" s="60"/>
    </row>
    <row r="713" spans="2:140" hidden="1">
      <c r="B713" s="99" t="s">
        <v>1261</v>
      </c>
      <c r="C713" s="22" t="s">
        <v>1262</v>
      </c>
      <c r="D713" s="22" t="s">
        <v>1263</v>
      </c>
      <c r="E713" s="22" t="s">
        <v>1024</v>
      </c>
      <c r="F713" s="22" t="s">
        <v>1025</v>
      </c>
      <c r="G713" s="22" t="s">
        <v>339</v>
      </c>
      <c r="J713" s="149"/>
      <c r="K713" s="149" t="s">
        <v>1264</v>
      </c>
      <c r="L713" s="149" t="s">
        <v>1265</v>
      </c>
      <c r="M713" s="51" t="str">
        <f t="shared" si="628"/>
        <v>-W506976-S442</v>
      </c>
      <c r="O713" s="22">
        <v>6</v>
      </c>
      <c r="P713" s="22">
        <v>6</v>
      </c>
      <c r="Q713" s="22">
        <v>6</v>
      </c>
      <c r="R713" s="22">
        <v>6</v>
      </c>
      <c r="S713" s="22">
        <v>6</v>
      </c>
      <c r="T713" s="22">
        <v>6</v>
      </c>
      <c r="U713" s="22">
        <v>6</v>
      </c>
      <c r="V713" s="22">
        <v>6</v>
      </c>
      <c r="W713" s="64">
        <f t="shared" si="629"/>
        <v>6</v>
      </c>
      <c r="Y713" s="60">
        <v>-0.51300000000000001</v>
      </c>
      <c r="Z713" s="60">
        <v>-3.0000000000000001E-3</v>
      </c>
      <c r="AA713" s="60">
        <v>-5.0000000000000001E-3</v>
      </c>
      <c r="AB713" s="60"/>
      <c r="AC713" s="60"/>
      <c r="AD713" s="8">
        <f t="shared" si="567"/>
        <v>-0.52100000000000002</v>
      </c>
      <c r="AE713" s="2" t="s">
        <v>84</v>
      </c>
      <c r="AG713" s="70">
        <v>0</v>
      </c>
      <c r="AH713" s="70">
        <v>0</v>
      </c>
      <c r="AJ713" s="70">
        <v>0</v>
      </c>
      <c r="AK713" s="70">
        <v>0</v>
      </c>
      <c r="AL713" s="72"/>
      <c r="AM713" s="22"/>
      <c r="AO713" s="22"/>
      <c r="AP713" s="85" t="s">
        <v>1266</v>
      </c>
      <c r="AQ713" s="22" t="s">
        <v>1226</v>
      </c>
      <c r="AR713" s="51" t="str">
        <f t="shared" si="630"/>
        <v>-W713910-S307</v>
      </c>
      <c r="AS713" s="3"/>
      <c r="AT713" s="94">
        <v>6</v>
      </c>
      <c r="AU713" s="94">
        <v>6</v>
      </c>
      <c r="AV713" s="94">
        <v>6</v>
      </c>
      <c r="AW713" s="94">
        <v>6</v>
      </c>
      <c r="AX713" s="94">
        <v>6</v>
      </c>
      <c r="AY713" s="94">
        <v>6</v>
      </c>
      <c r="AZ713" s="94">
        <v>6</v>
      </c>
      <c r="BA713" s="94">
        <v>6</v>
      </c>
      <c r="BB713" s="64">
        <f t="shared" si="631"/>
        <v>6</v>
      </c>
      <c r="BD713" s="60">
        <f>-0.513+0.266</f>
        <v>-0.247</v>
      </c>
      <c r="BE713" s="60">
        <v>-3.0000000000000001E-3</v>
      </c>
      <c r="BF713" s="60">
        <v>-5.0000000000000001E-3</v>
      </c>
      <c r="BG713" s="60"/>
      <c r="BH713" s="60"/>
      <c r="BI713" s="8">
        <f t="shared" si="632"/>
        <v>-0.255</v>
      </c>
      <c r="BJ713" s="2" t="s">
        <v>84</v>
      </c>
      <c r="BL713" s="70"/>
      <c r="BM713" s="70"/>
      <c r="BO713" s="70"/>
      <c r="BP713" s="70"/>
      <c r="BQ713" s="72"/>
      <c r="BS713" s="61">
        <f t="shared" si="580"/>
        <v>-0.26600000000000001</v>
      </c>
      <c r="BT713" s="61">
        <f t="shared" si="581"/>
        <v>0</v>
      </c>
      <c r="BU713" s="61">
        <f t="shared" si="582"/>
        <v>0</v>
      </c>
      <c r="BV713" s="61">
        <f t="shared" si="582"/>
        <v>0</v>
      </c>
      <c r="BW713" s="61">
        <f t="shared" si="582"/>
        <v>0</v>
      </c>
      <c r="BX713" s="61">
        <f t="shared" si="579"/>
        <v>-0.26600000000000001</v>
      </c>
      <c r="BY713" s="61" t="s">
        <v>91</v>
      </c>
      <c r="CA713" s="61">
        <f t="shared" si="587"/>
        <v>-0.24010831954265086</v>
      </c>
      <c r="CB713" s="61">
        <f t="shared" si="587"/>
        <v>-0.24010831954265086</v>
      </c>
      <c r="CC713" s="61">
        <f t="shared" si="587"/>
        <v>-0.24010831954265086</v>
      </c>
      <c r="CD713" s="61">
        <f t="shared" si="587"/>
        <v>-0.24010831954265086</v>
      </c>
      <c r="CE713" s="61">
        <f t="shared" si="587"/>
        <v>-0.24010831954265086</v>
      </c>
      <c r="CF713" s="61">
        <f t="shared" si="576"/>
        <v>-0.24010831954265086</v>
      </c>
      <c r="CG713" s="61">
        <f t="shared" si="576"/>
        <v>-0.24010831954265086</v>
      </c>
      <c r="CH713" s="61">
        <f t="shared" si="576"/>
        <v>-0.24010831954265086</v>
      </c>
      <c r="CI713" s="61">
        <f t="shared" si="568"/>
        <v>-0.24010831954265086</v>
      </c>
      <c r="CJ713" s="61"/>
      <c r="CK713" s="61">
        <f t="shared" si="588"/>
        <v>-0.24010831954265086</v>
      </c>
      <c r="CL713" s="61">
        <f t="shared" si="588"/>
        <v>-0.24010831954265086</v>
      </c>
      <c r="CM713" s="61">
        <f t="shared" si="588"/>
        <v>-0.24010831954265086</v>
      </c>
      <c r="CN713" s="61">
        <f t="shared" si="588"/>
        <v>-0.24010831954265086</v>
      </c>
      <c r="CO713" s="61">
        <f t="shared" si="588"/>
        <v>-0.24010831954265086</v>
      </c>
      <c r="CP713" s="61">
        <f t="shared" si="577"/>
        <v>-0.24010831954265086</v>
      </c>
      <c r="CQ713" s="61">
        <f t="shared" si="577"/>
        <v>-0.24010831954265086</v>
      </c>
      <c r="CR713" s="61">
        <f t="shared" si="577"/>
        <v>-0.24010831954265086</v>
      </c>
      <c r="CS713" s="61">
        <f t="shared" si="569"/>
        <v>-0.24010831954265086</v>
      </c>
      <c r="CT713" s="61">
        <f t="shared" si="570"/>
        <v>-1.5960000000000003</v>
      </c>
      <c r="CV713" s="61">
        <f t="shared" si="624"/>
        <v>0</v>
      </c>
      <c r="CW713" s="61">
        <f t="shared" si="571"/>
        <v>0</v>
      </c>
      <c r="CX713" s="61"/>
      <c r="CY713" s="61">
        <f t="shared" si="597"/>
        <v>0</v>
      </c>
      <c r="CZ713" s="61">
        <f t="shared" si="597"/>
        <v>0</v>
      </c>
      <c r="DA713" s="61">
        <f t="shared" si="597"/>
        <v>0</v>
      </c>
      <c r="DB713" s="2" t="s">
        <v>85</v>
      </c>
      <c r="DC713" s="2" t="s">
        <v>85</v>
      </c>
      <c r="DD713" s="2" t="s">
        <v>142</v>
      </c>
      <c r="DE713" s="2" t="s">
        <v>264</v>
      </c>
      <c r="DG713" s="62"/>
      <c r="DZ713" s="3" t="e">
        <v>#N/A</v>
      </c>
      <c r="EC713" s="60"/>
      <c r="ED713" s="60"/>
      <c r="EE713" s="60"/>
      <c r="EF713" s="60"/>
    </row>
    <row r="714" spans="2:140" hidden="1">
      <c r="B714" s="99" t="s">
        <v>1267</v>
      </c>
      <c r="C714" s="22" t="s">
        <v>1262</v>
      </c>
      <c r="D714" s="22" t="s">
        <v>1263</v>
      </c>
      <c r="E714" s="22" t="s">
        <v>1024</v>
      </c>
      <c r="F714" s="22" t="s">
        <v>1025</v>
      </c>
      <c r="G714" s="22" t="s">
        <v>339</v>
      </c>
      <c r="J714" s="149"/>
      <c r="K714" s="149" t="s">
        <v>1264</v>
      </c>
      <c r="L714" s="149" t="s">
        <v>1265</v>
      </c>
      <c r="M714" s="51" t="str">
        <f t="shared" si="628"/>
        <v>-W506976-S442</v>
      </c>
      <c r="O714" s="22">
        <v>6</v>
      </c>
      <c r="P714" s="22">
        <v>6</v>
      </c>
      <c r="Q714" s="22">
        <v>6</v>
      </c>
      <c r="R714" s="22">
        <v>6</v>
      </c>
      <c r="S714" s="22">
        <v>6</v>
      </c>
      <c r="T714" s="22">
        <v>6</v>
      </c>
      <c r="U714" s="22">
        <v>6</v>
      </c>
      <c r="V714" s="22">
        <v>6</v>
      </c>
      <c r="W714" s="64">
        <f t="shared" si="629"/>
        <v>6</v>
      </c>
      <c r="Y714" s="60">
        <v>-0.51300000000000001</v>
      </c>
      <c r="Z714" s="60">
        <v>-3.0000000000000001E-3</v>
      </c>
      <c r="AA714" s="60">
        <v>-5.0000000000000001E-3</v>
      </c>
      <c r="AB714" s="60"/>
      <c r="AC714" s="60"/>
      <c r="AD714" s="8">
        <f t="shared" ref="AD714" si="633">SUM(Y714:AC714)</f>
        <v>-0.52100000000000002</v>
      </c>
      <c r="AE714" s="2" t="s">
        <v>84</v>
      </c>
      <c r="AG714" s="70">
        <v>0</v>
      </c>
      <c r="AH714" s="70">
        <v>0</v>
      </c>
      <c r="AJ714" s="70">
        <v>0</v>
      </c>
      <c r="AK714" s="70">
        <v>0</v>
      </c>
      <c r="AL714" s="72"/>
      <c r="AM714" s="22"/>
      <c r="AO714" s="149"/>
      <c r="AP714" s="149" t="s">
        <v>1264</v>
      </c>
      <c r="AQ714" s="149" t="s">
        <v>1265</v>
      </c>
      <c r="AR714" s="51" t="str">
        <f t="shared" si="630"/>
        <v>-W506976-S442</v>
      </c>
      <c r="AS714" s="3"/>
      <c r="AT714" s="22">
        <v>6</v>
      </c>
      <c r="AU714" s="22">
        <v>6</v>
      </c>
      <c r="AV714" s="22">
        <v>6</v>
      </c>
      <c r="AW714" s="22">
        <v>6</v>
      </c>
      <c r="AX714" s="22">
        <v>6</v>
      </c>
      <c r="AY714" s="22">
        <v>6</v>
      </c>
      <c r="AZ714" s="22">
        <v>6</v>
      </c>
      <c r="BA714" s="22">
        <v>6</v>
      </c>
      <c r="BB714" s="64">
        <f t="shared" si="631"/>
        <v>6</v>
      </c>
      <c r="BD714" s="60">
        <v>-0.51300000000000001</v>
      </c>
      <c r="BE714" s="60">
        <v>-3.0000000000000001E-3</v>
      </c>
      <c r="BF714" s="60">
        <v>-5.0000000000000001E-3</v>
      </c>
      <c r="BG714" s="60"/>
      <c r="BH714" s="60"/>
      <c r="BI714" s="8">
        <f t="shared" ref="BI714" si="634">SUM(BD714:BH714)</f>
        <v>-0.52100000000000002</v>
      </c>
      <c r="BJ714" s="2" t="s">
        <v>84</v>
      </c>
      <c r="BL714" s="70"/>
      <c r="BM714" s="70"/>
      <c r="BO714" s="70"/>
      <c r="BP714" s="70"/>
      <c r="BQ714" s="72"/>
      <c r="BS714" s="61">
        <f t="shared" si="580"/>
        <v>0</v>
      </c>
      <c r="BT714" s="61">
        <f t="shared" si="581"/>
        <v>0</v>
      </c>
      <c r="BU714" s="61">
        <f t="shared" si="582"/>
        <v>0</v>
      </c>
      <c r="BV714" s="61">
        <f t="shared" si="582"/>
        <v>0</v>
      </c>
      <c r="BW714" s="61">
        <f t="shared" si="582"/>
        <v>0</v>
      </c>
      <c r="BX714" s="61">
        <f t="shared" si="579"/>
        <v>0</v>
      </c>
      <c r="BY714" s="61" t="s">
        <v>91</v>
      </c>
      <c r="CA714" s="61">
        <f t="shared" si="587"/>
        <v>0</v>
      </c>
      <c r="CB714" s="61">
        <f t="shared" si="587"/>
        <v>0</v>
      </c>
      <c r="CC714" s="61">
        <f t="shared" si="587"/>
        <v>0</v>
      </c>
      <c r="CD714" s="61">
        <f t="shared" si="587"/>
        <v>0</v>
      </c>
      <c r="CE714" s="61">
        <f t="shared" si="587"/>
        <v>0</v>
      </c>
      <c r="CF714" s="61">
        <f t="shared" si="576"/>
        <v>0</v>
      </c>
      <c r="CG714" s="61">
        <f t="shared" si="576"/>
        <v>0</v>
      </c>
      <c r="CH714" s="61">
        <f t="shared" si="576"/>
        <v>0</v>
      </c>
      <c r="CI714" s="61">
        <f t="shared" si="568"/>
        <v>0</v>
      </c>
      <c r="CJ714" s="61"/>
      <c r="CK714" s="61">
        <f t="shared" si="588"/>
        <v>0</v>
      </c>
      <c r="CL714" s="61">
        <f t="shared" si="588"/>
        <v>0</v>
      </c>
      <c r="CM714" s="61">
        <f t="shared" si="588"/>
        <v>0</v>
      </c>
      <c r="CN714" s="61">
        <f t="shared" si="588"/>
        <v>0</v>
      </c>
      <c r="CO714" s="61">
        <f t="shared" si="588"/>
        <v>0</v>
      </c>
      <c r="CP714" s="61">
        <f t="shared" si="577"/>
        <v>0</v>
      </c>
      <c r="CQ714" s="61">
        <f t="shared" si="577"/>
        <v>0</v>
      </c>
      <c r="CR714" s="61">
        <f t="shared" si="577"/>
        <v>0</v>
      </c>
      <c r="CS714" s="61">
        <f t="shared" si="569"/>
        <v>0</v>
      </c>
      <c r="CT714" s="61">
        <f t="shared" si="570"/>
        <v>0</v>
      </c>
      <c r="CV714" s="61">
        <f t="shared" ref="CV714" si="635">SUM(AG714)-SUM(BL714)</f>
        <v>0</v>
      </c>
      <c r="CW714" s="61">
        <f t="shared" ref="CW714" si="636">SUM(AH714)-SUM(BM714)</f>
        <v>0</v>
      </c>
      <c r="CX714" s="61"/>
      <c r="CY714" s="61">
        <f t="shared" si="597"/>
        <v>0</v>
      </c>
      <c r="CZ714" s="61">
        <f t="shared" si="597"/>
        <v>0</v>
      </c>
      <c r="DA714" s="61">
        <f t="shared" si="597"/>
        <v>0</v>
      </c>
      <c r="DB714" s="2" t="s">
        <v>86</v>
      </c>
      <c r="DC714" s="2" t="s">
        <v>85</v>
      </c>
      <c r="DD714" s="2" t="s">
        <v>142</v>
      </c>
      <c r="DE714" s="2" t="s">
        <v>1177</v>
      </c>
      <c r="DF714" s="3" t="s">
        <v>86</v>
      </c>
      <c r="DG714" s="62">
        <v>43138</v>
      </c>
      <c r="EC714" s="60" t="str">
        <f>VLOOKUP($M714,[1]Detail!$M:$BO,1,0)</f>
        <v>-W506976-S442</v>
      </c>
      <c r="ED714" s="60">
        <f>VLOOKUP($M714,[1]Detail!$M:$BO,22,0)</f>
        <v>-0.52100000000000002</v>
      </c>
      <c r="EE714" s="60">
        <f>VLOOKUP($M714,[1]Detail!$M:$BO,42,0)</f>
        <v>0</v>
      </c>
      <c r="EF714" s="60">
        <f>VLOOKUP($M714,[1]Detail!$M:$BO,45,0)</f>
        <v>0</v>
      </c>
      <c r="EH714" s="60">
        <f t="shared" ref="EH714:EH715" si="637">ED714-AD714</f>
        <v>0</v>
      </c>
      <c r="EI714" s="60">
        <f t="shared" ref="EI714:EI715" si="638">EE714-AG714</f>
        <v>0</v>
      </c>
      <c r="EJ714" s="60">
        <f t="shared" ref="EJ714:EJ715" si="639">EF714-AJ714</f>
        <v>0</v>
      </c>
    </row>
    <row r="715" spans="2:140" ht="12.75" hidden="1" customHeight="1">
      <c r="B715" s="99" t="s">
        <v>1222</v>
      </c>
      <c r="C715" s="22" t="s">
        <v>1223</v>
      </c>
      <c r="D715" s="22" t="s">
        <v>1224</v>
      </c>
      <c r="E715" s="22" t="s">
        <v>1024</v>
      </c>
      <c r="F715" s="22" t="s">
        <v>1025</v>
      </c>
      <c r="G715" s="22" t="s">
        <v>339</v>
      </c>
      <c r="J715" s="149"/>
      <c r="K715" s="149" t="s">
        <v>1225</v>
      </c>
      <c r="L715" s="23" t="s">
        <v>1226</v>
      </c>
      <c r="M715" s="51" t="str">
        <f t="shared" si="628"/>
        <v>-W704310-S307</v>
      </c>
      <c r="O715" s="22">
        <v>2</v>
      </c>
      <c r="P715" s="22">
        <v>2</v>
      </c>
      <c r="Q715" s="22">
        <v>2</v>
      </c>
      <c r="R715" s="22">
        <v>2</v>
      </c>
      <c r="S715" s="22">
        <v>2</v>
      </c>
      <c r="T715" s="22">
        <v>2</v>
      </c>
      <c r="U715" s="22">
        <v>2</v>
      </c>
      <c r="V715" s="22">
        <v>2</v>
      </c>
      <c r="W715" s="64">
        <f t="shared" si="629"/>
        <v>2</v>
      </c>
      <c r="Y715" s="60">
        <v>-0.156</v>
      </c>
      <c r="Z715" s="60">
        <f>-0.0049</f>
        <v>-4.8999999999999998E-3</v>
      </c>
      <c r="AA715" s="60">
        <v>-2.0999999999999999E-3</v>
      </c>
      <c r="AB715" s="60"/>
      <c r="AC715" s="60"/>
      <c r="AD715" s="8">
        <f t="shared" si="567"/>
        <v>-0.16299999999999998</v>
      </c>
      <c r="AE715" s="2" t="s">
        <v>84</v>
      </c>
      <c r="AG715" s="70"/>
      <c r="AH715" s="70"/>
      <c r="AJ715" s="70"/>
      <c r="AK715" s="70"/>
      <c r="AL715" s="72"/>
      <c r="AM715" s="22"/>
      <c r="AO715" s="149"/>
      <c r="AP715" s="149" t="s">
        <v>1227</v>
      </c>
      <c r="AQ715" s="23" t="s">
        <v>1228</v>
      </c>
      <c r="AR715" s="51" t="str">
        <f t="shared" si="630"/>
        <v>-W502670-S450B</v>
      </c>
      <c r="AS715" s="3"/>
      <c r="AT715" s="94">
        <v>2</v>
      </c>
      <c r="AU715" s="94">
        <v>2</v>
      </c>
      <c r="AV715" s="94">
        <v>2</v>
      </c>
      <c r="AW715" s="94">
        <v>2</v>
      </c>
      <c r="AX715" s="94">
        <v>2</v>
      </c>
      <c r="AY715" s="94">
        <v>2</v>
      </c>
      <c r="AZ715" s="94">
        <v>2</v>
      </c>
      <c r="BA715" s="94">
        <v>2</v>
      </c>
      <c r="BB715" s="64">
        <f t="shared" si="631"/>
        <v>2</v>
      </c>
      <c r="BD715" s="60"/>
      <c r="BE715" s="60"/>
      <c r="BF715" s="95"/>
      <c r="BG715" s="95"/>
      <c r="BH715" s="95"/>
      <c r="BI715" s="8">
        <f t="shared" si="632"/>
        <v>0</v>
      </c>
      <c r="BJ715" s="2" t="s">
        <v>84</v>
      </c>
      <c r="BL715" s="70"/>
      <c r="BM715" s="70"/>
      <c r="BO715" s="70"/>
      <c r="BP715" s="70"/>
      <c r="BQ715" s="72"/>
      <c r="BS715" s="61">
        <f t="shared" si="580"/>
        <v>-0.156</v>
      </c>
      <c r="BT715" s="61">
        <f t="shared" si="581"/>
        <v>-4.8999999999999998E-3</v>
      </c>
      <c r="BU715" s="61">
        <f t="shared" si="582"/>
        <v>-2.0999999999999999E-3</v>
      </c>
      <c r="BV715" s="61">
        <f t="shared" si="582"/>
        <v>0</v>
      </c>
      <c r="BW715" s="61">
        <f t="shared" si="582"/>
        <v>0</v>
      </c>
      <c r="BX715" s="61">
        <f t="shared" si="579"/>
        <v>-0.16299999999999998</v>
      </c>
      <c r="BY715" s="61" t="s">
        <v>91</v>
      </c>
      <c r="CA715" s="61">
        <f t="shared" si="587"/>
        <v>-4.6938468482021961E-2</v>
      </c>
      <c r="CB715" s="61">
        <f t="shared" si="587"/>
        <v>-4.6938468482021961E-2</v>
      </c>
      <c r="CC715" s="61">
        <f t="shared" si="587"/>
        <v>-4.6938468482021961E-2</v>
      </c>
      <c r="CD715" s="61">
        <f t="shared" si="587"/>
        <v>-4.6938468482021961E-2</v>
      </c>
      <c r="CE715" s="61">
        <f t="shared" si="587"/>
        <v>-4.6938468482021961E-2</v>
      </c>
      <c r="CF715" s="61">
        <f t="shared" si="576"/>
        <v>-4.6938468482021961E-2</v>
      </c>
      <c r="CG715" s="61">
        <f t="shared" si="576"/>
        <v>-4.6938468482021961E-2</v>
      </c>
      <c r="CH715" s="61">
        <f t="shared" si="576"/>
        <v>-4.6938468482021961E-2</v>
      </c>
      <c r="CI715" s="61">
        <f t="shared" si="568"/>
        <v>-4.6938468482021961E-2</v>
      </c>
      <c r="CJ715" s="61"/>
      <c r="CK715" s="61">
        <f t="shared" si="588"/>
        <v>-4.9044681811343457E-2</v>
      </c>
      <c r="CL715" s="61">
        <f t="shared" si="588"/>
        <v>-4.9044681811343457E-2</v>
      </c>
      <c r="CM715" s="61">
        <f t="shared" si="588"/>
        <v>-4.9044681811343457E-2</v>
      </c>
      <c r="CN715" s="61">
        <f t="shared" si="588"/>
        <v>-4.9044681811343457E-2</v>
      </c>
      <c r="CO715" s="61">
        <f t="shared" si="588"/>
        <v>-4.9044681811343457E-2</v>
      </c>
      <c r="CP715" s="61">
        <f t="shared" si="577"/>
        <v>-4.9044681811343457E-2</v>
      </c>
      <c r="CQ715" s="61">
        <f t="shared" si="577"/>
        <v>-4.9044681811343457E-2</v>
      </c>
      <c r="CR715" s="61">
        <f t="shared" si="577"/>
        <v>-4.9044681811343457E-2</v>
      </c>
      <c r="CS715" s="61">
        <f t="shared" si="569"/>
        <v>-4.9044681811343457E-2</v>
      </c>
      <c r="CT715" s="61">
        <f t="shared" si="570"/>
        <v>-0.32599999999999996</v>
      </c>
      <c r="CV715" s="61">
        <f t="shared" si="624"/>
        <v>0</v>
      </c>
      <c r="CW715" s="61">
        <f t="shared" si="571"/>
        <v>0</v>
      </c>
      <c r="CX715" s="61"/>
      <c r="CY715" s="61">
        <f t="shared" si="597"/>
        <v>0</v>
      </c>
      <c r="CZ715" s="61">
        <f t="shared" si="597"/>
        <v>0</v>
      </c>
      <c r="DA715" s="61">
        <f t="shared" si="597"/>
        <v>0</v>
      </c>
      <c r="DB715" s="2" t="s">
        <v>86</v>
      </c>
      <c r="DC715" s="2" t="s">
        <v>85</v>
      </c>
      <c r="DD715" s="2" t="s">
        <v>142</v>
      </c>
      <c r="DE715" s="2" t="s">
        <v>264</v>
      </c>
      <c r="DG715" s="62"/>
      <c r="DZ715" s="3" t="e">
        <v>#N/A</v>
      </c>
      <c r="EC715" s="60" t="str">
        <f>VLOOKUP($M715,[1]Detail!$M:$BO,1,0)</f>
        <v>-W704310-S307</v>
      </c>
      <c r="ED715" s="60">
        <f>VLOOKUP($M715,[1]Detail!$M:$BO,22,0)</f>
        <v>-0.17999999999999997</v>
      </c>
      <c r="EE715" s="60">
        <f>VLOOKUP($M715,[1]Detail!$M:$BO,42,0)</f>
        <v>0</v>
      </c>
      <c r="EF715" s="60">
        <f>VLOOKUP($M715,[1]Detail!$M:$BO,45,0)</f>
        <v>0</v>
      </c>
      <c r="EH715" s="60">
        <f t="shared" si="637"/>
        <v>-1.6999999999999987E-2</v>
      </c>
      <c r="EI715" s="60">
        <f t="shared" si="638"/>
        <v>0</v>
      </c>
      <c r="EJ715" s="60">
        <f t="shared" si="639"/>
        <v>0</v>
      </c>
    </row>
    <row r="716" spans="2:140" ht="12.75" hidden="1" customHeight="1">
      <c r="B716" s="99" t="s">
        <v>1268</v>
      </c>
      <c r="C716" s="22" t="s">
        <v>1180</v>
      </c>
      <c r="D716" s="22" t="s">
        <v>1181</v>
      </c>
      <c r="E716" s="22" t="s">
        <v>1024</v>
      </c>
      <c r="F716" s="22" t="s">
        <v>1025</v>
      </c>
      <c r="G716" s="22" t="s">
        <v>1269</v>
      </c>
      <c r="J716" s="149"/>
      <c r="K716" s="23" t="s">
        <v>1184</v>
      </c>
      <c r="L716" s="149" t="s">
        <v>1185</v>
      </c>
      <c r="M716" s="51" t="str">
        <f t="shared" si="628"/>
        <v>-W700121-S403</v>
      </c>
      <c r="O716" s="22">
        <v>2</v>
      </c>
      <c r="P716" s="22">
        <v>2</v>
      </c>
      <c r="Q716" s="22">
        <v>2</v>
      </c>
      <c r="R716" s="22">
        <v>2</v>
      </c>
      <c r="S716" s="22">
        <v>2</v>
      </c>
      <c r="T716" s="22">
        <v>2</v>
      </c>
      <c r="U716" s="22">
        <v>2</v>
      </c>
      <c r="V716" s="22">
        <v>2</v>
      </c>
      <c r="W716" s="64">
        <f t="shared" si="629"/>
        <v>2</v>
      </c>
      <c r="Y716" s="8">
        <v>-3.6799999999999999E-2</v>
      </c>
      <c r="Z716" s="8">
        <v>-1E-3</v>
      </c>
      <c r="AA716" s="8">
        <v>-2.3999999999999998E-3</v>
      </c>
      <c r="AB716" s="8">
        <v>-1.38E-2</v>
      </c>
      <c r="AC716" s="60"/>
      <c r="AD716" s="8">
        <f t="shared" si="567"/>
        <v>-5.3999999999999999E-2</v>
      </c>
      <c r="AE716" s="2" t="s">
        <v>84</v>
      </c>
      <c r="AG716" s="70"/>
      <c r="AH716" s="70"/>
      <c r="AJ716" s="70"/>
      <c r="AK716" s="70"/>
      <c r="AL716" s="72"/>
      <c r="AM716" s="22"/>
      <c r="AO716" s="149"/>
      <c r="AP716" s="23" t="s">
        <v>1184</v>
      </c>
      <c r="AQ716" s="149" t="s">
        <v>1185</v>
      </c>
      <c r="AR716" s="51" t="str">
        <f t="shared" si="630"/>
        <v>-W700121-S403</v>
      </c>
      <c r="AS716" s="3"/>
      <c r="AT716" s="22">
        <v>0</v>
      </c>
      <c r="AU716" s="22">
        <v>0</v>
      </c>
      <c r="AV716" s="22">
        <v>0</v>
      </c>
      <c r="AW716" s="22">
        <v>0</v>
      </c>
      <c r="AX716" s="22">
        <v>0</v>
      </c>
      <c r="AY716" s="22">
        <v>0</v>
      </c>
      <c r="AZ716" s="22">
        <v>0</v>
      </c>
      <c r="BA716" s="22">
        <v>0</v>
      </c>
      <c r="BB716" s="64">
        <f t="shared" si="631"/>
        <v>0</v>
      </c>
      <c r="BD716" s="8">
        <v>-3.6799999999999999E-2</v>
      </c>
      <c r="BE716" s="8">
        <v>-1E-3</v>
      </c>
      <c r="BF716" s="8">
        <v>-2.3999999999999998E-3</v>
      </c>
      <c r="BG716" s="8">
        <v>-1.38E-2</v>
      </c>
      <c r="BH716" s="60"/>
      <c r="BI716" s="8">
        <f t="shared" si="632"/>
        <v>-5.3999999999999999E-2</v>
      </c>
      <c r="BJ716" s="2" t="s">
        <v>84</v>
      </c>
      <c r="BL716" s="70"/>
      <c r="BM716" s="70"/>
      <c r="BO716" s="70"/>
      <c r="BP716" s="70"/>
      <c r="BQ716" s="72"/>
      <c r="BS716" s="61">
        <f t="shared" si="580"/>
        <v>0</v>
      </c>
      <c r="BT716" s="61">
        <f t="shared" si="581"/>
        <v>0</v>
      </c>
      <c r="BU716" s="61">
        <f t="shared" si="582"/>
        <v>0</v>
      </c>
      <c r="BV716" s="61">
        <f t="shared" si="582"/>
        <v>0</v>
      </c>
      <c r="BW716" s="61">
        <f t="shared" si="582"/>
        <v>0</v>
      </c>
      <c r="BX716" s="61">
        <f t="shared" si="579"/>
        <v>0</v>
      </c>
      <c r="BY716" s="61" t="s">
        <v>91</v>
      </c>
      <c r="CA716" s="61">
        <f t="shared" si="587"/>
        <v>-1.1072664359861591E-2</v>
      </c>
      <c r="CB716" s="61">
        <f t="shared" si="587"/>
        <v>-1.1072664359861591E-2</v>
      </c>
      <c r="CC716" s="61">
        <f t="shared" si="587"/>
        <v>-1.1072664359861591E-2</v>
      </c>
      <c r="CD716" s="61">
        <f t="shared" si="587"/>
        <v>-1.1072664359861591E-2</v>
      </c>
      <c r="CE716" s="61">
        <f t="shared" si="587"/>
        <v>-1.1072664359861591E-2</v>
      </c>
      <c r="CF716" s="61">
        <f t="shared" si="576"/>
        <v>-1.1072664359861591E-2</v>
      </c>
      <c r="CG716" s="61">
        <f t="shared" si="576"/>
        <v>-1.1072664359861591E-2</v>
      </c>
      <c r="CH716" s="61">
        <f t="shared" si="576"/>
        <v>-1.1072664359861591E-2</v>
      </c>
      <c r="CI716" s="61">
        <f t="shared" si="568"/>
        <v>-1.1072664359861593E-2</v>
      </c>
      <c r="CJ716" s="61"/>
      <c r="CK716" s="61">
        <f t="shared" si="588"/>
        <v>-1.6247931397622987E-2</v>
      </c>
      <c r="CL716" s="61">
        <f t="shared" si="588"/>
        <v>-1.6247931397622987E-2</v>
      </c>
      <c r="CM716" s="61">
        <f t="shared" si="588"/>
        <v>-1.6247931397622987E-2</v>
      </c>
      <c r="CN716" s="61">
        <f t="shared" si="588"/>
        <v>-1.6247931397622987E-2</v>
      </c>
      <c r="CO716" s="61">
        <f t="shared" si="588"/>
        <v>-1.6247931397622987E-2</v>
      </c>
      <c r="CP716" s="61">
        <f t="shared" si="577"/>
        <v>-1.6247931397622987E-2</v>
      </c>
      <c r="CQ716" s="61">
        <f t="shared" si="577"/>
        <v>-1.6247931397622987E-2</v>
      </c>
      <c r="CR716" s="61">
        <f t="shared" si="577"/>
        <v>-1.6247931397622987E-2</v>
      </c>
      <c r="CS716" s="61">
        <f t="shared" si="569"/>
        <v>-1.624793139762299E-2</v>
      </c>
      <c r="CT716" s="61">
        <f t="shared" si="570"/>
        <v>-0.10800000000000003</v>
      </c>
      <c r="CV716" s="61">
        <f t="shared" si="624"/>
        <v>0</v>
      </c>
      <c r="CW716" s="61">
        <f t="shared" si="571"/>
        <v>0</v>
      </c>
      <c r="CX716" s="61"/>
      <c r="CY716" s="61">
        <f t="shared" si="597"/>
        <v>0</v>
      </c>
      <c r="CZ716" s="61">
        <f t="shared" si="597"/>
        <v>0</v>
      </c>
      <c r="DA716" s="61">
        <f t="shared" si="597"/>
        <v>0</v>
      </c>
      <c r="DB716" s="2" t="s">
        <v>85</v>
      </c>
      <c r="DC716" s="2" t="s">
        <v>86</v>
      </c>
      <c r="DD716" s="2" t="s">
        <v>142</v>
      </c>
      <c r="DE716" s="2" t="s">
        <v>264</v>
      </c>
      <c r="DG716" s="62"/>
      <c r="DZ716" s="3" t="e">
        <v>#N/A</v>
      </c>
      <c r="EC716" s="60"/>
      <c r="ED716" s="60"/>
      <c r="EE716" s="60"/>
      <c r="EF716" s="60"/>
    </row>
    <row r="717" spans="2:140" ht="12.75" hidden="1" customHeight="1">
      <c r="B717" s="99" t="s">
        <v>1270</v>
      </c>
      <c r="C717" s="22" t="s">
        <v>1138</v>
      </c>
      <c r="D717" s="22" t="s">
        <v>1139</v>
      </c>
      <c r="E717" s="22" t="s">
        <v>1140</v>
      </c>
      <c r="F717" s="22" t="s">
        <v>348</v>
      </c>
      <c r="G717" s="22" t="s">
        <v>339</v>
      </c>
      <c r="J717" s="149" t="s">
        <v>751</v>
      </c>
      <c r="K717" s="23" t="s">
        <v>1271</v>
      </c>
      <c r="L717" s="149" t="s">
        <v>1272</v>
      </c>
      <c r="M717" s="51" t="str">
        <f t="shared" si="628"/>
        <v>AV61-R16021-BF</v>
      </c>
      <c r="O717" s="22">
        <v>1</v>
      </c>
      <c r="P717" s="22">
        <v>1</v>
      </c>
      <c r="Q717" s="22">
        <v>1</v>
      </c>
      <c r="R717" s="22">
        <v>1</v>
      </c>
      <c r="S717" s="22">
        <v>1</v>
      </c>
      <c r="T717" s="22">
        <v>1</v>
      </c>
      <c r="U717" s="22">
        <v>1</v>
      </c>
      <c r="V717" s="22">
        <v>1</v>
      </c>
      <c r="W717" s="64">
        <f t="shared" si="629"/>
        <v>1</v>
      </c>
      <c r="Y717" s="60">
        <v>-61.949999999999996</v>
      </c>
      <c r="Z717" s="60">
        <v>-0.88</v>
      </c>
      <c r="AA717" s="60">
        <v>-0.59</v>
      </c>
      <c r="AB717" s="60"/>
      <c r="AC717" s="60"/>
      <c r="AD717" s="8">
        <f t="shared" si="567"/>
        <v>-63.42</v>
      </c>
      <c r="AE717" s="2" t="s">
        <v>84</v>
      </c>
      <c r="AG717" s="70">
        <v>-3406626</v>
      </c>
      <c r="AH717" s="70">
        <v>-3406626</v>
      </c>
      <c r="AJ717" s="70">
        <v>0</v>
      </c>
      <c r="AK717" s="70">
        <v>0</v>
      </c>
      <c r="AL717" s="72"/>
      <c r="AM717" s="22"/>
      <c r="AO717" s="149" t="s">
        <v>751</v>
      </c>
      <c r="AP717" s="23" t="s">
        <v>1271</v>
      </c>
      <c r="AQ717" s="22" t="s">
        <v>151</v>
      </c>
      <c r="AR717" s="51" t="str">
        <f t="shared" si="630"/>
        <v>AV61-R16021-AG</v>
      </c>
      <c r="AS717" s="3"/>
      <c r="AT717" s="94">
        <v>1</v>
      </c>
      <c r="AU717" s="94">
        <v>1</v>
      </c>
      <c r="AV717" s="94">
        <v>1</v>
      </c>
      <c r="AW717" s="94">
        <v>1</v>
      </c>
      <c r="AX717" s="94">
        <v>1</v>
      </c>
      <c r="AY717" s="94">
        <v>1</v>
      </c>
      <c r="AZ717" s="94">
        <v>1</v>
      </c>
      <c r="BA717" s="94">
        <v>1</v>
      </c>
      <c r="BB717" s="64">
        <f t="shared" si="631"/>
        <v>1</v>
      </c>
      <c r="BD717" s="60">
        <v>-61.81</v>
      </c>
      <c r="BE717" s="60">
        <v>-0.88</v>
      </c>
      <c r="BF717" s="60">
        <v>-0.59</v>
      </c>
      <c r="BG717" s="60"/>
      <c r="BH717" s="60"/>
      <c r="BI717" s="8">
        <f t="shared" si="632"/>
        <v>-63.280000000000008</v>
      </c>
      <c r="BJ717" s="2" t="s">
        <v>84</v>
      </c>
      <c r="BL717" s="70">
        <v>-3313456</v>
      </c>
      <c r="BM717" s="70">
        <v>-3313456</v>
      </c>
      <c r="BO717" s="70"/>
      <c r="BP717" s="70"/>
      <c r="BQ717" s="72"/>
      <c r="BS717" s="61">
        <f t="shared" si="580"/>
        <v>-0.13999999999999346</v>
      </c>
      <c r="BT717" s="61">
        <f t="shared" si="581"/>
        <v>0</v>
      </c>
      <c r="BU717" s="61">
        <f t="shared" si="582"/>
        <v>0</v>
      </c>
      <c r="BV717" s="61">
        <f t="shared" si="582"/>
        <v>0</v>
      </c>
      <c r="BW717" s="61">
        <f t="shared" si="582"/>
        <v>0</v>
      </c>
      <c r="BX717" s="61">
        <f t="shared" si="579"/>
        <v>-0.13999999999999346</v>
      </c>
      <c r="BY717" s="61" t="s">
        <v>91</v>
      </c>
      <c r="CA717" s="61">
        <f t="shared" si="587"/>
        <v>-2.1062133293213998E-2</v>
      </c>
      <c r="CB717" s="61">
        <f t="shared" si="587"/>
        <v>-2.1062133293213998E-2</v>
      </c>
      <c r="CC717" s="61">
        <f t="shared" si="587"/>
        <v>-2.1062133293213998E-2</v>
      </c>
      <c r="CD717" s="61">
        <f t="shared" si="587"/>
        <v>-2.1062133293213998E-2</v>
      </c>
      <c r="CE717" s="61">
        <f t="shared" si="587"/>
        <v>-2.1062133293213998E-2</v>
      </c>
      <c r="CF717" s="61">
        <f t="shared" si="576"/>
        <v>-2.1062133293213998E-2</v>
      </c>
      <c r="CG717" s="61">
        <f t="shared" si="576"/>
        <v>-2.1062133293213998E-2</v>
      </c>
      <c r="CH717" s="61">
        <f t="shared" si="576"/>
        <v>-2.1062133293213998E-2</v>
      </c>
      <c r="CI717" s="61">
        <f t="shared" si="568"/>
        <v>-2.1062133293214002E-2</v>
      </c>
      <c r="CJ717" s="61"/>
      <c r="CK717" s="61">
        <f t="shared" si="588"/>
        <v>-2.1062133293213998E-2</v>
      </c>
      <c r="CL717" s="61">
        <f t="shared" si="588"/>
        <v>-2.1062133293213998E-2</v>
      </c>
      <c r="CM717" s="61">
        <f t="shared" si="588"/>
        <v>-2.1062133293213998E-2</v>
      </c>
      <c r="CN717" s="61">
        <f t="shared" si="588"/>
        <v>-2.1062133293213998E-2</v>
      </c>
      <c r="CO717" s="61">
        <f t="shared" si="588"/>
        <v>-2.1062133293213998E-2</v>
      </c>
      <c r="CP717" s="61">
        <f t="shared" si="577"/>
        <v>-2.1062133293213998E-2</v>
      </c>
      <c r="CQ717" s="61">
        <f t="shared" si="577"/>
        <v>-2.1062133293213998E-2</v>
      </c>
      <c r="CR717" s="61">
        <f t="shared" si="577"/>
        <v>-2.1062133293213998E-2</v>
      </c>
      <c r="CS717" s="61">
        <f t="shared" si="569"/>
        <v>-2.1062133293214002E-2</v>
      </c>
      <c r="CT717" s="61">
        <f t="shared" si="570"/>
        <v>-0.13999999999999346</v>
      </c>
      <c r="CV717" s="61">
        <f t="shared" si="624"/>
        <v>-93170</v>
      </c>
      <c r="CW717" s="61">
        <f t="shared" si="571"/>
        <v>-93170</v>
      </c>
      <c r="CX717" s="61"/>
      <c r="CY717" s="61">
        <f t="shared" si="597"/>
        <v>0</v>
      </c>
      <c r="CZ717" s="61">
        <f t="shared" si="597"/>
        <v>0</v>
      </c>
      <c r="DA717" s="61">
        <f t="shared" si="597"/>
        <v>0</v>
      </c>
      <c r="DB717" s="2" t="s">
        <v>86</v>
      </c>
      <c r="DC717" s="2" t="s">
        <v>85</v>
      </c>
      <c r="DD717" s="2" t="s">
        <v>142</v>
      </c>
      <c r="DE717" s="2" t="s">
        <v>264</v>
      </c>
      <c r="DG717" s="62"/>
      <c r="DZ717" s="3" t="e">
        <v>#N/A</v>
      </c>
      <c r="EC717" s="60" t="str">
        <f>VLOOKUP($M717,[1]Detail!$M:$BO,1,0)</f>
        <v>AV61-R16021-BF</v>
      </c>
      <c r="ED717" s="60">
        <f>VLOOKUP($M717,[1]Detail!$M:$BO,22,0)</f>
        <v>-63.42</v>
      </c>
      <c r="EE717" s="60">
        <f>VLOOKUP($M717,[1]Detail!$M:$BO,42,0)</f>
        <v>-3406626</v>
      </c>
      <c r="EF717" s="60">
        <f>VLOOKUP($M717,[1]Detail!$M:$BO,45,0)</f>
        <v>0</v>
      </c>
      <c r="EH717" s="60">
        <f>ED717-AD717</f>
        <v>0</v>
      </c>
      <c r="EI717" s="60">
        <f>EE717-AG717</f>
        <v>0</v>
      </c>
      <c r="EJ717" s="60">
        <f>EF717-AJ717</f>
        <v>0</v>
      </c>
    </row>
    <row r="718" spans="2:140" ht="12.75" hidden="1" customHeight="1">
      <c r="B718" s="99" t="s">
        <v>1270</v>
      </c>
      <c r="C718" s="22" t="s">
        <v>1180</v>
      </c>
      <c r="D718" s="22" t="s">
        <v>1181</v>
      </c>
      <c r="E718" s="2" t="s">
        <v>968</v>
      </c>
      <c r="F718" s="2" t="s">
        <v>969</v>
      </c>
      <c r="G718" s="2" t="s">
        <v>983</v>
      </c>
      <c r="J718" s="149"/>
      <c r="K718" s="23" t="s">
        <v>1184</v>
      </c>
      <c r="L718" s="149" t="s">
        <v>1185</v>
      </c>
      <c r="M718" s="51" t="str">
        <f t="shared" si="628"/>
        <v>-W700121-S403</v>
      </c>
      <c r="O718" s="22">
        <v>1</v>
      </c>
      <c r="P718" s="22">
        <v>1</v>
      </c>
      <c r="Q718" s="22">
        <v>1</v>
      </c>
      <c r="R718" s="22">
        <v>1</v>
      </c>
      <c r="S718" s="22">
        <v>1</v>
      </c>
      <c r="T718" s="22">
        <v>1</v>
      </c>
      <c r="U718" s="22">
        <v>1</v>
      </c>
      <c r="V718" s="22">
        <v>1</v>
      </c>
      <c r="W718" s="64">
        <f t="shared" si="629"/>
        <v>1</v>
      </c>
      <c r="Y718" s="8">
        <v>-3.6799999999999999E-2</v>
      </c>
      <c r="Z718" s="8">
        <v>-1E-3</v>
      </c>
      <c r="AA718" s="8">
        <v>-2.3999999999999998E-3</v>
      </c>
      <c r="AB718" s="8">
        <v>-1.38E-2</v>
      </c>
      <c r="AC718" s="60"/>
      <c r="AD718" s="8">
        <f t="shared" si="567"/>
        <v>-5.3999999999999999E-2</v>
      </c>
      <c r="AE718" s="2" t="s">
        <v>84</v>
      </c>
      <c r="AG718" s="70"/>
      <c r="AH718" s="70"/>
      <c r="AJ718" s="70"/>
      <c r="AK718" s="70"/>
      <c r="AL718" s="72"/>
      <c r="AM718" s="22"/>
      <c r="AO718" s="149"/>
      <c r="AP718" s="23" t="s">
        <v>1184</v>
      </c>
      <c r="AQ718" s="149" t="s">
        <v>1185</v>
      </c>
      <c r="AR718" s="51" t="str">
        <f t="shared" si="630"/>
        <v>-W700121-S403</v>
      </c>
      <c r="AS718" s="3"/>
      <c r="AT718" s="94">
        <v>1</v>
      </c>
      <c r="AU718" s="94">
        <v>1</v>
      </c>
      <c r="AV718" s="94">
        <v>1</v>
      </c>
      <c r="AW718" s="94">
        <v>1</v>
      </c>
      <c r="AX718" s="94">
        <v>1</v>
      </c>
      <c r="AY718" s="94">
        <v>1</v>
      </c>
      <c r="AZ718" s="94">
        <v>1</v>
      </c>
      <c r="BA718" s="94">
        <v>1</v>
      </c>
      <c r="BB718" s="64">
        <f t="shared" si="631"/>
        <v>1</v>
      </c>
      <c r="BD718" s="8">
        <v>-3.6799999999999999E-2</v>
      </c>
      <c r="BE718" s="8">
        <v>-1E-3</v>
      </c>
      <c r="BF718" s="8">
        <v>-2.3999999999999998E-3</v>
      </c>
      <c r="BG718" s="8">
        <v>-1.38E-2</v>
      </c>
      <c r="BH718" s="95"/>
      <c r="BI718" s="8">
        <f t="shared" si="632"/>
        <v>-5.3999999999999999E-2</v>
      </c>
      <c r="BJ718" s="2" t="s">
        <v>84</v>
      </c>
      <c r="BL718" s="70"/>
      <c r="BM718" s="70"/>
      <c r="BO718" s="70"/>
      <c r="BP718" s="70"/>
      <c r="BQ718" s="72"/>
      <c r="BS718" s="61">
        <f t="shared" si="580"/>
        <v>0</v>
      </c>
      <c r="BT718" s="61">
        <f t="shared" si="581"/>
        <v>0</v>
      </c>
      <c r="BU718" s="61">
        <f t="shared" si="582"/>
        <v>0</v>
      </c>
      <c r="BV718" s="61">
        <f t="shared" si="582"/>
        <v>0</v>
      </c>
      <c r="BW718" s="61">
        <f t="shared" si="582"/>
        <v>0</v>
      </c>
      <c r="BX718" s="61">
        <f t="shared" si="579"/>
        <v>0</v>
      </c>
      <c r="BY718" s="61" t="s">
        <v>91</v>
      </c>
      <c r="CA718" s="61">
        <f t="shared" si="587"/>
        <v>0</v>
      </c>
      <c r="CB718" s="61">
        <f t="shared" si="587"/>
        <v>0</v>
      </c>
      <c r="CC718" s="61">
        <f t="shared" si="587"/>
        <v>0</v>
      </c>
      <c r="CD718" s="61">
        <f t="shared" si="587"/>
        <v>0</v>
      </c>
      <c r="CE718" s="61">
        <f t="shared" si="587"/>
        <v>0</v>
      </c>
      <c r="CF718" s="61">
        <f t="shared" si="576"/>
        <v>0</v>
      </c>
      <c r="CG718" s="61">
        <f t="shared" si="576"/>
        <v>0</v>
      </c>
      <c r="CH718" s="61">
        <f t="shared" si="576"/>
        <v>0</v>
      </c>
      <c r="CI718" s="61">
        <f t="shared" si="568"/>
        <v>0</v>
      </c>
      <c r="CJ718" s="61"/>
      <c r="CK718" s="61">
        <f t="shared" si="588"/>
        <v>0</v>
      </c>
      <c r="CL718" s="61">
        <f t="shared" si="588"/>
        <v>0</v>
      </c>
      <c r="CM718" s="61">
        <f t="shared" si="588"/>
        <v>0</v>
      </c>
      <c r="CN718" s="61">
        <f t="shared" si="588"/>
        <v>0</v>
      </c>
      <c r="CO718" s="61">
        <f t="shared" si="588"/>
        <v>0</v>
      </c>
      <c r="CP718" s="61">
        <f t="shared" si="577"/>
        <v>0</v>
      </c>
      <c r="CQ718" s="61">
        <f t="shared" si="577"/>
        <v>0</v>
      </c>
      <c r="CR718" s="61">
        <f t="shared" si="577"/>
        <v>0</v>
      </c>
      <c r="CS718" s="61">
        <f t="shared" si="569"/>
        <v>0</v>
      </c>
      <c r="CT718" s="61">
        <f t="shared" si="570"/>
        <v>0</v>
      </c>
      <c r="CV718" s="61">
        <f t="shared" si="624"/>
        <v>0</v>
      </c>
      <c r="CW718" s="61">
        <f t="shared" si="571"/>
        <v>0</v>
      </c>
      <c r="CX718" s="61"/>
      <c r="CY718" s="61">
        <f t="shared" si="597"/>
        <v>0</v>
      </c>
      <c r="CZ718" s="61">
        <f t="shared" si="597"/>
        <v>0</v>
      </c>
      <c r="DA718" s="61">
        <f t="shared" si="597"/>
        <v>0</v>
      </c>
      <c r="DB718" s="2" t="s">
        <v>85</v>
      </c>
      <c r="DC718" s="2" t="s">
        <v>85</v>
      </c>
      <c r="DD718" s="2" t="s">
        <v>142</v>
      </c>
      <c r="DE718" s="2" t="s">
        <v>264</v>
      </c>
      <c r="DG718" s="62"/>
      <c r="DZ718" s="3" t="e">
        <v>#N/A</v>
      </c>
      <c r="EC718" s="60"/>
      <c r="ED718" s="60"/>
      <c r="EE718" s="60"/>
      <c r="EF718" s="60"/>
    </row>
    <row r="719" spans="2:140" ht="12.75" hidden="1" customHeight="1">
      <c r="B719" s="99" t="s">
        <v>1273</v>
      </c>
      <c r="C719" s="22" t="s">
        <v>1274</v>
      </c>
      <c r="D719" s="22" t="s">
        <v>1275</v>
      </c>
      <c r="E719" s="2" t="s">
        <v>968</v>
      </c>
      <c r="F719" s="2" t="s">
        <v>969</v>
      </c>
      <c r="G719" s="2" t="s">
        <v>994</v>
      </c>
      <c r="J719" s="149" t="s">
        <v>126</v>
      </c>
      <c r="K719" s="23" t="s">
        <v>1276</v>
      </c>
      <c r="L719" s="149" t="s">
        <v>100</v>
      </c>
      <c r="M719" s="51" t="str">
        <f t="shared" si="628"/>
        <v>JD8B-F219A64-AA</v>
      </c>
      <c r="O719" s="22"/>
      <c r="P719" s="22"/>
      <c r="Q719" s="22"/>
      <c r="R719" s="22"/>
      <c r="S719" s="22"/>
      <c r="T719" s="22"/>
      <c r="U719" s="22">
        <v>1</v>
      </c>
      <c r="V719" s="22">
        <v>1</v>
      </c>
      <c r="W719" s="64">
        <f t="shared" si="629"/>
        <v>0.1</v>
      </c>
      <c r="Y719" s="60">
        <v>-88.56</v>
      </c>
      <c r="Z719" s="60">
        <v>-1.23</v>
      </c>
      <c r="AA719" s="60">
        <v>-0.38</v>
      </c>
      <c r="AB719" s="60">
        <v>-0.63</v>
      </c>
      <c r="AC719" s="60">
        <v>-3.32</v>
      </c>
      <c r="AD719" s="8">
        <f t="shared" si="567"/>
        <v>-94.11999999999999</v>
      </c>
      <c r="AE719" s="2" t="s">
        <v>84</v>
      </c>
      <c r="AG719" s="70">
        <v>-400000</v>
      </c>
      <c r="AH719" s="70">
        <v>-400000</v>
      </c>
      <c r="AJ719" s="70">
        <f>-368470</f>
        <v>-368470</v>
      </c>
      <c r="AK719" s="70">
        <f>AJ719/3.32</f>
        <v>-110984.93975903615</v>
      </c>
      <c r="AL719" s="72"/>
      <c r="AM719" s="22"/>
      <c r="AO719" s="149" t="s">
        <v>128</v>
      </c>
      <c r="AP719" s="23" t="s">
        <v>1276</v>
      </c>
      <c r="AQ719" s="22" t="s">
        <v>129</v>
      </c>
      <c r="AR719" s="51" t="str">
        <f t="shared" si="630"/>
        <v>ED8B-F219A64-AE</v>
      </c>
      <c r="AS719" s="3"/>
      <c r="AT719" s="94"/>
      <c r="AU719" s="94"/>
      <c r="AV719" s="94"/>
      <c r="AW719" s="94"/>
      <c r="AX719" s="94"/>
      <c r="AY719" s="94"/>
      <c r="AZ719" s="94">
        <v>1</v>
      </c>
      <c r="BA719" s="94">
        <v>1</v>
      </c>
      <c r="BB719" s="64">
        <f t="shared" si="631"/>
        <v>0.1</v>
      </c>
      <c r="BD719" s="60">
        <f>-88.56+18.58+1.8+0.98</f>
        <v>-67.2</v>
      </c>
      <c r="BE719" s="60">
        <v>-1.23</v>
      </c>
      <c r="BF719" s="60">
        <v>-0.38</v>
      </c>
      <c r="BG719" s="60">
        <v>-0.63</v>
      </c>
      <c r="BH719" s="60">
        <v>0</v>
      </c>
      <c r="BI719" s="8">
        <f t="shared" si="632"/>
        <v>-69.44</v>
      </c>
      <c r="BJ719" s="2" t="s">
        <v>84</v>
      </c>
      <c r="BL719" s="70"/>
      <c r="BM719" s="70"/>
      <c r="BO719" s="70"/>
      <c r="BP719" s="70"/>
      <c r="BQ719" s="72"/>
      <c r="BS719" s="61">
        <f t="shared" si="580"/>
        <v>-21.36</v>
      </c>
      <c r="BT719" s="61">
        <f t="shared" si="581"/>
        <v>0</v>
      </c>
      <c r="BU719" s="61">
        <f t="shared" si="582"/>
        <v>0</v>
      </c>
      <c r="BV719" s="61">
        <f t="shared" si="582"/>
        <v>0</v>
      </c>
      <c r="BW719" s="61">
        <f t="shared" si="582"/>
        <v>-3.32</v>
      </c>
      <c r="BX719" s="61">
        <f t="shared" si="579"/>
        <v>-24.679999999999993</v>
      </c>
      <c r="BY719" s="61" t="s">
        <v>91</v>
      </c>
      <c r="CA719" s="61">
        <f t="shared" si="587"/>
        <v>0</v>
      </c>
      <c r="CB719" s="61">
        <f t="shared" si="587"/>
        <v>0</v>
      </c>
      <c r="CC719" s="61">
        <f t="shared" si="587"/>
        <v>0</v>
      </c>
      <c r="CD719" s="61">
        <f t="shared" si="587"/>
        <v>0</v>
      </c>
      <c r="CE719" s="61">
        <f t="shared" si="587"/>
        <v>0</v>
      </c>
      <c r="CF719" s="61">
        <f t="shared" si="576"/>
        <v>0</v>
      </c>
      <c r="CG719" s="61">
        <f t="shared" si="576"/>
        <v>-3.2134797653076572</v>
      </c>
      <c r="CH719" s="61">
        <f t="shared" si="576"/>
        <v>-3.2134797653076572</v>
      </c>
      <c r="CI719" s="61">
        <f t="shared" si="568"/>
        <v>-0.32134797653076574</v>
      </c>
      <c r="CJ719" s="61"/>
      <c r="CK719" s="61">
        <f t="shared" si="588"/>
        <v>0</v>
      </c>
      <c r="CL719" s="61">
        <f t="shared" si="588"/>
        <v>0</v>
      </c>
      <c r="CM719" s="61">
        <f t="shared" si="588"/>
        <v>0</v>
      </c>
      <c r="CN719" s="61">
        <f t="shared" si="588"/>
        <v>0</v>
      </c>
      <c r="CO719" s="61">
        <f t="shared" si="588"/>
        <v>0</v>
      </c>
      <c r="CP719" s="61">
        <f t="shared" si="577"/>
        <v>0</v>
      </c>
      <c r="CQ719" s="61">
        <f t="shared" si="577"/>
        <v>-3.7129532119753259</v>
      </c>
      <c r="CR719" s="61">
        <f t="shared" si="577"/>
        <v>-3.7129532119753259</v>
      </c>
      <c r="CS719" s="61">
        <f t="shared" si="569"/>
        <v>-0.37129532119753261</v>
      </c>
      <c r="CT719" s="61">
        <f t="shared" si="570"/>
        <v>-2.4679999999999995</v>
      </c>
      <c r="CV719" s="61">
        <f t="shared" si="624"/>
        <v>-400000</v>
      </c>
      <c r="CW719" s="61">
        <f t="shared" si="571"/>
        <v>-400000</v>
      </c>
      <c r="CX719" s="61"/>
      <c r="CY719" s="61">
        <f t="shared" si="597"/>
        <v>-368470</v>
      </c>
      <c r="CZ719" s="61">
        <f t="shared" si="597"/>
        <v>-110984.93975903615</v>
      </c>
      <c r="DA719" s="61">
        <f t="shared" si="597"/>
        <v>0</v>
      </c>
      <c r="DB719" s="2" t="s">
        <v>85</v>
      </c>
      <c r="DC719" s="2" t="s">
        <v>86</v>
      </c>
      <c r="DD719" s="2" t="s">
        <v>87</v>
      </c>
      <c r="DE719" s="2" t="s">
        <v>264</v>
      </c>
      <c r="DG719" s="62"/>
      <c r="DZ719" s="3" t="e">
        <v>#N/A</v>
      </c>
      <c r="EC719" s="60"/>
      <c r="ED719" s="60"/>
      <c r="EE719" s="60"/>
      <c r="EF719" s="60"/>
    </row>
    <row r="720" spans="2:140" ht="12.75" hidden="1" customHeight="1">
      <c r="B720" s="99" t="s">
        <v>1273</v>
      </c>
      <c r="C720" s="22" t="s">
        <v>1274</v>
      </c>
      <c r="D720" s="22" t="s">
        <v>1275</v>
      </c>
      <c r="E720" s="2" t="s">
        <v>968</v>
      </c>
      <c r="F720" s="2" t="s">
        <v>969</v>
      </c>
      <c r="G720" s="2" t="s">
        <v>994</v>
      </c>
      <c r="J720" s="149" t="s">
        <v>126</v>
      </c>
      <c r="K720" s="23" t="s">
        <v>1277</v>
      </c>
      <c r="L720" s="149" t="s">
        <v>100</v>
      </c>
      <c r="M720" s="51" t="str">
        <f t="shared" si="628"/>
        <v>JD8B-F219A65-AA</v>
      </c>
      <c r="O720" s="22"/>
      <c r="P720" s="22"/>
      <c r="Q720" s="22"/>
      <c r="R720" s="22"/>
      <c r="S720" s="22"/>
      <c r="T720" s="22"/>
      <c r="U720" s="22">
        <v>1</v>
      </c>
      <c r="V720" s="22">
        <v>1</v>
      </c>
      <c r="W720" s="64">
        <f t="shared" si="629"/>
        <v>0.1</v>
      </c>
      <c r="Y720" s="60">
        <v>-91.58</v>
      </c>
      <c r="Z720" s="60">
        <v>-1.23</v>
      </c>
      <c r="AA720" s="60">
        <v>-0.38</v>
      </c>
      <c r="AB720" s="60">
        <v>-0.63</v>
      </c>
      <c r="AC720" s="60">
        <v>-3.32</v>
      </c>
      <c r="AD720" s="8">
        <f t="shared" si="567"/>
        <v>-97.139999999999986</v>
      </c>
      <c r="AE720" s="2" t="s">
        <v>84</v>
      </c>
      <c r="AG720" s="70" t="s">
        <v>1278</v>
      </c>
      <c r="AH720" s="70" t="s">
        <v>1278</v>
      </c>
      <c r="AJ720" s="70" t="s">
        <v>1278</v>
      </c>
      <c r="AK720" s="70" t="s">
        <v>1278</v>
      </c>
      <c r="AL720" s="72"/>
      <c r="AM720" s="22"/>
      <c r="AO720" s="149" t="s">
        <v>128</v>
      </c>
      <c r="AP720" s="23" t="s">
        <v>1277</v>
      </c>
      <c r="AQ720" s="22" t="s">
        <v>129</v>
      </c>
      <c r="AR720" s="51" t="str">
        <f t="shared" si="630"/>
        <v>ED8B-F219A65-AE</v>
      </c>
      <c r="AS720" s="3"/>
      <c r="AT720" s="94"/>
      <c r="AU720" s="94"/>
      <c r="AV720" s="94"/>
      <c r="AW720" s="94"/>
      <c r="AX720" s="94"/>
      <c r="AY720" s="94"/>
      <c r="AZ720" s="94">
        <v>1</v>
      </c>
      <c r="BA720" s="94">
        <v>1</v>
      </c>
      <c r="BB720" s="64">
        <f t="shared" si="631"/>
        <v>0.1</v>
      </c>
      <c r="BD720" s="60">
        <f>-91.58+19.12+1.8+0.98</f>
        <v>-69.679999999999993</v>
      </c>
      <c r="BE720" s="60">
        <v>-1.23</v>
      </c>
      <c r="BF720" s="60">
        <v>-0.38</v>
      </c>
      <c r="BG720" s="60">
        <v>-0.63</v>
      </c>
      <c r="BH720" s="60">
        <v>0</v>
      </c>
      <c r="BI720" s="8">
        <f t="shared" si="632"/>
        <v>-71.919999999999987</v>
      </c>
      <c r="BJ720" s="2" t="s">
        <v>84</v>
      </c>
      <c r="BL720" s="70"/>
      <c r="BM720" s="70"/>
      <c r="BO720" s="70"/>
      <c r="BP720" s="70"/>
      <c r="BQ720" s="72"/>
      <c r="BS720" s="61">
        <f t="shared" si="580"/>
        <v>-21.900000000000006</v>
      </c>
      <c r="BT720" s="61">
        <f t="shared" si="581"/>
        <v>0</v>
      </c>
      <c r="BU720" s="61">
        <f t="shared" si="582"/>
        <v>0</v>
      </c>
      <c r="BV720" s="61">
        <f t="shared" si="582"/>
        <v>0</v>
      </c>
      <c r="BW720" s="61">
        <f t="shared" si="582"/>
        <v>-3.32</v>
      </c>
      <c r="BX720" s="61">
        <f t="shared" si="579"/>
        <v>-25.22</v>
      </c>
      <c r="BY720" s="61" t="s">
        <v>91</v>
      </c>
      <c r="CA720" s="61">
        <f t="shared" si="587"/>
        <v>0</v>
      </c>
      <c r="CB720" s="61">
        <f t="shared" si="587"/>
        <v>0</v>
      </c>
      <c r="CC720" s="61">
        <f t="shared" si="587"/>
        <v>0</v>
      </c>
      <c r="CD720" s="61">
        <f t="shared" si="587"/>
        <v>0</v>
      </c>
      <c r="CE720" s="61">
        <f t="shared" si="587"/>
        <v>0</v>
      </c>
      <c r="CF720" s="61">
        <f t="shared" si="576"/>
        <v>0</v>
      </c>
      <c r="CG720" s="61">
        <f t="shared" si="576"/>
        <v>-3.2947194222957732</v>
      </c>
      <c r="CH720" s="61">
        <f t="shared" si="576"/>
        <v>-3.2947194222957732</v>
      </c>
      <c r="CI720" s="61">
        <f t="shared" si="568"/>
        <v>-0.32947194222957732</v>
      </c>
      <c r="CJ720" s="61"/>
      <c r="CK720" s="61">
        <f t="shared" si="588"/>
        <v>0</v>
      </c>
      <c r="CL720" s="61">
        <f t="shared" si="588"/>
        <v>0</v>
      </c>
      <c r="CM720" s="61">
        <f t="shared" si="588"/>
        <v>0</v>
      </c>
      <c r="CN720" s="61">
        <f t="shared" si="588"/>
        <v>0</v>
      </c>
      <c r="CO720" s="61">
        <f t="shared" si="588"/>
        <v>0</v>
      </c>
      <c r="CP720" s="61">
        <f t="shared" si="577"/>
        <v>0</v>
      </c>
      <c r="CQ720" s="61">
        <f t="shared" si="577"/>
        <v>-3.7941928689634419</v>
      </c>
      <c r="CR720" s="61">
        <f t="shared" si="577"/>
        <v>-3.7941928689634419</v>
      </c>
      <c r="CS720" s="61">
        <f t="shared" si="569"/>
        <v>-0.37941928689634419</v>
      </c>
      <c r="CT720" s="61">
        <f t="shared" si="570"/>
        <v>-2.5219999999999998</v>
      </c>
      <c r="CV720" s="61">
        <f t="shared" si="624"/>
        <v>0</v>
      </c>
      <c r="CW720" s="61">
        <f t="shared" si="571"/>
        <v>0</v>
      </c>
      <c r="CX720" s="61"/>
      <c r="CY720" s="61">
        <f t="shared" si="597"/>
        <v>0</v>
      </c>
      <c r="CZ720" s="61">
        <f t="shared" si="597"/>
        <v>0</v>
      </c>
      <c r="DA720" s="61">
        <f t="shared" si="597"/>
        <v>0</v>
      </c>
      <c r="DB720" s="2" t="s">
        <v>85</v>
      </c>
      <c r="DC720" s="2" t="s">
        <v>86</v>
      </c>
      <c r="DD720" s="2" t="s">
        <v>87</v>
      </c>
      <c r="DE720" s="2" t="s">
        <v>264</v>
      </c>
      <c r="DG720" s="62"/>
      <c r="DZ720" s="3" t="e">
        <v>#N/A</v>
      </c>
      <c r="EC720" s="60"/>
      <c r="ED720" s="60"/>
      <c r="EE720" s="60"/>
      <c r="EF720" s="60"/>
    </row>
    <row r="721" spans="2:140" ht="12.75" hidden="1" customHeight="1">
      <c r="B721" s="99" t="s">
        <v>1279</v>
      </c>
      <c r="C721" s="22" t="s">
        <v>1274</v>
      </c>
      <c r="D721" s="22" t="s">
        <v>1275</v>
      </c>
      <c r="E721" s="2" t="s">
        <v>968</v>
      </c>
      <c r="F721" s="2" t="s">
        <v>969</v>
      </c>
      <c r="G721" s="2" t="s">
        <v>994</v>
      </c>
      <c r="J721" s="149" t="s">
        <v>126</v>
      </c>
      <c r="K721" s="23" t="s">
        <v>1276</v>
      </c>
      <c r="L721" s="149" t="s">
        <v>132</v>
      </c>
      <c r="M721" s="51" t="str">
        <f t="shared" si="628"/>
        <v>JD8B-F219A64-AB</v>
      </c>
      <c r="O721" s="22"/>
      <c r="P721" s="22"/>
      <c r="Q721" s="22"/>
      <c r="R721" s="22"/>
      <c r="S721" s="22"/>
      <c r="T721" s="22"/>
      <c r="U721" s="22">
        <v>1</v>
      </c>
      <c r="V721" s="22">
        <v>1</v>
      </c>
      <c r="W721" s="64">
        <f t="shared" si="629"/>
        <v>0.1</v>
      </c>
      <c r="Y721" s="60">
        <v>-88.56</v>
      </c>
      <c r="Z721" s="60">
        <v>-1.23</v>
      </c>
      <c r="AA721" s="60">
        <v>-0.38</v>
      </c>
      <c r="AB721" s="60">
        <v>-0.63</v>
      </c>
      <c r="AC721" s="60">
        <v>-3.32</v>
      </c>
      <c r="AD721" s="8">
        <f t="shared" si="567"/>
        <v>-94.11999999999999</v>
      </c>
      <c r="AE721" s="2" t="s">
        <v>84</v>
      </c>
      <c r="AG721" s="70">
        <v>-400000</v>
      </c>
      <c r="AH721" s="70">
        <v>-400000</v>
      </c>
      <c r="AJ721" s="70">
        <f>-368470</f>
        <v>-368470</v>
      </c>
      <c r="AK721" s="70">
        <f>AJ721/3.32</f>
        <v>-110984.93975903615</v>
      </c>
      <c r="AL721" s="72"/>
      <c r="AM721" s="22"/>
      <c r="AO721" s="149" t="s">
        <v>126</v>
      </c>
      <c r="AP721" s="23" t="s">
        <v>1276</v>
      </c>
      <c r="AQ721" s="149" t="s">
        <v>100</v>
      </c>
      <c r="AR721" s="51" t="str">
        <f t="shared" si="630"/>
        <v>JD8B-F219A64-AA</v>
      </c>
      <c r="AS721" s="3"/>
      <c r="AT721" s="94"/>
      <c r="AU721" s="94"/>
      <c r="AV721" s="94"/>
      <c r="AW721" s="94"/>
      <c r="AX721" s="94"/>
      <c r="AY721" s="94"/>
      <c r="AZ721" s="94">
        <v>1</v>
      </c>
      <c r="BA721" s="94">
        <v>1</v>
      </c>
      <c r="BB721" s="64">
        <f t="shared" si="631"/>
        <v>0.1</v>
      </c>
      <c r="BD721" s="60">
        <v>-88.56</v>
      </c>
      <c r="BE721" s="60">
        <v>-1.23</v>
      </c>
      <c r="BF721" s="60">
        <v>-0.38</v>
      </c>
      <c r="BG721" s="60">
        <v>-0.63</v>
      </c>
      <c r="BH721" s="60">
        <v>-3.32</v>
      </c>
      <c r="BI721" s="8">
        <f t="shared" si="632"/>
        <v>-94.11999999999999</v>
      </c>
      <c r="BJ721" s="2" t="s">
        <v>84</v>
      </c>
      <c r="BL721" s="70">
        <v>-400000</v>
      </c>
      <c r="BM721" s="70">
        <v>-400000</v>
      </c>
      <c r="BO721" s="70">
        <f>-368470</f>
        <v>-368470</v>
      </c>
      <c r="BP721" s="70">
        <f>BO721/3.32</f>
        <v>-110984.93975903615</v>
      </c>
      <c r="BQ721" s="72"/>
      <c r="BS721" s="61">
        <f t="shared" si="580"/>
        <v>0</v>
      </c>
      <c r="BT721" s="61">
        <f t="shared" si="581"/>
        <v>0</v>
      </c>
      <c r="BU721" s="61">
        <f t="shared" si="582"/>
        <v>0</v>
      </c>
      <c r="BV721" s="61">
        <f t="shared" si="582"/>
        <v>0</v>
      </c>
      <c r="BW721" s="61">
        <f t="shared" si="582"/>
        <v>0</v>
      </c>
      <c r="BX721" s="61">
        <f t="shared" si="579"/>
        <v>0</v>
      </c>
      <c r="BY721" s="61" t="s">
        <v>91</v>
      </c>
      <c r="CA721" s="61">
        <f t="shared" si="587"/>
        <v>0</v>
      </c>
      <c r="CB721" s="61">
        <f t="shared" si="587"/>
        <v>0</v>
      </c>
      <c r="CC721" s="61">
        <f t="shared" si="587"/>
        <v>0</v>
      </c>
      <c r="CD721" s="61">
        <f t="shared" si="587"/>
        <v>0</v>
      </c>
      <c r="CE721" s="61">
        <f t="shared" si="587"/>
        <v>0</v>
      </c>
      <c r="CF721" s="61">
        <f t="shared" si="576"/>
        <v>0</v>
      </c>
      <c r="CG721" s="61">
        <f t="shared" si="576"/>
        <v>0</v>
      </c>
      <c r="CH721" s="61">
        <f t="shared" si="576"/>
        <v>0</v>
      </c>
      <c r="CI721" s="61">
        <f t="shared" si="568"/>
        <v>0</v>
      </c>
      <c r="CJ721" s="61"/>
      <c r="CK721" s="61">
        <f t="shared" si="588"/>
        <v>0</v>
      </c>
      <c r="CL721" s="61">
        <f t="shared" si="588"/>
        <v>0</v>
      </c>
      <c r="CM721" s="61">
        <f t="shared" si="588"/>
        <v>0</v>
      </c>
      <c r="CN721" s="61">
        <f t="shared" si="588"/>
        <v>0</v>
      </c>
      <c r="CO721" s="61">
        <f t="shared" si="588"/>
        <v>0</v>
      </c>
      <c r="CP721" s="61">
        <f t="shared" si="577"/>
        <v>0</v>
      </c>
      <c r="CQ721" s="61">
        <f t="shared" si="577"/>
        <v>0</v>
      </c>
      <c r="CR721" s="61">
        <f t="shared" si="577"/>
        <v>0</v>
      </c>
      <c r="CS721" s="61">
        <f t="shared" si="569"/>
        <v>0</v>
      </c>
      <c r="CT721" s="61">
        <f t="shared" si="570"/>
        <v>0</v>
      </c>
      <c r="CV721" s="61">
        <f t="shared" si="624"/>
        <v>0</v>
      </c>
      <c r="CW721" s="61">
        <f t="shared" si="571"/>
        <v>0</v>
      </c>
      <c r="CX721" s="61"/>
      <c r="CY721" s="61">
        <f t="shared" si="597"/>
        <v>0</v>
      </c>
      <c r="CZ721" s="61">
        <f t="shared" si="597"/>
        <v>0</v>
      </c>
      <c r="DA721" s="61">
        <f t="shared" si="597"/>
        <v>0</v>
      </c>
      <c r="DB721" s="2" t="s">
        <v>85</v>
      </c>
      <c r="DC721" s="2" t="s">
        <v>85</v>
      </c>
      <c r="DD721" s="2" t="s">
        <v>87</v>
      </c>
      <c r="DE721" s="2" t="s">
        <v>264</v>
      </c>
      <c r="DG721" s="62"/>
      <c r="DZ721" s="3" t="e">
        <v>#N/A</v>
      </c>
      <c r="EC721" s="60"/>
      <c r="ED721" s="60"/>
      <c r="EE721" s="60"/>
      <c r="EF721" s="60"/>
    </row>
    <row r="722" spans="2:140" ht="12.75" hidden="1" customHeight="1">
      <c r="B722" s="99" t="s">
        <v>1279</v>
      </c>
      <c r="C722" s="22" t="s">
        <v>1274</v>
      </c>
      <c r="D722" s="22" t="s">
        <v>1275</v>
      </c>
      <c r="E722" s="2" t="s">
        <v>968</v>
      </c>
      <c r="F722" s="2" t="s">
        <v>969</v>
      </c>
      <c r="G722" s="2" t="s">
        <v>994</v>
      </c>
      <c r="J722" s="149" t="s">
        <v>126</v>
      </c>
      <c r="K722" s="23" t="s">
        <v>1277</v>
      </c>
      <c r="L722" s="149" t="s">
        <v>132</v>
      </c>
      <c r="M722" s="51" t="str">
        <f t="shared" si="628"/>
        <v>JD8B-F219A65-AB</v>
      </c>
      <c r="O722" s="22"/>
      <c r="P722" s="22"/>
      <c r="Q722" s="22"/>
      <c r="R722" s="22"/>
      <c r="S722" s="22"/>
      <c r="T722" s="22"/>
      <c r="U722" s="22">
        <v>1</v>
      </c>
      <c r="V722" s="22">
        <v>1</v>
      </c>
      <c r="W722" s="64">
        <f t="shared" si="629"/>
        <v>0.1</v>
      </c>
      <c r="Y722" s="60">
        <v>-91.58</v>
      </c>
      <c r="Z722" s="60">
        <v>-1.23</v>
      </c>
      <c r="AA722" s="60">
        <v>-0.38</v>
      </c>
      <c r="AB722" s="60">
        <v>-0.63</v>
      </c>
      <c r="AC722" s="60">
        <v>-3.32</v>
      </c>
      <c r="AD722" s="8">
        <f t="shared" si="567"/>
        <v>-97.139999999999986</v>
      </c>
      <c r="AE722" s="2" t="s">
        <v>84</v>
      </c>
      <c r="AG722" s="70" t="s">
        <v>1278</v>
      </c>
      <c r="AH722" s="70" t="s">
        <v>1278</v>
      </c>
      <c r="AJ722" s="70" t="s">
        <v>1278</v>
      </c>
      <c r="AK722" s="70" t="s">
        <v>1278</v>
      </c>
      <c r="AL722" s="72"/>
      <c r="AM722" s="22"/>
      <c r="AO722" s="149" t="s">
        <v>126</v>
      </c>
      <c r="AP722" s="23" t="s">
        <v>1277</v>
      </c>
      <c r="AQ722" s="149" t="s">
        <v>100</v>
      </c>
      <c r="AR722" s="51" t="str">
        <f t="shared" si="630"/>
        <v>JD8B-F219A65-AA</v>
      </c>
      <c r="AS722" s="3"/>
      <c r="AT722" s="94"/>
      <c r="AU722" s="94"/>
      <c r="AV722" s="94"/>
      <c r="AW722" s="94"/>
      <c r="AX722" s="94"/>
      <c r="AY722" s="94"/>
      <c r="AZ722" s="94">
        <v>1</v>
      </c>
      <c r="BA722" s="94">
        <v>1</v>
      </c>
      <c r="BB722" s="64">
        <f t="shared" si="631"/>
        <v>0.1</v>
      </c>
      <c r="BD722" s="60">
        <v>-91.58</v>
      </c>
      <c r="BE722" s="60">
        <v>-1.23</v>
      </c>
      <c r="BF722" s="60">
        <v>-0.38</v>
      </c>
      <c r="BG722" s="60">
        <v>-0.63</v>
      </c>
      <c r="BH722" s="60">
        <v>-3.32</v>
      </c>
      <c r="BI722" s="8">
        <f t="shared" si="632"/>
        <v>-97.139999999999986</v>
      </c>
      <c r="BJ722" s="2" t="s">
        <v>84</v>
      </c>
      <c r="BL722" s="70" t="s">
        <v>1278</v>
      </c>
      <c r="BM722" s="70" t="s">
        <v>1278</v>
      </c>
      <c r="BO722" s="70" t="s">
        <v>1278</v>
      </c>
      <c r="BP722" s="70" t="s">
        <v>1278</v>
      </c>
      <c r="BQ722" s="72"/>
      <c r="BS722" s="61">
        <f t="shared" si="580"/>
        <v>0</v>
      </c>
      <c r="BT722" s="61">
        <f t="shared" si="581"/>
        <v>0</v>
      </c>
      <c r="BU722" s="61">
        <f t="shared" si="582"/>
        <v>0</v>
      </c>
      <c r="BV722" s="61">
        <f t="shared" si="582"/>
        <v>0</v>
      </c>
      <c r="BW722" s="61">
        <f t="shared" si="582"/>
        <v>0</v>
      </c>
      <c r="BX722" s="61">
        <f t="shared" si="579"/>
        <v>0</v>
      </c>
      <c r="BY722" s="61" t="s">
        <v>91</v>
      </c>
      <c r="CA722" s="61">
        <f t="shared" si="587"/>
        <v>0</v>
      </c>
      <c r="CB722" s="61">
        <f t="shared" si="587"/>
        <v>0</v>
      </c>
      <c r="CC722" s="61">
        <f t="shared" si="587"/>
        <v>0</v>
      </c>
      <c r="CD722" s="61">
        <f t="shared" si="587"/>
        <v>0</v>
      </c>
      <c r="CE722" s="61">
        <f t="shared" si="587"/>
        <v>0</v>
      </c>
      <c r="CF722" s="61">
        <f t="shared" si="576"/>
        <v>0</v>
      </c>
      <c r="CG722" s="61">
        <f t="shared" si="576"/>
        <v>0</v>
      </c>
      <c r="CH722" s="61">
        <f t="shared" si="576"/>
        <v>0</v>
      </c>
      <c r="CI722" s="61">
        <f t="shared" si="568"/>
        <v>0</v>
      </c>
      <c r="CJ722" s="61"/>
      <c r="CK722" s="61">
        <f t="shared" si="588"/>
        <v>0</v>
      </c>
      <c r="CL722" s="61">
        <f t="shared" si="588"/>
        <v>0</v>
      </c>
      <c r="CM722" s="61">
        <f t="shared" si="588"/>
        <v>0</v>
      </c>
      <c r="CN722" s="61">
        <f t="shared" si="588"/>
        <v>0</v>
      </c>
      <c r="CO722" s="61">
        <f t="shared" si="588"/>
        <v>0</v>
      </c>
      <c r="CP722" s="61">
        <f t="shared" si="577"/>
        <v>0</v>
      </c>
      <c r="CQ722" s="61">
        <f t="shared" si="577"/>
        <v>0</v>
      </c>
      <c r="CR722" s="61">
        <f t="shared" si="577"/>
        <v>0</v>
      </c>
      <c r="CS722" s="61">
        <f t="shared" si="569"/>
        <v>0</v>
      </c>
      <c r="CT722" s="61">
        <f t="shared" si="570"/>
        <v>0</v>
      </c>
      <c r="CV722" s="61">
        <f t="shared" si="624"/>
        <v>0</v>
      </c>
      <c r="CW722" s="61">
        <f t="shared" si="571"/>
        <v>0</v>
      </c>
      <c r="CX722" s="61"/>
      <c r="CY722" s="61">
        <f t="shared" si="597"/>
        <v>0</v>
      </c>
      <c r="CZ722" s="61">
        <f t="shared" si="597"/>
        <v>0</v>
      </c>
      <c r="DA722" s="61">
        <f t="shared" si="597"/>
        <v>0</v>
      </c>
      <c r="DB722" s="2" t="s">
        <v>85</v>
      </c>
      <c r="DC722" s="2" t="s">
        <v>85</v>
      </c>
      <c r="DD722" s="2" t="s">
        <v>87</v>
      </c>
      <c r="DE722" s="2" t="s">
        <v>264</v>
      </c>
      <c r="DG722" s="62"/>
      <c r="DZ722" s="3" t="e">
        <v>#N/A</v>
      </c>
      <c r="EC722" s="60"/>
      <c r="ED722" s="60"/>
      <c r="EE722" s="60"/>
      <c r="EF722" s="60"/>
    </row>
    <row r="723" spans="2:140" ht="12.75" hidden="1" customHeight="1">
      <c r="B723" s="99" t="s">
        <v>1280</v>
      </c>
      <c r="C723" s="22" t="s">
        <v>1274</v>
      </c>
      <c r="D723" s="22" t="s">
        <v>1275</v>
      </c>
      <c r="E723" s="2" t="s">
        <v>968</v>
      </c>
      <c r="F723" s="2" t="s">
        <v>969</v>
      </c>
      <c r="G723" s="2" t="s">
        <v>994</v>
      </c>
      <c r="J723" s="149" t="s">
        <v>126</v>
      </c>
      <c r="K723" s="23" t="s">
        <v>1276</v>
      </c>
      <c r="L723" s="149" t="s">
        <v>234</v>
      </c>
      <c r="M723" s="51" t="str">
        <f t="shared" si="628"/>
        <v>JD8B-F219A64-AC</v>
      </c>
      <c r="O723" s="22"/>
      <c r="P723" s="22"/>
      <c r="Q723" s="22"/>
      <c r="R723" s="22"/>
      <c r="S723" s="22"/>
      <c r="T723" s="22"/>
      <c r="U723" s="22">
        <v>1</v>
      </c>
      <c r="V723" s="22">
        <v>1</v>
      </c>
      <c r="W723" s="64">
        <f t="shared" si="629"/>
        <v>0.1</v>
      </c>
      <c r="Y723" s="60">
        <f>-2.77-88.56</f>
        <v>-91.33</v>
      </c>
      <c r="Z723" s="60">
        <v>-1.23</v>
      </c>
      <c r="AA723" s="60">
        <v>-0.38</v>
      </c>
      <c r="AB723" s="60">
        <v>-0.63</v>
      </c>
      <c r="AC723" s="60">
        <v>-3.32</v>
      </c>
      <c r="AD723" s="8">
        <f>SUM(Y723:AC723)</f>
        <v>-96.889999999999986</v>
      </c>
      <c r="AE723" s="2" t="s">
        <v>84</v>
      </c>
      <c r="AG723" s="70">
        <v>-400000</v>
      </c>
      <c r="AH723" s="70">
        <v>-400000</v>
      </c>
      <c r="AJ723" s="70">
        <f>-368470</f>
        <v>-368470</v>
      </c>
      <c r="AK723" s="70">
        <f>AJ723/3.32</f>
        <v>-110984.93975903615</v>
      </c>
      <c r="AL723" s="72"/>
      <c r="AM723" s="22"/>
      <c r="AO723" s="149" t="s">
        <v>126</v>
      </c>
      <c r="AP723" s="23" t="s">
        <v>1276</v>
      </c>
      <c r="AQ723" s="149" t="s">
        <v>132</v>
      </c>
      <c r="AR723" s="51" t="str">
        <f>TRIM(AO723)&amp;"-"&amp;TRIM(AP723)&amp;"-"&amp;TRIM(AQ723)</f>
        <v>JD8B-F219A64-AB</v>
      </c>
      <c r="AS723" s="3"/>
      <c r="AT723" s="94"/>
      <c r="AU723" s="94"/>
      <c r="AV723" s="94"/>
      <c r="AW723" s="94"/>
      <c r="AX723" s="94"/>
      <c r="AY723" s="94"/>
      <c r="AZ723" s="94">
        <v>1</v>
      </c>
      <c r="BA723" s="94">
        <v>1</v>
      </c>
      <c r="BB723" s="64">
        <f t="shared" si="631"/>
        <v>0.1</v>
      </c>
      <c r="BD723" s="60">
        <v>-88.56</v>
      </c>
      <c r="BE723" s="60">
        <v>-1.23</v>
      </c>
      <c r="BF723" s="60">
        <v>-0.38</v>
      </c>
      <c r="BG723" s="60">
        <v>-0.63</v>
      </c>
      <c r="BH723" s="60">
        <v>-3.32</v>
      </c>
      <c r="BI723" s="8">
        <f>SUM(BD723:BH723)</f>
        <v>-94.11999999999999</v>
      </c>
      <c r="BJ723" s="2" t="s">
        <v>84</v>
      </c>
      <c r="BL723" s="70">
        <v>-400000</v>
      </c>
      <c r="BM723" s="70">
        <v>-400000</v>
      </c>
      <c r="BO723" s="70">
        <f>-368470</f>
        <v>-368470</v>
      </c>
      <c r="BP723" s="70">
        <f>BO723/3.32</f>
        <v>-110984.93975903615</v>
      </c>
      <c r="BQ723" s="72"/>
      <c r="BS723" s="61">
        <f t="shared" si="580"/>
        <v>-2.769999999999996</v>
      </c>
      <c r="BT723" s="61">
        <f t="shared" si="581"/>
        <v>0</v>
      </c>
      <c r="BU723" s="61">
        <f t="shared" si="582"/>
        <v>0</v>
      </c>
      <c r="BV723" s="61">
        <f t="shared" si="582"/>
        <v>0</v>
      </c>
      <c r="BW723" s="61">
        <f t="shared" si="582"/>
        <v>0</v>
      </c>
      <c r="BX723" s="61">
        <f t="shared" si="579"/>
        <v>-2.769999999999996</v>
      </c>
      <c r="BY723" s="61" t="s">
        <v>91</v>
      </c>
      <c r="CA723" s="61">
        <f t="shared" si="587"/>
        <v>0</v>
      </c>
      <c r="CB723" s="61">
        <f t="shared" si="587"/>
        <v>0</v>
      </c>
      <c r="CC723" s="61">
        <f t="shared" si="587"/>
        <v>0</v>
      </c>
      <c r="CD723" s="61">
        <f t="shared" si="587"/>
        <v>0</v>
      </c>
      <c r="CE723" s="61">
        <f t="shared" si="587"/>
        <v>0</v>
      </c>
      <c r="CF723" s="61">
        <f t="shared" si="576"/>
        <v>0</v>
      </c>
      <c r="CG723" s="61">
        <f t="shared" si="576"/>
        <v>-0.41672935158718155</v>
      </c>
      <c r="CH723" s="61">
        <f t="shared" si="576"/>
        <v>-0.41672935158718155</v>
      </c>
      <c r="CI723" s="61">
        <f t="shared" si="568"/>
        <v>-4.1672935158718158E-2</v>
      </c>
      <c r="CJ723" s="61"/>
      <c r="CK723" s="61">
        <f t="shared" si="588"/>
        <v>0</v>
      </c>
      <c r="CL723" s="61">
        <f t="shared" si="588"/>
        <v>0</v>
      </c>
      <c r="CM723" s="61">
        <f t="shared" si="588"/>
        <v>0</v>
      </c>
      <c r="CN723" s="61">
        <f t="shared" si="588"/>
        <v>0</v>
      </c>
      <c r="CO723" s="61">
        <f t="shared" si="588"/>
        <v>0</v>
      </c>
      <c r="CP723" s="61">
        <f t="shared" si="577"/>
        <v>0</v>
      </c>
      <c r="CQ723" s="61">
        <f t="shared" si="577"/>
        <v>-0.41672935158718155</v>
      </c>
      <c r="CR723" s="61">
        <f t="shared" si="577"/>
        <v>-0.41672935158718155</v>
      </c>
      <c r="CS723" s="61">
        <f t="shared" si="569"/>
        <v>-4.1672935158718158E-2</v>
      </c>
      <c r="CT723" s="61">
        <f t="shared" si="570"/>
        <v>-0.27699999999999958</v>
      </c>
      <c r="CV723" s="61">
        <f>SUM(AG723)-SUM(BL723)</f>
        <v>0</v>
      </c>
      <c r="CW723" s="61">
        <f>SUM(AH723)-SUM(BM723)</f>
        <v>0</v>
      </c>
      <c r="CX723" s="61"/>
      <c r="CY723" s="61">
        <f>SUM(AJ723)-SUM(BO723)</f>
        <v>0</v>
      </c>
      <c r="CZ723" s="61">
        <f>SUM(AK723)-SUM(BP723)</f>
        <v>0</v>
      </c>
      <c r="DA723" s="61">
        <f>SUM(AL723)-SUM(BQ723)</f>
        <v>0</v>
      </c>
      <c r="DB723" s="2" t="s">
        <v>85</v>
      </c>
      <c r="DC723" s="2" t="s">
        <v>85</v>
      </c>
      <c r="DD723" s="2" t="s">
        <v>87</v>
      </c>
      <c r="DE723" s="2" t="s">
        <v>106</v>
      </c>
      <c r="DF723" s="3" t="s">
        <v>86</v>
      </c>
      <c r="DG723" s="62">
        <v>75928</v>
      </c>
      <c r="EC723" s="60"/>
      <c r="ED723" s="60"/>
      <c r="EE723" s="60"/>
      <c r="EF723" s="60"/>
    </row>
    <row r="724" spans="2:140" ht="12.75" hidden="1" customHeight="1">
      <c r="B724" s="99" t="s">
        <v>1280</v>
      </c>
      <c r="C724" s="22" t="s">
        <v>1274</v>
      </c>
      <c r="D724" s="22" t="s">
        <v>1275</v>
      </c>
      <c r="E724" s="2" t="s">
        <v>968</v>
      </c>
      <c r="F724" s="2" t="s">
        <v>969</v>
      </c>
      <c r="G724" s="2" t="s">
        <v>994</v>
      </c>
      <c r="J724" s="149" t="s">
        <v>126</v>
      </c>
      <c r="K724" s="23" t="s">
        <v>1277</v>
      </c>
      <c r="L724" s="149" t="s">
        <v>234</v>
      </c>
      <c r="M724" s="51" t="str">
        <f t="shared" si="628"/>
        <v>JD8B-F219A65-AC</v>
      </c>
      <c r="O724" s="22"/>
      <c r="P724" s="22"/>
      <c r="Q724" s="22"/>
      <c r="R724" s="22"/>
      <c r="S724" s="22"/>
      <c r="T724" s="22"/>
      <c r="U724" s="22">
        <v>1</v>
      </c>
      <c r="V724" s="22">
        <v>1</v>
      </c>
      <c r="W724" s="64">
        <f t="shared" si="629"/>
        <v>0.1</v>
      </c>
      <c r="Y724" s="60">
        <f>-91.58-2.83</f>
        <v>-94.41</v>
      </c>
      <c r="Z724" s="60">
        <v>-1.23</v>
      </c>
      <c r="AA724" s="60">
        <v>-0.38</v>
      </c>
      <c r="AB724" s="60">
        <v>-0.63</v>
      </c>
      <c r="AC724" s="60">
        <v>-3.32</v>
      </c>
      <c r="AD724" s="8">
        <f t="shared" ref="AD724" si="640">SUM(Y724:AC724)</f>
        <v>-99.969999999999985</v>
      </c>
      <c r="AE724" s="2" t="s">
        <v>84</v>
      </c>
      <c r="AG724" s="70" t="s">
        <v>1278</v>
      </c>
      <c r="AH724" s="70" t="s">
        <v>1278</v>
      </c>
      <c r="AJ724" s="70" t="s">
        <v>1278</v>
      </c>
      <c r="AK724" s="70" t="s">
        <v>1278</v>
      </c>
      <c r="AL724" s="72"/>
      <c r="AM724" s="22"/>
      <c r="AO724" s="149" t="s">
        <v>126</v>
      </c>
      <c r="AP724" s="23" t="s">
        <v>1277</v>
      </c>
      <c r="AQ724" s="149" t="s">
        <v>132</v>
      </c>
      <c r="AR724" s="51" t="str">
        <f t="shared" ref="AR724" si="641">TRIM(AO724)&amp;"-"&amp;TRIM(AP724)&amp;"-"&amp;TRIM(AQ724)</f>
        <v>JD8B-F219A65-AB</v>
      </c>
      <c r="AS724" s="3"/>
      <c r="AT724" s="94"/>
      <c r="AU724" s="94"/>
      <c r="AV724" s="94"/>
      <c r="AW724" s="94"/>
      <c r="AX724" s="94"/>
      <c r="AY724" s="94"/>
      <c r="AZ724" s="94">
        <v>1</v>
      </c>
      <c r="BA724" s="94">
        <v>1</v>
      </c>
      <c r="BB724" s="64">
        <f t="shared" si="631"/>
        <v>0.1</v>
      </c>
      <c r="BD724" s="60">
        <v>-91.58</v>
      </c>
      <c r="BE724" s="60">
        <v>-1.23</v>
      </c>
      <c r="BF724" s="60">
        <v>-0.38</v>
      </c>
      <c r="BG724" s="60">
        <v>-0.63</v>
      </c>
      <c r="BH724" s="60">
        <v>-3.32</v>
      </c>
      <c r="BI724" s="8">
        <f t="shared" ref="BI724:BI725" si="642">SUM(BD724:BH724)</f>
        <v>-97.139999999999986</v>
      </c>
      <c r="BJ724" s="2" t="s">
        <v>84</v>
      </c>
      <c r="BL724" s="70" t="s">
        <v>1278</v>
      </c>
      <c r="BM724" s="70" t="s">
        <v>1278</v>
      </c>
      <c r="BO724" s="70" t="s">
        <v>1278</v>
      </c>
      <c r="BP724" s="70" t="s">
        <v>1278</v>
      </c>
      <c r="BQ724" s="72"/>
      <c r="BS724" s="61">
        <f t="shared" si="580"/>
        <v>-2.8299999999999983</v>
      </c>
      <c r="BT724" s="61">
        <f t="shared" si="581"/>
        <v>0</v>
      </c>
      <c r="BU724" s="61">
        <f t="shared" si="582"/>
        <v>0</v>
      </c>
      <c r="BV724" s="61">
        <f t="shared" si="582"/>
        <v>0</v>
      </c>
      <c r="BW724" s="61">
        <f t="shared" si="582"/>
        <v>0</v>
      </c>
      <c r="BX724" s="61">
        <f t="shared" si="579"/>
        <v>-2.8299999999999983</v>
      </c>
      <c r="BY724" s="61" t="s">
        <v>91</v>
      </c>
      <c r="CA724" s="61">
        <f t="shared" si="587"/>
        <v>0</v>
      </c>
      <c r="CB724" s="61">
        <f t="shared" si="587"/>
        <v>0</v>
      </c>
      <c r="CC724" s="61">
        <f t="shared" si="587"/>
        <v>0</v>
      </c>
      <c r="CD724" s="61">
        <f t="shared" si="587"/>
        <v>0</v>
      </c>
      <c r="CE724" s="61">
        <f t="shared" si="587"/>
        <v>0</v>
      </c>
      <c r="CF724" s="61">
        <f t="shared" si="576"/>
        <v>0</v>
      </c>
      <c r="CG724" s="61">
        <f t="shared" si="576"/>
        <v>-0.42575598014141691</v>
      </c>
      <c r="CH724" s="61">
        <f t="shared" si="576"/>
        <v>-0.42575598014141691</v>
      </c>
      <c r="CI724" s="61">
        <f t="shared" si="568"/>
        <v>-4.2575598014141694E-2</v>
      </c>
      <c r="CJ724" s="61"/>
      <c r="CK724" s="61">
        <f t="shared" si="588"/>
        <v>0</v>
      </c>
      <c r="CL724" s="61">
        <f t="shared" si="588"/>
        <v>0</v>
      </c>
      <c r="CM724" s="61">
        <f t="shared" si="588"/>
        <v>0</v>
      </c>
      <c r="CN724" s="61">
        <f t="shared" si="588"/>
        <v>0</v>
      </c>
      <c r="CO724" s="61">
        <f t="shared" si="588"/>
        <v>0</v>
      </c>
      <c r="CP724" s="61">
        <f t="shared" si="577"/>
        <v>0</v>
      </c>
      <c r="CQ724" s="61">
        <f t="shared" si="577"/>
        <v>-0.42575598014141691</v>
      </c>
      <c r="CR724" s="61">
        <f t="shared" si="577"/>
        <v>-0.42575598014141691</v>
      </c>
      <c r="CS724" s="61">
        <f t="shared" si="569"/>
        <v>-4.2575598014141694E-2</v>
      </c>
      <c r="CT724" s="61">
        <f t="shared" si="570"/>
        <v>-0.28299999999999986</v>
      </c>
      <c r="CV724" s="61">
        <f t="shared" ref="CV724:CV726" si="643">SUM(AG724)-SUM(BL724)</f>
        <v>0</v>
      </c>
      <c r="CW724" s="61">
        <f t="shared" ref="CW724:CW726" si="644">SUM(AH724)-SUM(BM724)</f>
        <v>0</v>
      </c>
      <c r="CX724" s="61"/>
      <c r="CY724" s="61">
        <f t="shared" ref="CY724:DA726" si="645">SUM(AJ724)-SUM(BO724)</f>
        <v>0</v>
      </c>
      <c r="CZ724" s="61">
        <f t="shared" si="645"/>
        <v>0</v>
      </c>
      <c r="DA724" s="61">
        <f t="shared" si="645"/>
        <v>0</v>
      </c>
      <c r="DB724" s="2" t="s">
        <v>85</v>
      </c>
      <c r="DC724" s="2" t="s">
        <v>85</v>
      </c>
      <c r="DD724" s="2" t="s">
        <v>87</v>
      </c>
      <c r="DE724" s="2" t="s">
        <v>106</v>
      </c>
      <c r="DF724" s="3" t="s">
        <v>86</v>
      </c>
      <c r="DG724" s="62">
        <v>75928</v>
      </c>
      <c r="EC724" s="60"/>
      <c r="ED724" s="60"/>
      <c r="EE724" s="60"/>
      <c r="EF724" s="60"/>
    </row>
    <row r="725" spans="2:140" ht="12.75" hidden="1" customHeight="1">
      <c r="B725" s="99" t="s">
        <v>1281</v>
      </c>
      <c r="C725" s="22" t="s">
        <v>1274</v>
      </c>
      <c r="D725" s="22" t="s">
        <v>1275</v>
      </c>
      <c r="E725" s="2" t="s">
        <v>968</v>
      </c>
      <c r="F725" s="2" t="s">
        <v>969</v>
      </c>
      <c r="G725" s="2" t="s">
        <v>994</v>
      </c>
      <c r="J725" s="149" t="s">
        <v>126</v>
      </c>
      <c r="K725" s="23" t="s">
        <v>1276</v>
      </c>
      <c r="L725" s="149" t="s">
        <v>234</v>
      </c>
      <c r="M725" s="51" t="str">
        <f t="shared" si="628"/>
        <v>JD8B-F219A64-AC</v>
      </c>
      <c r="O725" s="22"/>
      <c r="P725" s="22"/>
      <c r="Q725" s="22"/>
      <c r="R725" s="22"/>
      <c r="S725" s="22"/>
      <c r="T725" s="22"/>
      <c r="U725" s="22">
        <v>1</v>
      </c>
      <c r="V725" s="22">
        <v>1</v>
      </c>
      <c r="W725" s="64">
        <f t="shared" si="629"/>
        <v>0.1</v>
      </c>
      <c r="Y725" s="60">
        <f>-2.77-88.56+0.058</f>
        <v>-91.271999999999991</v>
      </c>
      <c r="Z725" s="60">
        <v>-1.23</v>
      </c>
      <c r="AA725" s="60">
        <v>-0.38</v>
      </c>
      <c r="AB725" s="60">
        <v>-0.63</v>
      </c>
      <c r="AC725" s="60">
        <v>-3.32</v>
      </c>
      <c r="AD725" s="8">
        <f t="shared" ref="AD725" si="646">SUM(Y725:AC725)</f>
        <v>-96.831999999999979</v>
      </c>
      <c r="AE725" s="2" t="s">
        <v>84</v>
      </c>
      <c r="AG725" s="70">
        <v>-400000</v>
      </c>
      <c r="AH725" s="70">
        <v>-400000</v>
      </c>
      <c r="AJ725" s="70">
        <f>-368470</f>
        <v>-368470</v>
      </c>
      <c r="AK725" s="70">
        <f>AJ725/3.32</f>
        <v>-110984.93975903615</v>
      </c>
      <c r="AL725" s="72"/>
      <c r="AM725" s="22"/>
      <c r="AO725" s="149" t="s">
        <v>126</v>
      </c>
      <c r="AP725" s="23" t="s">
        <v>1276</v>
      </c>
      <c r="AQ725" s="149" t="s">
        <v>234</v>
      </c>
      <c r="AR725" s="51" t="str">
        <f>TRIM(AO725)&amp;"-"&amp;TRIM(AP725)&amp;"-"&amp;TRIM(AQ725)</f>
        <v>JD8B-F219A64-AC</v>
      </c>
      <c r="AS725" s="3"/>
      <c r="AT725" s="22"/>
      <c r="AU725" s="22"/>
      <c r="AV725" s="22"/>
      <c r="AW725" s="22"/>
      <c r="AX725" s="22"/>
      <c r="AY725" s="22"/>
      <c r="AZ725" s="22">
        <v>1</v>
      </c>
      <c r="BA725" s="22">
        <v>1</v>
      </c>
      <c r="BB725" s="64">
        <f t="shared" si="631"/>
        <v>0.1</v>
      </c>
      <c r="BD725" s="60">
        <f>-2.77-88.56</f>
        <v>-91.33</v>
      </c>
      <c r="BE725" s="60">
        <v>-1.23</v>
      </c>
      <c r="BF725" s="60">
        <v>-0.38</v>
      </c>
      <c r="BG725" s="60">
        <v>-0.63</v>
      </c>
      <c r="BH725" s="60">
        <v>-3.32</v>
      </c>
      <c r="BI725" s="8">
        <f t="shared" si="642"/>
        <v>-96.889999999999986</v>
      </c>
      <c r="BJ725" s="2" t="s">
        <v>84</v>
      </c>
      <c r="BL725" s="70">
        <v>-400000</v>
      </c>
      <c r="BM725" s="70">
        <v>-400000</v>
      </c>
      <c r="BO725" s="70">
        <f>-368470</f>
        <v>-368470</v>
      </c>
      <c r="BP725" s="70">
        <f>BO725/3.32</f>
        <v>-110984.93975903615</v>
      </c>
      <c r="BQ725" s="72"/>
      <c r="BS725" s="61">
        <f t="shared" si="580"/>
        <v>5.8000000000006935E-2</v>
      </c>
      <c r="BT725" s="61">
        <f t="shared" si="581"/>
        <v>0</v>
      </c>
      <c r="BU725" s="61">
        <f t="shared" si="582"/>
        <v>0</v>
      </c>
      <c r="BV725" s="61">
        <f t="shared" si="582"/>
        <v>0</v>
      </c>
      <c r="BW725" s="61">
        <f t="shared" si="582"/>
        <v>0</v>
      </c>
      <c r="BX725" s="61">
        <f t="shared" si="579"/>
        <v>5.8000000000006935E-2</v>
      </c>
      <c r="BY725" s="61" t="s">
        <v>91</v>
      </c>
      <c r="CA725" s="61">
        <f t="shared" si="587"/>
        <v>0</v>
      </c>
      <c r="CB725" s="61">
        <f t="shared" si="587"/>
        <v>0</v>
      </c>
      <c r="CC725" s="61">
        <f t="shared" si="587"/>
        <v>0</v>
      </c>
      <c r="CD725" s="61">
        <f t="shared" si="587"/>
        <v>0</v>
      </c>
      <c r="CE725" s="61">
        <f t="shared" si="587"/>
        <v>0</v>
      </c>
      <c r="CF725" s="61">
        <f t="shared" si="576"/>
        <v>0</v>
      </c>
      <c r="CG725" s="61">
        <f t="shared" si="576"/>
        <v>8.7257409357615369E-3</v>
      </c>
      <c r="CH725" s="61">
        <f t="shared" si="576"/>
        <v>8.7257409357615369E-3</v>
      </c>
      <c r="CI725" s="61">
        <f t="shared" si="568"/>
        <v>8.7257409357615375E-4</v>
      </c>
      <c r="CJ725" s="61"/>
      <c r="CK725" s="61">
        <f t="shared" si="588"/>
        <v>0</v>
      </c>
      <c r="CL725" s="61">
        <f t="shared" si="588"/>
        <v>0</v>
      </c>
      <c r="CM725" s="61">
        <f t="shared" si="588"/>
        <v>0</v>
      </c>
      <c r="CN725" s="61">
        <f t="shared" si="588"/>
        <v>0</v>
      </c>
      <c r="CO725" s="61">
        <f t="shared" si="588"/>
        <v>0</v>
      </c>
      <c r="CP725" s="61">
        <f t="shared" si="577"/>
        <v>0</v>
      </c>
      <c r="CQ725" s="61">
        <f t="shared" si="577"/>
        <v>8.7257409357615369E-3</v>
      </c>
      <c r="CR725" s="61">
        <f t="shared" si="577"/>
        <v>8.7257409357615369E-3</v>
      </c>
      <c r="CS725" s="61">
        <f t="shared" si="569"/>
        <v>8.7257409357615375E-4</v>
      </c>
      <c r="CT725" s="63">
        <f t="shared" si="570"/>
        <v>5.8000000000006944E-3</v>
      </c>
      <c r="CV725" s="61">
        <f t="shared" si="643"/>
        <v>0</v>
      </c>
      <c r="CW725" s="61">
        <f t="shared" si="644"/>
        <v>0</v>
      </c>
      <c r="CX725" s="61"/>
      <c r="CY725" s="61">
        <f t="shared" si="645"/>
        <v>0</v>
      </c>
      <c r="CZ725" s="61">
        <f t="shared" si="645"/>
        <v>0</v>
      </c>
      <c r="DA725" s="61">
        <f t="shared" si="645"/>
        <v>0</v>
      </c>
      <c r="DB725" s="2" t="s">
        <v>86</v>
      </c>
      <c r="DC725" s="2" t="s">
        <v>85</v>
      </c>
      <c r="DD725" s="2" t="s">
        <v>87</v>
      </c>
      <c r="DE725" s="2" t="s">
        <v>106</v>
      </c>
      <c r="DF725" s="3" t="s">
        <v>86</v>
      </c>
      <c r="DG725" s="62">
        <v>43076</v>
      </c>
      <c r="EC725" s="60" t="str">
        <f>VLOOKUP($M725,[1]Detail!$M:$BO,1,0)</f>
        <v>JD8B-F219A64-AC</v>
      </c>
      <c r="ED725" s="60">
        <f>VLOOKUP($M725,[1]Detail!$M:$BO,22,0)</f>
        <v>-96.889999999999986</v>
      </c>
      <c r="EE725" s="60">
        <f>VLOOKUP($M725,[1]Detail!$M:$BO,42,0)</f>
        <v>-400000</v>
      </c>
      <c r="EF725" s="60">
        <f>VLOOKUP($M725,[1]Detail!$M:$BO,45,0)</f>
        <v>-368470</v>
      </c>
      <c r="EH725" s="60">
        <f t="shared" ref="EH725:EH726" si="647">ED725-AD725</f>
        <v>-5.8000000000006935E-2</v>
      </c>
      <c r="EI725" s="60">
        <f t="shared" ref="EI725:EI726" si="648">EE725-AG725</f>
        <v>0</v>
      </c>
      <c r="EJ725" s="60">
        <f t="shared" ref="EJ725:EJ726" si="649">EF725-AJ725</f>
        <v>0</v>
      </c>
    </row>
    <row r="726" spans="2:140" ht="12.75" hidden="1" customHeight="1">
      <c r="B726" s="99" t="s">
        <v>1281</v>
      </c>
      <c r="C726" s="22" t="s">
        <v>1274</v>
      </c>
      <c r="D726" s="22" t="s">
        <v>1275</v>
      </c>
      <c r="E726" s="2" t="s">
        <v>968</v>
      </c>
      <c r="F726" s="2" t="s">
        <v>969</v>
      </c>
      <c r="G726" s="2" t="s">
        <v>994</v>
      </c>
      <c r="J726" s="149" t="s">
        <v>126</v>
      </c>
      <c r="K726" s="23" t="s">
        <v>1277</v>
      </c>
      <c r="L726" s="149" t="s">
        <v>234</v>
      </c>
      <c r="M726" s="51" t="str">
        <f t="shared" si="628"/>
        <v>JD8B-F219A65-AC</v>
      </c>
      <c r="O726" s="22"/>
      <c r="P726" s="22"/>
      <c r="Q726" s="22"/>
      <c r="R726" s="22"/>
      <c r="S726" s="22"/>
      <c r="T726" s="22"/>
      <c r="U726" s="22">
        <v>1</v>
      </c>
      <c r="V726" s="22">
        <v>1</v>
      </c>
      <c r="W726" s="64">
        <f t="shared" si="629"/>
        <v>0.1</v>
      </c>
      <c r="Y726" s="60">
        <f>-91.58-2.83+0.058</f>
        <v>-94.35199999999999</v>
      </c>
      <c r="Z726" s="60">
        <v>-1.23</v>
      </c>
      <c r="AA726" s="60">
        <v>-0.38</v>
      </c>
      <c r="AB726" s="60">
        <v>-0.63</v>
      </c>
      <c r="AC726" s="60">
        <v>-3.32</v>
      </c>
      <c r="AD726" s="8">
        <f t="shared" ref="AD726" si="650">SUM(Y726:AC726)</f>
        <v>-99.911999999999978</v>
      </c>
      <c r="AE726" s="2" t="s">
        <v>84</v>
      </c>
      <c r="AG726" s="70" t="s">
        <v>1278</v>
      </c>
      <c r="AH726" s="70" t="s">
        <v>1278</v>
      </c>
      <c r="AJ726" s="70" t="s">
        <v>1278</v>
      </c>
      <c r="AK726" s="70" t="s">
        <v>1278</v>
      </c>
      <c r="AL726" s="72"/>
      <c r="AM726" s="22"/>
      <c r="AO726" s="149" t="s">
        <v>126</v>
      </c>
      <c r="AP726" s="23" t="s">
        <v>1277</v>
      </c>
      <c r="AQ726" s="149" t="s">
        <v>234</v>
      </c>
      <c r="AR726" s="51" t="str">
        <f t="shared" ref="AR726" si="651">TRIM(AO726)&amp;"-"&amp;TRIM(AP726)&amp;"-"&amp;TRIM(AQ726)</f>
        <v>JD8B-F219A65-AC</v>
      </c>
      <c r="AS726" s="3"/>
      <c r="AT726" s="22"/>
      <c r="AU726" s="22"/>
      <c r="AV726" s="22"/>
      <c r="AW726" s="22"/>
      <c r="AX726" s="22"/>
      <c r="AY726" s="22"/>
      <c r="AZ726" s="22">
        <v>1</v>
      </c>
      <c r="BA726" s="22">
        <v>1</v>
      </c>
      <c r="BB726" s="64">
        <f t="shared" si="631"/>
        <v>0.1</v>
      </c>
      <c r="BD726" s="60">
        <f>-91.58-2.83</f>
        <v>-94.41</v>
      </c>
      <c r="BE726" s="60">
        <v>-1.23</v>
      </c>
      <c r="BF726" s="60">
        <v>-0.38</v>
      </c>
      <c r="BG726" s="60">
        <v>-0.63</v>
      </c>
      <c r="BH726" s="60">
        <v>-3.32</v>
      </c>
      <c r="BI726" s="8">
        <f t="shared" ref="BI726" si="652">SUM(BD726:BH726)</f>
        <v>-99.969999999999985</v>
      </c>
      <c r="BJ726" s="2" t="s">
        <v>84</v>
      </c>
      <c r="BL726" s="70" t="s">
        <v>1278</v>
      </c>
      <c r="BM726" s="70" t="s">
        <v>1278</v>
      </c>
      <c r="BO726" s="70" t="s">
        <v>1278</v>
      </c>
      <c r="BP726" s="70" t="s">
        <v>1278</v>
      </c>
      <c r="BQ726" s="72"/>
      <c r="BS726" s="61">
        <f t="shared" si="580"/>
        <v>5.8000000000006935E-2</v>
      </c>
      <c r="BT726" s="61">
        <f t="shared" si="581"/>
        <v>0</v>
      </c>
      <c r="BU726" s="61">
        <f t="shared" si="582"/>
        <v>0</v>
      </c>
      <c r="BV726" s="61">
        <f t="shared" si="582"/>
        <v>0</v>
      </c>
      <c r="BW726" s="61">
        <f t="shared" si="582"/>
        <v>0</v>
      </c>
      <c r="BX726" s="61">
        <f t="shared" si="579"/>
        <v>5.8000000000006935E-2</v>
      </c>
      <c r="BY726" s="61" t="s">
        <v>91</v>
      </c>
      <c r="CA726" s="61">
        <f t="shared" ref="CA726:CH789" si="653">($Y726*O726-AT726*$BD726)/$C$2</f>
        <v>0</v>
      </c>
      <c r="CB726" s="61">
        <f t="shared" si="653"/>
        <v>0</v>
      </c>
      <c r="CC726" s="61">
        <f t="shared" si="653"/>
        <v>0</v>
      </c>
      <c r="CD726" s="61">
        <f t="shared" si="653"/>
        <v>0</v>
      </c>
      <c r="CE726" s="61">
        <f t="shared" si="653"/>
        <v>0</v>
      </c>
      <c r="CF726" s="61">
        <f t="shared" si="576"/>
        <v>0</v>
      </c>
      <c r="CG726" s="61">
        <f t="shared" si="576"/>
        <v>8.7257409357615369E-3</v>
      </c>
      <c r="CH726" s="61">
        <f t="shared" si="576"/>
        <v>8.7257409357615369E-3</v>
      </c>
      <c r="CI726" s="61">
        <f t="shared" si="568"/>
        <v>8.7257409357615375E-4</v>
      </c>
      <c r="CJ726" s="61"/>
      <c r="CK726" s="61">
        <f t="shared" ref="CK726:CR789" si="654">(O726*$AD726-AT726*$BI726)/$C$2</f>
        <v>0</v>
      </c>
      <c r="CL726" s="61">
        <f t="shared" si="654"/>
        <v>0</v>
      </c>
      <c r="CM726" s="61">
        <f t="shared" si="654"/>
        <v>0</v>
      </c>
      <c r="CN726" s="61">
        <f t="shared" si="654"/>
        <v>0</v>
      </c>
      <c r="CO726" s="61">
        <f t="shared" si="654"/>
        <v>0</v>
      </c>
      <c r="CP726" s="61">
        <f t="shared" si="577"/>
        <v>0</v>
      </c>
      <c r="CQ726" s="61">
        <f t="shared" si="577"/>
        <v>8.7257409357615369E-3</v>
      </c>
      <c r="CR726" s="61">
        <f t="shared" si="577"/>
        <v>8.7257409357615369E-3</v>
      </c>
      <c r="CS726" s="61">
        <f t="shared" si="569"/>
        <v>8.7257409357615375E-4</v>
      </c>
      <c r="CT726" s="63">
        <f t="shared" si="570"/>
        <v>5.8000000000006944E-3</v>
      </c>
      <c r="CV726" s="61">
        <f t="shared" si="643"/>
        <v>0</v>
      </c>
      <c r="CW726" s="61">
        <f t="shared" si="644"/>
        <v>0</v>
      </c>
      <c r="CX726" s="61"/>
      <c r="CY726" s="61">
        <f t="shared" si="645"/>
        <v>0</v>
      </c>
      <c r="CZ726" s="61">
        <f t="shared" si="645"/>
        <v>0</v>
      </c>
      <c r="DA726" s="61">
        <f t="shared" si="645"/>
        <v>0</v>
      </c>
      <c r="DB726" s="2" t="s">
        <v>86</v>
      </c>
      <c r="DC726" s="2" t="s">
        <v>85</v>
      </c>
      <c r="DD726" s="2" t="s">
        <v>87</v>
      </c>
      <c r="DE726" s="2" t="s">
        <v>106</v>
      </c>
      <c r="DF726" s="3" t="s">
        <v>86</v>
      </c>
      <c r="DG726" s="62">
        <v>43076</v>
      </c>
      <c r="EC726" s="60" t="str">
        <f>VLOOKUP($M726,[1]Detail!$M:$BO,1,0)</f>
        <v>JD8B-F219A65-AC</v>
      </c>
      <c r="ED726" s="60">
        <f>VLOOKUP($M726,[1]Detail!$M:$BO,22,0)</f>
        <v>-99.969999999999985</v>
      </c>
      <c r="EE726" s="60" t="str">
        <f>VLOOKUP($M726,[1]Detail!$M:$BO,42,0)</f>
        <v>inc. in above</v>
      </c>
      <c r="EF726" s="60" t="str">
        <f>VLOOKUP($M726,[1]Detail!$M:$BO,45,0)</f>
        <v>inc. in above</v>
      </c>
      <c r="EH726" s="60">
        <f t="shared" si="647"/>
        <v>-5.8000000000006935E-2</v>
      </c>
      <c r="EI726" s="60" t="e">
        <f t="shared" si="648"/>
        <v>#VALUE!</v>
      </c>
      <c r="EJ726" s="60" t="e">
        <f t="shared" si="649"/>
        <v>#VALUE!</v>
      </c>
    </row>
    <row r="727" spans="2:140" ht="12.75" hidden="1" customHeight="1">
      <c r="B727" s="99" t="s">
        <v>1282</v>
      </c>
      <c r="C727" s="22" t="s">
        <v>1283</v>
      </c>
      <c r="D727" s="22" t="s">
        <v>1284</v>
      </c>
      <c r="E727" s="2" t="s">
        <v>968</v>
      </c>
      <c r="F727" s="2" t="s">
        <v>969</v>
      </c>
      <c r="G727" s="2" t="s">
        <v>339</v>
      </c>
      <c r="J727" s="149" t="s">
        <v>126</v>
      </c>
      <c r="K727" s="23" t="s">
        <v>1285</v>
      </c>
      <c r="L727" s="149" t="s">
        <v>100</v>
      </c>
      <c r="M727" s="51" t="str">
        <f t="shared" si="628"/>
        <v>JD8B-8B041-AA</v>
      </c>
      <c r="O727" s="22">
        <v>1</v>
      </c>
      <c r="P727" s="22">
        <v>1</v>
      </c>
      <c r="Q727" s="22">
        <v>1</v>
      </c>
      <c r="R727" s="22">
        <v>1</v>
      </c>
      <c r="S727" s="22">
        <v>1</v>
      </c>
      <c r="T727" s="22">
        <v>1</v>
      </c>
      <c r="U727" s="22">
        <v>1</v>
      </c>
      <c r="V727" s="22">
        <v>1</v>
      </c>
      <c r="W727" s="64">
        <f t="shared" si="629"/>
        <v>1</v>
      </c>
      <c r="Y727" s="60">
        <v>-109.49</v>
      </c>
      <c r="Z727" s="60">
        <v>0</v>
      </c>
      <c r="AA727" s="60">
        <v>-1.51</v>
      </c>
      <c r="AB727" s="60">
        <v>-2.4875999999999999E-2</v>
      </c>
      <c r="AC727" s="60"/>
      <c r="AD727" s="8">
        <f t="shared" si="567"/>
        <v>-111.02487600000001</v>
      </c>
      <c r="AE727" s="2" t="s">
        <v>84</v>
      </c>
      <c r="AG727" s="70">
        <v>-7957384</v>
      </c>
      <c r="AH727" s="70">
        <v>-8757384</v>
      </c>
      <c r="AJ727" s="70">
        <v>-38514.199999999997</v>
      </c>
      <c r="AK727" s="70">
        <v>1548196</v>
      </c>
      <c r="AL727" s="72"/>
      <c r="AM727" s="22"/>
      <c r="AO727" s="149" t="s">
        <v>128</v>
      </c>
      <c r="AP727" s="85" t="s">
        <v>1285</v>
      </c>
      <c r="AQ727" s="149" t="s">
        <v>132</v>
      </c>
      <c r="AR727" s="51" t="str">
        <f t="shared" si="630"/>
        <v>ED8B-8B041-AB</v>
      </c>
      <c r="AS727" s="3"/>
      <c r="AT727" s="94">
        <v>1</v>
      </c>
      <c r="AU727" s="94">
        <v>1</v>
      </c>
      <c r="AV727" s="94">
        <v>1</v>
      </c>
      <c r="AW727" s="94">
        <v>1</v>
      </c>
      <c r="AX727" s="94">
        <v>1</v>
      </c>
      <c r="AY727" s="94">
        <v>1</v>
      </c>
      <c r="AZ727" s="94">
        <v>1</v>
      </c>
      <c r="BA727" s="94">
        <v>1</v>
      </c>
      <c r="BB727" s="64">
        <f t="shared" si="631"/>
        <v>1</v>
      </c>
      <c r="BD727" s="60">
        <f>-109.49+1.19+0.04</f>
        <v>-108.25999999999999</v>
      </c>
      <c r="BE727" s="60">
        <v>0</v>
      </c>
      <c r="BF727" s="60">
        <v>-1.51</v>
      </c>
      <c r="BG727" s="60">
        <v>-2.4875999999999999E-2</v>
      </c>
      <c r="BH727" s="60"/>
      <c r="BI727" s="8">
        <f t="shared" si="632"/>
        <v>-109.794876</v>
      </c>
      <c r="BJ727" s="2" t="s">
        <v>84</v>
      </c>
      <c r="BL727" s="70">
        <v>-4880442</v>
      </c>
      <c r="BM727" s="70">
        <v>-4880442</v>
      </c>
      <c r="BO727" s="70">
        <v>-38514.199999999997</v>
      </c>
      <c r="BP727" s="70">
        <v>1548196</v>
      </c>
      <c r="BQ727" s="72"/>
      <c r="BS727" s="61">
        <f t="shared" si="580"/>
        <v>-1.230000000000004</v>
      </c>
      <c r="BT727" s="61">
        <f t="shared" si="581"/>
        <v>0</v>
      </c>
      <c r="BU727" s="61">
        <f t="shared" si="582"/>
        <v>0</v>
      </c>
      <c r="BV727" s="61">
        <f t="shared" si="582"/>
        <v>0</v>
      </c>
      <c r="BW727" s="61">
        <f t="shared" si="582"/>
        <v>0</v>
      </c>
      <c r="BX727" s="61">
        <f t="shared" si="579"/>
        <v>-1.230000000000004</v>
      </c>
      <c r="BY727" s="61" t="s">
        <v>91</v>
      </c>
      <c r="CA727" s="61">
        <f t="shared" si="653"/>
        <v>-0.18504588536181796</v>
      </c>
      <c r="CB727" s="61">
        <f t="shared" si="653"/>
        <v>-0.18504588536181796</v>
      </c>
      <c r="CC727" s="61">
        <f t="shared" si="653"/>
        <v>-0.18504588536181796</v>
      </c>
      <c r="CD727" s="61">
        <f t="shared" si="653"/>
        <v>-0.18504588536181796</v>
      </c>
      <c r="CE727" s="61">
        <f t="shared" si="653"/>
        <v>-0.18504588536181796</v>
      </c>
      <c r="CF727" s="61">
        <f t="shared" si="576"/>
        <v>-0.18504588536181796</v>
      </c>
      <c r="CG727" s="61">
        <f t="shared" si="576"/>
        <v>-0.18504588536181796</v>
      </c>
      <c r="CH727" s="61">
        <f t="shared" si="576"/>
        <v>-0.18504588536181796</v>
      </c>
      <c r="CI727" s="61">
        <f t="shared" si="568"/>
        <v>-0.18504588536181799</v>
      </c>
      <c r="CJ727" s="61"/>
      <c r="CK727" s="61">
        <f t="shared" si="654"/>
        <v>-0.18504588536181796</v>
      </c>
      <c r="CL727" s="61">
        <f t="shared" si="654"/>
        <v>-0.18504588536181796</v>
      </c>
      <c r="CM727" s="61">
        <f t="shared" si="654"/>
        <v>-0.18504588536181796</v>
      </c>
      <c r="CN727" s="61">
        <f t="shared" si="654"/>
        <v>-0.18504588536181796</v>
      </c>
      <c r="CO727" s="61">
        <f t="shared" si="654"/>
        <v>-0.18504588536181796</v>
      </c>
      <c r="CP727" s="61">
        <f t="shared" si="577"/>
        <v>-0.18504588536181796</v>
      </c>
      <c r="CQ727" s="61">
        <f t="shared" si="577"/>
        <v>-0.18504588536181796</v>
      </c>
      <c r="CR727" s="61">
        <f t="shared" si="577"/>
        <v>-0.18504588536181796</v>
      </c>
      <c r="CS727" s="61">
        <f t="shared" si="569"/>
        <v>-0.18504588536181799</v>
      </c>
      <c r="CT727" s="61">
        <f t="shared" si="570"/>
        <v>-1.2300000000000042</v>
      </c>
      <c r="CV727" s="61">
        <f t="shared" si="624"/>
        <v>-3076942</v>
      </c>
      <c r="CW727" s="61">
        <f t="shared" si="571"/>
        <v>-3876942</v>
      </c>
      <c r="CX727" s="61"/>
      <c r="CY727" s="61">
        <f t="shared" si="597"/>
        <v>0</v>
      </c>
      <c r="CZ727" s="61">
        <f t="shared" si="597"/>
        <v>0</v>
      </c>
      <c r="DA727" s="61">
        <f t="shared" si="597"/>
        <v>0</v>
      </c>
      <c r="DB727" s="2" t="s">
        <v>85</v>
      </c>
      <c r="DC727" s="2" t="s">
        <v>86</v>
      </c>
      <c r="DD727" s="2" t="s">
        <v>87</v>
      </c>
      <c r="DE727" s="2" t="s">
        <v>264</v>
      </c>
      <c r="DG727" s="62"/>
      <c r="DZ727" s="3" t="e">
        <v>#N/A</v>
      </c>
      <c r="EC727" s="60"/>
      <c r="ED727" s="60"/>
      <c r="EE727" s="60"/>
      <c r="EF727" s="60"/>
    </row>
    <row r="728" spans="2:140" ht="12.75" hidden="1" customHeight="1">
      <c r="B728" s="99" t="s">
        <v>1286</v>
      </c>
      <c r="C728" s="22" t="s">
        <v>1287</v>
      </c>
      <c r="D728" s="22" t="s">
        <v>1288</v>
      </c>
      <c r="E728" s="2" t="s">
        <v>968</v>
      </c>
      <c r="F728" s="2" t="s">
        <v>969</v>
      </c>
      <c r="G728" s="2" t="s">
        <v>339</v>
      </c>
      <c r="J728" s="22" t="s">
        <v>126</v>
      </c>
      <c r="K728" s="23" t="s">
        <v>1289</v>
      </c>
      <c r="L728" s="22" t="s">
        <v>100</v>
      </c>
      <c r="M728" s="51" t="str">
        <f t="shared" si="628"/>
        <v>JD8B-F20848-AA</v>
      </c>
      <c r="O728" s="22">
        <v>1</v>
      </c>
      <c r="P728" s="22">
        <v>1</v>
      </c>
      <c r="Q728" s="22">
        <v>1</v>
      </c>
      <c r="R728" s="22">
        <v>1</v>
      </c>
      <c r="S728" s="22">
        <v>1</v>
      </c>
      <c r="T728" s="22">
        <v>1</v>
      </c>
      <c r="U728" s="22">
        <v>1</v>
      </c>
      <c r="V728" s="22">
        <v>1</v>
      </c>
      <c r="W728" s="64">
        <f t="shared" si="629"/>
        <v>1</v>
      </c>
      <c r="Y728" s="60">
        <f>-39.66+1.96</f>
        <v>-37.699999999999996</v>
      </c>
      <c r="Z728" s="60">
        <v>-1.51</v>
      </c>
      <c r="AA728" s="60">
        <v>-0.9</v>
      </c>
      <c r="AB728" s="60">
        <v>0</v>
      </c>
      <c r="AC728" s="60">
        <v>0</v>
      </c>
      <c r="AD728" s="60">
        <f t="shared" si="567"/>
        <v>-40.109999999999992</v>
      </c>
      <c r="AE728" s="2" t="s">
        <v>84</v>
      </c>
      <c r="AG728" s="70">
        <v>-434000</v>
      </c>
      <c r="AH728" s="70">
        <v>-434000</v>
      </c>
      <c r="AJ728" s="70"/>
      <c r="AK728" s="70"/>
      <c r="AL728" s="72"/>
      <c r="AM728" s="22"/>
      <c r="AO728" s="22" t="s">
        <v>126</v>
      </c>
      <c r="AP728" s="24" t="s">
        <v>1289</v>
      </c>
      <c r="AQ728" s="22" t="s">
        <v>100</v>
      </c>
      <c r="AR728" s="51" t="str">
        <f t="shared" si="630"/>
        <v>JD8B-F20848-AA</v>
      </c>
      <c r="AS728" s="3"/>
      <c r="AT728" s="94">
        <v>1</v>
      </c>
      <c r="AU728" s="94">
        <v>1</v>
      </c>
      <c r="AV728" s="94">
        <v>1</v>
      </c>
      <c r="AW728" s="94">
        <v>1</v>
      </c>
      <c r="AX728" s="94">
        <v>1</v>
      </c>
      <c r="AY728" s="94">
        <v>1</v>
      </c>
      <c r="AZ728" s="94">
        <v>1</v>
      </c>
      <c r="BA728" s="94">
        <v>1</v>
      </c>
      <c r="BB728" s="64">
        <f t="shared" si="631"/>
        <v>1</v>
      </c>
      <c r="BD728" s="60">
        <v>-39.659999999999997</v>
      </c>
      <c r="BE728" s="60">
        <v>-1.51</v>
      </c>
      <c r="BF728" s="60">
        <v>-0.9</v>
      </c>
      <c r="BG728" s="60">
        <v>0</v>
      </c>
      <c r="BH728" s="60">
        <v>0</v>
      </c>
      <c r="BI728" s="60">
        <f t="shared" si="632"/>
        <v>-42.069999999999993</v>
      </c>
      <c r="BJ728" s="2" t="s">
        <v>84</v>
      </c>
      <c r="BL728" s="70">
        <v>-344000</v>
      </c>
      <c r="BM728" s="70">
        <v>-344000</v>
      </c>
      <c r="BO728" s="154">
        <v>0</v>
      </c>
      <c r="BP728" s="154">
        <v>0</v>
      </c>
      <c r="BQ728" s="72"/>
      <c r="BS728" s="61">
        <f t="shared" si="580"/>
        <v>1.9600000000000009</v>
      </c>
      <c r="BT728" s="61">
        <f t="shared" si="581"/>
        <v>0</v>
      </c>
      <c r="BU728" s="61">
        <f t="shared" si="582"/>
        <v>0</v>
      </c>
      <c r="BV728" s="61">
        <f t="shared" si="582"/>
        <v>0</v>
      </c>
      <c r="BW728" s="61">
        <f t="shared" si="582"/>
        <v>0</v>
      </c>
      <c r="BX728" s="61">
        <f t="shared" si="579"/>
        <v>1.9600000000000009</v>
      </c>
      <c r="BY728" s="61" t="s">
        <v>91</v>
      </c>
      <c r="CA728" s="61">
        <f t="shared" si="653"/>
        <v>0.29486986610500987</v>
      </c>
      <c r="CB728" s="61">
        <f t="shared" si="653"/>
        <v>0.29486986610500987</v>
      </c>
      <c r="CC728" s="61">
        <f t="shared" si="653"/>
        <v>0.29486986610500987</v>
      </c>
      <c r="CD728" s="61">
        <f t="shared" si="653"/>
        <v>0.29486986610500987</v>
      </c>
      <c r="CE728" s="61">
        <f t="shared" si="653"/>
        <v>0.29486986610500987</v>
      </c>
      <c r="CF728" s="61">
        <f t="shared" si="576"/>
        <v>0.29486986610500987</v>
      </c>
      <c r="CG728" s="61">
        <f t="shared" si="576"/>
        <v>0.29486986610500987</v>
      </c>
      <c r="CH728" s="61">
        <f t="shared" si="576"/>
        <v>0.29486986610500987</v>
      </c>
      <c r="CI728" s="61">
        <f t="shared" ref="CI728:CI791" si="655">SUMPRODUCT(CA728:CH728,$O$6:$V$6)</f>
        <v>0.29486986610500993</v>
      </c>
      <c r="CJ728" s="61"/>
      <c r="CK728" s="61">
        <f t="shared" si="654"/>
        <v>0.29486986610500987</v>
      </c>
      <c r="CL728" s="61">
        <f t="shared" si="654"/>
        <v>0.29486986610500987</v>
      </c>
      <c r="CM728" s="61">
        <f t="shared" si="654"/>
        <v>0.29486986610500987</v>
      </c>
      <c r="CN728" s="61">
        <f t="shared" si="654"/>
        <v>0.29486986610500987</v>
      </c>
      <c r="CO728" s="61">
        <f t="shared" si="654"/>
        <v>0.29486986610500987</v>
      </c>
      <c r="CP728" s="61">
        <f t="shared" si="577"/>
        <v>0.29486986610500987</v>
      </c>
      <c r="CQ728" s="61">
        <f t="shared" si="577"/>
        <v>0.29486986610500987</v>
      </c>
      <c r="CR728" s="61">
        <f t="shared" si="577"/>
        <v>0.29486986610500987</v>
      </c>
      <c r="CS728" s="61">
        <f t="shared" ref="CS728:CS791" si="656">SUMPRODUCT(CK728:CR728,$O$6:$V$6)</f>
        <v>0.29486986610500993</v>
      </c>
      <c r="CT728" s="61">
        <f t="shared" ref="CT728:CT791" si="657">CS728*$C$2</f>
        <v>1.9600000000000011</v>
      </c>
      <c r="CV728" s="61">
        <f t="shared" ref="CV728:CV777" si="658">SUM(AG728)-SUM(BL728)</f>
        <v>-90000</v>
      </c>
      <c r="CW728" s="61">
        <f t="shared" ref="CW728:CW791" si="659">SUM(AH728)-SUM(BM728)</f>
        <v>-90000</v>
      </c>
      <c r="CX728" s="61"/>
      <c r="CY728" s="61">
        <f t="shared" ref="CY728:DA777" si="660">SUM(AJ728)-SUM(BO728)</f>
        <v>0</v>
      </c>
      <c r="CZ728" s="61">
        <f t="shared" si="660"/>
        <v>0</v>
      </c>
      <c r="DA728" s="61">
        <f t="shared" si="660"/>
        <v>0</v>
      </c>
      <c r="DB728" s="2" t="s">
        <v>86</v>
      </c>
      <c r="DC728" s="2" t="s">
        <v>86</v>
      </c>
      <c r="DD728" s="2" t="s">
        <v>87</v>
      </c>
      <c r="DE728" s="2" t="s">
        <v>264</v>
      </c>
      <c r="DG728" s="62"/>
      <c r="DZ728" s="3" t="e">
        <v>#N/A</v>
      </c>
      <c r="EC728" s="60" t="str">
        <f>VLOOKUP($M728,[1]Detail!$M:$BO,1,0)</f>
        <v>JD8B-F20848-AA</v>
      </c>
      <c r="ED728" s="60">
        <f>VLOOKUP($M728,[1]Detail!$M:$BO,22,0)</f>
        <v>-40.109999999999992</v>
      </c>
      <c r="EE728" s="60">
        <f>VLOOKUP($M728,[1]Detail!$M:$BO,42,0)</f>
        <v>-344000</v>
      </c>
      <c r="EF728" s="60">
        <f>VLOOKUP($M728,[1]Detail!$M:$BO,45,0)</f>
        <v>0</v>
      </c>
      <c r="EH728" s="60">
        <f t="shared" ref="EH728:EH733" si="661">ED728-AD728</f>
        <v>0</v>
      </c>
      <c r="EI728" s="60">
        <f t="shared" ref="EI728:EI733" si="662">EE728-AG728</f>
        <v>90000</v>
      </c>
      <c r="EJ728" s="60">
        <f t="shared" ref="EJ728:EJ733" si="663">EF728-AJ728</f>
        <v>0</v>
      </c>
    </row>
    <row r="729" spans="2:140" ht="12.75" hidden="1" customHeight="1">
      <c r="B729" s="99" t="s">
        <v>1286</v>
      </c>
      <c r="C729" s="22" t="s">
        <v>1287</v>
      </c>
      <c r="D729" s="22" t="s">
        <v>1288</v>
      </c>
      <c r="E729" s="2" t="s">
        <v>968</v>
      </c>
      <c r="F729" s="2" t="s">
        <v>969</v>
      </c>
      <c r="G729" s="2" t="s">
        <v>339</v>
      </c>
      <c r="J729" s="22" t="s">
        <v>126</v>
      </c>
      <c r="K729" s="23" t="s">
        <v>1290</v>
      </c>
      <c r="L729" s="22" t="s">
        <v>100</v>
      </c>
      <c r="M729" s="51" t="str">
        <f t="shared" si="628"/>
        <v>JD8B-F20849-AA</v>
      </c>
      <c r="O729" s="22">
        <v>1</v>
      </c>
      <c r="P729" s="22">
        <v>1</v>
      </c>
      <c r="Q729" s="22">
        <v>1</v>
      </c>
      <c r="R729" s="22">
        <v>1</v>
      </c>
      <c r="S729" s="22">
        <v>1</v>
      </c>
      <c r="T729" s="22">
        <v>1</v>
      </c>
      <c r="U729" s="22">
        <v>1</v>
      </c>
      <c r="V729" s="22">
        <v>1</v>
      </c>
      <c r="W729" s="64">
        <f t="shared" si="629"/>
        <v>1</v>
      </c>
      <c r="Y729" s="60">
        <f>-39.66+1.96</f>
        <v>-37.699999999999996</v>
      </c>
      <c r="Z729" s="60">
        <v>-1.51</v>
      </c>
      <c r="AA729" s="60">
        <v>-0.9</v>
      </c>
      <c r="AB729" s="60">
        <v>0</v>
      </c>
      <c r="AC729" s="60">
        <v>0</v>
      </c>
      <c r="AD729" s="60">
        <f t="shared" si="567"/>
        <v>-40.109999999999992</v>
      </c>
      <c r="AE729" s="2" t="s">
        <v>84</v>
      </c>
      <c r="AG729" s="70">
        <v>-434000</v>
      </c>
      <c r="AH729" s="70">
        <v>-434000</v>
      </c>
      <c r="AJ729" s="70"/>
      <c r="AK729" s="70"/>
      <c r="AL729" s="72"/>
      <c r="AM729" s="22"/>
      <c r="AO729" s="22" t="s">
        <v>126</v>
      </c>
      <c r="AP729" s="24" t="s">
        <v>1290</v>
      </c>
      <c r="AQ729" s="22" t="s">
        <v>100</v>
      </c>
      <c r="AR729" s="51" t="str">
        <f t="shared" si="630"/>
        <v>JD8B-F20849-AA</v>
      </c>
      <c r="AS729" s="3"/>
      <c r="AT729" s="94">
        <v>1</v>
      </c>
      <c r="AU729" s="94">
        <v>1</v>
      </c>
      <c r="AV729" s="94">
        <v>1</v>
      </c>
      <c r="AW729" s="94">
        <v>1</v>
      </c>
      <c r="AX729" s="94">
        <v>1</v>
      </c>
      <c r="AY729" s="94">
        <v>1</v>
      </c>
      <c r="AZ729" s="94">
        <v>1</v>
      </c>
      <c r="BA729" s="94">
        <v>1</v>
      </c>
      <c r="BB729" s="64">
        <f t="shared" si="631"/>
        <v>1</v>
      </c>
      <c r="BD729" s="60">
        <v>-39.659999999999997</v>
      </c>
      <c r="BE729" s="60">
        <v>-1.51</v>
      </c>
      <c r="BF729" s="60">
        <v>-0.9</v>
      </c>
      <c r="BG729" s="60">
        <v>0</v>
      </c>
      <c r="BH729" s="60">
        <v>0</v>
      </c>
      <c r="BI729" s="60">
        <f t="shared" si="632"/>
        <v>-42.069999999999993</v>
      </c>
      <c r="BJ729" s="2" t="s">
        <v>84</v>
      </c>
      <c r="BL729" s="70">
        <v>-344000</v>
      </c>
      <c r="BM729" s="70">
        <v>-344000</v>
      </c>
      <c r="BO729" s="154">
        <v>0</v>
      </c>
      <c r="BP729" s="154">
        <v>0</v>
      </c>
      <c r="BQ729" s="72"/>
      <c r="BS729" s="61">
        <f t="shared" si="580"/>
        <v>1.9600000000000009</v>
      </c>
      <c r="BT729" s="61">
        <f t="shared" si="581"/>
        <v>0</v>
      </c>
      <c r="BU729" s="61">
        <f t="shared" si="582"/>
        <v>0</v>
      </c>
      <c r="BV729" s="61">
        <f t="shared" si="582"/>
        <v>0</v>
      </c>
      <c r="BW729" s="61">
        <f t="shared" si="582"/>
        <v>0</v>
      </c>
      <c r="BX729" s="61">
        <f t="shared" si="579"/>
        <v>1.9600000000000009</v>
      </c>
      <c r="BY729" s="61" t="s">
        <v>91</v>
      </c>
      <c r="CA729" s="61">
        <f t="shared" si="653"/>
        <v>0.29486986610500987</v>
      </c>
      <c r="CB729" s="61">
        <f t="shared" si="653"/>
        <v>0.29486986610500987</v>
      </c>
      <c r="CC729" s="61">
        <f t="shared" si="653"/>
        <v>0.29486986610500987</v>
      </c>
      <c r="CD729" s="61">
        <f t="shared" si="653"/>
        <v>0.29486986610500987</v>
      </c>
      <c r="CE729" s="61">
        <f t="shared" si="653"/>
        <v>0.29486986610500987</v>
      </c>
      <c r="CF729" s="61">
        <f t="shared" si="576"/>
        <v>0.29486986610500987</v>
      </c>
      <c r="CG729" s="61">
        <f t="shared" si="576"/>
        <v>0.29486986610500987</v>
      </c>
      <c r="CH729" s="61">
        <f t="shared" si="576"/>
        <v>0.29486986610500987</v>
      </c>
      <c r="CI729" s="61">
        <f t="shared" si="655"/>
        <v>0.29486986610500993</v>
      </c>
      <c r="CJ729" s="61"/>
      <c r="CK729" s="61">
        <f t="shared" si="654"/>
        <v>0.29486986610500987</v>
      </c>
      <c r="CL729" s="61">
        <f t="shared" si="654"/>
        <v>0.29486986610500987</v>
      </c>
      <c r="CM729" s="61">
        <f t="shared" si="654"/>
        <v>0.29486986610500987</v>
      </c>
      <c r="CN729" s="61">
        <f t="shared" si="654"/>
        <v>0.29486986610500987</v>
      </c>
      <c r="CO729" s="61">
        <f t="shared" si="654"/>
        <v>0.29486986610500987</v>
      </c>
      <c r="CP729" s="61">
        <f t="shared" si="577"/>
        <v>0.29486986610500987</v>
      </c>
      <c r="CQ729" s="61">
        <f t="shared" si="577"/>
        <v>0.29486986610500987</v>
      </c>
      <c r="CR729" s="61">
        <f t="shared" si="577"/>
        <v>0.29486986610500987</v>
      </c>
      <c r="CS729" s="61">
        <f t="shared" si="656"/>
        <v>0.29486986610500993</v>
      </c>
      <c r="CT729" s="61">
        <f t="shared" si="657"/>
        <v>1.9600000000000011</v>
      </c>
      <c r="CV729" s="61">
        <f t="shared" si="658"/>
        <v>-90000</v>
      </c>
      <c r="CW729" s="61">
        <f t="shared" si="659"/>
        <v>-90000</v>
      </c>
      <c r="CX729" s="61"/>
      <c r="CY729" s="61">
        <f t="shared" si="660"/>
        <v>0</v>
      </c>
      <c r="CZ729" s="61">
        <f t="shared" si="660"/>
        <v>0</v>
      </c>
      <c r="DA729" s="61">
        <f t="shared" si="660"/>
        <v>0</v>
      </c>
      <c r="DB729" s="2" t="s">
        <v>86</v>
      </c>
      <c r="DC729" s="2" t="s">
        <v>86</v>
      </c>
      <c r="DD729" s="2" t="s">
        <v>87</v>
      </c>
      <c r="DE729" s="2" t="s">
        <v>264</v>
      </c>
      <c r="DG729" s="62"/>
      <c r="DZ729" s="3" t="e">
        <v>#N/A</v>
      </c>
      <c r="EC729" s="60" t="str">
        <f>VLOOKUP($M729,[1]Detail!$M:$BO,1,0)</f>
        <v>JD8B-F20849-AA</v>
      </c>
      <c r="ED729" s="60">
        <f>VLOOKUP($M729,[1]Detail!$M:$BO,22,0)</f>
        <v>-40.109999999999992</v>
      </c>
      <c r="EE729" s="60">
        <f>VLOOKUP($M729,[1]Detail!$M:$BO,42,0)</f>
        <v>-344000</v>
      </c>
      <c r="EF729" s="60">
        <f>VLOOKUP($M729,[1]Detail!$M:$BO,45,0)</f>
        <v>0</v>
      </c>
      <c r="EH729" s="60">
        <f t="shared" si="661"/>
        <v>0</v>
      </c>
      <c r="EI729" s="60">
        <f t="shared" si="662"/>
        <v>90000</v>
      </c>
      <c r="EJ729" s="60">
        <f t="shared" si="663"/>
        <v>0</v>
      </c>
    </row>
    <row r="730" spans="2:140" ht="12.75" hidden="1" customHeight="1">
      <c r="B730" s="99" t="s">
        <v>1286</v>
      </c>
      <c r="C730" s="22" t="s">
        <v>1287</v>
      </c>
      <c r="D730" s="22" t="s">
        <v>1288</v>
      </c>
      <c r="E730" s="2" t="s">
        <v>968</v>
      </c>
      <c r="F730" s="2" t="s">
        <v>969</v>
      </c>
      <c r="G730" s="2" t="s">
        <v>339</v>
      </c>
      <c r="J730" s="22" t="s">
        <v>126</v>
      </c>
      <c r="K730" s="23" t="s">
        <v>1291</v>
      </c>
      <c r="L730" s="22" t="s">
        <v>100</v>
      </c>
      <c r="M730" s="51" t="str">
        <f t="shared" si="628"/>
        <v>JD8B-F25334-AA</v>
      </c>
      <c r="O730" s="22">
        <v>1</v>
      </c>
      <c r="P730" s="22">
        <v>1</v>
      </c>
      <c r="Q730" s="22">
        <v>1</v>
      </c>
      <c r="R730" s="22">
        <v>1</v>
      </c>
      <c r="S730" s="22">
        <v>1</v>
      </c>
      <c r="T730" s="22">
        <v>1</v>
      </c>
      <c r="U730" s="22">
        <v>1</v>
      </c>
      <c r="V730" s="22">
        <v>1</v>
      </c>
      <c r="W730" s="64">
        <f t="shared" si="629"/>
        <v>1</v>
      </c>
      <c r="Y730" s="60">
        <f>-23.18+1.41</f>
        <v>-21.77</v>
      </c>
      <c r="Z730" s="60">
        <v>-1.21</v>
      </c>
      <c r="AA730" s="60">
        <v>-0.64400000000000002</v>
      </c>
      <c r="AB730" s="60">
        <v>0</v>
      </c>
      <c r="AC730" s="60">
        <v>0</v>
      </c>
      <c r="AD730" s="60">
        <f t="shared" si="567"/>
        <v>-23.623999999999999</v>
      </c>
      <c r="AE730" s="2" t="s">
        <v>84</v>
      </c>
      <c r="AG730" s="70">
        <v>-424800</v>
      </c>
      <c r="AH730" s="70">
        <v>-424800</v>
      </c>
      <c r="AJ730" s="70"/>
      <c r="AK730" s="70"/>
      <c r="AL730" s="72"/>
      <c r="AM730" s="22"/>
      <c r="AO730" s="22" t="s">
        <v>126</v>
      </c>
      <c r="AP730" s="24" t="s">
        <v>1291</v>
      </c>
      <c r="AQ730" s="22" t="s">
        <v>100</v>
      </c>
      <c r="AR730" s="51" t="str">
        <f t="shared" si="630"/>
        <v>JD8B-F25334-AA</v>
      </c>
      <c r="AS730" s="3"/>
      <c r="AT730" s="94">
        <v>1</v>
      </c>
      <c r="AU730" s="94">
        <v>1</v>
      </c>
      <c r="AV730" s="94">
        <v>1</v>
      </c>
      <c r="AW730" s="94">
        <v>1</v>
      </c>
      <c r="AX730" s="94">
        <v>1</v>
      </c>
      <c r="AY730" s="94">
        <v>1</v>
      </c>
      <c r="AZ730" s="94">
        <v>1</v>
      </c>
      <c r="BA730" s="94">
        <v>1</v>
      </c>
      <c r="BB730" s="64">
        <f t="shared" si="631"/>
        <v>1</v>
      </c>
      <c r="BD730" s="60">
        <v>-23.18</v>
      </c>
      <c r="BE730" s="60">
        <v>-1.21</v>
      </c>
      <c r="BF730" s="60">
        <v>-0.64400000000000002</v>
      </c>
      <c r="BG730" s="60">
        <v>0</v>
      </c>
      <c r="BH730" s="60">
        <v>0</v>
      </c>
      <c r="BI730" s="60">
        <f t="shared" si="632"/>
        <v>-25.033999999999999</v>
      </c>
      <c r="BJ730" s="2" t="s">
        <v>84</v>
      </c>
      <c r="BL730" s="70">
        <v>-362300</v>
      </c>
      <c r="BM730" s="70">
        <v>-362300</v>
      </c>
      <c r="BO730" s="154">
        <v>0</v>
      </c>
      <c r="BP730" s="154">
        <v>0</v>
      </c>
      <c r="BQ730" s="72"/>
      <c r="BS730" s="61">
        <f t="shared" si="580"/>
        <v>1.4100000000000001</v>
      </c>
      <c r="BT730" s="61">
        <f t="shared" si="581"/>
        <v>0</v>
      </c>
      <c r="BU730" s="61">
        <f t="shared" si="582"/>
        <v>0</v>
      </c>
      <c r="BV730" s="61">
        <f t="shared" si="582"/>
        <v>0</v>
      </c>
      <c r="BW730" s="61">
        <f t="shared" si="582"/>
        <v>0</v>
      </c>
      <c r="BX730" s="61">
        <f t="shared" si="579"/>
        <v>1.4100000000000001</v>
      </c>
      <c r="BY730" s="61" t="s">
        <v>91</v>
      </c>
      <c r="CA730" s="61">
        <f t="shared" si="653"/>
        <v>0.21212577102452235</v>
      </c>
      <c r="CB730" s="61">
        <f t="shared" si="653"/>
        <v>0.21212577102452235</v>
      </c>
      <c r="CC730" s="61">
        <f t="shared" si="653"/>
        <v>0.21212577102452235</v>
      </c>
      <c r="CD730" s="61">
        <f t="shared" si="653"/>
        <v>0.21212577102452235</v>
      </c>
      <c r="CE730" s="61">
        <f t="shared" si="653"/>
        <v>0.21212577102452235</v>
      </c>
      <c r="CF730" s="61">
        <f t="shared" si="653"/>
        <v>0.21212577102452235</v>
      </c>
      <c r="CG730" s="61">
        <f t="shared" si="653"/>
        <v>0.21212577102452235</v>
      </c>
      <c r="CH730" s="61">
        <f t="shared" si="653"/>
        <v>0.21212577102452235</v>
      </c>
      <c r="CI730" s="61">
        <f t="shared" si="655"/>
        <v>0.21212577102452232</v>
      </c>
      <c r="CJ730" s="61"/>
      <c r="CK730" s="61">
        <f t="shared" si="654"/>
        <v>0.21212577102452235</v>
      </c>
      <c r="CL730" s="61">
        <f t="shared" si="654"/>
        <v>0.21212577102452235</v>
      </c>
      <c r="CM730" s="61">
        <f t="shared" si="654"/>
        <v>0.21212577102452235</v>
      </c>
      <c r="CN730" s="61">
        <f t="shared" si="654"/>
        <v>0.21212577102452235</v>
      </c>
      <c r="CO730" s="61">
        <f t="shared" si="654"/>
        <v>0.21212577102452235</v>
      </c>
      <c r="CP730" s="61">
        <f t="shared" si="654"/>
        <v>0.21212577102452235</v>
      </c>
      <c r="CQ730" s="61">
        <f t="shared" si="654"/>
        <v>0.21212577102452235</v>
      </c>
      <c r="CR730" s="61">
        <f t="shared" si="654"/>
        <v>0.21212577102452235</v>
      </c>
      <c r="CS730" s="61">
        <f t="shared" si="656"/>
        <v>0.21212577102452232</v>
      </c>
      <c r="CT730" s="61">
        <f t="shared" si="657"/>
        <v>1.41</v>
      </c>
      <c r="CV730" s="61">
        <f t="shared" si="658"/>
        <v>-62500</v>
      </c>
      <c r="CW730" s="61">
        <f t="shared" si="659"/>
        <v>-62500</v>
      </c>
      <c r="CX730" s="61"/>
      <c r="CY730" s="61">
        <f t="shared" si="660"/>
        <v>0</v>
      </c>
      <c r="CZ730" s="61">
        <f t="shared" si="660"/>
        <v>0</v>
      </c>
      <c r="DA730" s="61">
        <f t="shared" si="660"/>
        <v>0</v>
      </c>
      <c r="DB730" s="2" t="s">
        <v>86</v>
      </c>
      <c r="DC730" s="2" t="s">
        <v>86</v>
      </c>
      <c r="DD730" s="2" t="s">
        <v>87</v>
      </c>
      <c r="DE730" s="2" t="s">
        <v>264</v>
      </c>
      <c r="DG730" s="62"/>
      <c r="DZ730" s="3" t="e">
        <v>#N/A</v>
      </c>
      <c r="EC730" s="60" t="str">
        <f>VLOOKUP($M730,[1]Detail!$M:$BO,1,0)</f>
        <v>JD8B-F25334-AA</v>
      </c>
      <c r="ED730" s="60">
        <f>VLOOKUP($M730,[1]Detail!$M:$BO,22,0)</f>
        <v>-23.623999999999999</v>
      </c>
      <c r="EE730" s="60">
        <f>VLOOKUP($M730,[1]Detail!$M:$BO,42,0)</f>
        <v>-362300</v>
      </c>
      <c r="EF730" s="60">
        <f>VLOOKUP($M730,[1]Detail!$M:$BO,45,0)</f>
        <v>0</v>
      </c>
      <c r="EH730" s="60">
        <f t="shared" si="661"/>
        <v>0</v>
      </c>
      <c r="EI730" s="60">
        <f t="shared" si="662"/>
        <v>62500</v>
      </c>
      <c r="EJ730" s="60">
        <f t="shared" si="663"/>
        <v>0</v>
      </c>
    </row>
    <row r="731" spans="2:140" ht="12.75" hidden="1" customHeight="1">
      <c r="B731" s="99" t="s">
        <v>1286</v>
      </c>
      <c r="C731" s="22" t="s">
        <v>1287</v>
      </c>
      <c r="D731" s="22" t="s">
        <v>1288</v>
      </c>
      <c r="E731" s="2" t="s">
        <v>968</v>
      </c>
      <c r="F731" s="2" t="s">
        <v>969</v>
      </c>
      <c r="G731" s="2" t="s">
        <v>339</v>
      </c>
      <c r="J731" s="22" t="s">
        <v>126</v>
      </c>
      <c r="K731" s="23" t="s">
        <v>1292</v>
      </c>
      <c r="L731" s="22" t="s">
        <v>100</v>
      </c>
      <c r="M731" s="51" t="str">
        <f t="shared" si="628"/>
        <v>JD8B-F25335-AA</v>
      </c>
      <c r="O731" s="22">
        <v>1</v>
      </c>
      <c r="P731" s="22">
        <v>1</v>
      </c>
      <c r="Q731" s="22">
        <v>1</v>
      </c>
      <c r="R731" s="22">
        <v>1</v>
      </c>
      <c r="S731" s="22">
        <v>1</v>
      </c>
      <c r="T731" s="22">
        <v>1</v>
      </c>
      <c r="U731" s="22">
        <v>1</v>
      </c>
      <c r="V731" s="22">
        <v>1</v>
      </c>
      <c r="W731" s="64">
        <f t="shared" si="629"/>
        <v>1</v>
      </c>
      <c r="Y731" s="60">
        <f>-23.18+1.41</f>
        <v>-21.77</v>
      </c>
      <c r="Z731" s="60">
        <v>-1.21</v>
      </c>
      <c r="AA731" s="60">
        <v>-0.64400000000000002</v>
      </c>
      <c r="AB731" s="60">
        <v>0</v>
      </c>
      <c r="AC731" s="60">
        <v>0</v>
      </c>
      <c r="AD731" s="60">
        <f t="shared" si="567"/>
        <v>-23.623999999999999</v>
      </c>
      <c r="AE731" s="2" t="s">
        <v>84</v>
      </c>
      <c r="AG731" s="70">
        <v>-424800</v>
      </c>
      <c r="AH731" s="70">
        <v>-424800</v>
      </c>
      <c r="AJ731" s="70"/>
      <c r="AK731" s="70"/>
      <c r="AL731" s="72"/>
      <c r="AM731" s="22"/>
      <c r="AO731" s="22" t="s">
        <v>126</v>
      </c>
      <c r="AP731" s="24" t="s">
        <v>1292</v>
      </c>
      <c r="AQ731" s="22" t="s">
        <v>100</v>
      </c>
      <c r="AR731" s="51" t="str">
        <f t="shared" si="630"/>
        <v>JD8B-F25335-AA</v>
      </c>
      <c r="AS731" s="3"/>
      <c r="AT731" s="94">
        <v>1</v>
      </c>
      <c r="AU731" s="94">
        <v>1</v>
      </c>
      <c r="AV731" s="94">
        <v>1</v>
      </c>
      <c r="AW731" s="94">
        <v>1</v>
      </c>
      <c r="AX731" s="94">
        <v>1</v>
      </c>
      <c r="AY731" s="94">
        <v>1</v>
      </c>
      <c r="AZ731" s="94">
        <v>1</v>
      </c>
      <c r="BA731" s="94">
        <v>1</v>
      </c>
      <c r="BB731" s="64">
        <f t="shared" si="631"/>
        <v>1</v>
      </c>
      <c r="BD731" s="60">
        <v>-23.18</v>
      </c>
      <c r="BE731" s="60">
        <v>-1.21</v>
      </c>
      <c r="BF731" s="60">
        <v>-0.64400000000000002</v>
      </c>
      <c r="BG731" s="60">
        <v>0</v>
      </c>
      <c r="BH731" s="60">
        <v>0</v>
      </c>
      <c r="BI731" s="60">
        <f t="shared" si="632"/>
        <v>-25.033999999999999</v>
      </c>
      <c r="BJ731" s="2" t="s">
        <v>84</v>
      </c>
      <c r="BL731" s="70">
        <v>-362300</v>
      </c>
      <c r="BM731" s="70">
        <v>-362300</v>
      </c>
      <c r="BO731" s="154">
        <v>0</v>
      </c>
      <c r="BP731" s="154">
        <v>0</v>
      </c>
      <c r="BQ731" s="72"/>
      <c r="BS731" s="61">
        <f t="shared" si="580"/>
        <v>1.4100000000000001</v>
      </c>
      <c r="BT731" s="61">
        <f t="shared" si="581"/>
        <v>0</v>
      </c>
      <c r="BU731" s="61">
        <f t="shared" si="582"/>
        <v>0</v>
      </c>
      <c r="BV731" s="61">
        <f t="shared" si="582"/>
        <v>0</v>
      </c>
      <c r="BW731" s="61">
        <f t="shared" si="582"/>
        <v>0</v>
      </c>
      <c r="BX731" s="61">
        <f t="shared" si="579"/>
        <v>1.4100000000000001</v>
      </c>
      <c r="BY731" s="61" t="s">
        <v>91</v>
      </c>
      <c r="CA731" s="61">
        <f t="shared" si="653"/>
        <v>0.21212577102452235</v>
      </c>
      <c r="CB731" s="61">
        <f t="shared" si="653"/>
        <v>0.21212577102452235</v>
      </c>
      <c r="CC731" s="61">
        <f t="shared" si="653"/>
        <v>0.21212577102452235</v>
      </c>
      <c r="CD731" s="61">
        <f t="shared" si="653"/>
        <v>0.21212577102452235</v>
      </c>
      <c r="CE731" s="61">
        <f t="shared" si="653"/>
        <v>0.21212577102452235</v>
      </c>
      <c r="CF731" s="61">
        <f t="shared" si="653"/>
        <v>0.21212577102452235</v>
      </c>
      <c r="CG731" s="61">
        <f t="shared" si="653"/>
        <v>0.21212577102452235</v>
      </c>
      <c r="CH731" s="61">
        <f t="shared" si="653"/>
        <v>0.21212577102452235</v>
      </c>
      <c r="CI731" s="61">
        <f t="shared" si="655"/>
        <v>0.21212577102452232</v>
      </c>
      <c r="CJ731" s="61"/>
      <c r="CK731" s="61">
        <f t="shared" si="654"/>
        <v>0.21212577102452235</v>
      </c>
      <c r="CL731" s="61">
        <f t="shared" si="654"/>
        <v>0.21212577102452235</v>
      </c>
      <c r="CM731" s="61">
        <f t="shared" si="654"/>
        <v>0.21212577102452235</v>
      </c>
      <c r="CN731" s="61">
        <f t="shared" si="654"/>
        <v>0.21212577102452235</v>
      </c>
      <c r="CO731" s="61">
        <f t="shared" si="654"/>
        <v>0.21212577102452235</v>
      </c>
      <c r="CP731" s="61">
        <f t="shared" si="654"/>
        <v>0.21212577102452235</v>
      </c>
      <c r="CQ731" s="61">
        <f t="shared" si="654"/>
        <v>0.21212577102452235</v>
      </c>
      <c r="CR731" s="61">
        <f t="shared" si="654"/>
        <v>0.21212577102452235</v>
      </c>
      <c r="CS731" s="61">
        <f t="shared" si="656"/>
        <v>0.21212577102452232</v>
      </c>
      <c r="CT731" s="61">
        <f t="shared" si="657"/>
        <v>1.41</v>
      </c>
      <c r="CV731" s="61">
        <f t="shared" si="658"/>
        <v>-62500</v>
      </c>
      <c r="CW731" s="61">
        <f t="shared" si="659"/>
        <v>-62500</v>
      </c>
      <c r="CX731" s="61"/>
      <c r="CY731" s="61">
        <f t="shared" si="660"/>
        <v>0</v>
      </c>
      <c r="CZ731" s="61">
        <f t="shared" si="660"/>
        <v>0</v>
      </c>
      <c r="DA731" s="61">
        <f t="shared" si="660"/>
        <v>0</v>
      </c>
      <c r="DB731" s="2" t="s">
        <v>86</v>
      </c>
      <c r="DC731" s="2" t="s">
        <v>86</v>
      </c>
      <c r="DD731" s="2" t="s">
        <v>87</v>
      </c>
      <c r="DE731" s="2" t="s">
        <v>264</v>
      </c>
      <c r="DG731" s="62"/>
      <c r="DZ731" s="3" t="e">
        <v>#N/A</v>
      </c>
      <c r="EC731" s="60" t="str">
        <f>VLOOKUP($M731,[1]Detail!$M:$BO,1,0)</f>
        <v>JD8B-F25335-AA</v>
      </c>
      <c r="ED731" s="60">
        <f>VLOOKUP($M731,[1]Detail!$M:$BO,22,0)</f>
        <v>-23.623999999999999</v>
      </c>
      <c r="EE731" s="60">
        <f>VLOOKUP($M731,[1]Detail!$M:$BO,42,0)</f>
        <v>-362300</v>
      </c>
      <c r="EF731" s="60">
        <f>VLOOKUP($M731,[1]Detail!$M:$BO,45,0)</f>
        <v>0</v>
      </c>
      <c r="EH731" s="60">
        <f t="shared" si="661"/>
        <v>0</v>
      </c>
      <c r="EI731" s="60">
        <f t="shared" si="662"/>
        <v>62500</v>
      </c>
      <c r="EJ731" s="60">
        <f t="shared" si="663"/>
        <v>0</v>
      </c>
    </row>
    <row r="732" spans="2:140" ht="12.75" hidden="1" customHeight="1">
      <c r="B732" s="99" t="s">
        <v>1293</v>
      </c>
      <c r="C732" s="22" t="s">
        <v>1294</v>
      </c>
      <c r="D732" s="22" t="s">
        <v>1295</v>
      </c>
      <c r="E732" s="2" t="s">
        <v>993</v>
      </c>
      <c r="F732" s="2" t="s">
        <v>330</v>
      </c>
      <c r="G732" s="2" t="s">
        <v>1269</v>
      </c>
      <c r="J732" s="149" t="s">
        <v>126</v>
      </c>
      <c r="K732" s="23" t="s">
        <v>1296</v>
      </c>
      <c r="L732" s="149" t="s">
        <v>100</v>
      </c>
      <c r="M732" s="51" t="str">
        <f t="shared" si="628"/>
        <v>JD8B-R11448-AA</v>
      </c>
      <c r="O732" s="22">
        <v>1</v>
      </c>
      <c r="P732" s="22">
        <v>1</v>
      </c>
      <c r="Q732" s="22">
        <v>1</v>
      </c>
      <c r="R732" s="22">
        <v>1</v>
      </c>
      <c r="S732" s="22">
        <v>1</v>
      </c>
      <c r="T732" s="22">
        <v>1</v>
      </c>
      <c r="U732" s="22">
        <v>1</v>
      </c>
      <c r="V732" s="22">
        <v>1</v>
      </c>
      <c r="W732" s="64">
        <f t="shared" si="629"/>
        <v>1</v>
      </c>
      <c r="Y732" s="60">
        <v>-46.02</v>
      </c>
      <c r="Z732" s="60">
        <v>-0.44</v>
      </c>
      <c r="AA732" s="60">
        <v>-0.4</v>
      </c>
      <c r="AB732" s="60"/>
      <c r="AC732" s="60"/>
      <c r="AD732" s="8">
        <f t="shared" si="567"/>
        <v>-46.86</v>
      </c>
      <c r="AE732" s="2" t="s">
        <v>84</v>
      </c>
      <c r="AG732" s="70">
        <f>-1393600*0-202000</f>
        <v>-202000</v>
      </c>
      <c r="AH732" s="70">
        <f>-1393600*0-202000</f>
        <v>-202000</v>
      </c>
      <c r="AJ732" s="70">
        <v>0</v>
      </c>
      <c r="AK732" s="70">
        <v>0</v>
      </c>
      <c r="AL732" s="72"/>
      <c r="AM732" s="22"/>
      <c r="AO732" s="22" t="s">
        <v>1297</v>
      </c>
      <c r="AP732" s="85" t="s">
        <v>1298</v>
      </c>
      <c r="AQ732" s="22" t="s">
        <v>1299</v>
      </c>
      <c r="AR732" s="51" t="str">
        <f t="shared" si="630"/>
        <v>3M51-R11448-AY</v>
      </c>
      <c r="AS732" s="3"/>
      <c r="AT732" s="94">
        <v>1</v>
      </c>
      <c r="AU732" s="94">
        <v>1</v>
      </c>
      <c r="AV732" s="94">
        <v>1</v>
      </c>
      <c r="AW732" s="94">
        <v>1</v>
      </c>
      <c r="AX732" s="94">
        <v>1</v>
      </c>
      <c r="AY732" s="94">
        <v>1</v>
      </c>
      <c r="AZ732" s="94">
        <v>1</v>
      </c>
      <c r="BA732" s="94">
        <v>1</v>
      </c>
      <c r="BB732" s="64">
        <f t="shared" si="631"/>
        <v>1</v>
      </c>
      <c r="BD732" s="60">
        <v>-46.02</v>
      </c>
      <c r="BE732" s="60">
        <v>-0.44</v>
      </c>
      <c r="BF732" s="60">
        <v>-0.4</v>
      </c>
      <c r="BG732" s="60"/>
      <c r="BH732" s="60"/>
      <c r="BI732" s="8">
        <f t="shared" si="632"/>
        <v>-46.86</v>
      </c>
      <c r="BJ732" s="2" t="s">
        <v>84</v>
      </c>
      <c r="BL732" s="70">
        <f>-1191600*0</f>
        <v>0</v>
      </c>
      <c r="BM732" s="70">
        <f>-1191600*0</f>
        <v>0</v>
      </c>
      <c r="BO732" s="70"/>
      <c r="BP732" s="70"/>
      <c r="BQ732" s="72"/>
      <c r="BS732" s="61">
        <f t="shared" si="580"/>
        <v>0</v>
      </c>
      <c r="BT732" s="61">
        <f t="shared" si="581"/>
        <v>0</v>
      </c>
      <c r="BU732" s="61">
        <f t="shared" si="582"/>
        <v>0</v>
      </c>
      <c r="BV732" s="61">
        <f t="shared" si="582"/>
        <v>0</v>
      </c>
      <c r="BW732" s="61">
        <f t="shared" si="582"/>
        <v>0</v>
      </c>
      <c r="BX732" s="61">
        <f t="shared" si="579"/>
        <v>0</v>
      </c>
      <c r="BY732" s="61" t="s">
        <v>91</v>
      </c>
      <c r="CA732" s="61">
        <f t="shared" si="653"/>
        <v>0</v>
      </c>
      <c r="CB732" s="61">
        <f t="shared" si="653"/>
        <v>0</v>
      </c>
      <c r="CC732" s="61">
        <f t="shared" si="653"/>
        <v>0</v>
      </c>
      <c r="CD732" s="61">
        <f t="shared" si="653"/>
        <v>0</v>
      </c>
      <c r="CE732" s="61">
        <f t="shared" si="653"/>
        <v>0</v>
      </c>
      <c r="CF732" s="61">
        <f t="shared" si="653"/>
        <v>0</v>
      </c>
      <c r="CG732" s="61">
        <f t="shared" si="653"/>
        <v>0</v>
      </c>
      <c r="CH732" s="61">
        <f t="shared" si="653"/>
        <v>0</v>
      </c>
      <c r="CI732" s="61">
        <f t="shared" si="655"/>
        <v>0</v>
      </c>
      <c r="CJ732" s="61"/>
      <c r="CK732" s="61">
        <f t="shared" si="654"/>
        <v>0</v>
      </c>
      <c r="CL732" s="61">
        <f t="shared" si="654"/>
        <v>0</v>
      </c>
      <c r="CM732" s="61">
        <f t="shared" si="654"/>
        <v>0</v>
      </c>
      <c r="CN732" s="61">
        <f t="shared" si="654"/>
        <v>0</v>
      </c>
      <c r="CO732" s="61">
        <f t="shared" si="654"/>
        <v>0</v>
      </c>
      <c r="CP732" s="61">
        <f t="shared" si="654"/>
        <v>0</v>
      </c>
      <c r="CQ732" s="61">
        <f t="shared" si="654"/>
        <v>0</v>
      </c>
      <c r="CR732" s="61">
        <f t="shared" si="654"/>
        <v>0</v>
      </c>
      <c r="CS732" s="61">
        <f t="shared" si="656"/>
        <v>0</v>
      </c>
      <c r="CT732" s="61">
        <f t="shared" si="657"/>
        <v>0</v>
      </c>
      <c r="CV732" s="61">
        <f t="shared" si="658"/>
        <v>-202000</v>
      </c>
      <c r="CW732" s="61">
        <f t="shared" si="659"/>
        <v>-202000</v>
      </c>
      <c r="CX732" s="61"/>
      <c r="CY732" s="61">
        <f t="shared" si="660"/>
        <v>0</v>
      </c>
      <c r="CZ732" s="61">
        <f t="shared" si="660"/>
        <v>0</v>
      </c>
      <c r="DA732" s="61">
        <f t="shared" si="660"/>
        <v>0</v>
      </c>
      <c r="DB732" s="2" t="s">
        <v>86</v>
      </c>
      <c r="DC732" s="2" t="s">
        <v>86</v>
      </c>
      <c r="DD732" s="2" t="s">
        <v>87</v>
      </c>
      <c r="DE732" s="2" t="s">
        <v>264</v>
      </c>
      <c r="DG732" s="62"/>
      <c r="DZ732" s="3" t="e">
        <v>#N/A</v>
      </c>
      <c r="EC732" s="60" t="str">
        <f>VLOOKUP($M732,[1]Detail!$M:$BO,1,0)</f>
        <v>JD8B-R11448-AA</v>
      </c>
      <c r="ED732" s="60">
        <f>VLOOKUP($M732,[1]Detail!$M:$BO,22,0)</f>
        <v>-46.86</v>
      </c>
      <c r="EE732" s="60">
        <f>VLOOKUP($M732,[1]Detail!$M:$BO,42,0)</f>
        <v>-202000</v>
      </c>
      <c r="EF732" s="60">
        <f>VLOOKUP($M732,[1]Detail!$M:$BO,45,0)</f>
        <v>0</v>
      </c>
      <c r="EH732" s="60">
        <f t="shared" si="661"/>
        <v>0</v>
      </c>
      <c r="EI732" s="60">
        <f t="shared" si="662"/>
        <v>0</v>
      </c>
      <c r="EJ732" s="60">
        <f t="shared" si="663"/>
        <v>0</v>
      </c>
    </row>
    <row r="733" spans="2:140" ht="12.75" hidden="1" customHeight="1">
      <c r="B733" s="99" t="s">
        <v>1300</v>
      </c>
      <c r="C733" s="22" t="s">
        <v>1203</v>
      </c>
      <c r="D733" s="22" t="s">
        <v>1204</v>
      </c>
      <c r="E733" s="2" t="s">
        <v>1301</v>
      </c>
      <c r="F733" s="2" t="s">
        <v>969</v>
      </c>
      <c r="G733" s="2" t="s">
        <v>994</v>
      </c>
      <c r="J733" s="149" t="s">
        <v>1302</v>
      </c>
      <c r="K733" s="23" t="s">
        <v>1303</v>
      </c>
      <c r="L733" s="149" t="s">
        <v>1304</v>
      </c>
      <c r="M733" s="51" t="str">
        <f t="shared" si="628"/>
        <v>JX6G-6A949-HC</v>
      </c>
      <c r="O733" s="22">
        <v>1</v>
      </c>
      <c r="P733" s="22">
        <v>1</v>
      </c>
      <c r="Q733" s="22">
        <v>1</v>
      </c>
      <c r="R733" s="22">
        <v>1</v>
      </c>
      <c r="S733" s="22">
        <v>0</v>
      </c>
      <c r="T733" s="22">
        <v>0</v>
      </c>
      <c r="U733" s="22">
        <v>1</v>
      </c>
      <c r="V733" s="22">
        <v>0</v>
      </c>
      <c r="W733" s="64">
        <f t="shared" si="629"/>
        <v>0.72000000000000008</v>
      </c>
      <c r="Y733" s="60">
        <v>-31.01</v>
      </c>
      <c r="Z733" s="60">
        <v>-3.8</v>
      </c>
      <c r="AA733" s="60">
        <v>-0.45</v>
      </c>
      <c r="AB733" s="60">
        <v>0</v>
      </c>
      <c r="AC733" s="60">
        <v>0</v>
      </c>
      <c r="AD733" s="8">
        <f t="shared" si="567"/>
        <v>-35.260000000000005</v>
      </c>
      <c r="AE733" s="2" t="s">
        <v>84</v>
      </c>
      <c r="AG733" s="70">
        <v>0</v>
      </c>
      <c r="AH733" s="70">
        <v>0</v>
      </c>
      <c r="AJ733" s="70"/>
      <c r="AK733" s="70"/>
      <c r="AL733" s="72"/>
      <c r="AM733" s="22"/>
      <c r="AO733" s="149" t="s">
        <v>1302</v>
      </c>
      <c r="AP733" s="23" t="s">
        <v>1303</v>
      </c>
      <c r="AQ733" s="149" t="s">
        <v>1305</v>
      </c>
      <c r="AR733" s="51" t="str">
        <f t="shared" si="630"/>
        <v>JX6G-6A949-HA</v>
      </c>
      <c r="AS733" s="3"/>
      <c r="AT733" s="22">
        <v>1</v>
      </c>
      <c r="AU733" s="22">
        <v>1</v>
      </c>
      <c r="AV733" s="22">
        <v>1</v>
      </c>
      <c r="AW733" s="22">
        <v>1</v>
      </c>
      <c r="AX733" s="22">
        <v>0</v>
      </c>
      <c r="AY733" s="22">
        <v>0</v>
      </c>
      <c r="AZ733" s="22">
        <v>1</v>
      </c>
      <c r="BA733" s="22">
        <v>0</v>
      </c>
      <c r="BB733" s="64">
        <f t="shared" si="631"/>
        <v>0.72000000000000008</v>
      </c>
      <c r="BD733" s="60">
        <f>-32.66-24.95</f>
        <v>-57.61</v>
      </c>
      <c r="BE733" s="60">
        <v>-3.8</v>
      </c>
      <c r="BF733" s="60">
        <v>-0.45</v>
      </c>
      <c r="BG733" s="60">
        <v>0</v>
      </c>
      <c r="BH733" s="95"/>
      <c r="BI733" s="8">
        <f t="shared" si="632"/>
        <v>-61.86</v>
      </c>
      <c r="BJ733" s="2" t="s">
        <v>84</v>
      </c>
      <c r="BL733" s="70">
        <v>0</v>
      </c>
      <c r="BM733" s="70">
        <v>0</v>
      </c>
      <c r="BO733" s="70">
        <v>0</v>
      </c>
      <c r="BP733" s="70">
        <v>0</v>
      </c>
      <c r="BQ733" s="72"/>
      <c r="BS733" s="61">
        <f t="shared" si="580"/>
        <v>26.599999999999998</v>
      </c>
      <c r="BT733" s="61">
        <f t="shared" si="581"/>
        <v>0</v>
      </c>
      <c r="BU733" s="61">
        <f t="shared" si="582"/>
        <v>0</v>
      </c>
      <c r="BV733" s="61">
        <f t="shared" si="582"/>
        <v>0</v>
      </c>
      <c r="BW733" s="61">
        <f t="shared" si="582"/>
        <v>0</v>
      </c>
      <c r="BX733" s="61">
        <f t="shared" si="582"/>
        <v>26.599999999999994</v>
      </c>
      <c r="BY733" s="61" t="s">
        <v>91</v>
      </c>
      <c r="CA733" s="61">
        <f t="shared" si="653"/>
        <v>4.0018053257108468</v>
      </c>
      <c r="CB733" s="61">
        <f t="shared" si="653"/>
        <v>4.0018053257108468</v>
      </c>
      <c r="CC733" s="61">
        <f t="shared" si="653"/>
        <v>4.0018053257108468</v>
      </c>
      <c r="CD733" s="61">
        <f t="shared" si="653"/>
        <v>4.0018053257108468</v>
      </c>
      <c r="CE733" s="61">
        <f t="shared" si="653"/>
        <v>0</v>
      </c>
      <c r="CF733" s="61">
        <f t="shared" si="653"/>
        <v>0</v>
      </c>
      <c r="CG733" s="61">
        <f t="shared" si="653"/>
        <v>4.0018053257108468</v>
      </c>
      <c r="CH733" s="61">
        <f t="shared" si="653"/>
        <v>0</v>
      </c>
      <c r="CI733" s="61">
        <f t="shared" si="655"/>
        <v>2.8812998345118102</v>
      </c>
      <c r="CJ733" s="61"/>
      <c r="CK733" s="61">
        <f t="shared" si="654"/>
        <v>4.0018053257108459</v>
      </c>
      <c r="CL733" s="61">
        <f t="shared" si="654"/>
        <v>4.0018053257108459</v>
      </c>
      <c r="CM733" s="61">
        <f t="shared" si="654"/>
        <v>4.0018053257108459</v>
      </c>
      <c r="CN733" s="61">
        <f t="shared" si="654"/>
        <v>4.0018053257108459</v>
      </c>
      <c r="CO733" s="61">
        <f t="shared" si="654"/>
        <v>0</v>
      </c>
      <c r="CP733" s="61">
        <f t="shared" si="654"/>
        <v>0</v>
      </c>
      <c r="CQ733" s="61">
        <f t="shared" si="654"/>
        <v>4.0018053257108459</v>
      </c>
      <c r="CR733" s="61">
        <f t="shared" si="654"/>
        <v>0</v>
      </c>
      <c r="CS733" s="61">
        <f t="shared" si="656"/>
        <v>2.8812998345118093</v>
      </c>
      <c r="CT733" s="61">
        <f t="shared" si="657"/>
        <v>19.151999999999997</v>
      </c>
      <c r="CV733" s="61">
        <f t="shared" si="658"/>
        <v>0</v>
      </c>
      <c r="CW733" s="61">
        <f t="shared" si="659"/>
        <v>0</v>
      </c>
      <c r="CX733" s="61"/>
      <c r="CY733" s="61">
        <f t="shared" si="660"/>
        <v>0</v>
      </c>
      <c r="CZ733" s="61">
        <f t="shared" si="660"/>
        <v>0</v>
      </c>
      <c r="DA733" s="61">
        <f t="shared" si="660"/>
        <v>0</v>
      </c>
      <c r="DB733" s="2" t="s">
        <v>86</v>
      </c>
      <c r="DC733" s="2" t="s">
        <v>86</v>
      </c>
      <c r="DD733" s="2" t="s">
        <v>87</v>
      </c>
      <c r="DE733" s="2" t="s">
        <v>264</v>
      </c>
      <c r="DF733" s="3" t="s">
        <v>86</v>
      </c>
      <c r="DG733" s="62">
        <v>43076</v>
      </c>
      <c r="EC733" s="60" t="str">
        <f>VLOOKUP($M733,[1]Detail!$M:$BO,1,0)</f>
        <v>JX6G-6A949-HC</v>
      </c>
      <c r="ED733" s="60">
        <f>VLOOKUP($M733,[1]Detail!$M:$BO,22,0)</f>
        <v>-35.260000000000005</v>
      </c>
      <c r="EE733" s="60">
        <f>VLOOKUP($M733,[1]Detail!$M:$BO,42,0)</f>
        <v>0</v>
      </c>
      <c r="EF733" s="60">
        <f>VLOOKUP($M733,[1]Detail!$M:$BO,45,0)</f>
        <v>0</v>
      </c>
      <c r="EH733" s="60">
        <f t="shared" si="661"/>
        <v>0</v>
      </c>
      <c r="EI733" s="60">
        <f t="shared" si="662"/>
        <v>0</v>
      </c>
      <c r="EJ733" s="60">
        <f t="shared" si="663"/>
        <v>0</v>
      </c>
    </row>
    <row r="734" spans="2:140" ht="12.75" hidden="1" customHeight="1">
      <c r="B734" s="99" t="s">
        <v>1306</v>
      </c>
      <c r="C734" s="22" t="s">
        <v>679</v>
      </c>
      <c r="D734" s="22" t="s">
        <v>680</v>
      </c>
      <c r="E734" s="2" t="str">
        <f>VLOOKUP($C734,[1]Detail!$C:$AK,6,0)</f>
        <v>PMT1</v>
      </c>
      <c r="F734" s="2" t="str">
        <f>VLOOKUP($C734,[1]Detail!$C:$AK,7,0)</f>
        <v>TH</v>
      </c>
      <c r="G734" s="2" t="str">
        <f>VLOOKUP($C734,[1]Detail!$C:$AK,5,0)</f>
        <v>B</v>
      </c>
      <c r="J734" s="22" t="s">
        <v>138</v>
      </c>
      <c r="K734" s="23" t="s">
        <v>1307</v>
      </c>
      <c r="L734" s="22" t="s">
        <v>132</v>
      </c>
      <c r="M734" s="51" t="str">
        <f t="shared" si="628"/>
        <v>JD8B-F02824-AB</v>
      </c>
      <c r="O734" s="22">
        <v>1</v>
      </c>
      <c r="P734" s="22">
        <v>1</v>
      </c>
      <c r="Q734" s="22">
        <v>1</v>
      </c>
      <c r="R734" s="22">
        <v>1</v>
      </c>
      <c r="S734" s="22">
        <v>1</v>
      </c>
      <c r="T734" s="22">
        <v>1</v>
      </c>
      <c r="U734" s="22">
        <v>1</v>
      </c>
      <c r="V734" s="22">
        <v>1</v>
      </c>
      <c r="W734" s="64">
        <f t="shared" si="629"/>
        <v>1</v>
      </c>
      <c r="Y734" s="8">
        <v>-5.73</v>
      </c>
      <c r="Z734" s="8">
        <v>-0.25</v>
      </c>
      <c r="AA734" s="8">
        <v>-0.24</v>
      </c>
      <c r="AB734" s="8">
        <v>-0.02</v>
      </c>
      <c r="AC734" s="8">
        <v>0</v>
      </c>
      <c r="AD734" s="8">
        <f t="shared" si="567"/>
        <v>-6.24</v>
      </c>
      <c r="AE734" s="2" t="s">
        <v>84</v>
      </c>
      <c r="AG734" s="8">
        <v>-60000</v>
      </c>
      <c r="AH734" s="8">
        <v>-60000</v>
      </c>
      <c r="AJ734" s="70"/>
      <c r="AK734" s="70"/>
      <c r="AL734" s="72"/>
      <c r="AM734" s="22"/>
      <c r="AO734" s="22" t="s">
        <v>138</v>
      </c>
      <c r="AP734" s="85" t="s">
        <v>1307</v>
      </c>
      <c r="AQ734" s="22" t="s">
        <v>100</v>
      </c>
      <c r="AR734" s="51" t="str">
        <f t="shared" si="630"/>
        <v>JD8B-F02824-AA</v>
      </c>
      <c r="AS734" s="3"/>
      <c r="AT734" s="22">
        <v>1</v>
      </c>
      <c r="AU734" s="22">
        <v>1</v>
      </c>
      <c r="AV734" s="22">
        <v>1</v>
      </c>
      <c r="AW734" s="22">
        <v>1</v>
      </c>
      <c r="AX734" s="22">
        <v>1</v>
      </c>
      <c r="AY734" s="22">
        <v>1</v>
      </c>
      <c r="AZ734" s="22">
        <v>1</v>
      </c>
      <c r="BA734" s="22">
        <v>1</v>
      </c>
      <c r="BB734" s="64">
        <f t="shared" si="631"/>
        <v>1</v>
      </c>
      <c r="BD734" s="8">
        <v>-5.73</v>
      </c>
      <c r="BE734" s="8">
        <v>-0.25</v>
      </c>
      <c r="BF734" s="8">
        <v>-0.24</v>
      </c>
      <c r="BG734" s="8">
        <v>-0.02</v>
      </c>
      <c r="BH734" s="8">
        <v>0</v>
      </c>
      <c r="BI734" s="8">
        <f t="shared" si="632"/>
        <v>-6.24</v>
      </c>
      <c r="BJ734" s="2" t="s">
        <v>84</v>
      </c>
      <c r="BL734" s="8">
        <v>-60000</v>
      </c>
      <c r="BM734" s="8">
        <v>-60000</v>
      </c>
      <c r="BO734" s="70"/>
      <c r="BP734" s="70"/>
      <c r="BQ734" s="72"/>
      <c r="BS734" s="61">
        <f t="shared" ref="BS734:BS797" si="664">SUM(Y734)-SUM(BD734)</f>
        <v>0</v>
      </c>
      <c r="BT734" s="61">
        <f t="shared" ref="BT734:BT797" si="665">SUM(Z734)-SUM(BE734)</f>
        <v>0</v>
      </c>
      <c r="BU734" s="61">
        <f t="shared" ref="BU734:BX797" si="666">SUM(AA734)-SUM(BF734)</f>
        <v>0</v>
      </c>
      <c r="BV734" s="61">
        <f t="shared" si="666"/>
        <v>0</v>
      </c>
      <c r="BW734" s="61">
        <f t="shared" si="666"/>
        <v>0</v>
      </c>
      <c r="BX734" s="61">
        <f t="shared" si="666"/>
        <v>0</v>
      </c>
      <c r="BY734" s="61" t="s">
        <v>91</v>
      </c>
      <c r="CA734" s="61">
        <f t="shared" si="653"/>
        <v>0</v>
      </c>
      <c r="CB734" s="61">
        <f t="shared" si="653"/>
        <v>0</v>
      </c>
      <c r="CC734" s="61">
        <f t="shared" si="653"/>
        <v>0</v>
      </c>
      <c r="CD734" s="61">
        <f t="shared" si="653"/>
        <v>0</v>
      </c>
      <c r="CE734" s="61">
        <f t="shared" si="653"/>
        <v>0</v>
      </c>
      <c r="CF734" s="61">
        <f t="shared" si="653"/>
        <v>0</v>
      </c>
      <c r="CG734" s="61">
        <f t="shared" si="653"/>
        <v>0</v>
      </c>
      <c r="CH734" s="61">
        <f t="shared" si="653"/>
        <v>0</v>
      </c>
      <c r="CI734" s="61">
        <f t="shared" si="655"/>
        <v>0</v>
      </c>
      <c r="CJ734" s="61"/>
      <c r="CK734" s="61">
        <f t="shared" si="654"/>
        <v>0</v>
      </c>
      <c r="CL734" s="61">
        <f t="shared" si="654"/>
        <v>0</v>
      </c>
      <c r="CM734" s="61">
        <f t="shared" si="654"/>
        <v>0</v>
      </c>
      <c r="CN734" s="61">
        <f t="shared" si="654"/>
        <v>0</v>
      </c>
      <c r="CO734" s="61">
        <f t="shared" si="654"/>
        <v>0</v>
      </c>
      <c r="CP734" s="61">
        <f t="shared" si="654"/>
        <v>0</v>
      </c>
      <c r="CQ734" s="61">
        <f t="shared" si="654"/>
        <v>0</v>
      </c>
      <c r="CR734" s="61">
        <f t="shared" si="654"/>
        <v>0</v>
      </c>
      <c r="CS734" s="61">
        <f t="shared" si="656"/>
        <v>0</v>
      </c>
      <c r="CT734" s="61">
        <f t="shared" si="657"/>
        <v>0</v>
      </c>
      <c r="CV734" s="61">
        <f t="shared" si="658"/>
        <v>0</v>
      </c>
      <c r="CW734" s="61">
        <f t="shared" si="659"/>
        <v>0</v>
      </c>
      <c r="CX734" s="61"/>
      <c r="CY734" s="61">
        <f t="shared" si="660"/>
        <v>0</v>
      </c>
      <c r="CZ734" s="61">
        <f t="shared" si="660"/>
        <v>0</v>
      </c>
      <c r="DA734" s="61">
        <f t="shared" si="660"/>
        <v>0</v>
      </c>
      <c r="DB734" s="2" t="s">
        <v>85</v>
      </c>
      <c r="DC734" s="2" t="s">
        <v>102</v>
      </c>
      <c r="DD734" s="2" t="s">
        <v>142</v>
      </c>
      <c r="DE734" s="2" t="s">
        <v>264</v>
      </c>
      <c r="DF734" s="3" t="s">
        <v>86</v>
      </c>
      <c r="DG734" s="62">
        <v>43076</v>
      </c>
      <c r="EC734" s="60"/>
      <c r="ED734" s="60"/>
      <c r="EE734" s="60"/>
      <c r="EF734" s="60"/>
    </row>
    <row r="735" spans="2:140" ht="12.75" hidden="1" customHeight="1">
      <c r="B735" s="99" t="s">
        <v>1308</v>
      </c>
      <c r="C735" s="22" t="s">
        <v>679</v>
      </c>
      <c r="D735" s="22" t="s">
        <v>680</v>
      </c>
      <c r="E735" s="2" t="str">
        <f>VLOOKUP($C735,[1]Detail!$C:$AK,6,0)</f>
        <v>PMT1</v>
      </c>
      <c r="F735" s="2" t="str">
        <f>VLOOKUP($C735,[1]Detail!$C:$AK,7,0)</f>
        <v>TH</v>
      </c>
      <c r="G735" s="2" t="str">
        <f>VLOOKUP($C735,[1]Detail!$C:$AK,5,0)</f>
        <v>B</v>
      </c>
      <c r="J735" s="149" t="s">
        <v>126</v>
      </c>
      <c r="K735" s="23" t="s">
        <v>1309</v>
      </c>
      <c r="L735" s="149" t="s">
        <v>234</v>
      </c>
      <c r="M735" s="51" t="str">
        <f t="shared" si="628"/>
        <v>JD8B-F02824-AC</v>
      </c>
      <c r="O735" s="22">
        <v>1</v>
      </c>
      <c r="P735" s="22">
        <v>1</v>
      </c>
      <c r="Q735" s="22">
        <v>1</v>
      </c>
      <c r="R735" s="22">
        <v>1</v>
      </c>
      <c r="S735" s="22">
        <v>1</v>
      </c>
      <c r="T735" s="22">
        <v>1</v>
      </c>
      <c r="U735" s="22">
        <v>1</v>
      </c>
      <c r="V735" s="22">
        <v>1</v>
      </c>
      <c r="W735" s="64">
        <f t="shared" si="629"/>
        <v>1</v>
      </c>
      <c r="Y735" s="8">
        <v>-5.73</v>
      </c>
      <c r="Z735" s="8">
        <v>-0.25</v>
      </c>
      <c r="AA735" s="8">
        <v>-0.24</v>
      </c>
      <c r="AB735" s="8">
        <v>-0.02</v>
      </c>
      <c r="AC735" s="60"/>
      <c r="AD735" s="8">
        <f t="shared" si="567"/>
        <v>-6.24</v>
      </c>
      <c r="AE735" s="2" t="s">
        <v>84</v>
      </c>
      <c r="AG735" s="8">
        <v>-65000</v>
      </c>
      <c r="AH735" s="8">
        <v>-65000</v>
      </c>
      <c r="AI735" s="8"/>
      <c r="AJ735" s="8">
        <v>0</v>
      </c>
      <c r="AK735" s="8">
        <v>0</v>
      </c>
      <c r="AL735" s="72"/>
      <c r="AM735" s="22"/>
      <c r="AO735" s="22" t="s">
        <v>138</v>
      </c>
      <c r="AP735" s="85" t="s">
        <v>1307</v>
      </c>
      <c r="AQ735" s="22" t="s">
        <v>132</v>
      </c>
      <c r="AR735" s="51" t="str">
        <f t="shared" si="630"/>
        <v>JD8B-F02824-AB</v>
      </c>
      <c r="AS735" s="3"/>
      <c r="AT735" s="22">
        <v>1</v>
      </c>
      <c r="AU735" s="22">
        <v>1</v>
      </c>
      <c r="AV735" s="22">
        <v>1</v>
      </c>
      <c r="AW735" s="22">
        <v>1</v>
      </c>
      <c r="AX735" s="22">
        <v>1</v>
      </c>
      <c r="AY735" s="22">
        <v>1</v>
      </c>
      <c r="AZ735" s="22">
        <v>1</v>
      </c>
      <c r="BA735" s="22">
        <v>1</v>
      </c>
      <c r="BB735" s="64">
        <f t="shared" si="631"/>
        <v>1</v>
      </c>
      <c r="BD735" s="8">
        <v>-5.73</v>
      </c>
      <c r="BE735" s="8">
        <v>-0.25</v>
      </c>
      <c r="BF735" s="8">
        <v>-0.24</v>
      </c>
      <c r="BG735" s="8">
        <v>-0.02</v>
      </c>
      <c r="BH735" s="95"/>
      <c r="BI735" s="8">
        <f t="shared" si="632"/>
        <v>-6.24</v>
      </c>
      <c r="BJ735" s="2" t="s">
        <v>84</v>
      </c>
      <c r="BL735" s="8">
        <v>-60000</v>
      </c>
      <c r="BM735" s="8">
        <v>-60000</v>
      </c>
      <c r="BO735" s="70"/>
      <c r="BP735" s="70"/>
      <c r="BQ735" s="72"/>
      <c r="BS735" s="61">
        <f t="shared" si="664"/>
        <v>0</v>
      </c>
      <c r="BT735" s="61">
        <f t="shared" si="665"/>
        <v>0</v>
      </c>
      <c r="BU735" s="61">
        <f t="shared" si="666"/>
        <v>0</v>
      </c>
      <c r="BV735" s="61">
        <f t="shared" si="666"/>
        <v>0</v>
      </c>
      <c r="BW735" s="61">
        <f t="shared" si="666"/>
        <v>0</v>
      </c>
      <c r="BX735" s="61">
        <f t="shared" si="666"/>
        <v>0</v>
      </c>
      <c r="BY735" s="61" t="s">
        <v>91</v>
      </c>
      <c r="CA735" s="61">
        <f t="shared" si="653"/>
        <v>0</v>
      </c>
      <c r="CB735" s="61">
        <f t="shared" si="653"/>
        <v>0</v>
      </c>
      <c r="CC735" s="61">
        <f t="shared" si="653"/>
        <v>0</v>
      </c>
      <c r="CD735" s="61">
        <f t="shared" si="653"/>
        <v>0</v>
      </c>
      <c r="CE735" s="61">
        <f t="shared" si="653"/>
        <v>0</v>
      </c>
      <c r="CF735" s="61">
        <f t="shared" si="653"/>
        <v>0</v>
      </c>
      <c r="CG735" s="61">
        <f t="shared" si="653"/>
        <v>0</v>
      </c>
      <c r="CH735" s="61">
        <f t="shared" si="653"/>
        <v>0</v>
      </c>
      <c r="CI735" s="61">
        <f t="shared" si="655"/>
        <v>0</v>
      </c>
      <c r="CJ735" s="61"/>
      <c r="CK735" s="61">
        <f t="shared" si="654"/>
        <v>0</v>
      </c>
      <c r="CL735" s="61">
        <f t="shared" si="654"/>
        <v>0</v>
      </c>
      <c r="CM735" s="61">
        <f t="shared" si="654"/>
        <v>0</v>
      </c>
      <c r="CN735" s="61">
        <f t="shared" si="654"/>
        <v>0</v>
      </c>
      <c r="CO735" s="61">
        <f t="shared" si="654"/>
        <v>0</v>
      </c>
      <c r="CP735" s="61">
        <f t="shared" si="654"/>
        <v>0</v>
      </c>
      <c r="CQ735" s="61">
        <f t="shared" si="654"/>
        <v>0</v>
      </c>
      <c r="CR735" s="61">
        <f t="shared" si="654"/>
        <v>0</v>
      </c>
      <c r="CS735" s="61">
        <f t="shared" si="656"/>
        <v>0</v>
      </c>
      <c r="CT735" s="61">
        <f t="shared" si="657"/>
        <v>0</v>
      </c>
      <c r="CV735" s="61">
        <f t="shared" si="658"/>
        <v>-5000</v>
      </c>
      <c r="CW735" s="61">
        <f t="shared" si="659"/>
        <v>-5000</v>
      </c>
      <c r="CX735" s="61"/>
      <c r="CY735" s="61">
        <f t="shared" si="660"/>
        <v>0</v>
      </c>
      <c r="CZ735" s="61">
        <f t="shared" si="660"/>
        <v>0</v>
      </c>
      <c r="DA735" s="61">
        <f t="shared" si="660"/>
        <v>0</v>
      </c>
      <c r="DB735" s="2" t="s">
        <v>86</v>
      </c>
      <c r="DC735" s="2" t="s">
        <v>102</v>
      </c>
      <c r="DD735" s="2" t="s">
        <v>142</v>
      </c>
      <c r="DE735" s="2" t="s">
        <v>264</v>
      </c>
      <c r="DF735" s="3" t="s">
        <v>86</v>
      </c>
      <c r="DG735" s="62">
        <v>43076</v>
      </c>
      <c r="EC735" s="60" t="str">
        <f>VLOOKUP($M735,[1]Detail!$M:$BO,1,0)</f>
        <v>JD8B-F02824-AC</v>
      </c>
      <c r="ED735" s="60">
        <f>VLOOKUP($M735,[1]Detail!$M:$BO,22,0)</f>
        <v>-6.24</v>
      </c>
      <c r="EE735" s="60">
        <f>VLOOKUP($M735,[1]Detail!$M:$BO,42,0)</f>
        <v>-65000</v>
      </c>
      <c r="EF735" s="60">
        <f>VLOOKUP($M735,[1]Detail!$M:$BO,45,0)</f>
        <v>0</v>
      </c>
      <c r="EH735" s="60">
        <f>ED735-AD735</f>
        <v>0</v>
      </c>
      <c r="EI735" s="60">
        <f>EE735-AG735</f>
        <v>0</v>
      </c>
      <c r="EJ735" s="60">
        <f>EF735-AJ735</f>
        <v>0</v>
      </c>
    </row>
    <row r="736" spans="2:140" ht="12.75" hidden="1" customHeight="1">
      <c r="B736" s="99" t="s">
        <v>1310</v>
      </c>
      <c r="C736" s="22" t="s">
        <v>1230</v>
      </c>
      <c r="D736" s="22" t="s">
        <v>1231</v>
      </c>
      <c r="E736" s="2" t="s">
        <v>968</v>
      </c>
      <c r="F736" s="2" t="s">
        <v>969</v>
      </c>
      <c r="G736" s="2" t="s">
        <v>331</v>
      </c>
      <c r="J736" s="149" t="s">
        <v>126</v>
      </c>
      <c r="K736" s="23" t="s">
        <v>1232</v>
      </c>
      <c r="L736" s="149" t="s">
        <v>162</v>
      </c>
      <c r="M736" s="51" t="str">
        <f t="shared" si="628"/>
        <v>JD8B-13D154-AD</v>
      </c>
      <c r="O736" s="94">
        <v>0</v>
      </c>
      <c r="P736" s="94">
        <v>0</v>
      </c>
      <c r="Q736" s="94">
        <v>0</v>
      </c>
      <c r="R736" s="94">
        <v>0</v>
      </c>
      <c r="S736" s="94">
        <v>0</v>
      </c>
      <c r="T736" s="94">
        <v>0</v>
      </c>
      <c r="U736" s="94">
        <v>1</v>
      </c>
      <c r="V736" s="94">
        <v>1</v>
      </c>
      <c r="W736" s="64">
        <f t="shared" si="629"/>
        <v>0.1</v>
      </c>
      <c r="Y736" s="60">
        <v>-909.96</v>
      </c>
      <c r="Z736" s="60">
        <v>-7.59</v>
      </c>
      <c r="AA736" s="60">
        <v>-2.36</v>
      </c>
      <c r="AB736" s="8">
        <v>0</v>
      </c>
      <c r="AC736" s="8">
        <v>-3.99</v>
      </c>
      <c r="AD736" s="8">
        <f t="shared" si="567"/>
        <v>-923.90000000000009</v>
      </c>
      <c r="AE736" s="2" t="s">
        <v>84</v>
      </c>
      <c r="AG736" s="6">
        <v>-11253400</v>
      </c>
      <c r="AH736" s="6">
        <f>-10983400*0-11253400</f>
        <v>-11253400</v>
      </c>
      <c r="AJ736" s="71">
        <v>-458382.3</v>
      </c>
      <c r="AK736" s="71">
        <f>57489.9*2</f>
        <v>114979.8</v>
      </c>
      <c r="AL736" s="72"/>
      <c r="AM736" s="22"/>
      <c r="AO736" s="149" t="s">
        <v>126</v>
      </c>
      <c r="AP736" s="23" t="s">
        <v>1311</v>
      </c>
      <c r="AQ736" s="22" t="s">
        <v>234</v>
      </c>
      <c r="AR736" s="51" t="str">
        <f t="shared" si="630"/>
        <v>JD8B-13D154 -AC</v>
      </c>
      <c r="AS736" s="3"/>
      <c r="AT736" s="94">
        <v>0</v>
      </c>
      <c r="AU736" s="94">
        <v>0</v>
      </c>
      <c r="AV736" s="94">
        <v>0</v>
      </c>
      <c r="AW736" s="94">
        <v>0</v>
      </c>
      <c r="AX736" s="94">
        <v>0</v>
      </c>
      <c r="AY736" s="94">
        <v>0</v>
      </c>
      <c r="AZ736" s="94">
        <v>1</v>
      </c>
      <c r="BA736" s="94">
        <v>1</v>
      </c>
      <c r="BB736" s="64">
        <f t="shared" si="631"/>
        <v>0.1</v>
      </c>
      <c r="BD736" s="60">
        <v>-909.96</v>
      </c>
      <c r="BE736" s="60">
        <v>-7.59</v>
      </c>
      <c r="BF736" s="60">
        <v>-2.36</v>
      </c>
      <c r="BG736" s="8">
        <v>0</v>
      </c>
      <c r="BH736" s="8">
        <v>-3.99</v>
      </c>
      <c r="BI736" s="8">
        <f t="shared" si="632"/>
        <v>-923.90000000000009</v>
      </c>
      <c r="BJ736" s="2" t="s">
        <v>84</v>
      </c>
      <c r="BL736" s="8">
        <f>-10983400*0-11253400</f>
        <v>-11253400</v>
      </c>
      <c r="BM736" s="8">
        <f>-10983400*0-11253400</f>
        <v>-11253400</v>
      </c>
      <c r="BO736" s="71">
        <v>-458382.3</v>
      </c>
      <c r="BP736" s="71">
        <f>57489.9*2</f>
        <v>114979.8</v>
      </c>
      <c r="BQ736" s="72"/>
      <c r="BS736" s="61">
        <f t="shared" si="664"/>
        <v>0</v>
      </c>
      <c r="BT736" s="61">
        <f t="shared" si="665"/>
        <v>0</v>
      </c>
      <c r="BU736" s="61">
        <f t="shared" si="666"/>
        <v>0</v>
      </c>
      <c r="BV736" s="61">
        <f t="shared" si="666"/>
        <v>0</v>
      </c>
      <c r="BW736" s="61">
        <f t="shared" si="666"/>
        <v>0</v>
      </c>
      <c r="BX736" s="61">
        <f t="shared" si="666"/>
        <v>0</v>
      </c>
      <c r="BY736" s="61" t="s">
        <v>91</v>
      </c>
      <c r="CA736" s="61">
        <f t="shared" si="653"/>
        <v>0</v>
      </c>
      <c r="CB736" s="61">
        <f t="shared" si="653"/>
        <v>0</v>
      </c>
      <c r="CC736" s="61">
        <f t="shared" si="653"/>
        <v>0</v>
      </c>
      <c r="CD736" s="61">
        <f t="shared" si="653"/>
        <v>0</v>
      </c>
      <c r="CE736" s="61">
        <f t="shared" si="653"/>
        <v>0</v>
      </c>
      <c r="CF736" s="61">
        <f t="shared" si="653"/>
        <v>0</v>
      </c>
      <c r="CG736" s="61">
        <f t="shared" si="653"/>
        <v>0</v>
      </c>
      <c r="CH736" s="61">
        <f t="shared" si="653"/>
        <v>0</v>
      </c>
      <c r="CI736" s="61">
        <f t="shared" si="655"/>
        <v>0</v>
      </c>
      <c r="CJ736" s="61"/>
      <c r="CK736" s="61">
        <f t="shared" si="654"/>
        <v>0</v>
      </c>
      <c r="CL736" s="61">
        <f t="shared" si="654"/>
        <v>0</v>
      </c>
      <c r="CM736" s="61">
        <f t="shared" si="654"/>
        <v>0</v>
      </c>
      <c r="CN736" s="61">
        <f t="shared" si="654"/>
        <v>0</v>
      </c>
      <c r="CO736" s="61">
        <f t="shared" si="654"/>
        <v>0</v>
      </c>
      <c r="CP736" s="61">
        <f t="shared" si="654"/>
        <v>0</v>
      </c>
      <c r="CQ736" s="61">
        <f t="shared" si="654"/>
        <v>0</v>
      </c>
      <c r="CR736" s="61">
        <f t="shared" si="654"/>
        <v>0</v>
      </c>
      <c r="CS736" s="61">
        <f t="shared" si="656"/>
        <v>0</v>
      </c>
      <c r="CT736" s="61">
        <f t="shared" si="657"/>
        <v>0</v>
      </c>
      <c r="CV736" s="61">
        <f t="shared" si="658"/>
        <v>0</v>
      </c>
      <c r="CW736" s="61">
        <f t="shared" si="659"/>
        <v>0</v>
      </c>
      <c r="CX736" s="61"/>
      <c r="CY736" s="61">
        <f t="shared" si="660"/>
        <v>0</v>
      </c>
      <c r="CZ736" s="61">
        <f t="shared" si="660"/>
        <v>0</v>
      </c>
      <c r="DA736" s="61">
        <f t="shared" si="660"/>
        <v>0</v>
      </c>
      <c r="DB736" s="2" t="s">
        <v>85</v>
      </c>
      <c r="DC736" s="2" t="s">
        <v>85</v>
      </c>
      <c r="DD736" s="2" t="s">
        <v>142</v>
      </c>
      <c r="DE736" s="2" t="s">
        <v>264</v>
      </c>
      <c r="DG736" s="62"/>
      <c r="DZ736" s="3" t="e">
        <v>#N/A</v>
      </c>
      <c r="EC736" s="60"/>
      <c r="ED736" s="60"/>
      <c r="EE736" s="60"/>
      <c r="EF736" s="60"/>
    </row>
    <row r="737" spans="2:140" ht="12.75" hidden="1" customHeight="1">
      <c r="B737" s="99" t="s">
        <v>1312</v>
      </c>
      <c r="C737" s="22" t="s">
        <v>1230</v>
      </c>
      <c r="D737" s="22" t="s">
        <v>1231</v>
      </c>
      <c r="E737" s="2" t="s">
        <v>968</v>
      </c>
      <c r="F737" s="2" t="s">
        <v>969</v>
      </c>
      <c r="G737" s="2" t="s">
        <v>331</v>
      </c>
      <c r="J737" s="149" t="s">
        <v>126</v>
      </c>
      <c r="K737" s="23" t="s">
        <v>1232</v>
      </c>
      <c r="L737" s="149" t="s">
        <v>129</v>
      </c>
      <c r="M737" s="51" t="str">
        <f t="shared" si="628"/>
        <v>JD8B-13D154-AE</v>
      </c>
      <c r="O737" s="94">
        <v>0</v>
      </c>
      <c r="P737" s="94">
        <v>0</v>
      </c>
      <c r="Q737" s="94">
        <v>0</v>
      </c>
      <c r="R737" s="94">
        <v>0</v>
      </c>
      <c r="S737" s="94">
        <v>0</v>
      </c>
      <c r="T737" s="94">
        <v>0</v>
      </c>
      <c r="U737" s="94">
        <v>1</v>
      </c>
      <c r="V737" s="94">
        <v>1</v>
      </c>
      <c r="W737" s="64">
        <f t="shared" si="629"/>
        <v>0.1</v>
      </c>
      <c r="Y737" s="60">
        <f>-909.96</f>
        <v>-909.96</v>
      </c>
      <c r="Z737" s="60">
        <v>-7.59</v>
      </c>
      <c r="AA737" s="60">
        <v>-2.36</v>
      </c>
      <c r="AB737" s="8">
        <v>0</v>
      </c>
      <c r="AC737" s="8">
        <v>-3.99</v>
      </c>
      <c r="AD737" s="8">
        <f t="shared" ref="AD737" si="667">SUM(Y737:AC737)</f>
        <v>-923.90000000000009</v>
      </c>
      <c r="AE737" s="2" t="s">
        <v>84</v>
      </c>
      <c r="AG737" s="6">
        <f>-11253400-27367</f>
        <v>-11280767</v>
      </c>
      <c r="AH737" s="6">
        <f>-11253400-27367</f>
        <v>-11280767</v>
      </c>
      <c r="AJ737" s="71">
        <v>-458382.3</v>
      </c>
      <c r="AK737" s="71">
        <f>57489.9*2</f>
        <v>114979.8</v>
      </c>
      <c r="AL737" s="72"/>
      <c r="AM737" s="22"/>
      <c r="AO737" s="149" t="s">
        <v>126</v>
      </c>
      <c r="AP737" s="23" t="s">
        <v>1311</v>
      </c>
      <c r="AQ737" s="22" t="s">
        <v>162</v>
      </c>
      <c r="AR737" s="51" t="str">
        <f t="shared" si="630"/>
        <v>JD8B-13D154 -AD</v>
      </c>
      <c r="AS737" s="3"/>
      <c r="AT737" s="94">
        <v>0</v>
      </c>
      <c r="AU737" s="94">
        <v>0</v>
      </c>
      <c r="AV737" s="94">
        <v>0</v>
      </c>
      <c r="AW737" s="94">
        <v>0</v>
      </c>
      <c r="AX737" s="94">
        <v>0</v>
      </c>
      <c r="AY737" s="94">
        <v>0</v>
      </c>
      <c r="AZ737" s="94">
        <v>1</v>
      </c>
      <c r="BA737" s="94">
        <v>1</v>
      </c>
      <c r="BB737" s="64">
        <f t="shared" si="631"/>
        <v>0.1</v>
      </c>
      <c r="BD737" s="60">
        <v>-909.96</v>
      </c>
      <c r="BE737" s="60">
        <v>-7.59</v>
      </c>
      <c r="BF737" s="60">
        <v>-2.36</v>
      </c>
      <c r="BG737" s="8">
        <v>0</v>
      </c>
      <c r="BH737" s="8">
        <v>-3.99</v>
      </c>
      <c r="BI737" s="8">
        <f t="shared" ref="BI737:BI740" si="668">SUM(BD737:BH737)</f>
        <v>-923.90000000000009</v>
      </c>
      <c r="BJ737" s="2" t="s">
        <v>84</v>
      </c>
      <c r="BL737" s="8">
        <f>-10983400*0-11253400</f>
        <v>-11253400</v>
      </c>
      <c r="BM737" s="8">
        <f>-10983400*0-11253400</f>
        <v>-11253400</v>
      </c>
      <c r="BO737" s="71">
        <v>-458382.3</v>
      </c>
      <c r="BP737" s="71">
        <f>57489.9*2</f>
        <v>114979.8</v>
      </c>
      <c r="BQ737" s="72"/>
      <c r="BS737" s="61">
        <f t="shared" si="664"/>
        <v>0</v>
      </c>
      <c r="BT737" s="61">
        <f t="shared" si="665"/>
        <v>0</v>
      </c>
      <c r="BU737" s="61">
        <f t="shared" si="666"/>
        <v>0</v>
      </c>
      <c r="BV737" s="61">
        <f t="shared" si="666"/>
        <v>0</v>
      </c>
      <c r="BW737" s="61">
        <f t="shared" si="666"/>
        <v>0</v>
      </c>
      <c r="BX737" s="61">
        <f t="shared" si="666"/>
        <v>0</v>
      </c>
      <c r="BY737" s="61" t="s">
        <v>91</v>
      </c>
      <c r="CA737" s="61">
        <f t="shared" si="653"/>
        <v>0</v>
      </c>
      <c r="CB737" s="61">
        <f t="shared" si="653"/>
        <v>0</v>
      </c>
      <c r="CC737" s="61">
        <f t="shared" si="653"/>
        <v>0</v>
      </c>
      <c r="CD737" s="61">
        <f t="shared" si="653"/>
        <v>0</v>
      </c>
      <c r="CE737" s="61">
        <f t="shared" si="653"/>
        <v>0</v>
      </c>
      <c r="CF737" s="61">
        <f t="shared" si="653"/>
        <v>0</v>
      </c>
      <c r="CG737" s="61">
        <f t="shared" si="653"/>
        <v>0</v>
      </c>
      <c r="CH737" s="61">
        <f t="shared" si="653"/>
        <v>0</v>
      </c>
      <c r="CI737" s="61">
        <f t="shared" si="655"/>
        <v>0</v>
      </c>
      <c r="CJ737" s="61"/>
      <c r="CK737" s="61">
        <f t="shared" si="654"/>
        <v>0</v>
      </c>
      <c r="CL737" s="61">
        <f t="shared" si="654"/>
        <v>0</v>
      </c>
      <c r="CM737" s="61">
        <f t="shared" si="654"/>
        <v>0</v>
      </c>
      <c r="CN737" s="61">
        <f t="shared" si="654"/>
        <v>0</v>
      </c>
      <c r="CO737" s="61">
        <f t="shared" si="654"/>
        <v>0</v>
      </c>
      <c r="CP737" s="61">
        <f t="shared" si="654"/>
        <v>0</v>
      </c>
      <c r="CQ737" s="61">
        <f t="shared" si="654"/>
        <v>0</v>
      </c>
      <c r="CR737" s="61">
        <f t="shared" si="654"/>
        <v>0</v>
      </c>
      <c r="CS737" s="61">
        <f t="shared" si="656"/>
        <v>0</v>
      </c>
      <c r="CT737" s="61">
        <f t="shared" si="657"/>
        <v>0</v>
      </c>
      <c r="CV737" s="61">
        <f t="shared" ref="CV737" si="669">SUM(AG737)-SUM(BL737)</f>
        <v>-27367</v>
      </c>
      <c r="CW737" s="61">
        <f t="shared" si="659"/>
        <v>-27367</v>
      </c>
      <c r="CX737" s="61"/>
      <c r="CY737" s="61">
        <f t="shared" si="660"/>
        <v>0</v>
      </c>
      <c r="CZ737" s="61">
        <f t="shared" si="660"/>
        <v>0</v>
      </c>
      <c r="DA737" s="61">
        <f t="shared" si="660"/>
        <v>0</v>
      </c>
      <c r="DB737" s="2" t="s">
        <v>85</v>
      </c>
      <c r="DC737" s="2" t="s">
        <v>85</v>
      </c>
      <c r="DD737" s="2" t="s">
        <v>142</v>
      </c>
      <c r="DE737" s="2" t="s">
        <v>106</v>
      </c>
      <c r="DF737" s="2" t="s">
        <v>102</v>
      </c>
      <c r="DG737" s="62">
        <v>43129</v>
      </c>
      <c r="EC737" s="60"/>
      <c r="ED737" s="60"/>
      <c r="EE737" s="60"/>
      <c r="EF737" s="60"/>
    </row>
    <row r="738" spans="2:140" ht="12.75" hidden="1" customHeight="1">
      <c r="B738" s="99" t="s">
        <v>1312</v>
      </c>
      <c r="C738" s="22" t="s">
        <v>1230</v>
      </c>
      <c r="D738" s="22" t="s">
        <v>1231</v>
      </c>
      <c r="E738" s="2" t="s">
        <v>968</v>
      </c>
      <c r="F738" s="2" t="s">
        <v>969</v>
      </c>
      <c r="G738" s="2" t="s">
        <v>331</v>
      </c>
      <c r="J738" s="149" t="s">
        <v>126</v>
      </c>
      <c r="K738" s="23" t="s">
        <v>1234</v>
      </c>
      <c r="L738" s="149" t="s">
        <v>129</v>
      </c>
      <c r="M738" s="51" t="str">
        <f t="shared" si="628"/>
        <v>JD8B-13D155-AE</v>
      </c>
      <c r="O738" s="94">
        <v>0</v>
      </c>
      <c r="P738" s="94">
        <v>0</v>
      </c>
      <c r="Q738" s="94">
        <v>0</v>
      </c>
      <c r="R738" s="94">
        <v>0</v>
      </c>
      <c r="S738" s="94">
        <v>0</v>
      </c>
      <c r="T738" s="94">
        <v>0</v>
      </c>
      <c r="U738" s="94">
        <v>1</v>
      </c>
      <c r="V738" s="94">
        <v>1</v>
      </c>
      <c r="W738" s="64">
        <f t="shared" si="629"/>
        <v>0.1</v>
      </c>
      <c r="Y738" s="60">
        <f>-909.96</f>
        <v>-909.96</v>
      </c>
      <c r="Z738" s="60">
        <v>-7.59</v>
      </c>
      <c r="AA738" s="60">
        <v>-2.36</v>
      </c>
      <c r="AB738" s="8">
        <v>0</v>
      </c>
      <c r="AC738" s="8">
        <v>-3.99</v>
      </c>
      <c r="AD738" s="8">
        <f t="shared" ref="AD738:AD739" si="670">SUM(Y738:AC738)</f>
        <v>-923.90000000000009</v>
      </c>
      <c r="AE738" s="2" t="s">
        <v>84</v>
      </c>
      <c r="AG738" s="8">
        <v>0</v>
      </c>
      <c r="AH738" s="8">
        <v>0</v>
      </c>
      <c r="AJ738" s="71" t="s">
        <v>643</v>
      </c>
      <c r="AK738" s="71"/>
      <c r="AL738" s="72"/>
      <c r="AM738" s="22"/>
      <c r="AO738" s="149" t="s">
        <v>126</v>
      </c>
      <c r="AP738" s="23" t="s">
        <v>1313</v>
      </c>
      <c r="AQ738" s="22" t="s">
        <v>162</v>
      </c>
      <c r="AR738" s="51" t="str">
        <f t="shared" si="630"/>
        <v>JD8B-13D155 -AD</v>
      </c>
      <c r="AS738" s="3"/>
      <c r="AT738" s="94">
        <v>0</v>
      </c>
      <c r="AU738" s="94">
        <v>0</v>
      </c>
      <c r="AV738" s="94">
        <v>0</v>
      </c>
      <c r="AW738" s="94">
        <v>0</v>
      </c>
      <c r="AX738" s="94">
        <v>0</v>
      </c>
      <c r="AY738" s="94">
        <v>0</v>
      </c>
      <c r="AZ738" s="94">
        <v>1</v>
      </c>
      <c r="BA738" s="94">
        <v>1</v>
      </c>
      <c r="BB738" s="64">
        <f t="shared" si="631"/>
        <v>0.1</v>
      </c>
      <c r="BD738" s="60">
        <v>-909.96</v>
      </c>
      <c r="BE738" s="60">
        <v>-7.59</v>
      </c>
      <c r="BF738" s="60">
        <v>-2.36</v>
      </c>
      <c r="BG738" s="8">
        <v>0</v>
      </c>
      <c r="BH738" s="8">
        <v>-3.99</v>
      </c>
      <c r="BI738" s="8">
        <f t="shared" si="668"/>
        <v>-923.90000000000009</v>
      </c>
      <c r="BJ738" s="2" t="s">
        <v>84</v>
      </c>
      <c r="BL738" s="8">
        <v>0</v>
      </c>
      <c r="BM738" s="8">
        <v>0</v>
      </c>
      <c r="BO738" s="71" t="s">
        <v>643</v>
      </c>
      <c r="BP738" s="71"/>
      <c r="BQ738" s="72"/>
      <c r="BS738" s="61">
        <f t="shared" si="664"/>
        <v>0</v>
      </c>
      <c r="BT738" s="61">
        <f t="shared" si="665"/>
        <v>0</v>
      </c>
      <c r="BU738" s="61">
        <f t="shared" si="666"/>
        <v>0</v>
      </c>
      <c r="BV738" s="61">
        <f t="shared" si="666"/>
        <v>0</v>
      </c>
      <c r="BW738" s="61">
        <f t="shared" si="666"/>
        <v>0</v>
      </c>
      <c r="BX738" s="61">
        <f t="shared" si="666"/>
        <v>0</v>
      </c>
      <c r="BY738" s="61" t="s">
        <v>91</v>
      </c>
      <c r="CA738" s="61">
        <f t="shared" si="653"/>
        <v>0</v>
      </c>
      <c r="CB738" s="61">
        <f t="shared" si="653"/>
        <v>0</v>
      </c>
      <c r="CC738" s="61">
        <f t="shared" si="653"/>
        <v>0</v>
      </c>
      <c r="CD738" s="61">
        <f t="shared" si="653"/>
        <v>0</v>
      </c>
      <c r="CE738" s="61">
        <f t="shared" si="653"/>
        <v>0</v>
      </c>
      <c r="CF738" s="61">
        <f t="shared" si="653"/>
        <v>0</v>
      </c>
      <c r="CG738" s="61">
        <f t="shared" si="653"/>
        <v>0</v>
      </c>
      <c r="CH738" s="61">
        <f t="shared" si="653"/>
        <v>0</v>
      </c>
      <c r="CI738" s="61">
        <f t="shared" si="655"/>
        <v>0</v>
      </c>
      <c r="CJ738" s="61"/>
      <c r="CK738" s="61">
        <f t="shared" si="654"/>
        <v>0</v>
      </c>
      <c r="CL738" s="61">
        <f t="shared" si="654"/>
        <v>0</v>
      </c>
      <c r="CM738" s="61">
        <f t="shared" si="654"/>
        <v>0</v>
      </c>
      <c r="CN738" s="61">
        <f t="shared" si="654"/>
        <v>0</v>
      </c>
      <c r="CO738" s="61">
        <f t="shared" si="654"/>
        <v>0</v>
      </c>
      <c r="CP738" s="61">
        <f t="shared" si="654"/>
        <v>0</v>
      </c>
      <c r="CQ738" s="61">
        <f t="shared" si="654"/>
        <v>0</v>
      </c>
      <c r="CR738" s="61">
        <f t="shared" si="654"/>
        <v>0</v>
      </c>
      <c r="CS738" s="61">
        <f t="shared" si="656"/>
        <v>0</v>
      </c>
      <c r="CT738" s="61">
        <f t="shared" si="657"/>
        <v>0</v>
      </c>
      <c r="CV738" s="61">
        <f t="shared" ref="CV738:CV739" si="671">SUM(AG738)-SUM(BL738)</f>
        <v>0</v>
      </c>
      <c r="CW738" s="61">
        <f t="shared" ref="CW738:CW740" si="672">SUM(AH738)-SUM(BM738)</f>
        <v>0</v>
      </c>
      <c r="CX738" s="61"/>
      <c r="CY738" s="61">
        <f t="shared" si="660"/>
        <v>0</v>
      </c>
      <c r="CZ738" s="61">
        <f t="shared" si="660"/>
        <v>0</v>
      </c>
      <c r="DA738" s="61">
        <f t="shared" si="660"/>
        <v>0</v>
      </c>
      <c r="DB738" s="2" t="s">
        <v>85</v>
      </c>
      <c r="DC738" s="2" t="s">
        <v>85</v>
      </c>
      <c r="DD738" s="2" t="s">
        <v>142</v>
      </c>
      <c r="DE738" s="2" t="s">
        <v>106</v>
      </c>
      <c r="DF738" s="2" t="s">
        <v>86</v>
      </c>
      <c r="DG738" s="62">
        <v>43129</v>
      </c>
      <c r="EC738" s="60"/>
      <c r="ED738" s="60"/>
      <c r="EE738" s="60"/>
      <c r="EF738" s="60"/>
    </row>
    <row r="739" spans="2:140" ht="12.75" hidden="1" customHeight="1">
      <c r="B739" s="99" t="s">
        <v>1314</v>
      </c>
      <c r="C739" s="22" t="s">
        <v>1230</v>
      </c>
      <c r="D739" s="22" t="s">
        <v>1231</v>
      </c>
      <c r="E739" s="2" t="s">
        <v>968</v>
      </c>
      <c r="F739" s="2" t="s">
        <v>969</v>
      </c>
      <c r="G739" s="2" t="s">
        <v>331</v>
      </c>
      <c r="J739" s="149" t="s">
        <v>126</v>
      </c>
      <c r="K739" s="23" t="s">
        <v>1232</v>
      </c>
      <c r="L739" s="149" t="s">
        <v>578</v>
      </c>
      <c r="M739" s="51" t="str">
        <f t="shared" si="628"/>
        <v>JD8B-13D154-AF</v>
      </c>
      <c r="O739" s="94">
        <v>0</v>
      </c>
      <c r="P739" s="94">
        <v>0</v>
      </c>
      <c r="Q739" s="94">
        <v>0</v>
      </c>
      <c r="R739" s="94">
        <v>0</v>
      </c>
      <c r="S739" s="94">
        <v>0</v>
      </c>
      <c r="T739" s="94">
        <v>0</v>
      </c>
      <c r="U739" s="94">
        <v>1</v>
      </c>
      <c r="V739" s="94">
        <v>1</v>
      </c>
      <c r="W739" s="64">
        <f t="shared" si="629"/>
        <v>0.1</v>
      </c>
      <c r="Y739" s="60">
        <f>-909.96</f>
        <v>-909.96</v>
      </c>
      <c r="Z739" s="60">
        <v>-7.59</v>
      </c>
      <c r="AA739" s="60">
        <v>-2.36</v>
      </c>
      <c r="AB739" s="8">
        <v>0</v>
      </c>
      <c r="AC739" s="8">
        <v>-3.99</v>
      </c>
      <c r="AD739" s="8">
        <f t="shared" si="670"/>
        <v>-923.90000000000009</v>
      </c>
      <c r="AE739" s="2" t="s">
        <v>84</v>
      </c>
      <c r="AG739" s="6">
        <f>-11253400-27367</f>
        <v>-11280767</v>
      </c>
      <c r="AH739" s="6">
        <f>-11253400-27367</f>
        <v>-11280767</v>
      </c>
      <c r="AJ739" s="71">
        <v>-458382.3</v>
      </c>
      <c r="AK739" s="71">
        <f>57489.9*2</f>
        <v>114979.8</v>
      </c>
      <c r="AL739" s="72"/>
      <c r="AM739" s="22"/>
      <c r="AO739" s="149" t="s">
        <v>126</v>
      </c>
      <c r="AP739" s="23" t="s">
        <v>1232</v>
      </c>
      <c r="AQ739" s="149" t="s">
        <v>129</v>
      </c>
      <c r="AR739" s="51" t="str">
        <f t="shared" si="630"/>
        <v>JD8B-13D154-AE</v>
      </c>
      <c r="AS739" s="3"/>
      <c r="AT739" s="94">
        <v>0</v>
      </c>
      <c r="AU739" s="94">
        <v>0</v>
      </c>
      <c r="AV739" s="94">
        <v>0</v>
      </c>
      <c r="AW739" s="94">
        <v>0</v>
      </c>
      <c r="AX739" s="94">
        <v>0</v>
      </c>
      <c r="AY739" s="94">
        <v>0</v>
      </c>
      <c r="AZ739" s="94">
        <v>1</v>
      </c>
      <c r="BA739" s="94">
        <v>1</v>
      </c>
      <c r="BB739" s="64">
        <f t="shared" si="631"/>
        <v>0.1</v>
      </c>
      <c r="BD739" s="60">
        <f>-909.96</f>
        <v>-909.96</v>
      </c>
      <c r="BE739" s="60">
        <v>-7.59</v>
      </c>
      <c r="BF739" s="60">
        <v>-2.36</v>
      </c>
      <c r="BG739" s="8">
        <v>0</v>
      </c>
      <c r="BH739" s="8">
        <v>-3.99</v>
      </c>
      <c r="BI739" s="8">
        <f t="shared" si="668"/>
        <v>-923.90000000000009</v>
      </c>
      <c r="BJ739" s="2" t="s">
        <v>84</v>
      </c>
      <c r="BL739" s="8">
        <f>-11253400-27367</f>
        <v>-11280767</v>
      </c>
      <c r="BM739" s="8">
        <f>-11253400-27367</f>
        <v>-11280767</v>
      </c>
      <c r="BO739" s="71">
        <v>-458382.3</v>
      </c>
      <c r="BP739" s="71">
        <f>57489.9*2</f>
        <v>114979.8</v>
      </c>
      <c r="BQ739" s="72"/>
      <c r="BS739" s="61">
        <f t="shared" si="664"/>
        <v>0</v>
      </c>
      <c r="BT739" s="61">
        <f t="shared" si="665"/>
        <v>0</v>
      </c>
      <c r="BU739" s="61">
        <f t="shared" si="666"/>
        <v>0</v>
      </c>
      <c r="BV739" s="61">
        <f t="shared" si="666"/>
        <v>0</v>
      </c>
      <c r="BW739" s="61">
        <f t="shared" si="666"/>
        <v>0</v>
      </c>
      <c r="BX739" s="61">
        <f t="shared" si="666"/>
        <v>0</v>
      </c>
      <c r="BY739" s="61" t="s">
        <v>91</v>
      </c>
      <c r="CA739" s="61">
        <f t="shared" si="653"/>
        <v>0</v>
      </c>
      <c r="CB739" s="61">
        <f t="shared" si="653"/>
        <v>0</v>
      </c>
      <c r="CC739" s="61">
        <f t="shared" si="653"/>
        <v>0</v>
      </c>
      <c r="CD739" s="61">
        <f t="shared" si="653"/>
        <v>0</v>
      </c>
      <c r="CE739" s="61">
        <f t="shared" si="653"/>
        <v>0</v>
      </c>
      <c r="CF739" s="61">
        <f t="shared" si="653"/>
        <v>0</v>
      </c>
      <c r="CG739" s="61">
        <f t="shared" si="653"/>
        <v>0</v>
      </c>
      <c r="CH739" s="61">
        <f t="shared" si="653"/>
        <v>0</v>
      </c>
      <c r="CI739" s="61">
        <f t="shared" si="655"/>
        <v>0</v>
      </c>
      <c r="CJ739" s="61"/>
      <c r="CK739" s="61">
        <f t="shared" si="654"/>
        <v>0</v>
      </c>
      <c r="CL739" s="61">
        <f t="shared" si="654"/>
        <v>0</v>
      </c>
      <c r="CM739" s="61">
        <f t="shared" si="654"/>
        <v>0</v>
      </c>
      <c r="CN739" s="61">
        <f t="shared" si="654"/>
        <v>0</v>
      </c>
      <c r="CO739" s="61">
        <f t="shared" si="654"/>
        <v>0</v>
      </c>
      <c r="CP739" s="61">
        <f t="shared" si="654"/>
        <v>0</v>
      </c>
      <c r="CQ739" s="61">
        <f t="shared" si="654"/>
        <v>0</v>
      </c>
      <c r="CR739" s="61">
        <f t="shared" si="654"/>
        <v>0</v>
      </c>
      <c r="CS739" s="61">
        <f t="shared" si="656"/>
        <v>0</v>
      </c>
      <c r="CT739" s="61">
        <f t="shared" si="657"/>
        <v>0</v>
      </c>
      <c r="CV739" s="61">
        <f t="shared" si="671"/>
        <v>0</v>
      </c>
      <c r="CW739" s="61">
        <f t="shared" si="672"/>
        <v>0</v>
      </c>
      <c r="CX739" s="61"/>
      <c r="CY739" s="61">
        <f t="shared" si="660"/>
        <v>0</v>
      </c>
      <c r="CZ739" s="61">
        <f t="shared" si="660"/>
        <v>0</v>
      </c>
      <c r="DA739" s="61">
        <f t="shared" si="660"/>
        <v>0</v>
      </c>
      <c r="DB739" s="2" t="s">
        <v>86</v>
      </c>
      <c r="DC739" s="2" t="s">
        <v>85</v>
      </c>
      <c r="DD739" s="2" t="s">
        <v>142</v>
      </c>
      <c r="DE739" s="2" t="s">
        <v>106</v>
      </c>
      <c r="DF739" s="3" t="s">
        <v>86</v>
      </c>
      <c r="DG739" s="62">
        <v>43138</v>
      </c>
      <c r="EC739" s="60" t="str">
        <f>VLOOKUP($M739,[1]Detail!$M:$BO,1,0)</f>
        <v>JD8B-13D154-AF</v>
      </c>
      <c r="ED739" s="60">
        <f>VLOOKUP($M739,[1]Detail!$M:$BO,22,0)</f>
        <v>-923.90000000000009</v>
      </c>
      <c r="EE739" s="155">
        <f>VLOOKUP($M739,[1]Detail!$M:$BO,42,0)</f>
        <v>-11280767</v>
      </c>
      <c r="EF739" s="60">
        <f>VLOOKUP($M739,[1]Detail!$M:$BO,45,0)</f>
        <v>-458382.3</v>
      </c>
      <c r="EH739" s="60">
        <f t="shared" ref="EH739:EH740" si="673">ED739-AD739</f>
        <v>0</v>
      </c>
      <c r="EI739" s="60">
        <f t="shared" ref="EI739:EI740" si="674">EE739-AG739</f>
        <v>0</v>
      </c>
      <c r="EJ739" s="60">
        <f t="shared" ref="EJ739" si="675">EF739-AJ739</f>
        <v>0</v>
      </c>
    </row>
    <row r="740" spans="2:140" ht="12.75" hidden="1" customHeight="1">
      <c r="B740" s="99" t="s">
        <v>1314</v>
      </c>
      <c r="C740" s="22" t="s">
        <v>1230</v>
      </c>
      <c r="D740" s="22" t="s">
        <v>1231</v>
      </c>
      <c r="E740" s="2" t="s">
        <v>968</v>
      </c>
      <c r="F740" s="2" t="s">
        <v>969</v>
      </c>
      <c r="G740" s="2" t="s">
        <v>331</v>
      </c>
      <c r="J740" s="149" t="s">
        <v>126</v>
      </c>
      <c r="K740" s="23" t="s">
        <v>1234</v>
      </c>
      <c r="L740" s="149" t="s">
        <v>578</v>
      </c>
      <c r="M740" s="51" t="str">
        <f t="shared" si="628"/>
        <v>JD8B-13D155-AF</v>
      </c>
      <c r="O740" s="94">
        <v>0</v>
      </c>
      <c r="P740" s="94">
        <v>0</v>
      </c>
      <c r="Q740" s="94">
        <v>0</v>
      </c>
      <c r="R740" s="94">
        <v>0</v>
      </c>
      <c r="S740" s="94">
        <v>0</v>
      </c>
      <c r="T740" s="94">
        <v>0</v>
      </c>
      <c r="U740" s="94">
        <v>1</v>
      </c>
      <c r="V740" s="94">
        <v>1</v>
      </c>
      <c r="W740" s="64">
        <f t="shared" si="629"/>
        <v>0.1</v>
      </c>
      <c r="Y740" s="60">
        <f>-909.96</f>
        <v>-909.96</v>
      </c>
      <c r="Z740" s="60">
        <v>-7.59</v>
      </c>
      <c r="AA740" s="60">
        <v>-2.36</v>
      </c>
      <c r="AB740" s="8">
        <v>0</v>
      </c>
      <c r="AC740" s="8">
        <v>-3.99</v>
      </c>
      <c r="AD740" s="8">
        <f t="shared" ref="AD740" si="676">SUM(Y740:AC740)</f>
        <v>-923.90000000000009</v>
      </c>
      <c r="AE740" s="2" t="s">
        <v>84</v>
      </c>
      <c r="AG740" s="8">
        <v>0</v>
      </c>
      <c r="AH740" s="8">
        <v>0</v>
      </c>
      <c r="AJ740" s="71" t="s">
        <v>643</v>
      </c>
      <c r="AK740" s="71"/>
      <c r="AL740" s="72"/>
      <c r="AM740" s="22"/>
      <c r="AO740" s="149" t="s">
        <v>126</v>
      </c>
      <c r="AP740" s="23" t="s">
        <v>1234</v>
      </c>
      <c r="AQ740" s="149" t="s">
        <v>129</v>
      </c>
      <c r="AR740" s="51" t="str">
        <f t="shared" si="630"/>
        <v>JD8B-13D155-AE</v>
      </c>
      <c r="AS740" s="3"/>
      <c r="AT740" s="94">
        <v>0</v>
      </c>
      <c r="AU740" s="94">
        <v>0</v>
      </c>
      <c r="AV740" s="94">
        <v>0</v>
      </c>
      <c r="AW740" s="94">
        <v>0</v>
      </c>
      <c r="AX740" s="94">
        <v>0</v>
      </c>
      <c r="AY740" s="94">
        <v>0</v>
      </c>
      <c r="AZ740" s="94">
        <v>1</v>
      </c>
      <c r="BA740" s="94">
        <v>1</v>
      </c>
      <c r="BB740" s="64">
        <f t="shared" si="631"/>
        <v>0.1</v>
      </c>
      <c r="BD740" s="60">
        <f>-909.96</f>
        <v>-909.96</v>
      </c>
      <c r="BE740" s="60">
        <v>-7.59</v>
      </c>
      <c r="BF740" s="60">
        <v>-2.36</v>
      </c>
      <c r="BG740" s="8">
        <v>0</v>
      </c>
      <c r="BH740" s="8">
        <v>-3.99</v>
      </c>
      <c r="BI740" s="8">
        <f t="shared" si="668"/>
        <v>-923.90000000000009</v>
      </c>
      <c r="BJ740" s="2" t="s">
        <v>84</v>
      </c>
      <c r="BL740" s="8">
        <v>0</v>
      </c>
      <c r="BM740" s="8">
        <v>0</v>
      </c>
      <c r="BO740" s="71" t="s">
        <v>643</v>
      </c>
      <c r="BP740" s="71"/>
      <c r="BQ740" s="72"/>
      <c r="BS740" s="61">
        <f t="shared" si="664"/>
        <v>0</v>
      </c>
      <c r="BT740" s="61">
        <f t="shared" si="665"/>
        <v>0</v>
      </c>
      <c r="BU740" s="61">
        <f t="shared" si="666"/>
        <v>0</v>
      </c>
      <c r="BV740" s="61">
        <f t="shared" si="666"/>
        <v>0</v>
      </c>
      <c r="BW740" s="61">
        <f t="shared" si="666"/>
        <v>0</v>
      </c>
      <c r="BX740" s="61">
        <f t="shared" si="666"/>
        <v>0</v>
      </c>
      <c r="BY740" s="61" t="s">
        <v>91</v>
      </c>
      <c r="CA740" s="61">
        <f t="shared" si="653"/>
        <v>0</v>
      </c>
      <c r="CB740" s="61">
        <f t="shared" si="653"/>
        <v>0</v>
      </c>
      <c r="CC740" s="61">
        <f t="shared" si="653"/>
        <v>0</v>
      </c>
      <c r="CD740" s="61">
        <f t="shared" si="653"/>
        <v>0</v>
      </c>
      <c r="CE740" s="61">
        <f t="shared" si="653"/>
        <v>0</v>
      </c>
      <c r="CF740" s="61">
        <f t="shared" si="653"/>
        <v>0</v>
      </c>
      <c r="CG740" s="61">
        <f t="shared" si="653"/>
        <v>0</v>
      </c>
      <c r="CH740" s="61">
        <f t="shared" si="653"/>
        <v>0</v>
      </c>
      <c r="CI740" s="61">
        <f t="shared" si="655"/>
        <v>0</v>
      </c>
      <c r="CJ740" s="61"/>
      <c r="CK740" s="61">
        <f t="shared" si="654"/>
        <v>0</v>
      </c>
      <c r="CL740" s="61">
        <f t="shared" si="654"/>
        <v>0</v>
      </c>
      <c r="CM740" s="61">
        <f t="shared" si="654"/>
        <v>0</v>
      </c>
      <c r="CN740" s="61">
        <f t="shared" si="654"/>
        <v>0</v>
      </c>
      <c r="CO740" s="61">
        <f t="shared" si="654"/>
        <v>0</v>
      </c>
      <c r="CP740" s="61">
        <f t="shared" si="654"/>
        <v>0</v>
      </c>
      <c r="CQ740" s="61">
        <f t="shared" si="654"/>
        <v>0</v>
      </c>
      <c r="CR740" s="61">
        <f t="shared" si="654"/>
        <v>0</v>
      </c>
      <c r="CS740" s="61">
        <f t="shared" si="656"/>
        <v>0</v>
      </c>
      <c r="CT740" s="61">
        <f t="shared" si="657"/>
        <v>0</v>
      </c>
      <c r="CV740" s="61">
        <f t="shared" ref="CV740" si="677">SUM(AG740)-SUM(BL740)</f>
        <v>0</v>
      </c>
      <c r="CW740" s="61">
        <f t="shared" si="672"/>
        <v>0</v>
      </c>
      <c r="CX740" s="61"/>
      <c r="CY740" s="61">
        <f t="shared" si="660"/>
        <v>0</v>
      </c>
      <c r="CZ740" s="61">
        <f t="shared" si="660"/>
        <v>0</v>
      </c>
      <c r="DA740" s="61">
        <f t="shared" si="660"/>
        <v>0</v>
      </c>
      <c r="DB740" s="2" t="s">
        <v>86</v>
      </c>
      <c r="DC740" s="2" t="s">
        <v>85</v>
      </c>
      <c r="DD740" s="2" t="s">
        <v>142</v>
      </c>
      <c r="DE740" s="2" t="s">
        <v>106</v>
      </c>
      <c r="DF740" s="3" t="s">
        <v>86</v>
      </c>
      <c r="DG740" s="62">
        <v>43138</v>
      </c>
      <c r="EC740" s="60" t="str">
        <f>VLOOKUP($M740,[1]Detail!$M:$BO,1,0)</f>
        <v>JD8B-13D155-AF</v>
      </c>
      <c r="ED740" s="60">
        <f>VLOOKUP($M740,[1]Detail!$M:$BO,22,0)</f>
        <v>-923.90000000000009</v>
      </c>
      <c r="EE740" s="60">
        <f>VLOOKUP($M740,[1]Detail!$M:$BO,42,0)</f>
        <v>0</v>
      </c>
      <c r="EF740" s="60" t="str">
        <f>VLOOKUP($M740,[1]Detail!$M:$BO,45,0)</f>
        <v>incl. in above</v>
      </c>
      <c r="EH740" s="60">
        <f t="shared" si="673"/>
        <v>0</v>
      </c>
      <c r="EI740" s="60">
        <f t="shared" si="674"/>
        <v>0</v>
      </c>
      <c r="EJ740" s="60">
        <f>SUM(EF740)-SUM(AJ740)</f>
        <v>0</v>
      </c>
    </row>
    <row r="741" spans="2:140" ht="12.75" hidden="1" customHeight="1">
      <c r="B741" s="99" t="s">
        <v>1310</v>
      </c>
      <c r="C741" s="22" t="s">
        <v>1230</v>
      </c>
      <c r="D741" s="22" t="s">
        <v>1231</v>
      </c>
      <c r="E741" s="2" t="s">
        <v>968</v>
      </c>
      <c r="F741" s="2" t="s">
        <v>969</v>
      </c>
      <c r="G741" s="2" t="s">
        <v>331</v>
      </c>
      <c r="J741" s="149" t="s">
        <v>126</v>
      </c>
      <c r="K741" s="23" t="s">
        <v>1234</v>
      </c>
      <c r="L741" s="149" t="s">
        <v>162</v>
      </c>
      <c r="M741" s="51" t="str">
        <f t="shared" si="628"/>
        <v>JD8B-13D155-AD</v>
      </c>
      <c r="O741" s="94">
        <v>0</v>
      </c>
      <c r="P741" s="94">
        <v>0</v>
      </c>
      <c r="Q741" s="94">
        <v>0</v>
      </c>
      <c r="R741" s="94">
        <v>0</v>
      </c>
      <c r="S741" s="94">
        <v>0</v>
      </c>
      <c r="T741" s="94">
        <v>0</v>
      </c>
      <c r="U741" s="94">
        <v>1</v>
      </c>
      <c r="V741" s="94">
        <v>1</v>
      </c>
      <c r="W741" s="64">
        <f t="shared" si="629"/>
        <v>0.1</v>
      </c>
      <c r="Y741" s="60">
        <v>-909.96</v>
      </c>
      <c r="Z741" s="60">
        <v>-7.59</v>
      </c>
      <c r="AA741" s="60">
        <v>-2.36</v>
      </c>
      <c r="AB741" s="8">
        <v>0</v>
      </c>
      <c r="AC741" s="8">
        <v>-3.99</v>
      </c>
      <c r="AD741" s="8">
        <f t="shared" si="567"/>
        <v>-923.90000000000009</v>
      </c>
      <c r="AE741" s="2" t="s">
        <v>84</v>
      </c>
      <c r="AG741" s="8">
        <v>0</v>
      </c>
      <c r="AH741" s="8">
        <v>0</v>
      </c>
      <c r="AJ741" s="71" t="s">
        <v>643</v>
      </c>
      <c r="AK741" s="71"/>
      <c r="AL741" s="72"/>
      <c r="AM741" s="22"/>
      <c r="AO741" s="149" t="s">
        <v>126</v>
      </c>
      <c r="AP741" s="23" t="s">
        <v>1313</v>
      </c>
      <c r="AQ741" s="22" t="s">
        <v>234</v>
      </c>
      <c r="AR741" s="51" t="str">
        <f t="shared" si="630"/>
        <v>JD8B-13D155 -AC</v>
      </c>
      <c r="AS741" s="3"/>
      <c r="AT741" s="94">
        <v>0</v>
      </c>
      <c r="AU741" s="94">
        <v>0</v>
      </c>
      <c r="AV741" s="94">
        <v>0</v>
      </c>
      <c r="AW741" s="94">
        <v>0</v>
      </c>
      <c r="AX741" s="94">
        <v>0</v>
      </c>
      <c r="AY741" s="94">
        <v>0</v>
      </c>
      <c r="AZ741" s="94">
        <v>1</v>
      </c>
      <c r="BA741" s="94">
        <v>1</v>
      </c>
      <c r="BB741" s="64">
        <f t="shared" si="631"/>
        <v>0.1</v>
      </c>
      <c r="BD741" s="60">
        <v>-909.96</v>
      </c>
      <c r="BE741" s="60">
        <v>-7.59</v>
      </c>
      <c r="BF741" s="60">
        <v>-2.36</v>
      </c>
      <c r="BG741" s="8">
        <v>0</v>
      </c>
      <c r="BH741" s="8">
        <v>-3.99</v>
      </c>
      <c r="BI741" s="8">
        <f t="shared" si="632"/>
        <v>-923.90000000000009</v>
      </c>
      <c r="BJ741" s="2" t="s">
        <v>84</v>
      </c>
      <c r="BL741" s="8">
        <v>0</v>
      </c>
      <c r="BM741" s="8">
        <v>0</v>
      </c>
      <c r="BO741" s="71" t="s">
        <v>643</v>
      </c>
      <c r="BP741" s="71"/>
      <c r="BQ741" s="72"/>
      <c r="BS741" s="61">
        <f t="shared" si="664"/>
        <v>0</v>
      </c>
      <c r="BT741" s="61">
        <f t="shared" si="665"/>
        <v>0</v>
      </c>
      <c r="BU741" s="61">
        <f t="shared" si="666"/>
        <v>0</v>
      </c>
      <c r="BV741" s="61">
        <f t="shared" si="666"/>
        <v>0</v>
      </c>
      <c r="BW741" s="61">
        <f t="shared" si="666"/>
        <v>0</v>
      </c>
      <c r="BX741" s="61">
        <f t="shared" si="666"/>
        <v>0</v>
      </c>
      <c r="BY741" s="61" t="s">
        <v>91</v>
      </c>
      <c r="CA741" s="61">
        <f t="shared" si="653"/>
        <v>0</v>
      </c>
      <c r="CB741" s="61">
        <f t="shared" si="653"/>
        <v>0</v>
      </c>
      <c r="CC741" s="61">
        <f t="shared" si="653"/>
        <v>0</v>
      </c>
      <c r="CD741" s="61">
        <f t="shared" si="653"/>
        <v>0</v>
      </c>
      <c r="CE741" s="61">
        <f t="shared" si="653"/>
        <v>0</v>
      </c>
      <c r="CF741" s="61">
        <f t="shared" si="653"/>
        <v>0</v>
      </c>
      <c r="CG741" s="61">
        <f t="shared" si="653"/>
        <v>0</v>
      </c>
      <c r="CH741" s="61">
        <f t="shared" si="653"/>
        <v>0</v>
      </c>
      <c r="CI741" s="61">
        <f t="shared" si="655"/>
        <v>0</v>
      </c>
      <c r="CJ741" s="61"/>
      <c r="CK741" s="61">
        <f t="shared" si="654"/>
        <v>0</v>
      </c>
      <c r="CL741" s="61">
        <f t="shared" si="654"/>
        <v>0</v>
      </c>
      <c r="CM741" s="61">
        <f t="shared" si="654"/>
        <v>0</v>
      </c>
      <c r="CN741" s="61">
        <f t="shared" si="654"/>
        <v>0</v>
      </c>
      <c r="CO741" s="61">
        <f t="shared" si="654"/>
        <v>0</v>
      </c>
      <c r="CP741" s="61">
        <f t="shared" si="654"/>
        <v>0</v>
      </c>
      <c r="CQ741" s="61">
        <f t="shared" si="654"/>
        <v>0</v>
      </c>
      <c r="CR741" s="61">
        <f t="shared" si="654"/>
        <v>0</v>
      </c>
      <c r="CS741" s="61">
        <f t="shared" si="656"/>
        <v>0</v>
      </c>
      <c r="CT741" s="61">
        <f t="shared" si="657"/>
        <v>0</v>
      </c>
      <c r="CV741" s="61">
        <f t="shared" si="658"/>
        <v>0</v>
      </c>
      <c r="CW741" s="61">
        <f t="shared" si="659"/>
        <v>0</v>
      </c>
      <c r="CX741" s="61"/>
      <c r="CY741" s="61">
        <f t="shared" si="660"/>
        <v>0</v>
      </c>
      <c r="CZ741" s="61">
        <f t="shared" si="660"/>
        <v>0</v>
      </c>
      <c r="DA741" s="61">
        <f t="shared" si="660"/>
        <v>0</v>
      </c>
      <c r="DB741" s="2" t="s">
        <v>85</v>
      </c>
      <c r="DC741" s="2" t="s">
        <v>85</v>
      </c>
      <c r="DD741" s="2" t="s">
        <v>142</v>
      </c>
      <c r="DE741" s="2" t="s">
        <v>264</v>
      </c>
      <c r="DF741" s="2" t="s">
        <v>86</v>
      </c>
      <c r="DG741" s="62"/>
      <c r="EC741" s="60"/>
      <c r="ED741" s="60"/>
      <c r="EE741" s="60"/>
      <c r="EF741" s="60"/>
    </row>
    <row r="742" spans="2:140" ht="12.75" hidden="1" customHeight="1">
      <c r="B742" s="99" t="s">
        <v>1310</v>
      </c>
      <c r="C742" s="22" t="s">
        <v>1230</v>
      </c>
      <c r="D742" s="22" t="s">
        <v>1231</v>
      </c>
      <c r="E742" s="2" t="s">
        <v>968</v>
      </c>
      <c r="F742" s="2" t="s">
        <v>969</v>
      </c>
      <c r="G742" s="2" t="s">
        <v>331</v>
      </c>
      <c r="J742" s="149" t="s">
        <v>126</v>
      </c>
      <c r="K742" s="23" t="s">
        <v>1315</v>
      </c>
      <c r="L742" s="149" t="s">
        <v>234</v>
      </c>
      <c r="M742" s="51" t="str">
        <f t="shared" si="628"/>
        <v>JD8B-13W029-AC</v>
      </c>
      <c r="O742" s="94">
        <v>1</v>
      </c>
      <c r="P742" s="94">
        <v>1</v>
      </c>
      <c r="Q742" s="94">
        <v>1</v>
      </c>
      <c r="R742" s="94">
        <v>1</v>
      </c>
      <c r="S742" s="94">
        <v>1</v>
      </c>
      <c r="T742" s="94">
        <v>1</v>
      </c>
      <c r="U742" s="94">
        <v>0</v>
      </c>
      <c r="V742" s="94">
        <v>0</v>
      </c>
      <c r="W742" s="64">
        <f t="shared" si="629"/>
        <v>0.9</v>
      </c>
      <c r="Y742" s="8">
        <f>-273.6*0-274.62-0.5</f>
        <v>-275.12</v>
      </c>
      <c r="Z742" s="8">
        <v>-7.59</v>
      </c>
      <c r="AA742" s="8">
        <v>-2.36</v>
      </c>
      <c r="AB742" s="8">
        <v>0</v>
      </c>
      <c r="AC742" s="8">
        <v>-3.99</v>
      </c>
      <c r="AD742" s="8">
        <f t="shared" si="567"/>
        <v>-289.06</v>
      </c>
      <c r="AE742" s="2" t="s">
        <v>84</v>
      </c>
      <c r="AG742" s="8">
        <f>-12700600*0-12800600-138643</f>
        <v>-12939243</v>
      </c>
      <c r="AH742" s="8">
        <f>-12700600*0-12800600-138643</f>
        <v>-12939243</v>
      </c>
      <c r="AI742" s="6"/>
      <c r="AJ742" s="71">
        <v>-4125440.7</v>
      </c>
      <c r="AK742" s="71">
        <f>517409.1*2</f>
        <v>1034818.2</v>
      </c>
      <c r="AL742" s="72"/>
      <c r="AM742" s="22"/>
      <c r="AO742" s="149" t="s">
        <v>126</v>
      </c>
      <c r="AP742" s="23" t="s">
        <v>1315</v>
      </c>
      <c r="AQ742" s="22" t="s">
        <v>132</v>
      </c>
      <c r="AR742" s="51" t="str">
        <f t="shared" si="630"/>
        <v>JD8B-13W029-AB</v>
      </c>
      <c r="AS742" s="3"/>
      <c r="AT742" s="94">
        <v>1</v>
      </c>
      <c r="AU742" s="94">
        <v>1</v>
      </c>
      <c r="AV742" s="94">
        <v>1</v>
      </c>
      <c r="AW742" s="94">
        <v>1</v>
      </c>
      <c r="AX742" s="94">
        <v>1</v>
      </c>
      <c r="AY742" s="94">
        <v>1</v>
      </c>
      <c r="AZ742" s="94">
        <v>0</v>
      </c>
      <c r="BA742" s="94">
        <v>0</v>
      </c>
      <c r="BB742" s="64">
        <f t="shared" si="631"/>
        <v>0.9</v>
      </c>
      <c r="BD742" s="8">
        <f>-273.6*0-274.62</f>
        <v>-274.62</v>
      </c>
      <c r="BE742" s="8">
        <v>-7.59</v>
      </c>
      <c r="BF742" s="8">
        <v>-2.36</v>
      </c>
      <c r="BG742" s="8">
        <v>0</v>
      </c>
      <c r="BH742" s="8">
        <v>-3.99</v>
      </c>
      <c r="BI742" s="8">
        <f t="shared" si="632"/>
        <v>-288.56</v>
      </c>
      <c r="BJ742" s="2" t="s">
        <v>84</v>
      </c>
      <c r="BL742" s="8">
        <f>-12700600*0-12800600</f>
        <v>-12800600</v>
      </c>
      <c r="BM742" s="8">
        <f>-12700600*0-12800600</f>
        <v>-12800600</v>
      </c>
      <c r="BN742" s="6"/>
      <c r="BO742" s="71">
        <v>-4125440.7</v>
      </c>
      <c r="BP742" s="71">
        <f>517409.1*2</f>
        <v>1034818.2</v>
      </c>
      <c r="BQ742" s="72"/>
      <c r="BS742" s="61">
        <f t="shared" si="664"/>
        <v>-0.5</v>
      </c>
      <c r="BT742" s="61">
        <f t="shared" si="665"/>
        <v>0</v>
      </c>
      <c r="BU742" s="61">
        <f t="shared" si="666"/>
        <v>0</v>
      </c>
      <c r="BV742" s="61">
        <f t="shared" si="666"/>
        <v>0</v>
      </c>
      <c r="BW742" s="61">
        <f t="shared" si="666"/>
        <v>0</v>
      </c>
      <c r="BX742" s="61">
        <f t="shared" si="666"/>
        <v>-0.5</v>
      </c>
      <c r="BY742" s="61" t="s">
        <v>91</v>
      </c>
      <c r="CA742" s="61">
        <f t="shared" si="653"/>
        <v>-7.5221904618624935E-2</v>
      </c>
      <c r="CB742" s="61">
        <f t="shared" si="653"/>
        <v>-7.5221904618624935E-2</v>
      </c>
      <c r="CC742" s="61">
        <f t="shared" si="653"/>
        <v>-7.5221904618624935E-2</v>
      </c>
      <c r="CD742" s="61">
        <f t="shared" si="653"/>
        <v>-7.5221904618624935E-2</v>
      </c>
      <c r="CE742" s="61">
        <f t="shared" si="653"/>
        <v>-7.5221904618624935E-2</v>
      </c>
      <c r="CF742" s="61">
        <f t="shared" si="653"/>
        <v>-7.5221904618624935E-2</v>
      </c>
      <c r="CG742" s="61">
        <f t="shared" si="653"/>
        <v>0</v>
      </c>
      <c r="CH742" s="61">
        <f t="shared" si="653"/>
        <v>0</v>
      </c>
      <c r="CI742" s="61">
        <f t="shared" si="655"/>
        <v>-6.7699714156762444E-2</v>
      </c>
      <c r="CJ742" s="61"/>
      <c r="CK742" s="61">
        <f t="shared" si="654"/>
        <v>-7.5221904618624935E-2</v>
      </c>
      <c r="CL742" s="61">
        <f t="shared" si="654"/>
        <v>-7.5221904618624935E-2</v>
      </c>
      <c r="CM742" s="61">
        <f t="shared" si="654"/>
        <v>-7.5221904618624935E-2</v>
      </c>
      <c r="CN742" s="61">
        <f t="shared" si="654"/>
        <v>-7.5221904618624935E-2</v>
      </c>
      <c r="CO742" s="61">
        <f t="shared" si="654"/>
        <v>-7.5221904618624935E-2</v>
      </c>
      <c r="CP742" s="61">
        <f t="shared" si="654"/>
        <v>-7.5221904618624935E-2</v>
      </c>
      <c r="CQ742" s="61">
        <f t="shared" si="654"/>
        <v>0</v>
      </c>
      <c r="CR742" s="61">
        <f t="shared" si="654"/>
        <v>0</v>
      </c>
      <c r="CS742" s="61">
        <f t="shared" si="656"/>
        <v>-6.7699714156762444E-2</v>
      </c>
      <c r="CT742" s="61">
        <f t="shared" si="657"/>
        <v>-0.45</v>
      </c>
      <c r="CV742" s="61">
        <f t="shared" si="658"/>
        <v>-138643</v>
      </c>
      <c r="CW742" s="61">
        <f t="shared" si="659"/>
        <v>-138643</v>
      </c>
      <c r="CX742" s="61"/>
      <c r="CY742" s="61">
        <f t="shared" si="660"/>
        <v>0</v>
      </c>
      <c r="CZ742" s="61">
        <f t="shared" si="660"/>
        <v>0</v>
      </c>
      <c r="DA742" s="61">
        <f t="shared" si="660"/>
        <v>0</v>
      </c>
      <c r="DB742" s="2" t="s">
        <v>85</v>
      </c>
      <c r="DC742" s="2" t="s">
        <v>85</v>
      </c>
      <c r="DD742" s="2" t="s">
        <v>142</v>
      </c>
      <c r="DE742" s="2" t="s">
        <v>264</v>
      </c>
      <c r="DF742" s="2" t="s">
        <v>86</v>
      </c>
      <c r="DG742" s="62"/>
      <c r="EC742" s="60"/>
      <c r="ED742" s="60"/>
      <c r="EE742" s="60"/>
      <c r="EF742" s="60"/>
    </row>
    <row r="743" spans="2:140" ht="12.75" hidden="1" customHeight="1">
      <c r="B743" s="99" t="s">
        <v>1310</v>
      </c>
      <c r="C743" s="22" t="s">
        <v>1230</v>
      </c>
      <c r="D743" s="22" t="s">
        <v>1231</v>
      </c>
      <c r="E743" s="2" t="s">
        <v>968</v>
      </c>
      <c r="F743" s="2" t="s">
        <v>969</v>
      </c>
      <c r="G743" s="2" t="s">
        <v>331</v>
      </c>
      <c r="J743" s="149" t="s">
        <v>126</v>
      </c>
      <c r="K743" s="23" t="s">
        <v>1315</v>
      </c>
      <c r="L743" s="149" t="s">
        <v>234</v>
      </c>
      <c r="M743" s="51" t="str">
        <f t="shared" si="628"/>
        <v>JD8B-13W029-AC</v>
      </c>
      <c r="O743" s="94">
        <v>1</v>
      </c>
      <c r="P743" s="94">
        <v>1</v>
      </c>
      <c r="Q743" s="94">
        <v>1</v>
      </c>
      <c r="R743" s="94">
        <v>1</v>
      </c>
      <c r="S743" s="94">
        <v>1</v>
      </c>
      <c r="T743" s="94">
        <v>1</v>
      </c>
      <c r="U743" s="94">
        <v>0</v>
      </c>
      <c r="V743" s="94">
        <v>0</v>
      </c>
      <c r="W743" s="64">
        <f t="shared" si="629"/>
        <v>0.9</v>
      </c>
      <c r="Y743" s="8">
        <f>-273.6*0-274.62-0.5</f>
        <v>-275.12</v>
      </c>
      <c r="Z743" s="8">
        <v>-7.59</v>
      </c>
      <c r="AA743" s="8">
        <v>-2.36</v>
      </c>
      <c r="AB743" s="8">
        <v>0</v>
      </c>
      <c r="AC743" s="8">
        <v>-3.99</v>
      </c>
      <c r="AD743" s="8">
        <f t="shared" si="567"/>
        <v>-289.06</v>
      </c>
      <c r="AE743" s="2" t="s">
        <v>84</v>
      </c>
      <c r="AG743" s="8">
        <v>0</v>
      </c>
      <c r="AH743" s="8">
        <v>0</v>
      </c>
      <c r="AJ743" s="71" t="s">
        <v>643</v>
      </c>
      <c r="AK743" s="71"/>
      <c r="AL743" s="72"/>
      <c r="AM743" s="22"/>
      <c r="AO743" s="149" t="s">
        <v>126</v>
      </c>
      <c r="AP743" s="23" t="s">
        <v>1315</v>
      </c>
      <c r="AQ743" s="22" t="s">
        <v>132</v>
      </c>
      <c r="AR743" s="51" t="str">
        <f t="shared" si="630"/>
        <v>JD8B-13W029-AB</v>
      </c>
      <c r="AS743" s="3"/>
      <c r="AT743" s="94">
        <v>1</v>
      </c>
      <c r="AU743" s="94">
        <v>1</v>
      </c>
      <c r="AV743" s="94">
        <v>1</v>
      </c>
      <c r="AW743" s="94">
        <v>1</v>
      </c>
      <c r="AX743" s="94">
        <v>1</v>
      </c>
      <c r="AY743" s="94">
        <v>1</v>
      </c>
      <c r="AZ743" s="94">
        <v>0</v>
      </c>
      <c r="BA743" s="94">
        <v>0</v>
      </c>
      <c r="BB743" s="64">
        <f t="shared" si="631"/>
        <v>0.9</v>
      </c>
      <c r="BD743" s="8">
        <f>-273.6*0-274.62</f>
        <v>-274.62</v>
      </c>
      <c r="BE743" s="8">
        <v>-7.59</v>
      </c>
      <c r="BF743" s="8">
        <v>-2.36</v>
      </c>
      <c r="BG743" s="8">
        <v>0</v>
      </c>
      <c r="BH743" s="8">
        <v>-3.99</v>
      </c>
      <c r="BI743" s="8">
        <f t="shared" si="632"/>
        <v>-288.56</v>
      </c>
      <c r="BJ743" s="2" t="s">
        <v>84</v>
      </c>
      <c r="BL743" s="8">
        <v>0</v>
      </c>
      <c r="BM743" s="8">
        <v>0</v>
      </c>
      <c r="BO743" s="71" t="s">
        <v>643</v>
      </c>
      <c r="BP743" s="71"/>
      <c r="BQ743" s="72"/>
      <c r="BS743" s="61">
        <f t="shared" si="664"/>
        <v>-0.5</v>
      </c>
      <c r="BT743" s="61">
        <f t="shared" si="665"/>
        <v>0</v>
      </c>
      <c r="BU743" s="61">
        <f t="shared" si="666"/>
        <v>0</v>
      </c>
      <c r="BV743" s="61">
        <f t="shared" si="666"/>
        <v>0</v>
      </c>
      <c r="BW743" s="61">
        <f t="shared" si="666"/>
        <v>0</v>
      </c>
      <c r="BX743" s="61">
        <f t="shared" si="666"/>
        <v>-0.5</v>
      </c>
      <c r="BY743" s="61" t="s">
        <v>91</v>
      </c>
      <c r="CA743" s="61">
        <f t="shared" si="653"/>
        <v>-7.5221904618624935E-2</v>
      </c>
      <c r="CB743" s="61">
        <f t="shared" si="653"/>
        <v>-7.5221904618624935E-2</v>
      </c>
      <c r="CC743" s="61">
        <f t="shared" si="653"/>
        <v>-7.5221904618624935E-2</v>
      </c>
      <c r="CD743" s="61">
        <f t="shared" si="653"/>
        <v>-7.5221904618624935E-2</v>
      </c>
      <c r="CE743" s="61">
        <f t="shared" si="653"/>
        <v>-7.5221904618624935E-2</v>
      </c>
      <c r="CF743" s="61">
        <f t="shared" si="653"/>
        <v>-7.5221904618624935E-2</v>
      </c>
      <c r="CG743" s="61">
        <f t="shared" si="653"/>
        <v>0</v>
      </c>
      <c r="CH743" s="61">
        <f t="shared" si="653"/>
        <v>0</v>
      </c>
      <c r="CI743" s="61">
        <f t="shared" si="655"/>
        <v>-6.7699714156762444E-2</v>
      </c>
      <c r="CJ743" s="61"/>
      <c r="CK743" s="61">
        <f t="shared" si="654"/>
        <v>-7.5221904618624935E-2</v>
      </c>
      <c r="CL743" s="61">
        <f t="shared" si="654"/>
        <v>-7.5221904618624935E-2</v>
      </c>
      <c r="CM743" s="61">
        <f t="shared" si="654"/>
        <v>-7.5221904618624935E-2</v>
      </c>
      <c r="CN743" s="61">
        <f t="shared" si="654"/>
        <v>-7.5221904618624935E-2</v>
      </c>
      <c r="CO743" s="61">
        <f t="shared" si="654"/>
        <v>-7.5221904618624935E-2</v>
      </c>
      <c r="CP743" s="61">
        <f t="shared" si="654"/>
        <v>-7.5221904618624935E-2</v>
      </c>
      <c r="CQ743" s="61">
        <f t="shared" si="654"/>
        <v>0</v>
      </c>
      <c r="CR743" s="61">
        <f t="shared" si="654"/>
        <v>0</v>
      </c>
      <c r="CS743" s="61">
        <f t="shared" si="656"/>
        <v>-6.7699714156762444E-2</v>
      </c>
      <c r="CT743" s="61">
        <f t="shared" si="657"/>
        <v>-0.45</v>
      </c>
      <c r="CV743" s="61">
        <f t="shared" si="658"/>
        <v>0</v>
      </c>
      <c r="CW743" s="61">
        <f t="shared" si="659"/>
        <v>0</v>
      </c>
      <c r="CX743" s="61"/>
      <c r="CY743" s="61">
        <f t="shared" si="660"/>
        <v>0</v>
      </c>
      <c r="CZ743" s="61">
        <f t="shared" si="660"/>
        <v>0</v>
      </c>
      <c r="DA743" s="61">
        <f t="shared" si="660"/>
        <v>0</v>
      </c>
      <c r="DB743" s="2" t="s">
        <v>85</v>
      </c>
      <c r="DC743" s="2" t="s">
        <v>85</v>
      </c>
      <c r="DD743" s="2" t="s">
        <v>142</v>
      </c>
      <c r="DE743" s="2" t="s">
        <v>264</v>
      </c>
      <c r="DF743" s="2" t="s">
        <v>86</v>
      </c>
      <c r="DG743" s="62"/>
      <c r="EC743" s="60"/>
      <c r="ED743" s="60"/>
      <c r="EE743" s="60"/>
      <c r="EF743" s="60"/>
    </row>
    <row r="744" spans="2:140" ht="12.75" hidden="1" customHeight="1">
      <c r="B744" s="99" t="s">
        <v>1312</v>
      </c>
      <c r="C744" s="22" t="s">
        <v>1230</v>
      </c>
      <c r="D744" s="22" t="s">
        <v>1231</v>
      </c>
      <c r="E744" s="2" t="s">
        <v>968</v>
      </c>
      <c r="F744" s="2" t="s">
        <v>969</v>
      </c>
      <c r="G744" s="2" t="s">
        <v>331</v>
      </c>
      <c r="J744" s="149" t="s">
        <v>126</v>
      </c>
      <c r="K744" s="23" t="s">
        <v>1315</v>
      </c>
      <c r="L744" s="149" t="s">
        <v>162</v>
      </c>
      <c r="M744" s="51" t="str">
        <f t="shared" si="628"/>
        <v>JD8B-13W029-AD</v>
      </c>
      <c r="O744" s="94">
        <v>1</v>
      </c>
      <c r="P744" s="94">
        <v>1</v>
      </c>
      <c r="Q744" s="94">
        <v>1</v>
      </c>
      <c r="R744" s="94">
        <v>1</v>
      </c>
      <c r="S744" s="94">
        <v>1</v>
      </c>
      <c r="T744" s="94">
        <v>1</v>
      </c>
      <c r="U744" s="94">
        <v>0</v>
      </c>
      <c r="V744" s="94">
        <v>0</v>
      </c>
      <c r="W744" s="64">
        <f t="shared" si="629"/>
        <v>0.9</v>
      </c>
      <c r="Y744" s="8">
        <f>-273.6*0-274.62-0.5-0.5</f>
        <v>-275.62</v>
      </c>
      <c r="Z744" s="8">
        <v>-7.59</v>
      </c>
      <c r="AA744" s="8">
        <v>-2.36</v>
      </c>
      <c r="AB744" s="8">
        <v>0</v>
      </c>
      <c r="AC744" s="8">
        <v>-3.99</v>
      </c>
      <c r="AD744" s="8">
        <f t="shared" ref="AD744:AD747" si="678">SUM(Y744:AC744)</f>
        <v>-289.56</v>
      </c>
      <c r="AE744" s="2" t="s">
        <v>84</v>
      </c>
      <c r="AG744" s="8">
        <f>-12700600*0-12800600-138643-130000</f>
        <v>-13069243</v>
      </c>
      <c r="AH744" s="8">
        <f>-12700600*0-12800600-138643-130000</f>
        <v>-13069243</v>
      </c>
      <c r="AI744" s="6"/>
      <c r="AJ744" s="71">
        <v>-4125440.7</v>
      </c>
      <c r="AK744" s="71">
        <f>517409.1*2</f>
        <v>1034818.2</v>
      </c>
      <c r="AL744" s="72"/>
      <c r="AM744" s="22"/>
      <c r="AO744" s="149" t="s">
        <v>126</v>
      </c>
      <c r="AP744" s="23" t="s">
        <v>1315</v>
      </c>
      <c r="AQ744" s="22" t="s">
        <v>234</v>
      </c>
      <c r="AR744" s="51" t="str">
        <f t="shared" si="630"/>
        <v>JD8B-13W029-AC</v>
      </c>
      <c r="AS744" s="3"/>
      <c r="AT744" s="94">
        <v>1</v>
      </c>
      <c r="AU744" s="94">
        <v>1</v>
      </c>
      <c r="AV744" s="94">
        <v>1</v>
      </c>
      <c r="AW744" s="94">
        <v>1</v>
      </c>
      <c r="AX744" s="94">
        <v>1</v>
      </c>
      <c r="AY744" s="94">
        <v>1</v>
      </c>
      <c r="AZ744" s="94">
        <v>0</v>
      </c>
      <c r="BA744" s="94">
        <v>0</v>
      </c>
      <c r="BB744" s="64">
        <f t="shared" si="631"/>
        <v>0.9</v>
      </c>
      <c r="BD744" s="8">
        <f>-273.6*0-274.62</f>
        <v>-274.62</v>
      </c>
      <c r="BE744" s="8">
        <v>-7.59</v>
      </c>
      <c r="BF744" s="8">
        <v>-2.36</v>
      </c>
      <c r="BG744" s="8">
        <v>0</v>
      </c>
      <c r="BH744" s="8">
        <v>-3.99</v>
      </c>
      <c r="BI744" s="8">
        <f t="shared" ref="BI744:BI747" si="679">SUM(BD744:BH744)</f>
        <v>-288.56</v>
      </c>
      <c r="BJ744" s="2" t="s">
        <v>84</v>
      </c>
      <c r="BL744" s="8">
        <f>-12939243</f>
        <v>-12939243</v>
      </c>
      <c r="BM744" s="8">
        <f>-12939243</f>
        <v>-12939243</v>
      </c>
      <c r="BN744" s="6"/>
      <c r="BO744" s="71">
        <v>-4125440.7</v>
      </c>
      <c r="BP744" s="71">
        <f>517409.1*2</f>
        <v>1034818.2</v>
      </c>
      <c r="BQ744" s="72"/>
      <c r="BS744" s="61">
        <f t="shared" si="664"/>
        <v>-1</v>
      </c>
      <c r="BT744" s="61">
        <f t="shared" si="665"/>
        <v>0</v>
      </c>
      <c r="BU744" s="61">
        <f t="shared" si="666"/>
        <v>0</v>
      </c>
      <c r="BV744" s="61">
        <f t="shared" si="666"/>
        <v>0</v>
      </c>
      <c r="BW744" s="61">
        <f t="shared" si="666"/>
        <v>0</v>
      </c>
      <c r="BX744" s="61">
        <f t="shared" si="666"/>
        <v>-1</v>
      </c>
      <c r="BY744" s="61" t="s">
        <v>91</v>
      </c>
      <c r="CA744" s="61">
        <f t="shared" si="653"/>
        <v>-0.15044380923724987</v>
      </c>
      <c r="CB744" s="61">
        <f t="shared" si="653"/>
        <v>-0.15044380923724987</v>
      </c>
      <c r="CC744" s="61">
        <f t="shared" si="653"/>
        <v>-0.15044380923724987</v>
      </c>
      <c r="CD744" s="61">
        <f t="shared" si="653"/>
        <v>-0.15044380923724987</v>
      </c>
      <c r="CE744" s="61">
        <f t="shared" si="653"/>
        <v>-0.15044380923724987</v>
      </c>
      <c r="CF744" s="61">
        <f t="shared" si="653"/>
        <v>-0.15044380923724987</v>
      </c>
      <c r="CG744" s="61">
        <f t="shared" si="653"/>
        <v>0</v>
      </c>
      <c r="CH744" s="61">
        <f t="shared" si="653"/>
        <v>0</v>
      </c>
      <c r="CI744" s="61">
        <f t="shared" si="655"/>
        <v>-0.13539942831352489</v>
      </c>
      <c r="CJ744" s="61"/>
      <c r="CK744" s="61">
        <f t="shared" si="654"/>
        <v>-0.15044380923724987</v>
      </c>
      <c r="CL744" s="61">
        <f t="shared" si="654"/>
        <v>-0.15044380923724987</v>
      </c>
      <c r="CM744" s="61">
        <f t="shared" si="654"/>
        <v>-0.15044380923724987</v>
      </c>
      <c r="CN744" s="61">
        <f t="shared" si="654"/>
        <v>-0.15044380923724987</v>
      </c>
      <c r="CO744" s="61">
        <f t="shared" si="654"/>
        <v>-0.15044380923724987</v>
      </c>
      <c r="CP744" s="61">
        <f t="shared" si="654"/>
        <v>-0.15044380923724987</v>
      </c>
      <c r="CQ744" s="61">
        <f t="shared" si="654"/>
        <v>0</v>
      </c>
      <c r="CR744" s="61">
        <f t="shared" si="654"/>
        <v>0</v>
      </c>
      <c r="CS744" s="61">
        <f t="shared" si="656"/>
        <v>-0.13539942831352489</v>
      </c>
      <c r="CT744" s="63">
        <f t="shared" si="657"/>
        <v>-0.9</v>
      </c>
      <c r="CV744" s="61">
        <f>SUM(AG744)-SUM(BL744)</f>
        <v>-130000</v>
      </c>
      <c r="CW744" s="61">
        <f t="shared" ref="CW744" si="680">SUM(AH744)-SUM(BM744)</f>
        <v>-130000</v>
      </c>
      <c r="CX744" s="61"/>
      <c r="CY744" s="61">
        <f t="shared" ref="CY744" si="681">SUM(AJ744)-SUM(BO744)</f>
        <v>0</v>
      </c>
      <c r="CZ744" s="61">
        <f t="shared" si="660"/>
        <v>0</v>
      </c>
      <c r="DA744" s="61">
        <f t="shared" si="660"/>
        <v>0</v>
      </c>
      <c r="DB744" s="2" t="s">
        <v>85</v>
      </c>
      <c r="DC744" s="2" t="s">
        <v>85</v>
      </c>
      <c r="DD744" s="2" t="s">
        <v>142</v>
      </c>
      <c r="DE744" s="2" t="s">
        <v>106</v>
      </c>
      <c r="DF744" s="2" t="s">
        <v>86</v>
      </c>
      <c r="DG744" s="62">
        <v>43129</v>
      </c>
      <c r="EC744" s="60"/>
      <c r="ED744" s="60"/>
      <c r="EE744" s="60"/>
      <c r="EF744" s="60"/>
    </row>
    <row r="745" spans="2:140" ht="12.75" hidden="1" customHeight="1">
      <c r="B745" s="99" t="s">
        <v>1312</v>
      </c>
      <c r="C745" s="22" t="s">
        <v>1230</v>
      </c>
      <c r="D745" s="22" t="s">
        <v>1231</v>
      </c>
      <c r="E745" s="2" t="s">
        <v>968</v>
      </c>
      <c r="F745" s="2" t="s">
        <v>969</v>
      </c>
      <c r="G745" s="2" t="s">
        <v>331</v>
      </c>
      <c r="J745" s="149" t="s">
        <v>126</v>
      </c>
      <c r="K745" s="23" t="s">
        <v>1316</v>
      </c>
      <c r="L745" s="149" t="s">
        <v>162</v>
      </c>
      <c r="M745" s="51" t="str">
        <f t="shared" si="628"/>
        <v>JD8B-13W030-AD</v>
      </c>
      <c r="O745" s="94">
        <v>1</v>
      </c>
      <c r="P745" s="94">
        <v>1</v>
      </c>
      <c r="Q745" s="94">
        <v>1</v>
      </c>
      <c r="R745" s="94">
        <v>1</v>
      </c>
      <c r="S745" s="94">
        <v>1</v>
      </c>
      <c r="T745" s="94">
        <v>1</v>
      </c>
      <c r="U745" s="94">
        <v>0</v>
      </c>
      <c r="V745" s="94">
        <v>0</v>
      </c>
      <c r="W745" s="64">
        <f t="shared" si="629"/>
        <v>0.9</v>
      </c>
      <c r="Y745" s="8">
        <f>-273.6*0-274.62-0.5-0.5</f>
        <v>-275.62</v>
      </c>
      <c r="Z745" s="8">
        <v>-7.59</v>
      </c>
      <c r="AA745" s="8">
        <v>-2.36</v>
      </c>
      <c r="AB745" s="8">
        <v>0</v>
      </c>
      <c r="AC745" s="8">
        <v>-3.99</v>
      </c>
      <c r="AD745" s="8">
        <f t="shared" si="678"/>
        <v>-289.56</v>
      </c>
      <c r="AE745" s="2" t="s">
        <v>84</v>
      </c>
      <c r="AG745" s="8">
        <v>0</v>
      </c>
      <c r="AH745" s="8">
        <v>0</v>
      </c>
      <c r="AJ745" s="71" t="s">
        <v>643</v>
      </c>
      <c r="AK745" s="71"/>
      <c r="AL745" s="72"/>
      <c r="AM745" s="22"/>
      <c r="AO745" s="149" t="s">
        <v>126</v>
      </c>
      <c r="AP745" s="23" t="s">
        <v>1315</v>
      </c>
      <c r="AQ745" s="22" t="s">
        <v>234</v>
      </c>
      <c r="AR745" s="51" t="str">
        <f t="shared" si="630"/>
        <v>JD8B-13W029-AC</v>
      </c>
      <c r="AS745" s="3"/>
      <c r="AT745" s="94">
        <v>1</v>
      </c>
      <c r="AU745" s="94">
        <v>1</v>
      </c>
      <c r="AV745" s="94">
        <v>1</v>
      </c>
      <c r="AW745" s="94">
        <v>1</v>
      </c>
      <c r="AX745" s="94">
        <v>1</v>
      </c>
      <c r="AY745" s="94">
        <v>1</v>
      </c>
      <c r="AZ745" s="94">
        <v>0</v>
      </c>
      <c r="BA745" s="94">
        <v>0</v>
      </c>
      <c r="BB745" s="64">
        <f t="shared" si="631"/>
        <v>0.9</v>
      </c>
      <c r="BD745" s="8">
        <f>-273.6*0-274.62</f>
        <v>-274.62</v>
      </c>
      <c r="BE745" s="8">
        <v>-7.59</v>
      </c>
      <c r="BF745" s="8">
        <v>-2.36</v>
      </c>
      <c r="BG745" s="8">
        <v>0</v>
      </c>
      <c r="BH745" s="8">
        <v>-3.99</v>
      </c>
      <c r="BI745" s="8">
        <f t="shared" si="679"/>
        <v>-288.56</v>
      </c>
      <c r="BJ745" s="2" t="s">
        <v>84</v>
      </c>
      <c r="BL745" s="8">
        <v>0</v>
      </c>
      <c r="BM745" s="8">
        <v>0</v>
      </c>
      <c r="BO745" s="71" t="s">
        <v>643</v>
      </c>
      <c r="BP745" s="71"/>
      <c r="BQ745" s="72"/>
      <c r="BS745" s="61">
        <f t="shared" si="664"/>
        <v>-1</v>
      </c>
      <c r="BT745" s="61">
        <f t="shared" si="665"/>
        <v>0</v>
      </c>
      <c r="BU745" s="61">
        <f t="shared" si="666"/>
        <v>0</v>
      </c>
      <c r="BV745" s="61">
        <f t="shared" si="666"/>
        <v>0</v>
      </c>
      <c r="BW745" s="61">
        <f t="shared" si="666"/>
        <v>0</v>
      </c>
      <c r="BX745" s="61">
        <f t="shared" si="666"/>
        <v>-1</v>
      </c>
      <c r="BY745" s="61" t="s">
        <v>91</v>
      </c>
      <c r="CA745" s="61">
        <f t="shared" si="653"/>
        <v>-0.15044380923724987</v>
      </c>
      <c r="CB745" s="61">
        <f t="shared" si="653"/>
        <v>-0.15044380923724987</v>
      </c>
      <c r="CC745" s="61">
        <f t="shared" si="653"/>
        <v>-0.15044380923724987</v>
      </c>
      <c r="CD745" s="61">
        <f t="shared" si="653"/>
        <v>-0.15044380923724987</v>
      </c>
      <c r="CE745" s="61">
        <f t="shared" si="653"/>
        <v>-0.15044380923724987</v>
      </c>
      <c r="CF745" s="61">
        <f t="shared" si="653"/>
        <v>-0.15044380923724987</v>
      </c>
      <c r="CG745" s="61">
        <f t="shared" si="653"/>
        <v>0</v>
      </c>
      <c r="CH745" s="61">
        <f t="shared" si="653"/>
        <v>0</v>
      </c>
      <c r="CI745" s="61">
        <f t="shared" si="655"/>
        <v>-0.13539942831352489</v>
      </c>
      <c r="CJ745" s="61"/>
      <c r="CK745" s="61">
        <f t="shared" si="654"/>
        <v>-0.15044380923724987</v>
      </c>
      <c r="CL745" s="61">
        <f t="shared" si="654"/>
        <v>-0.15044380923724987</v>
      </c>
      <c r="CM745" s="61">
        <f t="shared" si="654"/>
        <v>-0.15044380923724987</v>
      </c>
      <c r="CN745" s="61">
        <f t="shared" si="654"/>
        <v>-0.15044380923724987</v>
      </c>
      <c r="CO745" s="61">
        <f t="shared" si="654"/>
        <v>-0.15044380923724987</v>
      </c>
      <c r="CP745" s="61">
        <f t="shared" si="654"/>
        <v>-0.15044380923724987</v>
      </c>
      <c r="CQ745" s="61">
        <f t="shared" si="654"/>
        <v>0</v>
      </c>
      <c r="CR745" s="61">
        <f t="shared" si="654"/>
        <v>0</v>
      </c>
      <c r="CS745" s="61">
        <f t="shared" si="656"/>
        <v>-0.13539942831352489</v>
      </c>
      <c r="CT745" s="63">
        <f t="shared" si="657"/>
        <v>-0.9</v>
      </c>
      <c r="CV745" s="61">
        <f t="shared" ref="CV745" si="682">SUM(AG745)-SUM(BL745)</f>
        <v>0</v>
      </c>
      <c r="CW745" s="61">
        <f t="shared" ref="CW745" si="683">SUM(AH745)-SUM(BM745)</f>
        <v>0</v>
      </c>
      <c r="CX745" s="61"/>
      <c r="CY745" s="61">
        <f t="shared" ref="CY745" si="684">SUM(AJ745)-SUM(BO745)</f>
        <v>0</v>
      </c>
      <c r="CZ745" s="61">
        <f t="shared" si="660"/>
        <v>0</v>
      </c>
      <c r="DA745" s="61">
        <f t="shared" si="660"/>
        <v>0</v>
      </c>
      <c r="DB745" s="2" t="s">
        <v>85</v>
      </c>
      <c r="DC745" s="2" t="s">
        <v>85</v>
      </c>
      <c r="DD745" s="2" t="s">
        <v>142</v>
      </c>
      <c r="DE745" s="2" t="s">
        <v>106</v>
      </c>
      <c r="DF745" s="2" t="s">
        <v>86</v>
      </c>
      <c r="DG745" s="62">
        <v>43129</v>
      </c>
      <c r="EC745" s="60"/>
      <c r="ED745" s="60"/>
      <c r="EE745" s="60"/>
      <c r="EF745" s="60"/>
    </row>
    <row r="746" spans="2:140" ht="12.75" hidden="1" customHeight="1">
      <c r="B746" s="99" t="s">
        <v>1317</v>
      </c>
      <c r="C746" s="22" t="s">
        <v>1230</v>
      </c>
      <c r="D746" s="22" t="s">
        <v>1231</v>
      </c>
      <c r="E746" s="2" t="s">
        <v>968</v>
      </c>
      <c r="F746" s="2" t="s">
        <v>969</v>
      </c>
      <c r="G746" s="2" t="s">
        <v>331</v>
      </c>
      <c r="J746" s="149" t="s">
        <v>126</v>
      </c>
      <c r="K746" s="23" t="s">
        <v>1315</v>
      </c>
      <c r="L746" s="149" t="s">
        <v>129</v>
      </c>
      <c r="M746" s="51" t="str">
        <f t="shared" si="628"/>
        <v>JD8B-13W029-AE</v>
      </c>
      <c r="O746" s="94">
        <v>1</v>
      </c>
      <c r="P746" s="94">
        <v>1</v>
      </c>
      <c r="Q746" s="94">
        <v>1</v>
      </c>
      <c r="R746" s="94">
        <v>1</v>
      </c>
      <c r="S746" s="94">
        <v>1</v>
      </c>
      <c r="T746" s="94">
        <v>1</v>
      </c>
      <c r="U746" s="94">
        <v>0</v>
      </c>
      <c r="V746" s="94">
        <v>0</v>
      </c>
      <c r="W746" s="64">
        <f t="shared" si="629"/>
        <v>0.9</v>
      </c>
      <c r="Y746" s="8">
        <f>-273.6*0-274.62-0.5-0.5</f>
        <v>-275.62</v>
      </c>
      <c r="Z746" s="8">
        <v>-7.59</v>
      </c>
      <c r="AA746" s="8">
        <v>-2.36</v>
      </c>
      <c r="AB746" s="8">
        <v>0</v>
      </c>
      <c r="AC746" s="8">
        <v>-3.99</v>
      </c>
      <c r="AD746" s="8">
        <f t="shared" si="678"/>
        <v>-289.56</v>
      </c>
      <c r="AE746" s="2" t="s">
        <v>84</v>
      </c>
      <c r="AG746" s="8">
        <f>-12700600*0-12800600-138643-130000-36911</f>
        <v>-13106154</v>
      </c>
      <c r="AH746" s="8">
        <f>-12700600*0-12800600-138643-130000-36911</f>
        <v>-13106154</v>
      </c>
      <c r="AI746" s="6"/>
      <c r="AJ746" s="71">
        <v>-4125440.7</v>
      </c>
      <c r="AK746" s="71">
        <f>517409.1*2</f>
        <v>1034818.2</v>
      </c>
      <c r="AL746" s="72"/>
      <c r="AM746" s="22"/>
      <c r="AO746" s="149" t="s">
        <v>126</v>
      </c>
      <c r="AP746" s="23" t="s">
        <v>1315</v>
      </c>
      <c r="AQ746" s="149" t="s">
        <v>162</v>
      </c>
      <c r="AR746" s="51" t="str">
        <f t="shared" si="630"/>
        <v>JD8B-13W029-AD</v>
      </c>
      <c r="AS746" s="3"/>
      <c r="AT746" s="94">
        <v>1</v>
      </c>
      <c r="AU746" s="94">
        <v>1</v>
      </c>
      <c r="AV746" s="94">
        <v>1</v>
      </c>
      <c r="AW746" s="94">
        <v>1</v>
      </c>
      <c r="AX746" s="94">
        <v>1</v>
      </c>
      <c r="AY746" s="94">
        <v>1</v>
      </c>
      <c r="AZ746" s="94">
        <v>0</v>
      </c>
      <c r="BA746" s="94">
        <v>0</v>
      </c>
      <c r="BB746" s="64">
        <f t="shared" si="631"/>
        <v>0.9</v>
      </c>
      <c r="BD746" s="8">
        <f>-273.6*0-274.62-0.5-0.5</f>
        <v>-275.62</v>
      </c>
      <c r="BE746" s="8">
        <v>-7.59</v>
      </c>
      <c r="BF746" s="8">
        <v>-2.36</v>
      </c>
      <c r="BG746" s="8">
        <v>0</v>
      </c>
      <c r="BH746" s="8">
        <v>-3.99</v>
      </c>
      <c r="BI746" s="8">
        <f t="shared" si="679"/>
        <v>-289.56</v>
      </c>
      <c r="BJ746" s="2" t="s">
        <v>84</v>
      </c>
      <c r="BL746" s="8">
        <f>-12700600*0-12800600-138643-130000</f>
        <v>-13069243</v>
      </c>
      <c r="BM746" s="8">
        <f>-12700600*0-12800600-138643-130000</f>
        <v>-13069243</v>
      </c>
      <c r="BN746" s="6"/>
      <c r="BO746" s="71">
        <v>-4125440.7</v>
      </c>
      <c r="BP746" s="71">
        <f>517409.1*2</f>
        <v>1034818.2</v>
      </c>
      <c r="BQ746" s="72"/>
      <c r="BS746" s="61">
        <f t="shared" si="664"/>
        <v>0</v>
      </c>
      <c r="BT746" s="61">
        <f t="shared" si="665"/>
        <v>0</v>
      </c>
      <c r="BU746" s="61">
        <f t="shared" si="666"/>
        <v>0</v>
      </c>
      <c r="BV746" s="61">
        <f t="shared" si="666"/>
        <v>0</v>
      </c>
      <c r="BW746" s="61">
        <f t="shared" si="666"/>
        <v>0</v>
      </c>
      <c r="BX746" s="61">
        <f t="shared" si="666"/>
        <v>0</v>
      </c>
      <c r="BY746" s="61" t="s">
        <v>91</v>
      </c>
      <c r="CA746" s="61">
        <f t="shared" si="653"/>
        <v>0</v>
      </c>
      <c r="CB746" s="61">
        <f t="shared" si="653"/>
        <v>0</v>
      </c>
      <c r="CC746" s="61">
        <f t="shared" si="653"/>
        <v>0</v>
      </c>
      <c r="CD746" s="61">
        <f t="shared" si="653"/>
        <v>0</v>
      </c>
      <c r="CE746" s="61">
        <f t="shared" si="653"/>
        <v>0</v>
      </c>
      <c r="CF746" s="61">
        <f t="shared" si="653"/>
        <v>0</v>
      </c>
      <c r="CG746" s="61">
        <f t="shared" si="653"/>
        <v>0</v>
      </c>
      <c r="CH746" s="61">
        <f t="shared" si="653"/>
        <v>0</v>
      </c>
      <c r="CI746" s="61">
        <f t="shared" si="655"/>
        <v>0</v>
      </c>
      <c r="CJ746" s="61"/>
      <c r="CK746" s="61">
        <f t="shared" si="654"/>
        <v>0</v>
      </c>
      <c r="CL746" s="61">
        <f t="shared" si="654"/>
        <v>0</v>
      </c>
      <c r="CM746" s="61">
        <f t="shared" si="654"/>
        <v>0</v>
      </c>
      <c r="CN746" s="61">
        <f t="shared" si="654"/>
        <v>0</v>
      </c>
      <c r="CO746" s="61">
        <f t="shared" si="654"/>
        <v>0</v>
      </c>
      <c r="CP746" s="61">
        <f t="shared" si="654"/>
        <v>0</v>
      </c>
      <c r="CQ746" s="61">
        <f t="shared" si="654"/>
        <v>0</v>
      </c>
      <c r="CR746" s="61">
        <f t="shared" si="654"/>
        <v>0</v>
      </c>
      <c r="CS746" s="61">
        <f t="shared" si="656"/>
        <v>0</v>
      </c>
      <c r="CT746" s="63">
        <f t="shared" si="657"/>
        <v>0</v>
      </c>
      <c r="CV746" s="61">
        <f>SUM(AG746)-SUM(BL746)</f>
        <v>-36911</v>
      </c>
      <c r="CW746" s="61">
        <f t="shared" ref="CW746" si="685">SUM(AH746)-SUM(BM746)</f>
        <v>-36911</v>
      </c>
      <c r="CX746" s="61"/>
      <c r="CY746" s="61">
        <f t="shared" ref="CY746" si="686">SUM(AJ746)-SUM(BO746)</f>
        <v>0</v>
      </c>
      <c r="CZ746" s="61">
        <f t="shared" si="660"/>
        <v>0</v>
      </c>
      <c r="DA746" s="61">
        <f t="shared" si="660"/>
        <v>0</v>
      </c>
      <c r="DB746" s="2" t="s">
        <v>86</v>
      </c>
      <c r="DC746" s="2" t="s">
        <v>85</v>
      </c>
      <c r="DD746" s="2" t="s">
        <v>142</v>
      </c>
      <c r="DE746" s="2" t="s">
        <v>106</v>
      </c>
      <c r="DF746" s="3" t="s">
        <v>86</v>
      </c>
      <c r="DG746" s="62">
        <v>43172</v>
      </c>
      <c r="EC746" s="60" t="str">
        <f>VLOOKUP($M746,[1]Detail!$M:$BO,1,0)</f>
        <v>JD8B-13W029-AE</v>
      </c>
      <c r="ED746" s="60">
        <f>VLOOKUP($M746,[1]Detail!$M:$BO,22,0)</f>
        <v>-289.56</v>
      </c>
      <c r="EE746" s="155">
        <f>VLOOKUP($M746,[1]Detail!$M:$BO,42,0)</f>
        <v>-13106154</v>
      </c>
      <c r="EF746" s="155">
        <f>VLOOKUP($M746,[1]Detail!$M:$BO,45,0)</f>
        <v>-4125440.7</v>
      </c>
      <c r="EH746" s="60">
        <f t="shared" ref="EH746:EH750" si="687">ED746-AD746</f>
        <v>0</v>
      </c>
      <c r="EI746" s="60">
        <f t="shared" ref="EI746:EI750" si="688">EE746-AG746</f>
        <v>0</v>
      </c>
      <c r="EJ746" s="60">
        <f t="shared" ref="EJ746:EJ750" si="689">EF746-AJ746</f>
        <v>0</v>
      </c>
    </row>
    <row r="747" spans="2:140" ht="12.75" hidden="1" customHeight="1">
      <c r="B747" s="99" t="s">
        <v>1317</v>
      </c>
      <c r="C747" s="22" t="s">
        <v>1230</v>
      </c>
      <c r="D747" s="22" t="s">
        <v>1231</v>
      </c>
      <c r="E747" s="2" t="s">
        <v>968</v>
      </c>
      <c r="F747" s="2" t="s">
        <v>969</v>
      </c>
      <c r="G747" s="2" t="s">
        <v>331</v>
      </c>
      <c r="J747" s="149" t="s">
        <v>126</v>
      </c>
      <c r="K747" s="23" t="s">
        <v>1316</v>
      </c>
      <c r="L747" s="149" t="s">
        <v>129</v>
      </c>
      <c r="M747" s="51" t="str">
        <f t="shared" si="628"/>
        <v>JD8B-13W030-AE</v>
      </c>
      <c r="O747" s="94">
        <v>1</v>
      </c>
      <c r="P747" s="94">
        <v>1</v>
      </c>
      <c r="Q747" s="94">
        <v>1</v>
      </c>
      <c r="R747" s="94">
        <v>1</v>
      </c>
      <c r="S747" s="94">
        <v>1</v>
      </c>
      <c r="T747" s="94">
        <v>1</v>
      </c>
      <c r="U747" s="94">
        <v>0</v>
      </c>
      <c r="V747" s="94">
        <v>0</v>
      </c>
      <c r="W747" s="64">
        <f t="shared" si="629"/>
        <v>0.9</v>
      </c>
      <c r="Y747" s="8">
        <f>-273.6*0-274.62-0.5-0.5</f>
        <v>-275.62</v>
      </c>
      <c r="Z747" s="8">
        <v>-7.59</v>
      </c>
      <c r="AA747" s="8">
        <v>-2.36</v>
      </c>
      <c r="AB747" s="8">
        <v>0</v>
      </c>
      <c r="AC747" s="8">
        <v>-3.99</v>
      </c>
      <c r="AD747" s="8">
        <f t="shared" si="678"/>
        <v>-289.56</v>
      </c>
      <c r="AE747" s="2" t="s">
        <v>84</v>
      </c>
      <c r="AG747" s="8">
        <v>0</v>
      </c>
      <c r="AH747" s="8">
        <v>0</v>
      </c>
      <c r="AJ747" s="71" t="s">
        <v>643</v>
      </c>
      <c r="AK747" s="71"/>
      <c r="AL747" s="72"/>
      <c r="AM747" s="22"/>
      <c r="AO747" s="149" t="s">
        <v>126</v>
      </c>
      <c r="AP747" s="23" t="s">
        <v>1316</v>
      </c>
      <c r="AQ747" s="149" t="s">
        <v>162</v>
      </c>
      <c r="AR747" s="51" t="str">
        <f t="shared" si="630"/>
        <v>JD8B-13W030-AD</v>
      </c>
      <c r="AS747" s="3"/>
      <c r="AT747" s="94">
        <v>1</v>
      </c>
      <c r="AU747" s="94">
        <v>1</v>
      </c>
      <c r="AV747" s="94">
        <v>1</v>
      </c>
      <c r="AW747" s="94">
        <v>1</v>
      </c>
      <c r="AX747" s="94">
        <v>1</v>
      </c>
      <c r="AY747" s="94">
        <v>1</v>
      </c>
      <c r="AZ747" s="94">
        <v>0</v>
      </c>
      <c r="BA747" s="94">
        <v>0</v>
      </c>
      <c r="BB747" s="64">
        <f t="shared" si="631"/>
        <v>0.9</v>
      </c>
      <c r="BD747" s="8">
        <f>-273.6*0-274.62-0.5-0.5</f>
        <v>-275.62</v>
      </c>
      <c r="BE747" s="8">
        <v>-7.59</v>
      </c>
      <c r="BF747" s="8">
        <v>-2.36</v>
      </c>
      <c r="BG747" s="8">
        <v>0</v>
      </c>
      <c r="BH747" s="8">
        <v>-3.99</v>
      </c>
      <c r="BI747" s="8">
        <f t="shared" si="679"/>
        <v>-289.56</v>
      </c>
      <c r="BJ747" s="2" t="s">
        <v>84</v>
      </c>
      <c r="BL747" s="8">
        <v>0</v>
      </c>
      <c r="BM747" s="8">
        <v>0</v>
      </c>
      <c r="BO747" s="71" t="s">
        <v>643</v>
      </c>
      <c r="BP747" s="71"/>
      <c r="BQ747" s="72"/>
      <c r="BS747" s="61">
        <f t="shared" si="664"/>
        <v>0</v>
      </c>
      <c r="BT747" s="61">
        <f t="shared" si="665"/>
        <v>0</v>
      </c>
      <c r="BU747" s="61">
        <f t="shared" si="666"/>
        <v>0</v>
      </c>
      <c r="BV747" s="61">
        <f t="shared" si="666"/>
        <v>0</v>
      </c>
      <c r="BW747" s="61">
        <f t="shared" si="666"/>
        <v>0</v>
      </c>
      <c r="BX747" s="61">
        <f t="shared" si="666"/>
        <v>0</v>
      </c>
      <c r="BY747" s="61" t="s">
        <v>91</v>
      </c>
      <c r="CA747" s="61">
        <f t="shared" si="653"/>
        <v>0</v>
      </c>
      <c r="CB747" s="61">
        <f t="shared" si="653"/>
        <v>0</v>
      </c>
      <c r="CC747" s="61">
        <f t="shared" si="653"/>
        <v>0</v>
      </c>
      <c r="CD747" s="61">
        <f t="shared" si="653"/>
        <v>0</v>
      </c>
      <c r="CE747" s="61">
        <f t="shared" si="653"/>
        <v>0</v>
      </c>
      <c r="CF747" s="61">
        <f t="shared" si="653"/>
        <v>0</v>
      </c>
      <c r="CG747" s="61">
        <f t="shared" si="653"/>
        <v>0</v>
      </c>
      <c r="CH747" s="61">
        <f t="shared" si="653"/>
        <v>0</v>
      </c>
      <c r="CI747" s="61">
        <f t="shared" si="655"/>
        <v>0</v>
      </c>
      <c r="CJ747" s="61"/>
      <c r="CK747" s="61">
        <f t="shared" si="654"/>
        <v>0</v>
      </c>
      <c r="CL747" s="61">
        <f t="shared" si="654"/>
        <v>0</v>
      </c>
      <c r="CM747" s="61">
        <f t="shared" si="654"/>
        <v>0</v>
      </c>
      <c r="CN747" s="61">
        <f t="shared" si="654"/>
        <v>0</v>
      </c>
      <c r="CO747" s="61">
        <f t="shared" si="654"/>
        <v>0</v>
      </c>
      <c r="CP747" s="61">
        <f t="shared" si="654"/>
        <v>0</v>
      </c>
      <c r="CQ747" s="61">
        <f t="shared" si="654"/>
        <v>0</v>
      </c>
      <c r="CR747" s="61">
        <f t="shared" si="654"/>
        <v>0</v>
      </c>
      <c r="CS747" s="61">
        <f t="shared" si="656"/>
        <v>0</v>
      </c>
      <c r="CT747" s="63">
        <f t="shared" si="657"/>
        <v>0</v>
      </c>
      <c r="CV747" s="61">
        <f t="shared" ref="CV747" si="690">SUM(AG747)-SUM(BL747)</f>
        <v>0</v>
      </c>
      <c r="CW747" s="61">
        <f t="shared" ref="CW747" si="691">SUM(AH747)-SUM(BM747)</f>
        <v>0</v>
      </c>
      <c r="CX747" s="61"/>
      <c r="CY747" s="61">
        <f t="shared" ref="CY747" si="692">SUM(AJ747)-SUM(BO747)</f>
        <v>0</v>
      </c>
      <c r="CZ747" s="61">
        <f t="shared" si="660"/>
        <v>0</v>
      </c>
      <c r="DA747" s="61">
        <f t="shared" si="660"/>
        <v>0</v>
      </c>
      <c r="DB747" s="2" t="s">
        <v>86</v>
      </c>
      <c r="DC747" s="2" t="s">
        <v>85</v>
      </c>
      <c r="DD747" s="2" t="s">
        <v>142</v>
      </c>
      <c r="DE747" s="2" t="s">
        <v>106</v>
      </c>
      <c r="DF747" s="3" t="s">
        <v>86</v>
      </c>
      <c r="DG747" s="62">
        <v>43172</v>
      </c>
      <c r="EC747" s="60" t="str">
        <f>VLOOKUP($M747,[1]Detail!$M:$BO,1,0)</f>
        <v>JD8B-13W030-AE</v>
      </c>
      <c r="ED747" s="60">
        <f>VLOOKUP($M747,[1]Detail!$M:$BO,22,0)</f>
        <v>-289.56</v>
      </c>
      <c r="EE747" s="60">
        <f>VLOOKUP($M747,[1]Detail!$M:$BO,42,0)</f>
        <v>0</v>
      </c>
      <c r="EF747" s="60" t="str">
        <f>VLOOKUP($M747,[1]Detail!$M:$BO,45,0)</f>
        <v>incl. in above</v>
      </c>
      <c r="EH747" s="60">
        <f t="shared" si="687"/>
        <v>0</v>
      </c>
      <c r="EI747" s="60">
        <f t="shared" si="688"/>
        <v>0</v>
      </c>
      <c r="EJ747" s="60">
        <f>SUM(EF747)-SUM(AJ747)</f>
        <v>0</v>
      </c>
    </row>
    <row r="748" spans="2:140" ht="12.75" hidden="1" customHeight="1">
      <c r="B748" s="99" t="s">
        <v>1318</v>
      </c>
      <c r="C748" s="22" t="s">
        <v>1319</v>
      </c>
      <c r="D748" s="22" t="s">
        <v>1320</v>
      </c>
      <c r="E748" s="2" t="s">
        <v>1005</v>
      </c>
      <c r="F748" s="2" t="s">
        <v>330</v>
      </c>
      <c r="G748" s="2" t="s">
        <v>1269</v>
      </c>
      <c r="J748" s="149" t="s">
        <v>286</v>
      </c>
      <c r="K748" s="23" t="s">
        <v>1321</v>
      </c>
      <c r="L748" s="149" t="s">
        <v>100</v>
      </c>
      <c r="M748" s="51" t="str">
        <f t="shared" si="628"/>
        <v>JD8G-9E857-AA</v>
      </c>
      <c r="O748" s="94">
        <v>1</v>
      </c>
      <c r="P748" s="94">
        <v>1</v>
      </c>
      <c r="Q748" s="94">
        <v>1</v>
      </c>
      <c r="R748" s="94">
        <v>1</v>
      </c>
      <c r="S748" s="22"/>
      <c r="T748" s="22"/>
      <c r="U748" s="94">
        <v>1</v>
      </c>
      <c r="V748" s="22"/>
      <c r="W748" s="64">
        <f t="shared" si="629"/>
        <v>0.72000000000000008</v>
      </c>
      <c r="Y748" s="60">
        <v>-112.4543</v>
      </c>
      <c r="Z748" s="60">
        <v>-1.3792</v>
      </c>
      <c r="AA748" s="60">
        <v>-2.1714000000000002</v>
      </c>
      <c r="AB748" s="60"/>
      <c r="AC748" s="60"/>
      <c r="AD748" s="8">
        <f t="shared" si="567"/>
        <v>-116.00490000000001</v>
      </c>
      <c r="AE748" s="2" t="s">
        <v>84</v>
      </c>
      <c r="AG748" s="70">
        <v>-599000</v>
      </c>
      <c r="AH748" s="70">
        <v>-599000</v>
      </c>
      <c r="AJ748" s="70"/>
      <c r="AK748" s="70"/>
      <c r="AL748" s="72"/>
      <c r="AM748" s="22"/>
      <c r="AO748" s="149" t="s">
        <v>286</v>
      </c>
      <c r="AP748" s="23" t="s">
        <v>1321</v>
      </c>
      <c r="AQ748" s="149" t="s">
        <v>100</v>
      </c>
      <c r="AR748" s="51" t="str">
        <f t="shared" si="630"/>
        <v>JD8G-9E857-AA</v>
      </c>
      <c r="AS748" s="3"/>
      <c r="AT748" s="94">
        <v>1</v>
      </c>
      <c r="AU748" s="94">
        <v>1</v>
      </c>
      <c r="AV748" s="94">
        <v>1</v>
      </c>
      <c r="AW748" s="94">
        <v>1</v>
      </c>
      <c r="AX748" s="22"/>
      <c r="AY748" s="22"/>
      <c r="AZ748" s="94">
        <v>1</v>
      </c>
      <c r="BA748" s="22"/>
      <c r="BB748" s="64">
        <f t="shared" si="631"/>
        <v>0.72000000000000008</v>
      </c>
      <c r="BD748" s="60">
        <v>-112.4543</v>
      </c>
      <c r="BE748" s="60">
        <v>-1.3792</v>
      </c>
      <c r="BF748" s="60">
        <v>-2.1714000000000002</v>
      </c>
      <c r="BG748" s="60"/>
      <c r="BH748" s="60"/>
      <c r="BI748" s="8">
        <f t="shared" si="632"/>
        <v>-116.00490000000001</v>
      </c>
      <c r="BJ748" s="2" t="s">
        <v>84</v>
      </c>
      <c r="BL748" s="70">
        <v>-599000</v>
      </c>
      <c r="BM748" s="70">
        <v>-599000</v>
      </c>
      <c r="BO748" s="70"/>
      <c r="BP748" s="70"/>
      <c r="BQ748" s="72"/>
      <c r="BS748" s="61">
        <f t="shared" si="664"/>
        <v>0</v>
      </c>
      <c r="BT748" s="61">
        <f t="shared" si="665"/>
        <v>0</v>
      </c>
      <c r="BU748" s="61">
        <f t="shared" si="666"/>
        <v>0</v>
      </c>
      <c r="BV748" s="61">
        <f t="shared" si="666"/>
        <v>0</v>
      </c>
      <c r="BW748" s="61">
        <f t="shared" si="666"/>
        <v>0</v>
      </c>
      <c r="BX748" s="61">
        <f t="shared" si="666"/>
        <v>0</v>
      </c>
      <c r="BY748" s="61" t="s">
        <v>91</v>
      </c>
      <c r="CA748" s="61">
        <f t="shared" si="653"/>
        <v>0</v>
      </c>
      <c r="CB748" s="61">
        <f t="shared" si="653"/>
        <v>0</v>
      </c>
      <c r="CC748" s="61">
        <f t="shared" si="653"/>
        <v>0</v>
      </c>
      <c r="CD748" s="61">
        <f t="shared" si="653"/>
        <v>0</v>
      </c>
      <c r="CE748" s="61">
        <f t="shared" si="653"/>
        <v>0</v>
      </c>
      <c r="CF748" s="61">
        <f t="shared" si="653"/>
        <v>0</v>
      </c>
      <c r="CG748" s="61">
        <f t="shared" si="653"/>
        <v>0</v>
      </c>
      <c r="CH748" s="61">
        <f t="shared" si="653"/>
        <v>0</v>
      </c>
      <c r="CI748" s="61">
        <f t="shared" si="655"/>
        <v>0</v>
      </c>
      <c r="CJ748" s="61"/>
      <c r="CK748" s="61">
        <f t="shared" si="654"/>
        <v>0</v>
      </c>
      <c r="CL748" s="61">
        <f t="shared" si="654"/>
        <v>0</v>
      </c>
      <c r="CM748" s="61">
        <f t="shared" si="654"/>
        <v>0</v>
      </c>
      <c r="CN748" s="61">
        <f t="shared" si="654"/>
        <v>0</v>
      </c>
      <c r="CO748" s="61">
        <f t="shared" si="654"/>
        <v>0</v>
      </c>
      <c r="CP748" s="61">
        <f t="shared" si="654"/>
        <v>0</v>
      </c>
      <c r="CQ748" s="61">
        <f t="shared" si="654"/>
        <v>0</v>
      </c>
      <c r="CR748" s="61">
        <f t="shared" si="654"/>
        <v>0</v>
      </c>
      <c r="CS748" s="61">
        <f t="shared" si="656"/>
        <v>0</v>
      </c>
      <c r="CT748" s="61">
        <f t="shared" si="657"/>
        <v>0</v>
      </c>
      <c r="CV748" s="61">
        <f t="shared" si="658"/>
        <v>0</v>
      </c>
      <c r="CW748" s="61">
        <f t="shared" si="659"/>
        <v>0</v>
      </c>
      <c r="CX748" s="61"/>
      <c r="CY748" s="61">
        <f t="shared" si="660"/>
        <v>0</v>
      </c>
      <c r="CZ748" s="61">
        <f t="shared" si="660"/>
        <v>0</v>
      </c>
      <c r="DA748" s="61">
        <f t="shared" si="660"/>
        <v>0</v>
      </c>
      <c r="DB748" s="2" t="s">
        <v>86</v>
      </c>
      <c r="DC748" s="2" t="s">
        <v>86</v>
      </c>
      <c r="DD748" s="2" t="s">
        <v>87</v>
      </c>
      <c r="DE748" s="2" t="s">
        <v>264</v>
      </c>
      <c r="DF748" s="2" t="s">
        <v>86</v>
      </c>
      <c r="DG748" s="62"/>
      <c r="EC748" s="60" t="str">
        <f>VLOOKUP($M748,[1]Detail!$M:$BO,1,0)</f>
        <v>JD8G-9E857-AA</v>
      </c>
      <c r="ED748" s="60">
        <f>VLOOKUP($M748,[1]Detail!$M:$BO,22,0)</f>
        <v>-116.00490000000001</v>
      </c>
      <c r="EE748" s="60">
        <f>VLOOKUP($M748,[1]Detail!$M:$BO,42,0)</f>
        <v>-599000</v>
      </c>
      <c r="EF748" s="60">
        <f>VLOOKUP($M748,[1]Detail!$M:$BO,45,0)</f>
        <v>0</v>
      </c>
      <c r="EH748" s="60">
        <f t="shared" si="687"/>
        <v>0</v>
      </c>
      <c r="EI748" s="60">
        <f t="shared" si="688"/>
        <v>0</v>
      </c>
      <c r="EJ748" s="60">
        <f t="shared" si="689"/>
        <v>0</v>
      </c>
    </row>
    <row r="749" spans="2:140" ht="12.75" hidden="1" customHeight="1">
      <c r="B749" s="99" t="s">
        <v>1318</v>
      </c>
      <c r="C749" s="22" t="s">
        <v>1319</v>
      </c>
      <c r="D749" s="22" t="s">
        <v>1320</v>
      </c>
      <c r="E749" s="2" t="s">
        <v>1005</v>
      </c>
      <c r="F749" s="2" t="s">
        <v>330</v>
      </c>
      <c r="G749" s="2" t="s">
        <v>1269</v>
      </c>
      <c r="J749" s="149" t="s">
        <v>286</v>
      </c>
      <c r="K749" s="23" t="s">
        <v>1321</v>
      </c>
      <c r="L749" s="149" t="s">
        <v>111</v>
      </c>
      <c r="M749" s="51" t="str">
        <f t="shared" si="628"/>
        <v>JD8G-9E857-BA</v>
      </c>
      <c r="O749" s="94">
        <v>1</v>
      </c>
      <c r="P749" s="94">
        <v>1</v>
      </c>
      <c r="Q749" s="94">
        <v>1</v>
      </c>
      <c r="R749" s="94">
        <v>1</v>
      </c>
      <c r="S749" s="94">
        <v>1</v>
      </c>
      <c r="T749" s="94">
        <v>1</v>
      </c>
      <c r="U749" s="94">
        <v>1</v>
      </c>
      <c r="V749" s="94">
        <v>1</v>
      </c>
      <c r="W749" s="64">
        <f t="shared" si="629"/>
        <v>1</v>
      </c>
      <c r="Y749" s="60">
        <v>-41.2254</v>
      </c>
      <c r="Z749" s="60">
        <v>-1.1292</v>
      </c>
      <c r="AA749" s="60">
        <v>-1.9</v>
      </c>
      <c r="AB749" s="60"/>
      <c r="AC749" s="60"/>
      <c r="AD749" s="8">
        <f t="shared" si="567"/>
        <v>-44.254599999999996</v>
      </c>
      <c r="AE749" s="2" t="s">
        <v>84</v>
      </c>
      <c r="AG749" s="70">
        <v>-60000</v>
      </c>
      <c r="AH749" s="70">
        <v>-60000</v>
      </c>
      <c r="AJ749" s="70"/>
      <c r="AK749" s="70"/>
      <c r="AL749" s="72"/>
      <c r="AM749" s="22"/>
      <c r="AO749" s="149" t="s">
        <v>286</v>
      </c>
      <c r="AP749" s="23" t="s">
        <v>1321</v>
      </c>
      <c r="AQ749" s="149" t="s">
        <v>111</v>
      </c>
      <c r="AR749" s="51" t="str">
        <f t="shared" si="630"/>
        <v>JD8G-9E857-BA</v>
      </c>
      <c r="AS749" s="3"/>
      <c r="AT749" s="94">
        <v>1</v>
      </c>
      <c r="AU749" s="94">
        <v>1</v>
      </c>
      <c r="AV749" s="94">
        <v>1</v>
      </c>
      <c r="AW749" s="94">
        <v>1</v>
      </c>
      <c r="AX749" s="94">
        <v>1</v>
      </c>
      <c r="AY749" s="94">
        <v>1</v>
      </c>
      <c r="AZ749" s="94">
        <v>1</v>
      </c>
      <c r="BA749" s="94">
        <v>1</v>
      </c>
      <c r="BB749" s="64">
        <f t="shared" si="631"/>
        <v>1</v>
      </c>
      <c r="BD749" s="60">
        <v>-41.2254</v>
      </c>
      <c r="BE749" s="60">
        <v>-1.1292</v>
      </c>
      <c r="BF749" s="60">
        <v>-1.9</v>
      </c>
      <c r="BG749" s="60"/>
      <c r="BH749" s="60"/>
      <c r="BI749" s="8">
        <f t="shared" si="632"/>
        <v>-44.254599999999996</v>
      </c>
      <c r="BJ749" s="2" t="s">
        <v>84</v>
      </c>
      <c r="BL749" s="70">
        <v>-60000</v>
      </c>
      <c r="BM749" s="70">
        <v>-60000</v>
      </c>
      <c r="BO749" s="70"/>
      <c r="BP749" s="70"/>
      <c r="BQ749" s="72"/>
      <c r="BS749" s="61">
        <f t="shared" si="664"/>
        <v>0</v>
      </c>
      <c r="BT749" s="61">
        <f t="shared" si="665"/>
        <v>0</v>
      </c>
      <c r="BU749" s="61">
        <f t="shared" si="666"/>
        <v>0</v>
      </c>
      <c r="BV749" s="61">
        <f t="shared" si="666"/>
        <v>0</v>
      </c>
      <c r="BW749" s="61">
        <f t="shared" si="666"/>
        <v>0</v>
      </c>
      <c r="BX749" s="61">
        <f t="shared" si="666"/>
        <v>0</v>
      </c>
      <c r="BY749" s="61" t="s">
        <v>91</v>
      </c>
      <c r="CA749" s="61">
        <f t="shared" si="653"/>
        <v>0</v>
      </c>
      <c r="CB749" s="61">
        <f t="shared" si="653"/>
        <v>0</v>
      </c>
      <c r="CC749" s="61">
        <f t="shared" si="653"/>
        <v>0</v>
      </c>
      <c r="CD749" s="61">
        <f t="shared" si="653"/>
        <v>0</v>
      </c>
      <c r="CE749" s="61">
        <f t="shared" si="653"/>
        <v>0</v>
      </c>
      <c r="CF749" s="61">
        <f t="shared" si="653"/>
        <v>0</v>
      </c>
      <c r="CG749" s="61">
        <f t="shared" si="653"/>
        <v>0</v>
      </c>
      <c r="CH749" s="61">
        <f t="shared" si="653"/>
        <v>0</v>
      </c>
      <c r="CI749" s="61">
        <f t="shared" si="655"/>
        <v>0</v>
      </c>
      <c r="CJ749" s="61"/>
      <c r="CK749" s="61">
        <f t="shared" si="654"/>
        <v>0</v>
      </c>
      <c r="CL749" s="61">
        <f t="shared" si="654"/>
        <v>0</v>
      </c>
      <c r="CM749" s="61">
        <f t="shared" si="654"/>
        <v>0</v>
      </c>
      <c r="CN749" s="61">
        <f t="shared" si="654"/>
        <v>0</v>
      </c>
      <c r="CO749" s="61">
        <f t="shared" si="654"/>
        <v>0</v>
      </c>
      <c r="CP749" s="61">
        <f t="shared" si="654"/>
        <v>0</v>
      </c>
      <c r="CQ749" s="61">
        <f t="shared" si="654"/>
        <v>0</v>
      </c>
      <c r="CR749" s="61">
        <f t="shared" si="654"/>
        <v>0</v>
      </c>
      <c r="CS749" s="61">
        <f t="shared" si="656"/>
        <v>0</v>
      </c>
      <c r="CT749" s="61">
        <f t="shared" si="657"/>
        <v>0</v>
      </c>
      <c r="CV749" s="61">
        <f t="shared" si="658"/>
        <v>0</v>
      </c>
      <c r="CW749" s="61">
        <f t="shared" si="659"/>
        <v>0</v>
      </c>
      <c r="CX749" s="61"/>
      <c r="CY749" s="61">
        <f t="shared" si="660"/>
        <v>0</v>
      </c>
      <c r="CZ749" s="61">
        <f t="shared" si="660"/>
        <v>0</v>
      </c>
      <c r="DA749" s="61">
        <f t="shared" si="660"/>
        <v>0</v>
      </c>
      <c r="DB749" s="2" t="s">
        <v>86</v>
      </c>
      <c r="DC749" s="2" t="s">
        <v>86</v>
      </c>
      <c r="DD749" s="2" t="s">
        <v>87</v>
      </c>
      <c r="DE749" s="2" t="s">
        <v>264</v>
      </c>
      <c r="DF749" s="2" t="s">
        <v>86</v>
      </c>
      <c r="DG749" s="62"/>
      <c r="EC749" s="60" t="str">
        <f>VLOOKUP($M749,[1]Detail!$M:$BO,1,0)</f>
        <v>JD8G-9E857-BA</v>
      </c>
      <c r="ED749" s="60">
        <f>VLOOKUP($M749,[1]Detail!$M:$BO,22,0)</f>
        <v>-44.254599999999996</v>
      </c>
      <c r="EE749" s="60">
        <f>VLOOKUP($M749,[1]Detail!$M:$BO,42,0)</f>
        <v>-60000</v>
      </c>
      <c r="EF749" s="60">
        <f>VLOOKUP($M749,[1]Detail!$M:$BO,45,0)</f>
        <v>0</v>
      </c>
      <c r="EH749" s="60">
        <f t="shared" si="687"/>
        <v>0</v>
      </c>
      <c r="EI749" s="60">
        <f t="shared" si="688"/>
        <v>0</v>
      </c>
      <c r="EJ749" s="60">
        <f t="shared" si="689"/>
        <v>0</v>
      </c>
    </row>
    <row r="750" spans="2:140" ht="12.75" hidden="1" customHeight="1">
      <c r="B750" s="99" t="s">
        <v>1322</v>
      </c>
      <c r="C750" s="22" t="s">
        <v>944</v>
      </c>
      <c r="D750" s="22" t="s">
        <v>945</v>
      </c>
      <c r="E750" s="2" t="str">
        <f>VLOOKUP($C750,[1]Detail!$C:$AK,6,0)</f>
        <v>PMT1</v>
      </c>
      <c r="F750" s="2" t="str">
        <f>VLOOKUP($C750,[1]Detail!$C:$AK,7,0)</f>
        <v>TH</v>
      </c>
      <c r="G750" s="2" t="str">
        <f>VLOOKUP($C750,[1]Detail!$C:$AK,5,0)</f>
        <v>B</v>
      </c>
      <c r="J750" s="149" t="s">
        <v>126</v>
      </c>
      <c r="K750" s="23" t="s">
        <v>946</v>
      </c>
      <c r="L750" s="149" t="s">
        <v>132</v>
      </c>
      <c r="M750" s="51" t="str">
        <f t="shared" si="628"/>
        <v>JD8B-16A770-AB</v>
      </c>
      <c r="O750" s="22">
        <v>1</v>
      </c>
      <c r="P750" s="22">
        <v>1</v>
      </c>
      <c r="Q750" s="22">
        <v>1</v>
      </c>
      <c r="R750" s="22">
        <v>1</v>
      </c>
      <c r="S750" s="22">
        <v>1</v>
      </c>
      <c r="T750" s="22">
        <v>1</v>
      </c>
      <c r="U750" s="22">
        <v>1</v>
      </c>
      <c r="V750" s="22">
        <v>1</v>
      </c>
      <c r="W750" s="64">
        <f t="shared" si="629"/>
        <v>1</v>
      </c>
      <c r="Y750" s="8">
        <v>-7.74</v>
      </c>
      <c r="Z750" s="8">
        <v>-0.25</v>
      </c>
      <c r="AA750" s="8">
        <v>-0.25</v>
      </c>
      <c r="AB750" s="8">
        <v>0</v>
      </c>
      <c r="AC750" s="8">
        <v>0</v>
      </c>
      <c r="AD750" s="8">
        <f t="shared" si="567"/>
        <v>-8.24</v>
      </c>
      <c r="AE750" s="2" t="s">
        <v>91</v>
      </c>
      <c r="AG750" s="70"/>
      <c r="AH750" s="70"/>
      <c r="AJ750" s="70"/>
      <c r="AK750" s="70"/>
      <c r="AL750" s="72"/>
      <c r="AM750" s="22"/>
      <c r="AO750" s="22" t="s">
        <v>126</v>
      </c>
      <c r="AP750" s="85" t="s">
        <v>946</v>
      </c>
      <c r="AQ750" s="22" t="s">
        <v>100</v>
      </c>
      <c r="AR750" s="51" t="str">
        <f t="shared" si="630"/>
        <v>JD8B-16A770-AA</v>
      </c>
      <c r="AS750" s="3"/>
      <c r="AT750" s="22">
        <v>1</v>
      </c>
      <c r="AU750" s="22">
        <v>1</v>
      </c>
      <c r="AV750" s="22">
        <v>1</v>
      </c>
      <c r="AW750" s="22">
        <v>1</v>
      </c>
      <c r="AX750" s="22">
        <v>1</v>
      </c>
      <c r="AY750" s="22">
        <v>1</v>
      </c>
      <c r="AZ750" s="22">
        <v>1</v>
      </c>
      <c r="BA750" s="22">
        <v>1</v>
      </c>
      <c r="BB750" s="64">
        <f t="shared" si="631"/>
        <v>1</v>
      </c>
      <c r="BD750" s="8">
        <v>-7.74</v>
      </c>
      <c r="BE750" s="8">
        <v>-0.25</v>
      </c>
      <c r="BF750" s="8">
        <v>-0.25</v>
      </c>
      <c r="BG750" s="8">
        <v>0</v>
      </c>
      <c r="BH750" s="8">
        <v>0</v>
      </c>
      <c r="BI750" s="8">
        <f t="shared" si="632"/>
        <v>-8.24</v>
      </c>
      <c r="BJ750" s="2" t="s">
        <v>91</v>
      </c>
      <c r="BL750" s="70"/>
      <c r="BM750" s="70"/>
      <c r="BO750" s="70"/>
      <c r="BP750" s="70"/>
      <c r="BQ750" s="72"/>
      <c r="BS750" s="61">
        <f t="shared" si="664"/>
        <v>0</v>
      </c>
      <c r="BT750" s="61">
        <f t="shared" si="665"/>
        <v>0</v>
      </c>
      <c r="BU750" s="61">
        <f t="shared" si="666"/>
        <v>0</v>
      </c>
      <c r="BV750" s="61">
        <f t="shared" si="666"/>
        <v>0</v>
      </c>
      <c r="BW750" s="61">
        <f t="shared" si="666"/>
        <v>0</v>
      </c>
      <c r="BX750" s="61">
        <f t="shared" si="666"/>
        <v>0</v>
      </c>
      <c r="BY750" s="61" t="s">
        <v>91</v>
      </c>
      <c r="CA750" s="61">
        <f t="shared" si="653"/>
        <v>0</v>
      </c>
      <c r="CB750" s="61">
        <f t="shared" si="653"/>
        <v>0</v>
      </c>
      <c r="CC750" s="61">
        <f t="shared" si="653"/>
        <v>0</v>
      </c>
      <c r="CD750" s="61">
        <f t="shared" si="653"/>
        <v>0</v>
      </c>
      <c r="CE750" s="61">
        <f t="shared" si="653"/>
        <v>0</v>
      </c>
      <c r="CF750" s="61">
        <f t="shared" si="653"/>
        <v>0</v>
      </c>
      <c r="CG750" s="61">
        <f t="shared" si="653"/>
        <v>0</v>
      </c>
      <c r="CH750" s="61">
        <f t="shared" si="653"/>
        <v>0</v>
      </c>
      <c r="CI750" s="61">
        <f t="shared" si="655"/>
        <v>0</v>
      </c>
      <c r="CJ750" s="61"/>
      <c r="CK750" s="61">
        <f t="shared" si="654"/>
        <v>0</v>
      </c>
      <c r="CL750" s="61">
        <f t="shared" si="654"/>
        <v>0</v>
      </c>
      <c r="CM750" s="61">
        <f t="shared" si="654"/>
        <v>0</v>
      </c>
      <c r="CN750" s="61">
        <f t="shared" si="654"/>
        <v>0</v>
      </c>
      <c r="CO750" s="61">
        <f t="shared" si="654"/>
        <v>0</v>
      </c>
      <c r="CP750" s="61">
        <f t="shared" si="654"/>
        <v>0</v>
      </c>
      <c r="CQ750" s="61">
        <f t="shared" si="654"/>
        <v>0</v>
      </c>
      <c r="CR750" s="61">
        <f t="shared" si="654"/>
        <v>0</v>
      </c>
      <c r="CS750" s="61">
        <f t="shared" si="656"/>
        <v>0</v>
      </c>
      <c r="CT750" s="61">
        <f t="shared" si="657"/>
        <v>0</v>
      </c>
      <c r="CV750" s="61">
        <f t="shared" si="658"/>
        <v>0</v>
      </c>
      <c r="CW750" s="61">
        <f t="shared" si="659"/>
        <v>0</v>
      </c>
      <c r="CX750" s="61"/>
      <c r="CY750" s="61">
        <f t="shared" si="660"/>
        <v>0</v>
      </c>
      <c r="CZ750" s="61">
        <f t="shared" si="660"/>
        <v>0</v>
      </c>
      <c r="DA750" s="61">
        <f t="shared" si="660"/>
        <v>0</v>
      </c>
      <c r="DB750" s="2" t="s">
        <v>86</v>
      </c>
      <c r="DC750" s="2" t="s">
        <v>86</v>
      </c>
      <c r="DD750" s="2" t="s">
        <v>87</v>
      </c>
      <c r="DE750" s="2" t="s">
        <v>264</v>
      </c>
      <c r="DF750" s="2" t="s">
        <v>86</v>
      </c>
      <c r="DG750" s="62">
        <v>43019</v>
      </c>
      <c r="EC750" s="60" t="str">
        <f>VLOOKUP($M750,[1]Detail!$M:$BO,1,0)</f>
        <v>JD8B-16A770-AB</v>
      </c>
      <c r="ED750" s="60">
        <f>VLOOKUP($M750,[1]Detail!$M:$BO,22,0)</f>
        <v>-8.24</v>
      </c>
      <c r="EE750" s="60">
        <f>VLOOKUP($M750,[1]Detail!$M:$BO,42,0)</f>
        <v>0</v>
      </c>
      <c r="EF750" s="60">
        <f>VLOOKUP($M750,[1]Detail!$M:$BO,45,0)</f>
        <v>0</v>
      </c>
      <c r="EH750" s="60">
        <f t="shared" si="687"/>
        <v>0</v>
      </c>
      <c r="EI750" s="60">
        <f t="shared" si="688"/>
        <v>0</v>
      </c>
      <c r="EJ750" s="60">
        <f t="shared" si="689"/>
        <v>0</v>
      </c>
    </row>
    <row r="751" spans="2:140" ht="12.75" hidden="1" customHeight="1">
      <c r="B751" s="99" t="s">
        <v>1280</v>
      </c>
      <c r="C751" s="22" t="s">
        <v>1274</v>
      </c>
      <c r="D751" s="22" t="s">
        <v>1275</v>
      </c>
      <c r="E751" s="2" t="s">
        <v>968</v>
      </c>
      <c r="F751" s="2" t="s">
        <v>969</v>
      </c>
      <c r="G751" s="2" t="s">
        <v>994</v>
      </c>
      <c r="J751" s="149" t="s">
        <v>126</v>
      </c>
      <c r="K751" s="23" t="s">
        <v>1276</v>
      </c>
      <c r="L751" s="149" t="s">
        <v>234</v>
      </c>
      <c r="M751" s="51" t="str">
        <f t="shared" si="628"/>
        <v>JD8B-F219A64-AC</v>
      </c>
      <c r="O751" s="22"/>
      <c r="P751" s="22"/>
      <c r="Q751" s="22"/>
      <c r="R751" s="22"/>
      <c r="S751" s="22"/>
      <c r="T751" s="22"/>
      <c r="U751" s="22">
        <v>1</v>
      </c>
      <c r="V751" s="22">
        <v>1</v>
      </c>
      <c r="W751" s="64">
        <f t="shared" si="629"/>
        <v>0.1</v>
      </c>
      <c r="Y751" s="60">
        <f>-88.56-2.77</f>
        <v>-91.33</v>
      </c>
      <c r="Z751" s="60">
        <v>-1.23</v>
      </c>
      <c r="AA751" s="60">
        <v>-0.38</v>
      </c>
      <c r="AB751" s="60">
        <v>-0.63</v>
      </c>
      <c r="AC751" s="60">
        <v>-3.32</v>
      </c>
      <c r="AD751" s="8">
        <f t="shared" ref="AD751:AD754" si="693">SUM(Y751:AC751)</f>
        <v>-96.889999999999986</v>
      </c>
      <c r="AE751" s="2" t="s">
        <v>84</v>
      </c>
      <c r="AG751" s="70">
        <v>-400000</v>
      </c>
      <c r="AH751" s="70">
        <v>-400000</v>
      </c>
      <c r="AJ751" s="70">
        <f>-368470</f>
        <v>-368470</v>
      </c>
      <c r="AK751" s="70">
        <f>AJ751/3.32</f>
        <v>-110984.93975903615</v>
      </c>
      <c r="AL751" s="72"/>
      <c r="AM751" s="22"/>
      <c r="AO751" s="149" t="s">
        <v>126</v>
      </c>
      <c r="AP751" s="23" t="s">
        <v>1276</v>
      </c>
      <c r="AQ751" s="149" t="s">
        <v>132</v>
      </c>
      <c r="AR751" s="51" t="str">
        <f t="shared" si="630"/>
        <v>JD8B-F219A64-AB</v>
      </c>
      <c r="AS751" s="3"/>
      <c r="AT751" s="22"/>
      <c r="AU751" s="22"/>
      <c r="AV751" s="22"/>
      <c r="AW751" s="22"/>
      <c r="AX751" s="22"/>
      <c r="AY751" s="22"/>
      <c r="AZ751" s="22">
        <v>1</v>
      </c>
      <c r="BA751" s="22">
        <v>1</v>
      </c>
      <c r="BB751" s="64">
        <f t="shared" si="631"/>
        <v>0.1</v>
      </c>
      <c r="BD751" s="60">
        <v>-88.56</v>
      </c>
      <c r="BE751" s="60">
        <v>-1.23</v>
      </c>
      <c r="BF751" s="60">
        <v>-0.38</v>
      </c>
      <c r="BG751" s="60">
        <v>-0.63</v>
      </c>
      <c r="BH751" s="60">
        <v>-3.32</v>
      </c>
      <c r="BI751" s="8">
        <f t="shared" si="632"/>
        <v>-94.11999999999999</v>
      </c>
      <c r="BJ751" s="2" t="s">
        <v>84</v>
      </c>
      <c r="BL751" s="70">
        <v>-400000</v>
      </c>
      <c r="BM751" s="70">
        <v>-400000</v>
      </c>
      <c r="BO751" s="70">
        <f>-368470</f>
        <v>-368470</v>
      </c>
      <c r="BP751" s="70">
        <f>BO751/3.32</f>
        <v>-110984.93975903615</v>
      </c>
      <c r="BQ751" s="72"/>
      <c r="BS751" s="61">
        <f t="shared" si="664"/>
        <v>-2.769999999999996</v>
      </c>
      <c r="BT751" s="61">
        <f t="shared" si="665"/>
        <v>0</v>
      </c>
      <c r="BU751" s="61">
        <f t="shared" si="666"/>
        <v>0</v>
      </c>
      <c r="BV751" s="61">
        <f t="shared" si="666"/>
        <v>0</v>
      </c>
      <c r="BW751" s="61">
        <f t="shared" si="666"/>
        <v>0</v>
      </c>
      <c r="BX751" s="61">
        <f t="shared" si="666"/>
        <v>-2.769999999999996</v>
      </c>
      <c r="BY751" s="61" t="s">
        <v>91</v>
      </c>
      <c r="CA751" s="61">
        <f t="shared" si="653"/>
        <v>0</v>
      </c>
      <c r="CB751" s="61">
        <f t="shared" si="653"/>
        <v>0</v>
      </c>
      <c r="CC751" s="61">
        <f t="shared" si="653"/>
        <v>0</v>
      </c>
      <c r="CD751" s="61">
        <f t="shared" si="653"/>
        <v>0</v>
      </c>
      <c r="CE751" s="61">
        <f t="shared" si="653"/>
        <v>0</v>
      </c>
      <c r="CF751" s="61">
        <f t="shared" si="653"/>
        <v>0</v>
      </c>
      <c r="CG751" s="61">
        <f t="shared" si="653"/>
        <v>-0.41672935158718155</v>
      </c>
      <c r="CH751" s="61">
        <f t="shared" si="653"/>
        <v>-0.41672935158718155</v>
      </c>
      <c r="CI751" s="61">
        <f t="shared" si="655"/>
        <v>-4.1672935158718158E-2</v>
      </c>
      <c r="CJ751" s="61"/>
      <c r="CK751" s="61">
        <f t="shared" si="654"/>
        <v>0</v>
      </c>
      <c r="CL751" s="61">
        <f t="shared" si="654"/>
        <v>0</v>
      </c>
      <c r="CM751" s="61">
        <f t="shared" si="654"/>
        <v>0</v>
      </c>
      <c r="CN751" s="61">
        <f t="shared" si="654"/>
        <v>0</v>
      </c>
      <c r="CO751" s="61">
        <f t="shared" si="654"/>
        <v>0</v>
      </c>
      <c r="CP751" s="61">
        <f t="shared" si="654"/>
        <v>0</v>
      </c>
      <c r="CQ751" s="61">
        <f t="shared" si="654"/>
        <v>-0.41672935158718155</v>
      </c>
      <c r="CR751" s="61">
        <f t="shared" si="654"/>
        <v>-0.41672935158718155</v>
      </c>
      <c r="CS751" s="61">
        <f t="shared" si="656"/>
        <v>-4.1672935158718158E-2</v>
      </c>
      <c r="CT751" s="61">
        <f t="shared" si="657"/>
        <v>-0.27699999999999958</v>
      </c>
      <c r="CV751" s="61">
        <f t="shared" si="658"/>
        <v>0</v>
      </c>
      <c r="CW751" s="61">
        <f t="shared" si="659"/>
        <v>0</v>
      </c>
      <c r="CX751" s="61"/>
      <c r="CY751" s="61">
        <f t="shared" si="660"/>
        <v>0</v>
      </c>
      <c r="CZ751" s="61">
        <f t="shared" si="660"/>
        <v>0</v>
      </c>
      <c r="DA751" s="61">
        <f t="shared" si="660"/>
        <v>0</v>
      </c>
      <c r="DB751" s="2" t="s">
        <v>134</v>
      </c>
      <c r="DC751" s="2" t="s">
        <v>85</v>
      </c>
      <c r="DD751" s="2" t="s">
        <v>87</v>
      </c>
      <c r="DE751" s="2" t="s">
        <v>1146</v>
      </c>
      <c r="DF751" s="2" t="s">
        <v>86</v>
      </c>
      <c r="DG751" s="62"/>
      <c r="EC751" s="60"/>
      <c r="ED751" s="60"/>
      <c r="EE751" s="60"/>
      <c r="EF751" s="60"/>
    </row>
    <row r="752" spans="2:140" s="115" customFormat="1" ht="12.75" hidden="1" customHeight="1">
      <c r="B752" s="99" t="s">
        <v>1280</v>
      </c>
      <c r="C752" s="115" t="s">
        <v>1274</v>
      </c>
      <c r="D752" s="115" t="s">
        <v>1275</v>
      </c>
      <c r="E752" s="115" t="s">
        <v>968</v>
      </c>
      <c r="F752" s="115" t="s">
        <v>969</v>
      </c>
      <c r="G752" s="115" t="s">
        <v>994</v>
      </c>
      <c r="J752" s="151" t="s">
        <v>126</v>
      </c>
      <c r="K752" s="122" t="s">
        <v>1277</v>
      </c>
      <c r="L752" s="151" t="s">
        <v>234</v>
      </c>
      <c r="M752" s="51" t="str">
        <f t="shared" si="628"/>
        <v>JD8B-F219A65-AC</v>
      </c>
      <c r="N752" s="123"/>
      <c r="U752" s="115">
        <v>1</v>
      </c>
      <c r="V752" s="115">
        <v>1</v>
      </c>
      <c r="W752" s="125">
        <f t="shared" si="629"/>
        <v>0.1</v>
      </c>
      <c r="Y752" s="60">
        <f>-91.58-2.83</f>
        <v>-94.41</v>
      </c>
      <c r="Z752" s="60">
        <v>-1.23</v>
      </c>
      <c r="AA752" s="60">
        <v>-0.38</v>
      </c>
      <c r="AB752" s="60">
        <v>-0.63</v>
      </c>
      <c r="AC752" s="60">
        <v>-3.32</v>
      </c>
      <c r="AD752" s="126">
        <f t="shared" si="693"/>
        <v>-99.969999999999985</v>
      </c>
      <c r="AE752" s="115" t="s">
        <v>84</v>
      </c>
      <c r="AG752" s="70" t="s">
        <v>1278</v>
      </c>
      <c r="AH752" s="70" t="s">
        <v>1278</v>
      </c>
      <c r="AJ752" s="70" t="s">
        <v>1278</v>
      </c>
      <c r="AK752" s="70" t="s">
        <v>1278</v>
      </c>
      <c r="AL752" s="72"/>
      <c r="AO752" s="151" t="s">
        <v>126</v>
      </c>
      <c r="AP752" s="122" t="s">
        <v>1277</v>
      </c>
      <c r="AQ752" s="151" t="s">
        <v>132</v>
      </c>
      <c r="AR752" s="51" t="str">
        <f t="shared" si="630"/>
        <v>JD8B-F219A65-AB</v>
      </c>
      <c r="AS752" s="123"/>
      <c r="AZ752" s="115">
        <v>1</v>
      </c>
      <c r="BA752" s="115">
        <v>1</v>
      </c>
      <c r="BB752" s="125">
        <f t="shared" si="631"/>
        <v>0.1</v>
      </c>
      <c r="BD752" s="60">
        <v>-91.58</v>
      </c>
      <c r="BE752" s="60">
        <v>-1.23</v>
      </c>
      <c r="BF752" s="60">
        <v>-0.38</v>
      </c>
      <c r="BG752" s="60">
        <v>-0.63</v>
      </c>
      <c r="BH752" s="60">
        <v>-3.32</v>
      </c>
      <c r="BI752" s="126">
        <f t="shared" si="632"/>
        <v>-97.139999999999986</v>
      </c>
      <c r="BJ752" s="115" t="s">
        <v>84</v>
      </c>
      <c r="BL752" s="70" t="s">
        <v>1278</v>
      </c>
      <c r="BM752" s="70" t="s">
        <v>1278</v>
      </c>
      <c r="BO752" s="70" t="s">
        <v>1278</v>
      </c>
      <c r="BP752" s="70" t="s">
        <v>1278</v>
      </c>
      <c r="BQ752" s="72"/>
      <c r="BS752" s="61">
        <f t="shared" si="664"/>
        <v>-2.8299999999999983</v>
      </c>
      <c r="BT752" s="61">
        <f t="shared" si="665"/>
        <v>0</v>
      </c>
      <c r="BU752" s="61">
        <f t="shared" si="666"/>
        <v>0</v>
      </c>
      <c r="BV752" s="61">
        <f t="shared" si="666"/>
        <v>0</v>
      </c>
      <c r="BW752" s="61">
        <f t="shared" si="666"/>
        <v>0</v>
      </c>
      <c r="BX752" s="61">
        <f t="shared" si="666"/>
        <v>-2.8299999999999983</v>
      </c>
      <c r="BY752" s="61" t="s">
        <v>91</v>
      </c>
      <c r="CA752" s="61">
        <f t="shared" si="653"/>
        <v>0</v>
      </c>
      <c r="CB752" s="61">
        <f t="shared" si="653"/>
        <v>0</v>
      </c>
      <c r="CC752" s="61">
        <f t="shared" si="653"/>
        <v>0</v>
      </c>
      <c r="CD752" s="61">
        <f t="shared" si="653"/>
        <v>0</v>
      </c>
      <c r="CE752" s="61">
        <f t="shared" si="653"/>
        <v>0</v>
      </c>
      <c r="CF752" s="61">
        <f t="shared" si="653"/>
        <v>0</v>
      </c>
      <c r="CG752" s="61">
        <f t="shared" si="653"/>
        <v>-0.42575598014141691</v>
      </c>
      <c r="CH752" s="61">
        <f t="shared" si="653"/>
        <v>-0.42575598014141691</v>
      </c>
      <c r="CI752" s="61">
        <f t="shared" si="655"/>
        <v>-4.2575598014141694E-2</v>
      </c>
      <c r="CJ752" s="61"/>
      <c r="CK752" s="61">
        <f t="shared" si="654"/>
        <v>0</v>
      </c>
      <c r="CL752" s="61">
        <f t="shared" si="654"/>
        <v>0</v>
      </c>
      <c r="CM752" s="61">
        <f t="shared" si="654"/>
        <v>0</v>
      </c>
      <c r="CN752" s="61">
        <f t="shared" si="654"/>
        <v>0</v>
      </c>
      <c r="CO752" s="61">
        <f t="shared" si="654"/>
        <v>0</v>
      </c>
      <c r="CP752" s="61">
        <f t="shared" si="654"/>
        <v>0</v>
      </c>
      <c r="CQ752" s="61">
        <f t="shared" si="654"/>
        <v>-0.42575598014141691</v>
      </c>
      <c r="CR752" s="61">
        <f t="shared" si="654"/>
        <v>-0.42575598014141691</v>
      </c>
      <c r="CS752" s="61">
        <f t="shared" si="656"/>
        <v>-4.2575598014141694E-2</v>
      </c>
      <c r="CT752" s="61">
        <f t="shared" si="657"/>
        <v>-0.28299999999999986</v>
      </c>
      <c r="CV752" s="61">
        <f t="shared" si="658"/>
        <v>0</v>
      </c>
      <c r="CW752" s="61">
        <f t="shared" si="659"/>
        <v>0</v>
      </c>
      <c r="CX752" s="61"/>
      <c r="CY752" s="61">
        <f t="shared" si="660"/>
        <v>0</v>
      </c>
      <c r="CZ752" s="61">
        <f t="shared" si="660"/>
        <v>0</v>
      </c>
      <c r="DA752" s="61">
        <f t="shared" si="660"/>
        <v>0</v>
      </c>
      <c r="DB752" s="115" t="s">
        <v>86</v>
      </c>
      <c r="DC752" s="115" t="s">
        <v>85</v>
      </c>
      <c r="DD752" s="115" t="s">
        <v>87</v>
      </c>
      <c r="DE752" s="115" t="s">
        <v>264</v>
      </c>
      <c r="DF752" s="123" t="s">
        <v>86</v>
      </c>
      <c r="DG752" s="128">
        <v>43019</v>
      </c>
      <c r="DZ752" s="123"/>
      <c r="EC752" s="60" t="str">
        <f>VLOOKUP($M752,[1]Detail!$M:$BO,1,0)</f>
        <v>JD8B-F219A65-AC</v>
      </c>
      <c r="ED752" s="60">
        <f>VLOOKUP($M752,[1]Detail!$M:$BO,22,0)</f>
        <v>-99.969999999999985</v>
      </c>
      <c r="EE752" s="60" t="str">
        <f>VLOOKUP($M752,[1]Detail!$M:$BO,42,0)</f>
        <v>inc. in above</v>
      </c>
      <c r="EF752" s="60" t="str">
        <f>VLOOKUP($M752,[1]Detail!$M:$BO,45,0)</f>
        <v>inc. in above</v>
      </c>
      <c r="EH752" s="60">
        <f t="shared" ref="EH752:EH756" si="694">ED752-AD752</f>
        <v>0</v>
      </c>
      <c r="EI752" s="60" t="e">
        <f t="shared" ref="EI752:EI756" si="695">EE752-AG752</f>
        <v>#VALUE!</v>
      </c>
      <c r="EJ752" s="60" t="e">
        <f t="shared" ref="EJ752:EJ756" si="696">EF752-AJ752</f>
        <v>#VALUE!</v>
      </c>
    </row>
    <row r="753" spans="2:140" ht="12.75" hidden="1" customHeight="1">
      <c r="B753" s="99" t="s">
        <v>1280</v>
      </c>
      <c r="C753" s="22" t="s">
        <v>1323</v>
      </c>
      <c r="D753" s="22" t="s">
        <v>558</v>
      </c>
      <c r="E753" s="2" t="str">
        <f>VLOOKUP($C753,[1]Detail!$C:$AK,6,0)</f>
        <v>PMT1</v>
      </c>
      <c r="F753" s="2" t="str">
        <f>VLOOKUP($C753,[1]Detail!$C:$AK,7,0)</f>
        <v>TH</v>
      </c>
      <c r="G753" s="2" t="str">
        <f>VLOOKUP($C753,[1]Detail!$C:$AK,5,0)</f>
        <v>B</v>
      </c>
      <c r="J753" s="149" t="s">
        <v>559</v>
      </c>
      <c r="K753" s="23" t="s">
        <v>1324</v>
      </c>
      <c r="L753" s="149" t="s">
        <v>210</v>
      </c>
      <c r="M753" s="51" t="str">
        <f t="shared" si="628"/>
        <v>PJD8B-F22400-BBW</v>
      </c>
      <c r="O753" s="94">
        <v>0</v>
      </c>
      <c r="P753" s="94">
        <v>0</v>
      </c>
      <c r="Q753" s="94">
        <v>0</v>
      </c>
      <c r="R753" s="94">
        <v>0</v>
      </c>
      <c r="S753" s="94">
        <v>0</v>
      </c>
      <c r="T753" s="94">
        <v>0</v>
      </c>
      <c r="U753" s="94">
        <v>1</v>
      </c>
      <c r="V753" s="94">
        <v>1</v>
      </c>
      <c r="W753" s="64">
        <f t="shared" si="629"/>
        <v>0.1</v>
      </c>
      <c r="Y753" s="60">
        <f>-89.7+1.12</f>
        <v>-88.58</v>
      </c>
      <c r="Z753" s="60">
        <v>-1.21</v>
      </c>
      <c r="AA753" s="95">
        <v>-0.8</v>
      </c>
      <c r="AB753" s="95">
        <v>0</v>
      </c>
      <c r="AC753" s="95">
        <v>-7.04</v>
      </c>
      <c r="AD753" s="8">
        <f t="shared" si="693"/>
        <v>-97.63</v>
      </c>
      <c r="AE753" s="2" t="s">
        <v>84</v>
      </c>
      <c r="AG753" s="70">
        <f>-1166250-12500</f>
        <v>-1178750</v>
      </c>
      <c r="AH753" s="70">
        <v>-1166250</v>
      </c>
      <c r="AJ753" s="71">
        <v>-783079.52500000002</v>
      </c>
      <c r="AK753" s="71">
        <f>55586*2</f>
        <v>111172</v>
      </c>
      <c r="AL753" s="72"/>
      <c r="AM753" s="22"/>
      <c r="AO753" s="149" t="s">
        <v>559</v>
      </c>
      <c r="AP753" s="23" t="s">
        <v>1324</v>
      </c>
      <c r="AQ753" s="22" t="s">
        <v>198</v>
      </c>
      <c r="AR753" s="51" t="str">
        <f t="shared" si="630"/>
        <v>PJD8B-F22400-BAW</v>
      </c>
      <c r="AS753" s="3"/>
      <c r="AT753" s="94">
        <v>0</v>
      </c>
      <c r="AU753" s="94">
        <v>0</v>
      </c>
      <c r="AV753" s="94">
        <v>0</v>
      </c>
      <c r="AW753" s="94">
        <v>0</v>
      </c>
      <c r="AX753" s="94">
        <v>0</v>
      </c>
      <c r="AY753" s="94">
        <v>0</v>
      </c>
      <c r="AZ753" s="94">
        <v>1</v>
      </c>
      <c r="BA753" s="94">
        <v>1</v>
      </c>
      <c r="BB753" s="64">
        <v>0.1</v>
      </c>
      <c r="BD753" s="60">
        <v>-89.7</v>
      </c>
      <c r="BE753" s="60">
        <v>-1.21</v>
      </c>
      <c r="BF753" s="95">
        <v>-0.8</v>
      </c>
      <c r="BG753" s="95">
        <v>0</v>
      </c>
      <c r="BH753" s="95">
        <v>-7.04</v>
      </c>
      <c r="BI753" s="8">
        <v>-98.75</v>
      </c>
      <c r="BJ753" s="2" t="s">
        <v>91</v>
      </c>
      <c r="BL753" s="70">
        <v>-1153750</v>
      </c>
      <c r="BM753" s="70">
        <v>-1153750</v>
      </c>
      <c r="BO753" s="70">
        <v>-783079.52500000002</v>
      </c>
      <c r="BP753" s="70">
        <v>111172</v>
      </c>
      <c r="BQ753" s="72">
        <v>0</v>
      </c>
      <c r="BS753" s="61">
        <f t="shared" si="664"/>
        <v>1.1200000000000045</v>
      </c>
      <c r="BT753" s="61">
        <f t="shared" si="665"/>
        <v>0</v>
      </c>
      <c r="BU753" s="61">
        <f t="shared" si="666"/>
        <v>0</v>
      </c>
      <c r="BV753" s="61">
        <f t="shared" si="666"/>
        <v>0</v>
      </c>
      <c r="BW753" s="61">
        <f t="shared" si="666"/>
        <v>0</v>
      </c>
      <c r="BX753" s="61">
        <f t="shared" si="666"/>
        <v>1.1200000000000045</v>
      </c>
      <c r="BY753" s="61" t="s">
        <v>91</v>
      </c>
      <c r="CA753" s="61">
        <f t="shared" si="653"/>
        <v>0</v>
      </c>
      <c r="CB753" s="61">
        <f t="shared" si="653"/>
        <v>0</v>
      </c>
      <c r="CC753" s="61">
        <f t="shared" si="653"/>
        <v>0</v>
      </c>
      <c r="CD753" s="61">
        <f t="shared" si="653"/>
        <v>0</v>
      </c>
      <c r="CE753" s="61">
        <f t="shared" si="653"/>
        <v>0</v>
      </c>
      <c r="CF753" s="61">
        <f t="shared" si="653"/>
        <v>0</v>
      </c>
      <c r="CG753" s="61">
        <f t="shared" si="653"/>
        <v>0.16849706634572056</v>
      </c>
      <c r="CH753" s="61">
        <f t="shared" si="653"/>
        <v>0.16849706634572056</v>
      </c>
      <c r="CI753" s="61">
        <f t="shared" si="655"/>
        <v>1.6849706634572057E-2</v>
      </c>
      <c r="CJ753" s="61"/>
      <c r="CK753" s="61">
        <f t="shared" si="654"/>
        <v>0</v>
      </c>
      <c r="CL753" s="61">
        <f t="shared" si="654"/>
        <v>0</v>
      </c>
      <c r="CM753" s="61">
        <f t="shared" si="654"/>
        <v>0</v>
      </c>
      <c r="CN753" s="61">
        <f t="shared" si="654"/>
        <v>0</v>
      </c>
      <c r="CO753" s="61">
        <f t="shared" si="654"/>
        <v>0</v>
      </c>
      <c r="CP753" s="61">
        <f t="shared" si="654"/>
        <v>0</v>
      </c>
      <c r="CQ753" s="61">
        <f t="shared" si="654"/>
        <v>0.16849706634572056</v>
      </c>
      <c r="CR753" s="61">
        <f t="shared" si="654"/>
        <v>0.16849706634572056</v>
      </c>
      <c r="CS753" s="61">
        <f t="shared" si="656"/>
        <v>1.6849706634572057E-2</v>
      </c>
      <c r="CT753" s="61">
        <f t="shared" si="657"/>
        <v>0.11200000000000047</v>
      </c>
      <c r="CV753" s="61">
        <f t="shared" si="658"/>
        <v>-25000</v>
      </c>
      <c r="CW753" s="61">
        <f t="shared" si="659"/>
        <v>-12500</v>
      </c>
      <c r="CX753" s="61"/>
      <c r="CY753" s="61">
        <f t="shared" si="660"/>
        <v>0</v>
      </c>
      <c r="CZ753" s="61">
        <f t="shared" si="660"/>
        <v>0</v>
      </c>
      <c r="DA753" s="61">
        <f t="shared" si="660"/>
        <v>0</v>
      </c>
      <c r="DB753" s="2" t="s">
        <v>86</v>
      </c>
      <c r="DC753" s="2" t="s">
        <v>85</v>
      </c>
      <c r="DD753" s="2" t="s">
        <v>87</v>
      </c>
      <c r="DE753" s="2" t="s">
        <v>264</v>
      </c>
      <c r="DF753" s="3" t="s">
        <v>86</v>
      </c>
      <c r="DG753" s="62">
        <v>43019</v>
      </c>
      <c r="EC753" s="60" t="str">
        <f>VLOOKUP($M753,[1]Detail!$M:$BO,1,0)</f>
        <v>PJD8B-F22400-BBW</v>
      </c>
      <c r="ED753" s="60">
        <f>VLOOKUP($M753,[1]Detail!$M:$BO,22,0)</f>
        <v>-97.635599999999982</v>
      </c>
      <c r="EE753" s="60">
        <f>VLOOKUP($M753,[1]Detail!$M:$BO,42,0)</f>
        <v>-1166250</v>
      </c>
      <c r="EF753" s="60">
        <f>VLOOKUP($M753,[1]Detail!$M:$BO,45,0)</f>
        <v>-783079.52500000002</v>
      </c>
      <c r="EH753" s="60">
        <f t="shared" si="694"/>
        <v>-5.5999999999869488E-3</v>
      </c>
      <c r="EI753" s="60">
        <f t="shared" si="695"/>
        <v>12500</v>
      </c>
      <c r="EJ753" s="60">
        <f t="shared" si="696"/>
        <v>0</v>
      </c>
    </row>
    <row r="754" spans="2:140" ht="12.75" hidden="1" customHeight="1">
      <c r="B754" s="99" t="s">
        <v>1325</v>
      </c>
      <c r="C754" s="22" t="s">
        <v>557</v>
      </c>
      <c r="D754" s="22" t="s">
        <v>558</v>
      </c>
      <c r="E754" s="2" t="str">
        <f>VLOOKUP($C754,[1]Detail!$C:$AK,6,0)</f>
        <v>PMT1</v>
      </c>
      <c r="F754" s="2" t="str">
        <f>VLOOKUP($C754,[1]Detail!$C:$AK,7,0)</f>
        <v>TH</v>
      </c>
      <c r="G754" s="2" t="str">
        <f>VLOOKUP($C754,[1]Detail!$C:$AK,5,0)</f>
        <v>B</v>
      </c>
      <c r="J754" s="149" t="s">
        <v>1326</v>
      </c>
      <c r="K754" s="23" t="s">
        <v>1327</v>
      </c>
      <c r="L754" s="149" t="s">
        <v>210</v>
      </c>
      <c r="M754" s="51" t="str">
        <f t="shared" si="628"/>
        <v>PJD8B-F22401-BBW</v>
      </c>
      <c r="O754" s="94">
        <v>0</v>
      </c>
      <c r="P754" s="94">
        <v>0</v>
      </c>
      <c r="Q754" s="94">
        <v>0</v>
      </c>
      <c r="R754" s="94">
        <v>0</v>
      </c>
      <c r="S754" s="94">
        <v>0</v>
      </c>
      <c r="T754" s="94">
        <v>0</v>
      </c>
      <c r="U754" s="94">
        <v>1</v>
      </c>
      <c r="V754" s="94">
        <v>1</v>
      </c>
      <c r="W754" s="64">
        <f t="shared" si="629"/>
        <v>0.1</v>
      </c>
      <c r="Y754" s="60">
        <f>-88.34+1.06</f>
        <v>-87.28</v>
      </c>
      <c r="Z754" s="60">
        <v>-1.23</v>
      </c>
      <c r="AA754" s="60">
        <v>-0.82</v>
      </c>
      <c r="AB754" s="95">
        <v>0</v>
      </c>
      <c r="AC754" s="95">
        <v>-7.04</v>
      </c>
      <c r="AD754" s="8">
        <f t="shared" si="693"/>
        <v>-96.37</v>
      </c>
      <c r="AE754" s="2" t="s">
        <v>84</v>
      </c>
      <c r="AG754" s="70">
        <f>-995750-12500</f>
        <v>-1008250</v>
      </c>
      <c r="AH754" s="70">
        <f>-995750-12500</f>
        <v>-1008250</v>
      </c>
      <c r="AJ754" s="71" t="s">
        <v>114</v>
      </c>
      <c r="AK754" s="70"/>
      <c r="AL754" s="72"/>
      <c r="AM754" s="22"/>
      <c r="AO754" s="149" t="s">
        <v>1326</v>
      </c>
      <c r="AP754" s="23" t="s">
        <v>1327</v>
      </c>
      <c r="AQ754" s="22" t="s">
        <v>198</v>
      </c>
      <c r="AR754" s="51" t="str">
        <f t="shared" si="630"/>
        <v>PJD8B-F22401-BAW</v>
      </c>
      <c r="AS754" s="3"/>
      <c r="AT754" s="94">
        <v>0</v>
      </c>
      <c r="AU754" s="94">
        <v>0</v>
      </c>
      <c r="AV754" s="94">
        <v>0</v>
      </c>
      <c r="AW754" s="94">
        <v>0</v>
      </c>
      <c r="AX754" s="94">
        <v>0</v>
      </c>
      <c r="AY754" s="94">
        <v>0</v>
      </c>
      <c r="AZ754" s="94">
        <v>1</v>
      </c>
      <c r="BA754" s="94">
        <v>1</v>
      </c>
      <c r="BB754" s="64">
        <v>0.1</v>
      </c>
      <c r="BD754" s="60">
        <v>-88.34</v>
      </c>
      <c r="BE754" s="60">
        <v>-1.23</v>
      </c>
      <c r="BF754" s="95">
        <v>-0.82</v>
      </c>
      <c r="BG754" s="95">
        <v>0</v>
      </c>
      <c r="BH754" s="95">
        <v>-7.04</v>
      </c>
      <c r="BI754" s="8">
        <v>-97.43</v>
      </c>
      <c r="BJ754" s="2" t="s">
        <v>91</v>
      </c>
      <c r="BL754" s="70">
        <v>-983250</v>
      </c>
      <c r="BM754" s="70">
        <v>-983250</v>
      </c>
      <c r="BO754" s="70" t="s">
        <v>183</v>
      </c>
      <c r="BP754" s="70">
        <v>0</v>
      </c>
      <c r="BQ754" s="72">
        <v>0</v>
      </c>
      <c r="BS754" s="61">
        <f t="shared" si="664"/>
        <v>1.0600000000000023</v>
      </c>
      <c r="BT754" s="61">
        <f t="shared" si="665"/>
        <v>0</v>
      </c>
      <c r="BU754" s="61">
        <f t="shared" si="666"/>
        <v>0</v>
      </c>
      <c r="BV754" s="61">
        <f t="shared" si="666"/>
        <v>0</v>
      </c>
      <c r="BW754" s="61">
        <f t="shared" si="666"/>
        <v>0</v>
      </c>
      <c r="BX754" s="61">
        <f t="shared" si="666"/>
        <v>1.0600000000000023</v>
      </c>
      <c r="BY754" s="61" t="s">
        <v>91</v>
      </c>
      <c r="CA754" s="61">
        <f t="shared" si="653"/>
        <v>0</v>
      </c>
      <c r="CB754" s="61">
        <f t="shared" si="653"/>
        <v>0</v>
      </c>
      <c r="CC754" s="61">
        <f t="shared" si="653"/>
        <v>0</v>
      </c>
      <c r="CD754" s="61">
        <f t="shared" si="653"/>
        <v>0</v>
      </c>
      <c r="CE754" s="61">
        <f t="shared" si="653"/>
        <v>0</v>
      </c>
      <c r="CF754" s="61">
        <f t="shared" si="653"/>
        <v>0</v>
      </c>
      <c r="CG754" s="61">
        <f t="shared" si="653"/>
        <v>0.1594704377914852</v>
      </c>
      <c r="CH754" s="61">
        <f t="shared" si="653"/>
        <v>0.1594704377914852</v>
      </c>
      <c r="CI754" s="61">
        <f t="shared" si="655"/>
        <v>1.5947043779148521E-2</v>
      </c>
      <c r="CJ754" s="61"/>
      <c r="CK754" s="61">
        <f t="shared" si="654"/>
        <v>0</v>
      </c>
      <c r="CL754" s="61">
        <f t="shared" si="654"/>
        <v>0</v>
      </c>
      <c r="CM754" s="61">
        <f t="shared" si="654"/>
        <v>0</v>
      </c>
      <c r="CN754" s="61">
        <f t="shared" si="654"/>
        <v>0</v>
      </c>
      <c r="CO754" s="61">
        <f t="shared" si="654"/>
        <v>0</v>
      </c>
      <c r="CP754" s="61">
        <f t="shared" si="654"/>
        <v>0</v>
      </c>
      <c r="CQ754" s="61">
        <f t="shared" si="654"/>
        <v>0.1594704377914852</v>
      </c>
      <c r="CR754" s="61">
        <f t="shared" si="654"/>
        <v>0.1594704377914852</v>
      </c>
      <c r="CS754" s="61">
        <f t="shared" si="656"/>
        <v>1.5947043779148521E-2</v>
      </c>
      <c r="CT754" s="61">
        <f t="shared" si="657"/>
        <v>0.10600000000000022</v>
      </c>
      <c r="CV754" s="61">
        <f t="shared" si="658"/>
        <v>-25000</v>
      </c>
      <c r="CW754" s="61">
        <f t="shared" si="659"/>
        <v>-25000</v>
      </c>
      <c r="CX754" s="61"/>
      <c r="CY754" s="61">
        <f t="shared" si="660"/>
        <v>0</v>
      </c>
      <c r="CZ754" s="61">
        <f t="shared" si="660"/>
        <v>0</v>
      </c>
      <c r="DA754" s="61">
        <f t="shared" si="660"/>
        <v>0</v>
      </c>
      <c r="DB754" s="2" t="s">
        <v>85</v>
      </c>
      <c r="DC754" s="2" t="s">
        <v>85</v>
      </c>
      <c r="DD754" s="2" t="s">
        <v>87</v>
      </c>
      <c r="DE754" s="2" t="s">
        <v>264</v>
      </c>
      <c r="DF754" s="3" t="s">
        <v>86</v>
      </c>
      <c r="DG754" s="62">
        <v>43019</v>
      </c>
      <c r="EC754" s="60"/>
      <c r="ED754" s="60"/>
      <c r="EE754" s="60"/>
      <c r="EF754" s="60"/>
      <c r="EH754" s="60"/>
      <c r="EI754" s="60"/>
      <c r="EJ754" s="60"/>
    </row>
    <row r="755" spans="2:140" ht="12.75" hidden="1" customHeight="1">
      <c r="B755" s="99" t="s">
        <v>1280</v>
      </c>
      <c r="C755" s="22" t="s">
        <v>557</v>
      </c>
      <c r="D755" s="22" t="s">
        <v>558</v>
      </c>
      <c r="E755" s="2" t="str">
        <f>VLOOKUP($C755,[1]Detail!$C:$AK,6,0)</f>
        <v>PMT1</v>
      </c>
      <c r="F755" s="2" t="str">
        <f>VLOOKUP($C755,[1]Detail!$C:$AK,7,0)</f>
        <v>TH</v>
      </c>
      <c r="G755" s="2" t="str">
        <f>VLOOKUP($C755,[1]Detail!$C:$AK,5,0)</f>
        <v>B</v>
      </c>
      <c r="J755" s="149" t="s">
        <v>1326</v>
      </c>
      <c r="K755" s="23" t="s">
        <v>1328</v>
      </c>
      <c r="L755" s="149" t="s">
        <v>210</v>
      </c>
      <c r="M755" s="51" t="str">
        <f t="shared" si="628"/>
        <v>PJD8B-F26600-BBW</v>
      </c>
      <c r="O755" s="94">
        <v>0</v>
      </c>
      <c r="P755" s="94">
        <v>0</v>
      </c>
      <c r="Q755" s="94">
        <v>0</v>
      </c>
      <c r="R755" s="94">
        <v>0</v>
      </c>
      <c r="S755" s="94">
        <v>0</v>
      </c>
      <c r="T755" s="94">
        <v>0</v>
      </c>
      <c r="U755" s="94">
        <v>1</v>
      </c>
      <c r="V755" s="94">
        <v>1</v>
      </c>
      <c r="W755" s="64">
        <f t="shared" si="629"/>
        <v>0.1</v>
      </c>
      <c r="Y755" s="60">
        <v>-35.33</v>
      </c>
      <c r="Z755" s="60">
        <v>-1.21</v>
      </c>
      <c r="AA755" s="60">
        <v>-0.8</v>
      </c>
      <c r="AB755" s="2">
        <v>0</v>
      </c>
      <c r="AC755" s="2">
        <v>0</v>
      </c>
      <c r="AD755" s="8">
        <v>-37.339999999999996</v>
      </c>
      <c r="AE755" s="2" t="s">
        <v>91</v>
      </c>
      <c r="AG755" s="70">
        <f>-432750-12500</f>
        <v>-445250</v>
      </c>
      <c r="AH755" s="70">
        <v>-432750</v>
      </c>
      <c r="AJ755" s="70"/>
      <c r="AK755" s="70"/>
      <c r="AL755" s="72"/>
      <c r="AM755" s="22"/>
      <c r="AO755" s="22" t="s">
        <v>559</v>
      </c>
      <c r="AP755" s="23" t="s">
        <v>562</v>
      </c>
      <c r="AQ755" s="22" t="s">
        <v>198</v>
      </c>
      <c r="AR755" s="51" t="str">
        <f t="shared" si="630"/>
        <v>PJD8B-F26600-BAW</v>
      </c>
      <c r="AS755" s="3"/>
      <c r="AT755" s="94">
        <v>0</v>
      </c>
      <c r="AU755" s="94">
        <v>0</v>
      </c>
      <c r="AV755" s="94">
        <v>0</v>
      </c>
      <c r="AW755" s="94">
        <v>0</v>
      </c>
      <c r="AX755" s="94">
        <v>0</v>
      </c>
      <c r="AY755" s="94">
        <v>0</v>
      </c>
      <c r="AZ755" s="94">
        <v>1</v>
      </c>
      <c r="BA755" s="94">
        <v>1</v>
      </c>
      <c r="BB755" s="64">
        <f>SUMPRODUCT(AT755:BA755,$O$6:$V$6)</f>
        <v>0.1</v>
      </c>
      <c r="BD755" s="2">
        <v>-35.33</v>
      </c>
      <c r="BE755" s="2">
        <v>-1.21</v>
      </c>
      <c r="BF755" s="2">
        <v>-0.8</v>
      </c>
      <c r="BG755" s="2">
        <v>0</v>
      </c>
      <c r="BH755" s="2">
        <v>0</v>
      </c>
      <c r="BI755" s="8">
        <f>SUM(BD755:BH755)</f>
        <v>-37.339999999999996</v>
      </c>
      <c r="BJ755" s="2" t="s">
        <v>91</v>
      </c>
      <c r="BL755" s="70">
        <v>-420250</v>
      </c>
      <c r="BM755" s="70">
        <v>-420250</v>
      </c>
      <c r="BO755" s="70"/>
      <c r="BP755" s="70"/>
      <c r="BQ755" s="72"/>
      <c r="BS755" s="61">
        <f t="shared" si="664"/>
        <v>0</v>
      </c>
      <c r="BT755" s="61">
        <f t="shared" si="665"/>
        <v>0</v>
      </c>
      <c r="BU755" s="61">
        <f t="shared" si="666"/>
        <v>0</v>
      </c>
      <c r="BV755" s="61">
        <f t="shared" si="666"/>
        <v>0</v>
      </c>
      <c r="BW755" s="61">
        <f t="shared" si="666"/>
        <v>0</v>
      </c>
      <c r="BX755" s="61">
        <f t="shared" si="666"/>
        <v>0</v>
      </c>
      <c r="BY755" s="61" t="s">
        <v>91</v>
      </c>
      <c r="CA755" s="61">
        <f t="shared" si="653"/>
        <v>0</v>
      </c>
      <c r="CB755" s="61">
        <f t="shared" si="653"/>
        <v>0</v>
      </c>
      <c r="CC755" s="61">
        <f t="shared" si="653"/>
        <v>0</v>
      </c>
      <c r="CD755" s="61">
        <f t="shared" si="653"/>
        <v>0</v>
      </c>
      <c r="CE755" s="61">
        <f t="shared" si="653"/>
        <v>0</v>
      </c>
      <c r="CF755" s="61">
        <f t="shared" si="653"/>
        <v>0</v>
      </c>
      <c r="CG755" s="61">
        <f t="shared" si="653"/>
        <v>0</v>
      </c>
      <c r="CH755" s="61">
        <f t="shared" si="653"/>
        <v>0</v>
      </c>
      <c r="CI755" s="61">
        <f t="shared" si="655"/>
        <v>0</v>
      </c>
      <c r="CJ755" s="61"/>
      <c r="CK755" s="61">
        <f t="shared" si="654"/>
        <v>0</v>
      </c>
      <c r="CL755" s="61">
        <f t="shared" si="654"/>
        <v>0</v>
      </c>
      <c r="CM755" s="61">
        <f t="shared" si="654"/>
        <v>0</v>
      </c>
      <c r="CN755" s="61">
        <f t="shared" si="654"/>
        <v>0</v>
      </c>
      <c r="CO755" s="61">
        <f t="shared" si="654"/>
        <v>0</v>
      </c>
      <c r="CP755" s="61">
        <f t="shared" si="654"/>
        <v>0</v>
      </c>
      <c r="CQ755" s="61">
        <f t="shared" si="654"/>
        <v>0</v>
      </c>
      <c r="CR755" s="61">
        <f t="shared" si="654"/>
        <v>0</v>
      </c>
      <c r="CS755" s="61">
        <f t="shared" si="656"/>
        <v>0</v>
      </c>
      <c r="CT755" s="61">
        <f t="shared" si="657"/>
        <v>0</v>
      </c>
      <c r="CV755" s="61">
        <f t="shared" si="658"/>
        <v>-25000</v>
      </c>
      <c r="CW755" s="61">
        <f t="shared" si="659"/>
        <v>-12500</v>
      </c>
      <c r="CX755" s="61"/>
      <c r="CY755" s="61">
        <f t="shared" si="660"/>
        <v>0</v>
      </c>
      <c r="CZ755" s="61">
        <f t="shared" si="660"/>
        <v>0</v>
      </c>
      <c r="DA755" s="61">
        <f t="shared" si="660"/>
        <v>0</v>
      </c>
      <c r="DB755" s="2" t="s">
        <v>86</v>
      </c>
      <c r="DC755" s="2" t="s">
        <v>102</v>
      </c>
      <c r="DD755" s="2" t="s">
        <v>142</v>
      </c>
      <c r="DE755" s="2" t="s">
        <v>264</v>
      </c>
      <c r="DF755" s="3" t="s">
        <v>86</v>
      </c>
      <c r="DG755" s="62">
        <v>43019</v>
      </c>
      <c r="EC755" s="60" t="str">
        <f>VLOOKUP($M755,[1]Detail!$M:$BO,1,0)</f>
        <v>PJD8B-F26600-BBW</v>
      </c>
      <c r="ED755" s="60">
        <f>VLOOKUP($M755,[1]Detail!$M:$BO,22,0)</f>
        <v>-37.339999999999996</v>
      </c>
      <c r="EE755" s="60">
        <f>VLOOKUP($M755,[1]Detail!$M:$BO,42,0)</f>
        <v>-432750</v>
      </c>
      <c r="EF755" s="60">
        <f>VLOOKUP($M755,[1]Detail!$M:$BO,45,0)</f>
        <v>0</v>
      </c>
      <c r="EH755" s="60">
        <f t="shared" si="694"/>
        <v>0</v>
      </c>
      <c r="EI755" s="60">
        <f t="shared" si="695"/>
        <v>12500</v>
      </c>
      <c r="EJ755" s="60">
        <f t="shared" si="696"/>
        <v>0</v>
      </c>
    </row>
    <row r="756" spans="2:140" ht="12.75" hidden="1" customHeight="1">
      <c r="B756" s="156" t="s">
        <v>1280</v>
      </c>
      <c r="C756" s="22" t="s">
        <v>557</v>
      </c>
      <c r="D756" s="22" t="s">
        <v>558</v>
      </c>
      <c r="E756" s="2" t="str">
        <f>VLOOKUP($C756,[1]Detail!$C:$AK,6,0)</f>
        <v>PMT1</v>
      </c>
      <c r="F756" s="2" t="str">
        <f>VLOOKUP($C756,[1]Detail!$C:$AK,7,0)</f>
        <v>TH</v>
      </c>
      <c r="G756" s="2" t="str">
        <f>VLOOKUP($C756,[1]Detail!$C:$AK,5,0)</f>
        <v>B</v>
      </c>
      <c r="J756" s="149" t="s">
        <v>1326</v>
      </c>
      <c r="K756" s="23" t="s">
        <v>1329</v>
      </c>
      <c r="L756" s="149" t="s">
        <v>210</v>
      </c>
      <c r="M756" s="51" t="str">
        <f t="shared" si="628"/>
        <v>PJD8B-F26601-BBW</v>
      </c>
      <c r="O756" s="94">
        <v>0</v>
      </c>
      <c r="P756" s="94">
        <v>0</v>
      </c>
      <c r="Q756" s="94">
        <v>0</v>
      </c>
      <c r="R756" s="94">
        <v>0</v>
      </c>
      <c r="S756" s="94">
        <v>0</v>
      </c>
      <c r="T756" s="94">
        <v>0</v>
      </c>
      <c r="U756" s="94">
        <v>1</v>
      </c>
      <c r="V756" s="94">
        <v>1</v>
      </c>
      <c r="W756" s="64">
        <f t="shared" si="629"/>
        <v>0.1</v>
      </c>
      <c r="Y756" s="60">
        <v>-35.33</v>
      </c>
      <c r="Z756" s="60">
        <v>-1.21</v>
      </c>
      <c r="AA756" s="60">
        <v>-0.8</v>
      </c>
      <c r="AB756" s="2">
        <v>0</v>
      </c>
      <c r="AC756" s="2">
        <v>0</v>
      </c>
      <c r="AD756" s="8">
        <v>-37.339999999999996</v>
      </c>
      <c r="AE756" s="2" t="s">
        <v>91</v>
      </c>
      <c r="AG756" s="70">
        <f>-603250-12500</f>
        <v>-615750</v>
      </c>
      <c r="AH756" s="70">
        <v>-603250</v>
      </c>
      <c r="AJ756" s="70"/>
      <c r="AK756" s="70"/>
      <c r="AL756" s="72"/>
      <c r="AM756" s="22"/>
      <c r="AO756" s="22" t="s">
        <v>559</v>
      </c>
      <c r="AP756" s="23" t="s">
        <v>563</v>
      </c>
      <c r="AQ756" s="22" t="s">
        <v>198</v>
      </c>
      <c r="AR756" s="51" t="str">
        <f t="shared" si="630"/>
        <v>PJD8B-F26601-BAW</v>
      </c>
      <c r="AS756" s="3"/>
      <c r="AT756" s="94">
        <v>0</v>
      </c>
      <c r="AU756" s="94">
        <v>0</v>
      </c>
      <c r="AV756" s="94">
        <v>0</v>
      </c>
      <c r="AW756" s="94">
        <v>0</v>
      </c>
      <c r="AX756" s="94">
        <v>0</v>
      </c>
      <c r="AY756" s="94">
        <v>0</v>
      </c>
      <c r="AZ756" s="94">
        <v>1</v>
      </c>
      <c r="BA756" s="94">
        <v>1</v>
      </c>
      <c r="BB756" s="64">
        <f>SUMPRODUCT(AT756:BA756,$O$6:$V$6)</f>
        <v>0.1</v>
      </c>
      <c r="BD756" s="2">
        <v>-35.33</v>
      </c>
      <c r="BE756" s="2">
        <v>-1.21</v>
      </c>
      <c r="BF756" s="2">
        <v>-0.8</v>
      </c>
      <c r="BG756" s="2">
        <v>0</v>
      </c>
      <c r="BH756" s="2">
        <v>0</v>
      </c>
      <c r="BI756" s="8">
        <f>SUM(BD756:BH756)</f>
        <v>-37.339999999999996</v>
      </c>
      <c r="BJ756" s="2" t="s">
        <v>91</v>
      </c>
      <c r="BL756" s="70">
        <v>-590750</v>
      </c>
      <c r="BM756" s="70">
        <v>-590750</v>
      </c>
      <c r="BO756" s="70"/>
      <c r="BP756" s="70"/>
      <c r="BQ756" s="72"/>
      <c r="BS756" s="61">
        <f t="shared" si="664"/>
        <v>0</v>
      </c>
      <c r="BT756" s="61">
        <f t="shared" si="665"/>
        <v>0</v>
      </c>
      <c r="BU756" s="61">
        <f t="shared" si="666"/>
        <v>0</v>
      </c>
      <c r="BV756" s="61">
        <f t="shared" si="666"/>
        <v>0</v>
      </c>
      <c r="BW756" s="61">
        <f t="shared" si="666"/>
        <v>0</v>
      </c>
      <c r="BX756" s="61">
        <f t="shared" si="666"/>
        <v>0</v>
      </c>
      <c r="BY756" s="61" t="s">
        <v>91</v>
      </c>
      <c r="CA756" s="61">
        <f t="shared" si="653"/>
        <v>0</v>
      </c>
      <c r="CB756" s="61">
        <f t="shared" si="653"/>
        <v>0</v>
      </c>
      <c r="CC756" s="61">
        <f t="shared" si="653"/>
        <v>0</v>
      </c>
      <c r="CD756" s="61">
        <f t="shared" si="653"/>
        <v>0</v>
      </c>
      <c r="CE756" s="61">
        <f t="shared" si="653"/>
        <v>0</v>
      </c>
      <c r="CF756" s="61">
        <f t="shared" si="653"/>
        <v>0</v>
      </c>
      <c r="CG756" s="61">
        <f t="shared" si="653"/>
        <v>0</v>
      </c>
      <c r="CH756" s="61">
        <f t="shared" si="653"/>
        <v>0</v>
      </c>
      <c r="CI756" s="61">
        <f t="shared" si="655"/>
        <v>0</v>
      </c>
      <c r="CJ756" s="61"/>
      <c r="CK756" s="61">
        <f t="shared" si="654"/>
        <v>0</v>
      </c>
      <c r="CL756" s="61">
        <f t="shared" si="654"/>
        <v>0</v>
      </c>
      <c r="CM756" s="61">
        <f t="shared" si="654"/>
        <v>0</v>
      </c>
      <c r="CN756" s="61">
        <f t="shared" si="654"/>
        <v>0</v>
      </c>
      <c r="CO756" s="61">
        <f t="shared" si="654"/>
        <v>0</v>
      </c>
      <c r="CP756" s="61">
        <f t="shared" si="654"/>
        <v>0</v>
      </c>
      <c r="CQ756" s="61">
        <f t="shared" si="654"/>
        <v>0</v>
      </c>
      <c r="CR756" s="61">
        <f t="shared" si="654"/>
        <v>0</v>
      </c>
      <c r="CS756" s="61">
        <f t="shared" si="656"/>
        <v>0</v>
      </c>
      <c r="CT756" s="61">
        <f t="shared" si="657"/>
        <v>0</v>
      </c>
      <c r="CV756" s="61">
        <f t="shared" si="658"/>
        <v>-25000</v>
      </c>
      <c r="CW756" s="61">
        <f t="shared" si="659"/>
        <v>-12500</v>
      </c>
      <c r="CX756" s="61"/>
      <c r="CY756" s="61">
        <f t="shared" si="660"/>
        <v>0</v>
      </c>
      <c r="CZ756" s="61">
        <f t="shared" si="660"/>
        <v>0</v>
      </c>
      <c r="DA756" s="61">
        <f t="shared" si="660"/>
        <v>0</v>
      </c>
      <c r="DB756" s="2" t="s">
        <v>86</v>
      </c>
      <c r="DC756" s="2" t="s">
        <v>102</v>
      </c>
      <c r="DD756" s="2" t="s">
        <v>142</v>
      </c>
      <c r="DE756" s="2" t="s">
        <v>264</v>
      </c>
      <c r="DF756" s="3" t="s">
        <v>86</v>
      </c>
      <c r="DG756" s="62">
        <v>43019</v>
      </c>
      <c r="EC756" s="60" t="str">
        <f>VLOOKUP($M756,[1]Detail!$M:$BO,1,0)</f>
        <v>PJD8B-F26601-BBW</v>
      </c>
      <c r="ED756" s="60">
        <f>VLOOKUP($M756,[1]Detail!$M:$BO,22,0)</f>
        <v>-37.339999999999996</v>
      </c>
      <c r="EE756" s="60">
        <f>VLOOKUP($M756,[1]Detail!$M:$BO,42,0)</f>
        <v>-603250</v>
      </c>
      <c r="EF756" s="60">
        <f>VLOOKUP($M756,[1]Detail!$M:$BO,45,0)</f>
        <v>0</v>
      </c>
      <c r="EH756" s="60">
        <f t="shared" si="694"/>
        <v>0</v>
      </c>
      <c r="EI756" s="60">
        <f t="shared" si="695"/>
        <v>12500</v>
      </c>
      <c r="EJ756" s="60">
        <f t="shared" si="696"/>
        <v>0</v>
      </c>
    </row>
    <row r="757" spans="2:140" ht="12.75" hidden="1" customHeight="1">
      <c r="B757" s="99" t="s">
        <v>1330</v>
      </c>
      <c r="C757" s="22" t="s">
        <v>991</v>
      </c>
      <c r="D757" s="22" t="s">
        <v>992</v>
      </c>
      <c r="E757" s="2" t="s">
        <v>993</v>
      </c>
      <c r="F757" s="2" t="s">
        <v>969</v>
      </c>
      <c r="G757" s="2" t="s">
        <v>331</v>
      </c>
      <c r="J757" s="149" t="s">
        <v>126</v>
      </c>
      <c r="K757" s="23" t="s">
        <v>1127</v>
      </c>
      <c r="L757" s="149" t="s">
        <v>565</v>
      </c>
      <c r="M757" s="51" t="str">
        <f t="shared" si="628"/>
        <v>JD8B-F045A06-ACW</v>
      </c>
      <c r="O757" s="22"/>
      <c r="P757" s="22"/>
      <c r="Q757" s="22">
        <v>1</v>
      </c>
      <c r="R757" s="22">
        <v>1</v>
      </c>
      <c r="S757" s="22"/>
      <c r="T757" s="22"/>
      <c r="U757" s="22"/>
      <c r="V757" s="22"/>
      <c r="W757" s="64">
        <f t="shared" si="629"/>
        <v>0.37</v>
      </c>
      <c r="Y757" s="60">
        <v>-234.59</v>
      </c>
      <c r="Z757" s="60">
        <v>0</v>
      </c>
      <c r="AA757" s="60">
        <v>-0.93</v>
      </c>
      <c r="AB757" s="60"/>
      <c r="AC757" s="60"/>
      <c r="AD757" s="8">
        <f t="shared" ref="AD757:AD781" si="697">SUM(Y757:AC757)</f>
        <v>-235.52</v>
      </c>
      <c r="AE757" s="2" t="s">
        <v>84</v>
      </c>
      <c r="AG757" s="70">
        <v>-5509890</v>
      </c>
      <c r="AH757" s="70">
        <v>-5509890</v>
      </c>
      <c r="AJ757" s="70"/>
      <c r="AK757" s="70"/>
      <c r="AL757" s="72"/>
      <c r="AM757" s="22"/>
      <c r="AO757" s="149" t="s">
        <v>126</v>
      </c>
      <c r="AP757" s="23" t="s">
        <v>1127</v>
      </c>
      <c r="AQ757" s="22" t="s">
        <v>196</v>
      </c>
      <c r="AR757" s="51" t="s">
        <v>1331</v>
      </c>
      <c r="AS757" s="3"/>
      <c r="AT757" s="94"/>
      <c r="AU757" s="94"/>
      <c r="AV757" s="94">
        <v>1</v>
      </c>
      <c r="AW757" s="94">
        <v>1</v>
      </c>
      <c r="AX757" s="94"/>
      <c r="AY757" s="94"/>
      <c r="AZ757" s="94"/>
      <c r="BA757" s="94"/>
      <c r="BB757" s="64">
        <v>0.37</v>
      </c>
      <c r="BD757" s="60">
        <v>-233.38996730807054</v>
      </c>
      <c r="BE757" s="60"/>
      <c r="BF757" s="95">
        <v>-0.93</v>
      </c>
      <c r="BG757" s="95"/>
      <c r="BH757" s="95"/>
      <c r="BI757" s="8">
        <v>-234.31996730807055</v>
      </c>
      <c r="BL757" s="70">
        <v>-5065590</v>
      </c>
      <c r="BM757" s="70">
        <v>-5065590</v>
      </c>
      <c r="BO757" s="70"/>
      <c r="BP757" s="70"/>
      <c r="BQ757" s="72"/>
      <c r="BS757" s="61">
        <f t="shared" si="664"/>
        <v>-1.200032691929465</v>
      </c>
      <c r="BT757" s="61">
        <f t="shared" si="665"/>
        <v>0</v>
      </c>
      <c r="BU757" s="61">
        <f t="shared" si="666"/>
        <v>0</v>
      </c>
      <c r="BV757" s="61">
        <f t="shared" si="666"/>
        <v>0</v>
      </c>
      <c r="BW757" s="61">
        <f t="shared" si="666"/>
        <v>0</v>
      </c>
      <c r="BX757" s="61">
        <f t="shared" si="666"/>
        <v>-1.200032691929465</v>
      </c>
      <c r="BY757" s="61" t="s">
        <v>91</v>
      </c>
      <c r="CA757" s="61">
        <f t="shared" si="653"/>
        <v>0</v>
      </c>
      <c r="CB757" s="61">
        <f t="shared" si="653"/>
        <v>0</v>
      </c>
      <c r="CC757" s="61">
        <f t="shared" si="653"/>
        <v>-0.18053748938309991</v>
      </c>
      <c r="CD757" s="61">
        <f t="shared" si="653"/>
        <v>-0.18053748938309991</v>
      </c>
      <c r="CE757" s="61">
        <f t="shared" si="653"/>
        <v>0</v>
      </c>
      <c r="CF757" s="61">
        <f t="shared" si="653"/>
        <v>0</v>
      </c>
      <c r="CG757" s="61">
        <f t="shared" si="653"/>
        <v>0</v>
      </c>
      <c r="CH757" s="61">
        <f t="shared" si="653"/>
        <v>0</v>
      </c>
      <c r="CI757" s="61">
        <f t="shared" si="655"/>
        <v>-6.6798871071746979E-2</v>
      </c>
      <c r="CJ757" s="61"/>
      <c r="CK757" s="61">
        <f t="shared" si="654"/>
        <v>0</v>
      </c>
      <c r="CL757" s="61">
        <f t="shared" si="654"/>
        <v>0</v>
      </c>
      <c r="CM757" s="61">
        <f t="shared" si="654"/>
        <v>-0.18053748938309991</v>
      </c>
      <c r="CN757" s="61">
        <f t="shared" si="654"/>
        <v>-0.18053748938309991</v>
      </c>
      <c r="CO757" s="61">
        <f t="shared" si="654"/>
        <v>0</v>
      </c>
      <c r="CP757" s="61">
        <f t="shared" si="654"/>
        <v>0</v>
      </c>
      <c r="CQ757" s="61">
        <f t="shared" si="654"/>
        <v>0</v>
      </c>
      <c r="CR757" s="61">
        <f t="shared" si="654"/>
        <v>0</v>
      </c>
      <c r="CS757" s="61">
        <f t="shared" si="656"/>
        <v>-6.6798871071746979E-2</v>
      </c>
      <c r="CT757" s="61">
        <f t="shared" si="657"/>
        <v>-0.44401209601390218</v>
      </c>
      <c r="CV757" s="61">
        <f t="shared" si="658"/>
        <v>-444300</v>
      </c>
      <c r="CW757" s="61">
        <f t="shared" si="659"/>
        <v>-444300</v>
      </c>
      <c r="CX757" s="61"/>
      <c r="CY757" s="61">
        <f t="shared" si="660"/>
        <v>0</v>
      </c>
      <c r="CZ757" s="61">
        <f t="shared" si="660"/>
        <v>0</v>
      </c>
      <c r="DA757" s="61">
        <f t="shared" si="660"/>
        <v>0</v>
      </c>
      <c r="DB757" s="2" t="s">
        <v>134</v>
      </c>
      <c r="DC757" s="2" t="s">
        <v>85</v>
      </c>
      <c r="DD757" s="2" t="s">
        <v>142</v>
      </c>
      <c r="DE757" s="2" t="s">
        <v>1146</v>
      </c>
      <c r="DG757" s="62"/>
      <c r="DZ757" s="3" t="e">
        <v>#N/A</v>
      </c>
      <c r="EC757" s="60"/>
      <c r="ED757" s="60"/>
      <c r="EE757" s="60"/>
      <c r="EF757" s="60"/>
    </row>
    <row r="758" spans="2:140" ht="12.75" hidden="1" customHeight="1">
      <c r="B758" s="99" t="s">
        <v>1330</v>
      </c>
      <c r="C758" s="22" t="s">
        <v>991</v>
      </c>
      <c r="D758" s="22" t="s">
        <v>992</v>
      </c>
      <c r="E758" s="2" t="s">
        <v>993</v>
      </c>
      <c r="F758" s="2" t="s">
        <v>969</v>
      </c>
      <c r="G758" s="2" t="s">
        <v>331</v>
      </c>
      <c r="J758" s="149" t="s">
        <v>126</v>
      </c>
      <c r="K758" s="23" t="s">
        <v>1127</v>
      </c>
      <c r="L758" s="149" t="s">
        <v>215</v>
      </c>
      <c r="M758" s="51" t="str">
        <f t="shared" si="628"/>
        <v>JD8B-F045A06-BCW</v>
      </c>
      <c r="O758" s="22"/>
      <c r="P758" s="22"/>
      <c r="Q758" s="22"/>
      <c r="R758" s="22"/>
      <c r="S758" s="22"/>
      <c r="T758" s="22"/>
      <c r="U758" s="22">
        <v>1</v>
      </c>
      <c r="V758" s="22">
        <v>1</v>
      </c>
      <c r="W758" s="64">
        <f t="shared" si="629"/>
        <v>0.1</v>
      </c>
      <c r="Y758" s="60">
        <v>-237.04</v>
      </c>
      <c r="Z758" s="60">
        <v>0</v>
      </c>
      <c r="AA758" s="60">
        <v>-0.93</v>
      </c>
      <c r="AB758" s="60"/>
      <c r="AC758" s="60"/>
      <c r="AD758" s="8">
        <f t="shared" si="697"/>
        <v>-237.97</v>
      </c>
      <c r="AE758" s="2" t="s">
        <v>84</v>
      </c>
      <c r="AG758" s="70"/>
      <c r="AH758" s="70"/>
      <c r="AJ758" s="70"/>
      <c r="AK758" s="70"/>
      <c r="AL758" s="72"/>
      <c r="AM758" s="22"/>
      <c r="AO758" s="149" t="s">
        <v>126</v>
      </c>
      <c r="AP758" s="23" t="s">
        <v>1127</v>
      </c>
      <c r="AQ758" s="22" t="s">
        <v>198</v>
      </c>
      <c r="AR758" s="51" t="str">
        <f t="shared" ref="AR758:AR821" si="698">TRIM(AO758)&amp;"-"&amp;TRIM(AP758)&amp;"-"&amp;TRIM(AQ758)</f>
        <v>JD8B-F045A06-BAW</v>
      </c>
      <c r="AS758" s="3"/>
      <c r="AT758" s="94"/>
      <c r="AU758" s="94"/>
      <c r="AV758" s="94"/>
      <c r="AW758" s="94"/>
      <c r="AX758" s="94"/>
      <c r="AY758" s="94"/>
      <c r="AZ758" s="94">
        <v>1</v>
      </c>
      <c r="BA758" s="94">
        <v>1</v>
      </c>
      <c r="BB758" s="64">
        <v>0.1</v>
      </c>
      <c r="BD758" s="60">
        <v>-235.83696730807054</v>
      </c>
      <c r="BE758" s="60"/>
      <c r="BF758" s="95">
        <v>-0.93</v>
      </c>
      <c r="BG758" s="95"/>
      <c r="BH758" s="95"/>
      <c r="BI758" s="8">
        <v>-236.76696730807055</v>
      </c>
      <c r="BL758" s="70">
        <v>0</v>
      </c>
      <c r="BM758" s="70">
        <v>0</v>
      </c>
      <c r="BO758" s="70"/>
      <c r="BP758" s="70"/>
      <c r="BQ758" s="72"/>
      <c r="BS758" s="61">
        <f t="shared" si="664"/>
        <v>-1.2030326919294509</v>
      </c>
      <c r="BT758" s="61">
        <f t="shared" si="665"/>
        <v>0</v>
      </c>
      <c r="BU758" s="61">
        <f t="shared" si="666"/>
        <v>0</v>
      </c>
      <c r="BV758" s="61">
        <f t="shared" si="666"/>
        <v>0</v>
      </c>
      <c r="BW758" s="61">
        <f t="shared" si="666"/>
        <v>0</v>
      </c>
      <c r="BX758" s="61">
        <f t="shared" si="666"/>
        <v>-1.2030326919294509</v>
      </c>
      <c r="BY758" s="61" t="s">
        <v>91</v>
      </c>
      <c r="CA758" s="61">
        <f t="shared" si="653"/>
        <v>0</v>
      </c>
      <c r="CB758" s="61">
        <f t="shared" si="653"/>
        <v>0</v>
      </c>
      <c r="CC758" s="61">
        <f t="shared" si="653"/>
        <v>0</v>
      </c>
      <c r="CD758" s="61">
        <f t="shared" si="653"/>
        <v>0</v>
      </c>
      <c r="CE758" s="61">
        <f t="shared" si="653"/>
        <v>0</v>
      </c>
      <c r="CF758" s="61">
        <f t="shared" si="653"/>
        <v>0</v>
      </c>
      <c r="CG758" s="61">
        <f t="shared" si="653"/>
        <v>-0.18098882081080953</v>
      </c>
      <c r="CH758" s="61">
        <f t="shared" si="653"/>
        <v>-0.18098882081080953</v>
      </c>
      <c r="CI758" s="61">
        <f t="shared" si="655"/>
        <v>-1.8098882081080955E-2</v>
      </c>
      <c r="CJ758" s="61"/>
      <c r="CK758" s="61">
        <f t="shared" si="654"/>
        <v>0</v>
      </c>
      <c r="CL758" s="61">
        <f t="shared" si="654"/>
        <v>0</v>
      </c>
      <c r="CM758" s="61">
        <f t="shared" si="654"/>
        <v>0</v>
      </c>
      <c r="CN758" s="61">
        <f t="shared" si="654"/>
        <v>0</v>
      </c>
      <c r="CO758" s="61">
        <f t="shared" si="654"/>
        <v>0</v>
      </c>
      <c r="CP758" s="61">
        <f t="shared" si="654"/>
        <v>0</v>
      </c>
      <c r="CQ758" s="61">
        <f t="shared" si="654"/>
        <v>-0.18098882081080953</v>
      </c>
      <c r="CR758" s="61">
        <f t="shared" si="654"/>
        <v>-0.18098882081080953</v>
      </c>
      <c r="CS758" s="61">
        <f t="shared" si="656"/>
        <v>-1.8098882081080955E-2</v>
      </c>
      <c r="CT758" s="61">
        <f t="shared" si="657"/>
        <v>-0.12030326919294511</v>
      </c>
      <c r="CV758" s="61">
        <f t="shared" si="658"/>
        <v>0</v>
      </c>
      <c r="CW758" s="61">
        <f t="shared" si="659"/>
        <v>0</v>
      </c>
      <c r="CX758" s="61"/>
      <c r="CY758" s="61">
        <f t="shared" si="660"/>
        <v>0</v>
      </c>
      <c r="CZ758" s="61">
        <f t="shared" si="660"/>
        <v>0</v>
      </c>
      <c r="DA758" s="61">
        <f t="shared" si="660"/>
        <v>0</v>
      </c>
      <c r="DB758" s="2" t="s">
        <v>134</v>
      </c>
      <c r="DC758" s="2" t="s">
        <v>85</v>
      </c>
      <c r="DD758" s="2" t="s">
        <v>142</v>
      </c>
      <c r="DE758" s="2" t="s">
        <v>1146</v>
      </c>
      <c r="DG758" s="62"/>
      <c r="DZ758" s="3" t="e">
        <v>#N/A</v>
      </c>
      <c r="EC758" s="60"/>
      <c r="ED758" s="60"/>
      <c r="EE758" s="60"/>
      <c r="EF758" s="60"/>
    </row>
    <row r="759" spans="2:140" ht="12.75" hidden="1" customHeight="1">
      <c r="B759" s="99" t="s">
        <v>1330</v>
      </c>
      <c r="C759" s="22" t="s">
        <v>991</v>
      </c>
      <c r="D759" s="22" t="s">
        <v>992</v>
      </c>
      <c r="E759" s="2" t="s">
        <v>993</v>
      </c>
      <c r="F759" s="2" t="s">
        <v>969</v>
      </c>
      <c r="G759" s="2" t="s">
        <v>331</v>
      </c>
      <c r="J759" s="149" t="s">
        <v>126</v>
      </c>
      <c r="K759" s="23" t="s">
        <v>1127</v>
      </c>
      <c r="L759" s="149" t="s">
        <v>216</v>
      </c>
      <c r="M759" s="51" t="str">
        <f t="shared" si="628"/>
        <v>JD8B-F045A06-CCW</v>
      </c>
      <c r="O759" s="22">
        <v>1</v>
      </c>
      <c r="P759" s="22">
        <v>1</v>
      </c>
      <c r="Q759" s="22"/>
      <c r="R759" s="22"/>
      <c r="S759" s="22"/>
      <c r="T759" s="22"/>
      <c r="U759" s="22"/>
      <c r="V759" s="22"/>
      <c r="W759" s="64">
        <f t="shared" si="629"/>
        <v>0.30000000000000004</v>
      </c>
      <c r="Y759" s="60">
        <v>-191.36</v>
      </c>
      <c r="Z759" s="60">
        <v>0</v>
      </c>
      <c r="AA759" s="60">
        <v>-0.93</v>
      </c>
      <c r="AB759" s="60"/>
      <c r="AC759" s="60"/>
      <c r="AD759" s="8">
        <f t="shared" si="697"/>
        <v>-192.29000000000002</v>
      </c>
      <c r="AE759" s="2" t="s">
        <v>84</v>
      </c>
      <c r="AG759" s="70"/>
      <c r="AH759" s="70"/>
      <c r="AJ759" s="70"/>
      <c r="AK759" s="70"/>
      <c r="AL759" s="72"/>
      <c r="AM759" s="22"/>
      <c r="AO759" s="149" t="s">
        <v>126</v>
      </c>
      <c r="AP759" s="23" t="s">
        <v>1127</v>
      </c>
      <c r="AQ759" s="22" t="s">
        <v>269</v>
      </c>
      <c r="AR759" s="51" t="str">
        <f t="shared" si="698"/>
        <v>JD8B-F045A06-CAW</v>
      </c>
      <c r="AS759" s="3"/>
      <c r="AT759" s="94">
        <v>1</v>
      </c>
      <c r="AU759" s="94">
        <v>1</v>
      </c>
      <c r="AV759" s="94"/>
      <c r="AW759" s="94"/>
      <c r="AX759" s="94"/>
      <c r="AY759" s="94"/>
      <c r="AZ759" s="94"/>
      <c r="BA759" s="94"/>
      <c r="BB759" s="64">
        <v>0.30000000000000004</v>
      </c>
      <c r="BD759" s="60">
        <v>-190.16196730807053</v>
      </c>
      <c r="BE759" s="60"/>
      <c r="BF759" s="95">
        <v>-0.93</v>
      </c>
      <c r="BG759" s="95"/>
      <c r="BH759" s="95"/>
      <c r="BI759" s="8">
        <v>-191.09196730807054</v>
      </c>
      <c r="BL759" s="70">
        <v>0</v>
      </c>
      <c r="BM759" s="70">
        <v>0</v>
      </c>
      <c r="BO759" s="70"/>
      <c r="BP759" s="70"/>
      <c r="BQ759" s="72"/>
      <c r="BS759" s="61">
        <f t="shared" si="664"/>
        <v>-1.1980326919294839</v>
      </c>
      <c r="BT759" s="61">
        <f t="shared" si="665"/>
        <v>0</v>
      </c>
      <c r="BU759" s="61">
        <f t="shared" si="666"/>
        <v>0</v>
      </c>
      <c r="BV759" s="61">
        <f t="shared" si="666"/>
        <v>0</v>
      </c>
      <c r="BW759" s="61">
        <f t="shared" si="666"/>
        <v>0</v>
      </c>
      <c r="BX759" s="61">
        <f t="shared" si="666"/>
        <v>-1.1980326919294839</v>
      </c>
      <c r="BY759" s="61" t="s">
        <v>91</v>
      </c>
      <c r="CA759" s="61">
        <f t="shared" si="653"/>
        <v>-0.18023660176462825</v>
      </c>
      <c r="CB759" s="61">
        <f t="shared" si="653"/>
        <v>-0.18023660176462825</v>
      </c>
      <c r="CC759" s="61">
        <f t="shared" si="653"/>
        <v>0</v>
      </c>
      <c r="CD759" s="61">
        <f t="shared" ref="CD759:CH822" si="699">($Y759*R759-AW759*$BD759)/$C$2</f>
        <v>0</v>
      </c>
      <c r="CE759" s="61">
        <f t="shared" si="699"/>
        <v>0</v>
      </c>
      <c r="CF759" s="61">
        <f t="shared" si="699"/>
        <v>0</v>
      </c>
      <c r="CG759" s="61">
        <f t="shared" si="699"/>
        <v>0</v>
      </c>
      <c r="CH759" s="61">
        <f t="shared" si="699"/>
        <v>0</v>
      </c>
      <c r="CI759" s="61">
        <f t="shared" si="655"/>
        <v>-5.4070980529388482E-2</v>
      </c>
      <c r="CJ759" s="61"/>
      <c r="CK759" s="61">
        <f t="shared" si="654"/>
        <v>-0.18023660176462825</v>
      </c>
      <c r="CL759" s="61">
        <f t="shared" si="654"/>
        <v>-0.18023660176462825</v>
      </c>
      <c r="CM759" s="61">
        <f t="shared" si="654"/>
        <v>0</v>
      </c>
      <c r="CN759" s="61">
        <f t="shared" ref="CN759:CR822" si="700">(R759*$AD759-AW759*$BI759)/$C$2</f>
        <v>0</v>
      </c>
      <c r="CO759" s="61">
        <f t="shared" si="700"/>
        <v>0</v>
      </c>
      <c r="CP759" s="61">
        <f t="shared" si="700"/>
        <v>0</v>
      </c>
      <c r="CQ759" s="61">
        <f t="shared" si="700"/>
        <v>0</v>
      </c>
      <c r="CR759" s="61">
        <f t="shared" si="700"/>
        <v>0</v>
      </c>
      <c r="CS759" s="61">
        <f t="shared" si="656"/>
        <v>-5.4070980529388482E-2</v>
      </c>
      <c r="CT759" s="61">
        <f t="shared" si="657"/>
        <v>-0.35940980757884528</v>
      </c>
      <c r="CV759" s="61">
        <f t="shared" si="658"/>
        <v>0</v>
      </c>
      <c r="CW759" s="61">
        <f t="shared" si="659"/>
        <v>0</v>
      </c>
      <c r="CX759" s="61"/>
      <c r="CY759" s="61">
        <f t="shared" si="660"/>
        <v>0</v>
      </c>
      <c r="CZ759" s="61">
        <f t="shared" si="660"/>
        <v>0</v>
      </c>
      <c r="DA759" s="61">
        <f t="shared" si="660"/>
        <v>0</v>
      </c>
      <c r="DB759" s="2" t="s">
        <v>134</v>
      </c>
      <c r="DC759" s="2" t="s">
        <v>85</v>
      </c>
      <c r="DD759" s="2" t="s">
        <v>142</v>
      </c>
      <c r="DE759" s="2" t="s">
        <v>1146</v>
      </c>
      <c r="DG759" s="62"/>
      <c r="DZ759" s="3" t="e">
        <v>#N/A</v>
      </c>
      <c r="EC759" s="60"/>
      <c r="ED759" s="60"/>
      <c r="EE759" s="60"/>
      <c r="EF759" s="60"/>
    </row>
    <row r="760" spans="2:140" ht="12.75" hidden="1" customHeight="1">
      <c r="B760" s="99" t="s">
        <v>1330</v>
      </c>
      <c r="C760" s="22" t="s">
        <v>991</v>
      </c>
      <c r="D760" s="22" t="s">
        <v>992</v>
      </c>
      <c r="E760" s="2" t="s">
        <v>993</v>
      </c>
      <c r="F760" s="2" t="s">
        <v>969</v>
      </c>
      <c r="G760" s="2" t="s">
        <v>331</v>
      </c>
      <c r="J760" s="149" t="s">
        <v>126</v>
      </c>
      <c r="K760" s="23" t="s">
        <v>1127</v>
      </c>
      <c r="L760" s="149" t="s">
        <v>217</v>
      </c>
      <c r="M760" s="51" t="str">
        <f t="shared" si="628"/>
        <v>JD8B-F045A06-DCW</v>
      </c>
      <c r="O760" s="22"/>
      <c r="P760" s="22"/>
      <c r="Q760" s="22"/>
      <c r="R760" s="22"/>
      <c r="S760" s="22">
        <v>1</v>
      </c>
      <c r="T760" s="22">
        <v>1</v>
      </c>
      <c r="U760" s="22"/>
      <c r="V760" s="22">
        <v>1</v>
      </c>
      <c r="W760" s="64">
        <f t="shared" si="629"/>
        <v>0.28000000000000003</v>
      </c>
      <c r="Y760" s="60">
        <v>-234.59</v>
      </c>
      <c r="Z760" s="60">
        <v>0</v>
      </c>
      <c r="AA760" s="60">
        <v>-0.93</v>
      </c>
      <c r="AB760" s="60"/>
      <c r="AC760" s="60"/>
      <c r="AD760" s="8">
        <f t="shared" si="697"/>
        <v>-235.52</v>
      </c>
      <c r="AE760" s="2" t="s">
        <v>84</v>
      </c>
      <c r="AG760" s="70"/>
      <c r="AH760" s="70"/>
      <c r="AJ760" s="70"/>
      <c r="AK760" s="70"/>
      <c r="AL760" s="72"/>
      <c r="AM760" s="22"/>
      <c r="AO760" s="149" t="s">
        <v>126</v>
      </c>
      <c r="AP760" s="23" t="s">
        <v>1127</v>
      </c>
      <c r="AQ760" s="22" t="s">
        <v>671</v>
      </c>
      <c r="AR760" s="51" t="str">
        <f t="shared" si="698"/>
        <v>JD8B-F045A06-DAW</v>
      </c>
      <c r="AS760" s="3"/>
      <c r="AT760" s="94"/>
      <c r="AU760" s="94"/>
      <c r="AV760" s="94"/>
      <c r="AW760" s="94"/>
      <c r="AX760" s="94">
        <v>1</v>
      </c>
      <c r="AY760" s="94">
        <v>1</v>
      </c>
      <c r="AZ760" s="94"/>
      <c r="BA760" s="94">
        <v>1</v>
      </c>
      <c r="BB760" s="64">
        <v>0.28000000000000003</v>
      </c>
      <c r="BD760" s="60">
        <v>-233.38996730807054</v>
      </c>
      <c r="BE760" s="60"/>
      <c r="BF760" s="95">
        <v>-0.93</v>
      </c>
      <c r="BG760" s="95"/>
      <c r="BH760" s="95"/>
      <c r="BI760" s="8">
        <v>-234.31996730807055</v>
      </c>
      <c r="BL760" s="70">
        <v>0</v>
      </c>
      <c r="BM760" s="70">
        <v>0</v>
      </c>
      <c r="BO760" s="70"/>
      <c r="BP760" s="70"/>
      <c r="BQ760" s="72"/>
      <c r="BS760" s="61">
        <f t="shared" si="664"/>
        <v>-1.200032691929465</v>
      </c>
      <c r="BT760" s="61">
        <f t="shared" si="665"/>
        <v>0</v>
      </c>
      <c r="BU760" s="61">
        <f t="shared" si="666"/>
        <v>0</v>
      </c>
      <c r="BV760" s="61">
        <f t="shared" si="666"/>
        <v>0</v>
      </c>
      <c r="BW760" s="61">
        <f t="shared" si="666"/>
        <v>0</v>
      </c>
      <c r="BX760" s="61">
        <f t="shared" si="666"/>
        <v>-1.200032691929465</v>
      </c>
      <c r="BY760" s="61" t="s">
        <v>91</v>
      </c>
      <c r="CA760" s="61">
        <f t="shared" ref="CA760:CH823" si="701">($Y760*O760-AT760*$BD760)/$C$2</f>
        <v>0</v>
      </c>
      <c r="CB760" s="61">
        <f t="shared" si="701"/>
        <v>0</v>
      </c>
      <c r="CC760" s="61">
        <f t="shared" si="701"/>
        <v>0</v>
      </c>
      <c r="CD760" s="61">
        <f t="shared" si="699"/>
        <v>0</v>
      </c>
      <c r="CE760" s="61">
        <f t="shared" si="699"/>
        <v>-0.18053748938309991</v>
      </c>
      <c r="CF760" s="61">
        <f t="shared" si="699"/>
        <v>-0.18053748938309991</v>
      </c>
      <c r="CG760" s="61">
        <f t="shared" si="699"/>
        <v>0</v>
      </c>
      <c r="CH760" s="61">
        <f t="shared" si="699"/>
        <v>-0.18053748938309991</v>
      </c>
      <c r="CI760" s="61">
        <f t="shared" si="655"/>
        <v>-5.0550497027267979E-2</v>
      </c>
      <c r="CJ760" s="61"/>
      <c r="CK760" s="61">
        <f t="shared" ref="CK760:CR823" si="702">(O760*$AD760-AT760*$BI760)/$C$2</f>
        <v>0</v>
      </c>
      <c r="CL760" s="61">
        <f t="shared" si="702"/>
        <v>0</v>
      </c>
      <c r="CM760" s="61">
        <f t="shared" si="702"/>
        <v>0</v>
      </c>
      <c r="CN760" s="61">
        <f t="shared" si="700"/>
        <v>0</v>
      </c>
      <c r="CO760" s="61">
        <f t="shared" si="700"/>
        <v>-0.18053748938309991</v>
      </c>
      <c r="CP760" s="61">
        <f t="shared" si="700"/>
        <v>-0.18053748938309991</v>
      </c>
      <c r="CQ760" s="61">
        <f t="shared" si="700"/>
        <v>0</v>
      </c>
      <c r="CR760" s="61">
        <f t="shared" si="700"/>
        <v>-0.18053748938309991</v>
      </c>
      <c r="CS760" s="61">
        <f t="shared" si="656"/>
        <v>-5.0550497027267979E-2</v>
      </c>
      <c r="CT760" s="61">
        <f t="shared" si="657"/>
        <v>-0.33600915374025025</v>
      </c>
      <c r="CV760" s="61">
        <f t="shared" si="658"/>
        <v>0</v>
      </c>
      <c r="CW760" s="61">
        <f t="shared" si="659"/>
        <v>0</v>
      </c>
      <c r="CX760" s="61"/>
      <c r="CY760" s="61">
        <f t="shared" si="660"/>
        <v>0</v>
      </c>
      <c r="CZ760" s="61">
        <f t="shared" si="660"/>
        <v>0</v>
      </c>
      <c r="DA760" s="61">
        <f t="shared" si="660"/>
        <v>0</v>
      </c>
      <c r="DB760" s="2" t="s">
        <v>134</v>
      </c>
      <c r="DC760" s="2" t="s">
        <v>85</v>
      </c>
      <c r="DD760" s="2" t="s">
        <v>142</v>
      </c>
      <c r="DE760" s="2" t="s">
        <v>1146</v>
      </c>
      <c r="DG760" s="62"/>
      <c r="DZ760" s="3" t="e">
        <v>#N/A</v>
      </c>
      <c r="EC760" s="60"/>
      <c r="ED760" s="60"/>
      <c r="EE760" s="60"/>
      <c r="EF760" s="60"/>
    </row>
    <row r="761" spans="2:140" ht="12.75" hidden="1" customHeight="1">
      <c r="B761" s="99" t="s">
        <v>1332</v>
      </c>
      <c r="C761" s="22" t="s">
        <v>991</v>
      </c>
      <c r="D761" s="22" t="s">
        <v>992</v>
      </c>
      <c r="E761" s="2" t="s">
        <v>993</v>
      </c>
      <c r="F761" s="2" t="s">
        <v>969</v>
      </c>
      <c r="G761" s="2" t="s">
        <v>331</v>
      </c>
      <c r="J761" s="149" t="s">
        <v>126</v>
      </c>
      <c r="K761" s="23" t="s">
        <v>1127</v>
      </c>
      <c r="L761" s="149" t="s">
        <v>267</v>
      </c>
      <c r="M761" s="51" t="str">
        <f t="shared" si="628"/>
        <v>JD8B-F045A06-ADW</v>
      </c>
      <c r="O761" s="22"/>
      <c r="P761" s="22"/>
      <c r="Q761" s="22">
        <v>1</v>
      </c>
      <c r="R761" s="22">
        <v>1</v>
      </c>
      <c r="S761" s="22"/>
      <c r="T761" s="22"/>
      <c r="U761" s="22"/>
      <c r="V761" s="22"/>
      <c r="W761" s="64">
        <f t="shared" si="629"/>
        <v>0.37</v>
      </c>
      <c r="Y761" s="60">
        <v>-234.59</v>
      </c>
      <c r="Z761" s="60">
        <v>0</v>
      </c>
      <c r="AA761" s="60">
        <v>-0.93</v>
      </c>
      <c r="AB761" s="60"/>
      <c r="AC761" s="60"/>
      <c r="AD761" s="8">
        <f t="shared" si="697"/>
        <v>-235.52</v>
      </c>
      <c r="AE761" s="2" t="s">
        <v>84</v>
      </c>
      <c r="AG761" s="70">
        <v>-5740890</v>
      </c>
      <c r="AH761" s="70">
        <v>-5740890</v>
      </c>
      <c r="AJ761" s="70"/>
      <c r="AK761" s="70"/>
      <c r="AL761" s="72"/>
      <c r="AM761" s="22"/>
      <c r="AO761" s="149" t="s">
        <v>126</v>
      </c>
      <c r="AP761" s="23" t="s">
        <v>1127</v>
      </c>
      <c r="AQ761" s="22" t="s">
        <v>93</v>
      </c>
      <c r="AR761" s="51" t="str">
        <f t="shared" si="698"/>
        <v>JD8B-F045A06-ABW</v>
      </c>
      <c r="AS761" s="3"/>
      <c r="AT761" s="22"/>
      <c r="AU761" s="22"/>
      <c r="AV761" s="22">
        <v>1</v>
      </c>
      <c r="AW761" s="22">
        <v>1</v>
      </c>
      <c r="AX761" s="22"/>
      <c r="AY761" s="22"/>
      <c r="AZ761" s="22"/>
      <c r="BA761" s="22"/>
      <c r="BB761" s="64">
        <f t="shared" ref="BB761:BB774" si="703">SUMPRODUCT(AT761:BA761,$O$6:$V$6)</f>
        <v>0.37</v>
      </c>
      <c r="BD761" s="60">
        <v>-234.59</v>
      </c>
      <c r="BE761" s="60">
        <v>0</v>
      </c>
      <c r="BF761" s="60">
        <v>-0.93</v>
      </c>
      <c r="BG761" s="60"/>
      <c r="BH761" s="60"/>
      <c r="BI761" s="8">
        <f>SUM(BD761:BH761)</f>
        <v>-235.52</v>
      </c>
      <c r="BJ761" s="2" t="s">
        <v>84</v>
      </c>
      <c r="BL761" s="70">
        <v>-5509890</v>
      </c>
      <c r="BM761" s="70">
        <v>-5509890</v>
      </c>
      <c r="BO761" s="70"/>
      <c r="BP761" s="70"/>
      <c r="BQ761" s="72"/>
      <c r="BS761" s="61">
        <f t="shared" si="664"/>
        <v>0</v>
      </c>
      <c r="BT761" s="61">
        <f t="shared" si="665"/>
        <v>0</v>
      </c>
      <c r="BU761" s="61">
        <f t="shared" si="666"/>
        <v>0</v>
      </c>
      <c r="BV761" s="61">
        <f t="shared" si="666"/>
        <v>0</v>
      </c>
      <c r="BW761" s="61">
        <f t="shared" si="666"/>
        <v>0</v>
      </c>
      <c r="BX761" s="61">
        <f t="shared" si="666"/>
        <v>0</v>
      </c>
      <c r="BY761" s="61" t="s">
        <v>91</v>
      </c>
      <c r="CA761" s="61">
        <f t="shared" si="701"/>
        <v>0</v>
      </c>
      <c r="CB761" s="61">
        <f t="shared" si="701"/>
        <v>0</v>
      </c>
      <c r="CC761" s="61">
        <f t="shared" si="701"/>
        <v>0</v>
      </c>
      <c r="CD761" s="61">
        <f t="shared" si="699"/>
        <v>0</v>
      </c>
      <c r="CE761" s="61">
        <f t="shared" si="699"/>
        <v>0</v>
      </c>
      <c r="CF761" s="61">
        <f t="shared" si="699"/>
        <v>0</v>
      </c>
      <c r="CG761" s="61">
        <f t="shared" si="699"/>
        <v>0</v>
      </c>
      <c r="CH761" s="61">
        <f t="shared" si="699"/>
        <v>0</v>
      </c>
      <c r="CI761" s="61">
        <f t="shared" si="655"/>
        <v>0</v>
      </c>
      <c r="CJ761" s="61"/>
      <c r="CK761" s="61">
        <f t="shared" si="702"/>
        <v>0</v>
      </c>
      <c r="CL761" s="61">
        <f t="shared" si="702"/>
        <v>0</v>
      </c>
      <c r="CM761" s="61">
        <f t="shared" si="702"/>
        <v>0</v>
      </c>
      <c r="CN761" s="61">
        <f t="shared" si="700"/>
        <v>0</v>
      </c>
      <c r="CO761" s="61">
        <f t="shared" si="700"/>
        <v>0</v>
      </c>
      <c r="CP761" s="61">
        <f t="shared" si="700"/>
        <v>0</v>
      </c>
      <c r="CQ761" s="61">
        <f t="shared" si="700"/>
        <v>0</v>
      </c>
      <c r="CR761" s="61">
        <f t="shared" si="700"/>
        <v>0</v>
      </c>
      <c r="CS761" s="61">
        <f t="shared" si="656"/>
        <v>0</v>
      </c>
      <c r="CT761" s="61">
        <f t="shared" si="657"/>
        <v>0</v>
      </c>
      <c r="CV761" s="61">
        <f t="shared" si="658"/>
        <v>-231000</v>
      </c>
      <c r="CW761" s="61">
        <f t="shared" si="659"/>
        <v>-231000</v>
      </c>
      <c r="CX761" s="61"/>
      <c r="CY761" s="61">
        <f t="shared" si="660"/>
        <v>0</v>
      </c>
      <c r="CZ761" s="61">
        <f t="shared" si="660"/>
        <v>0</v>
      </c>
      <c r="DA761" s="61">
        <f t="shared" si="660"/>
        <v>0</v>
      </c>
      <c r="DB761" s="2" t="s">
        <v>85</v>
      </c>
      <c r="DC761" s="2" t="s">
        <v>85</v>
      </c>
      <c r="DD761" s="2" t="s">
        <v>142</v>
      </c>
      <c r="DE761" s="2" t="s">
        <v>1146</v>
      </c>
      <c r="DF761" s="3" t="s">
        <v>86</v>
      </c>
      <c r="DG761" s="62">
        <v>43039</v>
      </c>
      <c r="EC761" s="60"/>
      <c r="ED761" s="60"/>
      <c r="EE761" s="60"/>
      <c r="EF761" s="60"/>
    </row>
    <row r="762" spans="2:140" ht="12.75" hidden="1" customHeight="1">
      <c r="B762" s="99" t="s">
        <v>1332</v>
      </c>
      <c r="C762" s="22" t="s">
        <v>991</v>
      </c>
      <c r="D762" s="22" t="s">
        <v>992</v>
      </c>
      <c r="E762" s="2" t="s">
        <v>993</v>
      </c>
      <c r="F762" s="2" t="s">
        <v>969</v>
      </c>
      <c r="G762" s="2" t="s">
        <v>331</v>
      </c>
      <c r="J762" s="149" t="s">
        <v>126</v>
      </c>
      <c r="K762" s="23" t="s">
        <v>1127</v>
      </c>
      <c r="L762" s="149" t="s">
        <v>670</v>
      </c>
      <c r="M762" s="51" t="str">
        <f t="shared" si="628"/>
        <v>JD8B-F045A06-BDW</v>
      </c>
      <c r="O762" s="22"/>
      <c r="P762" s="22"/>
      <c r="Q762" s="22"/>
      <c r="R762" s="22"/>
      <c r="S762" s="22"/>
      <c r="T762" s="22"/>
      <c r="U762" s="22">
        <v>1</v>
      </c>
      <c r="V762" s="22">
        <v>1</v>
      </c>
      <c r="W762" s="64">
        <f t="shared" si="629"/>
        <v>0.1</v>
      </c>
      <c r="Y762" s="60">
        <v>-237.04</v>
      </c>
      <c r="Z762" s="60">
        <v>0</v>
      </c>
      <c r="AA762" s="60">
        <v>-0.93</v>
      </c>
      <c r="AB762" s="60"/>
      <c r="AC762" s="60"/>
      <c r="AD762" s="8">
        <f t="shared" ref="AD762" si="704">SUM(Y762:AC762)</f>
        <v>-237.97</v>
      </c>
      <c r="AE762" s="2" t="s">
        <v>84</v>
      </c>
      <c r="AG762" s="70"/>
      <c r="AH762" s="70"/>
      <c r="AJ762" s="70"/>
      <c r="AK762" s="70"/>
      <c r="AL762" s="72"/>
      <c r="AM762" s="22"/>
      <c r="AO762" s="149" t="s">
        <v>126</v>
      </c>
      <c r="AP762" s="23" t="s">
        <v>1127</v>
      </c>
      <c r="AQ762" s="22" t="s">
        <v>210</v>
      </c>
      <c r="AR762" s="51" t="str">
        <f t="shared" si="698"/>
        <v>JD8B-F045A06-BBW</v>
      </c>
      <c r="AS762" s="3"/>
      <c r="AT762" s="22"/>
      <c r="AU762" s="22"/>
      <c r="AV762" s="22"/>
      <c r="AW762" s="22"/>
      <c r="AX762" s="22"/>
      <c r="AY762" s="22"/>
      <c r="AZ762" s="22">
        <v>1</v>
      </c>
      <c r="BA762" s="22">
        <v>1</v>
      </c>
      <c r="BB762" s="64">
        <f t="shared" si="703"/>
        <v>0.1</v>
      </c>
      <c r="BD762" s="60">
        <v>-237.04</v>
      </c>
      <c r="BE762" s="60">
        <v>0</v>
      </c>
      <c r="BF762" s="60">
        <v>-0.93</v>
      </c>
      <c r="BG762" s="60"/>
      <c r="BH762" s="60"/>
      <c r="BI762" s="8">
        <f>SUM(BD762:BH762)</f>
        <v>-237.97</v>
      </c>
      <c r="BJ762" s="2" t="s">
        <v>84</v>
      </c>
      <c r="BL762" s="70"/>
      <c r="BM762" s="70"/>
      <c r="BO762" s="70"/>
      <c r="BP762" s="70"/>
      <c r="BQ762" s="72"/>
      <c r="BS762" s="61">
        <f t="shared" si="664"/>
        <v>0</v>
      </c>
      <c r="BT762" s="61">
        <f t="shared" si="665"/>
        <v>0</v>
      </c>
      <c r="BU762" s="61">
        <f t="shared" si="666"/>
        <v>0</v>
      </c>
      <c r="BV762" s="61">
        <f t="shared" si="666"/>
        <v>0</v>
      </c>
      <c r="BW762" s="61">
        <f t="shared" si="666"/>
        <v>0</v>
      </c>
      <c r="BX762" s="61">
        <f t="shared" si="666"/>
        <v>0</v>
      </c>
      <c r="BY762" s="61" t="s">
        <v>91</v>
      </c>
      <c r="CA762" s="61">
        <f t="shared" si="701"/>
        <v>0</v>
      </c>
      <c r="CB762" s="61">
        <f t="shared" si="701"/>
        <v>0</v>
      </c>
      <c r="CC762" s="61">
        <f t="shared" si="701"/>
        <v>0</v>
      </c>
      <c r="CD762" s="61">
        <f t="shared" si="699"/>
        <v>0</v>
      </c>
      <c r="CE762" s="61">
        <f t="shared" si="699"/>
        <v>0</v>
      </c>
      <c r="CF762" s="61">
        <f t="shared" si="699"/>
        <v>0</v>
      </c>
      <c r="CG762" s="61">
        <f t="shared" si="699"/>
        <v>0</v>
      </c>
      <c r="CH762" s="61">
        <f t="shared" si="699"/>
        <v>0</v>
      </c>
      <c r="CI762" s="61">
        <f t="shared" si="655"/>
        <v>0</v>
      </c>
      <c r="CJ762" s="61"/>
      <c r="CK762" s="61">
        <f t="shared" si="702"/>
        <v>0</v>
      </c>
      <c r="CL762" s="61">
        <f t="shared" si="702"/>
        <v>0</v>
      </c>
      <c r="CM762" s="61">
        <f t="shared" si="702"/>
        <v>0</v>
      </c>
      <c r="CN762" s="61">
        <f t="shared" si="700"/>
        <v>0</v>
      </c>
      <c r="CO762" s="61">
        <f t="shared" si="700"/>
        <v>0</v>
      </c>
      <c r="CP762" s="61">
        <f t="shared" si="700"/>
        <v>0</v>
      </c>
      <c r="CQ762" s="61">
        <f t="shared" si="700"/>
        <v>0</v>
      </c>
      <c r="CR762" s="61">
        <f t="shared" si="700"/>
        <v>0</v>
      </c>
      <c r="CS762" s="61">
        <f t="shared" si="656"/>
        <v>0</v>
      </c>
      <c r="CT762" s="61">
        <f t="shared" si="657"/>
        <v>0</v>
      </c>
      <c r="CV762" s="61">
        <f t="shared" ref="CV762:CV766" si="705">SUM(AG762)-SUM(BL762)</f>
        <v>0</v>
      </c>
      <c r="CW762" s="61">
        <f t="shared" ref="CW762:CW766" si="706">SUM(AH762)-SUM(BM762)</f>
        <v>0</v>
      </c>
      <c r="CX762" s="61"/>
      <c r="CY762" s="61">
        <f t="shared" si="660"/>
        <v>0</v>
      </c>
      <c r="CZ762" s="61">
        <f t="shared" si="660"/>
        <v>0</v>
      </c>
      <c r="DA762" s="61">
        <f t="shared" si="660"/>
        <v>0</v>
      </c>
      <c r="DB762" s="2" t="s">
        <v>85</v>
      </c>
      <c r="DC762" s="2" t="s">
        <v>85</v>
      </c>
      <c r="DD762" s="2" t="s">
        <v>142</v>
      </c>
      <c r="DE762" s="2" t="s">
        <v>1146</v>
      </c>
      <c r="DF762" s="3" t="s">
        <v>86</v>
      </c>
      <c r="DG762" s="62">
        <v>43039</v>
      </c>
      <c r="EC762" s="60"/>
      <c r="ED762" s="60"/>
      <c r="EE762" s="60"/>
      <c r="EF762" s="60"/>
    </row>
    <row r="763" spans="2:140" ht="12.75" hidden="1" customHeight="1">
      <c r="B763" s="99" t="s">
        <v>1332</v>
      </c>
      <c r="C763" s="22" t="s">
        <v>991</v>
      </c>
      <c r="D763" s="22" t="s">
        <v>992</v>
      </c>
      <c r="E763" s="2" t="s">
        <v>993</v>
      </c>
      <c r="F763" s="2" t="s">
        <v>969</v>
      </c>
      <c r="G763" s="2" t="s">
        <v>331</v>
      </c>
      <c r="J763" s="149" t="s">
        <v>126</v>
      </c>
      <c r="K763" s="23" t="s">
        <v>1127</v>
      </c>
      <c r="L763" s="149" t="s">
        <v>1191</v>
      </c>
      <c r="M763" s="51" t="str">
        <f t="shared" si="628"/>
        <v>JD8B-F045A06-CDW</v>
      </c>
      <c r="O763" s="22">
        <v>1</v>
      </c>
      <c r="P763" s="22">
        <v>1</v>
      </c>
      <c r="Q763" s="22"/>
      <c r="R763" s="22"/>
      <c r="S763" s="22"/>
      <c r="T763" s="22"/>
      <c r="U763" s="22"/>
      <c r="V763" s="22"/>
      <c r="W763" s="64">
        <f t="shared" si="629"/>
        <v>0.30000000000000004</v>
      </c>
      <c r="Y763" s="60">
        <v>-191.36</v>
      </c>
      <c r="Z763" s="60">
        <v>0</v>
      </c>
      <c r="AA763" s="60">
        <v>-0.93</v>
      </c>
      <c r="AB763" s="60"/>
      <c r="AC763" s="60"/>
      <c r="AD763" s="8">
        <f t="shared" ref="AD763:AD766" si="707">SUM(Y763:AC763)</f>
        <v>-192.29000000000002</v>
      </c>
      <c r="AE763" s="2" t="s">
        <v>84</v>
      </c>
      <c r="AG763" s="70"/>
      <c r="AH763" s="70"/>
      <c r="AJ763" s="70"/>
      <c r="AK763" s="70"/>
      <c r="AL763" s="72"/>
      <c r="AM763" s="22"/>
      <c r="AO763" s="149" t="s">
        <v>126</v>
      </c>
      <c r="AP763" s="23" t="s">
        <v>1127</v>
      </c>
      <c r="AQ763" s="22" t="s">
        <v>211</v>
      </c>
      <c r="AR763" s="51" t="str">
        <f t="shared" si="698"/>
        <v>JD8B-F045A06-CBW</v>
      </c>
      <c r="AS763" s="3"/>
      <c r="AT763" s="22">
        <v>1</v>
      </c>
      <c r="AU763" s="22">
        <v>1</v>
      </c>
      <c r="AV763" s="22"/>
      <c r="AW763" s="22"/>
      <c r="AX763" s="22"/>
      <c r="AY763" s="22"/>
      <c r="AZ763" s="22"/>
      <c r="BA763" s="22"/>
      <c r="BB763" s="64">
        <f t="shared" si="703"/>
        <v>0.30000000000000004</v>
      </c>
      <c r="BD763" s="60">
        <v>-191.36</v>
      </c>
      <c r="BE763" s="60">
        <v>0</v>
      </c>
      <c r="BF763" s="60">
        <v>-0.93</v>
      </c>
      <c r="BG763" s="60"/>
      <c r="BH763" s="60"/>
      <c r="BI763" s="8">
        <f>SUM(BD763:BH763)</f>
        <v>-192.29000000000002</v>
      </c>
      <c r="BJ763" s="2" t="s">
        <v>84</v>
      </c>
      <c r="BL763" s="70"/>
      <c r="BM763" s="70"/>
      <c r="BO763" s="70"/>
      <c r="BP763" s="70"/>
      <c r="BQ763" s="72"/>
      <c r="BS763" s="61">
        <f t="shared" si="664"/>
        <v>0</v>
      </c>
      <c r="BT763" s="61">
        <f t="shared" si="665"/>
        <v>0</v>
      </c>
      <c r="BU763" s="61">
        <f t="shared" si="666"/>
        <v>0</v>
      </c>
      <c r="BV763" s="61">
        <f t="shared" si="666"/>
        <v>0</v>
      </c>
      <c r="BW763" s="61">
        <f t="shared" si="666"/>
        <v>0</v>
      </c>
      <c r="BX763" s="61">
        <f t="shared" si="666"/>
        <v>0</v>
      </c>
      <c r="BY763" s="61" t="s">
        <v>91</v>
      </c>
      <c r="CA763" s="61">
        <f t="shared" si="701"/>
        <v>0</v>
      </c>
      <c r="CB763" s="61">
        <f t="shared" si="701"/>
        <v>0</v>
      </c>
      <c r="CC763" s="61">
        <f t="shared" si="701"/>
        <v>0</v>
      </c>
      <c r="CD763" s="61">
        <f t="shared" si="699"/>
        <v>0</v>
      </c>
      <c r="CE763" s="61">
        <f t="shared" si="699"/>
        <v>0</v>
      </c>
      <c r="CF763" s="61">
        <f t="shared" si="699"/>
        <v>0</v>
      </c>
      <c r="CG763" s="61">
        <f t="shared" si="699"/>
        <v>0</v>
      </c>
      <c r="CH763" s="61">
        <f t="shared" si="699"/>
        <v>0</v>
      </c>
      <c r="CI763" s="61">
        <f t="shared" si="655"/>
        <v>0</v>
      </c>
      <c r="CJ763" s="61"/>
      <c r="CK763" s="61">
        <f t="shared" si="702"/>
        <v>0</v>
      </c>
      <c r="CL763" s="61">
        <f t="shared" si="702"/>
        <v>0</v>
      </c>
      <c r="CM763" s="61">
        <f t="shared" si="702"/>
        <v>0</v>
      </c>
      <c r="CN763" s="61">
        <f t="shared" si="700"/>
        <v>0</v>
      </c>
      <c r="CO763" s="61">
        <f t="shared" si="700"/>
        <v>0</v>
      </c>
      <c r="CP763" s="61">
        <f t="shared" si="700"/>
        <v>0</v>
      </c>
      <c r="CQ763" s="61">
        <f t="shared" si="700"/>
        <v>0</v>
      </c>
      <c r="CR763" s="61">
        <f t="shared" si="700"/>
        <v>0</v>
      </c>
      <c r="CS763" s="61">
        <f t="shared" si="656"/>
        <v>0</v>
      </c>
      <c r="CT763" s="61">
        <f t="shared" si="657"/>
        <v>0</v>
      </c>
      <c r="CV763" s="61">
        <f t="shared" si="705"/>
        <v>0</v>
      </c>
      <c r="CW763" s="61">
        <f t="shared" si="706"/>
        <v>0</v>
      </c>
      <c r="CX763" s="61"/>
      <c r="CY763" s="61">
        <f t="shared" si="660"/>
        <v>0</v>
      </c>
      <c r="CZ763" s="61">
        <f t="shared" si="660"/>
        <v>0</v>
      </c>
      <c r="DA763" s="61">
        <f t="shared" si="660"/>
        <v>0</v>
      </c>
      <c r="DB763" s="2" t="s">
        <v>85</v>
      </c>
      <c r="DC763" s="2" t="s">
        <v>85</v>
      </c>
      <c r="DD763" s="2" t="s">
        <v>142</v>
      </c>
      <c r="DE763" s="2" t="s">
        <v>1146</v>
      </c>
      <c r="DF763" s="3" t="s">
        <v>86</v>
      </c>
      <c r="DG763" s="62">
        <v>43039</v>
      </c>
      <c r="EC763" s="60"/>
      <c r="ED763" s="60"/>
      <c r="EE763" s="60"/>
      <c r="EF763" s="60"/>
    </row>
    <row r="764" spans="2:140" ht="12.75" hidden="1" customHeight="1">
      <c r="B764" s="99" t="s">
        <v>1332</v>
      </c>
      <c r="C764" s="22" t="s">
        <v>991</v>
      </c>
      <c r="D764" s="22" t="s">
        <v>992</v>
      </c>
      <c r="E764" s="2" t="s">
        <v>993</v>
      </c>
      <c r="F764" s="2" t="s">
        <v>969</v>
      </c>
      <c r="G764" s="2" t="s">
        <v>331</v>
      </c>
      <c r="J764" s="149" t="s">
        <v>126</v>
      </c>
      <c r="K764" s="23" t="s">
        <v>1127</v>
      </c>
      <c r="L764" s="149" t="s">
        <v>1192</v>
      </c>
      <c r="M764" s="51" t="str">
        <f t="shared" si="628"/>
        <v>JD8B-F045A06-DDW</v>
      </c>
      <c r="O764" s="22"/>
      <c r="P764" s="22"/>
      <c r="Q764" s="22"/>
      <c r="R764" s="22"/>
      <c r="S764" s="22">
        <v>1</v>
      </c>
      <c r="T764" s="22">
        <v>1</v>
      </c>
      <c r="U764" s="22"/>
      <c r="V764" s="22">
        <v>1</v>
      </c>
      <c r="W764" s="64">
        <f t="shared" si="629"/>
        <v>0.28000000000000003</v>
      </c>
      <c r="Y764" s="60">
        <v>-234.59</v>
      </c>
      <c r="Z764" s="60">
        <v>0</v>
      </c>
      <c r="AA764" s="60">
        <v>-0.93</v>
      </c>
      <c r="AB764" s="60"/>
      <c r="AC764" s="60"/>
      <c r="AD764" s="8">
        <f t="shared" si="707"/>
        <v>-235.52</v>
      </c>
      <c r="AE764" s="2" t="s">
        <v>84</v>
      </c>
      <c r="AG764" s="70"/>
      <c r="AH764" s="70"/>
      <c r="AJ764" s="70"/>
      <c r="AK764" s="70"/>
      <c r="AL764" s="72"/>
      <c r="AM764" s="22"/>
      <c r="AO764" s="149" t="s">
        <v>126</v>
      </c>
      <c r="AP764" s="23" t="s">
        <v>1127</v>
      </c>
      <c r="AQ764" s="22" t="s">
        <v>212</v>
      </c>
      <c r="AR764" s="51" t="str">
        <f t="shared" si="698"/>
        <v>JD8B-F045A06-DBW</v>
      </c>
      <c r="AS764" s="3"/>
      <c r="AT764" s="22"/>
      <c r="AU764" s="22"/>
      <c r="AV764" s="22"/>
      <c r="AW764" s="22"/>
      <c r="AX764" s="22">
        <v>1</v>
      </c>
      <c r="AY764" s="22">
        <v>1</v>
      </c>
      <c r="AZ764" s="22"/>
      <c r="BA764" s="22">
        <v>1</v>
      </c>
      <c r="BB764" s="64">
        <f t="shared" si="703"/>
        <v>0.28000000000000003</v>
      </c>
      <c r="BD764" s="60">
        <v>-234.59</v>
      </c>
      <c r="BE764" s="60">
        <v>0</v>
      </c>
      <c r="BF764" s="60">
        <v>-0.93</v>
      </c>
      <c r="BG764" s="60"/>
      <c r="BH764" s="60"/>
      <c r="BI764" s="8">
        <f>SUM(BD764:BH764)</f>
        <v>-235.52</v>
      </c>
      <c r="BJ764" s="2" t="s">
        <v>84</v>
      </c>
      <c r="BL764" s="70"/>
      <c r="BM764" s="70"/>
      <c r="BO764" s="70"/>
      <c r="BP764" s="70"/>
      <c r="BQ764" s="72"/>
      <c r="BS764" s="61">
        <f t="shared" si="664"/>
        <v>0</v>
      </c>
      <c r="BT764" s="61">
        <f t="shared" si="665"/>
        <v>0</v>
      </c>
      <c r="BU764" s="61">
        <f t="shared" si="666"/>
        <v>0</v>
      </c>
      <c r="BV764" s="61">
        <f t="shared" si="666"/>
        <v>0</v>
      </c>
      <c r="BW764" s="61">
        <f t="shared" si="666"/>
        <v>0</v>
      </c>
      <c r="BX764" s="61">
        <f t="shared" si="666"/>
        <v>0</v>
      </c>
      <c r="BY764" s="61" t="s">
        <v>91</v>
      </c>
      <c r="CA764" s="61">
        <f t="shared" si="701"/>
        <v>0</v>
      </c>
      <c r="CB764" s="61">
        <f t="shared" si="701"/>
        <v>0</v>
      </c>
      <c r="CC764" s="61">
        <f t="shared" si="701"/>
        <v>0</v>
      </c>
      <c r="CD764" s="61">
        <f t="shared" si="699"/>
        <v>0</v>
      </c>
      <c r="CE764" s="61">
        <f t="shared" si="699"/>
        <v>0</v>
      </c>
      <c r="CF764" s="61">
        <f t="shared" si="699"/>
        <v>0</v>
      </c>
      <c r="CG764" s="61">
        <f t="shared" si="699"/>
        <v>0</v>
      </c>
      <c r="CH764" s="61">
        <f t="shared" si="699"/>
        <v>0</v>
      </c>
      <c r="CI764" s="61">
        <f t="shared" si="655"/>
        <v>0</v>
      </c>
      <c r="CJ764" s="61"/>
      <c r="CK764" s="61">
        <f t="shared" si="702"/>
        <v>0</v>
      </c>
      <c r="CL764" s="61">
        <f t="shared" si="702"/>
        <v>0</v>
      </c>
      <c r="CM764" s="61">
        <f t="shared" si="702"/>
        <v>0</v>
      </c>
      <c r="CN764" s="61">
        <f t="shared" si="700"/>
        <v>0</v>
      </c>
      <c r="CO764" s="61">
        <f t="shared" si="700"/>
        <v>0</v>
      </c>
      <c r="CP764" s="61">
        <f t="shared" si="700"/>
        <v>0</v>
      </c>
      <c r="CQ764" s="61">
        <f t="shared" si="700"/>
        <v>0</v>
      </c>
      <c r="CR764" s="61">
        <f t="shared" si="700"/>
        <v>0</v>
      </c>
      <c r="CS764" s="61">
        <f t="shared" si="656"/>
        <v>0</v>
      </c>
      <c r="CT764" s="61">
        <f t="shared" si="657"/>
        <v>0</v>
      </c>
      <c r="CV764" s="61">
        <f t="shared" si="705"/>
        <v>0</v>
      </c>
      <c r="CW764" s="61">
        <f t="shared" si="706"/>
        <v>0</v>
      </c>
      <c r="CX764" s="61"/>
      <c r="CY764" s="61">
        <f t="shared" si="660"/>
        <v>0</v>
      </c>
      <c r="CZ764" s="61">
        <f t="shared" si="660"/>
        <v>0</v>
      </c>
      <c r="DA764" s="61">
        <f t="shared" si="660"/>
        <v>0</v>
      </c>
      <c r="DB764" s="2" t="s">
        <v>85</v>
      </c>
      <c r="DC764" s="2" t="s">
        <v>85</v>
      </c>
      <c r="DD764" s="2" t="s">
        <v>142</v>
      </c>
      <c r="DE764" s="2" t="s">
        <v>1146</v>
      </c>
      <c r="DF764" s="3" t="s">
        <v>86</v>
      </c>
      <c r="DG764" s="62">
        <v>43039</v>
      </c>
      <c r="EC764" s="60"/>
      <c r="ED764" s="60"/>
      <c r="EE764" s="60"/>
      <c r="EF764" s="60"/>
    </row>
    <row r="765" spans="2:140" ht="12.75" hidden="1" customHeight="1">
      <c r="B765" s="99" t="s">
        <v>1333</v>
      </c>
      <c r="C765" s="22" t="s">
        <v>991</v>
      </c>
      <c r="D765" s="22" t="s">
        <v>992</v>
      </c>
      <c r="E765" s="2" t="s">
        <v>993</v>
      </c>
      <c r="F765" s="2" t="s">
        <v>969</v>
      </c>
      <c r="G765" s="2" t="s">
        <v>331</v>
      </c>
      <c r="J765" s="149" t="s">
        <v>126</v>
      </c>
      <c r="K765" s="23" t="s">
        <v>1127</v>
      </c>
      <c r="L765" s="149" t="s">
        <v>1334</v>
      </c>
      <c r="M765" s="51" t="str">
        <f t="shared" si="628"/>
        <v>JD8B-F045A06-AFW</v>
      </c>
      <c r="O765" s="22"/>
      <c r="P765" s="22"/>
      <c r="Q765" s="22">
        <v>1</v>
      </c>
      <c r="R765" s="22">
        <v>1</v>
      </c>
      <c r="S765" s="22"/>
      <c r="T765" s="22"/>
      <c r="U765" s="22"/>
      <c r="V765" s="22"/>
      <c r="W765" s="64">
        <f t="shared" si="629"/>
        <v>0.37</v>
      </c>
      <c r="Y765" s="60">
        <f>-234.59-4.88</f>
        <v>-239.47</v>
      </c>
      <c r="Z765" s="60">
        <v>0</v>
      </c>
      <c r="AA765" s="60">
        <v>-0.93</v>
      </c>
      <c r="AB765" s="60"/>
      <c r="AC765" s="60"/>
      <c r="AD765" s="8">
        <f t="shared" si="707"/>
        <v>-240.4</v>
      </c>
      <c r="AE765" s="2" t="s">
        <v>84</v>
      </c>
      <c r="AG765" s="70">
        <f>-5740890-226500</f>
        <v>-5967390</v>
      </c>
      <c r="AH765" s="70">
        <f>-5740890-226500</f>
        <v>-5967390</v>
      </c>
      <c r="AJ765" s="70"/>
      <c r="AK765" s="70"/>
      <c r="AL765" s="72"/>
      <c r="AM765" s="22"/>
      <c r="AO765" s="149" t="s">
        <v>126</v>
      </c>
      <c r="AP765" s="23" t="s">
        <v>1127</v>
      </c>
      <c r="AQ765" s="149" t="s">
        <v>267</v>
      </c>
      <c r="AR765" s="51" t="str">
        <f t="shared" si="698"/>
        <v>JD8B-F045A06-ADW</v>
      </c>
      <c r="AS765" s="3"/>
      <c r="AT765" s="22"/>
      <c r="AU765" s="22"/>
      <c r="AV765" s="22">
        <v>1</v>
      </c>
      <c r="AW765" s="22">
        <v>1</v>
      </c>
      <c r="AX765" s="22"/>
      <c r="AY765" s="22"/>
      <c r="AZ765" s="22"/>
      <c r="BA765" s="22"/>
      <c r="BB765" s="64">
        <f t="shared" si="703"/>
        <v>0.37</v>
      </c>
      <c r="BD765" s="60">
        <v>-234.59</v>
      </c>
      <c r="BE765" s="60">
        <v>0</v>
      </c>
      <c r="BF765" s="60">
        <v>-0.93</v>
      </c>
      <c r="BG765" s="60"/>
      <c r="BH765" s="60"/>
      <c r="BI765" s="8">
        <f t="shared" ref="BI765:BI769" si="708">SUM(BD765:BH765)</f>
        <v>-235.52</v>
      </c>
      <c r="BJ765" s="2" t="s">
        <v>84</v>
      </c>
      <c r="BL765" s="70">
        <v>-5740890</v>
      </c>
      <c r="BM765" s="70">
        <v>-5740890</v>
      </c>
      <c r="BO765" s="70"/>
      <c r="BP765" s="70"/>
      <c r="BQ765" s="72"/>
      <c r="BS765" s="61">
        <f t="shared" si="664"/>
        <v>-4.8799999999999955</v>
      </c>
      <c r="BT765" s="61">
        <f t="shared" si="665"/>
        <v>0</v>
      </c>
      <c r="BU765" s="61">
        <f t="shared" si="666"/>
        <v>0</v>
      </c>
      <c r="BV765" s="61">
        <f t="shared" si="666"/>
        <v>0</v>
      </c>
      <c r="BW765" s="61">
        <f t="shared" si="666"/>
        <v>0</v>
      </c>
      <c r="BX765" s="61">
        <f t="shared" si="666"/>
        <v>-4.8799999999999955</v>
      </c>
      <c r="BY765" s="61" t="s">
        <v>91</v>
      </c>
      <c r="CA765" s="61">
        <f t="shared" si="701"/>
        <v>0</v>
      </c>
      <c r="CB765" s="61">
        <f t="shared" si="701"/>
        <v>0</v>
      </c>
      <c r="CC765" s="61">
        <f t="shared" si="701"/>
        <v>-0.73416578907777874</v>
      </c>
      <c r="CD765" s="61">
        <f t="shared" si="699"/>
        <v>-0.73416578907777874</v>
      </c>
      <c r="CE765" s="61">
        <f t="shared" si="699"/>
        <v>0</v>
      </c>
      <c r="CF765" s="61">
        <f t="shared" si="699"/>
        <v>0</v>
      </c>
      <c r="CG765" s="61">
        <f t="shared" si="699"/>
        <v>0</v>
      </c>
      <c r="CH765" s="61">
        <f t="shared" si="699"/>
        <v>0</v>
      </c>
      <c r="CI765" s="61">
        <f t="shared" si="655"/>
        <v>-0.27164134195877815</v>
      </c>
      <c r="CJ765" s="61"/>
      <c r="CK765" s="61">
        <f t="shared" si="702"/>
        <v>0</v>
      </c>
      <c r="CL765" s="61">
        <f t="shared" si="702"/>
        <v>0</v>
      </c>
      <c r="CM765" s="61">
        <f t="shared" si="702"/>
        <v>-0.73416578907777874</v>
      </c>
      <c r="CN765" s="61">
        <f t="shared" si="700"/>
        <v>-0.73416578907777874</v>
      </c>
      <c r="CO765" s="61">
        <f t="shared" si="700"/>
        <v>0</v>
      </c>
      <c r="CP765" s="61">
        <f t="shared" si="700"/>
        <v>0</v>
      </c>
      <c r="CQ765" s="61">
        <f t="shared" si="700"/>
        <v>0</v>
      </c>
      <c r="CR765" s="61">
        <f t="shared" si="700"/>
        <v>0</v>
      </c>
      <c r="CS765" s="61">
        <f t="shared" si="656"/>
        <v>-0.27164134195877815</v>
      </c>
      <c r="CT765" s="61">
        <f t="shared" si="657"/>
        <v>-1.8055999999999983</v>
      </c>
      <c r="CV765" s="61">
        <f t="shared" si="705"/>
        <v>-226500</v>
      </c>
      <c r="CW765" s="61">
        <f t="shared" si="706"/>
        <v>-226500</v>
      </c>
      <c r="CX765" s="61"/>
      <c r="CY765" s="61">
        <f t="shared" si="660"/>
        <v>0</v>
      </c>
      <c r="CZ765" s="61">
        <f t="shared" si="660"/>
        <v>0</v>
      </c>
      <c r="DA765" s="61">
        <f t="shared" si="660"/>
        <v>0</v>
      </c>
      <c r="DB765" s="2" t="s">
        <v>85</v>
      </c>
      <c r="DC765" s="2" t="s">
        <v>85</v>
      </c>
      <c r="DD765" s="2" t="s">
        <v>142</v>
      </c>
      <c r="DE765" s="2" t="s">
        <v>106</v>
      </c>
      <c r="DF765" s="3" t="s">
        <v>86</v>
      </c>
      <c r="DG765" s="62">
        <v>43084</v>
      </c>
      <c r="EC765" s="60"/>
      <c r="ED765" s="60"/>
      <c r="EE765" s="60"/>
      <c r="EF765" s="60"/>
    </row>
    <row r="766" spans="2:140" ht="12.75" hidden="1" customHeight="1">
      <c r="B766" s="99" t="s">
        <v>1333</v>
      </c>
      <c r="C766" s="22" t="s">
        <v>991</v>
      </c>
      <c r="D766" s="22" t="s">
        <v>992</v>
      </c>
      <c r="E766" s="2" t="s">
        <v>993</v>
      </c>
      <c r="F766" s="2" t="s">
        <v>969</v>
      </c>
      <c r="G766" s="2" t="s">
        <v>331</v>
      </c>
      <c r="J766" s="149" t="s">
        <v>126</v>
      </c>
      <c r="K766" s="23" t="s">
        <v>1127</v>
      </c>
      <c r="L766" s="149" t="s">
        <v>1335</v>
      </c>
      <c r="M766" s="51" t="str">
        <f t="shared" si="628"/>
        <v>JD8B-F045A06-BFW</v>
      </c>
      <c r="O766" s="22"/>
      <c r="P766" s="22"/>
      <c r="Q766" s="22"/>
      <c r="R766" s="22"/>
      <c r="S766" s="22"/>
      <c r="T766" s="22"/>
      <c r="U766" s="22">
        <v>1</v>
      </c>
      <c r="V766" s="22">
        <v>1</v>
      </c>
      <c r="W766" s="64">
        <f t="shared" si="629"/>
        <v>0.1</v>
      </c>
      <c r="Y766" s="60">
        <f>-237.04-4.88</f>
        <v>-241.92</v>
      </c>
      <c r="Z766" s="60">
        <v>0</v>
      </c>
      <c r="AA766" s="60">
        <v>-0.93</v>
      </c>
      <c r="AB766" s="60"/>
      <c r="AC766" s="60"/>
      <c r="AD766" s="8">
        <f t="shared" si="707"/>
        <v>-242.85</v>
      </c>
      <c r="AE766" s="2" t="s">
        <v>84</v>
      </c>
      <c r="AG766" s="70"/>
      <c r="AH766" s="70"/>
      <c r="AJ766" s="70"/>
      <c r="AK766" s="70"/>
      <c r="AL766" s="72"/>
      <c r="AM766" s="22"/>
      <c r="AO766" s="149" t="s">
        <v>126</v>
      </c>
      <c r="AP766" s="23" t="s">
        <v>1127</v>
      </c>
      <c r="AQ766" s="149" t="s">
        <v>670</v>
      </c>
      <c r="AR766" s="51" t="str">
        <f t="shared" si="698"/>
        <v>JD8B-F045A06-BDW</v>
      </c>
      <c r="AS766" s="3"/>
      <c r="AT766" s="22"/>
      <c r="AU766" s="22"/>
      <c r="AV766" s="22"/>
      <c r="AW766" s="22"/>
      <c r="AX766" s="22"/>
      <c r="AY766" s="22"/>
      <c r="AZ766" s="22">
        <v>1</v>
      </c>
      <c r="BA766" s="22">
        <v>1</v>
      </c>
      <c r="BB766" s="64">
        <f t="shared" si="703"/>
        <v>0.1</v>
      </c>
      <c r="BD766" s="60">
        <v>-237.04</v>
      </c>
      <c r="BE766" s="60">
        <v>0</v>
      </c>
      <c r="BF766" s="60">
        <v>-0.93</v>
      </c>
      <c r="BG766" s="60"/>
      <c r="BH766" s="60"/>
      <c r="BI766" s="8">
        <f t="shared" si="708"/>
        <v>-237.97</v>
      </c>
      <c r="BJ766" s="2" t="s">
        <v>84</v>
      </c>
      <c r="BL766" s="70"/>
      <c r="BM766" s="70"/>
      <c r="BO766" s="70"/>
      <c r="BP766" s="70"/>
      <c r="BQ766" s="72"/>
      <c r="BS766" s="61">
        <f t="shared" si="664"/>
        <v>-4.8799999999999955</v>
      </c>
      <c r="BT766" s="61">
        <f t="shared" si="665"/>
        <v>0</v>
      </c>
      <c r="BU766" s="61">
        <f t="shared" si="666"/>
        <v>0</v>
      </c>
      <c r="BV766" s="61">
        <f t="shared" si="666"/>
        <v>0</v>
      </c>
      <c r="BW766" s="61">
        <f t="shared" si="666"/>
        <v>0</v>
      </c>
      <c r="BX766" s="61">
        <f t="shared" si="666"/>
        <v>-4.8799999999999955</v>
      </c>
      <c r="BY766" s="61" t="s">
        <v>91</v>
      </c>
      <c r="CA766" s="61">
        <f t="shared" si="701"/>
        <v>0</v>
      </c>
      <c r="CB766" s="61">
        <f t="shared" si="701"/>
        <v>0</v>
      </c>
      <c r="CC766" s="61">
        <f t="shared" si="701"/>
        <v>0</v>
      </c>
      <c r="CD766" s="61">
        <f t="shared" si="699"/>
        <v>0</v>
      </c>
      <c r="CE766" s="61">
        <f t="shared" si="699"/>
        <v>0</v>
      </c>
      <c r="CF766" s="61">
        <f t="shared" si="699"/>
        <v>0</v>
      </c>
      <c r="CG766" s="61">
        <f t="shared" si="699"/>
        <v>-0.73416578907777874</v>
      </c>
      <c r="CH766" s="61">
        <f t="shared" si="699"/>
        <v>-0.73416578907777874</v>
      </c>
      <c r="CI766" s="61">
        <f t="shared" si="655"/>
        <v>-7.3416578907777877E-2</v>
      </c>
      <c r="CJ766" s="61"/>
      <c r="CK766" s="61">
        <f t="shared" si="702"/>
        <v>0</v>
      </c>
      <c r="CL766" s="61">
        <f t="shared" si="702"/>
        <v>0</v>
      </c>
      <c r="CM766" s="61">
        <f t="shared" si="702"/>
        <v>0</v>
      </c>
      <c r="CN766" s="61">
        <f t="shared" si="700"/>
        <v>0</v>
      </c>
      <c r="CO766" s="61">
        <f t="shared" si="700"/>
        <v>0</v>
      </c>
      <c r="CP766" s="61">
        <f t="shared" si="700"/>
        <v>0</v>
      </c>
      <c r="CQ766" s="61">
        <f t="shared" si="700"/>
        <v>-0.73416578907777874</v>
      </c>
      <c r="CR766" s="61">
        <f t="shared" si="700"/>
        <v>-0.73416578907777874</v>
      </c>
      <c r="CS766" s="61">
        <f t="shared" si="656"/>
        <v>-7.3416578907777877E-2</v>
      </c>
      <c r="CT766" s="67">
        <f t="shared" si="657"/>
        <v>-0.48799999999999955</v>
      </c>
      <c r="CV766" s="61">
        <f t="shared" si="705"/>
        <v>0</v>
      </c>
      <c r="CW766" s="61">
        <f t="shared" si="706"/>
        <v>0</v>
      </c>
      <c r="CX766" s="61"/>
      <c r="CY766" s="61">
        <f t="shared" si="660"/>
        <v>0</v>
      </c>
      <c r="CZ766" s="61">
        <f t="shared" si="660"/>
        <v>0</v>
      </c>
      <c r="DA766" s="61">
        <f t="shared" si="660"/>
        <v>0</v>
      </c>
      <c r="DB766" s="2" t="s">
        <v>85</v>
      </c>
      <c r="DC766" s="2" t="s">
        <v>85</v>
      </c>
      <c r="DD766" s="2" t="s">
        <v>142</v>
      </c>
      <c r="DE766" s="2" t="s">
        <v>106</v>
      </c>
      <c r="DF766" s="3" t="s">
        <v>86</v>
      </c>
      <c r="DG766" s="62">
        <v>43084</v>
      </c>
      <c r="EC766" s="60"/>
      <c r="ED766" s="60"/>
      <c r="EE766" s="60"/>
      <c r="EF766" s="60"/>
    </row>
    <row r="767" spans="2:140" ht="12.75" hidden="1" customHeight="1">
      <c r="B767" s="99" t="s">
        <v>1333</v>
      </c>
      <c r="C767" s="22" t="s">
        <v>991</v>
      </c>
      <c r="D767" s="22" t="s">
        <v>992</v>
      </c>
      <c r="E767" s="2" t="s">
        <v>993</v>
      </c>
      <c r="F767" s="2" t="s">
        <v>969</v>
      </c>
      <c r="G767" s="2" t="s">
        <v>331</v>
      </c>
      <c r="J767" s="149" t="s">
        <v>126</v>
      </c>
      <c r="K767" s="23" t="s">
        <v>1127</v>
      </c>
      <c r="L767" s="149" t="s">
        <v>1336</v>
      </c>
      <c r="M767" s="51" t="str">
        <f t="shared" si="628"/>
        <v>JD8B-F045A06-DFW</v>
      </c>
      <c r="O767" s="22"/>
      <c r="P767" s="22"/>
      <c r="Q767" s="22"/>
      <c r="R767" s="22"/>
      <c r="S767" s="22">
        <v>1</v>
      </c>
      <c r="T767" s="22">
        <v>1</v>
      </c>
      <c r="U767" s="22"/>
      <c r="V767" s="22">
        <v>1</v>
      </c>
      <c r="W767" s="64">
        <f t="shared" si="629"/>
        <v>0.28000000000000003</v>
      </c>
      <c r="Y767" s="60">
        <f>-234.59-4.88</f>
        <v>-239.47</v>
      </c>
      <c r="Z767" s="60">
        <v>0</v>
      </c>
      <c r="AA767" s="60">
        <v>-0.93</v>
      </c>
      <c r="AB767" s="60"/>
      <c r="AC767" s="60"/>
      <c r="AD767" s="8">
        <f t="shared" ref="AD767:AD770" si="709">SUM(Y767:AC767)</f>
        <v>-240.4</v>
      </c>
      <c r="AE767" s="2" t="s">
        <v>84</v>
      </c>
      <c r="AG767" s="70"/>
      <c r="AH767" s="70"/>
      <c r="AJ767" s="70"/>
      <c r="AK767" s="70"/>
      <c r="AL767" s="72"/>
      <c r="AM767" s="22"/>
      <c r="AO767" s="149" t="s">
        <v>126</v>
      </c>
      <c r="AP767" s="23" t="s">
        <v>1127</v>
      </c>
      <c r="AQ767" s="149" t="s">
        <v>1192</v>
      </c>
      <c r="AR767" s="51" t="str">
        <f t="shared" si="698"/>
        <v>JD8B-F045A06-DDW</v>
      </c>
      <c r="AS767" s="3"/>
      <c r="AT767" s="22"/>
      <c r="AU767" s="22"/>
      <c r="AV767" s="22"/>
      <c r="AW767" s="22"/>
      <c r="AX767" s="22">
        <v>1</v>
      </c>
      <c r="AY767" s="22">
        <v>1</v>
      </c>
      <c r="AZ767" s="22"/>
      <c r="BA767" s="22">
        <v>1</v>
      </c>
      <c r="BB767" s="64">
        <f t="shared" si="703"/>
        <v>0.28000000000000003</v>
      </c>
      <c r="BD767" s="60">
        <v>-234.59</v>
      </c>
      <c r="BE767" s="60">
        <v>0</v>
      </c>
      <c r="BF767" s="60">
        <v>-0.93</v>
      </c>
      <c r="BG767" s="60"/>
      <c r="BH767" s="60"/>
      <c r="BI767" s="8">
        <f t="shared" si="708"/>
        <v>-235.52</v>
      </c>
      <c r="BJ767" s="2" t="s">
        <v>84</v>
      </c>
      <c r="BL767" s="70"/>
      <c r="BM767" s="70"/>
      <c r="BO767" s="70"/>
      <c r="BP767" s="70"/>
      <c r="BQ767" s="72"/>
      <c r="BS767" s="61">
        <f t="shared" si="664"/>
        <v>-4.8799999999999955</v>
      </c>
      <c r="BT767" s="61">
        <f t="shared" si="665"/>
        <v>0</v>
      </c>
      <c r="BU767" s="61">
        <f t="shared" si="666"/>
        <v>0</v>
      </c>
      <c r="BV767" s="61">
        <f t="shared" si="666"/>
        <v>0</v>
      </c>
      <c r="BW767" s="61">
        <f t="shared" si="666"/>
        <v>0</v>
      </c>
      <c r="BX767" s="61">
        <f t="shared" si="666"/>
        <v>-4.8799999999999955</v>
      </c>
      <c r="BY767" s="61" t="s">
        <v>91</v>
      </c>
      <c r="CA767" s="61">
        <f t="shared" si="701"/>
        <v>0</v>
      </c>
      <c r="CB767" s="61">
        <f t="shared" si="701"/>
        <v>0</v>
      </c>
      <c r="CC767" s="61">
        <f t="shared" si="701"/>
        <v>0</v>
      </c>
      <c r="CD767" s="61">
        <f t="shared" si="699"/>
        <v>0</v>
      </c>
      <c r="CE767" s="61">
        <f t="shared" si="699"/>
        <v>-0.73416578907777874</v>
      </c>
      <c r="CF767" s="61">
        <f t="shared" si="699"/>
        <v>-0.73416578907777874</v>
      </c>
      <c r="CG767" s="61">
        <f t="shared" si="699"/>
        <v>0</v>
      </c>
      <c r="CH767" s="61">
        <f t="shared" si="699"/>
        <v>-0.73416578907777874</v>
      </c>
      <c r="CI767" s="61">
        <f t="shared" si="655"/>
        <v>-0.20556642094177807</v>
      </c>
      <c r="CJ767" s="61"/>
      <c r="CK767" s="61">
        <f t="shared" si="702"/>
        <v>0</v>
      </c>
      <c r="CL767" s="61">
        <f t="shared" si="702"/>
        <v>0</v>
      </c>
      <c r="CM767" s="61">
        <f t="shared" si="702"/>
        <v>0</v>
      </c>
      <c r="CN767" s="61">
        <f t="shared" si="700"/>
        <v>0</v>
      </c>
      <c r="CO767" s="61">
        <f t="shared" si="700"/>
        <v>-0.73416578907777874</v>
      </c>
      <c r="CP767" s="61">
        <f t="shared" si="700"/>
        <v>-0.73416578907777874</v>
      </c>
      <c r="CQ767" s="61">
        <f t="shared" si="700"/>
        <v>0</v>
      </c>
      <c r="CR767" s="61">
        <f t="shared" si="700"/>
        <v>-0.73416578907777874</v>
      </c>
      <c r="CS767" s="61">
        <f t="shared" si="656"/>
        <v>-0.20556642094177807</v>
      </c>
      <c r="CT767" s="61">
        <f t="shared" si="657"/>
        <v>-1.3663999999999989</v>
      </c>
      <c r="CV767" s="61">
        <f t="shared" ref="CV767:CV769" si="710">SUM(AG767)-SUM(BL767)</f>
        <v>0</v>
      </c>
      <c r="CW767" s="61">
        <f t="shared" ref="CW767:CW770" si="711">SUM(AH767)-SUM(BM767)</f>
        <v>0</v>
      </c>
      <c r="CX767" s="61"/>
      <c r="CY767" s="61">
        <f t="shared" si="660"/>
        <v>0</v>
      </c>
      <c r="CZ767" s="61">
        <f t="shared" si="660"/>
        <v>0</v>
      </c>
      <c r="DA767" s="61">
        <f t="shared" si="660"/>
        <v>0</v>
      </c>
      <c r="DB767" s="2" t="s">
        <v>85</v>
      </c>
      <c r="DC767" s="2" t="s">
        <v>85</v>
      </c>
      <c r="DD767" s="2" t="s">
        <v>142</v>
      </c>
      <c r="DE767" s="2" t="s">
        <v>106</v>
      </c>
      <c r="DF767" s="3" t="s">
        <v>86</v>
      </c>
      <c r="DG767" s="62">
        <v>43084</v>
      </c>
      <c r="EC767" s="60"/>
      <c r="ED767" s="60"/>
      <c r="EE767" s="60"/>
      <c r="EF767" s="60"/>
    </row>
    <row r="768" spans="2:140" ht="12.75" hidden="1" customHeight="1">
      <c r="B768" s="99" t="s">
        <v>1337</v>
      </c>
      <c r="C768" s="22" t="s">
        <v>991</v>
      </c>
      <c r="D768" s="22" t="s">
        <v>992</v>
      </c>
      <c r="E768" s="2" t="s">
        <v>993</v>
      </c>
      <c r="F768" s="2" t="s">
        <v>969</v>
      </c>
      <c r="G768" s="2" t="s">
        <v>331</v>
      </c>
      <c r="J768" s="149" t="s">
        <v>126</v>
      </c>
      <c r="K768" s="23" t="s">
        <v>1127</v>
      </c>
      <c r="L768" s="149" t="s">
        <v>1338</v>
      </c>
      <c r="M768" s="51" t="str">
        <f t="shared" si="628"/>
        <v>JD8B-F045A06-AGW</v>
      </c>
      <c r="O768" s="22"/>
      <c r="P768" s="22"/>
      <c r="Q768" s="22">
        <v>1</v>
      </c>
      <c r="R768" s="22">
        <v>1</v>
      </c>
      <c r="S768" s="22"/>
      <c r="T768" s="22"/>
      <c r="U768" s="22"/>
      <c r="V768" s="22"/>
      <c r="W768" s="64">
        <f t="shared" si="629"/>
        <v>0.37</v>
      </c>
      <c r="Y768" s="60">
        <f>-234.59-4.88</f>
        <v>-239.47</v>
      </c>
      <c r="Z768" s="60">
        <v>0</v>
      </c>
      <c r="AA768" s="60">
        <v>-0.93</v>
      </c>
      <c r="AB768" s="60"/>
      <c r="AC768" s="60"/>
      <c r="AD768" s="8">
        <f t="shared" si="709"/>
        <v>-240.4</v>
      </c>
      <c r="AE768" s="2" t="s">
        <v>84</v>
      </c>
      <c r="AG768" s="70">
        <f>-5740890-226500-210000</f>
        <v>-6177390</v>
      </c>
      <c r="AH768" s="70">
        <f>-5740890-226500-210000</f>
        <v>-6177390</v>
      </c>
      <c r="AJ768" s="70"/>
      <c r="AK768" s="70"/>
      <c r="AL768" s="72"/>
      <c r="AM768" s="22"/>
      <c r="AO768" s="149" t="s">
        <v>126</v>
      </c>
      <c r="AP768" s="23" t="s">
        <v>1127</v>
      </c>
      <c r="AQ768" s="149" t="s">
        <v>1334</v>
      </c>
      <c r="AR768" s="51" t="str">
        <f t="shared" si="698"/>
        <v>JD8B-F045A06-AFW</v>
      </c>
      <c r="AS768" s="3"/>
      <c r="AT768" s="22"/>
      <c r="AU768" s="22"/>
      <c r="AV768" s="22">
        <v>1</v>
      </c>
      <c r="AW768" s="22">
        <v>1</v>
      </c>
      <c r="AX768" s="22"/>
      <c r="AY768" s="22"/>
      <c r="AZ768" s="22"/>
      <c r="BA768" s="22"/>
      <c r="BB768" s="64">
        <f t="shared" si="703"/>
        <v>0.37</v>
      </c>
      <c r="BD768" s="60">
        <f>-234.59-4.88</f>
        <v>-239.47</v>
      </c>
      <c r="BE768" s="60">
        <v>0</v>
      </c>
      <c r="BF768" s="60">
        <v>-0.93</v>
      </c>
      <c r="BG768" s="60"/>
      <c r="BH768" s="60"/>
      <c r="BI768" s="8">
        <f t="shared" si="708"/>
        <v>-240.4</v>
      </c>
      <c r="BJ768" s="2" t="s">
        <v>84</v>
      </c>
      <c r="BL768" s="70">
        <f>-5740890-226500</f>
        <v>-5967390</v>
      </c>
      <c r="BM768" s="70">
        <f>-5740890-226500</f>
        <v>-5967390</v>
      </c>
      <c r="BO768" s="70"/>
      <c r="BP768" s="70"/>
      <c r="BQ768" s="72"/>
      <c r="BS768" s="61">
        <f t="shared" si="664"/>
        <v>0</v>
      </c>
      <c r="BT768" s="61">
        <f t="shared" si="665"/>
        <v>0</v>
      </c>
      <c r="BU768" s="61">
        <f t="shared" si="666"/>
        <v>0</v>
      </c>
      <c r="BV768" s="61">
        <f t="shared" si="666"/>
        <v>0</v>
      </c>
      <c r="BW768" s="61">
        <f t="shared" si="666"/>
        <v>0</v>
      </c>
      <c r="BX768" s="61">
        <f t="shared" si="666"/>
        <v>0</v>
      </c>
      <c r="BY768" s="61" t="s">
        <v>91</v>
      </c>
      <c r="CA768" s="61">
        <f t="shared" si="701"/>
        <v>0</v>
      </c>
      <c r="CB768" s="61">
        <f t="shared" si="701"/>
        <v>0</v>
      </c>
      <c r="CC768" s="61">
        <f t="shared" si="701"/>
        <v>0</v>
      </c>
      <c r="CD768" s="61">
        <f t="shared" si="699"/>
        <v>0</v>
      </c>
      <c r="CE768" s="61">
        <f t="shared" si="699"/>
        <v>0</v>
      </c>
      <c r="CF768" s="61">
        <f t="shared" si="699"/>
        <v>0</v>
      </c>
      <c r="CG768" s="61">
        <f t="shared" si="699"/>
        <v>0</v>
      </c>
      <c r="CH768" s="61">
        <f t="shared" si="699"/>
        <v>0</v>
      </c>
      <c r="CI768" s="61">
        <f t="shared" si="655"/>
        <v>0</v>
      </c>
      <c r="CJ768" s="61"/>
      <c r="CK768" s="61">
        <f t="shared" si="702"/>
        <v>0</v>
      </c>
      <c r="CL768" s="61">
        <f t="shared" si="702"/>
        <v>0</v>
      </c>
      <c r="CM768" s="61">
        <f t="shared" si="702"/>
        <v>0</v>
      </c>
      <c r="CN768" s="61">
        <f t="shared" si="700"/>
        <v>0</v>
      </c>
      <c r="CO768" s="61">
        <f t="shared" si="700"/>
        <v>0</v>
      </c>
      <c r="CP768" s="61">
        <f t="shared" si="700"/>
        <v>0</v>
      </c>
      <c r="CQ768" s="61">
        <f t="shared" si="700"/>
        <v>0</v>
      </c>
      <c r="CR768" s="61">
        <f t="shared" si="700"/>
        <v>0</v>
      </c>
      <c r="CS768" s="61">
        <f t="shared" si="656"/>
        <v>0</v>
      </c>
      <c r="CT768" s="63">
        <f t="shared" si="657"/>
        <v>0</v>
      </c>
      <c r="CV768" s="61">
        <f t="shared" si="710"/>
        <v>-210000</v>
      </c>
      <c r="CW768" s="61">
        <f t="shared" si="711"/>
        <v>-210000</v>
      </c>
      <c r="CX768" s="61"/>
      <c r="CY768" s="61">
        <f t="shared" si="660"/>
        <v>0</v>
      </c>
      <c r="CZ768" s="61">
        <f t="shared" si="660"/>
        <v>0</v>
      </c>
      <c r="DA768" s="61">
        <f t="shared" si="660"/>
        <v>0</v>
      </c>
      <c r="DB768" s="2" t="s">
        <v>134</v>
      </c>
      <c r="DC768" s="2" t="s">
        <v>85</v>
      </c>
      <c r="DD768" s="2" t="s">
        <v>142</v>
      </c>
      <c r="DE768" s="2" t="s">
        <v>106</v>
      </c>
      <c r="DF768" s="3" t="s">
        <v>118</v>
      </c>
      <c r="DG768" s="62">
        <v>43111</v>
      </c>
      <c r="EC768" s="60"/>
      <c r="ED768" s="60"/>
      <c r="EE768" s="60"/>
      <c r="EF768" s="60"/>
    </row>
    <row r="769" spans="2:140" ht="12.75" hidden="1" customHeight="1">
      <c r="B769" s="99" t="s">
        <v>1337</v>
      </c>
      <c r="C769" s="22" t="s">
        <v>991</v>
      </c>
      <c r="D769" s="22" t="s">
        <v>992</v>
      </c>
      <c r="E769" s="2" t="s">
        <v>993</v>
      </c>
      <c r="F769" s="2" t="s">
        <v>969</v>
      </c>
      <c r="G769" s="2" t="s">
        <v>331</v>
      </c>
      <c r="J769" s="149" t="s">
        <v>126</v>
      </c>
      <c r="K769" s="23" t="s">
        <v>1127</v>
      </c>
      <c r="L769" s="149" t="s">
        <v>656</v>
      </c>
      <c r="M769" s="51" t="str">
        <f t="shared" si="628"/>
        <v>JD8B-F045A06-BGW</v>
      </c>
      <c r="O769" s="22"/>
      <c r="P769" s="22"/>
      <c r="Q769" s="22"/>
      <c r="R769" s="22"/>
      <c r="S769" s="22"/>
      <c r="T769" s="22"/>
      <c r="U769" s="22">
        <v>1</v>
      </c>
      <c r="V769" s="22">
        <v>1</v>
      </c>
      <c r="W769" s="64">
        <f t="shared" si="629"/>
        <v>0.1</v>
      </c>
      <c r="Y769" s="60">
        <f>-237.04-4.88</f>
        <v>-241.92</v>
      </c>
      <c r="Z769" s="60">
        <v>0</v>
      </c>
      <c r="AA769" s="60">
        <v>-0.93</v>
      </c>
      <c r="AB769" s="60"/>
      <c r="AC769" s="60"/>
      <c r="AD769" s="8">
        <f t="shared" si="709"/>
        <v>-242.85</v>
      </c>
      <c r="AE769" s="2" t="s">
        <v>84</v>
      </c>
      <c r="AG769" s="70"/>
      <c r="AH769" s="70"/>
      <c r="AJ769" s="70"/>
      <c r="AK769" s="70"/>
      <c r="AL769" s="72"/>
      <c r="AM769" s="22"/>
      <c r="AO769" s="149" t="s">
        <v>126</v>
      </c>
      <c r="AP769" s="23" t="s">
        <v>1127</v>
      </c>
      <c r="AQ769" s="149" t="s">
        <v>1335</v>
      </c>
      <c r="AR769" s="51" t="str">
        <f t="shared" si="698"/>
        <v>JD8B-F045A06-BFW</v>
      </c>
      <c r="AS769" s="3"/>
      <c r="AT769" s="22"/>
      <c r="AU769" s="22"/>
      <c r="AV769" s="22"/>
      <c r="AW769" s="22"/>
      <c r="AX769" s="22"/>
      <c r="AY769" s="22"/>
      <c r="AZ769" s="22">
        <v>1</v>
      </c>
      <c r="BA769" s="22">
        <v>1</v>
      </c>
      <c r="BB769" s="64">
        <f t="shared" si="703"/>
        <v>0.1</v>
      </c>
      <c r="BD769" s="60">
        <f>-237.04-4.88</f>
        <v>-241.92</v>
      </c>
      <c r="BE769" s="60">
        <v>0</v>
      </c>
      <c r="BF769" s="60">
        <v>-0.93</v>
      </c>
      <c r="BG769" s="60"/>
      <c r="BH769" s="60"/>
      <c r="BI769" s="8">
        <f t="shared" si="708"/>
        <v>-242.85</v>
      </c>
      <c r="BJ769" s="2" t="s">
        <v>84</v>
      </c>
      <c r="BL769" s="70"/>
      <c r="BM769" s="70"/>
      <c r="BO769" s="70"/>
      <c r="BP769" s="70"/>
      <c r="BQ769" s="72"/>
      <c r="BS769" s="61">
        <f t="shared" si="664"/>
        <v>0</v>
      </c>
      <c r="BT769" s="61">
        <f t="shared" si="665"/>
        <v>0</v>
      </c>
      <c r="BU769" s="61">
        <f t="shared" si="666"/>
        <v>0</v>
      </c>
      <c r="BV769" s="61">
        <f t="shared" si="666"/>
        <v>0</v>
      </c>
      <c r="BW769" s="61">
        <f t="shared" si="666"/>
        <v>0</v>
      </c>
      <c r="BX769" s="61">
        <f t="shared" si="666"/>
        <v>0</v>
      </c>
      <c r="BY769" s="61" t="s">
        <v>91</v>
      </c>
      <c r="CA769" s="61">
        <f t="shared" si="701"/>
        <v>0</v>
      </c>
      <c r="CB769" s="61">
        <f t="shared" si="701"/>
        <v>0</v>
      </c>
      <c r="CC769" s="61">
        <f t="shared" si="701"/>
        <v>0</v>
      </c>
      <c r="CD769" s="61">
        <f t="shared" si="699"/>
        <v>0</v>
      </c>
      <c r="CE769" s="61">
        <f t="shared" si="699"/>
        <v>0</v>
      </c>
      <c r="CF769" s="61">
        <f t="shared" si="699"/>
        <v>0</v>
      </c>
      <c r="CG769" s="61">
        <f t="shared" si="699"/>
        <v>0</v>
      </c>
      <c r="CH769" s="61">
        <f t="shared" si="699"/>
        <v>0</v>
      </c>
      <c r="CI769" s="61">
        <f t="shared" si="655"/>
        <v>0</v>
      </c>
      <c r="CJ769" s="61"/>
      <c r="CK769" s="61">
        <f t="shared" si="702"/>
        <v>0</v>
      </c>
      <c r="CL769" s="61">
        <f t="shared" si="702"/>
        <v>0</v>
      </c>
      <c r="CM769" s="61">
        <f t="shared" si="702"/>
        <v>0</v>
      </c>
      <c r="CN769" s="61">
        <f t="shared" si="700"/>
        <v>0</v>
      </c>
      <c r="CO769" s="61">
        <f t="shared" si="700"/>
        <v>0</v>
      </c>
      <c r="CP769" s="61">
        <f t="shared" si="700"/>
        <v>0</v>
      </c>
      <c r="CQ769" s="61">
        <f t="shared" si="700"/>
        <v>0</v>
      </c>
      <c r="CR769" s="61">
        <f t="shared" si="700"/>
        <v>0</v>
      </c>
      <c r="CS769" s="61">
        <f t="shared" si="656"/>
        <v>0</v>
      </c>
      <c r="CT769" s="63">
        <f t="shared" si="657"/>
        <v>0</v>
      </c>
      <c r="CV769" s="61">
        <f t="shared" si="710"/>
        <v>0</v>
      </c>
      <c r="CW769" s="61">
        <f t="shared" si="711"/>
        <v>0</v>
      </c>
      <c r="CX769" s="61"/>
      <c r="CY769" s="61">
        <f t="shared" si="660"/>
        <v>0</v>
      </c>
      <c r="CZ769" s="61">
        <f t="shared" si="660"/>
        <v>0</v>
      </c>
      <c r="DA769" s="61">
        <f t="shared" si="660"/>
        <v>0</v>
      </c>
      <c r="DB769" s="2" t="s">
        <v>134</v>
      </c>
      <c r="DC769" s="2" t="s">
        <v>85</v>
      </c>
      <c r="DD769" s="2" t="s">
        <v>142</v>
      </c>
      <c r="DE769" s="2" t="s">
        <v>106</v>
      </c>
      <c r="DF769" s="3" t="s">
        <v>118</v>
      </c>
      <c r="DG769" s="62">
        <v>43111</v>
      </c>
      <c r="EC769" s="60"/>
      <c r="ED769" s="60"/>
      <c r="EE769" s="60"/>
      <c r="EF769" s="60"/>
    </row>
    <row r="770" spans="2:140" ht="12.75" hidden="1" customHeight="1">
      <c r="B770" s="99" t="s">
        <v>1337</v>
      </c>
      <c r="C770" s="22" t="s">
        <v>991</v>
      </c>
      <c r="D770" s="22" t="s">
        <v>992</v>
      </c>
      <c r="E770" s="2" t="s">
        <v>993</v>
      </c>
      <c r="F770" s="2" t="s">
        <v>969</v>
      </c>
      <c r="G770" s="2" t="s">
        <v>331</v>
      </c>
      <c r="J770" s="149" t="s">
        <v>126</v>
      </c>
      <c r="K770" s="23" t="s">
        <v>1127</v>
      </c>
      <c r="L770" s="149" t="s">
        <v>1339</v>
      </c>
      <c r="M770" s="51" t="str">
        <f t="shared" si="628"/>
        <v>JD8B-F045A06-DGW</v>
      </c>
      <c r="O770" s="22"/>
      <c r="P770" s="22"/>
      <c r="Q770" s="22"/>
      <c r="R770" s="22"/>
      <c r="S770" s="22">
        <v>1</v>
      </c>
      <c r="T770" s="22">
        <v>1</v>
      </c>
      <c r="U770" s="22"/>
      <c r="V770" s="22">
        <v>1</v>
      </c>
      <c r="W770" s="64">
        <f t="shared" si="629"/>
        <v>0.28000000000000003</v>
      </c>
      <c r="Y770" s="60">
        <f>-234.59-4.88</f>
        <v>-239.47</v>
      </c>
      <c r="Z770" s="60">
        <v>0</v>
      </c>
      <c r="AA770" s="60">
        <v>-0.93</v>
      </c>
      <c r="AB770" s="60"/>
      <c r="AC770" s="60"/>
      <c r="AD770" s="8">
        <f t="shared" si="709"/>
        <v>-240.4</v>
      </c>
      <c r="AE770" s="2" t="s">
        <v>84</v>
      </c>
      <c r="AG770" s="70"/>
      <c r="AH770" s="70"/>
      <c r="AJ770" s="70"/>
      <c r="AK770" s="70"/>
      <c r="AL770" s="72"/>
      <c r="AM770" s="22"/>
      <c r="AO770" s="149" t="s">
        <v>126</v>
      </c>
      <c r="AP770" s="23" t="s">
        <v>1127</v>
      </c>
      <c r="AQ770" s="149" t="s">
        <v>1336</v>
      </c>
      <c r="AR770" s="51" t="str">
        <f>TRIM(AO770)&amp;"-"&amp;TRIM(AP770)&amp;"-"&amp;TRIM(AQ770)</f>
        <v>JD8B-F045A06-DFW</v>
      </c>
      <c r="AS770" s="3"/>
      <c r="AT770" s="22"/>
      <c r="AU770" s="22"/>
      <c r="AV770" s="22"/>
      <c r="AW770" s="22"/>
      <c r="AX770" s="22">
        <v>1</v>
      </c>
      <c r="AY770" s="22">
        <v>1</v>
      </c>
      <c r="AZ770" s="22"/>
      <c r="BA770" s="22">
        <v>1</v>
      </c>
      <c r="BB770" s="64">
        <f t="shared" si="703"/>
        <v>0.28000000000000003</v>
      </c>
      <c r="BD770" s="60">
        <f>-234.59-4.88</f>
        <v>-239.47</v>
      </c>
      <c r="BE770" s="60">
        <v>0</v>
      </c>
      <c r="BF770" s="60">
        <v>-0.93</v>
      </c>
      <c r="BG770" s="60"/>
      <c r="BH770" s="60"/>
      <c r="BI770" s="8">
        <f t="shared" ref="BI770" si="712">SUM(BD770:BH770)</f>
        <v>-240.4</v>
      </c>
      <c r="BJ770" s="2" t="s">
        <v>84</v>
      </c>
      <c r="BL770" s="70"/>
      <c r="BM770" s="70"/>
      <c r="BO770" s="70"/>
      <c r="BP770" s="70"/>
      <c r="BQ770" s="72"/>
      <c r="BS770" s="61">
        <f t="shared" si="664"/>
        <v>0</v>
      </c>
      <c r="BT770" s="61">
        <f t="shared" si="665"/>
        <v>0</v>
      </c>
      <c r="BU770" s="61">
        <f t="shared" si="666"/>
        <v>0</v>
      </c>
      <c r="BV770" s="61">
        <f t="shared" si="666"/>
        <v>0</v>
      </c>
      <c r="BW770" s="61">
        <f t="shared" si="666"/>
        <v>0</v>
      </c>
      <c r="BX770" s="61">
        <f t="shared" si="666"/>
        <v>0</v>
      </c>
      <c r="BY770" s="61" t="s">
        <v>91</v>
      </c>
      <c r="CA770" s="61">
        <f t="shared" si="701"/>
        <v>0</v>
      </c>
      <c r="CB770" s="61">
        <f t="shared" si="701"/>
        <v>0</v>
      </c>
      <c r="CC770" s="61">
        <f t="shared" si="701"/>
        <v>0</v>
      </c>
      <c r="CD770" s="61">
        <f t="shared" si="699"/>
        <v>0</v>
      </c>
      <c r="CE770" s="61">
        <f t="shared" si="699"/>
        <v>0</v>
      </c>
      <c r="CF770" s="61">
        <f t="shared" si="699"/>
        <v>0</v>
      </c>
      <c r="CG770" s="61">
        <f t="shared" si="699"/>
        <v>0</v>
      </c>
      <c r="CH770" s="61">
        <f t="shared" si="699"/>
        <v>0</v>
      </c>
      <c r="CI770" s="61">
        <f t="shared" si="655"/>
        <v>0</v>
      </c>
      <c r="CJ770" s="61"/>
      <c r="CK770" s="61">
        <f t="shared" si="702"/>
        <v>0</v>
      </c>
      <c r="CL770" s="61">
        <f t="shared" si="702"/>
        <v>0</v>
      </c>
      <c r="CM770" s="61">
        <f t="shared" si="702"/>
        <v>0</v>
      </c>
      <c r="CN770" s="61">
        <f t="shared" si="700"/>
        <v>0</v>
      </c>
      <c r="CO770" s="61">
        <f t="shared" si="700"/>
        <v>0</v>
      </c>
      <c r="CP770" s="61">
        <f t="shared" si="700"/>
        <v>0</v>
      </c>
      <c r="CQ770" s="61">
        <f t="shared" si="700"/>
        <v>0</v>
      </c>
      <c r="CR770" s="61">
        <f t="shared" si="700"/>
        <v>0</v>
      </c>
      <c r="CS770" s="61">
        <f t="shared" si="656"/>
        <v>0</v>
      </c>
      <c r="CT770" s="63">
        <f t="shared" si="657"/>
        <v>0</v>
      </c>
      <c r="CV770" s="61">
        <f t="shared" ref="CV770" si="713">SUM(AG770)-SUM(BL770)</f>
        <v>0</v>
      </c>
      <c r="CW770" s="61">
        <f t="shared" si="711"/>
        <v>0</v>
      </c>
      <c r="CX770" s="61"/>
      <c r="CY770" s="61">
        <f t="shared" si="660"/>
        <v>0</v>
      </c>
      <c r="CZ770" s="61">
        <f t="shared" si="660"/>
        <v>0</v>
      </c>
      <c r="DA770" s="61">
        <f t="shared" si="660"/>
        <v>0</v>
      </c>
      <c r="DB770" s="2" t="s">
        <v>134</v>
      </c>
      <c r="DC770" s="2" t="s">
        <v>85</v>
      </c>
      <c r="DD770" s="2" t="s">
        <v>142</v>
      </c>
      <c r="DE770" s="2" t="s">
        <v>106</v>
      </c>
      <c r="DF770" s="3" t="s">
        <v>118</v>
      </c>
      <c r="DG770" s="62">
        <v>43111</v>
      </c>
      <c r="EC770" s="60"/>
      <c r="ED770" s="60"/>
      <c r="EE770" s="60"/>
      <c r="EF770" s="60"/>
    </row>
    <row r="771" spans="2:140" ht="12.75" hidden="1" customHeight="1">
      <c r="B771" s="115" t="s">
        <v>1340</v>
      </c>
      <c r="C771" s="22" t="s">
        <v>991</v>
      </c>
      <c r="D771" s="22" t="s">
        <v>992</v>
      </c>
      <c r="E771" s="2" t="s">
        <v>993</v>
      </c>
      <c r="F771" s="2" t="s">
        <v>969</v>
      </c>
      <c r="G771" s="2" t="s">
        <v>331</v>
      </c>
      <c r="J771" s="149" t="s">
        <v>138</v>
      </c>
      <c r="K771" s="23" t="s">
        <v>1341</v>
      </c>
      <c r="L771" s="149" t="s">
        <v>1342</v>
      </c>
      <c r="M771" s="51" t="str">
        <f t="shared" si="628"/>
        <v>JD8B-F045A06-AHW</v>
      </c>
      <c r="O771" s="22"/>
      <c r="P771" s="22"/>
      <c r="Q771" s="22">
        <v>1</v>
      </c>
      <c r="R771" s="22">
        <v>1</v>
      </c>
      <c r="S771" s="22"/>
      <c r="T771" s="22"/>
      <c r="U771" s="22"/>
      <c r="V771" s="22"/>
      <c r="W771" s="64">
        <f t="shared" si="629"/>
        <v>0.37</v>
      </c>
      <c r="Y771" s="60">
        <f>-234.59-4.88-0.29</f>
        <v>-239.76</v>
      </c>
      <c r="Z771" s="60">
        <v>0</v>
      </c>
      <c r="AA771" s="60">
        <v>-0.93</v>
      </c>
      <c r="AB771" s="60"/>
      <c r="AC771" s="60"/>
      <c r="AD771" s="8">
        <f>SUM(Y771:AC771)</f>
        <v>-240.69</v>
      </c>
      <c r="AE771" s="2" t="s">
        <v>91</v>
      </c>
      <c r="AG771" s="70">
        <f>-5740890-226500-210000-65000</f>
        <v>-6242390</v>
      </c>
      <c r="AH771" s="70">
        <f>-5740890-226500-210000-65000</f>
        <v>-6242390</v>
      </c>
      <c r="AJ771" s="70"/>
      <c r="AK771" s="70"/>
      <c r="AL771" s="72"/>
      <c r="AM771" s="22"/>
      <c r="AO771" s="149" t="s">
        <v>138</v>
      </c>
      <c r="AP771" s="23" t="s">
        <v>1341</v>
      </c>
      <c r="AQ771" s="149" t="s">
        <v>1343</v>
      </c>
      <c r="AR771" s="51" t="str">
        <f>TRIM(AO771)&amp;"-"&amp;TRIM(AP771)&amp;"-"&amp;TRIM(AQ771)</f>
        <v>JD8B-F045A06-AGW</v>
      </c>
      <c r="AS771" s="3"/>
      <c r="AT771" s="22"/>
      <c r="AU771" s="22"/>
      <c r="AV771" s="22">
        <v>1</v>
      </c>
      <c r="AW771" s="22">
        <v>1</v>
      </c>
      <c r="AX771" s="22"/>
      <c r="AY771" s="22"/>
      <c r="AZ771" s="22"/>
      <c r="BA771" s="22"/>
      <c r="BB771" s="64">
        <f t="shared" si="703"/>
        <v>0.37</v>
      </c>
      <c r="BD771" s="60">
        <f>-234.59-4.88-0.29</f>
        <v>-239.76</v>
      </c>
      <c r="BE771" s="60">
        <v>0</v>
      </c>
      <c r="BF771" s="60">
        <v>-0.93</v>
      </c>
      <c r="BG771" s="60"/>
      <c r="BH771" s="60"/>
      <c r="BI771" s="8">
        <f>SUM(BD771:BH771)</f>
        <v>-240.69</v>
      </c>
      <c r="BJ771" s="2" t="s">
        <v>91</v>
      </c>
      <c r="BL771" s="70">
        <f>-5740890-226500-210000</f>
        <v>-6177390</v>
      </c>
      <c r="BM771" s="70">
        <f>-5740890-226500-210000</f>
        <v>-6177390</v>
      </c>
      <c r="BO771" s="70"/>
      <c r="BP771" s="70"/>
      <c r="BQ771" s="72"/>
      <c r="BS771" s="61">
        <f t="shared" si="664"/>
        <v>0</v>
      </c>
      <c r="BT771" s="61">
        <f t="shared" si="665"/>
        <v>0</v>
      </c>
      <c r="BU771" s="61">
        <f t="shared" si="666"/>
        <v>0</v>
      </c>
      <c r="BV771" s="61">
        <f t="shared" si="666"/>
        <v>0</v>
      </c>
      <c r="BW771" s="61">
        <f t="shared" si="666"/>
        <v>0</v>
      </c>
      <c r="BX771" s="61">
        <f t="shared" si="666"/>
        <v>0</v>
      </c>
      <c r="BY771" s="61" t="s">
        <v>91</v>
      </c>
      <c r="CA771" s="61">
        <f t="shared" si="701"/>
        <v>0</v>
      </c>
      <c r="CB771" s="61">
        <f t="shared" si="701"/>
        <v>0</v>
      </c>
      <c r="CC771" s="61">
        <f t="shared" si="701"/>
        <v>0</v>
      </c>
      <c r="CD771" s="61">
        <f t="shared" si="699"/>
        <v>0</v>
      </c>
      <c r="CE771" s="61">
        <f t="shared" si="699"/>
        <v>0</v>
      </c>
      <c r="CF771" s="61">
        <f t="shared" si="699"/>
        <v>0</v>
      </c>
      <c r="CG771" s="61">
        <f t="shared" si="699"/>
        <v>0</v>
      </c>
      <c r="CH771" s="61">
        <f t="shared" si="699"/>
        <v>0</v>
      </c>
      <c r="CI771" s="61">
        <f t="shared" si="655"/>
        <v>0</v>
      </c>
      <c r="CJ771" s="61"/>
      <c r="CK771" s="61">
        <f t="shared" si="702"/>
        <v>0</v>
      </c>
      <c r="CL771" s="61">
        <f t="shared" si="702"/>
        <v>0</v>
      </c>
      <c r="CM771" s="61">
        <f t="shared" si="702"/>
        <v>0</v>
      </c>
      <c r="CN771" s="61">
        <f t="shared" si="700"/>
        <v>0</v>
      </c>
      <c r="CO771" s="61">
        <f t="shared" si="700"/>
        <v>0</v>
      </c>
      <c r="CP771" s="61">
        <f t="shared" si="700"/>
        <v>0</v>
      </c>
      <c r="CQ771" s="61">
        <f t="shared" si="700"/>
        <v>0</v>
      </c>
      <c r="CR771" s="61">
        <f t="shared" si="700"/>
        <v>0</v>
      </c>
      <c r="CS771" s="61">
        <f t="shared" si="656"/>
        <v>0</v>
      </c>
      <c r="CT771" s="63">
        <f t="shared" si="657"/>
        <v>0</v>
      </c>
      <c r="CV771" s="61">
        <f t="shared" ref="CV771:CW774" si="714">SUM(AG771)-SUM(BL771)</f>
        <v>-65000</v>
      </c>
      <c r="CW771" s="61">
        <f t="shared" si="714"/>
        <v>-65000</v>
      </c>
      <c r="CX771" s="61"/>
      <c r="CY771" s="61">
        <f t="shared" ref="CY771:DA774" si="715">SUM(AJ771)-SUM(BO771)</f>
        <v>0</v>
      </c>
      <c r="CZ771" s="61">
        <f t="shared" si="715"/>
        <v>0</v>
      </c>
      <c r="DA771" s="61">
        <f t="shared" si="715"/>
        <v>0</v>
      </c>
      <c r="DB771" s="2" t="s">
        <v>102</v>
      </c>
      <c r="DC771" s="2" t="s">
        <v>134</v>
      </c>
      <c r="DD771" s="2" t="s">
        <v>142</v>
      </c>
      <c r="DE771" s="2" t="s">
        <v>143</v>
      </c>
      <c r="DF771" s="3" t="s">
        <v>118</v>
      </c>
      <c r="DG771" s="62">
        <v>43111</v>
      </c>
      <c r="EC771" s="60" t="str">
        <f>VLOOKUP($M771,[1]Detail!$M:$BO,1,0)</f>
        <v>JD8B-F045A06-AHW</v>
      </c>
      <c r="ED771" s="60">
        <f>VLOOKUP($M771,[1]Detail!$M:$BO,22,0)</f>
        <v>-240.69</v>
      </c>
      <c r="EE771" s="60">
        <f>VLOOKUP($M771,[1]Detail!$M:$BO,42,0)</f>
        <v>-6242390</v>
      </c>
      <c r="EF771" s="60">
        <f>VLOOKUP($M771,[1]Detail!$M:$BO,45,0)</f>
        <v>0</v>
      </c>
      <c r="EH771" s="60">
        <f t="shared" ref="EH771:EH777" si="716">ED771-AD771</f>
        <v>0</v>
      </c>
      <c r="EI771" s="60">
        <f t="shared" ref="EI771:EI777" si="717">EE771-AG771</f>
        <v>0</v>
      </c>
      <c r="EJ771" s="60">
        <f t="shared" ref="EJ771:EJ777" si="718">EF771-AJ771</f>
        <v>0</v>
      </c>
    </row>
    <row r="772" spans="2:140" ht="12.75" hidden="1" customHeight="1">
      <c r="B772" s="115" t="s">
        <v>1340</v>
      </c>
      <c r="C772" s="22" t="s">
        <v>991</v>
      </c>
      <c r="D772" s="22" t="s">
        <v>992</v>
      </c>
      <c r="E772" s="2" t="s">
        <v>993</v>
      </c>
      <c r="F772" s="2" t="s">
        <v>969</v>
      </c>
      <c r="G772" s="2" t="s">
        <v>331</v>
      </c>
      <c r="J772" s="149" t="s">
        <v>138</v>
      </c>
      <c r="K772" s="23" t="s">
        <v>1341</v>
      </c>
      <c r="L772" s="149" t="s">
        <v>797</v>
      </c>
      <c r="M772" s="51" t="str">
        <f t="shared" si="628"/>
        <v>JD8B-F045A06-BHW</v>
      </c>
      <c r="O772" s="22"/>
      <c r="P772" s="22"/>
      <c r="Q772" s="22"/>
      <c r="R772" s="22"/>
      <c r="S772" s="22"/>
      <c r="T772" s="22"/>
      <c r="U772" s="22">
        <v>1</v>
      </c>
      <c r="V772" s="22">
        <v>1</v>
      </c>
      <c r="W772" s="64">
        <f t="shared" si="629"/>
        <v>0.1</v>
      </c>
      <c r="Y772" s="60">
        <f>-237.04-4.88-0.29</f>
        <v>-242.20999999999998</v>
      </c>
      <c r="Z772" s="60">
        <v>0</v>
      </c>
      <c r="AA772" s="60">
        <v>-0.93</v>
      </c>
      <c r="AB772" s="60"/>
      <c r="AC772" s="60"/>
      <c r="AD772" s="8">
        <f>SUM(Y772:AC772)</f>
        <v>-243.14</v>
      </c>
      <c r="AE772" s="2" t="s">
        <v>91</v>
      </c>
      <c r="AG772" s="70"/>
      <c r="AH772" s="70"/>
      <c r="AJ772" s="70"/>
      <c r="AK772" s="70"/>
      <c r="AL772" s="72"/>
      <c r="AM772" s="22"/>
      <c r="AO772" s="149" t="s">
        <v>138</v>
      </c>
      <c r="AP772" s="23" t="s">
        <v>1341</v>
      </c>
      <c r="AQ772" s="149" t="s">
        <v>1344</v>
      </c>
      <c r="AR772" s="51" t="str">
        <f>TRIM(AO772)&amp;"-"&amp;TRIM(AP772)&amp;"-"&amp;TRIM(AQ772)</f>
        <v>JD8B-F045A06-BGW</v>
      </c>
      <c r="AS772" s="3"/>
      <c r="AT772" s="22"/>
      <c r="AU772" s="22"/>
      <c r="AV772" s="22"/>
      <c r="AW772" s="22"/>
      <c r="AX772" s="22"/>
      <c r="AY772" s="22"/>
      <c r="AZ772" s="22">
        <v>1</v>
      </c>
      <c r="BA772" s="22">
        <v>1</v>
      </c>
      <c r="BB772" s="64">
        <f t="shared" si="703"/>
        <v>0.1</v>
      </c>
      <c r="BD772" s="60">
        <f>-237.04-4.88-0.29</f>
        <v>-242.20999999999998</v>
      </c>
      <c r="BE772" s="60">
        <v>0</v>
      </c>
      <c r="BF772" s="60">
        <v>-0.93</v>
      </c>
      <c r="BG772" s="60"/>
      <c r="BH772" s="60"/>
      <c r="BI772" s="8">
        <f>SUM(BD772:BH772)</f>
        <v>-243.14</v>
      </c>
      <c r="BJ772" s="2" t="s">
        <v>91</v>
      </c>
      <c r="BL772" s="70"/>
      <c r="BM772" s="70"/>
      <c r="BO772" s="70"/>
      <c r="BP772" s="70"/>
      <c r="BQ772" s="72"/>
      <c r="BS772" s="61">
        <f t="shared" si="664"/>
        <v>0</v>
      </c>
      <c r="BT772" s="61">
        <f t="shared" si="665"/>
        <v>0</v>
      </c>
      <c r="BU772" s="61">
        <f t="shared" si="666"/>
        <v>0</v>
      </c>
      <c r="BV772" s="61">
        <f t="shared" si="666"/>
        <v>0</v>
      </c>
      <c r="BW772" s="61">
        <f t="shared" si="666"/>
        <v>0</v>
      </c>
      <c r="BX772" s="61">
        <f t="shared" si="666"/>
        <v>0</v>
      </c>
      <c r="BY772" s="61" t="s">
        <v>91</v>
      </c>
      <c r="CA772" s="61">
        <f t="shared" si="701"/>
        <v>0</v>
      </c>
      <c r="CB772" s="61">
        <f t="shared" si="701"/>
        <v>0</v>
      </c>
      <c r="CC772" s="61">
        <f t="shared" si="701"/>
        <v>0</v>
      </c>
      <c r="CD772" s="61">
        <f t="shared" si="699"/>
        <v>0</v>
      </c>
      <c r="CE772" s="61">
        <f t="shared" si="699"/>
        <v>0</v>
      </c>
      <c r="CF772" s="61">
        <f t="shared" si="699"/>
        <v>0</v>
      </c>
      <c r="CG772" s="61">
        <f t="shared" si="699"/>
        <v>0</v>
      </c>
      <c r="CH772" s="61">
        <f t="shared" si="699"/>
        <v>0</v>
      </c>
      <c r="CI772" s="61">
        <f t="shared" si="655"/>
        <v>0</v>
      </c>
      <c r="CJ772" s="61"/>
      <c r="CK772" s="61">
        <f t="shared" si="702"/>
        <v>0</v>
      </c>
      <c r="CL772" s="61">
        <f t="shared" si="702"/>
        <v>0</v>
      </c>
      <c r="CM772" s="61">
        <f t="shared" si="702"/>
        <v>0</v>
      </c>
      <c r="CN772" s="61">
        <f t="shared" si="700"/>
        <v>0</v>
      </c>
      <c r="CO772" s="61">
        <f t="shared" si="700"/>
        <v>0</v>
      </c>
      <c r="CP772" s="61">
        <f t="shared" si="700"/>
        <v>0</v>
      </c>
      <c r="CQ772" s="61">
        <f t="shared" si="700"/>
        <v>0</v>
      </c>
      <c r="CR772" s="61">
        <f t="shared" si="700"/>
        <v>0</v>
      </c>
      <c r="CS772" s="61">
        <f t="shared" si="656"/>
        <v>0</v>
      </c>
      <c r="CT772" s="63">
        <f t="shared" si="657"/>
        <v>0</v>
      </c>
      <c r="CV772" s="61">
        <f t="shared" si="714"/>
        <v>0</v>
      </c>
      <c r="CW772" s="61">
        <f t="shared" si="714"/>
        <v>0</v>
      </c>
      <c r="CX772" s="61"/>
      <c r="CY772" s="61">
        <f t="shared" si="715"/>
        <v>0</v>
      </c>
      <c r="CZ772" s="61">
        <f t="shared" si="715"/>
        <v>0</v>
      </c>
      <c r="DA772" s="61">
        <f t="shared" si="715"/>
        <v>0</v>
      </c>
      <c r="DB772" s="2" t="s">
        <v>102</v>
      </c>
      <c r="DC772" s="2" t="s">
        <v>134</v>
      </c>
      <c r="DD772" s="2" t="s">
        <v>142</v>
      </c>
      <c r="DE772" s="2" t="s">
        <v>143</v>
      </c>
      <c r="DF772" s="3" t="s">
        <v>118</v>
      </c>
      <c r="DG772" s="62">
        <v>43111</v>
      </c>
      <c r="EC772" s="60" t="str">
        <f>VLOOKUP($M772,[1]Detail!$M:$BO,1,0)</f>
        <v>JD8B-F045A06-BHW</v>
      </c>
      <c r="ED772" s="60">
        <f>VLOOKUP($M772,[1]Detail!$M:$BO,22,0)</f>
        <v>-243.14</v>
      </c>
      <c r="EE772" s="60">
        <f>VLOOKUP($M772,[1]Detail!$M:$BO,42,0)</f>
        <v>0</v>
      </c>
      <c r="EF772" s="60">
        <f>VLOOKUP($M772,[1]Detail!$M:$BO,45,0)</f>
        <v>0</v>
      </c>
      <c r="EH772" s="60">
        <f t="shared" si="716"/>
        <v>0</v>
      </c>
      <c r="EI772" s="60">
        <f t="shared" si="717"/>
        <v>0</v>
      </c>
      <c r="EJ772" s="60">
        <f t="shared" si="718"/>
        <v>0</v>
      </c>
    </row>
    <row r="773" spans="2:140" ht="12.75" hidden="1" customHeight="1">
      <c r="B773" s="115" t="s">
        <v>1340</v>
      </c>
      <c r="C773" s="22" t="s">
        <v>991</v>
      </c>
      <c r="D773" s="22" t="s">
        <v>992</v>
      </c>
      <c r="E773" s="2" t="s">
        <v>993</v>
      </c>
      <c r="F773" s="2" t="s">
        <v>969</v>
      </c>
      <c r="G773" s="2" t="s">
        <v>331</v>
      </c>
      <c r="J773" s="149" t="s">
        <v>138</v>
      </c>
      <c r="K773" s="23" t="s">
        <v>1341</v>
      </c>
      <c r="L773" s="149" t="s">
        <v>1345</v>
      </c>
      <c r="M773" s="51" t="str">
        <f t="shared" si="628"/>
        <v>JD8B-F045A06-DHW</v>
      </c>
      <c r="O773" s="22"/>
      <c r="P773" s="22"/>
      <c r="Q773" s="22"/>
      <c r="R773" s="22"/>
      <c r="S773" s="22">
        <v>1</v>
      </c>
      <c r="T773" s="22">
        <v>1</v>
      </c>
      <c r="U773" s="22"/>
      <c r="V773" s="22">
        <v>1</v>
      </c>
      <c r="W773" s="64">
        <f t="shared" si="629"/>
        <v>0.28000000000000003</v>
      </c>
      <c r="Y773" s="60">
        <f>-234.59-4.88-0.29</f>
        <v>-239.76</v>
      </c>
      <c r="Z773" s="60">
        <v>0</v>
      </c>
      <c r="AA773" s="60">
        <v>-0.93</v>
      </c>
      <c r="AB773" s="60"/>
      <c r="AC773" s="60"/>
      <c r="AD773" s="8">
        <f>SUM(Y773:AC773)</f>
        <v>-240.69</v>
      </c>
      <c r="AE773" s="2" t="s">
        <v>91</v>
      </c>
      <c r="AG773" s="70"/>
      <c r="AH773" s="70"/>
      <c r="AJ773" s="70"/>
      <c r="AK773" s="70"/>
      <c r="AL773" s="72"/>
      <c r="AM773" s="22"/>
      <c r="AO773" s="149" t="s">
        <v>138</v>
      </c>
      <c r="AP773" s="23" t="s">
        <v>1341</v>
      </c>
      <c r="AQ773" s="149" t="s">
        <v>1346</v>
      </c>
      <c r="AR773" s="51" t="str">
        <f>TRIM(AO773)&amp;"-"&amp;TRIM(AP773)&amp;"-"&amp;TRIM(AQ773)</f>
        <v>JD8B-F045A06-DGW</v>
      </c>
      <c r="AS773" s="3"/>
      <c r="AT773" s="22"/>
      <c r="AU773" s="22"/>
      <c r="AV773" s="22"/>
      <c r="AW773" s="22"/>
      <c r="AX773" s="22">
        <v>1</v>
      </c>
      <c r="AY773" s="22">
        <v>1</v>
      </c>
      <c r="AZ773" s="22"/>
      <c r="BA773" s="22">
        <v>1</v>
      </c>
      <c r="BB773" s="64">
        <f t="shared" si="703"/>
        <v>0.28000000000000003</v>
      </c>
      <c r="BD773" s="60">
        <f>-234.59-4.88-0.29</f>
        <v>-239.76</v>
      </c>
      <c r="BE773" s="60">
        <v>0</v>
      </c>
      <c r="BF773" s="60">
        <v>-0.93</v>
      </c>
      <c r="BG773" s="60"/>
      <c r="BH773" s="60"/>
      <c r="BI773" s="8">
        <f>SUM(BD773:BH773)</f>
        <v>-240.69</v>
      </c>
      <c r="BJ773" s="2" t="s">
        <v>91</v>
      </c>
      <c r="BL773" s="70"/>
      <c r="BM773" s="70"/>
      <c r="BO773" s="70"/>
      <c r="BP773" s="70"/>
      <c r="BQ773" s="72"/>
      <c r="BS773" s="61">
        <f t="shared" si="664"/>
        <v>0</v>
      </c>
      <c r="BT773" s="61">
        <f t="shared" si="665"/>
        <v>0</v>
      </c>
      <c r="BU773" s="61">
        <f t="shared" si="666"/>
        <v>0</v>
      </c>
      <c r="BV773" s="61">
        <f t="shared" si="666"/>
        <v>0</v>
      </c>
      <c r="BW773" s="61">
        <f t="shared" si="666"/>
        <v>0</v>
      </c>
      <c r="BX773" s="61">
        <f t="shared" si="666"/>
        <v>0</v>
      </c>
      <c r="BY773" s="61" t="s">
        <v>91</v>
      </c>
      <c r="CA773" s="61">
        <f t="shared" si="701"/>
        <v>0</v>
      </c>
      <c r="CB773" s="61">
        <f t="shared" si="701"/>
        <v>0</v>
      </c>
      <c r="CC773" s="61">
        <f t="shared" si="701"/>
        <v>0</v>
      </c>
      <c r="CD773" s="61">
        <f t="shared" si="699"/>
        <v>0</v>
      </c>
      <c r="CE773" s="61">
        <f t="shared" si="699"/>
        <v>0</v>
      </c>
      <c r="CF773" s="61">
        <f t="shared" si="699"/>
        <v>0</v>
      </c>
      <c r="CG773" s="61">
        <f t="shared" si="699"/>
        <v>0</v>
      </c>
      <c r="CH773" s="61">
        <f t="shared" si="699"/>
        <v>0</v>
      </c>
      <c r="CI773" s="61">
        <f t="shared" si="655"/>
        <v>0</v>
      </c>
      <c r="CJ773" s="61"/>
      <c r="CK773" s="61">
        <f t="shared" si="702"/>
        <v>0</v>
      </c>
      <c r="CL773" s="61">
        <f t="shared" si="702"/>
        <v>0</v>
      </c>
      <c r="CM773" s="61">
        <f t="shared" si="702"/>
        <v>0</v>
      </c>
      <c r="CN773" s="61">
        <f t="shared" si="700"/>
        <v>0</v>
      </c>
      <c r="CO773" s="61">
        <f t="shared" si="700"/>
        <v>0</v>
      </c>
      <c r="CP773" s="61">
        <f t="shared" si="700"/>
        <v>0</v>
      </c>
      <c r="CQ773" s="61">
        <f t="shared" si="700"/>
        <v>0</v>
      </c>
      <c r="CR773" s="61">
        <f t="shared" si="700"/>
        <v>0</v>
      </c>
      <c r="CS773" s="61">
        <f t="shared" si="656"/>
        <v>0</v>
      </c>
      <c r="CT773" s="63">
        <f t="shared" si="657"/>
        <v>0</v>
      </c>
      <c r="CV773" s="61">
        <f t="shared" si="714"/>
        <v>0</v>
      </c>
      <c r="CW773" s="61">
        <f t="shared" si="714"/>
        <v>0</v>
      </c>
      <c r="CX773" s="61"/>
      <c r="CY773" s="61">
        <f t="shared" si="715"/>
        <v>0</v>
      </c>
      <c r="CZ773" s="61">
        <f t="shared" si="715"/>
        <v>0</v>
      </c>
      <c r="DA773" s="61">
        <f t="shared" si="715"/>
        <v>0</v>
      </c>
      <c r="DB773" s="2" t="s">
        <v>102</v>
      </c>
      <c r="DC773" s="2" t="s">
        <v>134</v>
      </c>
      <c r="DD773" s="2" t="s">
        <v>142</v>
      </c>
      <c r="DE773" s="2" t="s">
        <v>143</v>
      </c>
      <c r="DF773" s="3" t="s">
        <v>118</v>
      </c>
      <c r="DG773" s="62">
        <v>43111</v>
      </c>
      <c r="EC773" s="60" t="str">
        <f>VLOOKUP($M773,[1]Detail!$M:$BO,1,0)</f>
        <v>JD8B-F045A06-DHW</v>
      </c>
      <c r="ED773" s="60">
        <f>VLOOKUP($M773,[1]Detail!$M:$BO,22,0)</f>
        <v>-240.69</v>
      </c>
      <c r="EE773" s="60">
        <f>VLOOKUP($M773,[1]Detail!$M:$BO,42,0)</f>
        <v>0</v>
      </c>
      <c r="EF773" s="60">
        <f>VLOOKUP($M773,[1]Detail!$M:$BO,45,0)</f>
        <v>0</v>
      </c>
      <c r="EH773" s="60">
        <f t="shared" si="716"/>
        <v>0</v>
      </c>
      <c r="EI773" s="60">
        <f t="shared" si="717"/>
        <v>0</v>
      </c>
      <c r="EJ773" s="60">
        <f t="shared" si="718"/>
        <v>0</v>
      </c>
    </row>
    <row r="774" spans="2:140" ht="12.75" hidden="1" customHeight="1">
      <c r="B774" s="99" t="s">
        <v>1337</v>
      </c>
      <c r="C774" s="22" t="s">
        <v>991</v>
      </c>
      <c r="D774" s="22" t="s">
        <v>992</v>
      </c>
      <c r="E774" s="2" t="s">
        <v>993</v>
      </c>
      <c r="F774" s="2" t="s">
        <v>969</v>
      </c>
      <c r="G774" s="2" t="s">
        <v>331</v>
      </c>
      <c r="J774" s="149" t="s">
        <v>126</v>
      </c>
      <c r="K774" s="23" t="s">
        <v>1127</v>
      </c>
      <c r="L774" s="149" t="s">
        <v>1347</v>
      </c>
      <c r="M774" s="51" t="str">
        <f t="shared" si="628"/>
        <v>JD8B-F045A06-CFW</v>
      </c>
      <c r="O774" s="22">
        <v>1</v>
      </c>
      <c r="P774" s="22">
        <v>1</v>
      </c>
      <c r="Q774" s="22"/>
      <c r="R774" s="22"/>
      <c r="S774" s="22"/>
      <c r="T774" s="22"/>
      <c r="U774" s="22"/>
      <c r="V774" s="22"/>
      <c r="W774" s="64">
        <f t="shared" si="629"/>
        <v>0.30000000000000004</v>
      </c>
      <c r="Y774" s="60">
        <f>-191.36</f>
        <v>-191.36</v>
      </c>
      <c r="Z774" s="60">
        <v>0</v>
      </c>
      <c r="AA774" s="60">
        <v>-0.93</v>
      </c>
      <c r="AB774" s="60"/>
      <c r="AC774" s="60"/>
      <c r="AD774" s="8">
        <f t="shared" ref="AD774" si="719">SUM(Y774:AC774)</f>
        <v>-192.29000000000002</v>
      </c>
      <c r="AE774" s="2" t="s">
        <v>84</v>
      </c>
      <c r="AG774" s="70"/>
      <c r="AH774" s="70"/>
      <c r="AJ774" s="70"/>
      <c r="AK774" s="70"/>
      <c r="AL774" s="72"/>
      <c r="AM774" s="22"/>
      <c r="AO774" s="149" t="s">
        <v>126</v>
      </c>
      <c r="AP774" s="23" t="s">
        <v>1127</v>
      </c>
      <c r="AQ774" s="149" t="s">
        <v>1191</v>
      </c>
      <c r="AR774" s="51" t="str">
        <f>TRIM(AO774)&amp;"-"&amp;TRIM(AP774)&amp;"-"&amp;TRIM(AQ774)</f>
        <v>JD8B-F045A06-CDW</v>
      </c>
      <c r="AS774" s="3"/>
      <c r="AT774" s="22">
        <v>1</v>
      </c>
      <c r="AU774" s="22">
        <v>1</v>
      </c>
      <c r="AV774" s="22"/>
      <c r="AW774" s="22"/>
      <c r="AX774" s="22"/>
      <c r="AY774" s="22"/>
      <c r="AZ774" s="22"/>
      <c r="BA774" s="22"/>
      <c r="BB774" s="64">
        <f t="shared" si="703"/>
        <v>0.30000000000000004</v>
      </c>
      <c r="BD774" s="60">
        <v>-191.36</v>
      </c>
      <c r="BE774" s="60">
        <v>0</v>
      </c>
      <c r="BF774" s="60">
        <v>-0.93</v>
      </c>
      <c r="BG774" s="60"/>
      <c r="BH774" s="60"/>
      <c r="BI774" s="8">
        <f t="shared" ref="BI774" si="720">SUM(BD774:BH774)</f>
        <v>-192.29000000000002</v>
      </c>
      <c r="BJ774" s="2" t="s">
        <v>84</v>
      </c>
      <c r="BL774" s="70"/>
      <c r="BM774" s="70"/>
      <c r="BO774" s="70"/>
      <c r="BP774" s="70"/>
      <c r="BQ774" s="72"/>
      <c r="BS774" s="61">
        <f t="shared" si="664"/>
        <v>0</v>
      </c>
      <c r="BT774" s="61">
        <f t="shared" si="665"/>
        <v>0</v>
      </c>
      <c r="BU774" s="61">
        <f t="shared" si="666"/>
        <v>0</v>
      </c>
      <c r="BV774" s="61">
        <f t="shared" si="666"/>
        <v>0</v>
      </c>
      <c r="BW774" s="61">
        <f t="shared" si="666"/>
        <v>0</v>
      </c>
      <c r="BX774" s="61">
        <f t="shared" si="666"/>
        <v>0</v>
      </c>
      <c r="BY774" s="61" t="s">
        <v>91</v>
      </c>
      <c r="CA774" s="61">
        <f t="shared" si="701"/>
        <v>0</v>
      </c>
      <c r="CB774" s="61">
        <f t="shared" si="701"/>
        <v>0</v>
      </c>
      <c r="CC774" s="61">
        <f t="shared" si="701"/>
        <v>0</v>
      </c>
      <c r="CD774" s="61">
        <f t="shared" si="699"/>
        <v>0</v>
      </c>
      <c r="CE774" s="61">
        <f t="shared" si="699"/>
        <v>0</v>
      </c>
      <c r="CF774" s="61">
        <f t="shared" si="699"/>
        <v>0</v>
      </c>
      <c r="CG774" s="61">
        <f t="shared" si="699"/>
        <v>0</v>
      </c>
      <c r="CH774" s="61">
        <f t="shared" si="699"/>
        <v>0</v>
      </c>
      <c r="CI774" s="61">
        <f t="shared" si="655"/>
        <v>0</v>
      </c>
      <c r="CJ774" s="61"/>
      <c r="CK774" s="61">
        <f t="shared" si="702"/>
        <v>0</v>
      </c>
      <c r="CL774" s="61">
        <f t="shared" si="702"/>
        <v>0</v>
      </c>
      <c r="CM774" s="61">
        <f t="shared" si="702"/>
        <v>0</v>
      </c>
      <c r="CN774" s="61">
        <f t="shared" si="700"/>
        <v>0</v>
      </c>
      <c r="CO774" s="61">
        <f t="shared" si="700"/>
        <v>0</v>
      </c>
      <c r="CP774" s="61">
        <f t="shared" si="700"/>
        <v>0</v>
      </c>
      <c r="CQ774" s="61">
        <f t="shared" si="700"/>
        <v>0</v>
      </c>
      <c r="CR774" s="61">
        <f t="shared" si="700"/>
        <v>0</v>
      </c>
      <c r="CS774" s="61">
        <f t="shared" si="656"/>
        <v>0</v>
      </c>
      <c r="CT774" s="63">
        <f t="shared" si="657"/>
        <v>0</v>
      </c>
      <c r="CV774" s="61">
        <f t="shared" si="714"/>
        <v>0</v>
      </c>
      <c r="CW774" s="61">
        <f t="shared" si="714"/>
        <v>0</v>
      </c>
      <c r="CX774" s="61"/>
      <c r="CY774" s="61">
        <f t="shared" si="715"/>
        <v>0</v>
      </c>
      <c r="CZ774" s="61">
        <f t="shared" si="715"/>
        <v>0</v>
      </c>
      <c r="DA774" s="61">
        <f t="shared" si="715"/>
        <v>0</v>
      </c>
      <c r="DB774" s="2" t="s">
        <v>102</v>
      </c>
      <c r="DC774" s="2" t="s">
        <v>85</v>
      </c>
      <c r="DD774" s="2" t="s">
        <v>142</v>
      </c>
      <c r="DE774" s="2" t="s">
        <v>106</v>
      </c>
      <c r="DF774" s="3" t="s">
        <v>86</v>
      </c>
      <c r="DG774" s="62">
        <v>43111</v>
      </c>
      <c r="EC774" s="60" t="str">
        <f>VLOOKUP($M774,[1]Detail!$M:$BO,1,0)</f>
        <v>JD8B-F045A06-CFW</v>
      </c>
      <c r="ED774" s="60">
        <f>VLOOKUP($M774,[1]Detail!$M:$BO,22,0)</f>
        <v>-192.58</v>
      </c>
      <c r="EE774" s="60">
        <f>VLOOKUP($M774,[1]Detail!$M:$BO,42,0)</f>
        <v>0</v>
      </c>
      <c r="EF774" s="60">
        <f>VLOOKUP($M774,[1]Detail!$M:$BO,45,0)</f>
        <v>0</v>
      </c>
      <c r="EH774" s="60">
        <f t="shared" si="716"/>
        <v>-0.28999999999999204</v>
      </c>
      <c r="EI774" s="60">
        <f t="shared" si="717"/>
        <v>0</v>
      </c>
      <c r="EJ774" s="60">
        <f t="shared" si="718"/>
        <v>0</v>
      </c>
    </row>
    <row r="775" spans="2:140" ht="12.75" hidden="1" customHeight="1">
      <c r="B775" s="99" t="s">
        <v>1332</v>
      </c>
      <c r="C775" s="22" t="s">
        <v>991</v>
      </c>
      <c r="D775" s="22" t="s">
        <v>992</v>
      </c>
      <c r="E775" s="2" t="s">
        <v>993</v>
      </c>
      <c r="F775" s="2" t="s">
        <v>969</v>
      </c>
      <c r="G775" s="2" t="s">
        <v>331</v>
      </c>
      <c r="J775" s="149" t="s">
        <v>126</v>
      </c>
      <c r="K775" s="23" t="s">
        <v>1128</v>
      </c>
      <c r="L775" s="149" t="s">
        <v>565</v>
      </c>
      <c r="M775" s="51" t="str">
        <f t="shared" si="628"/>
        <v>JD8B-F046C00-ACW</v>
      </c>
      <c r="O775" s="22">
        <v>1</v>
      </c>
      <c r="P775" s="22">
        <v>1</v>
      </c>
      <c r="Q775" s="22"/>
      <c r="R775" s="22"/>
      <c r="S775" s="22"/>
      <c r="T775" s="22"/>
      <c r="U775" s="22"/>
      <c r="V775" s="22"/>
      <c r="W775" s="64">
        <f t="shared" si="629"/>
        <v>0.30000000000000004</v>
      </c>
      <c r="Y775" s="60">
        <v>-63.132723404255316</v>
      </c>
      <c r="Z775" s="60"/>
      <c r="AA775" s="60">
        <v>-0.4</v>
      </c>
      <c r="AB775" s="60"/>
      <c r="AC775" s="60"/>
      <c r="AD775" s="8">
        <f t="shared" si="697"/>
        <v>-63.532723404255314</v>
      </c>
      <c r="AE775" s="2" t="s">
        <v>84</v>
      </c>
      <c r="AG775" s="70">
        <v>-1797300</v>
      </c>
      <c r="AH775" s="70">
        <v>-1797300</v>
      </c>
      <c r="AJ775" s="70"/>
      <c r="AK775" s="70"/>
      <c r="AL775" s="72"/>
      <c r="AM775" s="22"/>
      <c r="AO775" s="149" t="s">
        <v>126</v>
      </c>
      <c r="AP775" s="23" t="s">
        <v>1128</v>
      </c>
      <c r="AQ775" s="22" t="s">
        <v>196</v>
      </c>
      <c r="AR775" s="51" t="str">
        <f t="shared" si="698"/>
        <v>JD8B-F046C00-AAW</v>
      </c>
      <c r="AS775" s="3"/>
      <c r="AT775" s="94">
        <v>1</v>
      </c>
      <c r="AU775" s="94">
        <v>1</v>
      </c>
      <c r="AV775" s="94"/>
      <c r="AW775" s="94"/>
      <c r="AX775" s="94"/>
      <c r="AY775" s="94"/>
      <c r="AZ775" s="94"/>
      <c r="BA775" s="94"/>
      <c r="BB775" s="64">
        <v>0.30000000000000004</v>
      </c>
      <c r="BD775" s="60">
        <v>-63.132723404255316</v>
      </c>
      <c r="BE775" s="60"/>
      <c r="BF775" s="95">
        <v>-0.4</v>
      </c>
      <c r="BG775" s="95"/>
      <c r="BH775" s="95"/>
      <c r="BI775" s="8">
        <f t="shared" ref="BI775:BI780" si="721">SUM(BD775:BH775)</f>
        <v>-63.532723404255314</v>
      </c>
      <c r="BL775" s="70">
        <v>-1589800</v>
      </c>
      <c r="BM775" s="70">
        <v>-1589800</v>
      </c>
      <c r="BO775" s="70"/>
      <c r="BP775" s="70"/>
      <c r="BQ775" s="72"/>
      <c r="BS775" s="61">
        <f t="shared" si="664"/>
        <v>0</v>
      </c>
      <c r="BT775" s="61">
        <f t="shared" si="665"/>
        <v>0</v>
      </c>
      <c r="BU775" s="61">
        <f t="shared" si="666"/>
        <v>0</v>
      </c>
      <c r="BV775" s="61">
        <f t="shared" si="666"/>
        <v>0</v>
      </c>
      <c r="BW775" s="61">
        <f t="shared" si="666"/>
        <v>0</v>
      </c>
      <c r="BX775" s="61">
        <f t="shared" si="666"/>
        <v>0</v>
      </c>
      <c r="BY775" s="61" t="s">
        <v>91</v>
      </c>
      <c r="CA775" s="61">
        <f t="shared" si="701"/>
        <v>0</v>
      </c>
      <c r="CB775" s="61">
        <f t="shared" si="701"/>
        <v>0</v>
      </c>
      <c r="CC775" s="61">
        <f t="shared" si="701"/>
        <v>0</v>
      </c>
      <c r="CD775" s="61">
        <f t="shared" si="699"/>
        <v>0</v>
      </c>
      <c r="CE775" s="61">
        <f t="shared" si="699"/>
        <v>0</v>
      </c>
      <c r="CF775" s="61">
        <f t="shared" si="699"/>
        <v>0</v>
      </c>
      <c r="CG775" s="61">
        <f t="shared" si="699"/>
        <v>0</v>
      </c>
      <c r="CH775" s="61">
        <f t="shared" si="699"/>
        <v>0</v>
      </c>
      <c r="CI775" s="61">
        <f t="shared" si="655"/>
        <v>0</v>
      </c>
      <c r="CJ775" s="61"/>
      <c r="CK775" s="61">
        <f t="shared" si="702"/>
        <v>0</v>
      </c>
      <c r="CL775" s="61">
        <f t="shared" si="702"/>
        <v>0</v>
      </c>
      <c r="CM775" s="61">
        <f t="shared" si="702"/>
        <v>0</v>
      </c>
      <c r="CN775" s="61">
        <f t="shared" si="700"/>
        <v>0</v>
      </c>
      <c r="CO775" s="61">
        <f t="shared" si="700"/>
        <v>0</v>
      </c>
      <c r="CP775" s="61">
        <f t="shared" si="700"/>
        <v>0</v>
      </c>
      <c r="CQ775" s="61">
        <f t="shared" si="700"/>
        <v>0</v>
      </c>
      <c r="CR775" s="61">
        <f t="shared" si="700"/>
        <v>0</v>
      </c>
      <c r="CS775" s="61">
        <f t="shared" si="656"/>
        <v>0</v>
      </c>
      <c r="CT775" s="61">
        <f t="shared" si="657"/>
        <v>0</v>
      </c>
      <c r="CV775" s="61">
        <f t="shared" si="658"/>
        <v>-207500</v>
      </c>
      <c r="CW775" s="61">
        <f t="shared" si="659"/>
        <v>-207500</v>
      </c>
      <c r="CX775" s="61"/>
      <c r="CY775" s="61">
        <f t="shared" si="660"/>
        <v>0</v>
      </c>
      <c r="CZ775" s="61">
        <f t="shared" si="660"/>
        <v>0</v>
      </c>
      <c r="DA775" s="61">
        <f t="shared" si="660"/>
        <v>0</v>
      </c>
      <c r="DB775" s="2" t="s">
        <v>86</v>
      </c>
      <c r="DC775" s="2" t="s">
        <v>85</v>
      </c>
      <c r="DD775" s="2" t="s">
        <v>142</v>
      </c>
      <c r="DE775" s="2" t="s">
        <v>1146</v>
      </c>
      <c r="DF775" s="3" t="s">
        <v>86</v>
      </c>
      <c r="DG775" s="62">
        <v>43039</v>
      </c>
      <c r="EC775" s="60" t="str">
        <f>VLOOKUP($M775,[1]Detail!$M:$BO,1,0)</f>
        <v>JD8B-F046C00-ACW</v>
      </c>
      <c r="ED775" s="60">
        <f>VLOOKUP($M775,[1]Detail!$M:$BO,22,0)</f>
        <v>-63.532723404255314</v>
      </c>
      <c r="EE775" s="60">
        <f>VLOOKUP($M775,[1]Detail!$M:$BO,42,0)</f>
        <v>-1797300</v>
      </c>
      <c r="EF775" s="60">
        <f>VLOOKUP($M775,[1]Detail!$M:$BO,45,0)</f>
        <v>0</v>
      </c>
      <c r="EH775" s="60">
        <f t="shared" si="716"/>
        <v>0</v>
      </c>
      <c r="EI775" s="60">
        <f t="shared" si="717"/>
        <v>0</v>
      </c>
      <c r="EJ775" s="60">
        <f t="shared" si="718"/>
        <v>0</v>
      </c>
    </row>
    <row r="776" spans="2:140" ht="12.75" hidden="1" customHeight="1">
      <c r="B776" s="99" t="s">
        <v>1332</v>
      </c>
      <c r="C776" s="22" t="s">
        <v>991</v>
      </c>
      <c r="D776" s="22" t="s">
        <v>992</v>
      </c>
      <c r="E776" s="2" t="s">
        <v>993</v>
      </c>
      <c r="F776" s="2" t="s">
        <v>969</v>
      </c>
      <c r="G776" s="2" t="s">
        <v>331</v>
      </c>
      <c r="J776" s="149" t="s">
        <v>126</v>
      </c>
      <c r="K776" s="23" t="s">
        <v>1128</v>
      </c>
      <c r="L776" s="149" t="s">
        <v>215</v>
      </c>
      <c r="M776" s="51" t="str">
        <f t="shared" ref="M776:M839" si="722">TRIM(J776)&amp;"-"&amp;TRIM(K776)&amp;"-"&amp;TRIM(L776)</f>
        <v>JD8B-F046C00-BCW</v>
      </c>
      <c r="O776" s="22"/>
      <c r="P776" s="22"/>
      <c r="Q776" s="22">
        <v>1</v>
      </c>
      <c r="R776" s="22">
        <v>1</v>
      </c>
      <c r="S776" s="22">
        <v>1</v>
      </c>
      <c r="T776" s="22">
        <v>1</v>
      </c>
      <c r="U776" s="22"/>
      <c r="V776" s="22"/>
      <c r="W776" s="64">
        <f t="shared" ref="W776:W786" si="723">SUMPRODUCT(O776:V776,$O$6:$V$6)</f>
        <v>0.6</v>
      </c>
      <c r="Y776" s="60">
        <v>-62.722723404255312</v>
      </c>
      <c r="Z776" s="60"/>
      <c r="AA776" s="60">
        <v>-0.4</v>
      </c>
      <c r="AB776" s="60"/>
      <c r="AC776" s="60"/>
      <c r="AD776" s="8">
        <f t="shared" si="697"/>
        <v>-63.122723404255311</v>
      </c>
      <c r="AE776" s="2" t="s">
        <v>84</v>
      </c>
      <c r="AG776" s="70">
        <v>0</v>
      </c>
      <c r="AH776" s="70">
        <v>0</v>
      </c>
      <c r="AJ776" s="70"/>
      <c r="AK776" s="70"/>
      <c r="AL776" s="72"/>
      <c r="AM776" s="22"/>
      <c r="AO776" s="149" t="s">
        <v>126</v>
      </c>
      <c r="AP776" s="23" t="s">
        <v>1128</v>
      </c>
      <c r="AQ776" s="22" t="s">
        <v>198</v>
      </c>
      <c r="AR776" s="51" t="str">
        <f t="shared" si="698"/>
        <v>JD8B-F046C00-BAW</v>
      </c>
      <c r="AS776" s="3"/>
      <c r="AT776" s="94"/>
      <c r="AU776" s="94"/>
      <c r="AV776" s="94">
        <v>1</v>
      </c>
      <c r="AW776" s="94">
        <v>1</v>
      </c>
      <c r="AX776" s="94">
        <v>1</v>
      </c>
      <c r="AY776" s="94">
        <v>1</v>
      </c>
      <c r="AZ776" s="94"/>
      <c r="BA776" s="94"/>
      <c r="BB776" s="64">
        <v>0.6</v>
      </c>
      <c r="BD776" s="60">
        <v>-62.722723404255312</v>
      </c>
      <c r="BE776" s="60"/>
      <c r="BF776" s="95">
        <v>-0.4</v>
      </c>
      <c r="BG776" s="95"/>
      <c r="BH776" s="95"/>
      <c r="BI776" s="8">
        <f t="shared" si="721"/>
        <v>-63.122723404255311</v>
      </c>
      <c r="BL776" s="70">
        <v>0</v>
      </c>
      <c r="BM776" s="70">
        <v>0</v>
      </c>
      <c r="BO776" s="70"/>
      <c r="BP776" s="70"/>
      <c r="BQ776" s="72"/>
      <c r="BS776" s="61">
        <f t="shared" si="664"/>
        <v>0</v>
      </c>
      <c r="BT776" s="61">
        <f t="shared" si="665"/>
        <v>0</v>
      </c>
      <c r="BU776" s="61">
        <f t="shared" si="666"/>
        <v>0</v>
      </c>
      <c r="BV776" s="61">
        <f t="shared" si="666"/>
        <v>0</v>
      </c>
      <c r="BW776" s="61">
        <f t="shared" si="666"/>
        <v>0</v>
      </c>
      <c r="BX776" s="61">
        <f t="shared" si="666"/>
        <v>0</v>
      </c>
      <c r="BY776" s="61" t="s">
        <v>91</v>
      </c>
      <c r="CA776" s="61">
        <f t="shared" si="701"/>
        <v>0</v>
      </c>
      <c r="CB776" s="61">
        <f t="shared" si="701"/>
        <v>0</v>
      </c>
      <c r="CC776" s="61">
        <f t="shared" si="701"/>
        <v>0</v>
      </c>
      <c r="CD776" s="61">
        <f t="shared" si="699"/>
        <v>0</v>
      </c>
      <c r="CE776" s="61">
        <f t="shared" si="699"/>
        <v>0</v>
      </c>
      <c r="CF776" s="61">
        <f t="shared" si="699"/>
        <v>0</v>
      </c>
      <c r="CG776" s="61">
        <f t="shared" si="699"/>
        <v>0</v>
      </c>
      <c r="CH776" s="61">
        <f t="shared" si="699"/>
        <v>0</v>
      </c>
      <c r="CI776" s="61">
        <f t="shared" si="655"/>
        <v>0</v>
      </c>
      <c r="CJ776" s="61"/>
      <c r="CK776" s="61">
        <f t="shared" si="702"/>
        <v>0</v>
      </c>
      <c r="CL776" s="61">
        <f t="shared" si="702"/>
        <v>0</v>
      </c>
      <c r="CM776" s="61">
        <f t="shared" si="702"/>
        <v>0</v>
      </c>
      <c r="CN776" s="61">
        <f t="shared" si="700"/>
        <v>0</v>
      </c>
      <c r="CO776" s="61">
        <f t="shared" si="700"/>
        <v>0</v>
      </c>
      <c r="CP776" s="61">
        <f t="shared" si="700"/>
        <v>0</v>
      </c>
      <c r="CQ776" s="61">
        <f t="shared" si="700"/>
        <v>0</v>
      </c>
      <c r="CR776" s="61">
        <f t="shared" si="700"/>
        <v>0</v>
      </c>
      <c r="CS776" s="61">
        <f t="shared" si="656"/>
        <v>0</v>
      </c>
      <c r="CT776" s="61">
        <f t="shared" si="657"/>
        <v>0</v>
      </c>
      <c r="CV776" s="61">
        <f t="shared" si="658"/>
        <v>0</v>
      </c>
      <c r="CW776" s="61">
        <f t="shared" si="659"/>
        <v>0</v>
      </c>
      <c r="CX776" s="61"/>
      <c r="CY776" s="61">
        <f t="shared" si="660"/>
        <v>0</v>
      </c>
      <c r="CZ776" s="61">
        <f t="shared" si="660"/>
        <v>0</v>
      </c>
      <c r="DA776" s="61">
        <f t="shared" si="660"/>
        <v>0</v>
      </c>
      <c r="DB776" s="2" t="s">
        <v>86</v>
      </c>
      <c r="DC776" s="2" t="s">
        <v>85</v>
      </c>
      <c r="DD776" s="2" t="s">
        <v>142</v>
      </c>
      <c r="DE776" s="2" t="s">
        <v>1146</v>
      </c>
      <c r="DF776" s="3" t="s">
        <v>86</v>
      </c>
      <c r="DG776" s="62">
        <v>43039</v>
      </c>
      <c r="EC776" s="60" t="str">
        <f>VLOOKUP($M776,[1]Detail!$M:$BO,1,0)</f>
        <v>JD8B-F046C00-BCW</v>
      </c>
      <c r="ED776" s="60">
        <f>VLOOKUP($M776,[1]Detail!$M:$BO,22,0)</f>
        <v>-63.122723404255311</v>
      </c>
      <c r="EE776" s="60">
        <f>VLOOKUP($M776,[1]Detail!$M:$BO,42,0)</f>
        <v>0</v>
      </c>
      <c r="EF776" s="60">
        <f>VLOOKUP($M776,[1]Detail!$M:$BO,45,0)</f>
        <v>0</v>
      </c>
      <c r="EH776" s="60">
        <f t="shared" si="716"/>
        <v>0</v>
      </c>
      <c r="EI776" s="60">
        <f t="shared" si="717"/>
        <v>0</v>
      </c>
      <c r="EJ776" s="60">
        <f t="shared" si="718"/>
        <v>0</v>
      </c>
    </row>
    <row r="777" spans="2:140" ht="12.75" hidden="1" customHeight="1">
      <c r="B777" s="99" t="s">
        <v>1332</v>
      </c>
      <c r="C777" s="22" t="s">
        <v>991</v>
      </c>
      <c r="D777" s="22" t="s">
        <v>992</v>
      </c>
      <c r="E777" s="2" t="s">
        <v>993</v>
      </c>
      <c r="F777" s="2" t="s">
        <v>969</v>
      </c>
      <c r="G777" s="2" t="s">
        <v>331</v>
      </c>
      <c r="J777" s="149" t="s">
        <v>126</v>
      </c>
      <c r="K777" s="23" t="s">
        <v>1128</v>
      </c>
      <c r="L777" s="149" t="s">
        <v>216</v>
      </c>
      <c r="M777" s="51" t="str">
        <f t="shared" si="722"/>
        <v>JD8B-F046C00-CCW</v>
      </c>
      <c r="O777" s="22"/>
      <c r="P777" s="22"/>
      <c r="Q777" s="22"/>
      <c r="R777" s="22"/>
      <c r="S777" s="22"/>
      <c r="T777" s="22"/>
      <c r="U777" s="22">
        <v>1</v>
      </c>
      <c r="V777" s="22">
        <v>1</v>
      </c>
      <c r="W777" s="64">
        <f t="shared" si="723"/>
        <v>0.1</v>
      </c>
      <c r="Y777" s="60">
        <v>-76.622723404255311</v>
      </c>
      <c r="Z777" s="60"/>
      <c r="AA777" s="60">
        <v>-0.4</v>
      </c>
      <c r="AB777" s="60"/>
      <c r="AC777" s="60"/>
      <c r="AD777" s="8">
        <f t="shared" si="697"/>
        <v>-77.022723404255316</v>
      </c>
      <c r="AE777" s="2" t="s">
        <v>84</v>
      </c>
      <c r="AG777" s="70">
        <v>0</v>
      </c>
      <c r="AH777" s="70">
        <v>0</v>
      </c>
      <c r="AJ777" s="70"/>
      <c r="AK777" s="70"/>
      <c r="AL777" s="72"/>
      <c r="AM777" s="22"/>
      <c r="AO777" s="149" t="s">
        <v>126</v>
      </c>
      <c r="AP777" s="23" t="s">
        <v>1128</v>
      </c>
      <c r="AQ777" s="22" t="s">
        <v>269</v>
      </c>
      <c r="AR777" s="51" t="str">
        <f t="shared" si="698"/>
        <v>JD8B-F046C00-CAW</v>
      </c>
      <c r="AS777" s="3"/>
      <c r="AT777" s="94"/>
      <c r="AU777" s="94"/>
      <c r="AV777" s="94"/>
      <c r="AW777" s="94"/>
      <c r="AX777" s="94"/>
      <c r="AY777" s="94"/>
      <c r="AZ777" s="94">
        <v>1</v>
      </c>
      <c r="BA777" s="94">
        <v>1</v>
      </c>
      <c r="BB777" s="64">
        <v>0.1</v>
      </c>
      <c r="BD777" s="60">
        <v>-76.622723404255311</v>
      </c>
      <c r="BE777" s="60"/>
      <c r="BF777" s="95">
        <v>-0.4</v>
      </c>
      <c r="BG777" s="95"/>
      <c r="BH777" s="95"/>
      <c r="BI777" s="8">
        <f t="shared" si="721"/>
        <v>-77.022723404255316</v>
      </c>
      <c r="BL777" s="70">
        <v>0</v>
      </c>
      <c r="BM777" s="70">
        <v>0</v>
      </c>
      <c r="BO777" s="70"/>
      <c r="BP777" s="70"/>
      <c r="BQ777" s="72"/>
      <c r="BS777" s="61">
        <f t="shared" si="664"/>
        <v>0</v>
      </c>
      <c r="BT777" s="61">
        <f t="shared" si="665"/>
        <v>0</v>
      </c>
      <c r="BU777" s="61">
        <f t="shared" si="666"/>
        <v>0</v>
      </c>
      <c r="BV777" s="61">
        <f t="shared" si="666"/>
        <v>0</v>
      </c>
      <c r="BW777" s="61">
        <f t="shared" si="666"/>
        <v>0</v>
      </c>
      <c r="BX777" s="61">
        <f t="shared" si="666"/>
        <v>0</v>
      </c>
      <c r="BY777" s="61" t="s">
        <v>91</v>
      </c>
      <c r="CA777" s="61">
        <f t="shared" si="701"/>
        <v>0</v>
      </c>
      <c r="CB777" s="61">
        <f t="shared" si="701"/>
        <v>0</v>
      </c>
      <c r="CC777" s="61">
        <f t="shared" si="701"/>
        <v>0</v>
      </c>
      <c r="CD777" s="61">
        <f t="shared" si="699"/>
        <v>0</v>
      </c>
      <c r="CE777" s="61">
        <f t="shared" si="699"/>
        <v>0</v>
      </c>
      <c r="CF777" s="61">
        <f t="shared" si="699"/>
        <v>0</v>
      </c>
      <c r="CG777" s="61">
        <f t="shared" si="699"/>
        <v>0</v>
      </c>
      <c r="CH777" s="61">
        <f t="shared" si="699"/>
        <v>0</v>
      </c>
      <c r="CI777" s="61">
        <f t="shared" si="655"/>
        <v>0</v>
      </c>
      <c r="CJ777" s="61"/>
      <c r="CK777" s="61">
        <f t="shared" si="702"/>
        <v>0</v>
      </c>
      <c r="CL777" s="61">
        <f t="shared" si="702"/>
        <v>0</v>
      </c>
      <c r="CM777" s="61">
        <f t="shared" si="702"/>
        <v>0</v>
      </c>
      <c r="CN777" s="61">
        <f t="shared" si="700"/>
        <v>0</v>
      </c>
      <c r="CO777" s="61">
        <f t="shared" si="700"/>
        <v>0</v>
      </c>
      <c r="CP777" s="61">
        <f t="shared" si="700"/>
        <v>0</v>
      </c>
      <c r="CQ777" s="61">
        <f t="shared" si="700"/>
        <v>0</v>
      </c>
      <c r="CR777" s="61">
        <f t="shared" si="700"/>
        <v>0</v>
      </c>
      <c r="CS777" s="61">
        <f t="shared" si="656"/>
        <v>0</v>
      </c>
      <c r="CT777" s="61">
        <f t="shared" si="657"/>
        <v>0</v>
      </c>
      <c r="CV777" s="61">
        <f t="shared" si="658"/>
        <v>0</v>
      </c>
      <c r="CW777" s="61">
        <f t="shared" si="659"/>
        <v>0</v>
      </c>
      <c r="CX777" s="61"/>
      <c r="CY777" s="61">
        <f t="shared" si="660"/>
        <v>0</v>
      </c>
      <c r="CZ777" s="61">
        <f t="shared" si="660"/>
        <v>0</v>
      </c>
      <c r="DA777" s="61">
        <f t="shared" si="660"/>
        <v>0</v>
      </c>
      <c r="DB777" s="2" t="s">
        <v>86</v>
      </c>
      <c r="DC777" s="2" t="s">
        <v>85</v>
      </c>
      <c r="DD777" s="2" t="s">
        <v>142</v>
      </c>
      <c r="DE777" s="2" t="s">
        <v>1146</v>
      </c>
      <c r="DF777" s="3" t="s">
        <v>86</v>
      </c>
      <c r="DG777" s="62">
        <v>43039</v>
      </c>
      <c r="EC777" s="60" t="str">
        <f>VLOOKUP($M777,[1]Detail!$M:$BO,1,0)</f>
        <v>JD8B-F046C00-CCW</v>
      </c>
      <c r="ED777" s="60">
        <f>VLOOKUP($M777,[1]Detail!$M:$BO,22,0)</f>
        <v>-77.022723404255316</v>
      </c>
      <c r="EE777" s="60">
        <f>VLOOKUP($M777,[1]Detail!$M:$BO,42,0)</f>
        <v>0</v>
      </c>
      <c r="EF777" s="60">
        <f>VLOOKUP($M777,[1]Detail!$M:$BO,45,0)</f>
        <v>0</v>
      </c>
      <c r="EH777" s="60">
        <f t="shared" si="716"/>
        <v>0</v>
      </c>
      <c r="EI777" s="60">
        <f t="shared" si="717"/>
        <v>0</v>
      </c>
      <c r="EJ777" s="60">
        <f t="shared" si="718"/>
        <v>0</v>
      </c>
    </row>
    <row r="778" spans="2:140" ht="12.75" hidden="1" customHeight="1">
      <c r="B778" s="99" t="s">
        <v>1348</v>
      </c>
      <c r="C778" s="22" t="s">
        <v>805</v>
      </c>
      <c r="D778" s="22" t="s">
        <v>806</v>
      </c>
      <c r="E778" s="2" t="str">
        <f>VLOOKUP($C778,[1]Detail!$C:$AK,6,0)</f>
        <v>PMT1</v>
      </c>
      <c r="F778" s="2" t="str">
        <f>VLOOKUP($C778,[1]Detail!$C:$AK,7,0)</f>
        <v>TH</v>
      </c>
      <c r="G778" s="2" t="str">
        <f>VLOOKUP($C778,[1]Detail!$C:$AK,5,0)</f>
        <v>B</v>
      </c>
      <c r="J778" s="149" t="s">
        <v>126</v>
      </c>
      <c r="K778" s="23" t="s">
        <v>816</v>
      </c>
      <c r="L778" s="149" t="s">
        <v>234</v>
      </c>
      <c r="M778" s="51" t="str">
        <f t="shared" si="722"/>
        <v>JD8B-F03100 -AC</v>
      </c>
      <c r="O778" s="94">
        <v>0</v>
      </c>
      <c r="P778" s="94">
        <v>0</v>
      </c>
      <c r="Q778" s="94">
        <v>0</v>
      </c>
      <c r="R778" s="94">
        <v>0</v>
      </c>
      <c r="S778" s="94">
        <v>0</v>
      </c>
      <c r="T778" s="94">
        <v>0</v>
      </c>
      <c r="U778" s="94">
        <v>1</v>
      </c>
      <c r="V778" s="94">
        <v>1</v>
      </c>
      <c r="W778" s="64">
        <f t="shared" si="723"/>
        <v>0.1</v>
      </c>
      <c r="Y778" s="8">
        <v>-240.55098336279201</v>
      </c>
      <c r="Z778" s="8">
        <v>-1.46421518523112</v>
      </c>
      <c r="AA778" s="8">
        <v>-1.5</v>
      </c>
      <c r="AB778" s="8">
        <v>0</v>
      </c>
      <c r="AC778" s="8">
        <v>0</v>
      </c>
      <c r="AD778" s="8">
        <f t="shared" si="697"/>
        <v>-243.51519854802314</v>
      </c>
      <c r="AE778" s="2" t="s">
        <v>91</v>
      </c>
      <c r="AG778" s="70">
        <v>-317650</v>
      </c>
      <c r="AH778" s="70">
        <v>-317650</v>
      </c>
      <c r="AJ778" s="70">
        <v>0</v>
      </c>
      <c r="AK778" s="70">
        <v>0</v>
      </c>
      <c r="AL778" s="72">
        <v>0</v>
      </c>
      <c r="AM778" s="22"/>
      <c r="AO778" s="149" t="s">
        <v>126</v>
      </c>
      <c r="AP778" s="23" t="s">
        <v>816</v>
      </c>
      <c r="AQ778" s="22" t="s">
        <v>132</v>
      </c>
      <c r="AR778" s="51" t="str">
        <f t="shared" si="698"/>
        <v>JD8B-F03100 -AB</v>
      </c>
      <c r="AS778" s="3"/>
      <c r="AT778" s="94">
        <v>0</v>
      </c>
      <c r="AU778" s="94">
        <v>0</v>
      </c>
      <c r="AV778" s="94">
        <v>0</v>
      </c>
      <c r="AW778" s="94">
        <v>0</v>
      </c>
      <c r="AX778" s="94">
        <v>0</v>
      </c>
      <c r="AY778" s="94">
        <v>0</v>
      </c>
      <c r="AZ778" s="94">
        <v>1</v>
      </c>
      <c r="BA778" s="94">
        <v>1</v>
      </c>
      <c r="BB778" s="64">
        <v>0.1</v>
      </c>
      <c r="BD778" s="60">
        <v>-240.55098336279201</v>
      </c>
      <c r="BE778" s="60">
        <v>-1.46421518523112</v>
      </c>
      <c r="BF778" s="95">
        <v>-1.5</v>
      </c>
      <c r="BG778" s="95">
        <v>0</v>
      </c>
      <c r="BH778" s="95">
        <v>0</v>
      </c>
      <c r="BI778" s="8">
        <f t="shared" si="721"/>
        <v>-243.51519854802314</v>
      </c>
      <c r="BJ778" s="2" t="s">
        <v>91</v>
      </c>
      <c r="BL778" s="70">
        <v>-312650</v>
      </c>
      <c r="BM778" s="70">
        <v>-312650</v>
      </c>
      <c r="BO778" s="70"/>
      <c r="BP778" s="70"/>
      <c r="BQ778" s="72"/>
      <c r="BS778" s="61">
        <f t="shared" si="664"/>
        <v>0</v>
      </c>
      <c r="BT778" s="61">
        <f t="shared" si="665"/>
        <v>0</v>
      </c>
      <c r="BU778" s="61">
        <f t="shared" si="666"/>
        <v>0</v>
      </c>
      <c r="BV778" s="61">
        <f t="shared" si="666"/>
        <v>0</v>
      </c>
      <c r="BW778" s="61">
        <f t="shared" si="666"/>
        <v>0</v>
      </c>
      <c r="BX778" s="61">
        <f t="shared" si="666"/>
        <v>0</v>
      </c>
      <c r="BY778" s="61" t="s">
        <v>91</v>
      </c>
      <c r="CA778" s="61">
        <f t="shared" si="701"/>
        <v>0</v>
      </c>
      <c r="CB778" s="61">
        <f t="shared" si="701"/>
        <v>0</v>
      </c>
      <c r="CC778" s="61">
        <f t="shared" si="701"/>
        <v>0</v>
      </c>
      <c r="CD778" s="61">
        <f t="shared" si="699"/>
        <v>0</v>
      </c>
      <c r="CE778" s="61">
        <f t="shared" si="699"/>
        <v>0</v>
      </c>
      <c r="CF778" s="61">
        <f t="shared" si="699"/>
        <v>0</v>
      </c>
      <c r="CG778" s="61">
        <f t="shared" si="699"/>
        <v>0</v>
      </c>
      <c r="CH778" s="61">
        <f t="shared" si="699"/>
        <v>0</v>
      </c>
      <c r="CI778" s="61">
        <f t="shared" si="655"/>
        <v>0</v>
      </c>
      <c r="CJ778" s="61"/>
      <c r="CK778" s="61">
        <f t="shared" si="702"/>
        <v>0</v>
      </c>
      <c r="CL778" s="61">
        <f t="shared" si="702"/>
        <v>0</v>
      </c>
      <c r="CM778" s="61">
        <f t="shared" si="702"/>
        <v>0</v>
      </c>
      <c r="CN778" s="61">
        <f t="shared" si="700"/>
        <v>0</v>
      </c>
      <c r="CO778" s="61">
        <f t="shared" si="700"/>
        <v>0</v>
      </c>
      <c r="CP778" s="61">
        <f t="shared" si="700"/>
        <v>0</v>
      </c>
      <c r="CQ778" s="61">
        <f t="shared" si="700"/>
        <v>0</v>
      </c>
      <c r="CR778" s="61">
        <f t="shared" si="700"/>
        <v>0</v>
      </c>
      <c r="CS778" s="61">
        <f t="shared" si="656"/>
        <v>0</v>
      </c>
      <c r="CT778" s="61">
        <f t="shared" si="657"/>
        <v>0</v>
      </c>
      <c r="CV778" s="61">
        <f t="shared" ref="CV778:CV818" si="724">SUM(AG778)-SUM(BL778)</f>
        <v>-5000</v>
      </c>
      <c r="CW778" s="61">
        <f t="shared" si="659"/>
        <v>-5000</v>
      </c>
      <c r="CX778" s="61"/>
      <c r="CY778" s="61">
        <f t="shared" ref="CY778:DA818" si="725">SUM(AJ778)-SUM(BO778)</f>
        <v>0</v>
      </c>
      <c r="CZ778" s="61">
        <f t="shared" si="725"/>
        <v>0</v>
      </c>
      <c r="DA778" s="61">
        <f t="shared" si="725"/>
        <v>0</v>
      </c>
      <c r="DB778" s="2" t="s">
        <v>85</v>
      </c>
      <c r="DC778" s="2" t="s">
        <v>85</v>
      </c>
      <c r="DD778" s="2" t="s">
        <v>142</v>
      </c>
      <c r="DE778" s="2" t="s">
        <v>264</v>
      </c>
      <c r="DG778" s="62"/>
      <c r="DZ778" s="3" t="e">
        <v>#N/A</v>
      </c>
      <c r="EC778" s="60"/>
      <c r="ED778" s="60"/>
      <c r="EE778" s="60"/>
      <c r="EF778" s="60"/>
    </row>
    <row r="779" spans="2:140" ht="12.75" hidden="1" customHeight="1">
      <c r="B779" s="99" t="s">
        <v>1349</v>
      </c>
      <c r="C779" s="22" t="s">
        <v>805</v>
      </c>
      <c r="D779" s="22" t="s">
        <v>806</v>
      </c>
      <c r="E779" s="2" t="str">
        <f>VLOOKUP($C779,[1]Detail!$C:$AK,6,0)</f>
        <v>PMT1</v>
      </c>
      <c r="F779" s="2" t="str">
        <f>VLOOKUP($C779,[1]Detail!$C:$AK,7,0)</f>
        <v>TH</v>
      </c>
      <c r="G779" s="2" t="str">
        <f>VLOOKUP($C779,[1]Detail!$C:$AK,5,0)</f>
        <v>B</v>
      </c>
      <c r="J779" s="149" t="s">
        <v>126</v>
      </c>
      <c r="K779" s="23" t="s">
        <v>816</v>
      </c>
      <c r="L779" s="149" t="s">
        <v>162</v>
      </c>
      <c r="M779" s="51" t="str">
        <f t="shared" si="722"/>
        <v>JD8B-F03100 -AD</v>
      </c>
      <c r="O779" s="94">
        <v>0</v>
      </c>
      <c r="P779" s="94">
        <v>0</v>
      </c>
      <c r="Q779" s="94">
        <v>0</v>
      </c>
      <c r="R779" s="94">
        <v>0</v>
      </c>
      <c r="S779" s="94">
        <v>0</v>
      </c>
      <c r="T779" s="94">
        <v>0</v>
      </c>
      <c r="U779" s="94">
        <v>1</v>
      </c>
      <c r="V779" s="94">
        <v>1</v>
      </c>
      <c r="W779" s="64">
        <f t="shared" si="723"/>
        <v>0.1</v>
      </c>
      <c r="Y779" s="8">
        <f>-240.550983362792-7.78</f>
        <v>-248.33098336279201</v>
      </c>
      <c r="Z779" s="8">
        <v>-1.46421518523112</v>
      </c>
      <c r="AA779" s="8">
        <v>-1.5</v>
      </c>
      <c r="AB779" s="8">
        <v>0</v>
      </c>
      <c r="AC779" s="8">
        <v>0</v>
      </c>
      <c r="AD779" s="8">
        <f t="shared" ref="AD779" si="726">SUM(Y779:AC779)</f>
        <v>-251.29519854802314</v>
      </c>
      <c r="AE779" s="2" t="s">
        <v>91</v>
      </c>
      <c r="AG779" s="70">
        <f>-317650-30000</f>
        <v>-347650</v>
      </c>
      <c r="AH779" s="70">
        <f>-317650-30000</f>
        <v>-347650</v>
      </c>
      <c r="AJ779" s="70">
        <v>0</v>
      </c>
      <c r="AK779" s="70">
        <v>0</v>
      </c>
      <c r="AL779" s="72">
        <v>0</v>
      </c>
      <c r="AM779" s="22"/>
      <c r="AO779" s="149" t="s">
        <v>126</v>
      </c>
      <c r="AP779" s="23" t="s">
        <v>816</v>
      </c>
      <c r="AQ779" s="149" t="s">
        <v>234</v>
      </c>
      <c r="AR779" s="51" t="str">
        <f t="shared" si="698"/>
        <v>JD8B-F03100 -AC</v>
      </c>
      <c r="AS779" s="3"/>
      <c r="AT779" s="94">
        <v>0</v>
      </c>
      <c r="AU779" s="94">
        <v>0</v>
      </c>
      <c r="AV779" s="94">
        <v>0</v>
      </c>
      <c r="AW779" s="94">
        <v>0</v>
      </c>
      <c r="AX779" s="94">
        <v>0</v>
      </c>
      <c r="AY779" s="94">
        <v>0</v>
      </c>
      <c r="AZ779" s="94">
        <v>1</v>
      </c>
      <c r="BA779" s="94">
        <v>1</v>
      </c>
      <c r="BB779" s="64">
        <f>SUMPRODUCT(AT779:BA779,$O$6:$V$6)</f>
        <v>0.1</v>
      </c>
      <c r="BD779" s="8">
        <v>-240.55098336279201</v>
      </c>
      <c r="BE779" s="8">
        <v>-1.46421518523112</v>
      </c>
      <c r="BF779" s="8">
        <v>-1.5</v>
      </c>
      <c r="BG779" s="8">
        <v>0</v>
      </c>
      <c r="BH779" s="8">
        <v>0</v>
      </c>
      <c r="BI779" s="8">
        <f t="shared" ref="BI779" si="727">SUM(BD779:BH779)</f>
        <v>-243.51519854802314</v>
      </c>
      <c r="BJ779" s="2" t="s">
        <v>91</v>
      </c>
      <c r="BL779" s="70">
        <v>-317650</v>
      </c>
      <c r="BM779" s="70">
        <v>-317650</v>
      </c>
      <c r="BO779" s="70"/>
      <c r="BP779" s="70"/>
      <c r="BQ779" s="72"/>
      <c r="BS779" s="61">
        <f t="shared" si="664"/>
        <v>-7.7800000000000011</v>
      </c>
      <c r="BT779" s="61">
        <f t="shared" si="665"/>
        <v>0</v>
      </c>
      <c r="BU779" s="61">
        <f t="shared" si="666"/>
        <v>0</v>
      </c>
      <c r="BV779" s="61">
        <f t="shared" si="666"/>
        <v>0</v>
      </c>
      <c r="BW779" s="61">
        <f t="shared" si="666"/>
        <v>0</v>
      </c>
      <c r="BX779" s="61">
        <f t="shared" si="666"/>
        <v>-7.7800000000000011</v>
      </c>
      <c r="BY779" s="61" t="s">
        <v>91</v>
      </c>
      <c r="CA779" s="61">
        <f t="shared" si="701"/>
        <v>0</v>
      </c>
      <c r="CB779" s="61">
        <f t="shared" si="701"/>
        <v>0</v>
      </c>
      <c r="CC779" s="61">
        <f t="shared" si="701"/>
        <v>0</v>
      </c>
      <c r="CD779" s="61">
        <f t="shared" si="699"/>
        <v>0</v>
      </c>
      <c r="CE779" s="61">
        <f t="shared" si="699"/>
        <v>0</v>
      </c>
      <c r="CF779" s="61">
        <f t="shared" si="699"/>
        <v>0</v>
      </c>
      <c r="CG779" s="61">
        <f t="shared" si="699"/>
        <v>-1.1704528358658042</v>
      </c>
      <c r="CH779" s="61">
        <f t="shared" si="699"/>
        <v>-1.1704528358658042</v>
      </c>
      <c r="CI779" s="61">
        <f t="shared" si="655"/>
        <v>-0.11704528358658042</v>
      </c>
      <c r="CJ779" s="61"/>
      <c r="CK779" s="61">
        <f t="shared" si="702"/>
        <v>0</v>
      </c>
      <c r="CL779" s="61">
        <f t="shared" si="702"/>
        <v>0</v>
      </c>
      <c r="CM779" s="61">
        <f t="shared" si="702"/>
        <v>0</v>
      </c>
      <c r="CN779" s="61">
        <f t="shared" si="700"/>
        <v>0</v>
      </c>
      <c r="CO779" s="61">
        <f t="shared" si="700"/>
        <v>0</v>
      </c>
      <c r="CP779" s="61">
        <f t="shared" si="700"/>
        <v>0</v>
      </c>
      <c r="CQ779" s="61">
        <f t="shared" si="700"/>
        <v>-1.1704528358658042</v>
      </c>
      <c r="CR779" s="61">
        <f t="shared" si="700"/>
        <v>-1.1704528358658042</v>
      </c>
      <c r="CS779" s="61">
        <f t="shared" si="656"/>
        <v>-0.11704528358658042</v>
      </c>
      <c r="CT779" s="67">
        <f t="shared" si="657"/>
        <v>-0.77800000000000014</v>
      </c>
      <c r="CV779" s="61">
        <f t="shared" ref="CV779" si="728">SUM(AG779)-SUM(BL779)</f>
        <v>-30000</v>
      </c>
      <c r="CW779" s="61">
        <f t="shared" ref="CW779" si="729">SUM(AH779)-SUM(BM779)</f>
        <v>-30000</v>
      </c>
      <c r="CX779" s="61"/>
      <c r="CY779" s="61">
        <f t="shared" si="725"/>
        <v>0</v>
      </c>
      <c r="CZ779" s="61">
        <f t="shared" si="725"/>
        <v>0</v>
      </c>
      <c r="DA779" s="61">
        <f t="shared" si="725"/>
        <v>0</v>
      </c>
      <c r="DB779" s="2" t="s">
        <v>86</v>
      </c>
      <c r="DC779" s="2" t="s">
        <v>85</v>
      </c>
      <c r="DD779" s="2" t="s">
        <v>142</v>
      </c>
      <c r="DE779" s="2" t="s">
        <v>106</v>
      </c>
      <c r="DF779" s="3" t="s">
        <v>86</v>
      </c>
      <c r="DG779" s="62">
        <v>43084</v>
      </c>
      <c r="EC779" s="60" t="str">
        <f>VLOOKUP($M779,[1]Detail!$M:$BO,1,0)</f>
        <v>JD8B-F03100 -AD</v>
      </c>
      <c r="ED779" s="60">
        <f>VLOOKUP($M779,[1]Detail!$M:$BO,22,0)</f>
        <v>-251.29519854802314</v>
      </c>
      <c r="EE779" s="60">
        <f>VLOOKUP($M779,[1]Detail!$M:$BO,42,0)</f>
        <v>-347650</v>
      </c>
      <c r="EF779" s="60">
        <f>VLOOKUP($M779,[1]Detail!$M:$BO,45,0)</f>
        <v>0</v>
      </c>
      <c r="EH779" s="60">
        <f t="shared" ref="EH779:EH780" si="730">ED779-AD779</f>
        <v>0</v>
      </c>
      <c r="EI779" s="60">
        <f t="shared" ref="EI779:EI780" si="731">EE779-AG779</f>
        <v>0</v>
      </c>
      <c r="EJ779" s="60">
        <f t="shared" ref="EJ779:EJ780" si="732">EF779-AJ779</f>
        <v>0</v>
      </c>
    </row>
    <row r="780" spans="2:140" ht="12.75" hidden="1" customHeight="1">
      <c r="B780" s="99" t="s">
        <v>1348</v>
      </c>
      <c r="C780" s="22" t="s">
        <v>805</v>
      </c>
      <c r="D780" s="22" t="s">
        <v>806</v>
      </c>
      <c r="E780" s="2" t="str">
        <f>VLOOKUP($C780,[1]Detail!$C:$AK,6,0)</f>
        <v>PMT1</v>
      </c>
      <c r="F780" s="2" t="str">
        <f>VLOOKUP($C780,[1]Detail!$C:$AK,7,0)</f>
        <v>TH</v>
      </c>
      <c r="G780" s="2" t="str">
        <f>VLOOKUP($C780,[1]Detail!$C:$AK,5,0)</f>
        <v>B</v>
      </c>
      <c r="J780" s="149" t="s">
        <v>126</v>
      </c>
      <c r="K780" s="23" t="s">
        <v>816</v>
      </c>
      <c r="L780" s="149" t="s">
        <v>599</v>
      </c>
      <c r="M780" s="51" t="str">
        <f t="shared" si="722"/>
        <v>JD8B-F03100 -BC</v>
      </c>
      <c r="O780" s="94">
        <v>1</v>
      </c>
      <c r="P780" s="94">
        <v>1</v>
      </c>
      <c r="Q780" s="94">
        <v>1</v>
      </c>
      <c r="R780" s="94">
        <v>1</v>
      </c>
      <c r="S780" s="94">
        <v>1</v>
      </c>
      <c r="T780" s="94">
        <v>1</v>
      </c>
      <c r="U780" s="94">
        <v>0</v>
      </c>
      <c r="V780" s="94">
        <v>0</v>
      </c>
      <c r="W780" s="64">
        <f t="shared" si="723"/>
        <v>0.9</v>
      </c>
      <c r="Y780" s="8">
        <v>-219.83082051139101</v>
      </c>
      <c r="Z780" s="8">
        <v>-1.46421518523112</v>
      </c>
      <c r="AA780" s="8">
        <v>-1.5</v>
      </c>
      <c r="AB780" s="8">
        <v>0</v>
      </c>
      <c r="AC780" s="8">
        <v>0</v>
      </c>
      <c r="AD780" s="8">
        <f t="shared" si="697"/>
        <v>-222.79503569662214</v>
      </c>
      <c r="AE780" s="2" t="s">
        <v>91</v>
      </c>
      <c r="AG780" s="70">
        <v>-477350</v>
      </c>
      <c r="AH780" s="70">
        <v>-477350</v>
      </c>
      <c r="AJ780" s="70">
        <v>0</v>
      </c>
      <c r="AK780" s="70">
        <v>0</v>
      </c>
      <c r="AL780" s="72">
        <v>0</v>
      </c>
      <c r="AM780" s="22"/>
      <c r="AO780" s="149" t="s">
        <v>126</v>
      </c>
      <c r="AP780" s="23" t="s">
        <v>816</v>
      </c>
      <c r="AQ780" s="22" t="s">
        <v>120</v>
      </c>
      <c r="AR780" s="51" t="str">
        <f t="shared" si="698"/>
        <v>JD8B-F03100 -BB</v>
      </c>
      <c r="AS780" s="3"/>
      <c r="AT780" s="94">
        <v>1</v>
      </c>
      <c r="AU780" s="94">
        <v>1</v>
      </c>
      <c r="AV780" s="94">
        <v>1</v>
      </c>
      <c r="AW780" s="94">
        <v>1</v>
      </c>
      <c r="AX780" s="94">
        <v>1</v>
      </c>
      <c r="AY780" s="94">
        <v>1</v>
      </c>
      <c r="AZ780" s="94">
        <v>0</v>
      </c>
      <c r="BA780" s="94">
        <v>0</v>
      </c>
      <c r="BB780" s="64">
        <v>0.9</v>
      </c>
      <c r="BD780" s="60">
        <v>-219.83082051139101</v>
      </c>
      <c r="BE780" s="60">
        <v>-1.46421518523112</v>
      </c>
      <c r="BF780" s="95">
        <v>-1.5</v>
      </c>
      <c r="BG780" s="95">
        <v>0</v>
      </c>
      <c r="BH780" s="95">
        <v>0</v>
      </c>
      <c r="BI780" s="8">
        <f t="shared" si="721"/>
        <v>-222.79503569662214</v>
      </c>
      <c r="BJ780" s="2" t="s">
        <v>91</v>
      </c>
      <c r="BL780" s="70">
        <v>-472350</v>
      </c>
      <c r="BM780" s="70">
        <v>-472350</v>
      </c>
      <c r="BO780" s="70"/>
      <c r="BP780" s="70"/>
      <c r="BQ780" s="72"/>
      <c r="BS780" s="61">
        <f t="shared" si="664"/>
        <v>0</v>
      </c>
      <c r="BT780" s="61">
        <f t="shared" si="665"/>
        <v>0</v>
      </c>
      <c r="BU780" s="61">
        <f t="shared" si="666"/>
        <v>0</v>
      </c>
      <c r="BV780" s="61">
        <f t="shared" si="666"/>
        <v>0</v>
      </c>
      <c r="BW780" s="61">
        <f t="shared" si="666"/>
        <v>0</v>
      </c>
      <c r="BX780" s="61">
        <f t="shared" si="666"/>
        <v>0</v>
      </c>
      <c r="BY780" s="61" t="s">
        <v>91</v>
      </c>
      <c r="CA780" s="61">
        <f t="shared" si="701"/>
        <v>0</v>
      </c>
      <c r="CB780" s="61">
        <f t="shared" si="701"/>
        <v>0</v>
      </c>
      <c r="CC780" s="61">
        <f t="shared" si="701"/>
        <v>0</v>
      </c>
      <c r="CD780" s="61">
        <f t="shared" si="699"/>
        <v>0</v>
      </c>
      <c r="CE780" s="61">
        <f t="shared" si="699"/>
        <v>0</v>
      </c>
      <c r="CF780" s="61">
        <f t="shared" si="699"/>
        <v>0</v>
      </c>
      <c r="CG780" s="61">
        <f t="shared" si="699"/>
        <v>0</v>
      </c>
      <c r="CH780" s="61">
        <f t="shared" si="699"/>
        <v>0</v>
      </c>
      <c r="CI780" s="61">
        <f t="shared" si="655"/>
        <v>0</v>
      </c>
      <c r="CJ780" s="61"/>
      <c r="CK780" s="61">
        <f t="shared" si="702"/>
        <v>0</v>
      </c>
      <c r="CL780" s="61">
        <f t="shared" si="702"/>
        <v>0</v>
      </c>
      <c r="CM780" s="61">
        <f t="shared" si="702"/>
        <v>0</v>
      </c>
      <c r="CN780" s="61">
        <f t="shared" si="700"/>
        <v>0</v>
      </c>
      <c r="CO780" s="61">
        <f t="shared" si="700"/>
        <v>0</v>
      </c>
      <c r="CP780" s="61">
        <f t="shared" si="700"/>
        <v>0</v>
      </c>
      <c r="CQ780" s="61">
        <f t="shared" si="700"/>
        <v>0</v>
      </c>
      <c r="CR780" s="61">
        <f t="shared" si="700"/>
        <v>0</v>
      </c>
      <c r="CS780" s="61">
        <f t="shared" si="656"/>
        <v>0</v>
      </c>
      <c r="CT780" s="61">
        <f t="shared" si="657"/>
        <v>0</v>
      </c>
      <c r="CV780" s="61">
        <f t="shared" si="724"/>
        <v>-5000</v>
      </c>
      <c r="CW780" s="61">
        <f t="shared" si="659"/>
        <v>-5000</v>
      </c>
      <c r="CX780" s="61"/>
      <c r="CY780" s="61">
        <f t="shared" si="725"/>
        <v>0</v>
      </c>
      <c r="CZ780" s="61">
        <f t="shared" si="725"/>
        <v>0</v>
      </c>
      <c r="DA780" s="61">
        <f t="shared" si="725"/>
        <v>0</v>
      </c>
      <c r="DB780" s="2" t="s">
        <v>86</v>
      </c>
      <c r="DC780" s="2" t="s">
        <v>85</v>
      </c>
      <c r="DD780" s="2" t="s">
        <v>142</v>
      </c>
      <c r="DE780" s="2" t="s">
        <v>264</v>
      </c>
      <c r="DG780" s="62">
        <v>43084</v>
      </c>
      <c r="DZ780" s="3" t="e">
        <v>#N/A</v>
      </c>
      <c r="EC780" s="60" t="str">
        <f>VLOOKUP($M780,[1]Detail!$M:$BO,1,0)</f>
        <v>JD8B-F03100 -BC</v>
      </c>
      <c r="ED780" s="60">
        <f>VLOOKUP($M780,[1]Detail!$M:$BO,22,0)</f>
        <v>-222.79503569662214</v>
      </c>
      <c r="EE780" s="60">
        <f>VLOOKUP($M780,[1]Detail!$M:$BO,42,0)</f>
        <v>-477350</v>
      </c>
      <c r="EF780" s="60">
        <f>VLOOKUP($M780,[1]Detail!$M:$BO,45,0)</f>
        <v>0</v>
      </c>
      <c r="EH780" s="60">
        <f t="shared" si="730"/>
        <v>0</v>
      </c>
      <c r="EI780" s="60">
        <f t="shared" si="731"/>
        <v>0</v>
      </c>
      <c r="EJ780" s="60">
        <f t="shared" si="732"/>
        <v>0</v>
      </c>
    </row>
    <row r="781" spans="2:140" ht="12.75" hidden="1" customHeight="1">
      <c r="B781" s="99" t="s">
        <v>1350</v>
      </c>
      <c r="C781" s="22" t="s">
        <v>975</v>
      </c>
      <c r="D781" s="22" t="s">
        <v>976</v>
      </c>
      <c r="E781" s="2" t="s">
        <v>968</v>
      </c>
      <c r="F781" s="2" t="s">
        <v>969</v>
      </c>
      <c r="G781" s="2" t="s">
        <v>331</v>
      </c>
      <c r="J781" s="149" t="s">
        <v>126</v>
      </c>
      <c r="K781" s="23">
        <v>17682</v>
      </c>
      <c r="L781" s="149" t="s">
        <v>93</v>
      </c>
      <c r="M781" s="51" t="str">
        <f t="shared" si="722"/>
        <v>JD8B-17682-ABW</v>
      </c>
      <c r="O781" s="94">
        <v>1</v>
      </c>
      <c r="P781" s="94">
        <v>1</v>
      </c>
      <c r="Q781" s="94">
        <v>0</v>
      </c>
      <c r="R781" s="94">
        <v>0</v>
      </c>
      <c r="S781" s="94">
        <v>0</v>
      </c>
      <c r="T781" s="94">
        <v>0</v>
      </c>
      <c r="U781" s="94">
        <v>0</v>
      </c>
      <c r="V781" s="94">
        <v>0</v>
      </c>
      <c r="W781" s="64">
        <f t="shared" si="723"/>
        <v>0.30000000000000004</v>
      </c>
      <c r="Y781" s="60">
        <v>-114.49979999999999</v>
      </c>
      <c r="Z781" s="60">
        <v>-1.3495999999999999</v>
      </c>
      <c r="AA781" s="60">
        <v>-4.3099999999999996</v>
      </c>
      <c r="AB781" s="60">
        <v>0</v>
      </c>
      <c r="AC781" s="60">
        <v>0</v>
      </c>
      <c r="AD781" s="8">
        <f t="shared" si="697"/>
        <v>-120.15939999999999</v>
      </c>
      <c r="AE781" s="2" t="s">
        <v>91</v>
      </c>
      <c r="AG781" s="70">
        <v>-3536850</v>
      </c>
      <c r="AH781" s="70">
        <v>-3536850</v>
      </c>
      <c r="AJ781" s="70"/>
      <c r="AK781" s="70"/>
      <c r="AL781" s="72"/>
      <c r="AM781" s="22"/>
      <c r="AO781" s="149" t="s">
        <v>126</v>
      </c>
      <c r="AP781" s="23">
        <v>17682</v>
      </c>
      <c r="AQ781" s="22" t="s">
        <v>196</v>
      </c>
      <c r="AR781" s="51" t="str">
        <f t="shared" si="698"/>
        <v>JD8B-17682-AAW</v>
      </c>
      <c r="AS781" s="3"/>
      <c r="AT781" s="94">
        <v>1</v>
      </c>
      <c r="AU781" s="94">
        <v>1</v>
      </c>
      <c r="AV781" s="94">
        <v>0</v>
      </c>
      <c r="AW781" s="94">
        <v>0</v>
      </c>
      <c r="AX781" s="94">
        <v>0</v>
      </c>
      <c r="AY781" s="94">
        <v>0</v>
      </c>
      <c r="AZ781" s="94">
        <v>0</v>
      </c>
      <c r="BA781" s="94">
        <v>0</v>
      </c>
      <c r="BB781" s="64">
        <f t="shared" ref="BB781:BB786" si="733">SUMPRODUCT(AT781:BA781,$O$6:$V$6)</f>
        <v>0.30000000000000004</v>
      </c>
      <c r="BD781" s="60">
        <v>-114.49979999999999</v>
      </c>
      <c r="BE781" s="60">
        <v>-1.3495999999999999</v>
      </c>
      <c r="BF781" s="60">
        <v>-4.3099999999999996</v>
      </c>
      <c r="BG781" s="60">
        <v>0</v>
      </c>
      <c r="BH781" s="60">
        <v>0</v>
      </c>
      <c r="BI781" s="8">
        <f>SUM(BD781:BH781)</f>
        <v>-120.15939999999999</v>
      </c>
      <c r="BJ781" s="2" t="s">
        <v>84</v>
      </c>
      <c r="BL781" s="70">
        <v>-3536850</v>
      </c>
      <c r="BM781" s="70">
        <v>-3536850</v>
      </c>
      <c r="BO781" s="98">
        <v>0</v>
      </c>
      <c r="BP781" s="98">
        <v>0</v>
      </c>
      <c r="BQ781" s="72"/>
      <c r="BS781" s="61">
        <f t="shared" si="664"/>
        <v>0</v>
      </c>
      <c r="BT781" s="61">
        <f t="shared" si="665"/>
        <v>0</v>
      </c>
      <c r="BU781" s="61">
        <f t="shared" si="666"/>
        <v>0</v>
      </c>
      <c r="BV781" s="61">
        <f t="shared" si="666"/>
        <v>0</v>
      </c>
      <c r="BW781" s="61">
        <f t="shared" si="666"/>
        <v>0</v>
      </c>
      <c r="BX781" s="61">
        <f t="shared" si="666"/>
        <v>0</v>
      </c>
      <c r="BY781" s="61" t="s">
        <v>91</v>
      </c>
      <c r="CA781" s="61">
        <f t="shared" si="701"/>
        <v>0</v>
      </c>
      <c r="CB781" s="61">
        <f t="shared" si="701"/>
        <v>0</v>
      </c>
      <c r="CC781" s="61">
        <f t="shared" si="701"/>
        <v>0</v>
      </c>
      <c r="CD781" s="61">
        <f t="shared" si="699"/>
        <v>0</v>
      </c>
      <c r="CE781" s="61">
        <f t="shared" si="699"/>
        <v>0</v>
      </c>
      <c r="CF781" s="61">
        <f t="shared" si="699"/>
        <v>0</v>
      </c>
      <c r="CG781" s="61">
        <f t="shared" si="699"/>
        <v>0</v>
      </c>
      <c r="CH781" s="61">
        <f t="shared" si="699"/>
        <v>0</v>
      </c>
      <c r="CI781" s="61">
        <f t="shared" si="655"/>
        <v>0</v>
      </c>
      <c r="CJ781" s="61"/>
      <c r="CK781" s="61">
        <f t="shared" si="702"/>
        <v>0</v>
      </c>
      <c r="CL781" s="61">
        <f t="shared" si="702"/>
        <v>0</v>
      </c>
      <c r="CM781" s="61">
        <f t="shared" si="702"/>
        <v>0</v>
      </c>
      <c r="CN781" s="61">
        <f t="shared" si="700"/>
        <v>0</v>
      </c>
      <c r="CO781" s="61">
        <f t="shared" si="700"/>
        <v>0</v>
      </c>
      <c r="CP781" s="61">
        <f t="shared" si="700"/>
        <v>0</v>
      </c>
      <c r="CQ781" s="61">
        <f t="shared" si="700"/>
        <v>0</v>
      </c>
      <c r="CR781" s="61">
        <f t="shared" si="700"/>
        <v>0</v>
      </c>
      <c r="CS781" s="61">
        <f t="shared" si="656"/>
        <v>0</v>
      </c>
      <c r="CT781" s="61">
        <f t="shared" si="657"/>
        <v>0</v>
      </c>
      <c r="CV781" s="61">
        <f t="shared" si="724"/>
        <v>0</v>
      </c>
      <c r="CW781" s="61">
        <f t="shared" si="659"/>
        <v>0</v>
      </c>
      <c r="CX781" s="61"/>
      <c r="CY781" s="61">
        <f t="shared" si="725"/>
        <v>0</v>
      </c>
      <c r="CZ781" s="61">
        <f t="shared" si="725"/>
        <v>0</v>
      </c>
      <c r="DA781" s="61">
        <f t="shared" si="725"/>
        <v>0</v>
      </c>
      <c r="DB781" s="2" t="s">
        <v>134</v>
      </c>
      <c r="DC781" s="2" t="s">
        <v>85</v>
      </c>
      <c r="DD781" s="2" t="s">
        <v>142</v>
      </c>
      <c r="DE781" s="2" t="s">
        <v>1146</v>
      </c>
      <c r="DG781" s="62">
        <v>43084</v>
      </c>
      <c r="DZ781" s="3" t="e">
        <v>#N/A</v>
      </c>
      <c r="EC781" s="60"/>
      <c r="ED781" s="60"/>
      <c r="EE781" s="60"/>
      <c r="EF781" s="60"/>
    </row>
    <row r="782" spans="2:140" ht="12.75" hidden="1" customHeight="1">
      <c r="B782" s="99" t="s">
        <v>1350</v>
      </c>
      <c r="C782" s="22" t="s">
        <v>975</v>
      </c>
      <c r="D782" s="22" t="s">
        <v>976</v>
      </c>
      <c r="E782" s="2" t="s">
        <v>968</v>
      </c>
      <c r="F782" s="2" t="s">
        <v>969</v>
      </c>
      <c r="G782" s="2" t="s">
        <v>331</v>
      </c>
      <c r="J782" s="149" t="s">
        <v>126</v>
      </c>
      <c r="K782" s="23">
        <v>17682</v>
      </c>
      <c r="L782" s="149" t="s">
        <v>210</v>
      </c>
      <c r="M782" s="51" t="str">
        <f t="shared" si="722"/>
        <v>JD8B-17682-BBW</v>
      </c>
      <c r="O782" s="94">
        <v>0</v>
      </c>
      <c r="P782" s="94">
        <v>0</v>
      </c>
      <c r="Q782" s="94">
        <v>1</v>
      </c>
      <c r="R782" s="94">
        <v>1</v>
      </c>
      <c r="S782" s="94">
        <v>1</v>
      </c>
      <c r="T782" s="94">
        <v>1</v>
      </c>
      <c r="U782" s="94">
        <v>0</v>
      </c>
      <c r="V782" s="94">
        <v>0</v>
      </c>
      <c r="W782" s="64">
        <f t="shared" si="723"/>
        <v>0.6</v>
      </c>
      <c r="Y782" s="60">
        <v>-121.9957</v>
      </c>
      <c r="Z782" s="60">
        <v>-1.3495999999999999</v>
      </c>
      <c r="AA782" s="60">
        <v>-4.3099999999999996</v>
      </c>
      <c r="AB782" s="60">
        <v>0</v>
      </c>
      <c r="AC782" s="60">
        <v>0</v>
      </c>
      <c r="AD782" s="8">
        <f t="shared" ref="AD782:AD786" si="734">SUM(Y782:AC782)</f>
        <v>-127.6553</v>
      </c>
      <c r="AE782" s="2" t="s">
        <v>91</v>
      </c>
      <c r="AG782" s="70" t="s">
        <v>1039</v>
      </c>
      <c r="AH782" s="70" t="s">
        <v>1039</v>
      </c>
      <c r="AJ782" s="70"/>
      <c r="AK782" s="70"/>
      <c r="AL782" s="72"/>
      <c r="AM782" s="22"/>
      <c r="AO782" s="149" t="s">
        <v>126</v>
      </c>
      <c r="AP782" s="23">
        <v>17682</v>
      </c>
      <c r="AQ782" s="22" t="s">
        <v>198</v>
      </c>
      <c r="AR782" s="51" t="str">
        <f t="shared" si="698"/>
        <v>JD8B-17682-BAW</v>
      </c>
      <c r="AS782" s="3"/>
      <c r="AT782" s="94">
        <v>0</v>
      </c>
      <c r="AU782" s="94">
        <v>0</v>
      </c>
      <c r="AV782" s="94">
        <v>1</v>
      </c>
      <c r="AW782" s="94">
        <v>1</v>
      </c>
      <c r="AX782" s="94">
        <v>1</v>
      </c>
      <c r="AY782" s="94">
        <v>1</v>
      </c>
      <c r="AZ782" s="94">
        <v>0</v>
      </c>
      <c r="BA782" s="94">
        <v>0</v>
      </c>
      <c r="BB782" s="64">
        <f t="shared" si="733"/>
        <v>0.6</v>
      </c>
      <c r="BD782" s="60">
        <v>-121.9957</v>
      </c>
      <c r="BE782" s="60">
        <v>-1.3495999999999999</v>
      </c>
      <c r="BF782" s="60">
        <v>-4.3099999999999996</v>
      </c>
      <c r="BG782" s="60">
        <v>0</v>
      </c>
      <c r="BH782" s="60">
        <v>0</v>
      </c>
      <c r="BI782" s="8">
        <f t="shared" ref="BI782:BI786" si="735">SUM(BD782:BH782)</f>
        <v>-127.6553</v>
      </c>
      <c r="BJ782" s="2" t="s">
        <v>84</v>
      </c>
      <c r="BL782" s="70" t="s">
        <v>1039</v>
      </c>
      <c r="BM782" s="70" t="s">
        <v>1039</v>
      </c>
      <c r="BO782" s="70"/>
      <c r="BP782" s="70"/>
      <c r="BQ782" s="72"/>
      <c r="BS782" s="61">
        <f t="shared" si="664"/>
        <v>0</v>
      </c>
      <c r="BT782" s="61">
        <f t="shared" si="665"/>
        <v>0</v>
      </c>
      <c r="BU782" s="61">
        <f t="shared" si="666"/>
        <v>0</v>
      </c>
      <c r="BV782" s="61">
        <f t="shared" si="666"/>
        <v>0</v>
      </c>
      <c r="BW782" s="61">
        <f t="shared" si="666"/>
        <v>0</v>
      </c>
      <c r="BX782" s="61">
        <f t="shared" si="666"/>
        <v>0</v>
      </c>
      <c r="BY782" s="61" t="s">
        <v>91</v>
      </c>
      <c r="CA782" s="61">
        <f t="shared" si="701"/>
        <v>0</v>
      </c>
      <c r="CB782" s="61">
        <f t="shared" si="701"/>
        <v>0</v>
      </c>
      <c r="CC782" s="61">
        <f t="shared" si="701"/>
        <v>0</v>
      </c>
      <c r="CD782" s="61">
        <f t="shared" si="699"/>
        <v>0</v>
      </c>
      <c r="CE782" s="61">
        <f t="shared" si="699"/>
        <v>0</v>
      </c>
      <c r="CF782" s="61">
        <f t="shared" si="699"/>
        <v>0</v>
      </c>
      <c r="CG782" s="61">
        <f t="shared" si="699"/>
        <v>0</v>
      </c>
      <c r="CH782" s="61">
        <f t="shared" si="699"/>
        <v>0</v>
      </c>
      <c r="CI782" s="61">
        <f t="shared" si="655"/>
        <v>0</v>
      </c>
      <c r="CJ782" s="61"/>
      <c r="CK782" s="61">
        <f t="shared" si="702"/>
        <v>0</v>
      </c>
      <c r="CL782" s="61">
        <f t="shared" si="702"/>
        <v>0</v>
      </c>
      <c r="CM782" s="61">
        <f t="shared" si="702"/>
        <v>0</v>
      </c>
      <c r="CN782" s="61">
        <f t="shared" si="700"/>
        <v>0</v>
      </c>
      <c r="CO782" s="61">
        <f t="shared" si="700"/>
        <v>0</v>
      </c>
      <c r="CP782" s="61">
        <f t="shared" si="700"/>
        <v>0</v>
      </c>
      <c r="CQ782" s="61">
        <f t="shared" si="700"/>
        <v>0</v>
      </c>
      <c r="CR782" s="61">
        <f t="shared" si="700"/>
        <v>0</v>
      </c>
      <c r="CS782" s="61">
        <f t="shared" si="656"/>
        <v>0</v>
      </c>
      <c r="CT782" s="61">
        <f t="shared" si="657"/>
        <v>0</v>
      </c>
      <c r="CV782" s="61">
        <f t="shared" si="724"/>
        <v>0</v>
      </c>
      <c r="CW782" s="61">
        <f t="shared" si="659"/>
        <v>0</v>
      </c>
      <c r="CX782" s="61"/>
      <c r="CY782" s="61">
        <f t="shared" si="725"/>
        <v>0</v>
      </c>
      <c r="CZ782" s="61">
        <f t="shared" si="725"/>
        <v>0</v>
      </c>
      <c r="DA782" s="61">
        <f t="shared" si="725"/>
        <v>0</v>
      </c>
      <c r="DB782" s="2" t="s">
        <v>134</v>
      </c>
      <c r="DC782" s="2" t="s">
        <v>85</v>
      </c>
      <c r="DD782" s="2" t="s">
        <v>142</v>
      </c>
      <c r="DE782" s="2" t="s">
        <v>1146</v>
      </c>
      <c r="DG782" s="62">
        <v>43084</v>
      </c>
      <c r="DZ782" s="3" t="e">
        <v>#N/A</v>
      </c>
      <c r="EC782" s="60"/>
      <c r="ED782" s="60"/>
      <c r="EE782" s="60"/>
      <c r="EF782" s="60"/>
    </row>
    <row r="783" spans="2:140" ht="12.75" hidden="1" customHeight="1">
      <c r="B783" s="99" t="s">
        <v>1350</v>
      </c>
      <c r="C783" s="22" t="s">
        <v>975</v>
      </c>
      <c r="D783" s="22" t="s">
        <v>976</v>
      </c>
      <c r="E783" s="2" t="s">
        <v>968</v>
      </c>
      <c r="F783" s="2" t="s">
        <v>969</v>
      </c>
      <c r="G783" s="2" t="s">
        <v>331</v>
      </c>
      <c r="J783" s="149" t="s">
        <v>126</v>
      </c>
      <c r="K783" s="23">
        <v>17682</v>
      </c>
      <c r="L783" s="149" t="s">
        <v>211</v>
      </c>
      <c r="M783" s="51" t="str">
        <f t="shared" si="722"/>
        <v>JD8B-17682-CBW</v>
      </c>
      <c r="O783" s="94">
        <v>0</v>
      </c>
      <c r="P783" s="94">
        <v>0</v>
      </c>
      <c r="Q783" s="94">
        <v>0</v>
      </c>
      <c r="R783" s="94">
        <v>0</v>
      </c>
      <c r="S783" s="94">
        <v>0</v>
      </c>
      <c r="T783" s="94">
        <v>0</v>
      </c>
      <c r="U783" s="94">
        <v>1</v>
      </c>
      <c r="V783" s="94">
        <v>1</v>
      </c>
      <c r="W783" s="64">
        <f t="shared" si="723"/>
        <v>0.1</v>
      </c>
      <c r="Y783" s="60">
        <v>-203.2466</v>
      </c>
      <c r="Z783" s="60">
        <v>-1.3495999999999999</v>
      </c>
      <c r="AA783" s="60">
        <v>-4.3099999999999996</v>
      </c>
      <c r="AB783" s="60">
        <v>0</v>
      </c>
      <c r="AC783" s="60">
        <v>0</v>
      </c>
      <c r="AD783" s="8">
        <f t="shared" si="734"/>
        <v>-208.90620000000001</v>
      </c>
      <c r="AE783" s="2" t="s">
        <v>91</v>
      </c>
      <c r="AG783" s="70" t="s">
        <v>1039</v>
      </c>
      <c r="AH783" s="70" t="s">
        <v>1039</v>
      </c>
      <c r="AJ783" s="70"/>
      <c r="AK783" s="70"/>
      <c r="AL783" s="72"/>
      <c r="AM783" s="22"/>
      <c r="AO783" s="149" t="s">
        <v>126</v>
      </c>
      <c r="AP783" s="23">
        <v>17682</v>
      </c>
      <c r="AQ783" s="22" t="s">
        <v>269</v>
      </c>
      <c r="AR783" s="51" t="str">
        <f t="shared" si="698"/>
        <v>JD8B-17682-CAW</v>
      </c>
      <c r="AS783" s="3"/>
      <c r="AT783" s="94">
        <v>0</v>
      </c>
      <c r="AU783" s="94">
        <v>0</v>
      </c>
      <c r="AV783" s="94">
        <v>0</v>
      </c>
      <c r="AW783" s="94">
        <v>0</v>
      </c>
      <c r="AX783" s="94">
        <v>0</v>
      </c>
      <c r="AY783" s="94">
        <v>0</v>
      </c>
      <c r="AZ783" s="94">
        <v>1</v>
      </c>
      <c r="BA783" s="94">
        <v>1</v>
      </c>
      <c r="BB783" s="64">
        <f t="shared" si="733"/>
        <v>0.1</v>
      </c>
      <c r="BD783" s="60">
        <v>-203.2466</v>
      </c>
      <c r="BE783" s="60">
        <v>-1.3495999999999999</v>
      </c>
      <c r="BF783" s="60">
        <v>-4.3099999999999996</v>
      </c>
      <c r="BG783" s="60">
        <v>0</v>
      </c>
      <c r="BH783" s="60">
        <v>0</v>
      </c>
      <c r="BI783" s="8">
        <f t="shared" si="735"/>
        <v>-208.90620000000001</v>
      </c>
      <c r="BJ783" s="2" t="s">
        <v>84</v>
      </c>
      <c r="BL783" s="70" t="s">
        <v>1039</v>
      </c>
      <c r="BM783" s="70" t="s">
        <v>1039</v>
      </c>
      <c r="BO783" s="70"/>
      <c r="BP783" s="70"/>
      <c r="BQ783" s="72"/>
      <c r="BS783" s="61">
        <f t="shared" si="664"/>
        <v>0</v>
      </c>
      <c r="BT783" s="61">
        <f t="shared" si="665"/>
        <v>0</v>
      </c>
      <c r="BU783" s="61">
        <f t="shared" si="666"/>
        <v>0</v>
      </c>
      <c r="BV783" s="61">
        <f t="shared" si="666"/>
        <v>0</v>
      </c>
      <c r="BW783" s="61">
        <f t="shared" si="666"/>
        <v>0</v>
      </c>
      <c r="BX783" s="61">
        <f t="shared" si="666"/>
        <v>0</v>
      </c>
      <c r="BY783" s="61" t="s">
        <v>91</v>
      </c>
      <c r="CA783" s="61">
        <f t="shared" si="701"/>
        <v>0</v>
      </c>
      <c r="CB783" s="61">
        <f t="shared" si="701"/>
        <v>0</v>
      </c>
      <c r="CC783" s="61">
        <f t="shared" si="701"/>
        <v>0</v>
      </c>
      <c r="CD783" s="61">
        <f t="shared" si="699"/>
        <v>0</v>
      </c>
      <c r="CE783" s="61">
        <f t="shared" si="699"/>
        <v>0</v>
      </c>
      <c r="CF783" s="61">
        <f t="shared" si="699"/>
        <v>0</v>
      </c>
      <c r="CG783" s="61">
        <f t="shared" si="699"/>
        <v>0</v>
      </c>
      <c r="CH783" s="61">
        <f t="shared" si="699"/>
        <v>0</v>
      </c>
      <c r="CI783" s="61">
        <f t="shared" si="655"/>
        <v>0</v>
      </c>
      <c r="CJ783" s="61"/>
      <c r="CK783" s="61">
        <f t="shared" si="702"/>
        <v>0</v>
      </c>
      <c r="CL783" s="61">
        <f t="shared" si="702"/>
        <v>0</v>
      </c>
      <c r="CM783" s="61">
        <f t="shared" si="702"/>
        <v>0</v>
      </c>
      <c r="CN783" s="61">
        <f t="shared" si="700"/>
        <v>0</v>
      </c>
      <c r="CO783" s="61">
        <f t="shared" si="700"/>
        <v>0</v>
      </c>
      <c r="CP783" s="61">
        <f t="shared" si="700"/>
        <v>0</v>
      </c>
      <c r="CQ783" s="61">
        <f t="shared" si="700"/>
        <v>0</v>
      </c>
      <c r="CR783" s="61">
        <f t="shared" si="700"/>
        <v>0</v>
      </c>
      <c r="CS783" s="61">
        <f t="shared" si="656"/>
        <v>0</v>
      </c>
      <c r="CT783" s="61">
        <f t="shared" si="657"/>
        <v>0</v>
      </c>
      <c r="CV783" s="61">
        <f t="shared" si="724"/>
        <v>0</v>
      </c>
      <c r="CW783" s="61">
        <f t="shared" si="659"/>
        <v>0</v>
      </c>
      <c r="CX783" s="61"/>
      <c r="CY783" s="61">
        <f t="shared" si="725"/>
        <v>0</v>
      </c>
      <c r="CZ783" s="61">
        <f t="shared" si="725"/>
        <v>0</v>
      </c>
      <c r="DA783" s="61">
        <f t="shared" si="725"/>
        <v>0</v>
      </c>
      <c r="DB783" s="2" t="s">
        <v>134</v>
      </c>
      <c r="DC783" s="2" t="s">
        <v>85</v>
      </c>
      <c r="DD783" s="2" t="s">
        <v>142</v>
      </c>
      <c r="DE783" s="2" t="s">
        <v>1146</v>
      </c>
      <c r="DG783" s="62">
        <v>43084</v>
      </c>
      <c r="DZ783" s="3" t="e">
        <v>#N/A</v>
      </c>
      <c r="EC783" s="60"/>
      <c r="ED783" s="60"/>
      <c r="EE783" s="60"/>
      <c r="EF783" s="60"/>
    </row>
    <row r="784" spans="2:140" ht="12.75" hidden="1" customHeight="1">
      <c r="B784" s="99" t="s">
        <v>1350</v>
      </c>
      <c r="C784" s="22" t="s">
        <v>975</v>
      </c>
      <c r="D784" s="22" t="s">
        <v>976</v>
      </c>
      <c r="E784" s="2" t="s">
        <v>968</v>
      </c>
      <c r="F784" s="2" t="s">
        <v>969</v>
      </c>
      <c r="G784" s="2" t="s">
        <v>331</v>
      </c>
      <c r="J784" s="149" t="s">
        <v>126</v>
      </c>
      <c r="K784" s="23">
        <v>17683</v>
      </c>
      <c r="L784" s="149" t="s">
        <v>93</v>
      </c>
      <c r="M784" s="51" t="str">
        <f t="shared" si="722"/>
        <v>JD8B-17683-ABW</v>
      </c>
      <c r="O784" s="94">
        <v>1</v>
      </c>
      <c r="P784" s="94">
        <v>1</v>
      </c>
      <c r="Q784" s="94">
        <v>0</v>
      </c>
      <c r="R784" s="94">
        <v>0</v>
      </c>
      <c r="S784" s="94">
        <v>0</v>
      </c>
      <c r="T784" s="94">
        <v>0</v>
      </c>
      <c r="U784" s="94">
        <v>0</v>
      </c>
      <c r="V784" s="94">
        <v>0</v>
      </c>
      <c r="W784" s="64">
        <f t="shared" si="723"/>
        <v>0.30000000000000004</v>
      </c>
      <c r="Y784" s="60">
        <v>-114.49979999999999</v>
      </c>
      <c r="Z784" s="60">
        <v>-1.3495999999999999</v>
      </c>
      <c r="AA784" s="60">
        <v>-4.3099999999999996</v>
      </c>
      <c r="AB784" s="60">
        <v>0</v>
      </c>
      <c r="AC784" s="60">
        <v>0</v>
      </c>
      <c r="AD784" s="8">
        <f t="shared" si="734"/>
        <v>-120.15939999999999</v>
      </c>
      <c r="AE784" s="2" t="s">
        <v>91</v>
      </c>
      <c r="AG784" s="70" t="s">
        <v>1039</v>
      </c>
      <c r="AH784" s="70" t="s">
        <v>1039</v>
      </c>
      <c r="AJ784" s="70"/>
      <c r="AK784" s="70"/>
      <c r="AL784" s="72"/>
      <c r="AM784" s="22"/>
      <c r="AO784" s="149" t="s">
        <v>126</v>
      </c>
      <c r="AP784" s="23">
        <v>17683</v>
      </c>
      <c r="AQ784" s="22" t="s">
        <v>196</v>
      </c>
      <c r="AR784" s="51" t="str">
        <f t="shared" si="698"/>
        <v>JD8B-17683-AAW</v>
      </c>
      <c r="AS784" s="3"/>
      <c r="AT784" s="94">
        <v>1</v>
      </c>
      <c r="AU784" s="94">
        <v>1</v>
      </c>
      <c r="AV784" s="94">
        <v>0</v>
      </c>
      <c r="AW784" s="94">
        <v>0</v>
      </c>
      <c r="AX784" s="94">
        <v>0</v>
      </c>
      <c r="AY784" s="94">
        <v>0</v>
      </c>
      <c r="AZ784" s="94">
        <v>0</v>
      </c>
      <c r="BA784" s="94">
        <v>0</v>
      </c>
      <c r="BB784" s="64">
        <f t="shared" si="733"/>
        <v>0.30000000000000004</v>
      </c>
      <c r="BD784" s="60">
        <v>-114.49979999999999</v>
      </c>
      <c r="BE784" s="60">
        <v>-1.3495999999999999</v>
      </c>
      <c r="BF784" s="60">
        <v>-4.3099999999999996</v>
      </c>
      <c r="BG784" s="60">
        <v>0</v>
      </c>
      <c r="BH784" s="60">
        <v>0</v>
      </c>
      <c r="BI784" s="8">
        <f t="shared" si="735"/>
        <v>-120.15939999999999</v>
      </c>
      <c r="BJ784" s="2" t="s">
        <v>84</v>
      </c>
      <c r="BL784" s="70" t="s">
        <v>1039</v>
      </c>
      <c r="BM784" s="70" t="s">
        <v>1039</v>
      </c>
      <c r="BO784" s="70"/>
      <c r="BP784" s="70"/>
      <c r="BQ784" s="72"/>
      <c r="BS784" s="61">
        <f t="shared" si="664"/>
        <v>0</v>
      </c>
      <c r="BT784" s="61">
        <f t="shared" si="665"/>
        <v>0</v>
      </c>
      <c r="BU784" s="61">
        <f t="shared" si="666"/>
        <v>0</v>
      </c>
      <c r="BV784" s="61">
        <f t="shared" si="666"/>
        <v>0</v>
      </c>
      <c r="BW784" s="61">
        <f t="shared" si="666"/>
        <v>0</v>
      </c>
      <c r="BX784" s="61">
        <f t="shared" si="666"/>
        <v>0</v>
      </c>
      <c r="BY784" s="61" t="s">
        <v>91</v>
      </c>
      <c r="CA784" s="61">
        <f t="shared" si="701"/>
        <v>0</v>
      </c>
      <c r="CB784" s="61">
        <f t="shared" si="701"/>
        <v>0</v>
      </c>
      <c r="CC784" s="61">
        <f t="shared" si="701"/>
        <v>0</v>
      </c>
      <c r="CD784" s="61">
        <f t="shared" si="699"/>
        <v>0</v>
      </c>
      <c r="CE784" s="61">
        <f t="shared" si="699"/>
        <v>0</v>
      </c>
      <c r="CF784" s="61">
        <f t="shared" si="699"/>
        <v>0</v>
      </c>
      <c r="CG784" s="61">
        <f t="shared" si="699"/>
        <v>0</v>
      </c>
      <c r="CH784" s="61">
        <f t="shared" si="699"/>
        <v>0</v>
      </c>
      <c r="CI784" s="61">
        <f t="shared" si="655"/>
        <v>0</v>
      </c>
      <c r="CJ784" s="61"/>
      <c r="CK784" s="61">
        <f t="shared" si="702"/>
        <v>0</v>
      </c>
      <c r="CL784" s="61">
        <f t="shared" si="702"/>
        <v>0</v>
      </c>
      <c r="CM784" s="61">
        <f t="shared" si="702"/>
        <v>0</v>
      </c>
      <c r="CN784" s="61">
        <f t="shared" si="700"/>
        <v>0</v>
      </c>
      <c r="CO784" s="61">
        <f t="shared" si="700"/>
        <v>0</v>
      </c>
      <c r="CP784" s="61">
        <f t="shared" si="700"/>
        <v>0</v>
      </c>
      <c r="CQ784" s="61">
        <f t="shared" si="700"/>
        <v>0</v>
      </c>
      <c r="CR784" s="61">
        <f t="shared" si="700"/>
        <v>0</v>
      </c>
      <c r="CS784" s="61">
        <f t="shared" si="656"/>
        <v>0</v>
      </c>
      <c r="CT784" s="61">
        <f t="shared" si="657"/>
        <v>0</v>
      </c>
      <c r="CV784" s="61">
        <f t="shared" si="724"/>
        <v>0</v>
      </c>
      <c r="CW784" s="61">
        <f t="shared" si="659"/>
        <v>0</v>
      </c>
      <c r="CX784" s="61"/>
      <c r="CY784" s="61">
        <f t="shared" si="725"/>
        <v>0</v>
      </c>
      <c r="CZ784" s="61">
        <f t="shared" si="725"/>
        <v>0</v>
      </c>
      <c r="DA784" s="61">
        <f t="shared" si="725"/>
        <v>0</v>
      </c>
      <c r="DB784" s="2" t="s">
        <v>134</v>
      </c>
      <c r="DC784" s="2" t="s">
        <v>85</v>
      </c>
      <c r="DD784" s="2" t="s">
        <v>142</v>
      </c>
      <c r="DE784" s="2" t="s">
        <v>1146</v>
      </c>
      <c r="DG784" s="62">
        <v>43084</v>
      </c>
      <c r="DZ784" s="3" t="e">
        <v>#N/A</v>
      </c>
      <c r="EC784" s="60"/>
      <c r="ED784" s="60"/>
      <c r="EE784" s="60"/>
      <c r="EF784" s="60"/>
    </row>
    <row r="785" spans="2:140" ht="12.75" hidden="1" customHeight="1">
      <c r="B785" s="99" t="s">
        <v>1350</v>
      </c>
      <c r="C785" s="22" t="s">
        <v>975</v>
      </c>
      <c r="D785" s="22" t="s">
        <v>976</v>
      </c>
      <c r="E785" s="2" t="s">
        <v>968</v>
      </c>
      <c r="F785" s="2" t="s">
        <v>969</v>
      </c>
      <c r="G785" s="2" t="s">
        <v>331</v>
      </c>
      <c r="J785" s="149" t="s">
        <v>126</v>
      </c>
      <c r="K785" s="23">
        <v>17683</v>
      </c>
      <c r="L785" s="149" t="s">
        <v>210</v>
      </c>
      <c r="M785" s="51" t="str">
        <f t="shared" si="722"/>
        <v>JD8B-17683-BBW</v>
      </c>
      <c r="O785" s="94">
        <v>0</v>
      </c>
      <c r="P785" s="94">
        <v>0</v>
      </c>
      <c r="Q785" s="94">
        <v>1</v>
      </c>
      <c r="R785" s="94">
        <v>1</v>
      </c>
      <c r="S785" s="94">
        <v>1</v>
      </c>
      <c r="T785" s="94">
        <v>1</v>
      </c>
      <c r="U785" s="94">
        <v>0</v>
      </c>
      <c r="V785" s="94">
        <v>0</v>
      </c>
      <c r="W785" s="64">
        <f t="shared" si="723"/>
        <v>0.6</v>
      </c>
      <c r="Y785" s="60">
        <v>-121.9957</v>
      </c>
      <c r="Z785" s="60">
        <v>-1.3495999999999999</v>
      </c>
      <c r="AA785" s="60">
        <v>-4.3099999999999996</v>
      </c>
      <c r="AB785" s="60">
        <v>0</v>
      </c>
      <c r="AC785" s="60">
        <v>0</v>
      </c>
      <c r="AD785" s="8">
        <f t="shared" si="734"/>
        <v>-127.6553</v>
      </c>
      <c r="AE785" s="2" t="s">
        <v>91</v>
      </c>
      <c r="AG785" s="70" t="s">
        <v>1039</v>
      </c>
      <c r="AH785" s="70" t="s">
        <v>1039</v>
      </c>
      <c r="AJ785" s="70"/>
      <c r="AK785" s="70"/>
      <c r="AL785" s="72"/>
      <c r="AM785" s="22"/>
      <c r="AO785" s="149" t="s">
        <v>126</v>
      </c>
      <c r="AP785" s="23">
        <v>17683</v>
      </c>
      <c r="AQ785" s="22" t="s">
        <v>198</v>
      </c>
      <c r="AR785" s="51" t="str">
        <f t="shared" si="698"/>
        <v>JD8B-17683-BAW</v>
      </c>
      <c r="AS785" s="3"/>
      <c r="AT785" s="94">
        <v>0</v>
      </c>
      <c r="AU785" s="94">
        <v>0</v>
      </c>
      <c r="AV785" s="94">
        <v>1</v>
      </c>
      <c r="AW785" s="94">
        <v>1</v>
      </c>
      <c r="AX785" s="94">
        <v>1</v>
      </c>
      <c r="AY785" s="94">
        <v>1</v>
      </c>
      <c r="AZ785" s="94">
        <v>0</v>
      </c>
      <c r="BA785" s="94">
        <v>0</v>
      </c>
      <c r="BB785" s="64">
        <f t="shared" si="733"/>
        <v>0.6</v>
      </c>
      <c r="BD785" s="60">
        <v>-121.9957</v>
      </c>
      <c r="BE785" s="60">
        <v>-1.3495999999999999</v>
      </c>
      <c r="BF785" s="60">
        <v>-4.3099999999999996</v>
      </c>
      <c r="BG785" s="60">
        <v>0</v>
      </c>
      <c r="BH785" s="60">
        <v>0</v>
      </c>
      <c r="BI785" s="8">
        <f t="shared" si="735"/>
        <v>-127.6553</v>
      </c>
      <c r="BJ785" s="2" t="s">
        <v>84</v>
      </c>
      <c r="BL785" s="70" t="s">
        <v>1039</v>
      </c>
      <c r="BM785" s="70" t="s">
        <v>1039</v>
      </c>
      <c r="BO785" s="70"/>
      <c r="BP785" s="70"/>
      <c r="BQ785" s="72"/>
      <c r="BS785" s="61">
        <f t="shared" si="664"/>
        <v>0</v>
      </c>
      <c r="BT785" s="61">
        <f t="shared" si="665"/>
        <v>0</v>
      </c>
      <c r="BU785" s="61">
        <f t="shared" si="666"/>
        <v>0</v>
      </c>
      <c r="BV785" s="61">
        <f t="shared" si="666"/>
        <v>0</v>
      </c>
      <c r="BW785" s="61">
        <f t="shared" si="666"/>
        <v>0</v>
      </c>
      <c r="BX785" s="61">
        <f t="shared" si="666"/>
        <v>0</v>
      </c>
      <c r="BY785" s="61" t="s">
        <v>91</v>
      </c>
      <c r="CA785" s="61">
        <f t="shared" si="701"/>
        <v>0</v>
      </c>
      <c r="CB785" s="61">
        <f t="shared" si="701"/>
        <v>0</v>
      </c>
      <c r="CC785" s="61">
        <f t="shared" si="701"/>
        <v>0</v>
      </c>
      <c r="CD785" s="61">
        <f t="shared" si="699"/>
        <v>0</v>
      </c>
      <c r="CE785" s="61">
        <f t="shared" si="699"/>
        <v>0</v>
      </c>
      <c r="CF785" s="61">
        <f t="shared" si="699"/>
        <v>0</v>
      </c>
      <c r="CG785" s="61">
        <f t="shared" si="699"/>
        <v>0</v>
      </c>
      <c r="CH785" s="61">
        <f t="shared" si="699"/>
        <v>0</v>
      </c>
      <c r="CI785" s="61">
        <f t="shared" si="655"/>
        <v>0</v>
      </c>
      <c r="CJ785" s="61"/>
      <c r="CK785" s="61">
        <f t="shared" si="702"/>
        <v>0</v>
      </c>
      <c r="CL785" s="61">
        <f t="shared" si="702"/>
        <v>0</v>
      </c>
      <c r="CM785" s="61">
        <f t="shared" si="702"/>
        <v>0</v>
      </c>
      <c r="CN785" s="61">
        <f t="shared" si="700"/>
        <v>0</v>
      </c>
      <c r="CO785" s="61">
        <f t="shared" si="700"/>
        <v>0</v>
      </c>
      <c r="CP785" s="61">
        <f t="shared" si="700"/>
        <v>0</v>
      </c>
      <c r="CQ785" s="61">
        <f t="shared" si="700"/>
        <v>0</v>
      </c>
      <c r="CR785" s="61">
        <f t="shared" si="700"/>
        <v>0</v>
      </c>
      <c r="CS785" s="61">
        <f t="shared" si="656"/>
        <v>0</v>
      </c>
      <c r="CT785" s="61">
        <f t="shared" si="657"/>
        <v>0</v>
      </c>
      <c r="CV785" s="61">
        <f t="shared" si="724"/>
        <v>0</v>
      </c>
      <c r="CW785" s="61">
        <f t="shared" si="659"/>
        <v>0</v>
      </c>
      <c r="CX785" s="61"/>
      <c r="CY785" s="61">
        <f t="shared" si="725"/>
        <v>0</v>
      </c>
      <c r="CZ785" s="61">
        <f t="shared" si="725"/>
        <v>0</v>
      </c>
      <c r="DA785" s="61">
        <f t="shared" si="725"/>
        <v>0</v>
      </c>
      <c r="DB785" s="2" t="s">
        <v>134</v>
      </c>
      <c r="DC785" s="2" t="s">
        <v>85</v>
      </c>
      <c r="DD785" s="2" t="s">
        <v>142</v>
      </c>
      <c r="DE785" s="2" t="s">
        <v>1146</v>
      </c>
      <c r="DG785" s="62">
        <v>43084</v>
      </c>
      <c r="DZ785" s="3" t="e">
        <v>#N/A</v>
      </c>
      <c r="EC785" s="60"/>
      <c r="ED785" s="60"/>
      <c r="EE785" s="60"/>
      <c r="EF785" s="60"/>
    </row>
    <row r="786" spans="2:140" ht="12.75" hidden="1" customHeight="1">
      <c r="B786" s="99" t="s">
        <v>1350</v>
      </c>
      <c r="C786" s="22" t="s">
        <v>975</v>
      </c>
      <c r="D786" s="22" t="s">
        <v>976</v>
      </c>
      <c r="E786" s="2" t="s">
        <v>968</v>
      </c>
      <c r="F786" s="2" t="s">
        <v>969</v>
      </c>
      <c r="G786" s="2" t="s">
        <v>331</v>
      </c>
      <c r="J786" s="149" t="s">
        <v>126</v>
      </c>
      <c r="K786" s="23">
        <v>17683</v>
      </c>
      <c r="L786" s="149" t="s">
        <v>211</v>
      </c>
      <c r="M786" s="51" t="str">
        <f t="shared" si="722"/>
        <v>JD8B-17683-CBW</v>
      </c>
      <c r="O786" s="94">
        <v>0</v>
      </c>
      <c r="P786" s="94">
        <v>0</v>
      </c>
      <c r="Q786" s="94">
        <v>0</v>
      </c>
      <c r="R786" s="94">
        <v>0</v>
      </c>
      <c r="S786" s="94">
        <v>0</v>
      </c>
      <c r="T786" s="94">
        <v>0</v>
      </c>
      <c r="U786" s="94">
        <v>1</v>
      </c>
      <c r="V786" s="94">
        <v>1</v>
      </c>
      <c r="W786" s="64">
        <f t="shared" si="723"/>
        <v>0.1</v>
      </c>
      <c r="Y786" s="60">
        <v>-203.2466</v>
      </c>
      <c r="Z786" s="60">
        <v>-1.3495999999999999</v>
      </c>
      <c r="AA786" s="60">
        <v>-4.3099999999999996</v>
      </c>
      <c r="AB786" s="60">
        <v>0</v>
      </c>
      <c r="AC786" s="60">
        <v>0</v>
      </c>
      <c r="AD786" s="8">
        <f t="shared" si="734"/>
        <v>-208.90620000000001</v>
      </c>
      <c r="AE786" s="2" t="s">
        <v>91</v>
      </c>
      <c r="AG786" s="70" t="s">
        <v>1039</v>
      </c>
      <c r="AH786" s="70" t="s">
        <v>1039</v>
      </c>
      <c r="AJ786" s="70"/>
      <c r="AK786" s="70"/>
      <c r="AL786" s="72"/>
      <c r="AM786" s="22"/>
      <c r="AO786" s="149" t="s">
        <v>126</v>
      </c>
      <c r="AP786" s="23">
        <v>17683</v>
      </c>
      <c r="AQ786" s="22" t="s">
        <v>269</v>
      </c>
      <c r="AR786" s="51" t="str">
        <f t="shared" si="698"/>
        <v>JD8B-17683-CAW</v>
      </c>
      <c r="AS786" s="3"/>
      <c r="AT786" s="94">
        <v>0</v>
      </c>
      <c r="AU786" s="94">
        <v>0</v>
      </c>
      <c r="AV786" s="94">
        <v>0</v>
      </c>
      <c r="AW786" s="94">
        <v>0</v>
      </c>
      <c r="AX786" s="94">
        <v>0</v>
      </c>
      <c r="AY786" s="94">
        <v>0</v>
      </c>
      <c r="AZ786" s="94">
        <v>1</v>
      </c>
      <c r="BA786" s="94">
        <v>1</v>
      </c>
      <c r="BB786" s="64">
        <f t="shared" si="733"/>
        <v>0.1</v>
      </c>
      <c r="BD786" s="60">
        <v>-203.2466</v>
      </c>
      <c r="BE786" s="60">
        <v>-1.3495999999999999</v>
      </c>
      <c r="BF786" s="60">
        <v>-4.3099999999999996</v>
      </c>
      <c r="BG786" s="60">
        <v>0</v>
      </c>
      <c r="BH786" s="60">
        <v>0</v>
      </c>
      <c r="BI786" s="8">
        <f t="shared" si="735"/>
        <v>-208.90620000000001</v>
      </c>
      <c r="BJ786" s="2" t="s">
        <v>84</v>
      </c>
      <c r="BL786" s="70" t="s">
        <v>1039</v>
      </c>
      <c r="BM786" s="70" t="s">
        <v>1039</v>
      </c>
      <c r="BO786" s="70"/>
      <c r="BP786" s="70"/>
      <c r="BQ786" s="72"/>
      <c r="BS786" s="61">
        <f t="shared" si="664"/>
        <v>0</v>
      </c>
      <c r="BT786" s="61">
        <f t="shared" si="665"/>
        <v>0</v>
      </c>
      <c r="BU786" s="61">
        <f t="shared" si="666"/>
        <v>0</v>
      </c>
      <c r="BV786" s="61">
        <f t="shared" si="666"/>
        <v>0</v>
      </c>
      <c r="BW786" s="61">
        <f t="shared" si="666"/>
        <v>0</v>
      </c>
      <c r="BX786" s="61">
        <f t="shared" si="666"/>
        <v>0</v>
      </c>
      <c r="BY786" s="61" t="s">
        <v>91</v>
      </c>
      <c r="CA786" s="61">
        <f t="shared" si="701"/>
        <v>0</v>
      </c>
      <c r="CB786" s="61">
        <f t="shared" si="701"/>
        <v>0</v>
      </c>
      <c r="CC786" s="61">
        <f t="shared" si="701"/>
        <v>0</v>
      </c>
      <c r="CD786" s="61">
        <f t="shared" si="699"/>
        <v>0</v>
      </c>
      <c r="CE786" s="61">
        <f t="shared" si="699"/>
        <v>0</v>
      </c>
      <c r="CF786" s="61">
        <f t="shared" si="699"/>
        <v>0</v>
      </c>
      <c r="CG786" s="61">
        <f t="shared" si="699"/>
        <v>0</v>
      </c>
      <c r="CH786" s="61">
        <f t="shared" si="699"/>
        <v>0</v>
      </c>
      <c r="CI786" s="61">
        <f t="shared" si="655"/>
        <v>0</v>
      </c>
      <c r="CJ786" s="61"/>
      <c r="CK786" s="61">
        <f t="shared" si="702"/>
        <v>0</v>
      </c>
      <c r="CL786" s="61">
        <f t="shared" si="702"/>
        <v>0</v>
      </c>
      <c r="CM786" s="61">
        <f t="shared" si="702"/>
        <v>0</v>
      </c>
      <c r="CN786" s="61">
        <f t="shared" si="700"/>
        <v>0</v>
      </c>
      <c r="CO786" s="61">
        <f t="shared" si="700"/>
        <v>0</v>
      </c>
      <c r="CP786" s="61">
        <f t="shared" si="700"/>
        <v>0</v>
      </c>
      <c r="CQ786" s="61">
        <f t="shared" si="700"/>
        <v>0</v>
      </c>
      <c r="CR786" s="61">
        <f t="shared" si="700"/>
        <v>0</v>
      </c>
      <c r="CS786" s="61">
        <f t="shared" si="656"/>
        <v>0</v>
      </c>
      <c r="CT786" s="61">
        <f t="shared" si="657"/>
        <v>0</v>
      </c>
      <c r="CV786" s="61">
        <f t="shared" si="724"/>
        <v>0</v>
      </c>
      <c r="CW786" s="61">
        <f t="shared" si="659"/>
        <v>0</v>
      </c>
      <c r="CX786" s="61"/>
      <c r="CY786" s="61">
        <f t="shared" si="725"/>
        <v>0</v>
      </c>
      <c r="CZ786" s="61">
        <f t="shared" si="725"/>
        <v>0</v>
      </c>
      <c r="DA786" s="61">
        <f t="shared" si="725"/>
        <v>0</v>
      </c>
      <c r="DB786" s="2" t="s">
        <v>134</v>
      </c>
      <c r="DC786" s="2" t="s">
        <v>85</v>
      </c>
      <c r="DD786" s="2" t="s">
        <v>142</v>
      </c>
      <c r="DE786" s="2" t="s">
        <v>1146</v>
      </c>
      <c r="DG786" s="62"/>
      <c r="DZ786" s="3" t="e">
        <v>#N/A</v>
      </c>
      <c r="EC786" s="60"/>
      <c r="ED786" s="60"/>
      <c r="EE786" s="60"/>
      <c r="EF786" s="60"/>
    </row>
    <row r="787" spans="2:140" ht="12.75" hidden="1" customHeight="1">
      <c r="B787" s="99" t="s">
        <v>1351</v>
      </c>
      <c r="C787" s="22" t="s">
        <v>975</v>
      </c>
      <c r="D787" s="22" t="s">
        <v>976</v>
      </c>
      <c r="E787" s="2" t="s">
        <v>968</v>
      </c>
      <c r="F787" s="2" t="s">
        <v>969</v>
      </c>
      <c r="G787" s="2" t="s">
        <v>331</v>
      </c>
      <c r="J787" s="149" t="s">
        <v>126</v>
      </c>
      <c r="K787" s="23">
        <v>17682</v>
      </c>
      <c r="L787" s="22" t="s">
        <v>565</v>
      </c>
      <c r="M787" s="51" t="str">
        <f t="shared" si="722"/>
        <v>JD8B-17682-ACW</v>
      </c>
      <c r="O787" s="94">
        <v>1</v>
      </c>
      <c r="P787" s="94">
        <v>1</v>
      </c>
      <c r="Q787" s="94">
        <v>0</v>
      </c>
      <c r="R787" s="94">
        <v>0</v>
      </c>
      <c r="S787" s="94">
        <v>0</v>
      </c>
      <c r="T787" s="94">
        <v>0</v>
      </c>
      <c r="U787" s="94">
        <v>0</v>
      </c>
      <c r="V787" s="94">
        <v>0</v>
      </c>
      <c r="W787" s="64">
        <v>0.30000000000000004</v>
      </c>
      <c r="Y787" s="60">
        <v>-114.49979999999999</v>
      </c>
      <c r="Z787" s="60">
        <v>-1.3495999999999999</v>
      </c>
      <c r="AA787" s="95">
        <v>-4.3099999999999996</v>
      </c>
      <c r="AB787" s="95">
        <v>0</v>
      </c>
      <c r="AC787" s="95">
        <v>0</v>
      </c>
      <c r="AD787" s="8">
        <f>SUM(Y787:AC787)</f>
        <v>-120.15939999999999</v>
      </c>
      <c r="AE787" s="2" t="s">
        <v>91</v>
      </c>
      <c r="AG787" s="70">
        <v>-3536850</v>
      </c>
      <c r="AH787" s="70">
        <v>-3536850</v>
      </c>
      <c r="AJ787" s="70"/>
      <c r="AK787" s="70"/>
      <c r="AL787" s="72"/>
      <c r="AM787" s="22"/>
      <c r="AO787" s="149" t="s">
        <v>126</v>
      </c>
      <c r="AP787" s="23">
        <v>17682</v>
      </c>
      <c r="AQ787" s="149" t="s">
        <v>93</v>
      </c>
      <c r="AR787" s="51" t="str">
        <f t="shared" si="698"/>
        <v>JD8B-17682-ABW</v>
      </c>
      <c r="AS787" s="3"/>
      <c r="AT787" s="94">
        <v>1</v>
      </c>
      <c r="AU787" s="94">
        <v>1</v>
      </c>
      <c r="AV787" s="94">
        <v>0</v>
      </c>
      <c r="AW787" s="94">
        <v>0</v>
      </c>
      <c r="AX787" s="94">
        <v>0</v>
      </c>
      <c r="AY787" s="94">
        <v>0</v>
      </c>
      <c r="AZ787" s="94">
        <v>0</v>
      </c>
      <c r="BA787" s="94">
        <v>0</v>
      </c>
      <c r="BB787" s="64">
        <v>0.30000000000000004</v>
      </c>
      <c r="BD787" s="60">
        <v>-114.49979999999999</v>
      </c>
      <c r="BE787" s="60">
        <v>-1.3495999999999999</v>
      </c>
      <c r="BF787" s="95">
        <v>-4.3099999999999996</v>
      </c>
      <c r="BG787" s="95">
        <v>0</v>
      </c>
      <c r="BH787" s="95">
        <v>0</v>
      </c>
      <c r="BI787" s="8">
        <f>SUM(BD787:BH787)</f>
        <v>-120.15939999999999</v>
      </c>
      <c r="BJ787" s="2" t="s">
        <v>91</v>
      </c>
      <c r="BL787" s="70">
        <v>-3536850</v>
      </c>
      <c r="BM787" s="70">
        <v>-3536850</v>
      </c>
      <c r="BO787" s="70"/>
      <c r="BP787" s="70"/>
      <c r="BQ787" s="72"/>
      <c r="BS787" s="61">
        <f t="shared" si="664"/>
        <v>0</v>
      </c>
      <c r="BT787" s="61">
        <f t="shared" si="665"/>
        <v>0</v>
      </c>
      <c r="BU787" s="61">
        <f t="shared" si="666"/>
        <v>0</v>
      </c>
      <c r="BV787" s="61">
        <f t="shared" si="666"/>
        <v>0</v>
      </c>
      <c r="BW787" s="61">
        <f t="shared" si="666"/>
        <v>0</v>
      </c>
      <c r="BX787" s="61">
        <f t="shared" si="666"/>
        <v>0</v>
      </c>
      <c r="BY787" s="61" t="s">
        <v>91</v>
      </c>
      <c r="CA787" s="61">
        <f t="shared" si="701"/>
        <v>0</v>
      </c>
      <c r="CB787" s="61">
        <f t="shared" si="701"/>
        <v>0</v>
      </c>
      <c r="CC787" s="61">
        <f t="shared" si="701"/>
        <v>0</v>
      </c>
      <c r="CD787" s="61">
        <f t="shared" si="699"/>
        <v>0</v>
      </c>
      <c r="CE787" s="61">
        <f t="shared" si="699"/>
        <v>0</v>
      </c>
      <c r="CF787" s="61">
        <f t="shared" si="699"/>
        <v>0</v>
      </c>
      <c r="CG787" s="61">
        <f t="shared" si="699"/>
        <v>0</v>
      </c>
      <c r="CH787" s="61">
        <f t="shared" si="699"/>
        <v>0</v>
      </c>
      <c r="CI787" s="61">
        <f t="shared" si="655"/>
        <v>0</v>
      </c>
      <c r="CJ787" s="61"/>
      <c r="CK787" s="61">
        <f t="shared" si="702"/>
        <v>0</v>
      </c>
      <c r="CL787" s="61">
        <f t="shared" si="702"/>
        <v>0</v>
      </c>
      <c r="CM787" s="61">
        <f t="shared" si="702"/>
        <v>0</v>
      </c>
      <c r="CN787" s="61">
        <f t="shared" si="700"/>
        <v>0</v>
      </c>
      <c r="CO787" s="61">
        <f t="shared" si="700"/>
        <v>0</v>
      </c>
      <c r="CP787" s="61">
        <f t="shared" si="700"/>
        <v>0</v>
      </c>
      <c r="CQ787" s="61">
        <f t="shared" si="700"/>
        <v>0</v>
      </c>
      <c r="CR787" s="61">
        <f t="shared" si="700"/>
        <v>0</v>
      </c>
      <c r="CS787" s="61">
        <f t="shared" si="656"/>
        <v>0</v>
      </c>
      <c r="CT787" s="61">
        <f t="shared" si="657"/>
        <v>0</v>
      </c>
      <c r="CV787" s="61">
        <f t="shared" si="724"/>
        <v>0</v>
      </c>
      <c r="CW787" s="61">
        <f t="shared" si="659"/>
        <v>0</v>
      </c>
      <c r="CX787" s="61"/>
      <c r="CY787" s="61">
        <f t="shared" si="725"/>
        <v>0</v>
      </c>
      <c r="CZ787" s="61">
        <f t="shared" si="725"/>
        <v>0</v>
      </c>
      <c r="DA787" s="61">
        <f t="shared" si="725"/>
        <v>0</v>
      </c>
      <c r="DB787" s="2" t="s">
        <v>134</v>
      </c>
      <c r="DC787" s="2" t="s">
        <v>85</v>
      </c>
      <c r="DD787" s="2" t="s">
        <v>142</v>
      </c>
      <c r="DE787" s="2" t="s">
        <v>1146</v>
      </c>
      <c r="DF787" s="3" t="s">
        <v>86</v>
      </c>
      <c r="DG787" s="62">
        <v>43008</v>
      </c>
      <c r="EC787" s="60"/>
      <c r="ED787" s="60"/>
      <c r="EE787" s="60"/>
      <c r="EF787" s="60"/>
    </row>
    <row r="788" spans="2:140" ht="12.75" hidden="1" customHeight="1">
      <c r="B788" s="99" t="s">
        <v>1351</v>
      </c>
      <c r="C788" s="22" t="s">
        <v>975</v>
      </c>
      <c r="D788" s="22" t="s">
        <v>976</v>
      </c>
      <c r="E788" s="2" t="s">
        <v>968</v>
      </c>
      <c r="F788" s="2" t="s">
        <v>969</v>
      </c>
      <c r="G788" s="2" t="s">
        <v>331</v>
      </c>
      <c r="J788" s="149" t="s">
        <v>126</v>
      </c>
      <c r="K788" s="23">
        <v>17682</v>
      </c>
      <c r="L788" s="22" t="s">
        <v>215</v>
      </c>
      <c r="M788" s="51" t="str">
        <f t="shared" si="722"/>
        <v>JD8B-17682-BCW</v>
      </c>
      <c r="O788" s="94">
        <v>0</v>
      </c>
      <c r="P788" s="94">
        <v>0</v>
      </c>
      <c r="Q788" s="94">
        <v>1</v>
      </c>
      <c r="R788" s="94">
        <v>1</v>
      </c>
      <c r="S788" s="94">
        <v>1</v>
      </c>
      <c r="T788" s="94">
        <v>1</v>
      </c>
      <c r="U788" s="94">
        <v>0</v>
      </c>
      <c r="V788" s="94">
        <v>0</v>
      </c>
      <c r="W788" s="64">
        <v>0.6</v>
      </c>
      <c r="Y788" s="60">
        <v>-121.9957</v>
      </c>
      <c r="Z788" s="60">
        <v>-1.3495999999999999</v>
      </c>
      <c r="AA788" s="95">
        <v>-4.3099999999999996</v>
      </c>
      <c r="AB788" s="95">
        <v>0</v>
      </c>
      <c r="AC788" s="95">
        <v>0</v>
      </c>
      <c r="AD788" s="8">
        <f t="shared" ref="AD788:AD792" si="736">SUM(Y788:AC788)</f>
        <v>-127.6553</v>
      </c>
      <c r="AE788" s="2" t="s">
        <v>91</v>
      </c>
      <c r="AG788" s="70" t="s">
        <v>1039</v>
      </c>
      <c r="AH788" s="70" t="s">
        <v>1039</v>
      </c>
      <c r="AJ788" s="70"/>
      <c r="AK788" s="70"/>
      <c r="AL788" s="72"/>
      <c r="AM788" s="22"/>
      <c r="AO788" s="149" t="s">
        <v>126</v>
      </c>
      <c r="AP788" s="23">
        <v>17682</v>
      </c>
      <c r="AQ788" s="149" t="s">
        <v>210</v>
      </c>
      <c r="AR788" s="51" t="str">
        <f t="shared" si="698"/>
        <v>JD8B-17682-BBW</v>
      </c>
      <c r="AS788" s="3"/>
      <c r="AT788" s="94">
        <v>0</v>
      </c>
      <c r="AU788" s="94">
        <v>0</v>
      </c>
      <c r="AV788" s="94">
        <v>1</v>
      </c>
      <c r="AW788" s="94">
        <v>1</v>
      </c>
      <c r="AX788" s="94">
        <v>1</v>
      </c>
      <c r="AY788" s="94">
        <v>1</v>
      </c>
      <c r="AZ788" s="94">
        <v>0</v>
      </c>
      <c r="BA788" s="94">
        <v>0</v>
      </c>
      <c r="BB788" s="64">
        <v>0.6</v>
      </c>
      <c r="BD788" s="60">
        <v>-121.9957</v>
      </c>
      <c r="BE788" s="60">
        <v>-1.3495999999999999</v>
      </c>
      <c r="BF788" s="95">
        <v>-4.3099999999999996</v>
      </c>
      <c r="BG788" s="95">
        <v>0</v>
      </c>
      <c r="BH788" s="95">
        <v>0</v>
      </c>
      <c r="BI788" s="8">
        <f t="shared" ref="BI788:BI792" si="737">SUM(BD788:BH788)</f>
        <v>-127.6553</v>
      </c>
      <c r="BJ788" s="2" t="s">
        <v>91</v>
      </c>
      <c r="BL788" s="70" t="s">
        <v>1039</v>
      </c>
      <c r="BM788" s="70" t="s">
        <v>1039</v>
      </c>
      <c r="BO788" s="70"/>
      <c r="BP788" s="70"/>
      <c r="BQ788" s="72"/>
      <c r="BS788" s="61">
        <f t="shared" si="664"/>
        <v>0</v>
      </c>
      <c r="BT788" s="61">
        <f t="shared" si="665"/>
        <v>0</v>
      </c>
      <c r="BU788" s="61">
        <f t="shared" si="666"/>
        <v>0</v>
      </c>
      <c r="BV788" s="61">
        <f t="shared" si="666"/>
        <v>0</v>
      </c>
      <c r="BW788" s="61">
        <f t="shared" si="666"/>
        <v>0</v>
      </c>
      <c r="BX788" s="61">
        <f t="shared" si="666"/>
        <v>0</v>
      </c>
      <c r="BY788" s="61" t="s">
        <v>91</v>
      </c>
      <c r="CA788" s="61">
        <f t="shared" si="701"/>
        <v>0</v>
      </c>
      <c r="CB788" s="61">
        <f t="shared" si="701"/>
        <v>0</v>
      </c>
      <c r="CC788" s="61">
        <f t="shared" si="701"/>
        <v>0</v>
      </c>
      <c r="CD788" s="61">
        <f t="shared" si="699"/>
        <v>0</v>
      </c>
      <c r="CE788" s="61">
        <f t="shared" si="699"/>
        <v>0</v>
      </c>
      <c r="CF788" s="61">
        <f t="shared" si="699"/>
        <v>0</v>
      </c>
      <c r="CG788" s="61">
        <f t="shared" si="699"/>
        <v>0</v>
      </c>
      <c r="CH788" s="61">
        <f t="shared" si="699"/>
        <v>0</v>
      </c>
      <c r="CI788" s="61">
        <f t="shared" si="655"/>
        <v>0</v>
      </c>
      <c r="CJ788" s="61"/>
      <c r="CK788" s="61">
        <f t="shared" si="702"/>
        <v>0</v>
      </c>
      <c r="CL788" s="61">
        <f t="shared" si="702"/>
        <v>0</v>
      </c>
      <c r="CM788" s="61">
        <f t="shared" si="702"/>
        <v>0</v>
      </c>
      <c r="CN788" s="61">
        <f t="shared" si="700"/>
        <v>0</v>
      </c>
      <c r="CO788" s="61">
        <f t="shared" si="700"/>
        <v>0</v>
      </c>
      <c r="CP788" s="61">
        <f t="shared" si="700"/>
        <v>0</v>
      </c>
      <c r="CQ788" s="61">
        <f t="shared" si="700"/>
        <v>0</v>
      </c>
      <c r="CR788" s="61">
        <f t="shared" si="700"/>
        <v>0</v>
      </c>
      <c r="CS788" s="61">
        <f t="shared" si="656"/>
        <v>0</v>
      </c>
      <c r="CT788" s="61">
        <f t="shared" si="657"/>
        <v>0</v>
      </c>
      <c r="CV788" s="61">
        <f t="shared" si="724"/>
        <v>0</v>
      </c>
      <c r="CW788" s="61">
        <f t="shared" si="659"/>
        <v>0</v>
      </c>
      <c r="CX788" s="61"/>
      <c r="CY788" s="61">
        <f t="shared" si="725"/>
        <v>0</v>
      </c>
      <c r="CZ788" s="61">
        <f t="shared" si="725"/>
        <v>0</v>
      </c>
      <c r="DA788" s="61">
        <f t="shared" si="725"/>
        <v>0</v>
      </c>
      <c r="DB788" s="2" t="s">
        <v>134</v>
      </c>
      <c r="DC788" s="2" t="s">
        <v>85</v>
      </c>
      <c r="DD788" s="2" t="s">
        <v>142</v>
      </c>
      <c r="DE788" s="2" t="s">
        <v>1146</v>
      </c>
      <c r="DF788" s="3" t="s">
        <v>86</v>
      </c>
      <c r="DG788" s="62">
        <v>43008</v>
      </c>
      <c r="EC788" s="60"/>
      <c r="ED788" s="60"/>
      <c r="EE788" s="60"/>
      <c r="EF788" s="60"/>
    </row>
    <row r="789" spans="2:140" ht="12.75" hidden="1" customHeight="1">
      <c r="B789" s="99" t="s">
        <v>1351</v>
      </c>
      <c r="C789" s="22" t="s">
        <v>975</v>
      </c>
      <c r="D789" s="22" t="s">
        <v>976</v>
      </c>
      <c r="E789" s="2" t="s">
        <v>968</v>
      </c>
      <c r="F789" s="2" t="s">
        <v>969</v>
      </c>
      <c r="G789" s="2" t="s">
        <v>331</v>
      </c>
      <c r="J789" s="149" t="s">
        <v>126</v>
      </c>
      <c r="K789" s="23">
        <v>17682</v>
      </c>
      <c r="L789" s="22" t="s">
        <v>216</v>
      </c>
      <c r="M789" s="51" t="str">
        <f t="shared" si="722"/>
        <v>JD8B-17682-CCW</v>
      </c>
      <c r="O789" s="94">
        <v>0</v>
      </c>
      <c r="P789" s="94">
        <v>0</v>
      </c>
      <c r="Q789" s="94">
        <v>0</v>
      </c>
      <c r="R789" s="94">
        <v>0</v>
      </c>
      <c r="S789" s="94">
        <v>0</v>
      </c>
      <c r="T789" s="94">
        <v>0</v>
      </c>
      <c r="U789" s="94">
        <v>1</v>
      </c>
      <c r="V789" s="94">
        <v>1</v>
      </c>
      <c r="W789" s="64">
        <v>0.1</v>
      </c>
      <c r="Y789" s="60">
        <v>-203.2466</v>
      </c>
      <c r="Z789" s="60">
        <v>-1.3495999999999999</v>
      </c>
      <c r="AA789" s="95">
        <v>-4.3099999999999996</v>
      </c>
      <c r="AB789" s="95">
        <v>0</v>
      </c>
      <c r="AC789" s="95">
        <v>0</v>
      </c>
      <c r="AD789" s="8">
        <f t="shared" si="736"/>
        <v>-208.90620000000001</v>
      </c>
      <c r="AE789" s="2" t="s">
        <v>91</v>
      </c>
      <c r="AG789" s="70" t="s">
        <v>1039</v>
      </c>
      <c r="AH789" s="70" t="s">
        <v>1039</v>
      </c>
      <c r="AJ789" s="70"/>
      <c r="AK789" s="70"/>
      <c r="AL789" s="72"/>
      <c r="AM789" s="22"/>
      <c r="AO789" s="149" t="s">
        <v>126</v>
      </c>
      <c r="AP789" s="23">
        <v>17682</v>
      </c>
      <c r="AQ789" s="149" t="s">
        <v>211</v>
      </c>
      <c r="AR789" s="51" t="str">
        <f t="shared" si="698"/>
        <v>JD8B-17682-CBW</v>
      </c>
      <c r="AS789" s="3"/>
      <c r="AT789" s="94">
        <v>0</v>
      </c>
      <c r="AU789" s="94">
        <v>0</v>
      </c>
      <c r="AV789" s="94">
        <v>0</v>
      </c>
      <c r="AW789" s="94">
        <v>0</v>
      </c>
      <c r="AX789" s="94">
        <v>0</v>
      </c>
      <c r="AY789" s="94">
        <v>0</v>
      </c>
      <c r="AZ789" s="94">
        <v>1</v>
      </c>
      <c r="BA789" s="94">
        <v>1</v>
      </c>
      <c r="BB789" s="64">
        <v>0.1</v>
      </c>
      <c r="BD789" s="60">
        <v>-203.2466</v>
      </c>
      <c r="BE789" s="60">
        <v>-1.3495999999999999</v>
      </c>
      <c r="BF789" s="95">
        <v>-4.3099999999999996</v>
      </c>
      <c r="BG789" s="95">
        <v>0</v>
      </c>
      <c r="BH789" s="95">
        <v>0</v>
      </c>
      <c r="BI789" s="8">
        <f t="shared" si="737"/>
        <v>-208.90620000000001</v>
      </c>
      <c r="BJ789" s="2" t="s">
        <v>91</v>
      </c>
      <c r="BL789" s="70" t="s">
        <v>1039</v>
      </c>
      <c r="BM789" s="70" t="s">
        <v>1039</v>
      </c>
      <c r="BO789" s="70"/>
      <c r="BP789" s="70"/>
      <c r="BQ789" s="72"/>
      <c r="BS789" s="61">
        <f t="shared" si="664"/>
        <v>0</v>
      </c>
      <c r="BT789" s="61">
        <f t="shared" si="665"/>
        <v>0</v>
      </c>
      <c r="BU789" s="61">
        <f t="shared" si="666"/>
        <v>0</v>
      </c>
      <c r="BV789" s="61">
        <f t="shared" si="666"/>
        <v>0</v>
      </c>
      <c r="BW789" s="61">
        <f t="shared" si="666"/>
        <v>0</v>
      </c>
      <c r="BX789" s="61">
        <f t="shared" si="666"/>
        <v>0</v>
      </c>
      <c r="BY789" s="61" t="s">
        <v>91</v>
      </c>
      <c r="CA789" s="61">
        <f t="shared" si="701"/>
        <v>0</v>
      </c>
      <c r="CB789" s="61">
        <f t="shared" si="701"/>
        <v>0</v>
      </c>
      <c r="CC789" s="61">
        <f t="shared" si="701"/>
        <v>0</v>
      </c>
      <c r="CD789" s="61">
        <f t="shared" si="699"/>
        <v>0</v>
      </c>
      <c r="CE789" s="61">
        <f t="shared" si="699"/>
        <v>0</v>
      </c>
      <c r="CF789" s="61">
        <f t="shared" si="699"/>
        <v>0</v>
      </c>
      <c r="CG789" s="61">
        <f t="shared" si="699"/>
        <v>0</v>
      </c>
      <c r="CH789" s="61">
        <f t="shared" si="699"/>
        <v>0</v>
      </c>
      <c r="CI789" s="61">
        <f t="shared" si="655"/>
        <v>0</v>
      </c>
      <c r="CJ789" s="61"/>
      <c r="CK789" s="61">
        <f t="shared" si="702"/>
        <v>0</v>
      </c>
      <c r="CL789" s="61">
        <f t="shared" si="702"/>
        <v>0</v>
      </c>
      <c r="CM789" s="61">
        <f t="shared" si="702"/>
        <v>0</v>
      </c>
      <c r="CN789" s="61">
        <f t="shared" si="700"/>
        <v>0</v>
      </c>
      <c r="CO789" s="61">
        <f t="shared" si="700"/>
        <v>0</v>
      </c>
      <c r="CP789" s="61">
        <f t="shared" si="700"/>
        <v>0</v>
      </c>
      <c r="CQ789" s="61">
        <f t="shared" si="700"/>
        <v>0</v>
      </c>
      <c r="CR789" s="61">
        <f t="shared" si="700"/>
        <v>0</v>
      </c>
      <c r="CS789" s="61">
        <f t="shared" si="656"/>
        <v>0</v>
      </c>
      <c r="CT789" s="61">
        <f t="shared" si="657"/>
        <v>0</v>
      </c>
      <c r="CV789" s="61">
        <f t="shared" si="724"/>
        <v>0</v>
      </c>
      <c r="CW789" s="61">
        <f t="shared" si="659"/>
        <v>0</v>
      </c>
      <c r="CX789" s="61"/>
      <c r="CY789" s="61">
        <f t="shared" si="725"/>
        <v>0</v>
      </c>
      <c r="CZ789" s="61">
        <f t="shared" si="725"/>
        <v>0</v>
      </c>
      <c r="DA789" s="61">
        <f t="shared" si="725"/>
        <v>0</v>
      </c>
      <c r="DB789" s="2" t="s">
        <v>134</v>
      </c>
      <c r="DC789" s="2" t="s">
        <v>85</v>
      </c>
      <c r="DD789" s="2" t="s">
        <v>142</v>
      </c>
      <c r="DE789" s="2" t="s">
        <v>1146</v>
      </c>
      <c r="DF789" s="3" t="s">
        <v>86</v>
      </c>
      <c r="DG789" s="62">
        <v>43008</v>
      </c>
      <c r="EC789" s="60"/>
      <c r="ED789" s="60"/>
      <c r="EE789" s="60"/>
      <c r="EF789" s="60"/>
    </row>
    <row r="790" spans="2:140" ht="12.75" hidden="1" customHeight="1">
      <c r="B790" s="99" t="s">
        <v>1351</v>
      </c>
      <c r="C790" s="22" t="s">
        <v>975</v>
      </c>
      <c r="D790" s="22" t="s">
        <v>976</v>
      </c>
      <c r="E790" s="2" t="s">
        <v>968</v>
      </c>
      <c r="F790" s="2" t="s">
        <v>969</v>
      </c>
      <c r="G790" s="2" t="s">
        <v>331</v>
      </c>
      <c r="J790" s="149" t="s">
        <v>126</v>
      </c>
      <c r="K790" s="23">
        <v>17683</v>
      </c>
      <c r="L790" s="22" t="s">
        <v>565</v>
      </c>
      <c r="M790" s="51" t="str">
        <f t="shared" si="722"/>
        <v>JD8B-17683-ACW</v>
      </c>
      <c r="O790" s="94">
        <v>1</v>
      </c>
      <c r="P790" s="94">
        <v>1</v>
      </c>
      <c r="Q790" s="94">
        <v>0</v>
      </c>
      <c r="R790" s="94">
        <v>0</v>
      </c>
      <c r="S790" s="94">
        <v>0</v>
      </c>
      <c r="T790" s="94">
        <v>0</v>
      </c>
      <c r="U790" s="94">
        <v>0</v>
      </c>
      <c r="V790" s="94">
        <v>0</v>
      </c>
      <c r="W790" s="64">
        <v>0.30000000000000004</v>
      </c>
      <c r="Y790" s="60">
        <v>-114.49979999999999</v>
      </c>
      <c r="Z790" s="60">
        <v>-1.3495999999999999</v>
      </c>
      <c r="AA790" s="95">
        <v>-4.3099999999999996</v>
      </c>
      <c r="AB790" s="95">
        <v>0</v>
      </c>
      <c r="AC790" s="95">
        <v>0</v>
      </c>
      <c r="AD790" s="8">
        <f t="shared" si="736"/>
        <v>-120.15939999999999</v>
      </c>
      <c r="AE790" s="2" t="s">
        <v>91</v>
      </c>
      <c r="AG790" s="70" t="s">
        <v>1039</v>
      </c>
      <c r="AH790" s="70" t="s">
        <v>1039</v>
      </c>
      <c r="AJ790" s="70"/>
      <c r="AK790" s="70"/>
      <c r="AL790" s="72"/>
      <c r="AM790" s="22"/>
      <c r="AO790" s="149" t="s">
        <v>126</v>
      </c>
      <c r="AP790" s="23">
        <v>17683</v>
      </c>
      <c r="AQ790" s="149" t="s">
        <v>93</v>
      </c>
      <c r="AR790" s="51" t="str">
        <f t="shared" si="698"/>
        <v>JD8B-17683-ABW</v>
      </c>
      <c r="AS790" s="3"/>
      <c r="AT790" s="94">
        <v>1</v>
      </c>
      <c r="AU790" s="94">
        <v>1</v>
      </c>
      <c r="AV790" s="94">
        <v>0</v>
      </c>
      <c r="AW790" s="94">
        <v>0</v>
      </c>
      <c r="AX790" s="94">
        <v>0</v>
      </c>
      <c r="AY790" s="94">
        <v>0</v>
      </c>
      <c r="AZ790" s="94">
        <v>0</v>
      </c>
      <c r="BA790" s="94">
        <v>0</v>
      </c>
      <c r="BB790" s="64">
        <v>0.30000000000000004</v>
      </c>
      <c r="BD790" s="60">
        <v>-114.49979999999999</v>
      </c>
      <c r="BE790" s="60">
        <v>-1.3495999999999999</v>
      </c>
      <c r="BF790" s="95">
        <v>-4.3099999999999996</v>
      </c>
      <c r="BG790" s="95">
        <v>0</v>
      </c>
      <c r="BH790" s="95">
        <v>0</v>
      </c>
      <c r="BI790" s="8">
        <f t="shared" si="737"/>
        <v>-120.15939999999999</v>
      </c>
      <c r="BJ790" s="2" t="s">
        <v>91</v>
      </c>
      <c r="BL790" s="70" t="s">
        <v>1039</v>
      </c>
      <c r="BM790" s="70" t="s">
        <v>1039</v>
      </c>
      <c r="BO790" s="70"/>
      <c r="BP790" s="70"/>
      <c r="BQ790" s="72"/>
      <c r="BS790" s="61">
        <f t="shared" si="664"/>
        <v>0</v>
      </c>
      <c r="BT790" s="61">
        <f t="shared" si="665"/>
        <v>0</v>
      </c>
      <c r="BU790" s="61">
        <f t="shared" si="666"/>
        <v>0</v>
      </c>
      <c r="BV790" s="61">
        <f t="shared" si="666"/>
        <v>0</v>
      </c>
      <c r="BW790" s="61">
        <f t="shared" si="666"/>
        <v>0</v>
      </c>
      <c r="BX790" s="61">
        <f t="shared" si="666"/>
        <v>0</v>
      </c>
      <c r="BY790" s="61" t="s">
        <v>91</v>
      </c>
      <c r="CA790" s="61">
        <f t="shared" si="701"/>
        <v>0</v>
      </c>
      <c r="CB790" s="61">
        <f t="shared" si="701"/>
        <v>0</v>
      </c>
      <c r="CC790" s="61">
        <f t="shared" si="701"/>
        <v>0</v>
      </c>
      <c r="CD790" s="61">
        <f t="shared" si="699"/>
        <v>0</v>
      </c>
      <c r="CE790" s="61">
        <f t="shared" si="699"/>
        <v>0</v>
      </c>
      <c r="CF790" s="61">
        <f t="shared" si="699"/>
        <v>0</v>
      </c>
      <c r="CG790" s="61">
        <f t="shared" si="699"/>
        <v>0</v>
      </c>
      <c r="CH790" s="61">
        <f t="shared" si="699"/>
        <v>0</v>
      </c>
      <c r="CI790" s="61">
        <f t="shared" si="655"/>
        <v>0</v>
      </c>
      <c r="CJ790" s="61"/>
      <c r="CK790" s="61">
        <f t="shared" si="702"/>
        <v>0</v>
      </c>
      <c r="CL790" s="61">
        <f t="shared" si="702"/>
        <v>0</v>
      </c>
      <c r="CM790" s="61">
        <f t="shared" si="702"/>
        <v>0</v>
      </c>
      <c r="CN790" s="61">
        <f t="shared" si="700"/>
        <v>0</v>
      </c>
      <c r="CO790" s="61">
        <f t="shared" si="700"/>
        <v>0</v>
      </c>
      <c r="CP790" s="61">
        <f t="shared" si="700"/>
        <v>0</v>
      </c>
      <c r="CQ790" s="61">
        <f t="shared" si="700"/>
        <v>0</v>
      </c>
      <c r="CR790" s="61">
        <f t="shared" si="700"/>
        <v>0</v>
      </c>
      <c r="CS790" s="61">
        <f t="shared" si="656"/>
        <v>0</v>
      </c>
      <c r="CT790" s="61">
        <f t="shared" si="657"/>
        <v>0</v>
      </c>
      <c r="CV790" s="61">
        <f t="shared" si="724"/>
        <v>0</v>
      </c>
      <c r="CW790" s="61">
        <f t="shared" si="659"/>
        <v>0</v>
      </c>
      <c r="CX790" s="61"/>
      <c r="CY790" s="61">
        <f t="shared" si="725"/>
        <v>0</v>
      </c>
      <c r="CZ790" s="61">
        <f t="shared" si="725"/>
        <v>0</v>
      </c>
      <c r="DA790" s="61">
        <f t="shared" si="725"/>
        <v>0</v>
      </c>
      <c r="DB790" s="2" t="s">
        <v>134</v>
      </c>
      <c r="DC790" s="2" t="s">
        <v>85</v>
      </c>
      <c r="DD790" s="2" t="s">
        <v>142</v>
      </c>
      <c r="DE790" s="2" t="s">
        <v>1146</v>
      </c>
      <c r="DF790" s="3" t="s">
        <v>86</v>
      </c>
      <c r="DG790" s="62">
        <v>43008</v>
      </c>
      <c r="EC790" s="60"/>
      <c r="ED790" s="60"/>
      <c r="EE790" s="60"/>
      <c r="EF790" s="60"/>
    </row>
    <row r="791" spans="2:140" ht="12.75" hidden="1" customHeight="1">
      <c r="B791" s="99" t="s">
        <v>1351</v>
      </c>
      <c r="C791" s="22" t="s">
        <v>975</v>
      </c>
      <c r="D791" s="22" t="s">
        <v>976</v>
      </c>
      <c r="E791" s="2" t="s">
        <v>968</v>
      </c>
      <c r="F791" s="2" t="s">
        <v>969</v>
      </c>
      <c r="G791" s="2" t="s">
        <v>331</v>
      </c>
      <c r="J791" s="149" t="s">
        <v>126</v>
      </c>
      <c r="K791" s="23">
        <v>17683</v>
      </c>
      <c r="L791" s="22" t="s">
        <v>215</v>
      </c>
      <c r="M791" s="51" t="str">
        <f t="shared" si="722"/>
        <v>JD8B-17683-BCW</v>
      </c>
      <c r="O791" s="94">
        <v>0</v>
      </c>
      <c r="P791" s="94">
        <v>0</v>
      </c>
      <c r="Q791" s="94">
        <v>1</v>
      </c>
      <c r="R791" s="94">
        <v>1</v>
      </c>
      <c r="S791" s="94">
        <v>1</v>
      </c>
      <c r="T791" s="94">
        <v>1</v>
      </c>
      <c r="U791" s="94">
        <v>0</v>
      </c>
      <c r="V791" s="94">
        <v>0</v>
      </c>
      <c r="W791" s="64">
        <v>0.6</v>
      </c>
      <c r="Y791" s="60">
        <v>-121.9957</v>
      </c>
      <c r="Z791" s="60">
        <v>-1.3495999999999999</v>
      </c>
      <c r="AA791" s="95">
        <v>-4.3099999999999996</v>
      </c>
      <c r="AB791" s="95">
        <v>0</v>
      </c>
      <c r="AC791" s="95">
        <v>0</v>
      </c>
      <c r="AD791" s="8">
        <f t="shared" si="736"/>
        <v>-127.6553</v>
      </c>
      <c r="AE791" s="2" t="s">
        <v>91</v>
      </c>
      <c r="AG791" s="70" t="s">
        <v>1039</v>
      </c>
      <c r="AH791" s="70" t="s">
        <v>1039</v>
      </c>
      <c r="AJ791" s="70"/>
      <c r="AK791" s="70"/>
      <c r="AL791" s="72"/>
      <c r="AM791" s="22"/>
      <c r="AO791" s="149" t="s">
        <v>126</v>
      </c>
      <c r="AP791" s="23">
        <v>17683</v>
      </c>
      <c r="AQ791" s="149" t="s">
        <v>210</v>
      </c>
      <c r="AR791" s="51" t="str">
        <f t="shared" si="698"/>
        <v>JD8B-17683-BBW</v>
      </c>
      <c r="AS791" s="3"/>
      <c r="AT791" s="94">
        <v>0</v>
      </c>
      <c r="AU791" s="94">
        <v>0</v>
      </c>
      <c r="AV791" s="94">
        <v>1</v>
      </c>
      <c r="AW791" s="94">
        <v>1</v>
      </c>
      <c r="AX791" s="94">
        <v>1</v>
      </c>
      <c r="AY791" s="94">
        <v>1</v>
      </c>
      <c r="AZ791" s="94">
        <v>0</v>
      </c>
      <c r="BA791" s="94">
        <v>0</v>
      </c>
      <c r="BB791" s="64">
        <v>0.6</v>
      </c>
      <c r="BD791" s="60">
        <v>-121.9957</v>
      </c>
      <c r="BE791" s="60">
        <v>-1.3495999999999999</v>
      </c>
      <c r="BF791" s="95">
        <v>-4.3099999999999996</v>
      </c>
      <c r="BG791" s="95">
        <v>0</v>
      </c>
      <c r="BH791" s="95">
        <v>0</v>
      </c>
      <c r="BI791" s="8">
        <f t="shared" si="737"/>
        <v>-127.6553</v>
      </c>
      <c r="BJ791" s="2" t="s">
        <v>91</v>
      </c>
      <c r="BL791" s="70" t="s">
        <v>1039</v>
      </c>
      <c r="BM791" s="70" t="s">
        <v>1039</v>
      </c>
      <c r="BO791" s="70"/>
      <c r="BP791" s="70"/>
      <c r="BQ791" s="72"/>
      <c r="BS791" s="61">
        <f t="shared" si="664"/>
        <v>0</v>
      </c>
      <c r="BT791" s="61">
        <f t="shared" si="665"/>
        <v>0</v>
      </c>
      <c r="BU791" s="61">
        <f t="shared" si="666"/>
        <v>0</v>
      </c>
      <c r="BV791" s="61">
        <f t="shared" si="666"/>
        <v>0</v>
      </c>
      <c r="BW791" s="61">
        <f t="shared" si="666"/>
        <v>0</v>
      </c>
      <c r="BX791" s="61">
        <f t="shared" si="666"/>
        <v>0</v>
      </c>
      <c r="BY791" s="61" t="s">
        <v>91</v>
      </c>
      <c r="CA791" s="61">
        <f t="shared" si="701"/>
        <v>0</v>
      </c>
      <c r="CB791" s="61">
        <f t="shared" si="701"/>
        <v>0</v>
      </c>
      <c r="CC791" s="61">
        <f t="shared" si="701"/>
        <v>0</v>
      </c>
      <c r="CD791" s="61">
        <f t="shared" si="699"/>
        <v>0</v>
      </c>
      <c r="CE791" s="61">
        <f t="shared" si="699"/>
        <v>0</v>
      </c>
      <c r="CF791" s="61">
        <f t="shared" si="699"/>
        <v>0</v>
      </c>
      <c r="CG791" s="61">
        <f t="shared" si="699"/>
        <v>0</v>
      </c>
      <c r="CH791" s="61">
        <f t="shared" si="699"/>
        <v>0</v>
      </c>
      <c r="CI791" s="61">
        <f t="shared" si="655"/>
        <v>0</v>
      </c>
      <c r="CJ791" s="61"/>
      <c r="CK791" s="61">
        <f t="shared" si="702"/>
        <v>0</v>
      </c>
      <c r="CL791" s="61">
        <f t="shared" si="702"/>
        <v>0</v>
      </c>
      <c r="CM791" s="61">
        <f t="shared" si="702"/>
        <v>0</v>
      </c>
      <c r="CN791" s="61">
        <f t="shared" si="700"/>
        <v>0</v>
      </c>
      <c r="CO791" s="61">
        <f t="shared" si="700"/>
        <v>0</v>
      </c>
      <c r="CP791" s="61">
        <f t="shared" si="700"/>
        <v>0</v>
      </c>
      <c r="CQ791" s="61">
        <f t="shared" si="700"/>
        <v>0</v>
      </c>
      <c r="CR791" s="61">
        <f t="shared" si="700"/>
        <v>0</v>
      </c>
      <c r="CS791" s="61">
        <f t="shared" si="656"/>
        <v>0</v>
      </c>
      <c r="CT791" s="61">
        <f t="shared" si="657"/>
        <v>0</v>
      </c>
      <c r="CV791" s="61">
        <f t="shared" si="724"/>
        <v>0</v>
      </c>
      <c r="CW791" s="61">
        <f t="shared" si="659"/>
        <v>0</v>
      </c>
      <c r="CX791" s="61"/>
      <c r="CY791" s="61">
        <f t="shared" si="725"/>
        <v>0</v>
      </c>
      <c r="CZ791" s="61">
        <f t="shared" si="725"/>
        <v>0</v>
      </c>
      <c r="DA791" s="61">
        <f t="shared" si="725"/>
        <v>0</v>
      </c>
      <c r="DB791" s="2" t="s">
        <v>134</v>
      </c>
      <c r="DC791" s="2" t="s">
        <v>85</v>
      </c>
      <c r="DD791" s="2" t="s">
        <v>142</v>
      </c>
      <c r="DE791" s="2" t="s">
        <v>1146</v>
      </c>
      <c r="DF791" s="3" t="s">
        <v>86</v>
      </c>
      <c r="DG791" s="62">
        <v>43008</v>
      </c>
      <c r="EC791" s="60"/>
      <c r="ED791" s="60"/>
      <c r="EE791" s="60"/>
      <c r="EF791" s="60"/>
    </row>
    <row r="792" spans="2:140" ht="12.75" hidden="1" customHeight="1">
      <c r="B792" s="99" t="s">
        <v>1351</v>
      </c>
      <c r="C792" s="22" t="s">
        <v>975</v>
      </c>
      <c r="D792" s="22" t="s">
        <v>976</v>
      </c>
      <c r="E792" s="2" t="s">
        <v>968</v>
      </c>
      <c r="F792" s="2" t="s">
        <v>969</v>
      </c>
      <c r="G792" s="2" t="s">
        <v>331</v>
      </c>
      <c r="J792" s="149" t="s">
        <v>126</v>
      </c>
      <c r="K792" s="23">
        <v>17683</v>
      </c>
      <c r="L792" s="22" t="s">
        <v>216</v>
      </c>
      <c r="M792" s="51" t="str">
        <f t="shared" si="722"/>
        <v>JD8B-17683-CCW</v>
      </c>
      <c r="O792" s="94">
        <v>0</v>
      </c>
      <c r="P792" s="94">
        <v>0</v>
      </c>
      <c r="Q792" s="94">
        <v>0</v>
      </c>
      <c r="R792" s="94">
        <v>0</v>
      </c>
      <c r="S792" s="94">
        <v>0</v>
      </c>
      <c r="T792" s="94">
        <v>0</v>
      </c>
      <c r="U792" s="94">
        <v>1</v>
      </c>
      <c r="V792" s="94">
        <v>1</v>
      </c>
      <c r="W792" s="64">
        <v>0.1</v>
      </c>
      <c r="Y792" s="60">
        <v>-203.2466</v>
      </c>
      <c r="Z792" s="60">
        <v>-1.3495999999999999</v>
      </c>
      <c r="AA792" s="95">
        <v>-4.3099999999999996</v>
      </c>
      <c r="AB792" s="95">
        <v>0</v>
      </c>
      <c r="AC792" s="95">
        <v>0</v>
      </c>
      <c r="AD792" s="8">
        <f t="shared" si="736"/>
        <v>-208.90620000000001</v>
      </c>
      <c r="AE792" s="2" t="s">
        <v>91</v>
      </c>
      <c r="AG792" s="70" t="s">
        <v>1039</v>
      </c>
      <c r="AH792" s="70" t="s">
        <v>1039</v>
      </c>
      <c r="AJ792" s="70"/>
      <c r="AK792" s="70"/>
      <c r="AL792" s="72"/>
      <c r="AM792" s="22"/>
      <c r="AO792" s="149" t="s">
        <v>126</v>
      </c>
      <c r="AP792" s="23">
        <v>17683</v>
      </c>
      <c r="AQ792" s="149" t="s">
        <v>211</v>
      </c>
      <c r="AR792" s="51" t="str">
        <f t="shared" si="698"/>
        <v>JD8B-17683-CBW</v>
      </c>
      <c r="AS792" s="3"/>
      <c r="AT792" s="94">
        <v>0</v>
      </c>
      <c r="AU792" s="94">
        <v>0</v>
      </c>
      <c r="AV792" s="94">
        <v>0</v>
      </c>
      <c r="AW792" s="94">
        <v>0</v>
      </c>
      <c r="AX792" s="94">
        <v>0</v>
      </c>
      <c r="AY792" s="94">
        <v>0</v>
      </c>
      <c r="AZ792" s="94">
        <v>1</v>
      </c>
      <c r="BA792" s="94">
        <v>1</v>
      </c>
      <c r="BB792" s="64">
        <v>0.1</v>
      </c>
      <c r="BD792" s="60">
        <v>-203.2466</v>
      </c>
      <c r="BE792" s="60">
        <v>-1.3495999999999999</v>
      </c>
      <c r="BF792" s="95">
        <v>-4.3099999999999996</v>
      </c>
      <c r="BG792" s="95">
        <v>0</v>
      </c>
      <c r="BH792" s="95">
        <v>0</v>
      </c>
      <c r="BI792" s="8">
        <f t="shared" si="737"/>
        <v>-208.90620000000001</v>
      </c>
      <c r="BJ792" s="2" t="s">
        <v>91</v>
      </c>
      <c r="BL792" s="70" t="s">
        <v>1039</v>
      </c>
      <c r="BM792" s="70" t="s">
        <v>1039</v>
      </c>
      <c r="BO792" s="70"/>
      <c r="BP792" s="70"/>
      <c r="BQ792" s="72"/>
      <c r="BS792" s="61">
        <f t="shared" si="664"/>
        <v>0</v>
      </c>
      <c r="BT792" s="61">
        <f t="shared" si="665"/>
        <v>0</v>
      </c>
      <c r="BU792" s="61">
        <f t="shared" si="666"/>
        <v>0</v>
      </c>
      <c r="BV792" s="61">
        <f t="shared" si="666"/>
        <v>0</v>
      </c>
      <c r="BW792" s="61">
        <f t="shared" si="666"/>
        <v>0</v>
      </c>
      <c r="BX792" s="61">
        <f t="shared" si="666"/>
        <v>0</v>
      </c>
      <c r="BY792" s="61" t="s">
        <v>91</v>
      </c>
      <c r="CA792" s="61">
        <f t="shared" si="701"/>
        <v>0</v>
      </c>
      <c r="CB792" s="61">
        <f t="shared" si="701"/>
        <v>0</v>
      </c>
      <c r="CC792" s="61">
        <f t="shared" si="701"/>
        <v>0</v>
      </c>
      <c r="CD792" s="61">
        <f t="shared" si="699"/>
        <v>0</v>
      </c>
      <c r="CE792" s="61">
        <f t="shared" si="699"/>
        <v>0</v>
      </c>
      <c r="CF792" s="61">
        <f t="shared" si="699"/>
        <v>0</v>
      </c>
      <c r="CG792" s="61">
        <f t="shared" si="699"/>
        <v>0</v>
      </c>
      <c r="CH792" s="61">
        <f t="shared" si="699"/>
        <v>0</v>
      </c>
      <c r="CI792" s="61">
        <f t="shared" ref="CI792:CI841" si="738">SUMPRODUCT(CA792:CH792,$O$6:$V$6)</f>
        <v>0</v>
      </c>
      <c r="CJ792" s="61"/>
      <c r="CK792" s="61">
        <f t="shared" si="702"/>
        <v>0</v>
      </c>
      <c r="CL792" s="61">
        <f t="shared" si="702"/>
        <v>0</v>
      </c>
      <c r="CM792" s="61">
        <f t="shared" si="702"/>
        <v>0</v>
      </c>
      <c r="CN792" s="61">
        <f t="shared" si="700"/>
        <v>0</v>
      </c>
      <c r="CO792" s="61">
        <f t="shared" si="700"/>
        <v>0</v>
      </c>
      <c r="CP792" s="61">
        <f t="shared" si="700"/>
        <v>0</v>
      </c>
      <c r="CQ792" s="61">
        <f t="shared" si="700"/>
        <v>0</v>
      </c>
      <c r="CR792" s="61">
        <f t="shared" si="700"/>
        <v>0</v>
      </c>
      <c r="CS792" s="61">
        <f t="shared" ref="CS792:CS841" si="739">SUMPRODUCT(CK792:CR792,$O$6:$V$6)</f>
        <v>0</v>
      </c>
      <c r="CT792" s="61">
        <f t="shared" ref="CT792:CT841" si="740">CS792*$C$2</f>
        <v>0</v>
      </c>
      <c r="CV792" s="61">
        <f t="shared" si="724"/>
        <v>0</v>
      </c>
      <c r="CW792" s="61">
        <f t="shared" ref="CW792:CW832" si="741">SUM(AH792)-SUM(BM792)</f>
        <v>0</v>
      </c>
      <c r="CX792" s="61"/>
      <c r="CY792" s="61">
        <f t="shared" si="725"/>
        <v>0</v>
      </c>
      <c r="CZ792" s="61">
        <f t="shared" si="725"/>
        <v>0</v>
      </c>
      <c r="DA792" s="61">
        <f t="shared" si="725"/>
        <v>0</v>
      </c>
      <c r="DB792" s="2" t="s">
        <v>134</v>
      </c>
      <c r="DC792" s="2" t="s">
        <v>85</v>
      </c>
      <c r="DD792" s="2" t="s">
        <v>142</v>
      </c>
      <c r="DE792" s="2" t="s">
        <v>1146</v>
      </c>
      <c r="DF792" s="3" t="s">
        <v>86</v>
      </c>
      <c r="DG792" s="62">
        <v>43008</v>
      </c>
      <c r="EC792" s="60"/>
      <c r="ED792" s="60"/>
      <c r="EE792" s="60"/>
      <c r="EF792" s="60"/>
    </row>
    <row r="793" spans="2:140" ht="12.75" hidden="1" customHeight="1">
      <c r="B793" s="99" t="s">
        <v>1352</v>
      </c>
      <c r="C793" s="22" t="s">
        <v>975</v>
      </c>
      <c r="D793" s="22" t="s">
        <v>976</v>
      </c>
      <c r="E793" s="2" t="s">
        <v>968</v>
      </c>
      <c r="F793" s="2" t="s">
        <v>969</v>
      </c>
      <c r="G793" s="2" t="s">
        <v>331</v>
      </c>
      <c r="J793" s="149" t="s">
        <v>126</v>
      </c>
      <c r="K793" s="23">
        <v>17682</v>
      </c>
      <c r="L793" s="149" t="s">
        <v>267</v>
      </c>
      <c r="M793" s="51" t="str">
        <f t="shared" si="722"/>
        <v>JD8B-17682-ADW</v>
      </c>
      <c r="O793" s="94">
        <v>1</v>
      </c>
      <c r="P793" s="94">
        <v>1</v>
      </c>
      <c r="Q793" s="94">
        <v>0</v>
      </c>
      <c r="R793" s="94">
        <v>0</v>
      </c>
      <c r="S793" s="94">
        <v>0</v>
      </c>
      <c r="T793" s="94">
        <v>0</v>
      </c>
      <c r="U793" s="94">
        <v>0</v>
      </c>
      <c r="V793" s="94">
        <v>0</v>
      </c>
      <c r="W793" s="64">
        <v>0.30000000000000004</v>
      </c>
      <c r="Y793" s="60">
        <v>-114.49979999999999</v>
      </c>
      <c r="Z793" s="60">
        <v>-1.3495999999999999</v>
      </c>
      <c r="AA793" s="60">
        <v>-4.3099999999999996</v>
      </c>
      <c r="AB793" s="60">
        <v>0</v>
      </c>
      <c r="AC793" s="60">
        <v>0</v>
      </c>
      <c r="AD793" s="8">
        <f>SUM(Y793:AC793)</f>
        <v>-120.15939999999999</v>
      </c>
      <c r="AE793" s="2" t="s">
        <v>91</v>
      </c>
      <c r="AG793" s="70">
        <v>-3551850</v>
      </c>
      <c r="AH793" s="70">
        <v>-3551850</v>
      </c>
      <c r="AJ793" s="70"/>
      <c r="AK793" s="70"/>
      <c r="AL793" s="72"/>
      <c r="AM793" s="22"/>
      <c r="AO793" s="149" t="s">
        <v>126</v>
      </c>
      <c r="AP793" s="23">
        <v>17682</v>
      </c>
      <c r="AQ793" s="22" t="s">
        <v>565</v>
      </c>
      <c r="AR793" s="51" t="str">
        <f t="shared" si="698"/>
        <v>JD8B-17682-ACW</v>
      </c>
      <c r="AS793" s="3"/>
      <c r="AT793" s="94">
        <v>1</v>
      </c>
      <c r="AU793" s="94">
        <v>1</v>
      </c>
      <c r="AV793" s="94">
        <v>0</v>
      </c>
      <c r="AW793" s="94">
        <v>0</v>
      </c>
      <c r="AX793" s="94">
        <v>0</v>
      </c>
      <c r="AY793" s="94">
        <v>0</v>
      </c>
      <c r="AZ793" s="94">
        <v>0</v>
      </c>
      <c r="BA793" s="94">
        <v>0</v>
      </c>
      <c r="BB793" s="64">
        <v>0.30000000000000004</v>
      </c>
      <c r="BD793" s="60">
        <v>-114.49979999999999</v>
      </c>
      <c r="BE793" s="60">
        <v>-1.3495999999999999</v>
      </c>
      <c r="BF793" s="95">
        <v>-4.3099999999999996</v>
      </c>
      <c r="BG793" s="95">
        <v>0</v>
      </c>
      <c r="BH793" s="95">
        <v>0</v>
      </c>
      <c r="BI793" s="8">
        <f>SUM(BD793:BH793)</f>
        <v>-120.15939999999999</v>
      </c>
      <c r="BJ793" s="2" t="s">
        <v>91</v>
      </c>
      <c r="BL793" s="70">
        <v>-3536850</v>
      </c>
      <c r="BM793" s="70">
        <v>-3536850</v>
      </c>
      <c r="BO793" s="70"/>
      <c r="BP793" s="70"/>
      <c r="BQ793" s="72"/>
      <c r="BS793" s="61">
        <f t="shared" si="664"/>
        <v>0</v>
      </c>
      <c r="BT793" s="61">
        <f t="shared" si="665"/>
        <v>0</v>
      </c>
      <c r="BU793" s="61">
        <f t="shared" si="666"/>
        <v>0</v>
      </c>
      <c r="BV793" s="61">
        <f t="shared" si="666"/>
        <v>0</v>
      </c>
      <c r="BW793" s="61">
        <f t="shared" si="666"/>
        <v>0</v>
      </c>
      <c r="BX793" s="61">
        <f t="shared" si="666"/>
        <v>0</v>
      </c>
      <c r="BY793" s="61" t="s">
        <v>91</v>
      </c>
      <c r="CA793" s="61">
        <f t="shared" si="701"/>
        <v>0</v>
      </c>
      <c r="CB793" s="61">
        <f t="shared" si="701"/>
        <v>0</v>
      </c>
      <c r="CC793" s="61">
        <f t="shared" si="701"/>
        <v>0</v>
      </c>
      <c r="CD793" s="61">
        <f t="shared" si="699"/>
        <v>0</v>
      </c>
      <c r="CE793" s="61">
        <f t="shared" si="699"/>
        <v>0</v>
      </c>
      <c r="CF793" s="61">
        <f t="shared" si="699"/>
        <v>0</v>
      </c>
      <c r="CG793" s="61">
        <f t="shared" si="699"/>
        <v>0</v>
      </c>
      <c r="CH793" s="61">
        <f t="shared" si="699"/>
        <v>0</v>
      </c>
      <c r="CI793" s="61">
        <f t="shared" si="738"/>
        <v>0</v>
      </c>
      <c r="CJ793" s="61"/>
      <c r="CK793" s="61">
        <f t="shared" si="702"/>
        <v>0</v>
      </c>
      <c r="CL793" s="61">
        <f t="shared" si="702"/>
        <v>0</v>
      </c>
      <c r="CM793" s="61">
        <f t="shared" si="702"/>
        <v>0</v>
      </c>
      <c r="CN793" s="61">
        <f t="shared" si="700"/>
        <v>0</v>
      </c>
      <c r="CO793" s="61">
        <f t="shared" si="700"/>
        <v>0</v>
      </c>
      <c r="CP793" s="61">
        <f t="shared" si="700"/>
        <v>0</v>
      </c>
      <c r="CQ793" s="61">
        <f t="shared" si="700"/>
        <v>0</v>
      </c>
      <c r="CR793" s="61">
        <f t="shared" si="700"/>
        <v>0</v>
      </c>
      <c r="CS793" s="61">
        <f t="shared" si="739"/>
        <v>0</v>
      </c>
      <c r="CT793" s="61">
        <f t="shared" si="740"/>
        <v>0</v>
      </c>
      <c r="CV793" s="61">
        <f t="shared" si="724"/>
        <v>-15000</v>
      </c>
      <c r="CW793" s="61">
        <f t="shared" si="741"/>
        <v>-15000</v>
      </c>
      <c r="CX793" s="61"/>
      <c r="CY793" s="61">
        <f t="shared" si="725"/>
        <v>0</v>
      </c>
      <c r="CZ793" s="61">
        <f t="shared" si="725"/>
        <v>0</v>
      </c>
      <c r="DA793" s="61">
        <f t="shared" si="725"/>
        <v>0</v>
      </c>
      <c r="DB793" s="2" t="s">
        <v>85</v>
      </c>
      <c r="DC793" s="2" t="s">
        <v>85</v>
      </c>
      <c r="DD793" s="2" t="s">
        <v>142</v>
      </c>
      <c r="DE793" s="2" t="s">
        <v>1146</v>
      </c>
      <c r="DF793" s="3" t="s">
        <v>86</v>
      </c>
      <c r="DG793" s="62">
        <v>43019</v>
      </c>
      <c r="EC793" s="60"/>
      <c r="ED793" s="60"/>
      <c r="EE793" s="60"/>
      <c r="EF793" s="60"/>
    </row>
    <row r="794" spans="2:140" ht="12.75" hidden="1" customHeight="1">
      <c r="B794" s="99" t="s">
        <v>1352</v>
      </c>
      <c r="C794" s="22" t="s">
        <v>975</v>
      </c>
      <c r="D794" s="22" t="s">
        <v>976</v>
      </c>
      <c r="E794" s="2" t="s">
        <v>968</v>
      </c>
      <c r="F794" s="2" t="s">
        <v>969</v>
      </c>
      <c r="G794" s="2" t="s">
        <v>331</v>
      </c>
      <c r="J794" s="149" t="s">
        <v>126</v>
      </c>
      <c r="K794" s="23">
        <v>17682</v>
      </c>
      <c r="L794" s="149" t="s">
        <v>670</v>
      </c>
      <c r="M794" s="51" t="str">
        <f t="shared" si="722"/>
        <v>JD8B-17682-BDW</v>
      </c>
      <c r="O794" s="94">
        <v>0</v>
      </c>
      <c r="P794" s="94">
        <v>0</v>
      </c>
      <c r="Q794" s="94">
        <v>1</v>
      </c>
      <c r="R794" s="94">
        <v>1</v>
      </c>
      <c r="S794" s="94">
        <v>1</v>
      </c>
      <c r="T794" s="94">
        <v>1</v>
      </c>
      <c r="U794" s="94">
        <v>0</v>
      </c>
      <c r="V794" s="94">
        <v>0</v>
      </c>
      <c r="W794" s="64">
        <v>0.6</v>
      </c>
      <c r="Y794" s="60">
        <v>-121.9957</v>
      </c>
      <c r="Z794" s="60">
        <v>-1.3495999999999999</v>
      </c>
      <c r="AA794" s="60">
        <v>-4.3099999999999996</v>
      </c>
      <c r="AB794" s="60">
        <v>0</v>
      </c>
      <c r="AC794" s="60">
        <v>0</v>
      </c>
      <c r="AD794" s="8">
        <f t="shared" ref="AD794:AD802" si="742">SUM(Y794:AC794)</f>
        <v>-127.6553</v>
      </c>
      <c r="AE794" s="2" t="s">
        <v>91</v>
      </c>
      <c r="AG794" s="70" t="s">
        <v>1039</v>
      </c>
      <c r="AH794" s="70" t="s">
        <v>1039</v>
      </c>
      <c r="AJ794" s="70"/>
      <c r="AK794" s="70"/>
      <c r="AL794" s="72"/>
      <c r="AM794" s="22"/>
      <c r="AO794" s="149" t="s">
        <v>126</v>
      </c>
      <c r="AP794" s="23">
        <v>17682</v>
      </c>
      <c r="AQ794" s="22" t="s">
        <v>215</v>
      </c>
      <c r="AR794" s="51" t="str">
        <f t="shared" si="698"/>
        <v>JD8B-17682-BCW</v>
      </c>
      <c r="AS794" s="3"/>
      <c r="AT794" s="94">
        <v>0</v>
      </c>
      <c r="AU794" s="94">
        <v>0</v>
      </c>
      <c r="AV794" s="94">
        <v>1</v>
      </c>
      <c r="AW794" s="94">
        <v>1</v>
      </c>
      <c r="AX794" s="94">
        <v>1</v>
      </c>
      <c r="AY794" s="94">
        <v>1</v>
      </c>
      <c r="AZ794" s="94">
        <v>0</v>
      </c>
      <c r="BA794" s="94">
        <v>0</v>
      </c>
      <c r="BB794" s="64">
        <v>0.6</v>
      </c>
      <c r="BD794" s="60">
        <v>-121.9957</v>
      </c>
      <c r="BE794" s="60">
        <v>-1.3495999999999999</v>
      </c>
      <c r="BF794" s="95">
        <v>-4.3099999999999996</v>
      </c>
      <c r="BG794" s="95">
        <v>0</v>
      </c>
      <c r="BH794" s="95">
        <v>0</v>
      </c>
      <c r="BI794" s="8">
        <f t="shared" ref="BI794:BI814" si="743">SUM(BD794:BH794)</f>
        <v>-127.6553</v>
      </c>
      <c r="BJ794" s="2" t="s">
        <v>91</v>
      </c>
      <c r="BL794" s="70" t="s">
        <v>1039</v>
      </c>
      <c r="BM794" s="70" t="s">
        <v>1039</v>
      </c>
      <c r="BO794" s="70"/>
      <c r="BP794" s="70"/>
      <c r="BQ794" s="72"/>
      <c r="BS794" s="61">
        <f t="shared" si="664"/>
        <v>0</v>
      </c>
      <c r="BT794" s="61">
        <f t="shared" si="665"/>
        <v>0</v>
      </c>
      <c r="BU794" s="61">
        <f t="shared" si="666"/>
        <v>0</v>
      </c>
      <c r="BV794" s="61">
        <f t="shared" si="666"/>
        <v>0</v>
      </c>
      <c r="BW794" s="61">
        <f t="shared" si="666"/>
        <v>0</v>
      </c>
      <c r="BX794" s="61">
        <f t="shared" si="666"/>
        <v>0</v>
      </c>
      <c r="BY794" s="61" t="s">
        <v>91</v>
      </c>
      <c r="CA794" s="61">
        <f t="shared" si="701"/>
        <v>0</v>
      </c>
      <c r="CB794" s="61">
        <f t="shared" si="701"/>
        <v>0</v>
      </c>
      <c r="CC794" s="61">
        <f t="shared" si="701"/>
        <v>0</v>
      </c>
      <c r="CD794" s="61">
        <f t="shared" si="699"/>
        <v>0</v>
      </c>
      <c r="CE794" s="61">
        <f t="shared" si="699"/>
        <v>0</v>
      </c>
      <c r="CF794" s="61">
        <f t="shared" si="699"/>
        <v>0</v>
      </c>
      <c r="CG794" s="61">
        <f t="shared" si="699"/>
        <v>0</v>
      </c>
      <c r="CH794" s="61">
        <f t="shared" si="699"/>
        <v>0</v>
      </c>
      <c r="CI794" s="61">
        <f t="shared" si="738"/>
        <v>0</v>
      </c>
      <c r="CJ794" s="61"/>
      <c r="CK794" s="61">
        <f t="shared" si="702"/>
        <v>0</v>
      </c>
      <c r="CL794" s="61">
        <f t="shared" si="702"/>
        <v>0</v>
      </c>
      <c r="CM794" s="61">
        <f t="shared" si="702"/>
        <v>0</v>
      </c>
      <c r="CN794" s="61">
        <f t="shared" si="700"/>
        <v>0</v>
      </c>
      <c r="CO794" s="61">
        <f t="shared" si="700"/>
        <v>0</v>
      </c>
      <c r="CP794" s="61">
        <f t="shared" si="700"/>
        <v>0</v>
      </c>
      <c r="CQ794" s="61">
        <f t="shared" si="700"/>
        <v>0</v>
      </c>
      <c r="CR794" s="61">
        <f t="shared" si="700"/>
        <v>0</v>
      </c>
      <c r="CS794" s="61">
        <f t="shared" si="739"/>
        <v>0</v>
      </c>
      <c r="CT794" s="61">
        <f t="shared" si="740"/>
        <v>0</v>
      </c>
      <c r="CV794" s="61">
        <f t="shared" si="724"/>
        <v>0</v>
      </c>
      <c r="CW794" s="61">
        <f t="shared" si="741"/>
        <v>0</v>
      </c>
      <c r="CX794" s="61"/>
      <c r="CY794" s="61">
        <f t="shared" si="725"/>
        <v>0</v>
      </c>
      <c r="CZ794" s="61">
        <f t="shared" si="725"/>
        <v>0</v>
      </c>
      <c r="DA794" s="61">
        <f t="shared" si="725"/>
        <v>0</v>
      </c>
      <c r="DB794" s="2" t="s">
        <v>85</v>
      </c>
      <c r="DC794" s="2" t="s">
        <v>85</v>
      </c>
      <c r="DD794" s="2" t="s">
        <v>142</v>
      </c>
      <c r="DE794" s="2" t="s">
        <v>1146</v>
      </c>
      <c r="DF794" s="3" t="s">
        <v>86</v>
      </c>
      <c r="DG794" s="62">
        <v>43019</v>
      </c>
      <c r="EC794" s="60"/>
      <c r="ED794" s="60"/>
      <c r="EE794" s="60"/>
      <c r="EF794" s="60"/>
    </row>
    <row r="795" spans="2:140" ht="12.75" hidden="1" customHeight="1">
      <c r="B795" s="99" t="s">
        <v>1267</v>
      </c>
      <c r="C795" s="22" t="s">
        <v>975</v>
      </c>
      <c r="D795" s="22" t="s">
        <v>976</v>
      </c>
      <c r="E795" s="2" t="s">
        <v>968</v>
      </c>
      <c r="F795" s="2" t="s">
        <v>969</v>
      </c>
      <c r="G795" s="2" t="s">
        <v>331</v>
      </c>
      <c r="J795" s="149" t="s">
        <v>126</v>
      </c>
      <c r="K795" s="23">
        <v>17682</v>
      </c>
      <c r="L795" s="149" t="s">
        <v>267</v>
      </c>
      <c r="M795" s="51" t="str">
        <f t="shared" si="722"/>
        <v>JD8B-17682-ADW</v>
      </c>
      <c r="O795" s="94">
        <v>1</v>
      </c>
      <c r="P795" s="94">
        <v>1</v>
      </c>
      <c r="Q795" s="94">
        <v>0</v>
      </c>
      <c r="R795" s="94">
        <v>0</v>
      </c>
      <c r="S795" s="94">
        <v>0</v>
      </c>
      <c r="T795" s="94">
        <v>0</v>
      </c>
      <c r="U795" s="94">
        <v>0</v>
      </c>
      <c r="V795" s="94">
        <v>0</v>
      </c>
      <c r="W795" s="64">
        <v>0.30000000000000004</v>
      </c>
      <c r="Y795" s="60">
        <v>-114.49979999999999</v>
      </c>
      <c r="Z795" s="60">
        <v>-1.3495999999999999</v>
      </c>
      <c r="AA795" s="60">
        <v>-4.3099999999999996</v>
      </c>
      <c r="AB795" s="60">
        <v>0</v>
      </c>
      <c r="AC795" s="60">
        <v>0</v>
      </c>
      <c r="AD795" s="8">
        <f>SUM(Y795:AC795)</f>
        <v>-120.15939999999999</v>
      </c>
      <c r="AE795" s="2" t="s">
        <v>91</v>
      </c>
      <c r="AG795" s="70" t="s">
        <v>1353</v>
      </c>
      <c r="AH795" s="70" t="s">
        <v>1353</v>
      </c>
      <c r="AJ795" s="70"/>
      <c r="AK795" s="70"/>
      <c r="AL795" s="72"/>
      <c r="AM795" s="22"/>
      <c r="AO795" s="149" t="s">
        <v>126</v>
      </c>
      <c r="AP795" s="23">
        <v>17682</v>
      </c>
      <c r="AQ795" s="149" t="s">
        <v>267</v>
      </c>
      <c r="AR795" s="51" t="str">
        <f t="shared" si="698"/>
        <v>JD8B-17682-ADW</v>
      </c>
      <c r="AS795" s="3"/>
      <c r="AT795" s="94">
        <v>1</v>
      </c>
      <c r="AU795" s="94">
        <v>1</v>
      </c>
      <c r="AV795" s="94">
        <v>0</v>
      </c>
      <c r="AW795" s="94">
        <v>0</v>
      </c>
      <c r="AX795" s="94">
        <v>0</v>
      </c>
      <c r="AY795" s="94">
        <v>0</v>
      </c>
      <c r="AZ795" s="94">
        <v>0</v>
      </c>
      <c r="BA795" s="94">
        <v>0</v>
      </c>
      <c r="BB795" s="64">
        <v>0.30000000000000004</v>
      </c>
      <c r="BD795" s="60">
        <v>-114.49979999999999</v>
      </c>
      <c r="BE795" s="60">
        <v>-1.3495999999999999</v>
      </c>
      <c r="BF795" s="60">
        <v>-4.3099999999999996</v>
      </c>
      <c r="BG795" s="60">
        <v>0</v>
      </c>
      <c r="BH795" s="60">
        <v>0</v>
      </c>
      <c r="BI795" s="8">
        <f>SUM(BD795:BH795)</f>
        <v>-120.15939999999999</v>
      </c>
      <c r="BJ795" s="2" t="s">
        <v>91</v>
      </c>
      <c r="BL795" s="70">
        <v>-3536850</v>
      </c>
      <c r="BM795" s="70">
        <v>-3536850</v>
      </c>
      <c r="BO795" s="70"/>
      <c r="BP795" s="70"/>
      <c r="BQ795" s="72"/>
      <c r="BS795" s="61">
        <f t="shared" si="664"/>
        <v>0</v>
      </c>
      <c r="BT795" s="61">
        <f t="shared" si="665"/>
        <v>0</v>
      </c>
      <c r="BU795" s="61">
        <f t="shared" si="666"/>
        <v>0</v>
      </c>
      <c r="BV795" s="61">
        <f t="shared" si="666"/>
        <v>0</v>
      </c>
      <c r="BW795" s="61">
        <f t="shared" si="666"/>
        <v>0</v>
      </c>
      <c r="BX795" s="61">
        <f t="shared" si="666"/>
        <v>0</v>
      </c>
      <c r="BY795" s="61" t="s">
        <v>91</v>
      </c>
      <c r="CA795" s="61">
        <f t="shared" si="701"/>
        <v>0</v>
      </c>
      <c r="CB795" s="61">
        <f t="shared" si="701"/>
        <v>0</v>
      </c>
      <c r="CC795" s="61">
        <f t="shared" si="701"/>
        <v>0</v>
      </c>
      <c r="CD795" s="61">
        <f t="shared" si="699"/>
        <v>0</v>
      </c>
      <c r="CE795" s="61">
        <f t="shared" si="699"/>
        <v>0</v>
      </c>
      <c r="CF795" s="61">
        <f t="shared" si="699"/>
        <v>0</v>
      </c>
      <c r="CG795" s="61">
        <f t="shared" si="699"/>
        <v>0</v>
      </c>
      <c r="CH795" s="61">
        <f t="shared" si="699"/>
        <v>0</v>
      </c>
      <c r="CI795" s="61">
        <f t="shared" si="738"/>
        <v>0</v>
      </c>
      <c r="CJ795" s="61"/>
      <c r="CK795" s="61">
        <f t="shared" si="702"/>
        <v>0</v>
      </c>
      <c r="CL795" s="61">
        <f t="shared" si="702"/>
        <v>0</v>
      </c>
      <c r="CM795" s="61">
        <f t="shared" si="702"/>
        <v>0</v>
      </c>
      <c r="CN795" s="61">
        <f t="shared" si="700"/>
        <v>0</v>
      </c>
      <c r="CO795" s="61">
        <f t="shared" si="700"/>
        <v>0</v>
      </c>
      <c r="CP795" s="61">
        <f t="shared" si="700"/>
        <v>0</v>
      </c>
      <c r="CQ795" s="61">
        <f t="shared" si="700"/>
        <v>0</v>
      </c>
      <c r="CR795" s="61">
        <f t="shared" si="700"/>
        <v>0</v>
      </c>
      <c r="CS795" s="61">
        <f t="shared" si="739"/>
        <v>0</v>
      </c>
      <c r="CT795" s="61">
        <f t="shared" si="740"/>
        <v>0</v>
      </c>
      <c r="CV795" s="61">
        <f t="shared" ref="CV795:CV796" si="744">SUM(AG795)-SUM(BL795)</f>
        <v>3536850</v>
      </c>
      <c r="CW795" s="61">
        <f t="shared" ref="CW795:CW796" si="745">SUM(AH795)-SUM(BM795)</f>
        <v>3536850</v>
      </c>
      <c r="CX795" s="61"/>
      <c r="CY795" s="61">
        <f t="shared" si="725"/>
        <v>0</v>
      </c>
      <c r="CZ795" s="61">
        <f t="shared" si="725"/>
        <v>0</v>
      </c>
      <c r="DA795" s="61">
        <f t="shared" si="725"/>
        <v>0</v>
      </c>
      <c r="DB795" s="2" t="s">
        <v>86</v>
      </c>
      <c r="DC795" s="2" t="s">
        <v>85</v>
      </c>
      <c r="DD795" s="2" t="s">
        <v>142</v>
      </c>
      <c r="DE795" s="2" t="s">
        <v>1146</v>
      </c>
      <c r="DF795" s="3" t="s">
        <v>86</v>
      </c>
      <c r="DG795" s="62">
        <v>43138</v>
      </c>
      <c r="EC795" s="60" t="str">
        <f>VLOOKUP($M795,[1]Detail!$M:$BO,1,0)</f>
        <v>JD8B-17682-ADW</v>
      </c>
      <c r="ED795" s="60">
        <f>VLOOKUP($M795,[1]Detail!$M:$BO,22,0)</f>
        <v>-120.15939999999999</v>
      </c>
      <c r="EE795" s="60" t="str">
        <f>VLOOKUP($M795,[1]Detail!$M:$BO,42,0)</f>
        <v>incl.inCFW</v>
      </c>
      <c r="EF795" s="60">
        <f>VLOOKUP($M795,[1]Detail!$M:$BO,45,0)</f>
        <v>0</v>
      </c>
      <c r="EH795" s="60">
        <f t="shared" ref="EH795:EH796" si="746">ED795-AD795</f>
        <v>0</v>
      </c>
      <c r="EI795" s="60">
        <f>SUM(EE795)-SUM(AG795)</f>
        <v>0</v>
      </c>
      <c r="EJ795" s="60">
        <f t="shared" ref="EJ795:EJ796" si="747">EF795-AJ795</f>
        <v>0</v>
      </c>
    </row>
    <row r="796" spans="2:140" ht="12.75" hidden="1" customHeight="1">
      <c r="B796" s="99" t="s">
        <v>1267</v>
      </c>
      <c r="C796" s="22" t="s">
        <v>975</v>
      </c>
      <c r="D796" s="22" t="s">
        <v>976</v>
      </c>
      <c r="E796" s="2" t="s">
        <v>968</v>
      </c>
      <c r="F796" s="2" t="s">
        <v>969</v>
      </c>
      <c r="G796" s="2" t="s">
        <v>331</v>
      </c>
      <c r="J796" s="149" t="s">
        <v>126</v>
      </c>
      <c r="K796" s="23">
        <v>17682</v>
      </c>
      <c r="L796" s="149" t="s">
        <v>670</v>
      </c>
      <c r="M796" s="51" t="str">
        <f t="shared" si="722"/>
        <v>JD8B-17682-BDW</v>
      </c>
      <c r="O796" s="94">
        <v>0</v>
      </c>
      <c r="P796" s="94">
        <v>0</v>
      </c>
      <c r="Q796" s="94">
        <v>1</v>
      </c>
      <c r="R796" s="94">
        <v>1</v>
      </c>
      <c r="S796" s="94">
        <v>1</v>
      </c>
      <c r="T796" s="94">
        <v>1</v>
      </c>
      <c r="U796" s="94">
        <v>0</v>
      </c>
      <c r="V796" s="94">
        <v>0</v>
      </c>
      <c r="W796" s="64">
        <v>0.6</v>
      </c>
      <c r="Y796" s="60">
        <v>-121.9957</v>
      </c>
      <c r="Z796" s="60">
        <v>-1.3495999999999999</v>
      </c>
      <c r="AA796" s="60">
        <v>-4.3099999999999996</v>
      </c>
      <c r="AB796" s="60">
        <v>0</v>
      </c>
      <c r="AC796" s="60">
        <v>0</v>
      </c>
      <c r="AD796" s="8">
        <f t="shared" ref="AD796" si="748">SUM(Y796:AC796)</f>
        <v>-127.6553</v>
      </c>
      <c r="AE796" s="2" t="s">
        <v>91</v>
      </c>
      <c r="AG796" s="70" t="s">
        <v>1039</v>
      </c>
      <c r="AH796" s="70" t="s">
        <v>1039</v>
      </c>
      <c r="AJ796" s="70"/>
      <c r="AK796" s="70"/>
      <c r="AL796" s="72"/>
      <c r="AM796" s="22"/>
      <c r="AO796" s="149" t="s">
        <v>126</v>
      </c>
      <c r="AP796" s="23">
        <v>17682</v>
      </c>
      <c r="AQ796" s="149" t="s">
        <v>670</v>
      </c>
      <c r="AR796" s="51" t="str">
        <f t="shared" si="698"/>
        <v>JD8B-17682-BDW</v>
      </c>
      <c r="AS796" s="3"/>
      <c r="AT796" s="94">
        <v>0</v>
      </c>
      <c r="AU796" s="94">
        <v>0</v>
      </c>
      <c r="AV796" s="94">
        <v>1</v>
      </c>
      <c r="AW796" s="94">
        <v>1</v>
      </c>
      <c r="AX796" s="94">
        <v>1</v>
      </c>
      <c r="AY796" s="94">
        <v>1</v>
      </c>
      <c r="AZ796" s="94">
        <v>0</v>
      </c>
      <c r="BA796" s="94">
        <v>0</v>
      </c>
      <c r="BB796" s="64">
        <v>0.6</v>
      </c>
      <c r="BD796" s="60">
        <v>-121.9957</v>
      </c>
      <c r="BE796" s="60">
        <v>-1.3495999999999999</v>
      </c>
      <c r="BF796" s="60">
        <v>-4.3099999999999996</v>
      </c>
      <c r="BG796" s="60">
        <v>0</v>
      </c>
      <c r="BH796" s="60">
        <v>0</v>
      </c>
      <c r="BI796" s="8">
        <f t="shared" ref="BI796" si="749">SUM(BD796:BH796)</f>
        <v>-127.6553</v>
      </c>
      <c r="BJ796" s="2" t="s">
        <v>91</v>
      </c>
      <c r="BL796" s="70" t="s">
        <v>1039</v>
      </c>
      <c r="BM796" s="70" t="s">
        <v>1039</v>
      </c>
      <c r="BO796" s="70"/>
      <c r="BP796" s="70"/>
      <c r="BQ796" s="72"/>
      <c r="BS796" s="61">
        <f t="shared" si="664"/>
        <v>0</v>
      </c>
      <c r="BT796" s="61">
        <f t="shared" si="665"/>
        <v>0</v>
      </c>
      <c r="BU796" s="61">
        <f t="shared" si="666"/>
        <v>0</v>
      </c>
      <c r="BV796" s="61">
        <f t="shared" si="666"/>
        <v>0</v>
      </c>
      <c r="BW796" s="61">
        <f t="shared" si="666"/>
        <v>0</v>
      </c>
      <c r="BX796" s="61">
        <f t="shared" si="666"/>
        <v>0</v>
      </c>
      <c r="BY796" s="61" t="s">
        <v>91</v>
      </c>
      <c r="CA796" s="61">
        <f t="shared" si="701"/>
        <v>0</v>
      </c>
      <c r="CB796" s="61">
        <f t="shared" si="701"/>
        <v>0</v>
      </c>
      <c r="CC796" s="61">
        <f t="shared" si="701"/>
        <v>0</v>
      </c>
      <c r="CD796" s="61">
        <f t="shared" si="699"/>
        <v>0</v>
      </c>
      <c r="CE796" s="61">
        <f t="shared" si="699"/>
        <v>0</v>
      </c>
      <c r="CF796" s="61">
        <f t="shared" si="699"/>
        <v>0</v>
      </c>
      <c r="CG796" s="61">
        <f t="shared" si="699"/>
        <v>0</v>
      </c>
      <c r="CH796" s="61">
        <f t="shared" si="699"/>
        <v>0</v>
      </c>
      <c r="CI796" s="61">
        <f t="shared" si="738"/>
        <v>0</v>
      </c>
      <c r="CJ796" s="61"/>
      <c r="CK796" s="61">
        <f t="shared" si="702"/>
        <v>0</v>
      </c>
      <c r="CL796" s="61">
        <f t="shared" si="702"/>
        <v>0</v>
      </c>
      <c r="CM796" s="61">
        <f t="shared" si="702"/>
        <v>0</v>
      </c>
      <c r="CN796" s="61">
        <f t="shared" si="700"/>
        <v>0</v>
      </c>
      <c r="CO796" s="61">
        <f t="shared" si="700"/>
        <v>0</v>
      </c>
      <c r="CP796" s="61">
        <f t="shared" si="700"/>
        <v>0</v>
      </c>
      <c r="CQ796" s="61">
        <f t="shared" si="700"/>
        <v>0</v>
      </c>
      <c r="CR796" s="61">
        <f t="shared" si="700"/>
        <v>0</v>
      </c>
      <c r="CS796" s="61">
        <f t="shared" si="739"/>
        <v>0</v>
      </c>
      <c r="CT796" s="61">
        <f t="shared" si="740"/>
        <v>0</v>
      </c>
      <c r="CV796" s="61">
        <f t="shared" si="744"/>
        <v>0</v>
      </c>
      <c r="CW796" s="61">
        <f t="shared" si="745"/>
        <v>0</v>
      </c>
      <c r="CX796" s="61"/>
      <c r="CY796" s="61">
        <f t="shared" si="725"/>
        <v>0</v>
      </c>
      <c r="CZ796" s="61">
        <f t="shared" si="725"/>
        <v>0</v>
      </c>
      <c r="DA796" s="61">
        <f t="shared" si="725"/>
        <v>0</v>
      </c>
      <c r="DB796" s="2" t="s">
        <v>86</v>
      </c>
      <c r="DC796" s="2" t="s">
        <v>85</v>
      </c>
      <c r="DD796" s="2" t="s">
        <v>142</v>
      </c>
      <c r="DE796" s="2" t="s">
        <v>1146</v>
      </c>
      <c r="DF796" s="3" t="s">
        <v>86</v>
      </c>
      <c r="DG796" s="62">
        <v>43138</v>
      </c>
      <c r="EC796" s="60" t="str">
        <f>VLOOKUP($M796,[1]Detail!$M:$BO,1,0)</f>
        <v>JD8B-17682-BDW</v>
      </c>
      <c r="ED796" s="60">
        <f>VLOOKUP($M796,[1]Detail!$M:$BO,22,0)</f>
        <v>-127.6553</v>
      </c>
      <c r="EE796" s="60" t="str">
        <f>VLOOKUP($M796,[1]Detail!$M:$BO,42,0)</f>
        <v>incl.inCFW</v>
      </c>
      <c r="EF796" s="60">
        <f>VLOOKUP($M796,[1]Detail!$M:$BO,45,0)</f>
        <v>0</v>
      </c>
      <c r="EH796" s="60">
        <f t="shared" si="746"/>
        <v>0</v>
      </c>
      <c r="EI796" s="60">
        <f>SUM(EE796)-SUM(AG796)</f>
        <v>0</v>
      </c>
      <c r="EJ796" s="60">
        <f t="shared" si="747"/>
        <v>0</v>
      </c>
    </row>
    <row r="797" spans="2:140" ht="12.75" hidden="1" customHeight="1">
      <c r="B797" s="99" t="s">
        <v>1352</v>
      </c>
      <c r="C797" s="22" t="s">
        <v>975</v>
      </c>
      <c r="D797" s="22" t="s">
        <v>976</v>
      </c>
      <c r="E797" s="2" t="s">
        <v>968</v>
      </c>
      <c r="F797" s="2" t="s">
        <v>969</v>
      </c>
      <c r="G797" s="2" t="s">
        <v>331</v>
      </c>
      <c r="J797" s="149" t="s">
        <v>126</v>
      </c>
      <c r="K797" s="23">
        <v>17682</v>
      </c>
      <c r="L797" s="149" t="s">
        <v>1191</v>
      </c>
      <c r="M797" s="51" t="str">
        <f t="shared" si="722"/>
        <v>JD8B-17682-CDW</v>
      </c>
      <c r="O797" s="94">
        <v>0</v>
      </c>
      <c r="P797" s="94">
        <v>0</v>
      </c>
      <c r="Q797" s="94">
        <v>0</v>
      </c>
      <c r="R797" s="94">
        <v>0</v>
      </c>
      <c r="S797" s="94">
        <v>0</v>
      </c>
      <c r="T797" s="94">
        <v>0</v>
      </c>
      <c r="U797" s="94">
        <v>1</v>
      </c>
      <c r="V797" s="94">
        <v>1</v>
      </c>
      <c r="W797" s="64">
        <v>0.1</v>
      </c>
      <c r="Y797" s="60">
        <v>-203.2466</v>
      </c>
      <c r="Z797" s="60">
        <v>-1.3495999999999999</v>
      </c>
      <c r="AA797" s="60">
        <v>-4.3099999999999996</v>
      </c>
      <c r="AB797" s="60">
        <v>0</v>
      </c>
      <c r="AC797" s="60">
        <v>0</v>
      </c>
      <c r="AD797" s="8">
        <f t="shared" si="742"/>
        <v>-208.90620000000001</v>
      </c>
      <c r="AE797" s="2" t="s">
        <v>91</v>
      </c>
      <c r="AG797" s="70" t="s">
        <v>1039</v>
      </c>
      <c r="AH797" s="70" t="s">
        <v>1039</v>
      </c>
      <c r="AJ797" s="70"/>
      <c r="AK797" s="70"/>
      <c r="AL797" s="72"/>
      <c r="AM797" s="22"/>
      <c r="AO797" s="149" t="s">
        <v>126</v>
      </c>
      <c r="AP797" s="23">
        <v>17682</v>
      </c>
      <c r="AQ797" s="22" t="s">
        <v>216</v>
      </c>
      <c r="AR797" s="51" t="str">
        <f t="shared" si="698"/>
        <v>JD8B-17682-CCW</v>
      </c>
      <c r="AS797" s="3"/>
      <c r="AT797" s="94">
        <v>0</v>
      </c>
      <c r="AU797" s="94">
        <v>0</v>
      </c>
      <c r="AV797" s="94">
        <v>0</v>
      </c>
      <c r="AW797" s="94">
        <v>0</v>
      </c>
      <c r="AX797" s="94">
        <v>0</v>
      </c>
      <c r="AY797" s="94">
        <v>0</v>
      </c>
      <c r="AZ797" s="94">
        <v>1</v>
      </c>
      <c r="BA797" s="94">
        <v>1</v>
      </c>
      <c r="BB797" s="64">
        <v>0.1</v>
      </c>
      <c r="BD797" s="60">
        <v>-203.2466</v>
      </c>
      <c r="BE797" s="60">
        <v>-1.3495999999999999</v>
      </c>
      <c r="BF797" s="95">
        <v>-4.3099999999999996</v>
      </c>
      <c r="BG797" s="95">
        <v>0</v>
      </c>
      <c r="BH797" s="95">
        <v>0</v>
      </c>
      <c r="BI797" s="8">
        <f t="shared" si="743"/>
        <v>-208.90620000000001</v>
      </c>
      <c r="BJ797" s="2" t="s">
        <v>91</v>
      </c>
      <c r="BL797" s="70" t="s">
        <v>1039</v>
      </c>
      <c r="BM797" s="70" t="s">
        <v>1039</v>
      </c>
      <c r="BO797" s="70"/>
      <c r="BP797" s="70"/>
      <c r="BQ797" s="72"/>
      <c r="BS797" s="61">
        <f t="shared" si="664"/>
        <v>0</v>
      </c>
      <c r="BT797" s="61">
        <f t="shared" si="665"/>
        <v>0</v>
      </c>
      <c r="BU797" s="61">
        <f t="shared" si="666"/>
        <v>0</v>
      </c>
      <c r="BV797" s="61">
        <f t="shared" si="666"/>
        <v>0</v>
      </c>
      <c r="BW797" s="61">
        <f t="shared" si="666"/>
        <v>0</v>
      </c>
      <c r="BX797" s="61">
        <f t="shared" ref="BX797:BX860" si="750">SUM(AD797)-SUM(BI797)</f>
        <v>0</v>
      </c>
      <c r="BY797" s="61" t="s">
        <v>91</v>
      </c>
      <c r="CA797" s="61">
        <f t="shared" si="701"/>
        <v>0</v>
      </c>
      <c r="CB797" s="61">
        <f t="shared" si="701"/>
        <v>0</v>
      </c>
      <c r="CC797" s="61">
        <f t="shared" si="701"/>
        <v>0</v>
      </c>
      <c r="CD797" s="61">
        <f t="shared" si="699"/>
        <v>0</v>
      </c>
      <c r="CE797" s="61">
        <f t="shared" si="699"/>
        <v>0</v>
      </c>
      <c r="CF797" s="61">
        <f t="shared" si="699"/>
        <v>0</v>
      </c>
      <c r="CG797" s="61">
        <f t="shared" si="699"/>
        <v>0</v>
      </c>
      <c r="CH797" s="61">
        <f t="shared" si="699"/>
        <v>0</v>
      </c>
      <c r="CI797" s="61">
        <f t="shared" si="738"/>
        <v>0</v>
      </c>
      <c r="CJ797" s="61"/>
      <c r="CK797" s="61">
        <f t="shared" si="702"/>
        <v>0</v>
      </c>
      <c r="CL797" s="61">
        <f t="shared" si="702"/>
        <v>0</v>
      </c>
      <c r="CM797" s="61">
        <f t="shared" si="702"/>
        <v>0</v>
      </c>
      <c r="CN797" s="61">
        <f t="shared" si="700"/>
        <v>0</v>
      </c>
      <c r="CO797" s="61">
        <f t="shared" si="700"/>
        <v>0</v>
      </c>
      <c r="CP797" s="61">
        <f t="shared" si="700"/>
        <v>0</v>
      </c>
      <c r="CQ797" s="61">
        <f t="shared" si="700"/>
        <v>0</v>
      </c>
      <c r="CR797" s="61">
        <f t="shared" si="700"/>
        <v>0</v>
      </c>
      <c r="CS797" s="61">
        <f t="shared" si="739"/>
        <v>0</v>
      </c>
      <c r="CT797" s="61">
        <f t="shared" si="740"/>
        <v>0</v>
      </c>
      <c r="CV797" s="61">
        <f t="shared" si="724"/>
        <v>0</v>
      </c>
      <c r="CW797" s="61">
        <f t="shared" si="741"/>
        <v>0</v>
      </c>
      <c r="CX797" s="61"/>
      <c r="CY797" s="61">
        <f t="shared" si="725"/>
        <v>0</v>
      </c>
      <c r="CZ797" s="61">
        <f t="shared" si="725"/>
        <v>0</v>
      </c>
      <c r="DA797" s="61">
        <f t="shared" si="725"/>
        <v>0</v>
      </c>
      <c r="DB797" s="2" t="s">
        <v>85</v>
      </c>
      <c r="DC797" s="2" t="s">
        <v>85</v>
      </c>
      <c r="DD797" s="2" t="s">
        <v>142</v>
      </c>
      <c r="DE797" s="2" t="s">
        <v>1146</v>
      </c>
      <c r="DF797" s="3" t="s">
        <v>86</v>
      </c>
      <c r="DG797" s="62">
        <v>43019</v>
      </c>
      <c r="EC797" s="60"/>
      <c r="ED797" s="60"/>
      <c r="EE797" s="60"/>
      <c r="EF797" s="60"/>
    </row>
    <row r="798" spans="2:140" ht="12.75" hidden="1" customHeight="1">
      <c r="B798" s="99" t="s">
        <v>1352</v>
      </c>
      <c r="C798" s="22" t="s">
        <v>975</v>
      </c>
      <c r="D798" s="22" t="s">
        <v>976</v>
      </c>
      <c r="E798" s="2" t="s">
        <v>968</v>
      </c>
      <c r="F798" s="2" t="s">
        <v>969</v>
      </c>
      <c r="G798" s="2" t="s">
        <v>331</v>
      </c>
      <c r="J798" s="149" t="s">
        <v>126</v>
      </c>
      <c r="K798" s="23">
        <v>17683</v>
      </c>
      <c r="L798" s="149" t="s">
        <v>267</v>
      </c>
      <c r="M798" s="51" t="str">
        <f t="shared" si="722"/>
        <v>JD8B-17683-ADW</v>
      </c>
      <c r="O798" s="94">
        <v>1</v>
      </c>
      <c r="P798" s="94">
        <v>1</v>
      </c>
      <c r="Q798" s="94">
        <v>0</v>
      </c>
      <c r="R798" s="94">
        <v>0</v>
      </c>
      <c r="S798" s="94">
        <v>0</v>
      </c>
      <c r="T798" s="94">
        <v>0</v>
      </c>
      <c r="U798" s="94">
        <v>0</v>
      </c>
      <c r="V798" s="94">
        <v>0</v>
      </c>
      <c r="W798" s="64">
        <v>0.30000000000000004</v>
      </c>
      <c r="Y798" s="60">
        <v>-114.49979999999999</v>
      </c>
      <c r="Z798" s="60">
        <v>-1.3495999999999999</v>
      </c>
      <c r="AA798" s="60">
        <v>-4.3099999999999996</v>
      </c>
      <c r="AB798" s="60">
        <v>0</v>
      </c>
      <c r="AC798" s="60">
        <v>0</v>
      </c>
      <c r="AD798" s="8">
        <f t="shared" si="742"/>
        <v>-120.15939999999999</v>
      </c>
      <c r="AE798" s="2" t="s">
        <v>91</v>
      </c>
      <c r="AG798" s="70" t="s">
        <v>1039</v>
      </c>
      <c r="AH798" s="70" t="s">
        <v>1039</v>
      </c>
      <c r="AJ798" s="70"/>
      <c r="AK798" s="70"/>
      <c r="AL798" s="72"/>
      <c r="AM798" s="22"/>
      <c r="AO798" s="149" t="s">
        <v>126</v>
      </c>
      <c r="AP798" s="23">
        <v>17683</v>
      </c>
      <c r="AQ798" s="22" t="s">
        <v>565</v>
      </c>
      <c r="AR798" s="51" t="str">
        <f t="shared" si="698"/>
        <v>JD8B-17683-ACW</v>
      </c>
      <c r="AS798" s="3"/>
      <c r="AT798" s="94">
        <v>1</v>
      </c>
      <c r="AU798" s="94">
        <v>1</v>
      </c>
      <c r="AV798" s="94">
        <v>0</v>
      </c>
      <c r="AW798" s="94">
        <v>0</v>
      </c>
      <c r="AX798" s="94">
        <v>0</v>
      </c>
      <c r="AY798" s="94">
        <v>0</v>
      </c>
      <c r="AZ798" s="94">
        <v>0</v>
      </c>
      <c r="BA798" s="94">
        <v>0</v>
      </c>
      <c r="BB798" s="64">
        <v>0.30000000000000004</v>
      </c>
      <c r="BD798" s="60">
        <v>-114.49979999999999</v>
      </c>
      <c r="BE798" s="60">
        <v>-1.3495999999999999</v>
      </c>
      <c r="BF798" s="95">
        <v>-4.3099999999999996</v>
      </c>
      <c r="BG798" s="95">
        <v>0</v>
      </c>
      <c r="BH798" s="95">
        <v>0</v>
      </c>
      <c r="BI798" s="8">
        <f t="shared" si="743"/>
        <v>-120.15939999999999</v>
      </c>
      <c r="BJ798" s="2" t="s">
        <v>91</v>
      </c>
      <c r="BL798" s="70" t="s">
        <v>1039</v>
      </c>
      <c r="BM798" s="70" t="s">
        <v>1039</v>
      </c>
      <c r="BO798" s="70"/>
      <c r="BP798" s="70"/>
      <c r="BQ798" s="72"/>
      <c r="BS798" s="61">
        <f t="shared" ref="BS798:BS841" si="751">SUM(Y798)-SUM(BD798)</f>
        <v>0</v>
      </c>
      <c r="BT798" s="61">
        <f t="shared" ref="BT798:BT841" si="752">SUM(Z798)-SUM(BE798)</f>
        <v>0</v>
      </c>
      <c r="BU798" s="61">
        <f t="shared" ref="BU798:BW841" si="753">SUM(AA798)-SUM(BF798)</f>
        <v>0</v>
      </c>
      <c r="BV798" s="61">
        <f t="shared" si="753"/>
        <v>0</v>
      </c>
      <c r="BW798" s="61">
        <f t="shared" si="753"/>
        <v>0</v>
      </c>
      <c r="BX798" s="61">
        <f t="shared" si="750"/>
        <v>0</v>
      </c>
      <c r="BY798" s="61" t="s">
        <v>91</v>
      </c>
      <c r="CA798" s="61">
        <f t="shared" si="701"/>
        <v>0</v>
      </c>
      <c r="CB798" s="61">
        <f t="shared" si="701"/>
        <v>0</v>
      </c>
      <c r="CC798" s="61">
        <f t="shared" si="701"/>
        <v>0</v>
      </c>
      <c r="CD798" s="61">
        <f t="shared" si="699"/>
        <v>0</v>
      </c>
      <c r="CE798" s="61">
        <f t="shared" si="699"/>
        <v>0</v>
      </c>
      <c r="CF798" s="61">
        <f t="shared" si="699"/>
        <v>0</v>
      </c>
      <c r="CG798" s="61">
        <f t="shared" si="699"/>
        <v>0</v>
      </c>
      <c r="CH798" s="61">
        <f t="shared" si="699"/>
        <v>0</v>
      </c>
      <c r="CI798" s="61">
        <f t="shared" si="738"/>
        <v>0</v>
      </c>
      <c r="CJ798" s="61"/>
      <c r="CK798" s="61">
        <f t="shared" si="702"/>
        <v>0</v>
      </c>
      <c r="CL798" s="61">
        <f t="shared" si="702"/>
        <v>0</v>
      </c>
      <c r="CM798" s="61">
        <f t="shared" si="702"/>
        <v>0</v>
      </c>
      <c r="CN798" s="61">
        <f t="shared" si="700"/>
        <v>0</v>
      </c>
      <c r="CO798" s="61">
        <f t="shared" si="700"/>
        <v>0</v>
      </c>
      <c r="CP798" s="61">
        <f t="shared" si="700"/>
        <v>0</v>
      </c>
      <c r="CQ798" s="61">
        <f t="shared" si="700"/>
        <v>0</v>
      </c>
      <c r="CR798" s="61">
        <f t="shared" si="700"/>
        <v>0</v>
      </c>
      <c r="CS798" s="61">
        <f t="shared" si="739"/>
        <v>0</v>
      </c>
      <c r="CT798" s="61">
        <f t="shared" si="740"/>
        <v>0</v>
      </c>
      <c r="CV798" s="61">
        <f t="shared" si="724"/>
        <v>0</v>
      </c>
      <c r="CW798" s="61">
        <f t="shared" si="741"/>
        <v>0</v>
      </c>
      <c r="CX798" s="61"/>
      <c r="CY798" s="61">
        <f t="shared" si="725"/>
        <v>0</v>
      </c>
      <c r="CZ798" s="61">
        <f t="shared" si="725"/>
        <v>0</v>
      </c>
      <c r="DA798" s="61">
        <f t="shared" si="725"/>
        <v>0</v>
      </c>
      <c r="DB798" s="2" t="s">
        <v>85</v>
      </c>
      <c r="DC798" s="2" t="s">
        <v>85</v>
      </c>
      <c r="DD798" s="2" t="s">
        <v>142</v>
      </c>
      <c r="DE798" s="2" t="s">
        <v>1146</v>
      </c>
      <c r="DF798" s="3" t="s">
        <v>86</v>
      </c>
      <c r="DG798" s="62">
        <v>43019</v>
      </c>
      <c r="EC798" s="60"/>
      <c r="ED798" s="60"/>
      <c r="EE798" s="60"/>
      <c r="EF798" s="60"/>
    </row>
    <row r="799" spans="2:140" ht="12.75" hidden="1" customHeight="1">
      <c r="B799" s="99" t="s">
        <v>1352</v>
      </c>
      <c r="C799" s="22" t="s">
        <v>975</v>
      </c>
      <c r="D799" s="22" t="s">
        <v>976</v>
      </c>
      <c r="E799" s="2" t="s">
        <v>968</v>
      </c>
      <c r="F799" s="2" t="s">
        <v>969</v>
      </c>
      <c r="G799" s="2" t="s">
        <v>331</v>
      </c>
      <c r="J799" s="149" t="s">
        <v>126</v>
      </c>
      <c r="K799" s="23">
        <v>17683</v>
      </c>
      <c r="L799" s="149" t="s">
        <v>670</v>
      </c>
      <c r="M799" s="51" t="str">
        <f t="shared" si="722"/>
        <v>JD8B-17683-BDW</v>
      </c>
      <c r="O799" s="94">
        <v>0</v>
      </c>
      <c r="P799" s="94">
        <v>0</v>
      </c>
      <c r="Q799" s="94">
        <v>1</v>
      </c>
      <c r="R799" s="94">
        <v>1</v>
      </c>
      <c r="S799" s="94">
        <v>1</v>
      </c>
      <c r="T799" s="94">
        <v>1</v>
      </c>
      <c r="U799" s="94">
        <v>0</v>
      </c>
      <c r="V799" s="94">
        <v>0</v>
      </c>
      <c r="W799" s="64">
        <v>0.6</v>
      </c>
      <c r="Y799" s="60">
        <v>-121.9957</v>
      </c>
      <c r="Z799" s="60">
        <v>-1.3495999999999999</v>
      </c>
      <c r="AA799" s="60">
        <v>-4.3099999999999996</v>
      </c>
      <c r="AB799" s="60">
        <v>0</v>
      </c>
      <c r="AC799" s="60">
        <v>0</v>
      </c>
      <c r="AD799" s="8">
        <f t="shared" si="742"/>
        <v>-127.6553</v>
      </c>
      <c r="AE799" s="2" t="s">
        <v>91</v>
      </c>
      <c r="AG799" s="70" t="s">
        <v>1039</v>
      </c>
      <c r="AH799" s="70" t="s">
        <v>1039</v>
      </c>
      <c r="AJ799" s="70"/>
      <c r="AK799" s="70"/>
      <c r="AL799" s="72"/>
      <c r="AM799" s="22"/>
      <c r="AO799" s="149" t="s">
        <v>126</v>
      </c>
      <c r="AP799" s="23">
        <v>17683</v>
      </c>
      <c r="AQ799" s="22" t="s">
        <v>215</v>
      </c>
      <c r="AR799" s="51" t="str">
        <f t="shared" si="698"/>
        <v>JD8B-17683-BCW</v>
      </c>
      <c r="AS799" s="3"/>
      <c r="AT799" s="94">
        <v>0</v>
      </c>
      <c r="AU799" s="94">
        <v>0</v>
      </c>
      <c r="AV799" s="94">
        <v>1</v>
      </c>
      <c r="AW799" s="94">
        <v>1</v>
      </c>
      <c r="AX799" s="94">
        <v>1</v>
      </c>
      <c r="AY799" s="94">
        <v>1</v>
      </c>
      <c r="AZ799" s="94">
        <v>0</v>
      </c>
      <c r="BA799" s="94">
        <v>0</v>
      </c>
      <c r="BB799" s="64">
        <v>0.6</v>
      </c>
      <c r="BD799" s="60">
        <v>-121.9957</v>
      </c>
      <c r="BE799" s="60">
        <v>-1.3495999999999999</v>
      </c>
      <c r="BF799" s="95">
        <v>-4.3099999999999996</v>
      </c>
      <c r="BG799" s="95">
        <v>0</v>
      </c>
      <c r="BH799" s="95">
        <v>0</v>
      </c>
      <c r="BI799" s="8">
        <f t="shared" si="743"/>
        <v>-127.6553</v>
      </c>
      <c r="BJ799" s="2" t="s">
        <v>91</v>
      </c>
      <c r="BL799" s="70" t="s">
        <v>1039</v>
      </c>
      <c r="BM799" s="70" t="s">
        <v>1039</v>
      </c>
      <c r="BO799" s="70"/>
      <c r="BP799" s="70"/>
      <c r="BQ799" s="72"/>
      <c r="BS799" s="61">
        <f t="shared" si="751"/>
        <v>0</v>
      </c>
      <c r="BT799" s="61">
        <f t="shared" si="752"/>
        <v>0</v>
      </c>
      <c r="BU799" s="61">
        <f t="shared" si="753"/>
        <v>0</v>
      </c>
      <c r="BV799" s="61">
        <f t="shared" si="753"/>
        <v>0</v>
      </c>
      <c r="BW799" s="61">
        <f t="shared" si="753"/>
        <v>0</v>
      </c>
      <c r="BX799" s="61">
        <f t="shared" si="750"/>
        <v>0</v>
      </c>
      <c r="BY799" s="61" t="s">
        <v>91</v>
      </c>
      <c r="CA799" s="61">
        <f t="shared" si="701"/>
        <v>0</v>
      </c>
      <c r="CB799" s="61">
        <f t="shared" si="701"/>
        <v>0</v>
      </c>
      <c r="CC799" s="61">
        <f t="shared" si="701"/>
        <v>0</v>
      </c>
      <c r="CD799" s="61">
        <f t="shared" si="699"/>
        <v>0</v>
      </c>
      <c r="CE799" s="61">
        <f t="shared" si="699"/>
        <v>0</v>
      </c>
      <c r="CF799" s="61">
        <f t="shared" si="699"/>
        <v>0</v>
      </c>
      <c r="CG799" s="61">
        <f t="shared" si="699"/>
        <v>0</v>
      </c>
      <c r="CH799" s="61">
        <f t="shared" si="699"/>
        <v>0</v>
      </c>
      <c r="CI799" s="61">
        <f t="shared" si="738"/>
        <v>0</v>
      </c>
      <c r="CJ799" s="61"/>
      <c r="CK799" s="61">
        <f t="shared" si="702"/>
        <v>0</v>
      </c>
      <c r="CL799" s="61">
        <f t="shared" si="702"/>
        <v>0</v>
      </c>
      <c r="CM799" s="61">
        <f t="shared" si="702"/>
        <v>0</v>
      </c>
      <c r="CN799" s="61">
        <f t="shared" si="700"/>
        <v>0</v>
      </c>
      <c r="CO799" s="61">
        <f t="shared" si="700"/>
        <v>0</v>
      </c>
      <c r="CP799" s="61">
        <f t="shared" si="700"/>
        <v>0</v>
      </c>
      <c r="CQ799" s="61">
        <f t="shared" si="700"/>
        <v>0</v>
      </c>
      <c r="CR799" s="61">
        <f t="shared" si="700"/>
        <v>0</v>
      </c>
      <c r="CS799" s="61">
        <f t="shared" si="739"/>
        <v>0</v>
      </c>
      <c r="CT799" s="61">
        <f t="shared" si="740"/>
        <v>0</v>
      </c>
      <c r="CV799" s="61">
        <f t="shared" si="724"/>
        <v>0</v>
      </c>
      <c r="CW799" s="61">
        <f t="shared" si="741"/>
        <v>0</v>
      </c>
      <c r="CX799" s="61"/>
      <c r="CY799" s="61">
        <f t="shared" si="725"/>
        <v>0</v>
      </c>
      <c r="CZ799" s="61">
        <f t="shared" si="725"/>
        <v>0</v>
      </c>
      <c r="DA799" s="61">
        <f t="shared" si="725"/>
        <v>0</v>
      </c>
      <c r="DB799" s="2" t="s">
        <v>85</v>
      </c>
      <c r="DC799" s="2" t="s">
        <v>85</v>
      </c>
      <c r="DD799" s="2" t="s">
        <v>142</v>
      </c>
      <c r="DE799" s="2" t="s">
        <v>1146</v>
      </c>
      <c r="DF799" s="3" t="s">
        <v>86</v>
      </c>
      <c r="DG799" s="62">
        <v>43019</v>
      </c>
      <c r="EC799" s="60"/>
      <c r="ED799" s="60"/>
      <c r="EE799" s="60"/>
      <c r="EF799" s="60"/>
      <c r="EH799" s="60"/>
      <c r="EI799" s="60"/>
      <c r="EJ799" s="60"/>
    </row>
    <row r="800" spans="2:140" s="131" customFormat="1" ht="12.75" hidden="1" customHeight="1">
      <c r="B800" s="129" t="s">
        <v>1267</v>
      </c>
      <c r="C800" s="130" t="s">
        <v>975</v>
      </c>
      <c r="D800" s="130" t="s">
        <v>976</v>
      </c>
      <c r="E800" s="131" t="s">
        <v>968</v>
      </c>
      <c r="F800" s="131" t="s">
        <v>969</v>
      </c>
      <c r="G800" s="131" t="s">
        <v>331</v>
      </c>
      <c r="H800" s="2"/>
      <c r="J800" s="157" t="s">
        <v>126</v>
      </c>
      <c r="K800" s="132">
        <v>17683</v>
      </c>
      <c r="L800" s="157" t="s">
        <v>267</v>
      </c>
      <c r="M800" s="133" t="str">
        <f t="shared" si="722"/>
        <v>JD8B-17683-ADW</v>
      </c>
      <c r="N800" s="134"/>
      <c r="O800" s="158">
        <v>1</v>
      </c>
      <c r="P800" s="158">
        <v>1</v>
      </c>
      <c r="Q800" s="158">
        <v>0</v>
      </c>
      <c r="R800" s="158">
        <v>0</v>
      </c>
      <c r="S800" s="158">
        <v>0</v>
      </c>
      <c r="T800" s="158">
        <v>0</v>
      </c>
      <c r="U800" s="158">
        <v>0</v>
      </c>
      <c r="V800" s="158">
        <v>0</v>
      </c>
      <c r="W800" s="135">
        <v>0.30000000000000004</v>
      </c>
      <c r="Y800" s="139">
        <v>-114.49979999999999</v>
      </c>
      <c r="Z800" s="139">
        <v>-1.3495999999999999</v>
      </c>
      <c r="AA800" s="139">
        <v>-4.3099999999999996</v>
      </c>
      <c r="AB800" s="139">
        <v>0</v>
      </c>
      <c r="AC800" s="139">
        <v>0</v>
      </c>
      <c r="AD800" s="136">
        <f t="shared" si="742"/>
        <v>-120.15939999999999</v>
      </c>
      <c r="AE800" s="131" t="s">
        <v>91</v>
      </c>
      <c r="AG800" s="137" t="s">
        <v>1039</v>
      </c>
      <c r="AH800" s="137" t="s">
        <v>1039</v>
      </c>
      <c r="AJ800" s="137"/>
      <c r="AK800" s="137"/>
      <c r="AL800" s="138"/>
      <c r="AM800" s="130"/>
      <c r="AO800" s="157" t="s">
        <v>126</v>
      </c>
      <c r="AP800" s="132">
        <v>17683</v>
      </c>
      <c r="AQ800" s="157" t="s">
        <v>267</v>
      </c>
      <c r="AR800" s="133" t="str">
        <f t="shared" si="698"/>
        <v>JD8B-17683-ADW</v>
      </c>
      <c r="AS800" s="134"/>
      <c r="AT800" s="158">
        <v>1</v>
      </c>
      <c r="AU800" s="158">
        <v>1</v>
      </c>
      <c r="AV800" s="158">
        <v>0</v>
      </c>
      <c r="AW800" s="158">
        <v>0</v>
      </c>
      <c r="AX800" s="158">
        <v>0</v>
      </c>
      <c r="AY800" s="158">
        <v>0</v>
      </c>
      <c r="AZ800" s="158">
        <v>0</v>
      </c>
      <c r="BA800" s="158">
        <v>0</v>
      </c>
      <c r="BB800" s="135">
        <v>0.30000000000000004</v>
      </c>
      <c r="BD800" s="139">
        <v>-114.49979999999999</v>
      </c>
      <c r="BE800" s="139">
        <v>-1.3495999999999999</v>
      </c>
      <c r="BF800" s="139">
        <v>-4.3099999999999996</v>
      </c>
      <c r="BG800" s="139">
        <v>0</v>
      </c>
      <c r="BH800" s="139">
        <v>0</v>
      </c>
      <c r="BI800" s="136">
        <f t="shared" si="743"/>
        <v>-120.15939999999999</v>
      </c>
      <c r="BJ800" s="131" t="s">
        <v>91</v>
      </c>
      <c r="BL800" s="137" t="s">
        <v>1039</v>
      </c>
      <c r="BM800" s="137" t="s">
        <v>1039</v>
      </c>
      <c r="BO800" s="137"/>
      <c r="BP800" s="137"/>
      <c r="BQ800" s="138"/>
      <c r="BS800" s="61">
        <f t="shared" si="751"/>
        <v>0</v>
      </c>
      <c r="BT800" s="61">
        <f t="shared" si="752"/>
        <v>0</v>
      </c>
      <c r="BU800" s="61">
        <f t="shared" si="753"/>
        <v>0</v>
      </c>
      <c r="BV800" s="61">
        <f t="shared" si="753"/>
        <v>0</v>
      </c>
      <c r="BW800" s="61">
        <f t="shared" si="753"/>
        <v>0</v>
      </c>
      <c r="BX800" s="61">
        <f t="shared" si="750"/>
        <v>0</v>
      </c>
      <c r="BY800" s="61" t="s">
        <v>91</v>
      </c>
      <c r="BZ800" s="2"/>
      <c r="CA800" s="61">
        <f t="shared" si="701"/>
        <v>0</v>
      </c>
      <c r="CB800" s="61">
        <f t="shared" si="701"/>
        <v>0</v>
      </c>
      <c r="CC800" s="61">
        <f t="shared" si="701"/>
        <v>0</v>
      </c>
      <c r="CD800" s="61">
        <f t="shared" si="699"/>
        <v>0</v>
      </c>
      <c r="CE800" s="61">
        <f t="shared" si="699"/>
        <v>0</v>
      </c>
      <c r="CF800" s="61">
        <f t="shared" si="699"/>
        <v>0</v>
      </c>
      <c r="CG800" s="61">
        <f t="shared" si="699"/>
        <v>0</v>
      </c>
      <c r="CH800" s="61">
        <f t="shared" si="699"/>
        <v>0</v>
      </c>
      <c r="CI800" s="61">
        <f t="shared" si="738"/>
        <v>0</v>
      </c>
      <c r="CJ800" s="61"/>
      <c r="CK800" s="61">
        <f t="shared" si="702"/>
        <v>0</v>
      </c>
      <c r="CL800" s="61">
        <f t="shared" si="702"/>
        <v>0</v>
      </c>
      <c r="CM800" s="61">
        <f t="shared" si="702"/>
        <v>0</v>
      </c>
      <c r="CN800" s="61">
        <f t="shared" si="700"/>
        <v>0</v>
      </c>
      <c r="CO800" s="61">
        <f t="shared" si="700"/>
        <v>0</v>
      </c>
      <c r="CP800" s="61">
        <f t="shared" si="700"/>
        <v>0</v>
      </c>
      <c r="CQ800" s="61">
        <f t="shared" si="700"/>
        <v>0</v>
      </c>
      <c r="CR800" s="61">
        <f t="shared" si="700"/>
        <v>0</v>
      </c>
      <c r="CS800" s="61">
        <f t="shared" si="739"/>
        <v>0</v>
      </c>
      <c r="CT800" s="61">
        <f t="shared" si="740"/>
        <v>0</v>
      </c>
      <c r="CU800" s="2"/>
      <c r="CV800" s="61">
        <f t="shared" ref="CV800:CV801" si="754">SUM(AG800)-SUM(BL800)</f>
        <v>0</v>
      </c>
      <c r="CW800" s="61">
        <f t="shared" ref="CW800:CW801" si="755">SUM(AH800)-SUM(BM800)</f>
        <v>0</v>
      </c>
      <c r="CX800" s="61"/>
      <c r="CY800" s="61">
        <f t="shared" si="725"/>
        <v>0</v>
      </c>
      <c r="CZ800" s="61">
        <f t="shared" si="725"/>
        <v>0</v>
      </c>
      <c r="DA800" s="61">
        <f t="shared" si="725"/>
        <v>0</v>
      </c>
      <c r="DB800" s="131" t="s">
        <v>86</v>
      </c>
      <c r="DC800" s="131" t="s">
        <v>85</v>
      </c>
      <c r="DD800" s="131" t="s">
        <v>142</v>
      </c>
      <c r="DE800" s="131" t="s">
        <v>1146</v>
      </c>
      <c r="DF800" s="134" t="s">
        <v>86</v>
      </c>
      <c r="DG800" s="141">
        <v>43019</v>
      </c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134"/>
      <c r="EC800" s="139" t="str">
        <f>VLOOKUP($M800,[1]Detail!$M:$BO,1,0)</f>
        <v>JD8B-17683-ADW</v>
      </c>
      <c r="ED800" s="139">
        <f>VLOOKUP($M800,[1]Detail!$M:$BO,22,0)</f>
        <v>-120.15939999999999</v>
      </c>
      <c r="EE800" s="139" t="str">
        <f>VLOOKUP($M800,[1]Detail!$M:$BO,42,0)</f>
        <v>incl.above</v>
      </c>
      <c r="EF800" s="139">
        <f>VLOOKUP($M800,[1]Detail!$M:$BO,45,0)</f>
        <v>0</v>
      </c>
      <c r="EH800" s="139">
        <f t="shared" ref="EH800:EH801" si="756">ED800-AD800</f>
        <v>0</v>
      </c>
      <c r="EI800" s="139">
        <f>SUM(EE800)-SUM(AG800)</f>
        <v>0</v>
      </c>
      <c r="EJ800" s="139">
        <f t="shared" ref="EJ800:EJ801" si="757">EF800-AJ800</f>
        <v>0</v>
      </c>
    </row>
    <row r="801" spans="2:140" s="131" customFormat="1" ht="12.75" hidden="1" customHeight="1">
      <c r="B801" s="129" t="s">
        <v>1267</v>
      </c>
      <c r="C801" s="130" t="s">
        <v>975</v>
      </c>
      <c r="D801" s="130" t="s">
        <v>976</v>
      </c>
      <c r="E801" s="131" t="s">
        <v>968</v>
      </c>
      <c r="F801" s="131" t="s">
        <v>969</v>
      </c>
      <c r="G801" s="131" t="s">
        <v>331</v>
      </c>
      <c r="H801" s="2"/>
      <c r="J801" s="157" t="s">
        <v>126</v>
      </c>
      <c r="K801" s="132">
        <v>17683</v>
      </c>
      <c r="L801" s="157" t="s">
        <v>670</v>
      </c>
      <c r="M801" s="133" t="str">
        <f t="shared" si="722"/>
        <v>JD8B-17683-BDW</v>
      </c>
      <c r="N801" s="134"/>
      <c r="O801" s="158">
        <v>0</v>
      </c>
      <c r="P801" s="158">
        <v>0</v>
      </c>
      <c r="Q801" s="158">
        <v>1</v>
      </c>
      <c r="R801" s="158">
        <v>1</v>
      </c>
      <c r="S801" s="158">
        <v>1</v>
      </c>
      <c r="T801" s="158">
        <v>1</v>
      </c>
      <c r="U801" s="158">
        <v>0</v>
      </c>
      <c r="V801" s="158">
        <v>0</v>
      </c>
      <c r="W801" s="135">
        <v>0.6</v>
      </c>
      <c r="Y801" s="139">
        <v>-121.9957</v>
      </c>
      <c r="Z801" s="139">
        <v>-1.3495999999999999</v>
      </c>
      <c r="AA801" s="139">
        <v>-4.3099999999999996</v>
      </c>
      <c r="AB801" s="139">
        <v>0</v>
      </c>
      <c r="AC801" s="139">
        <v>0</v>
      </c>
      <c r="AD801" s="136">
        <f t="shared" si="742"/>
        <v>-127.6553</v>
      </c>
      <c r="AE801" s="131" t="s">
        <v>91</v>
      </c>
      <c r="AG801" s="137" t="s">
        <v>1039</v>
      </c>
      <c r="AH801" s="137" t="s">
        <v>1039</v>
      </c>
      <c r="AJ801" s="137"/>
      <c r="AK801" s="137"/>
      <c r="AL801" s="138"/>
      <c r="AM801" s="130"/>
      <c r="AO801" s="157" t="s">
        <v>126</v>
      </c>
      <c r="AP801" s="132">
        <v>17683</v>
      </c>
      <c r="AQ801" s="157" t="s">
        <v>670</v>
      </c>
      <c r="AR801" s="133" t="str">
        <f t="shared" si="698"/>
        <v>JD8B-17683-BDW</v>
      </c>
      <c r="AS801" s="134"/>
      <c r="AT801" s="158">
        <v>0</v>
      </c>
      <c r="AU801" s="158">
        <v>0</v>
      </c>
      <c r="AV801" s="158">
        <v>1</v>
      </c>
      <c r="AW801" s="158">
        <v>1</v>
      </c>
      <c r="AX801" s="158">
        <v>1</v>
      </c>
      <c r="AY801" s="158">
        <v>1</v>
      </c>
      <c r="AZ801" s="158">
        <v>0</v>
      </c>
      <c r="BA801" s="158">
        <v>0</v>
      </c>
      <c r="BB801" s="135">
        <v>0.6</v>
      </c>
      <c r="BD801" s="139">
        <v>-121.9957</v>
      </c>
      <c r="BE801" s="139">
        <v>-1.3495999999999999</v>
      </c>
      <c r="BF801" s="139">
        <v>-4.3099999999999996</v>
      </c>
      <c r="BG801" s="139">
        <v>0</v>
      </c>
      <c r="BH801" s="139">
        <v>0</v>
      </c>
      <c r="BI801" s="136">
        <f t="shared" si="743"/>
        <v>-127.6553</v>
      </c>
      <c r="BJ801" s="131" t="s">
        <v>91</v>
      </c>
      <c r="BL801" s="137" t="s">
        <v>1039</v>
      </c>
      <c r="BM801" s="137" t="s">
        <v>1039</v>
      </c>
      <c r="BO801" s="137"/>
      <c r="BP801" s="137"/>
      <c r="BQ801" s="138"/>
      <c r="BS801" s="61">
        <f t="shared" si="751"/>
        <v>0</v>
      </c>
      <c r="BT801" s="61">
        <f t="shared" si="752"/>
        <v>0</v>
      </c>
      <c r="BU801" s="61">
        <f t="shared" si="753"/>
        <v>0</v>
      </c>
      <c r="BV801" s="61">
        <f t="shared" si="753"/>
        <v>0</v>
      </c>
      <c r="BW801" s="61">
        <f t="shared" si="753"/>
        <v>0</v>
      </c>
      <c r="BX801" s="61">
        <f t="shared" si="750"/>
        <v>0</v>
      </c>
      <c r="BY801" s="61" t="s">
        <v>91</v>
      </c>
      <c r="BZ801" s="2"/>
      <c r="CA801" s="61">
        <f t="shared" si="701"/>
        <v>0</v>
      </c>
      <c r="CB801" s="61">
        <f t="shared" si="701"/>
        <v>0</v>
      </c>
      <c r="CC801" s="61">
        <f t="shared" si="701"/>
        <v>0</v>
      </c>
      <c r="CD801" s="61">
        <f t="shared" si="699"/>
        <v>0</v>
      </c>
      <c r="CE801" s="61">
        <f t="shared" si="699"/>
        <v>0</v>
      </c>
      <c r="CF801" s="61">
        <f t="shared" si="699"/>
        <v>0</v>
      </c>
      <c r="CG801" s="61">
        <f t="shared" si="699"/>
        <v>0</v>
      </c>
      <c r="CH801" s="61">
        <f t="shared" si="699"/>
        <v>0</v>
      </c>
      <c r="CI801" s="61">
        <f t="shared" si="738"/>
        <v>0</v>
      </c>
      <c r="CJ801" s="61"/>
      <c r="CK801" s="61">
        <f t="shared" si="702"/>
        <v>0</v>
      </c>
      <c r="CL801" s="61">
        <f t="shared" si="702"/>
        <v>0</v>
      </c>
      <c r="CM801" s="61">
        <f t="shared" si="702"/>
        <v>0</v>
      </c>
      <c r="CN801" s="61">
        <f t="shared" si="700"/>
        <v>0</v>
      </c>
      <c r="CO801" s="61">
        <f t="shared" si="700"/>
        <v>0</v>
      </c>
      <c r="CP801" s="61">
        <f t="shared" si="700"/>
        <v>0</v>
      </c>
      <c r="CQ801" s="61">
        <f t="shared" si="700"/>
        <v>0</v>
      </c>
      <c r="CR801" s="61">
        <f t="shared" si="700"/>
        <v>0</v>
      </c>
      <c r="CS801" s="61">
        <f t="shared" si="739"/>
        <v>0</v>
      </c>
      <c r="CT801" s="61">
        <f t="shared" si="740"/>
        <v>0</v>
      </c>
      <c r="CU801" s="2"/>
      <c r="CV801" s="61">
        <f t="shared" si="754"/>
        <v>0</v>
      </c>
      <c r="CW801" s="61">
        <f t="shared" si="755"/>
        <v>0</v>
      </c>
      <c r="CX801" s="61"/>
      <c r="CY801" s="61">
        <f t="shared" si="725"/>
        <v>0</v>
      </c>
      <c r="CZ801" s="61">
        <f t="shared" si="725"/>
        <v>0</v>
      </c>
      <c r="DA801" s="61">
        <f t="shared" si="725"/>
        <v>0</v>
      </c>
      <c r="DB801" s="131" t="s">
        <v>86</v>
      </c>
      <c r="DC801" s="131" t="s">
        <v>85</v>
      </c>
      <c r="DD801" s="131" t="s">
        <v>142</v>
      </c>
      <c r="DE801" s="131" t="s">
        <v>1146</v>
      </c>
      <c r="DF801" s="134" t="s">
        <v>86</v>
      </c>
      <c r="DG801" s="141">
        <v>43019</v>
      </c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134"/>
      <c r="EC801" s="139" t="str">
        <f>VLOOKUP($M801,[1]Detail!$M:$BO,1,0)</f>
        <v>JD8B-17683-BDW</v>
      </c>
      <c r="ED801" s="139">
        <f>VLOOKUP($M801,[1]Detail!$M:$BO,22,0)</f>
        <v>-127.6553</v>
      </c>
      <c r="EE801" s="139" t="str">
        <f>VLOOKUP($M801,[1]Detail!$M:$BO,42,0)</f>
        <v>incl.above</v>
      </c>
      <c r="EF801" s="139">
        <f>VLOOKUP($M801,[1]Detail!$M:$BO,45,0)</f>
        <v>0</v>
      </c>
      <c r="EH801" s="139">
        <f t="shared" si="756"/>
        <v>0</v>
      </c>
      <c r="EI801" s="139">
        <f>SUM(EE801)-SUM(AG801)</f>
        <v>0</v>
      </c>
      <c r="EJ801" s="139">
        <f t="shared" si="757"/>
        <v>0</v>
      </c>
    </row>
    <row r="802" spans="2:140" ht="12.75" hidden="1" customHeight="1">
      <c r="B802" s="99" t="s">
        <v>1352</v>
      </c>
      <c r="C802" s="22" t="s">
        <v>975</v>
      </c>
      <c r="D802" s="22" t="s">
        <v>976</v>
      </c>
      <c r="E802" s="2" t="s">
        <v>968</v>
      </c>
      <c r="F802" s="2" t="s">
        <v>969</v>
      </c>
      <c r="G802" s="2" t="s">
        <v>331</v>
      </c>
      <c r="J802" s="149" t="s">
        <v>126</v>
      </c>
      <c r="K802" s="23">
        <v>17683</v>
      </c>
      <c r="L802" s="149" t="s">
        <v>1191</v>
      </c>
      <c r="M802" s="51" t="str">
        <f t="shared" si="722"/>
        <v>JD8B-17683-CDW</v>
      </c>
      <c r="O802" s="94">
        <v>0</v>
      </c>
      <c r="P802" s="94">
        <v>0</v>
      </c>
      <c r="Q802" s="94">
        <v>0</v>
      </c>
      <c r="R802" s="94">
        <v>0</v>
      </c>
      <c r="S802" s="94">
        <v>0</v>
      </c>
      <c r="T802" s="94">
        <v>0</v>
      </c>
      <c r="U802" s="94">
        <v>1</v>
      </c>
      <c r="V802" s="94">
        <v>1</v>
      </c>
      <c r="W802" s="64">
        <v>0.1</v>
      </c>
      <c r="Y802" s="60">
        <v>-203.2466</v>
      </c>
      <c r="Z802" s="60">
        <v>-1.3495999999999999</v>
      </c>
      <c r="AA802" s="60">
        <v>-4.3099999999999996</v>
      </c>
      <c r="AB802" s="60">
        <v>0</v>
      </c>
      <c r="AC802" s="60">
        <v>0</v>
      </c>
      <c r="AD802" s="8">
        <f t="shared" si="742"/>
        <v>-208.90620000000001</v>
      </c>
      <c r="AE802" s="2" t="s">
        <v>91</v>
      </c>
      <c r="AG802" s="70" t="s">
        <v>1039</v>
      </c>
      <c r="AH802" s="70" t="s">
        <v>1039</v>
      </c>
      <c r="AJ802" s="70"/>
      <c r="AK802" s="70"/>
      <c r="AL802" s="72"/>
      <c r="AM802" s="22"/>
      <c r="AO802" s="149" t="s">
        <v>126</v>
      </c>
      <c r="AP802" s="23">
        <v>17683</v>
      </c>
      <c r="AQ802" s="22" t="s">
        <v>216</v>
      </c>
      <c r="AR802" s="51" t="str">
        <f t="shared" si="698"/>
        <v>JD8B-17683-CCW</v>
      </c>
      <c r="AS802" s="3"/>
      <c r="AT802" s="94">
        <v>0</v>
      </c>
      <c r="AU802" s="94">
        <v>0</v>
      </c>
      <c r="AV802" s="94">
        <v>0</v>
      </c>
      <c r="AW802" s="94">
        <v>0</v>
      </c>
      <c r="AX802" s="94">
        <v>0</v>
      </c>
      <c r="AY802" s="94">
        <v>0</v>
      </c>
      <c r="AZ802" s="94">
        <v>1</v>
      </c>
      <c r="BA802" s="94">
        <v>1</v>
      </c>
      <c r="BB802" s="64">
        <v>0.1</v>
      </c>
      <c r="BD802" s="60">
        <v>-203.2466</v>
      </c>
      <c r="BE802" s="60">
        <v>-1.3495999999999999</v>
      </c>
      <c r="BF802" s="95">
        <v>-4.3099999999999996</v>
      </c>
      <c r="BG802" s="95">
        <v>0</v>
      </c>
      <c r="BH802" s="95">
        <v>0</v>
      </c>
      <c r="BI802" s="8">
        <f t="shared" si="743"/>
        <v>-208.90620000000001</v>
      </c>
      <c r="BJ802" s="2" t="s">
        <v>91</v>
      </c>
      <c r="BL802" s="70" t="s">
        <v>1039</v>
      </c>
      <c r="BM802" s="70" t="s">
        <v>1039</v>
      </c>
      <c r="BO802" s="70"/>
      <c r="BP802" s="70"/>
      <c r="BQ802" s="72"/>
      <c r="BS802" s="61">
        <f t="shared" si="751"/>
        <v>0</v>
      </c>
      <c r="BT802" s="61">
        <f t="shared" si="752"/>
        <v>0</v>
      </c>
      <c r="BU802" s="61">
        <f t="shared" si="753"/>
        <v>0</v>
      </c>
      <c r="BV802" s="61">
        <f t="shared" si="753"/>
        <v>0</v>
      </c>
      <c r="BW802" s="61">
        <f t="shared" si="753"/>
        <v>0</v>
      </c>
      <c r="BX802" s="61">
        <f t="shared" si="750"/>
        <v>0</v>
      </c>
      <c r="BY802" s="61" t="s">
        <v>91</v>
      </c>
      <c r="CA802" s="61">
        <f t="shared" si="701"/>
        <v>0</v>
      </c>
      <c r="CB802" s="61">
        <f t="shared" si="701"/>
        <v>0</v>
      </c>
      <c r="CC802" s="61">
        <f t="shared" si="701"/>
        <v>0</v>
      </c>
      <c r="CD802" s="61">
        <f t="shared" si="699"/>
        <v>0</v>
      </c>
      <c r="CE802" s="61">
        <f t="shared" si="699"/>
        <v>0</v>
      </c>
      <c r="CF802" s="61">
        <f t="shared" si="699"/>
        <v>0</v>
      </c>
      <c r="CG802" s="61">
        <f t="shared" si="699"/>
        <v>0</v>
      </c>
      <c r="CH802" s="61">
        <f t="shared" si="699"/>
        <v>0</v>
      </c>
      <c r="CI802" s="61">
        <f t="shared" si="738"/>
        <v>0</v>
      </c>
      <c r="CJ802" s="61"/>
      <c r="CK802" s="61">
        <f t="shared" si="702"/>
        <v>0</v>
      </c>
      <c r="CL802" s="61">
        <f t="shared" si="702"/>
        <v>0</v>
      </c>
      <c r="CM802" s="61">
        <f t="shared" si="702"/>
        <v>0</v>
      </c>
      <c r="CN802" s="61">
        <f t="shared" si="700"/>
        <v>0</v>
      </c>
      <c r="CO802" s="61">
        <f t="shared" si="700"/>
        <v>0</v>
      </c>
      <c r="CP802" s="61">
        <f t="shared" si="700"/>
        <v>0</v>
      </c>
      <c r="CQ802" s="61">
        <f t="shared" si="700"/>
        <v>0</v>
      </c>
      <c r="CR802" s="61">
        <f t="shared" si="700"/>
        <v>0</v>
      </c>
      <c r="CS802" s="61">
        <f t="shared" si="739"/>
        <v>0</v>
      </c>
      <c r="CT802" s="61">
        <f t="shared" si="740"/>
        <v>0</v>
      </c>
      <c r="CV802" s="61">
        <f t="shared" si="724"/>
        <v>0</v>
      </c>
      <c r="CW802" s="61">
        <f t="shared" si="741"/>
        <v>0</v>
      </c>
      <c r="CX802" s="61"/>
      <c r="CY802" s="61">
        <f t="shared" si="725"/>
        <v>0</v>
      </c>
      <c r="CZ802" s="61">
        <f t="shared" si="725"/>
        <v>0</v>
      </c>
      <c r="DA802" s="61">
        <f t="shared" si="725"/>
        <v>0</v>
      </c>
      <c r="DB802" s="2" t="s">
        <v>85</v>
      </c>
      <c r="DC802" s="2" t="s">
        <v>85</v>
      </c>
      <c r="DD802" s="2" t="s">
        <v>142</v>
      </c>
      <c r="DE802" s="2" t="s">
        <v>1146</v>
      </c>
      <c r="DF802" s="3" t="s">
        <v>86</v>
      </c>
      <c r="DG802" s="62">
        <v>43019</v>
      </c>
      <c r="EC802" s="60"/>
      <c r="ED802" s="60"/>
      <c r="EE802" s="60"/>
      <c r="EF802" s="60"/>
    </row>
    <row r="803" spans="2:140" ht="12.75" hidden="1" customHeight="1">
      <c r="B803" s="99" t="s">
        <v>1354</v>
      </c>
      <c r="C803" s="22" t="s">
        <v>1034</v>
      </c>
      <c r="D803" s="22" t="s">
        <v>1035</v>
      </c>
      <c r="E803" s="2" t="s">
        <v>993</v>
      </c>
      <c r="F803" s="2" t="s">
        <v>969</v>
      </c>
      <c r="G803" s="2" t="s">
        <v>331</v>
      </c>
      <c r="J803" s="149" t="s">
        <v>126</v>
      </c>
      <c r="K803" s="23" t="s">
        <v>1355</v>
      </c>
      <c r="L803" s="149" t="s">
        <v>198</v>
      </c>
      <c r="M803" s="51" t="str">
        <f t="shared" si="722"/>
        <v>JD8B-F600A30-BAW</v>
      </c>
      <c r="O803" s="22"/>
      <c r="P803" s="22"/>
      <c r="Q803" s="22">
        <v>1</v>
      </c>
      <c r="R803" s="22">
        <v>1</v>
      </c>
      <c r="S803" s="22"/>
      <c r="T803" s="22"/>
      <c r="U803" s="22"/>
      <c r="V803" s="22"/>
      <c r="W803" s="64">
        <f t="shared" ref="W803:W837" si="758">SUMPRODUCT(O803:V803,$O$6:$V$6)</f>
        <v>0.37</v>
      </c>
      <c r="Y803" s="8">
        <f>-1018.212-9.54</f>
        <v>-1027.752</v>
      </c>
      <c r="Z803" s="8">
        <v>0</v>
      </c>
      <c r="AA803" s="8">
        <v>0</v>
      </c>
      <c r="AB803" s="8">
        <v>0</v>
      </c>
      <c r="AC803" s="8">
        <v>-4.8780000000000001</v>
      </c>
      <c r="AD803" s="8">
        <f t="shared" ref="AD803:AD955" si="759">SUM(Y803:AC803)</f>
        <v>-1032.6299999999999</v>
      </c>
      <c r="AE803" s="2" t="s">
        <v>84</v>
      </c>
      <c r="AG803" s="8"/>
      <c r="AH803" s="8"/>
      <c r="AJ803" s="70"/>
      <c r="AK803" s="70"/>
      <c r="AL803" s="72"/>
      <c r="AM803" s="22"/>
      <c r="AO803" s="149" t="s">
        <v>126</v>
      </c>
      <c r="AP803" s="23" t="s">
        <v>1355</v>
      </c>
      <c r="AQ803" s="149" t="s">
        <v>198</v>
      </c>
      <c r="AR803" s="51" t="str">
        <f t="shared" si="698"/>
        <v>JD8B-F600A30-BAW</v>
      </c>
      <c r="AS803" s="3"/>
      <c r="AT803" s="94"/>
      <c r="AU803" s="94"/>
      <c r="AV803" s="22">
        <v>1</v>
      </c>
      <c r="AW803" s="22">
        <v>1</v>
      </c>
      <c r="AX803" s="94"/>
      <c r="AY803" s="94"/>
      <c r="AZ803" s="94"/>
      <c r="BA803" s="94"/>
      <c r="BB803" s="64">
        <f t="shared" ref="BB803:BB838" si="760">SUMPRODUCT(AT803:BA803,$O$6:$V$6)</f>
        <v>0.37</v>
      </c>
      <c r="BD803" s="8">
        <v>-1018.212</v>
      </c>
      <c r="BE803" s="8">
        <v>0</v>
      </c>
      <c r="BF803" s="8">
        <v>0</v>
      </c>
      <c r="BG803" s="8">
        <v>0</v>
      </c>
      <c r="BH803" s="8">
        <v>-4.8780000000000001</v>
      </c>
      <c r="BI803" s="8">
        <f t="shared" si="743"/>
        <v>-1023.09</v>
      </c>
      <c r="BJ803" s="2" t="s">
        <v>84</v>
      </c>
      <c r="BL803" s="8" t="s">
        <v>1039</v>
      </c>
      <c r="BM803" s="8" t="s">
        <v>1039</v>
      </c>
      <c r="BO803" s="70"/>
      <c r="BP803" s="70"/>
      <c r="BQ803" s="72"/>
      <c r="BS803" s="61">
        <f t="shared" si="751"/>
        <v>-9.5399999999999636</v>
      </c>
      <c r="BT803" s="61">
        <f t="shared" si="752"/>
        <v>0</v>
      </c>
      <c r="BU803" s="61">
        <f t="shared" si="753"/>
        <v>0</v>
      </c>
      <c r="BV803" s="61">
        <f t="shared" si="753"/>
        <v>0</v>
      </c>
      <c r="BW803" s="61">
        <f t="shared" si="753"/>
        <v>0</v>
      </c>
      <c r="BX803" s="61">
        <f t="shared" si="750"/>
        <v>-9.5399999999998499</v>
      </c>
      <c r="BY803" s="61" t="s">
        <v>91</v>
      </c>
      <c r="CA803" s="61">
        <f t="shared" si="701"/>
        <v>0</v>
      </c>
      <c r="CB803" s="61">
        <f t="shared" si="701"/>
        <v>0</v>
      </c>
      <c r="CC803" s="61">
        <f t="shared" si="701"/>
        <v>-1.4352339401233585</v>
      </c>
      <c r="CD803" s="61">
        <f t="shared" si="699"/>
        <v>-1.4352339401233585</v>
      </c>
      <c r="CE803" s="61">
        <f t="shared" si="699"/>
        <v>0</v>
      </c>
      <c r="CF803" s="61">
        <f t="shared" si="699"/>
        <v>0</v>
      </c>
      <c r="CG803" s="61">
        <f t="shared" si="699"/>
        <v>0</v>
      </c>
      <c r="CH803" s="61">
        <f t="shared" si="699"/>
        <v>0</v>
      </c>
      <c r="CI803" s="61">
        <f t="shared" si="738"/>
        <v>-0.53103655784564263</v>
      </c>
      <c r="CJ803" s="61"/>
      <c r="CK803" s="61">
        <f t="shared" si="702"/>
        <v>0</v>
      </c>
      <c r="CL803" s="61">
        <f t="shared" si="702"/>
        <v>0</v>
      </c>
      <c r="CM803" s="61">
        <f t="shared" si="702"/>
        <v>-1.4352339401233414</v>
      </c>
      <c r="CN803" s="61">
        <f t="shared" si="700"/>
        <v>-1.4352339401233414</v>
      </c>
      <c r="CO803" s="61">
        <f t="shared" si="700"/>
        <v>0</v>
      </c>
      <c r="CP803" s="61">
        <f t="shared" si="700"/>
        <v>0</v>
      </c>
      <c r="CQ803" s="61">
        <f t="shared" si="700"/>
        <v>0</v>
      </c>
      <c r="CR803" s="61">
        <f t="shared" si="700"/>
        <v>0</v>
      </c>
      <c r="CS803" s="61">
        <f t="shared" si="739"/>
        <v>-0.53103655784563641</v>
      </c>
      <c r="CT803" s="61">
        <f t="shared" si="740"/>
        <v>-3.5297999999999452</v>
      </c>
      <c r="CV803" s="61">
        <f t="shared" si="724"/>
        <v>0</v>
      </c>
      <c r="CW803" s="61">
        <f t="shared" si="741"/>
        <v>0</v>
      </c>
      <c r="CX803" s="61"/>
      <c r="CY803" s="61">
        <f t="shared" si="725"/>
        <v>0</v>
      </c>
      <c r="CZ803" s="61">
        <f t="shared" si="725"/>
        <v>0</v>
      </c>
      <c r="DA803" s="61">
        <f t="shared" si="725"/>
        <v>0</v>
      </c>
      <c r="DB803" s="2" t="s">
        <v>85</v>
      </c>
      <c r="DC803" s="2" t="s">
        <v>85</v>
      </c>
      <c r="DD803" s="2" t="s">
        <v>142</v>
      </c>
      <c r="DE803" s="2" t="s">
        <v>264</v>
      </c>
      <c r="DG803" s="62"/>
      <c r="EC803" s="60"/>
      <c r="ED803" s="60"/>
      <c r="EE803" s="60"/>
      <c r="EF803" s="60"/>
    </row>
    <row r="804" spans="2:140" ht="12.75" hidden="1" customHeight="1">
      <c r="B804" s="99" t="s">
        <v>1051</v>
      </c>
      <c r="C804" s="22" t="s">
        <v>1034</v>
      </c>
      <c r="D804" s="22" t="s">
        <v>1035</v>
      </c>
      <c r="E804" s="2" t="s">
        <v>993</v>
      </c>
      <c r="F804" s="2" t="s">
        <v>969</v>
      </c>
      <c r="G804" s="2" t="s">
        <v>331</v>
      </c>
      <c r="J804" s="149" t="s">
        <v>126</v>
      </c>
      <c r="K804" s="23" t="s">
        <v>1355</v>
      </c>
      <c r="L804" s="149" t="s">
        <v>210</v>
      </c>
      <c r="M804" s="51" t="str">
        <f t="shared" si="722"/>
        <v>JD8B-F600A30-BBW</v>
      </c>
      <c r="O804" s="22"/>
      <c r="P804" s="22"/>
      <c r="Q804" s="22">
        <v>1</v>
      </c>
      <c r="R804" s="22">
        <v>1</v>
      </c>
      <c r="S804" s="22"/>
      <c r="T804" s="22"/>
      <c r="U804" s="22"/>
      <c r="V804" s="22"/>
      <c r="W804" s="64">
        <f t="shared" si="758"/>
        <v>0.37</v>
      </c>
      <c r="Y804" s="8">
        <f>-1018.212-9.54</f>
        <v>-1027.752</v>
      </c>
      <c r="Z804" s="8">
        <v>0</v>
      </c>
      <c r="AA804" s="8">
        <v>0</v>
      </c>
      <c r="AB804" s="8">
        <v>0</v>
      </c>
      <c r="AC804" s="8">
        <v>-4.8780000000000001</v>
      </c>
      <c r="AD804" s="8">
        <f t="shared" si="759"/>
        <v>-1032.6299999999999</v>
      </c>
      <c r="AE804" s="2" t="s">
        <v>84</v>
      </c>
      <c r="AG804" s="8"/>
      <c r="AH804" s="8"/>
      <c r="AJ804" s="70"/>
      <c r="AK804" s="70"/>
      <c r="AL804" s="72"/>
      <c r="AM804" s="22"/>
      <c r="AO804" s="149" t="s">
        <v>126</v>
      </c>
      <c r="AP804" s="23" t="s">
        <v>1355</v>
      </c>
      <c r="AQ804" s="149" t="s">
        <v>198</v>
      </c>
      <c r="AR804" s="51" t="str">
        <f t="shared" si="698"/>
        <v>JD8B-F600A30-BAW</v>
      </c>
      <c r="AS804" s="3"/>
      <c r="AT804" s="22"/>
      <c r="AU804" s="22"/>
      <c r="AV804" s="22">
        <v>1</v>
      </c>
      <c r="AW804" s="22">
        <v>1</v>
      </c>
      <c r="AX804" s="22"/>
      <c r="AY804" s="22"/>
      <c r="AZ804" s="22"/>
      <c r="BA804" s="22"/>
      <c r="BB804" s="64">
        <f t="shared" si="760"/>
        <v>0.37</v>
      </c>
      <c r="BD804" s="8">
        <f>-1018.212-9.54</f>
        <v>-1027.752</v>
      </c>
      <c r="BE804" s="8">
        <v>0</v>
      </c>
      <c r="BF804" s="8">
        <v>0</v>
      </c>
      <c r="BG804" s="8">
        <v>0</v>
      </c>
      <c r="BH804" s="8">
        <v>-4.8780000000000001</v>
      </c>
      <c r="BI804" s="8">
        <f t="shared" ref="BI804" si="761">SUM(BD804:BH804)</f>
        <v>-1032.6299999999999</v>
      </c>
      <c r="BJ804" s="2" t="s">
        <v>84</v>
      </c>
      <c r="BL804" s="8"/>
      <c r="BM804" s="8"/>
      <c r="BO804" s="70"/>
      <c r="BP804" s="70"/>
      <c r="BQ804" s="72"/>
      <c r="BS804" s="61">
        <f t="shared" si="751"/>
        <v>0</v>
      </c>
      <c r="BT804" s="61">
        <f t="shared" si="752"/>
        <v>0</v>
      </c>
      <c r="BU804" s="61">
        <f t="shared" si="753"/>
        <v>0</v>
      </c>
      <c r="BV804" s="61">
        <f t="shared" si="753"/>
        <v>0</v>
      </c>
      <c r="BW804" s="61">
        <f t="shared" si="753"/>
        <v>0</v>
      </c>
      <c r="BX804" s="61">
        <f t="shared" si="750"/>
        <v>0</v>
      </c>
      <c r="BY804" s="61" t="s">
        <v>91</v>
      </c>
      <c r="CA804" s="61">
        <f t="shared" si="701"/>
        <v>0</v>
      </c>
      <c r="CB804" s="61">
        <f t="shared" si="701"/>
        <v>0</v>
      </c>
      <c r="CC804" s="61">
        <f t="shared" si="701"/>
        <v>0</v>
      </c>
      <c r="CD804" s="61">
        <f t="shared" si="699"/>
        <v>0</v>
      </c>
      <c r="CE804" s="61">
        <f t="shared" si="699"/>
        <v>0</v>
      </c>
      <c r="CF804" s="61">
        <f t="shared" si="699"/>
        <v>0</v>
      </c>
      <c r="CG804" s="61">
        <f t="shared" si="699"/>
        <v>0</v>
      </c>
      <c r="CH804" s="61">
        <f t="shared" si="699"/>
        <v>0</v>
      </c>
      <c r="CI804" s="61">
        <f t="shared" si="738"/>
        <v>0</v>
      </c>
      <c r="CJ804" s="61"/>
      <c r="CK804" s="61">
        <f t="shared" si="702"/>
        <v>0</v>
      </c>
      <c r="CL804" s="61">
        <f t="shared" si="702"/>
        <v>0</v>
      </c>
      <c r="CM804" s="61">
        <f t="shared" si="702"/>
        <v>0</v>
      </c>
      <c r="CN804" s="61">
        <f t="shared" si="700"/>
        <v>0</v>
      </c>
      <c r="CO804" s="61">
        <f t="shared" si="700"/>
        <v>0</v>
      </c>
      <c r="CP804" s="61">
        <f t="shared" si="700"/>
        <v>0</v>
      </c>
      <c r="CQ804" s="61">
        <f t="shared" si="700"/>
        <v>0</v>
      </c>
      <c r="CR804" s="61">
        <f t="shared" si="700"/>
        <v>0</v>
      </c>
      <c r="CS804" s="61">
        <f t="shared" si="739"/>
        <v>0</v>
      </c>
      <c r="CT804" s="61">
        <f t="shared" si="740"/>
        <v>0</v>
      </c>
      <c r="CV804" s="61">
        <f t="shared" ref="CV804" si="762">SUM(AG804)-SUM(BL804)</f>
        <v>0</v>
      </c>
      <c r="CW804" s="61">
        <f t="shared" ref="CW804" si="763">SUM(AH804)-SUM(BM804)</f>
        <v>0</v>
      </c>
      <c r="CX804" s="61"/>
      <c r="CY804" s="61">
        <f t="shared" si="725"/>
        <v>0</v>
      </c>
      <c r="CZ804" s="61">
        <f t="shared" si="725"/>
        <v>0</v>
      </c>
      <c r="DA804" s="61">
        <f t="shared" si="725"/>
        <v>0</v>
      </c>
      <c r="DB804" s="2" t="s">
        <v>86</v>
      </c>
      <c r="DC804" s="2" t="s">
        <v>85</v>
      </c>
      <c r="DD804" s="2" t="s">
        <v>142</v>
      </c>
      <c r="DE804" s="2" t="s">
        <v>106</v>
      </c>
      <c r="DF804" s="3" t="s">
        <v>86</v>
      </c>
      <c r="DG804" s="62">
        <v>43136</v>
      </c>
      <c r="EC804" s="60" t="str">
        <f>VLOOKUP($M804,[1]Detail!$M:$BO,1,0)</f>
        <v>JD8B-F600A30-BBW</v>
      </c>
      <c r="ED804" s="60">
        <f>VLOOKUP($M804,[1]Detail!$M:$BO,22,0)</f>
        <v>-1032.6299999999999</v>
      </c>
      <c r="EE804" s="60">
        <f>VLOOKUP($M804,[1]Detail!$M:$BO,42,0)</f>
        <v>0</v>
      </c>
      <c r="EF804" s="60" t="str">
        <f>VLOOKUP($M804,[1]Detail!$M:$BO,45,0)</f>
        <v>incl.above</v>
      </c>
      <c r="EH804" s="60">
        <f>ED804-AD804</f>
        <v>0</v>
      </c>
      <c r="EI804" s="60">
        <v>0</v>
      </c>
      <c r="EJ804" s="60">
        <v>0</v>
      </c>
    </row>
    <row r="805" spans="2:140" ht="12.75" hidden="1" customHeight="1">
      <c r="B805" s="99" t="s">
        <v>1354</v>
      </c>
      <c r="C805" s="22" t="s">
        <v>1034</v>
      </c>
      <c r="D805" s="22" t="s">
        <v>1035</v>
      </c>
      <c r="E805" s="2" t="s">
        <v>993</v>
      </c>
      <c r="F805" s="2" t="s">
        <v>969</v>
      </c>
      <c r="G805" s="2" t="s">
        <v>331</v>
      </c>
      <c r="J805" s="149" t="s">
        <v>126</v>
      </c>
      <c r="K805" s="23" t="s">
        <v>1356</v>
      </c>
      <c r="L805" s="149" t="s">
        <v>198</v>
      </c>
      <c r="M805" s="51" t="str">
        <f t="shared" si="722"/>
        <v>JD8B-F600A31-BAW</v>
      </c>
      <c r="O805" s="22"/>
      <c r="P805" s="22"/>
      <c r="Q805" s="22">
        <v>1</v>
      </c>
      <c r="R805" s="22">
        <v>1</v>
      </c>
      <c r="S805" s="22"/>
      <c r="T805" s="22"/>
      <c r="U805" s="22"/>
      <c r="V805" s="22"/>
      <c r="W805" s="64">
        <f t="shared" si="758"/>
        <v>0.37</v>
      </c>
      <c r="Y805" s="8">
        <f>-1000.162-9.54</f>
        <v>-1009.702</v>
      </c>
      <c r="Z805" s="8">
        <v>0</v>
      </c>
      <c r="AA805" s="8">
        <v>0</v>
      </c>
      <c r="AB805" s="8">
        <v>0</v>
      </c>
      <c r="AC805" s="8">
        <v>-4.8780000000000001</v>
      </c>
      <c r="AD805" s="8">
        <f t="shared" si="759"/>
        <v>-1014.58</v>
      </c>
      <c r="AE805" s="2" t="s">
        <v>84</v>
      </c>
      <c r="AG805" s="8"/>
      <c r="AH805" s="8"/>
      <c r="AJ805" s="70"/>
      <c r="AK805" s="70"/>
      <c r="AL805" s="72"/>
      <c r="AM805" s="22"/>
      <c r="AO805" s="149" t="s">
        <v>126</v>
      </c>
      <c r="AP805" s="23" t="s">
        <v>1356</v>
      </c>
      <c r="AQ805" s="149" t="s">
        <v>198</v>
      </c>
      <c r="AR805" s="51" t="str">
        <f t="shared" si="698"/>
        <v>JD8B-F600A31-BAW</v>
      </c>
      <c r="AS805" s="3"/>
      <c r="AT805" s="94"/>
      <c r="AU805" s="94"/>
      <c r="AV805" s="22">
        <v>1</v>
      </c>
      <c r="AW805" s="22">
        <v>1</v>
      </c>
      <c r="AX805" s="94"/>
      <c r="AY805" s="94"/>
      <c r="AZ805" s="94"/>
      <c r="BA805" s="94"/>
      <c r="BB805" s="64">
        <f t="shared" si="760"/>
        <v>0.37</v>
      </c>
      <c r="BD805" s="8">
        <v>-1000.162</v>
      </c>
      <c r="BE805" s="8">
        <v>0</v>
      </c>
      <c r="BF805" s="8">
        <v>0</v>
      </c>
      <c r="BG805" s="8">
        <v>0</v>
      </c>
      <c r="BH805" s="8">
        <v>-4.8780000000000001</v>
      </c>
      <c r="BI805" s="8">
        <f t="shared" si="743"/>
        <v>-1005.0400000000001</v>
      </c>
      <c r="BJ805" s="2" t="s">
        <v>84</v>
      </c>
      <c r="BL805" s="8" t="s">
        <v>1039</v>
      </c>
      <c r="BM805" s="8" t="s">
        <v>1039</v>
      </c>
      <c r="BO805" s="70"/>
      <c r="BP805" s="70"/>
      <c r="BQ805" s="72"/>
      <c r="BS805" s="61">
        <f t="shared" si="751"/>
        <v>-9.5399999999999636</v>
      </c>
      <c r="BT805" s="61">
        <f t="shared" si="752"/>
        <v>0</v>
      </c>
      <c r="BU805" s="61">
        <f t="shared" si="753"/>
        <v>0</v>
      </c>
      <c r="BV805" s="61">
        <f t="shared" si="753"/>
        <v>0</v>
      </c>
      <c r="BW805" s="61">
        <f t="shared" si="753"/>
        <v>0</v>
      </c>
      <c r="BX805" s="61">
        <f t="shared" si="750"/>
        <v>-9.5399999999999636</v>
      </c>
      <c r="BY805" s="61" t="s">
        <v>91</v>
      </c>
      <c r="CA805" s="61">
        <f t="shared" si="701"/>
        <v>0</v>
      </c>
      <c r="CB805" s="61">
        <f t="shared" si="701"/>
        <v>0</v>
      </c>
      <c r="CC805" s="61">
        <f t="shared" si="701"/>
        <v>-1.4352339401233585</v>
      </c>
      <c r="CD805" s="61">
        <f t="shared" si="699"/>
        <v>-1.4352339401233585</v>
      </c>
      <c r="CE805" s="61">
        <f t="shared" si="699"/>
        <v>0</v>
      </c>
      <c r="CF805" s="61">
        <f t="shared" si="699"/>
        <v>0</v>
      </c>
      <c r="CG805" s="61">
        <f t="shared" si="699"/>
        <v>0</v>
      </c>
      <c r="CH805" s="61">
        <f t="shared" si="699"/>
        <v>0</v>
      </c>
      <c r="CI805" s="61">
        <f t="shared" si="738"/>
        <v>-0.53103655784564263</v>
      </c>
      <c r="CJ805" s="61"/>
      <c r="CK805" s="61">
        <f t="shared" si="702"/>
        <v>0</v>
      </c>
      <c r="CL805" s="61">
        <f t="shared" si="702"/>
        <v>0</v>
      </c>
      <c r="CM805" s="61">
        <f t="shared" si="702"/>
        <v>-1.4352339401233585</v>
      </c>
      <c r="CN805" s="61">
        <f t="shared" si="700"/>
        <v>-1.4352339401233585</v>
      </c>
      <c r="CO805" s="61">
        <f t="shared" si="700"/>
        <v>0</v>
      </c>
      <c r="CP805" s="61">
        <f t="shared" si="700"/>
        <v>0</v>
      </c>
      <c r="CQ805" s="61">
        <f t="shared" si="700"/>
        <v>0</v>
      </c>
      <c r="CR805" s="61">
        <f t="shared" si="700"/>
        <v>0</v>
      </c>
      <c r="CS805" s="61">
        <f t="shared" si="739"/>
        <v>-0.53103655784564263</v>
      </c>
      <c r="CT805" s="61">
        <f t="shared" si="740"/>
        <v>-3.5297999999999865</v>
      </c>
      <c r="CV805" s="61">
        <f t="shared" si="724"/>
        <v>0</v>
      </c>
      <c r="CW805" s="61">
        <f t="shared" si="741"/>
        <v>0</v>
      </c>
      <c r="CX805" s="61"/>
      <c r="CY805" s="61">
        <f t="shared" si="725"/>
        <v>0</v>
      </c>
      <c r="CZ805" s="61">
        <f t="shared" si="725"/>
        <v>0</v>
      </c>
      <c r="DA805" s="61">
        <f t="shared" si="725"/>
        <v>0</v>
      </c>
      <c r="DB805" s="2" t="s">
        <v>85</v>
      </c>
      <c r="DC805" s="2" t="s">
        <v>85</v>
      </c>
      <c r="DD805" s="2" t="s">
        <v>142</v>
      </c>
      <c r="DE805" s="2" t="s">
        <v>264</v>
      </c>
      <c r="DG805" s="62"/>
      <c r="EC805" s="60"/>
      <c r="ED805" s="60"/>
      <c r="EE805" s="60"/>
      <c r="EF805" s="60"/>
    </row>
    <row r="806" spans="2:140" ht="12.75" hidden="1" customHeight="1">
      <c r="B806" s="99" t="s">
        <v>1051</v>
      </c>
      <c r="C806" s="22" t="s">
        <v>1034</v>
      </c>
      <c r="D806" s="22" t="s">
        <v>1035</v>
      </c>
      <c r="E806" s="2" t="s">
        <v>993</v>
      </c>
      <c r="F806" s="2" t="s">
        <v>969</v>
      </c>
      <c r="G806" s="2" t="s">
        <v>331</v>
      </c>
      <c r="J806" s="149" t="s">
        <v>126</v>
      </c>
      <c r="K806" s="23" t="s">
        <v>1356</v>
      </c>
      <c r="L806" s="149" t="s">
        <v>210</v>
      </c>
      <c r="M806" s="51" t="str">
        <f t="shared" si="722"/>
        <v>JD8B-F600A31-BBW</v>
      </c>
      <c r="O806" s="22"/>
      <c r="P806" s="22"/>
      <c r="Q806" s="22">
        <v>1</v>
      </c>
      <c r="R806" s="22">
        <v>1</v>
      </c>
      <c r="S806" s="22"/>
      <c r="T806" s="22"/>
      <c r="U806" s="22"/>
      <c r="V806" s="22"/>
      <c r="W806" s="64">
        <f t="shared" si="758"/>
        <v>0.37</v>
      </c>
      <c r="Y806" s="8">
        <f>-1000.162-9.54</f>
        <v>-1009.702</v>
      </c>
      <c r="Z806" s="8">
        <v>0</v>
      </c>
      <c r="AA806" s="8">
        <v>0</v>
      </c>
      <c r="AB806" s="8">
        <v>0</v>
      </c>
      <c r="AC806" s="8">
        <v>-4.8780000000000001</v>
      </c>
      <c r="AD806" s="8">
        <f t="shared" si="759"/>
        <v>-1014.58</v>
      </c>
      <c r="AE806" s="2" t="s">
        <v>84</v>
      </c>
      <c r="AG806" s="8"/>
      <c r="AH806" s="8"/>
      <c r="AJ806" s="70"/>
      <c r="AK806" s="70"/>
      <c r="AL806" s="72"/>
      <c r="AM806" s="22"/>
      <c r="AO806" s="149" t="s">
        <v>126</v>
      </c>
      <c r="AP806" s="23" t="s">
        <v>1356</v>
      </c>
      <c r="AQ806" s="149" t="s">
        <v>198</v>
      </c>
      <c r="AR806" s="51" t="str">
        <f t="shared" si="698"/>
        <v>JD8B-F600A31-BAW</v>
      </c>
      <c r="AS806" s="3"/>
      <c r="AT806" s="22"/>
      <c r="AU806" s="22"/>
      <c r="AV806" s="22">
        <v>1</v>
      </c>
      <c r="AW806" s="22">
        <v>1</v>
      </c>
      <c r="AX806" s="22"/>
      <c r="AY806" s="22"/>
      <c r="AZ806" s="22"/>
      <c r="BA806" s="22"/>
      <c r="BB806" s="64">
        <f t="shared" si="760"/>
        <v>0.37</v>
      </c>
      <c r="BD806" s="8">
        <f>-1000.162-9.54</f>
        <v>-1009.702</v>
      </c>
      <c r="BE806" s="8">
        <v>0</v>
      </c>
      <c r="BF806" s="8">
        <v>0</v>
      </c>
      <c r="BG806" s="8">
        <v>0</v>
      </c>
      <c r="BH806" s="8">
        <v>-4.8780000000000001</v>
      </c>
      <c r="BI806" s="8">
        <f t="shared" ref="BI806" si="764">SUM(BD806:BH806)</f>
        <v>-1014.58</v>
      </c>
      <c r="BJ806" s="2" t="s">
        <v>84</v>
      </c>
      <c r="BL806" s="8" t="s">
        <v>1039</v>
      </c>
      <c r="BM806" s="8" t="s">
        <v>1039</v>
      </c>
      <c r="BO806" s="70"/>
      <c r="BP806" s="70"/>
      <c r="BQ806" s="72"/>
      <c r="BS806" s="61">
        <f t="shared" si="751"/>
        <v>0</v>
      </c>
      <c r="BT806" s="61">
        <f t="shared" si="752"/>
        <v>0</v>
      </c>
      <c r="BU806" s="61">
        <f t="shared" si="753"/>
        <v>0</v>
      </c>
      <c r="BV806" s="61">
        <f t="shared" si="753"/>
        <v>0</v>
      </c>
      <c r="BW806" s="61">
        <f t="shared" si="753"/>
        <v>0</v>
      </c>
      <c r="BX806" s="61">
        <f t="shared" si="750"/>
        <v>0</v>
      </c>
      <c r="BY806" s="61" t="s">
        <v>91</v>
      </c>
      <c r="CA806" s="61">
        <f t="shared" si="701"/>
        <v>0</v>
      </c>
      <c r="CB806" s="61">
        <f t="shared" si="701"/>
        <v>0</v>
      </c>
      <c r="CC806" s="61">
        <f t="shared" si="701"/>
        <v>0</v>
      </c>
      <c r="CD806" s="61">
        <f t="shared" si="699"/>
        <v>0</v>
      </c>
      <c r="CE806" s="61">
        <f t="shared" si="699"/>
        <v>0</v>
      </c>
      <c r="CF806" s="61">
        <f t="shared" si="699"/>
        <v>0</v>
      </c>
      <c r="CG806" s="61">
        <f t="shared" si="699"/>
        <v>0</v>
      </c>
      <c r="CH806" s="61">
        <f t="shared" si="699"/>
        <v>0</v>
      </c>
      <c r="CI806" s="61">
        <f t="shared" si="738"/>
        <v>0</v>
      </c>
      <c r="CJ806" s="61"/>
      <c r="CK806" s="61">
        <f t="shared" si="702"/>
        <v>0</v>
      </c>
      <c r="CL806" s="61">
        <f t="shared" si="702"/>
        <v>0</v>
      </c>
      <c r="CM806" s="61">
        <f t="shared" si="702"/>
        <v>0</v>
      </c>
      <c r="CN806" s="61">
        <f t="shared" si="700"/>
        <v>0</v>
      </c>
      <c r="CO806" s="61">
        <f t="shared" si="700"/>
        <v>0</v>
      </c>
      <c r="CP806" s="61">
        <f t="shared" si="700"/>
        <v>0</v>
      </c>
      <c r="CQ806" s="61">
        <f t="shared" si="700"/>
        <v>0</v>
      </c>
      <c r="CR806" s="61">
        <f t="shared" si="700"/>
        <v>0</v>
      </c>
      <c r="CS806" s="61">
        <f t="shared" si="739"/>
        <v>0</v>
      </c>
      <c r="CT806" s="61">
        <f t="shared" si="740"/>
        <v>0</v>
      </c>
      <c r="CV806" s="61">
        <f t="shared" ref="CV806" si="765">SUM(AG806)-SUM(BL806)</f>
        <v>0</v>
      </c>
      <c r="CW806" s="61">
        <f t="shared" ref="CW806" si="766">SUM(AH806)-SUM(BM806)</f>
        <v>0</v>
      </c>
      <c r="CX806" s="61"/>
      <c r="CY806" s="61">
        <f t="shared" si="725"/>
        <v>0</v>
      </c>
      <c r="CZ806" s="61">
        <f t="shared" si="725"/>
        <v>0</v>
      </c>
      <c r="DA806" s="61">
        <f t="shared" si="725"/>
        <v>0</v>
      </c>
      <c r="DB806" s="2" t="s">
        <v>86</v>
      </c>
      <c r="DC806" s="2" t="s">
        <v>85</v>
      </c>
      <c r="DD806" s="2" t="s">
        <v>142</v>
      </c>
      <c r="DE806" s="2" t="s">
        <v>106</v>
      </c>
      <c r="DF806" s="3" t="s">
        <v>86</v>
      </c>
      <c r="DG806" s="62">
        <v>43136</v>
      </c>
      <c r="EC806" s="60" t="str">
        <f>VLOOKUP($M806,[1]Detail!$M:$BO,1,0)</f>
        <v>JD8B-F600A31-BBW</v>
      </c>
      <c r="ED806" s="60">
        <f>VLOOKUP($M806,[1]Detail!$M:$BO,22,0)</f>
        <v>-1014.58</v>
      </c>
      <c r="EE806" s="60">
        <f>VLOOKUP($M806,[1]Detail!$M:$BO,42,0)</f>
        <v>0</v>
      </c>
      <c r="EF806" s="60" t="str">
        <f>VLOOKUP($M806,[1]Detail!$M:$BO,45,0)</f>
        <v>incl.above</v>
      </c>
      <c r="EH806" s="60">
        <f>ED806-AD806</f>
        <v>0</v>
      </c>
      <c r="EI806" s="60">
        <v>0</v>
      </c>
      <c r="EJ806" s="60">
        <v>0</v>
      </c>
    </row>
    <row r="807" spans="2:140" hidden="1">
      <c r="B807" s="99" t="s">
        <v>1354</v>
      </c>
      <c r="C807" s="22" t="s">
        <v>1034</v>
      </c>
      <c r="D807" s="22" t="s">
        <v>1035</v>
      </c>
      <c r="E807" s="2" t="s">
        <v>993</v>
      </c>
      <c r="F807" s="2" t="s">
        <v>969</v>
      </c>
      <c r="G807" s="2" t="s">
        <v>331</v>
      </c>
      <c r="J807" s="149" t="s">
        <v>126</v>
      </c>
      <c r="K807" s="23" t="s">
        <v>1187</v>
      </c>
      <c r="L807" s="149" t="s">
        <v>198</v>
      </c>
      <c r="M807" s="51" t="str">
        <f t="shared" si="722"/>
        <v>JD8B-F600B28-BAW</v>
      </c>
      <c r="O807" s="22"/>
      <c r="P807" s="22"/>
      <c r="Q807" s="22">
        <v>1</v>
      </c>
      <c r="R807" s="22">
        <v>1</v>
      </c>
      <c r="S807" s="22"/>
      <c r="T807" s="22"/>
      <c r="U807" s="22"/>
      <c r="V807" s="22"/>
      <c r="W807" s="64">
        <f t="shared" si="758"/>
        <v>0.37</v>
      </c>
      <c r="Y807" s="8">
        <f>-1297.126-17.94</f>
        <v>-1315.066</v>
      </c>
      <c r="Z807" s="8">
        <v>0</v>
      </c>
      <c r="AA807" s="8">
        <v>0</v>
      </c>
      <c r="AB807" s="8">
        <v>0</v>
      </c>
      <c r="AC807" s="8">
        <v>-6.5039999999999996</v>
      </c>
      <c r="AD807" s="8">
        <f t="shared" si="759"/>
        <v>-1321.57</v>
      </c>
      <c r="AE807" s="2" t="s">
        <v>84</v>
      </c>
      <c r="AG807" s="8"/>
      <c r="AH807" s="8"/>
      <c r="AJ807" s="70"/>
      <c r="AK807" s="70"/>
      <c r="AL807" s="72"/>
      <c r="AM807" s="22"/>
      <c r="AO807" s="149" t="s">
        <v>126</v>
      </c>
      <c r="AP807" s="23" t="s">
        <v>1187</v>
      </c>
      <c r="AQ807" s="149" t="s">
        <v>198</v>
      </c>
      <c r="AR807" s="51" t="str">
        <f t="shared" si="698"/>
        <v>JD8B-F600B28-BAW</v>
      </c>
      <c r="AS807" s="3"/>
      <c r="AT807" s="94"/>
      <c r="AU807" s="94"/>
      <c r="AV807" s="22">
        <v>1</v>
      </c>
      <c r="AW807" s="22">
        <v>1</v>
      </c>
      <c r="AX807" s="94"/>
      <c r="AY807" s="94"/>
      <c r="AZ807" s="94"/>
      <c r="BA807" s="94"/>
      <c r="BB807" s="64">
        <f t="shared" si="760"/>
        <v>0.37</v>
      </c>
      <c r="BD807" s="8">
        <v>-1297.126</v>
      </c>
      <c r="BE807" s="8">
        <v>0</v>
      </c>
      <c r="BF807" s="8">
        <v>0</v>
      </c>
      <c r="BG807" s="8">
        <v>0</v>
      </c>
      <c r="BH807" s="8">
        <v>-6.5039999999999996</v>
      </c>
      <c r="BI807" s="8">
        <f t="shared" si="743"/>
        <v>-1303.6299999999999</v>
      </c>
      <c r="BJ807" s="2" t="s">
        <v>84</v>
      </c>
      <c r="BL807" s="8" t="s">
        <v>1039</v>
      </c>
      <c r="BM807" s="8" t="s">
        <v>1039</v>
      </c>
      <c r="BO807" s="70"/>
      <c r="BP807" s="70"/>
      <c r="BQ807" s="72"/>
      <c r="BS807" s="61">
        <f t="shared" si="751"/>
        <v>-17.940000000000055</v>
      </c>
      <c r="BT807" s="61">
        <f t="shared" si="752"/>
        <v>0</v>
      </c>
      <c r="BU807" s="61">
        <f t="shared" si="753"/>
        <v>0</v>
      </c>
      <c r="BV807" s="61">
        <f t="shared" si="753"/>
        <v>0</v>
      </c>
      <c r="BW807" s="61">
        <f t="shared" si="753"/>
        <v>0</v>
      </c>
      <c r="BX807" s="61">
        <f t="shared" si="750"/>
        <v>-17.940000000000055</v>
      </c>
      <c r="BY807" s="61" t="s">
        <v>91</v>
      </c>
      <c r="CA807" s="61">
        <f t="shared" si="701"/>
        <v>0</v>
      </c>
      <c r="CB807" s="61">
        <f t="shared" si="701"/>
        <v>0</v>
      </c>
      <c r="CC807" s="61">
        <f t="shared" si="701"/>
        <v>-2.698961937716271</v>
      </c>
      <c r="CD807" s="61">
        <f t="shared" si="699"/>
        <v>-2.698961937716271</v>
      </c>
      <c r="CE807" s="61">
        <f t="shared" si="699"/>
        <v>0</v>
      </c>
      <c r="CF807" s="61">
        <f t="shared" si="699"/>
        <v>0</v>
      </c>
      <c r="CG807" s="61">
        <f t="shared" si="699"/>
        <v>0</v>
      </c>
      <c r="CH807" s="61">
        <f t="shared" si="699"/>
        <v>0</v>
      </c>
      <c r="CI807" s="61">
        <f t="shared" si="738"/>
        <v>-0.99861591695502039</v>
      </c>
      <c r="CJ807" s="61"/>
      <c r="CK807" s="61">
        <f t="shared" si="702"/>
        <v>0</v>
      </c>
      <c r="CL807" s="61">
        <f t="shared" si="702"/>
        <v>0</v>
      </c>
      <c r="CM807" s="61">
        <f t="shared" si="702"/>
        <v>-2.698961937716271</v>
      </c>
      <c r="CN807" s="61">
        <f t="shared" si="700"/>
        <v>-2.698961937716271</v>
      </c>
      <c r="CO807" s="61">
        <f t="shared" si="700"/>
        <v>0</v>
      </c>
      <c r="CP807" s="61">
        <f t="shared" si="700"/>
        <v>0</v>
      </c>
      <c r="CQ807" s="61">
        <f t="shared" si="700"/>
        <v>0</v>
      </c>
      <c r="CR807" s="61">
        <f t="shared" si="700"/>
        <v>0</v>
      </c>
      <c r="CS807" s="61">
        <f t="shared" si="739"/>
        <v>-0.99861591695502039</v>
      </c>
      <c r="CT807" s="61">
        <f t="shared" si="740"/>
        <v>-6.6378000000000208</v>
      </c>
      <c r="CV807" s="61">
        <f t="shared" si="724"/>
        <v>0</v>
      </c>
      <c r="CW807" s="61">
        <f t="shared" si="741"/>
        <v>0</v>
      </c>
      <c r="CX807" s="61"/>
      <c r="CY807" s="61">
        <f t="shared" si="725"/>
        <v>0</v>
      </c>
      <c r="CZ807" s="61">
        <f t="shared" si="725"/>
        <v>0</v>
      </c>
      <c r="DA807" s="61">
        <f t="shared" si="725"/>
        <v>0</v>
      </c>
      <c r="DB807" s="2" t="s">
        <v>85</v>
      </c>
      <c r="DC807" s="2" t="s">
        <v>85</v>
      </c>
      <c r="DD807" s="2" t="s">
        <v>142</v>
      </c>
      <c r="DE807" s="2" t="s">
        <v>264</v>
      </c>
      <c r="DG807" s="62"/>
      <c r="EC807" s="60"/>
      <c r="ED807" s="60"/>
      <c r="EE807" s="60"/>
      <c r="EF807" s="60"/>
    </row>
    <row r="808" spans="2:140" hidden="1">
      <c r="B808" s="99" t="s">
        <v>1051</v>
      </c>
      <c r="C808" s="22" t="s">
        <v>1034</v>
      </c>
      <c r="D808" s="22" t="s">
        <v>1035</v>
      </c>
      <c r="E808" s="2" t="s">
        <v>993</v>
      </c>
      <c r="F808" s="2" t="s">
        <v>969</v>
      </c>
      <c r="G808" s="2" t="s">
        <v>331</v>
      </c>
      <c r="J808" s="149" t="s">
        <v>126</v>
      </c>
      <c r="K808" s="23" t="s">
        <v>1187</v>
      </c>
      <c r="L808" s="149" t="s">
        <v>210</v>
      </c>
      <c r="M808" s="51" t="str">
        <f t="shared" si="722"/>
        <v>JD8B-F600B28-BBW</v>
      </c>
      <c r="O808" s="22"/>
      <c r="P808" s="22"/>
      <c r="Q808" s="22">
        <v>1</v>
      </c>
      <c r="R808" s="22">
        <v>1</v>
      </c>
      <c r="S808" s="22"/>
      <c r="T808" s="22"/>
      <c r="U808" s="22"/>
      <c r="V808" s="22"/>
      <c r="W808" s="64">
        <f t="shared" si="758"/>
        <v>0.37</v>
      </c>
      <c r="Y808" s="8">
        <f>-1297.126-17.94+0.81</f>
        <v>-1314.2560000000001</v>
      </c>
      <c r="Z808" s="8">
        <v>0</v>
      </c>
      <c r="AA808" s="8">
        <v>0</v>
      </c>
      <c r="AB808" s="8">
        <v>0</v>
      </c>
      <c r="AC808" s="8">
        <v>-6.5039999999999996</v>
      </c>
      <c r="AD808" s="8">
        <f t="shared" ref="AD808" si="767">SUM(Y808:AC808)</f>
        <v>-1320.76</v>
      </c>
      <c r="AE808" s="2" t="s">
        <v>84</v>
      </c>
      <c r="AG808" s="8"/>
      <c r="AH808" s="8"/>
      <c r="AJ808" s="70"/>
      <c r="AK808" s="70"/>
      <c r="AL808" s="72"/>
      <c r="AM808" s="22"/>
      <c r="AO808" s="149" t="s">
        <v>126</v>
      </c>
      <c r="AP808" s="23" t="s">
        <v>1187</v>
      </c>
      <c r="AQ808" s="149" t="s">
        <v>198</v>
      </c>
      <c r="AR808" s="51" t="str">
        <f t="shared" si="698"/>
        <v>JD8B-F600B28-BAW</v>
      </c>
      <c r="AS808" s="3"/>
      <c r="AT808" s="22"/>
      <c r="AU808" s="22"/>
      <c r="AV808" s="22">
        <v>1</v>
      </c>
      <c r="AW808" s="22">
        <v>1</v>
      </c>
      <c r="AX808" s="22"/>
      <c r="AY808" s="22"/>
      <c r="AZ808" s="22"/>
      <c r="BA808" s="22"/>
      <c r="BB808" s="64">
        <f t="shared" si="760"/>
        <v>0.37</v>
      </c>
      <c r="BD808" s="8">
        <f>-1297.126-17.94</f>
        <v>-1315.066</v>
      </c>
      <c r="BE808" s="8">
        <v>0</v>
      </c>
      <c r="BF808" s="8">
        <v>0</v>
      </c>
      <c r="BG808" s="8">
        <v>0</v>
      </c>
      <c r="BH808" s="8">
        <v>-6.5039999999999996</v>
      </c>
      <c r="BI808" s="8">
        <f t="shared" ref="BI808" si="768">SUM(BD808:BH808)</f>
        <v>-1321.57</v>
      </c>
      <c r="BJ808" s="2" t="s">
        <v>84</v>
      </c>
      <c r="BL808" s="8" t="s">
        <v>1039</v>
      </c>
      <c r="BM808" s="8" t="s">
        <v>1039</v>
      </c>
      <c r="BO808" s="70"/>
      <c r="BP808" s="70"/>
      <c r="BQ808" s="72"/>
      <c r="BS808" s="61">
        <f t="shared" si="751"/>
        <v>0.80999999999994543</v>
      </c>
      <c r="BT808" s="61">
        <f t="shared" si="752"/>
        <v>0</v>
      </c>
      <c r="BU808" s="61">
        <f t="shared" si="753"/>
        <v>0</v>
      </c>
      <c r="BV808" s="61">
        <f t="shared" si="753"/>
        <v>0</v>
      </c>
      <c r="BW808" s="61">
        <f t="shared" si="753"/>
        <v>0</v>
      </c>
      <c r="BX808" s="61">
        <f t="shared" si="750"/>
        <v>0.80999999999994543</v>
      </c>
      <c r="BY808" s="61" t="s">
        <v>91</v>
      </c>
      <c r="CA808" s="61">
        <f t="shared" si="701"/>
        <v>0</v>
      </c>
      <c r="CB808" s="61">
        <f t="shared" si="701"/>
        <v>0</v>
      </c>
      <c r="CC808" s="61">
        <f t="shared" si="701"/>
        <v>0.1218594854821642</v>
      </c>
      <c r="CD808" s="61">
        <f t="shared" si="699"/>
        <v>0.1218594854821642</v>
      </c>
      <c r="CE808" s="61">
        <f t="shared" si="699"/>
        <v>0</v>
      </c>
      <c r="CF808" s="61">
        <f t="shared" si="699"/>
        <v>0</v>
      </c>
      <c r="CG808" s="61">
        <f t="shared" si="699"/>
        <v>0</v>
      </c>
      <c r="CH808" s="61">
        <f t="shared" si="699"/>
        <v>0</v>
      </c>
      <c r="CI808" s="61">
        <f t="shared" si="738"/>
        <v>4.508800962840076E-2</v>
      </c>
      <c r="CJ808" s="61"/>
      <c r="CK808" s="61">
        <f t="shared" si="702"/>
        <v>0</v>
      </c>
      <c r="CL808" s="61">
        <f t="shared" si="702"/>
        <v>0</v>
      </c>
      <c r="CM808" s="61">
        <f t="shared" si="702"/>
        <v>0.1218594854821642</v>
      </c>
      <c r="CN808" s="61">
        <f t="shared" si="700"/>
        <v>0.1218594854821642</v>
      </c>
      <c r="CO808" s="61">
        <f t="shared" si="700"/>
        <v>0</v>
      </c>
      <c r="CP808" s="61">
        <f t="shared" si="700"/>
        <v>0</v>
      </c>
      <c r="CQ808" s="61">
        <f t="shared" si="700"/>
        <v>0</v>
      </c>
      <c r="CR808" s="61">
        <f t="shared" si="700"/>
        <v>0</v>
      </c>
      <c r="CS808" s="61">
        <f t="shared" si="739"/>
        <v>4.508800962840076E-2</v>
      </c>
      <c r="CT808" s="143">
        <f t="shared" si="740"/>
        <v>0.29969999999997987</v>
      </c>
      <c r="CV808" s="61">
        <f t="shared" ref="CV808" si="769">SUM(AG808)-SUM(BL808)</f>
        <v>0</v>
      </c>
      <c r="CW808" s="61">
        <f t="shared" ref="CW808" si="770">SUM(AH808)-SUM(BM808)</f>
        <v>0</v>
      </c>
      <c r="CX808" s="61"/>
      <c r="CY808" s="61">
        <f t="shared" si="725"/>
        <v>0</v>
      </c>
      <c r="CZ808" s="61">
        <f t="shared" si="725"/>
        <v>0</v>
      </c>
      <c r="DA808" s="61">
        <f t="shared" si="725"/>
        <v>0</v>
      </c>
      <c r="DB808" s="2" t="s">
        <v>86</v>
      </c>
      <c r="DC808" s="2" t="s">
        <v>85</v>
      </c>
      <c r="DD808" s="2" t="s">
        <v>142</v>
      </c>
      <c r="DE808" s="2" t="s">
        <v>106</v>
      </c>
      <c r="DF808" s="3" t="s">
        <v>86</v>
      </c>
      <c r="DG808" s="62">
        <v>43136</v>
      </c>
      <c r="EC808" s="60" t="str">
        <f>VLOOKUP($M808,[1]Detail!$M:$BO,1,0)</f>
        <v>JD8B-F600B28-BBW</v>
      </c>
      <c r="ED808" s="60">
        <f>VLOOKUP($M808,[1]Detail!$M:$BO,22,0)</f>
        <v>-1320.76</v>
      </c>
      <c r="EE808" s="60">
        <f>VLOOKUP($M808,[1]Detail!$M:$BO,42,0)</f>
        <v>0</v>
      </c>
      <c r="EF808" s="60" t="str">
        <f>VLOOKUP($M808,[1]Detail!$M:$BO,45,0)</f>
        <v>incl.above</v>
      </c>
      <c r="EH808" s="60">
        <f>ED808-AD808</f>
        <v>0</v>
      </c>
      <c r="EI808" s="60">
        <v>0</v>
      </c>
      <c r="EJ808" s="60">
        <v>0</v>
      </c>
    </row>
    <row r="809" spans="2:140" ht="12.75" hidden="1" customHeight="1">
      <c r="B809" s="99" t="s">
        <v>1357</v>
      </c>
      <c r="C809" s="22" t="s">
        <v>1358</v>
      </c>
      <c r="D809" s="22" t="s">
        <v>1359</v>
      </c>
      <c r="E809" s="2" t="s">
        <v>968</v>
      </c>
      <c r="F809" s="2" t="s">
        <v>969</v>
      </c>
      <c r="G809" s="2" t="s">
        <v>339</v>
      </c>
      <c r="J809" s="149" t="s">
        <v>126</v>
      </c>
      <c r="K809" s="23" t="s">
        <v>1360</v>
      </c>
      <c r="L809" s="149" t="s">
        <v>100</v>
      </c>
      <c r="M809" s="51" t="str">
        <f t="shared" si="722"/>
        <v>JD8B-17D926-AA</v>
      </c>
      <c r="O809" s="94">
        <v>1</v>
      </c>
      <c r="P809" s="94">
        <v>1</v>
      </c>
      <c r="Q809" s="94">
        <v>1</v>
      </c>
      <c r="R809" s="94">
        <v>1</v>
      </c>
      <c r="S809" s="94">
        <v>1</v>
      </c>
      <c r="T809" s="94">
        <v>1</v>
      </c>
      <c r="U809" s="94">
        <v>1</v>
      </c>
      <c r="V809" s="94"/>
      <c r="W809" s="64">
        <f t="shared" si="758"/>
        <v>0.95000000000000007</v>
      </c>
      <c r="Y809" s="60">
        <v>-5.5</v>
      </c>
      <c r="Z809" s="60">
        <v>-0.3933333</v>
      </c>
      <c r="AA809" s="60">
        <v>-0.76333329999999999</v>
      </c>
      <c r="AB809" s="60"/>
      <c r="AC809" s="60"/>
      <c r="AD809" s="8">
        <f t="shared" si="759"/>
        <v>-6.6566666000000003</v>
      </c>
      <c r="AE809" s="2" t="s">
        <v>84</v>
      </c>
      <c r="AG809" s="70">
        <v>-121200</v>
      </c>
      <c r="AH809" s="70">
        <v>-121200</v>
      </c>
      <c r="AJ809" s="70"/>
      <c r="AK809" s="70"/>
      <c r="AL809" s="72"/>
      <c r="AM809" s="22"/>
      <c r="AO809" s="149" t="s">
        <v>126</v>
      </c>
      <c r="AP809" s="23" t="s">
        <v>1360</v>
      </c>
      <c r="AQ809" s="149" t="s">
        <v>100</v>
      </c>
      <c r="AR809" s="51" t="str">
        <f t="shared" si="698"/>
        <v>JD8B-17D926-AA</v>
      </c>
      <c r="AS809" s="3"/>
      <c r="AT809" s="94">
        <v>1</v>
      </c>
      <c r="AU809" s="94">
        <v>1</v>
      </c>
      <c r="AV809" s="94">
        <v>1</v>
      </c>
      <c r="AW809" s="94">
        <v>1</v>
      </c>
      <c r="AX809" s="94">
        <v>1</v>
      </c>
      <c r="AY809" s="94">
        <v>1</v>
      </c>
      <c r="AZ809" s="94">
        <v>1</v>
      </c>
      <c r="BA809" s="94"/>
      <c r="BB809" s="64">
        <f t="shared" si="760"/>
        <v>0.95000000000000007</v>
      </c>
      <c r="BD809" s="60">
        <f>-5.5-0.68</f>
        <v>-6.18</v>
      </c>
      <c r="BE809" s="60">
        <v>-0.3933333</v>
      </c>
      <c r="BF809" s="60">
        <v>-0.76333329999999999</v>
      </c>
      <c r="BG809" s="60"/>
      <c r="BH809" s="60"/>
      <c r="BI809" s="8">
        <f t="shared" si="743"/>
        <v>-7.3366666</v>
      </c>
      <c r="BJ809" s="2" t="s">
        <v>84</v>
      </c>
      <c r="BL809" s="70">
        <v>-121200</v>
      </c>
      <c r="BM809" s="70">
        <v>-121200</v>
      </c>
      <c r="BO809" s="70"/>
      <c r="BP809" s="70"/>
      <c r="BQ809" s="72"/>
      <c r="BS809" s="61">
        <f t="shared" si="751"/>
        <v>0.67999999999999972</v>
      </c>
      <c r="BT809" s="61">
        <f t="shared" si="752"/>
        <v>0</v>
      </c>
      <c r="BU809" s="61">
        <f t="shared" si="753"/>
        <v>0</v>
      </c>
      <c r="BV809" s="61">
        <f t="shared" si="753"/>
        <v>0</v>
      </c>
      <c r="BW809" s="61">
        <f t="shared" si="753"/>
        <v>0</v>
      </c>
      <c r="BX809" s="61">
        <f t="shared" si="750"/>
        <v>0.67999999999999972</v>
      </c>
      <c r="BY809" s="61" t="s">
        <v>91</v>
      </c>
      <c r="CA809" s="61">
        <f t="shared" si="701"/>
        <v>0.10230179028132988</v>
      </c>
      <c r="CB809" s="61">
        <f t="shared" si="701"/>
        <v>0.10230179028132988</v>
      </c>
      <c r="CC809" s="61">
        <f t="shared" si="701"/>
        <v>0.10230179028132988</v>
      </c>
      <c r="CD809" s="61">
        <f t="shared" si="699"/>
        <v>0.10230179028132988</v>
      </c>
      <c r="CE809" s="61">
        <f t="shared" si="699"/>
        <v>0.10230179028132988</v>
      </c>
      <c r="CF809" s="61">
        <f t="shared" si="699"/>
        <v>0.10230179028132988</v>
      </c>
      <c r="CG809" s="61">
        <f t="shared" si="699"/>
        <v>0.10230179028132988</v>
      </c>
      <c r="CH809" s="61">
        <f t="shared" si="699"/>
        <v>0</v>
      </c>
      <c r="CI809" s="61">
        <f t="shared" si="738"/>
        <v>9.7186700767263406E-2</v>
      </c>
      <c r="CJ809" s="61"/>
      <c r="CK809" s="61">
        <f t="shared" si="702"/>
        <v>0.10230179028132988</v>
      </c>
      <c r="CL809" s="61">
        <f t="shared" si="702"/>
        <v>0.10230179028132988</v>
      </c>
      <c r="CM809" s="61">
        <f t="shared" si="702"/>
        <v>0.10230179028132988</v>
      </c>
      <c r="CN809" s="61">
        <f t="shared" si="700"/>
        <v>0.10230179028132988</v>
      </c>
      <c r="CO809" s="61">
        <f t="shared" si="700"/>
        <v>0.10230179028132988</v>
      </c>
      <c r="CP809" s="61">
        <f t="shared" si="700"/>
        <v>0.10230179028132988</v>
      </c>
      <c r="CQ809" s="61">
        <f t="shared" si="700"/>
        <v>0.10230179028132988</v>
      </c>
      <c r="CR809" s="61">
        <f t="shared" si="700"/>
        <v>0</v>
      </c>
      <c r="CS809" s="61">
        <f t="shared" si="739"/>
        <v>9.7186700767263406E-2</v>
      </c>
      <c r="CT809" s="61">
        <f t="shared" si="740"/>
        <v>0.64599999999999991</v>
      </c>
      <c r="CV809" s="61">
        <f t="shared" si="724"/>
        <v>0</v>
      </c>
      <c r="CW809" s="61">
        <f t="shared" si="741"/>
        <v>0</v>
      </c>
      <c r="CX809" s="61"/>
      <c r="CY809" s="61">
        <f t="shared" si="725"/>
        <v>0</v>
      </c>
      <c r="CZ809" s="61">
        <f t="shared" si="725"/>
        <v>0</v>
      </c>
      <c r="DA809" s="61">
        <f t="shared" si="725"/>
        <v>0</v>
      </c>
      <c r="DB809" s="2" t="s">
        <v>85</v>
      </c>
      <c r="DC809" s="2" t="s">
        <v>86</v>
      </c>
      <c r="DD809" s="2" t="s">
        <v>142</v>
      </c>
      <c r="DE809" s="2" t="s">
        <v>264</v>
      </c>
      <c r="DG809" s="62"/>
      <c r="DZ809" s="3" t="e">
        <v>#N/A</v>
      </c>
      <c r="EC809" s="60"/>
      <c r="ED809" s="60"/>
      <c r="EE809" s="60"/>
      <c r="EF809" s="60"/>
    </row>
    <row r="810" spans="2:140" ht="12.75" hidden="1" customHeight="1">
      <c r="B810" s="99" t="s">
        <v>1357</v>
      </c>
      <c r="C810" s="22" t="s">
        <v>1358</v>
      </c>
      <c r="D810" s="22" t="s">
        <v>1359</v>
      </c>
      <c r="E810" s="2" t="s">
        <v>968</v>
      </c>
      <c r="F810" s="2" t="s">
        <v>969</v>
      </c>
      <c r="G810" s="2" t="s">
        <v>339</v>
      </c>
      <c r="J810" s="149" t="s">
        <v>126</v>
      </c>
      <c r="K810" s="23" t="s">
        <v>1361</v>
      </c>
      <c r="L810" s="149" t="s">
        <v>100</v>
      </c>
      <c r="M810" s="51" t="str">
        <f t="shared" si="722"/>
        <v>JD8B-17D927-AA</v>
      </c>
      <c r="O810" s="94">
        <v>1</v>
      </c>
      <c r="P810" s="94">
        <v>1</v>
      </c>
      <c r="Q810" s="94">
        <v>1</v>
      </c>
      <c r="R810" s="94">
        <v>1</v>
      </c>
      <c r="S810" s="94">
        <v>1</v>
      </c>
      <c r="T810" s="94">
        <v>1</v>
      </c>
      <c r="U810" s="94">
        <v>1</v>
      </c>
      <c r="V810" s="94"/>
      <c r="W810" s="64">
        <f t="shared" si="758"/>
        <v>0.95000000000000007</v>
      </c>
      <c r="Y810" s="60">
        <v>-5.62</v>
      </c>
      <c r="Z810" s="60">
        <v>-0.3933333</v>
      </c>
      <c r="AA810" s="60">
        <v>-0.76333329999999999</v>
      </c>
      <c r="AB810" s="60"/>
      <c r="AC810" s="60"/>
      <c r="AD810" s="8">
        <f t="shared" si="759"/>
        <v>-6.7766666000000004</v>
      </c>
      <c r="AE810" s="2" t="s">
        <v>84</v>
      </c>
      <c r="AG810" s="70">
        <v>-121200</v>
      </c>
      <c r="AH810" s="70">
        <v>-121200</v>
      </c>
      <c r="AJ810" s="70"/>
      <c r="AK810" s="70"/>
      <c r="AL810" s="72"/>
      <c r="AM810" s="22"/>
      <c r="AO810" s="149" t="s">
        <v>126</v>
      </c>
      <c r="AP810" s="23" t="s">
        <v>1361</v>
      </c>
      <c r="AQ810" s="149" t="s">
        <v>100</v>
      </c>
      <c r="AR810" s="51" t="str">
        <f t="shared" si="698"/>
        <v>JD8B-17D927-AA</v>
      </c>
      <c r="AS810" s="3"/>
      <c r="AT810" s="94">
        <v>1</v>
      </c>
      <c r="AU810" s="94">
        <v>1</v>
      </c>
      <c r="AV810" s="94">
        <v>1</v>
      </c>
      <c r="AW810" s="94">
        <v>1</v>
      </c>
      <c r="AX810" s="94">
        <v>1</v>
      </c>
      <c r="AY810" s="94">
        <v>1</v>
      </c>
      <c r="AZ810" s="94">
        <v>1</v>
      </c>
      <c r="BA810" s="94"/>
      <c r="BB810" s="64">
        <f t="shared" si="760"/>
        <v>0.95000000000000007</v>
      </c>
      <c r="BD810" s="60">
        <f>-5.62-0.56</f>
        <v>-6.18</v>
      </c>
      <c r="BE810" s="60">
        <v>-0.3933333</v>
      </c>
      <c r="BF810" s="60">
        <v>-0.76333329999999999</v>
      </c>
      <c r="BG810" s="60"/>
      <c r="BH810" s="60"/>
      <c r="BI810" s="8">
        <f t="shared" si="743"/>
        <v>-7.3366666</v>
      </c>
      <c r="BJ810" s="2" t="s">
        <v>84</v>
      </c>
      <c r="BL810" s="70">
        <v>-121200</v>
      </c>
      <c r="BM810" s="70">
        <v>-121200</v>
      </c>
      <c r="BO810" s="70"/>
      <c r="BP810" s="70"/>
      <c r="BQ810" s="72"/>
      <c r="BS810" s="61">
        <f t="shared" si="751"/>
        <v>0.55999999999999961</v>
      </c>
      <c r="BT810" s="61">
        <f t="shared" si="752"/>
        <v>0</v>
      </c>
      <c r="BU810" s="61">
        <f t="shared" si="753"/>
        <v>0</v>
      </c>
      <c r="BV810" s="61">
        <f t="shared" si="753"/>
        <v>0</v>
      </c>
      <c r="BW810" s="61">
        <f t="shared" si="753"/>
        <v>0</v>
      </c>
      <c r="BX810" s="61">
        <f t="shared" si="750"/>
        <v>0.55999999999999961</v>
      </c>
      <c r="BY810" s="61" t="s">
        <v>91</v>
      </c>
      <c r="CA810" s="61">
        <f t="shared" si="701"/>
        <v>8.424853317285988E-2</v>
      </c>
      <c r="CB810" s="61">
        <f t="shared" si="701"/>
        <v>8.424853317285988E-2</v>
      </c>
      <c r="CC810" s="61">
        <f t="shared" si="701"/>
        <v>8.424853317285988E-2</v>
      </c>
      <c r="CD810" s="61">
        <f t="shared" si="701"/>
        <v>8.424853317285988E-2</v>
      </c>
      <c r="CE810" s="61">
        <f t="shared" si="701"/>
        <v>8.424853317285988E-2</v>
      </c>
      <c r="CF810" s="61">
        <f t="shared" si="701"/>
        <v>8.424853317285988E-2</v>
      </c>
      <c r="CG810" s="61">
        <f t="shared" si="701"/>
        <v>8.424853317285988E-2</v>
      </c>
      <c r="CH810" s="61">
        <f t="shared" si="701"/>
        <v>0</v>
      </c>
      <c r="CI810" s="61">
        <f t="shared" si="738"/>
        <v>8.0036106514216901E-2</v>
      </c>
      <c r="CJ810" s="61"/>
      <c r="CK810" s="61">
        <f t="shared" si="702"/>
        <v>8.424853317285988E-2</v>
      </c>
      <c r="CL810" s="61">
        <f t="shared" si="702"/>
        <v>8.424853317285988E-2</v>
      </c>
      <c r="CM810" s="61">
        <f t="shared" si="702"/>
        <v>8.424853317285988E-2</v>
      </c>
      <c r="CN810" s="61">
        <f t="shared" si="702"/>
        <v>8.424853317285988E-2</v>
      </c>
      <c r="CO810" s="61">
        <f t="shared" si="702"/>
        <v>8.424853317285988E-2</v>
      </c>
      <c r="CP810" s="61">
        <f t="shared" si="702"/>
        <v>8.424853317285988E-2</v>
      </c>
      <c r="CQ810" s="61">
        <f t="shared" si="702"/>
        <v>8.424853317285988E-2</v>
      </c>
      <c r="CR810" s="61">
        <f t="shared" si="702"/>
        <v>0</v>
      </c>
      <c r="CS810" s="61">
        <f t="shared" si="739"/>
        <v>8.0036106514216901E-2</v>
      </c>
      <c r="CT810" s="61">
        <f t="shared" si="740"/>
        <v>0.53199999999999981</v>
      </c>
      <c r="CV810" s="61">
        <f t="shared" si="724"/>
        <v>0</v>
      </c>
      <c r="CW810" s="61">
        <f t="shared" si="741"/>
        <v>0</v>
      </c>
      <c r="CX810" s="61"/>
      <c r="CY810" s="61">
        <f t="shared" si="725"/>
        <v>0</v>
      </c>
      <c r="CZ810" s="61">
        <f t="shared" si="725"/>
        <v>0</v>
      </c>
      <c r="DA810" s="61">
        <f t="shared" si="725"/>
        <v>0</v>
      </c>
      <c r="DB810" s="2" t="s">
        <v>85</v>
      </c>
      <c r="DC810" s="2" t="s">
        <v>86</v>
      </c>
      <c r="DD810" s="2" t="s">
        <v>142</v>
      </c>
      <c r="DE810" s="2" t="s">
        <v>264</v>
      </c>
      <c r="DG810" s="62"/>
      <c r="DZ810" s="3" t="e">
        <v>#N/A</v>
      </c>
      <c r="EC810" s="60"/>
      <c r="ED810" s="60"/>
      <c r="EE810" s="60"/>
      <c r="EF810" s="60"/>
    </row>
    <row r="811" spans="2:140" ht="12.75" hidden="1" customHeight="1">
      <c r="B811" s="99" t="s">
        <v>1357</v>
      </c>
      <c r="C811" s="22" t="s">
        <v>1358</v>
      </c>
      <c r="D811" s="22" t="s">
        <v>1359</v>
      </c>
      <c r="E811" s="2" t="s">
        <v>968</v>
      </c>
      <c r="F811" s="2" t="s">
        <v>969</v>
      </c>
      <c r="G811" s="2" t="s">
        <v>339</v>
      </c>
      <c r="J811" s="149" t="s">
        <v>126</v>
      </c>
      <c r="K811" s="23" t="s">
        <v>1362</v>
      </c>
      <c r="L811" s="149" t="s">
        <v>196</v>
      </c>
      <c r="M811" s="51" t="str">
        <f t="shared" si="722"/>
        <v>JD8B-17K819-AAW</v>
      </c>
      <c r="O811" s="94">
        <v>1</v>
      </c>
      <c r="P811" s="94">
        <v>1</v>
      </c>
      <c r="Q811" s="94"/>
      <c r="R811" s="94"/>
      <c r="S811" s="94"/>
      <c r="T811" s="94"/>
      <c r="U811" s="94"/>
      <c r="V811" s="94"/>
      <c r="W811" s="64">
        <f t="shared" si="758"/>
        <v>0.30000000000000004</v>
      </c>
      <c r="Y811" s="70">
        <v>-352.52</v>
      </c>
      <c r="Z811" s="60">
        <v>-2.5099999999999998</v>
      </c>
      <c r="AA811" s="60">
        <v>-8.25</v>
      </c>
      <c r="AB811" s="60"/>
      <c r="AC811" s="60"/>
      <c r="AD811" s="8">
        <f t="shared" si="759"/>
        <v>-363.28</v>
      </c>
      <c r="AE811" s="2" t="s">
        <v>84</v>
      </c>
      <c r="AG811" s="70"/>
      <c r="AH811" s="70"/>
      <c r="AJ811" s="70"/>
      <c r="AK811" s="70"/>
      <c r="AL811" s="72"/>
      <c r="AM811" s="22"/>
      <c r="AO811" s="149" t="s">
        <v>1260</v>
      </c>
      <c r="AP811" s="23"/>
      <c r="AQ811" s="149"/>
      <c r="AR811" s="51" t="str">
        <f t="shared" si="698"/>
        <v>new added--</v>
      </c>
      <c r="AS811" s="3"/>
      <c r="AT811" s="94">
        <v>1</v>
      </c>
      <c r="AU811" s="94">
        <v>1</v>
      </c>
      <c r="AV811" s="94"/>
      <c r="AW811" s="94"/>
      <c r="AX811" s="94"/>
      <c r="AY811" s="94"/>
      <c r="AZ811" s="94"/>
      <c r="BA811" s="94"/>
      <c r="BB811" s="64">
        <f t="shared" si="760"/>
        <v>0.30000000000000004</v>
      </c>
      <c r="BD811" s="70">
        <v>-352.52</v>
      </c>
      <c r="BE811" s="60">
        <v>-2.5099999999999998</v>
      </c>
      <c r="BF811" s="60">
        <v>-8.25</v>
      </c>
      <c r="BG811" s="60"/>
      <c r="BH811" s="60"/>
      <c r="BI811" s="8">
        <f t="shared" si="743"/>
        <v>-363.28</v>
      </c>
      <c r="BJ811" s="2" t="s">
        <v>84</v>
      </c>
      <c r="BL811" s="70"/>
      <c r="BM811" s="70"/>
      <c r="BO811" s="70"/>
      <c r="BP811" s="70"/>
      <c r="BQ811" s="72"/>
      <c r="BS811" s="61">
        <f t="shared" si="751"/>
        <v>0</v>
      </c>
      <c r="BT811" s="61">
        <f t="shared" si="752"/>
        <v>0</v>
      </c>
      <c r="BU811" s="61">
        <f t="shared" si="753"/>
        <v>0</v>
      </c>
      <c r="BV811" s="61">
        <f t="shared" si="753"/>
        <v>0</v>
      </c>
      <c r="BW811" s="61">
        <f t="shared" si="753"/>
        <v>0</v>
      </c>
      <c r="BX811" s="61">
        <f t="shared" si="750"/>
        <v>0</v>
      </c>
      <c r="BY811" s="61" t="s">
        <v>91</v>
      </c>
      <c r="CA811" s="61">
        <f t="shared" si="701"/>
        <v>0</v>
      </c>
      <c r="CB811" s="61">
        <f t="shared" si="701"/>
        <v>0</v>
      </c>
      <c r="CC811" s="61">
        <f t="shared" si="701"/>
        <v>0</v>
      </c>
      <c r="CD811" s="61">
        <f t="shared" si="701"/>
        <v>0</v>
      </c>
      <c r="CE811" s="61">
        <f t="shared" si="701"/>
        <v>0</v>
      </c>
      <c r="CF811" s="61">
        <f t="shared" si="701"/>
        <v>0</v>
      </c>
      <c r="CG811" s="61">
        <f t="shared" si="701"/>
        <v>0</v>
      </c>
      <c r="CH811" s="61">
        <f t="shared" si="701"/>
        <v>0</v>
      </c>
      <c r="CI811" s="61">
        <f t="shared" si="738"/>
        <v>0</v>
      </c>
      <c r="CJ811" s="61"/>
      <c r="CK811" s="61">
        <f t="shared" si="702"/>
        <v>0</v>
      </c>
      <c r="CL811" s="61">
        <f t="shared" si="702"/>
        <v>0</v>
      </c>
      <c r="CM811" s="61">
        <f t="shared" si="702"/>
        <v>0</v>
      </c>
      <c r="CN811" s="61">
        <f t="shared" si="702"/>
        <v>0</v>
      </c>
      <c r="CO811" s="61">
        <f t="shared" si="702"/>
        <v>0</v>
      </c>
      <c r="CP811" s="61">
        <f t="shared" si="702"/>
        <v>0</v>
      </c>
      <c r="CQ811" s="61">
        <f t="shared" si="702"/>
        <v>0</v>
      </c>
      <c r="CR811" s="61">
        <f t="shared" si="702"/>
        <v>0</v>
      </c>
      <c r="CS811" s="61">
        <f t="shared" si="739"/>
        <v>0</v>
      </c>
      <c r="CT811" s="61">
        <f t="shared" si="740"/>
        <v>0</v>
      </c>
      <c r="CV811" s="61">
        <f t="shared" si="724"/>
        <v>0</v>
      </c>
      <c r="CW811" s="61">
        <f t="shared" si="741"/>
        <v>0</v>
      </c>
      <c r="CX811" s="61"/>
      <c r="CY811" s="61">
        <f t="shared" si="725"/>
        <v>0</v>
      </c>
      <c r="CZ811" s="61">
        <f t="shared" si="725"/>
        <v>0</v>
      </c>
      <c r="DA811" s="61">
        <f t="shared" si="725"/>
        <v>0</v>
      </c>
      <c r="DB811" s="2" t="s">
        <v>85</v>
      </c>
      <c r="DC811" s="2" t="s">
        <v>86</v>
      </c>
      <c r="DD811" s="2" t="s">
        <v>142</v>
      </c>
      <c r="DE811" s="2" t="s">
        <v>264</v>
      </c>
      <c r="DG811" s="62"/>
      <c r="DZ811" s="3" t="e">
        <v>#N/A</v>
      </c>
      <c r="EC811" s="60"/>
      <c r="ED811" s="60"/>
      <c r="EE811" s="60"/>
      <c r="EF811" s="60"/>
    </row>
    <row r="812" spans="2:140" ht="12.75" hidden="1" customHeight="1">
      <c r="B812" s="99" t="s">
        <v>1357</v>
      </c>
      <c r="C812" s="22" t="s">
        <v>1358</v>
      </c>
      <c r="D812" s="22" t="s">
        <v>1359</v>
      </c>
      <c r="E812" s="2" t="s">
        <v>968</v>
      </c>
      <c r="F812" s="2" t="s">
        <v>969</v>
      </c>
      <c r="G812" s="2" t="s">
        <v>339</v>
      </c>
      <c r="J812" s="149" t="s">
        <v>126</v>
      </c>
      <c r="K812" s="23" t="s">
        <v>1362</v>
      </c>
      <c r="L812" s="149" t="s">
        <v>198</v>
      </c>
      <c r="M812" s="51" t="str">
        <f t="shared" si="722"/>
        <v>JD8B-17K819-BAW</v>
      </c>
      <c r="O812" s="94"/>
      <c r="P812" s="94"/>
      <c r="Q812" s="94">
        <v>1</v>
      </c>
      <c r="R812" s="94">
        <v>1</v>
      </c>
      <c r="S812" s="94">
        <v>1</v>
      </c>
      <c r="T812" s="94">
        <v>1</v>
      </c>
      <c r="U812" s="94"/>
      <c r="V812" s="94"/>
      <c r="W812" s="64">
        <f t="shared" si="758"/>
        <v>0.6</v>
      </c>
      <c r="Y812" s="60">
        <v>-357.02</v>
      </c>
      <c r="Z812" s="60">
        <v>-2.5099999999999998</v>
      </c>
      <c r="AA812" s="60">
        <v>-8.25</v>
      </c>
      <c r="AB812" s="60"/>
      <c r="AC812" s="60"/>
      <c r="AD812" s="8">
        <f t="shared" si="759"/>
        <v>-367.78</v>
      </c>
      <c r="AE812" s="2" t="s">
        <v>84</v>
      </c>
      <c r="AG812" s="70">
        <v>-11224500</v>
      </c>
      <c r="AH812" s="70">
        <v>-11224500</v>
      </c>
      <c r="AJ812" s="70"/>
      <c r="AK812" s="70"/>
      <c r="AL812" s="72"/>
      <c r="AM812" s="22"/>
      <c r="AO812" s="149" t="s">
        <v>126</v>
      </c>
      <c r="AP812" s="23" t="s">
        <v>1362</v>
      </c>
      <c r="AQ812" s="149" t="s">
        <v>198</v>
      </c>
      <c r="AR812" s="51" t="str">
        <f t="shared" si="698"/>
        <v>JD8B-17K819-BAW</v>
      </c>
      <c r="AS812" s="3"/>
      <c r="AT812" s="94"/>
      <c r="AU812" s="94"/>
      <c r="AV812" s="94">
        <v>1</v>
      </c>
      <c r="AW812" s="94">
        <v>1</v>
      </c>
      <c r="AX812" s="94">
        <v>1</v>
      </c>
      <c r="AY812" s="94">
        <v>1</v>
      </c>
      <c r="AZ812" s="94"/>
      <c r="BA812" s="94"/>
      <c r="BB812" s="64">
        <f t="shared" si="760"/>
        <v>0.6</v>
      </c>
      <c r="BD812" s="60">
        <f>-357.02-3.65</f>
        <v>-360.66999999999996</v>
      </c>
      <c r="BE812" s="60">
        <v>-2.5099999999999998</v>
      </c>
      <c r="BF812" s="60">
        <v>-8.25</v>
      </c>
      <c r="BG812" s="60"/>
      <c r="BH812" s="60"/>
      <c r="BI812" s="8">
        <f t="shared" si="743"/>
        <v>-371.42999999999995</v>
      </c>
      <c r="BJ812" s="2" t="s">
        <v>84</v>
      </c>
      <c r="BL812" s="70">
        <v>-8824500</v>
      </c>
      <c r="BM812" s="70">
        <v>-8824500</v>
      </c>
      <c r="BO812" s="70"/>
      <c r="BP812" s="70"/>
      <c r="BQ812" s="72"/>
      <c r="BS812" s="61">
        <f t="shared" si="751"/>
        <v>3.6499999999999773</v>
      </c>
      <c r="BT812" s="61">
        <f t="shared" si="752"/>
        <v>0</v>
      </c>
      <c r="BU812" s="61">
        <f t="shared" si="753"/>
        <v>0</v>
      </c>
      <c r="BV812" s="61">
        <f t="shared" si="753"/>
        <v>0</v>
      </c>
      <c r="BW812" s="61">
        <f t="shared" si="753"/>
        <v>0</v>
      </c>
      <c r="BX812" s="61">
        <f t="shared" si="750"/>
        <v>3.6499999999999773</v>
      </c>
      <c r="BY812" s="61" t="s">
        <v>91</v>
      </c>
      <c r="CA812" s="61">
        <f t="shared" si="701"/>
        <v>0</v>
      </c>
      <c r="CB812" s="61">
        <f t="shared" si="701"/>
        <v>0</v>
      </c>
      <c r="CC812" s="61">
        <f t="shared" si="701"/>
        <v>0.54911990371595865</v>
      </c>
      <c r="CD812" s="61">
        <f t="shared" si="701"/>
        <v>0.54911990371595865</v>
      </c>
      <c r="CE812" s="61">
        <f t="shared" si="701"/>
        <v>0.54911990371595865</v>
      </c>
      <c r="CF812" s="61">
        <f t="shared" si="701"/>
        <v>0.54911990371595865</v>
      </c>
      <c r="CG812" s="61">
        <f t="shared" si="701"/>
        <v>0</v>
      </c>
      <c r="CH812" s="61">
        <f t="shared" si="701"/>
        <v>0</v>
      </c>
      <c r="CI812" s="61">
        <f t="shared" si="738"/>
        <v>0.32947194222957521</v>
      </c>
      <c r="CJ812" s="61"/>
      <c r="CK812" s="61">
        <f t="shared" si="702"/>
        <v>0</v>
      </c>
      <c r="CL812" s="61">
        <f t="shared" si="702"/>
        <v>0</v>
      </c>
      <c r="CM812" s="61">
        <f t="shared" si="702"/>
        <v>0.54911990371595865</v>
      </c>
      <c r="CN812" s="61">
        <f t="shared" si="702"/>
        <v>0.54911990371595865</v>
      </c>
      <c r="CO812" s="61">
        <f t="shared" si="702"/>
        <v>0.54911990371595865</v>
      </c>
      <c r="CP812" s="61">
        <f t="shared" si="702"/>
        <v>0.54911990371595865</v>
      </c>
      <c r="CQ812" s="61">
        <f t="shared" si="702"/>
        <v>0</v>
      </c>
      <c r="CR812" s="61">
        <f t="shared" si="702"/>
        <v>0</v>
      </c>
      <c r="CS812" s="61">
        <f t="shared" si="739"/>
        <v>0.32947194222957521</v>
      </c>
      <c r="CT812" s="61">
        <f t="shared" si="740"/>
        <v>2.1899999999999866</v>
      </c>
      <c r="CV812" s="61">
        <f t="shared" si="724"/>
        <v>-2400000</v>
      </c>
      <c r="CW812" s="61">
        <f t="shared" si="741"/>
        <v>-2400000</v>
      </c>
      <c r="CX812" s="61"/>
      <c r="CY812" s="61">
        <f t="shared" si="725"/>
        <v>0</v>
      </c>
      <c r="CZ812" s="61">
        <f t="shared" si="725"/>
        <v>0</v>
      </c>
      <c r="DA812" s="61">
        <f t="shared" si="725"/>
        <v>0</v>
      </c>
      <c r="DB812" s="2" t="s">
        <v>85</v>
      </c>
      <c r="DC812" s="2" t="s">
        <v>86</v>
      </c>
      <c r="DD812" s="2" t="s">
        <v>142</v>
      </c>
      <c r="DE812" s="2" t="s">
        <v>264</v>
      </c>
      <c r="DG812" s="62"/>
      <c r="DZ812" s="3" t="e">
        <v>#N/A</v>
      </c>
      <c r="EC812" s="60"/>
      <c r="ED812" s="60"/>
      <c r="EE812" s="60"/>
      <c r="EF812" s="60"/>
    </row>
    <row r="813" spans="2:140" ht="12.75" hidden="1" customHeight="1">
      <c r="B813" s="99" t="s">
        <v>1357</v>
      </c>
      <c r="C813" s="22" t="s">
        <v>1358</v>
      </c>
      <c r="D813" s="22" t="s">
        <v>1359</v>
      </c>
      <c r="E813" s="2" t="s">
        <v>968</v>
      </c>
      <c r="F813" s="2" t="s">
        <v>969</v>
      </c>
      <c r="G813" s="2" t="s">
        <v>339</v>
      </c>
      <c r="J813" s="149" t="s">
        <v>126</v>
      </c>
      <c r="K813" s="23" t="s">
        <v>1362</v>
      </c>
      <c r="L813" s="149" t="s">
        <v>269</v>
      </c>
      <c r="M813" s="51" t="str">
        <f t="shared" si="722"/>
        <v>JD8B-17K819-CAW</v>
      </c>
      <c r="O813" s="94"/>
      <c r="P813" s="94"/>
      <c r="Q813" s="94"/>
      <c r="R813" s="94"/>
      <c r="S813" s="94"/>
      <c r="T813" s="94"/>
      <c r="U813" s="94">
        <v>1</v>
      </c>
      <c r="V813" s="94">
        <v>1</v>
      </c>
      <c r="W813" s="64">
        <f t="shared" si="758"/>
        <v>0.1</v>
      </c>
      <c r="Y813" s="60">
        <v>-436.78</v>
      </c>
      <c r="Z813" s="60">
        <v>-2.5099999999999998</v>
      </c>
      <c r="AA813" s="60">
        <v>-8.25</v>
      </c>
      <c r="AB813" s="60"/>
      <c r="AC813" s="60"/>
      <c r="AD813" s="8">
        <f t="shared" si="759"/>
        <v>-447.53999999999996</v>
      </c>
      <c r="AE813" s="2" t="s">
        <v>84</v>
      </c>
      <c r="AG813" s="70"/>
      <c r="AH813" s="70"/>
      <c r="AJ813" s="70"/>
      <c r="AK813" s="70"/>
      <c r="AL813" s="72"/>
      <c r="AM813" s="22"/>
      <c r="AO813" s="149" t="s">
        <v>126</v>
      </c>
      <c r="AP813" s="23" t="s">
        <v>1362</v>
      </c>
      <c r="AQ813" s="149" t="s">
        <v>269</v>
      </c>
      <c r="AR813" s="51" t="str">
        <f t="shared" si="698"/>
        <v>JD8B-17K819-CAW</v>
      </c>
      <c r="AS813" s="3"/>
      <c r="AT813" s="94"/>
      <c r="AU813" s="94"/>
      <c r="AV813" s="94"/>
      <c r="AW813" s="94"/>
      <c r="AX813" s="94"/>
      <c r="AY813" s="94"/>
      <c r="AZ813" s="94">
        <v>1</v>
      </c>
      <c r="BA813" s="94">
        <v>1</v>
      </c>
      <c r="BB813" s="64">
        <f t="shared" si="760"/>
        <v>0.1</v>
      </c>
      <c r="BD813" s="60">
        <f>-436.78-1.34</f>
        <v>-438.11999999999995</v>
      </c>
      <c r="BE813" s="60">
        <v>-2.5099999999999998</v>
      </c>
      <c r="BF813" s="60">
        <v>-8.25</v>
      </c>
      <c r="BG813" s="60"/>
      <c r="BH813" s="60"/>
      <c r="BI813" s="8">
        <f t="shared" si="743"/>
        <v>-448.87999999999994</v>
      </c>
      <c r="BJ813" s="2" t="s">
        <v>84</v>
      </c>
      <c r="BL813" s="70"/>
      <c r="BM813" s="70"/>
      <c r="BO813" s="70"/>
      <c r="BP813" s="70"/>
      <c r="BQ813" s="72"/>
      <c r="BS813" s="61">
        <f t="shared" si="751"/>
        <v>1.339999999999975</v>
      </c>
      <c r="BT813" s="61">
        <f t="shared" si="752"/>
        <v>0</v>
      </c>
      <c r="BU813" s="61">
        <f t="shared" si="753"/>
        <v>0</v>
      </c>
      <c r="BV813" s="61">
        <f t="shared" si="753"/>
        <v>0</v>
      </c>
      <c r="BW813" s="61">
        <f t="shared" si="753"/>
        <v>0</v>
      </c>
      <c r="BX813" s="61">
        <f t="shared" si="750"/>
        <v>1.339999999999975</v>
      </c>
      <c r="BY813" s="61" t="s">
        <v>91</v>
      </c>
      <c r="CA813" s="61">
        <f t="shared" si="701"/>
        <v>0</v>
      </c>
      <c r="CB813" s="61">
        <f t="shared" si="701"/>
        <v>0</v>
      </c>
      <c r="CC813" s="61">
        <f t="shared" si="701"/>
        <v>0</v>
      </c>
      <c r="CD813" s="61">
        <f t="shared" si="701"/>
        <v>0</v>
      </c>
      <c r="CE813" s="61">
        <f t="shared" si="701"/>
        <v>0</v>
      </c>
      <c r="CF813" s="61">
        <f t="shared" si="701"/>
        <v>0</v>
      </c>
      <c r="CG813" s="61">
        <f t="shared" si="701"/>
        <v>0.20159470437791108</v>
      </c>
      <c r="CH813" s="61">
        <f t="shared" si="701"/>
        <v>0.20159470437791108</v>
      </c>
      <c r="CI813" s="61">
        <f t="shared" si="738"/>
        <v>2.0159470437791108E-2</v>
      </c>
      <c r="CJ813" s="61"/>
      <c r="CK813" s="61">
        <f t="shared" si="702"/>
        <v>0</v>
      </c>
      <c r="CL813" s="61">
        <f t="shared" si="702"/>
        <v>0</v>
      </c>
      <c r="CM813" s="61">
        <f t="shared" si="702"/>
        <v>0</v>
      </c>
      <c r="CN813" s="61">
        <f t="shared" si="702"/>
        <v>0</v>
      </c>
      <c r="CO813" s="61">
        <f t="shared" si="702"/>
        <v>0</v>
      </c>
      <c r="CP813" s="61">
        <f t="shared" si="702"/>
        <v>0</v>
      </c>
      <c r="CQ813" s="61">
        <f t="shared" si="702"/>
        <v>0.20159470437791108</v>
      </c>
      <c r="CR813" s="61">
        <f t="shared" si="702"/>
        <v>0.20159470437791108</v>
      </c>
      <c r="CS813" s="61">
        <f t="shared" si="739"/>
        <v>2.0159470437791108E-2</v>
      </c>
      <c r="CT813" s="61">
        <f t="shared" si="740"/>
        <v>0.13399999999999751</v>
      </c>
      <c r="CV813" s="61">
        <f t="shared" si="724"/>
        <v>0</v>
      </c>
      <c r="CW813" s="61">
        <f t="shared" si="741"/>
        <v>0</v>
      </c>
      <c r="CX813" s="61"/>
      <c r="CY813" s="61">
        <f t="shared" si="725"/>
        <v>0</v>
      </c>
      <c r="CZ813" s="61">
        <f t="shared" si="725"/>
        <v>0</v>
      </c>
      <c r="DA813" s="61">
        <f t="shared" si="725"/>
        <v>0</v>
      </c>
      <c r="DB813" s="2" t="s">
        <v>85</v>
      </c>
      <c r="DC813" s="2" t="s">
        <v>86</v>
      </c>
      <c r="DD813" s="2" t="s">
        <v>142</v>
      </c>
      <c r="DE813" s="2" t="s">
        <v>264</v>
      </c>
      <c r="DG813" s="62"/>
      <c r="DZ813" s="3" t="e">
        <v>#N/A</v>
      </c>
      <c r="EC813" s="60"/>
      <c r="ED813" s="60"/>
      <c r="EE813" s="60"/>
      <c r="EF813" s="60"/>
    </row>
    <row r="814" spans="2:140" ht="12.75" hidden="1" customHeight="1">
      <c r="B814" s="99" t="s">
        <v>1363</v>
      </c>
      <c r="C814" s="22" t="s">
        <v>1259</v>
      </c>
      <c r="D814" s="22" t="s">
        <v>1259</v>
      </c>
      <c r="E814" s="2" t="s">
        <v>968</v>
      </c>
      <c r="F814" s="2" t="s">
        <v>969</v>
      </c>
      <c r="G814" s="2" t="s">
        <v>1087</v>
      </c>
      <c r="J814" s="149" t="s">
        <v>126</v>
      </c>
      <c r="K814" s="23">
        <v>6775</v>
      </c>
      <c r="L814" s="149" t="s">
        <v>132</v>
      </c>
      <c r="M814" s="51" t="str">
        <f t="shared" si="722"/>
        <v>JD8B-6775-AB</v>
      </c>
      <c r="O814" s="22">
        <v>1</v>
      </c>
      <c r="P814" s="22">
        <v>1</v>
      </c>
      <c r="Q814" s="22">
        <v>1</v>
      </c>
      <c r="R814" s="22">
        <v>1</v>
      </c>
      <c r="S814" s="22"/>
      <c r="T814" s="22"/>
      <c r="U814" s="22"/>
      <c r="V814" s="22"/>
      <c r="W814" s="64">
        <f t="shared" si="758"/>
        <v>0.67</v>
      </c>
      <c r="Y814" s="60">
        <v>-14.583</v>
      </c>
      <c r="Z814" s="60">
        <v>-0.3</v>
      </c>
      <c r="AA814" s="60">
        <v>-0.33333000000000002</v>
      </c>
      <c r="AB814" s="60"/>
      <c r="AC814" s="60"/>
      <c r="AD814" s="8">
        <f t="shared" si="759"/>
        <v>-15.216330000000001</v>
      </c>
      <c r="AE814" s="2" t="s">
        <v>84</v>
      </c>
      <c r="AG814" s="70">
        <v>-360000</v>
      </c>
      <c r="AH814" s="70">
        <v>-360000</v>
      </c>
      <c r="AJ814" s="70"/>
      <c r="AK814" s="70"/>
      <c r="AL814" s="72"/>
      <c r="AM814" s="22"/>
      <c r="AO814" s="22" t="s">
        <v>138</v>
      </c>
      <c r="AP814" s="85">
        <v>6775</v>
      </c>
      <c r="AQ814" s="22" t="s">
        <v>180</v>
      </c>
      <c r="AR814" s="51" t="str">
        <f t="shared" si="698"/>
        <v>JD8B-6775-AA</v>
      </c>
      <c r="AS814" s="3"/>
      <c r="AT814" s="22">
        <v>1</v>
      </c>
      <c r="AU814" s="22">
        <v>1</v>
      </c>
      <c r="AV814" s="22">
        <v>1</v>
      </c>
      <c r="AW814" s="22">
        <v>1</v>
      </c>
      <c r="AX814" s="22"/>
      <c r="AY814" s="22"/>
      <c r="AZ814" s="22"/>
      <c r="BA814" s="22"/>
      <c r="BB814" s="64">
        <f t="shared" si="760"/>
        <v>0.67</v>
      </c>
      <c r="BD814" s="60">
        <v>-14.05</v>
      </c>
      <c r="BE814" s="60">
        <v>-0.3</v>
      </c>
      <c r="BF814" s="60">
        <v>-0.33</v>
      </c>
      <c r="BG814" s="60"/>
      <c r="BH814" s="60"/>
      <c r="BI814" s="8">
        <f t="shared" si="743"/>
        <v>-14.680000000000001</v>
      </c>
      <c r="BJ814" s="2" t="s">
        <v>84</v>
      </c>
      <c r="BL814" s="70">
        <v>-360000</v>
      </c>
      <c r="BM814" s="70">
        <v>-360000</v>
      </c>
      <c r="BO814" s="70"/>
      <c r="BP814" s="70"/>
      <c r="BQ814" s="72"/>
      <c r="BS814" s="61">
        <f t="shared" si="751"/>
        <v>-0.53299999999999947</v>
      </c>
      <c r="BT814" s="61">
        <f t="shared" si="752"/>
        <v>0</v>
      </c>
      <c r="BU814" s="61">
        <f t="shared" si="753"/>
        <v>-3.3299999999999996E-3</v>
      </c>
      <c r="BV814" s="61">
        <f t="shared" si="753"/>
        <v>0</v>
      </c>
      <c r="BW814" s="61">
        <f t="shared" si="753"/>
        <v>0</v>
      </c>
      <c r="BX814" s="61">
        <f t="shared" si="750"/>
        <v>-0.53632999999999953</v>
      </c>
      <c r="BY814" s="61" t="s">
        <v>91</v>
      </c>
      <c r="CA814" s="61">
        <f t="shared" si="701"/>
        <v>-8.0186550323454106E-2</v>
      </c>
      <c r="CB814" s="61">
        <f t="shared" si="701"/>
        <v>-8.0186550323454106E-2</v>
      </c>
      <c r="CC814" s="61">
        <f t="shared" si="701"/>
        <v>-8.0186550323454106E-2</v>
      </c>
      <c r="CD814" s="61">
        <f t="shared" si="701"/>
        <v>-8.0186550323454106E-2</v>
      </c>
      <c r="CE814" s="61">
        <f t="shared" si="701"/>
        <v>0</v>
      </c>
      <c r="CF814" s="61">
        <f t="shared" si="701"/>
        <v>0</v>
      </c>
      <c r="CG814" s="61">
        <f t="shared" si="701"/>
        <v>0</v>
      </c>
      <c r="CH814" s="61">
        <f t="shared" si="701"/>
        <v>0</v>
      </c>
      <c r="CI814" s="61">
        <f t="shared" si="738"/>
        <v>-5.3724988716714252E-2</v>
      </c>
      <c r="CJ814" s="61"/>
      <c r="CK814" s="61">
        <f t="shared" si="702"/>
        <v>-8.0687528208214163E-2</v>
      </c>
      <c r="CL814" s="61">
        <f t="shared" si="702"/>
        <v>-8.0687528208214163E-2</v>
      </c>
      <c r="CM814" s="61">
        <f t="shared" si="702"/>
        <v>-8.0687528208214163E-2</v>
      </c>
      <c r="CN814" s="61">
        <f t="shared" si="702"/>
        <v>-8.0687528208214163E-2</v>
      </c>
      <c r="CO814" s="61">
        <f t="shared" si="702"/>
        <v>0</v>
      </c>
      <c r="CP814" s="61">
        <f t="shared" si="702"/>
        <v>0</v>
      </c>
      <c r="CQ814" s="61">
        <f t="shared" si="702"/>
        <v>0</v>
      </c>
      <c r="CR814" s="61">
        <f t="shared" si="702"/>
        <v>0</v>
      </c>
      <c r="CS814" s="61">
        <f t="shared" si="739"/>
        <v>-5.4060643899503491E-2</v>
      </c>
      <c r="CT814" s="61">
        <f t="shared" si="740"/>
        <v>-0.35934109999999969</v>
      </c>
      <c r="CV814" s="61">
        <f t="shared" si="724"/>
        <v>0</v>
      </c>
      <c r="CW814" s="61">
        <f t="shared" si="741"/>
        <v>0</v>
      </c>
      <c r="CX814" s="61"/>
      <c r="CY814" s="61">
        <f t="shared" si="725"/>
        <v>0</v>
      </c>
      <c r="CZ814" s="61">
        <f t="shared" si="725"/>
        <v>0</v>
      </c>
      <c r="DA814" s="61">
        <f t="shared" si="725"/>
        <v>0</v>
      </c>
      <c r="DB814" s="2" t="s">
        <v>86</v>
      </c>
      <c r="DC814" s="2" t="s">
        <v>85</v>
      </c>
      <c r="DD814" s="2" t="s">
        <v>142</v>
      </c>
      <c r="DE814" s="2" t="s">
        <v>264</v>
      </c>
      <c r="DF814" s="3" t="s">
        <v>86</v>
      </c>
      <c r="DG814" s="58">
        <v>43019</v>
      </c>
      <c r="EC814" s="60" t="str">
        <f>VLOOKUP($M814,[1]Detail!$M:$BO,1,0)</f>
        <v>JD8B-6775-AB</v>
      </c>
      <c r="ED814" s="60">
        <f>VLOOKUP($M814,[1]Detail!$M:$BO,22,0)</f>
        <v>-15.216330000000001</v>
      </c>
      <c r="EE814" s="60">
        <f>VLOOKUP($M814,[1]Detail!$M:$BO,42,0)</f>
        <v>-360000</v>
      </c>
      <c r="EF814" s="60">
        <f>VLOOKUP($M814,[1]Detail!$M:$BO,45,0)</f>
        <v>0</v>
      </c>
      <c r="EH814" s="60">
        <f t="shared" ref="EH814:EH818" si="771">ED814-AD814</f>
        <v>0</v>
      </c>
      <c r="EI814" s="60">
        <f t="shared" ref="EI814:EI818" si="772">EE814-AG814</f>
        <v>0</v>
      </c>
      <c r="EJ814" s="60">
        <f t="shared" ref="EJ814:EJ818" si="773">EF814-AJ814</f>
        <v>0</v>
      </c>
    </row>
    <row r="815" spans="2:140" ht="12.75" hidden="1" customHeight="1">
      <c r="B815" s="115" t="s">
        <v>1167</v>
      </c>
      <c r="C815" s="22" t="s">
        <v>1364</v>
      </c>
      <c r="D815" s="95" t="s">
        <v>1217</v>
      </c>
      <c r="E815" s="22" t="s">
        <v>968</v>
      </c>
      <c r="F815" s="22" t="s">
        <v>969</v>
      </c>
      <c r="G815" s="22" t="s">
        <v>331</v>
      </c>
      <c r="J815" s="22" t="s">
        <v>138</v>
      </c>
      <c r="K815" s="23" t="s">
        <v>1365</v>
      </c>
      <c r="L815" s="22" t="s">
        <v>83</v>
      </c>
      <c r="M815" s="51" t="str">
        <f t="shared" si="722"/>
        <v>JD8B-F22600-AAW</v>
      </c>
      <c r="O815" s="22">
        <v>2</v>
      </c>
      <c r="P815" s="22">
        <v>2</v>
      </c>
      <c r="Q815" s="22">
        <v>2</v>
      </c>
      <c r="R815" s="22">
        <v>2</v>
      </c>
      <c r="S815" s="22">
        <v>2</v>
      </c>
      <c r="T815" s="22">
        <v>2</v>
      </c>
      <c r="U815" s="22">
        <v>2</v>
      </c>
      <c r="V815" s="22">
        <v>2</v>
      </c>
      <c r="W815" s="64">
        <f t="shared" si="758"/>
        <v>2</v>
      </c>
      <c r="Y815" s="60">
        <v>-17.388184048531571</v>
      </c>
      <c r="Z815" s="60">
        <v>-0.70638888888888884</v>
      </c>
      <c r="AA815" s="95">
        <v>-7.3758975729756551E-2</v>
      </c>
      <c r="AB815" s="95">
        <v>0</v>
      </c>
      <c r="AC815" s="95">
        <v>0</v>
      </c>
      <c r="AD815" s="8">
        <f t="shared" si="759"/>
        <v>-18.168331913150215</v>
      </c>
      <c r="AE815" s="2" t="s">
        <v>91</v>
      </c>
      <c r="AG815" s="8"/>
      <c r="AH815" s="8"/>
      <c r="AJ815" s="70"/>
      <c r="AK815" s="70"/>
      <c r="AL815" s="72"/>
      <c r="AM815" s="22"/>
      <c r="AO815" s="22" t="s">
        <v>138</v>
      </c>
      <c r="AP815" s="23" t="s">
        <v>1365</v>
      </c>
      <c r="AQ815" s="22" t="s">
        <v>83</v>
      </c>
      <c r="AR815" s="51" t="str">
        <f t="shared" si="698"/>
        <v>JD8B-F22600-AAW</v>
      </c>
      <c r="AS815" s="3"/>
      <c r="AT815" s="22">
        <v>2</v>
      </c>
      <c r="AU815" s="22">
        <v>2</v>
      </c>
      <c r="AV815" s="22">
        <v>2</v>
      </c>
      <c r="AW815" s="22">
        <v>2</v>
      </c>
      <c r="AX815" s="22">
        <v>2</v>
      </c>
      <c r="AY815" s="22">
        <v>2</v>
      </c>
      <c r="AZ815" s="22">
        <v>2</v>
      </c>
      <c r="BA815" s="22">
        <v>2</v>
      </c>
      <c r="BB815" s="64">
        <f t="shared" si="760"/>
        <v>2</v>
      </c>
      <c r="BD815" s="60">
        <v>-17.388184048531571</v>
      </c>
      <c r="BE815" s="60">
        <v>-0.70638888888888884</v>
      </c>
      <c r="BF815" s="95">
        <v>-7.3758975729756551E-2</v>
      </c>
      <c r="BG815" s="95">
        <v>0</v>
      </c>
      <c r="BH815" s="95">
        <v>0</v>
      </c>
      <c r="BI815" s="8">
        <v>-18.168331913150215</v>
      </c>
      <c r="BJ815" s="2" t="s">
        <v>91</v>
      </c>
      <c r="BL815" s="70">
        <v>0</v>
      </c>
      <c r="BM815" s="70">
        <v>0</v>
      </c>
      <c r="BO815" s="70">
        <v>0</v>
      </c>
      <c r="BP815" s="70"/>
      <c r="BQ815" s="72"/>
      <c r="BS815" s="61">
        <f t="shared" si="751"/>
        <v>0</v>
      </c>
      <c r="BT815" s="61">
        <f t="shared" si="752"/>
        <v>0</v>
      </c>
      <c r="BU815" s="61">
        <f t="shared" si="753"/>
        <v>0</v>
      </c>
      <c r="BV815" s="61">
        <f t="shared" si="753"/>
        <v>0</v>
      </c>
      <c r="BW815" s="61">
        <f t="shared" si="753"/>
        <v>0</v>
      </c>
      <c r="BX815" s="61">
        <f t="shared" si="750"/>
        <v>0</v>
      </c>
      <c r="BY815" s="61" t="s">
        <v>91</v>
      </c>
      <c r="CA815" s="61">
        <f t="shared" si="701"/>
        <v>0</v>
      </c>
      <c r="CB815" s="61">
        <f t="shared" si="701"/>
        <v>0</v>
      </c>
      <c r="CC815" s="61">
        <f t="shared" si="701"/>
        <v>0</v>
      </c>
      <c r="CD815" s="61">
        <f t="shared" si="701"/>
        <v>0</v>
      </c>
      <c r="CE815" s="61">
        <f t="shared" si="701"/>
        <v>0</v>
      </c>
      <c r="CF815" s="61">
        <f t="shared" si="701"/>
        <v>0</v>
      </c>
      <c r="CG815" s="61">
        <f t="shared" si="701"/>
        <v>0</v>
      </c>
      <c r="CH815" s="61">
        <f t="shared" si="701"/>
        <v>0</v>
      </c>
      <c r="CI815" s="61">
        <f t="shared" si="738"/>
        <v>0</v>
      </c>
      <c r="CJ815" s="61"/>
      <c r="CK815" s="61">
        <f t="shared" si="702"/>
        <v>0</v>
      </c>
      <c r="CL815" s="61">
        <f t="shared" si="702"/>
        <v>0</v>
      </c>
      <c r="CM815" s="61">
        <f t="shared" si="702"/>
        <v>0</v>
      </c>
      <c r="CN815" s="61">
        <f t="shared" si="702"/>
        <v>0</v>
      </c>
      <c r="CO815" s="61">
        <f t="shared" si="702"/>
        <v>0</v>
      </c>
      <c r="CP815" s="61">
        <f t="shared" si="702"/>
        <v>0</v>
      </c>
      <c r="CQ815" s="61">
        <f t="shared" si="702"/>
        <v>0</v>
      </c>
      <c r="CR815" s="61">
        <f t="shared" si="702"/>
        <v>0</v>
      </c>
      <c r="CS815" s="61">
        <f t="shared" si="739"/>
        <v>0</v>
      </c>
      <c r="CT815" s="61">
        <f t="shared" si="740"/>
        <v>0</v>
      </c>
      <c r="CV815" s="61">
        <f t="shared" si="724"/>
        <v>0</v>
      </c>
      <c r="CW815" s="61">
        <f t="shared" si="741"/>
        <v>0</v>
      </c>
      <c r="CX815" s="61"/>
      <c r="CY815" s="61">
        <f t="shared" si="725"/>
        <v>0</v>
      </c>
      <c r="CZ815" s="61">
        <f t="shared" si="725"/>
        <v>0</v>
      </c>
      <c r="DA815" s="61">
        <f t="shared" si="725"/>
        <v>0</v>
      </c>
      <c r="DB815" s="2" t="s">
        <v>102</v>
      </c>
      <c r="DC815" s="2" t="s">
        <v>85</v>
      </c>
      <c r="DD815" s="2" t="s">
        <v>142</v>
      </c>
      <c r="DE815" s="2" t="s">
        <v>1146</v>
      </c>
      <c r="DF815" s="3" t="s">
        <v>86</v>
      </c>
      <c r="DG815" s="58">
        <v>43019</v>
      </c>
      <c r="EC815" s="60" t="str">
        <f>VLOOKUP($M815,[1]Detail!$M:$BO,1,0)</f>
        <v>JD8B-F22600-AAW</v>
      </c>
      <c r="ED815" s="60">
        <f>VLOOKUP($M815,[1]Detail!$M:$BO,22,0)</f>
        <v>-18.168331913150215</v>
      </c>
      <c r="EE815" s="60">
        <f>VLOOKUP($M815,[1]Detail!$M:$BO,42,0)</f>
        <v>0</v>
      </c>
      <c r="EF815" s="60">
        <f>VLOOKUP($M815,[1]Detail!$M:$BO,45,0)</f>
        <v>0</v>
      </c>
      <c r="EH815" s="60">
        <f t="shared" si="771"/>
        <v>0</v>
      </c>
      <c r="EI815" s="60">
        <f t="shared" si="772"/>
        <v>0</v>
      </c>
      <c r="EJ815" s="60">
        <f t="shared" si="773"/>
        <v>0</v>
      </c>
    </row>
    <row r="816" spans="2:140" ht="12.75" hidden="1" customHeight="1">
      <c r="B816" s="99" t="s">
        <v>1167</v>
      </c>
      <c r="C816" s="22" t="s">
        <v>1364</v>
      </c>
      <c r="D816" s="95" t="s">
        <v>1217</v>
      </c>
      <c r="E816" s="2" t="s">
        <v>968</v>
      </c>
      <c r="F816" s="2" t="s">
        <v>969</v>
      </c>
      <c r="G816" s="2" t="s">
        <v>331</v>
      </c>
      <c r="J816" s="22" t="s">
        <v>138</v>
      </c>
      <c r="K816" s="23" t="s">
        <v>1366</v>
      </c>
      <c r="L816" s="22" t="s">
        <v>83</v>
      </c>
      <c r="M816" s="51" t="str">
        <f t="shared" si="722"/>
        <v>JD8B-F22601-AAW</v>
      </c>
      <c r="O816" s="22">
        <v>1</v>
      </c>
      <c r="P816" s="22">
        <v>1</v>
      </c>
      <c r="Q816" s="22">
        <v>1</v>
      </c>
      <c r="R816" s="22">
        <v>1</v>
      </c>
      <c r="S816" s="22">
        <v>1</v>
      </c>
      <c r="T816" s="22">
        <v>1</v>
      </c>
      <c r="U816" s="22">
        <v>1</v>
      </c>
      <c r="V816" s="22">
        <v>1</v>
      </c>
      <c r="W816" s="64">
        <f t="shared" si="758"/>
        <v>1</v>
      </c>
      <c r="Y816" s="60">
        <v>-17.935254048531572</v>
      </c>
      <c r="Z816" s="60">
        <v>-0.70638888888888884</v>
      </c>
      <c r="AA816" s="95">
        <v>-7.3758975729756551E-2</v>
      </c>
      <c r="AB816" s="95">
        <v>0</v>
      </c>
      <c r="AC816" s="95">
        <v>0</v>
      </c>
      <c r="AD816" s="8">
        <f t="shared" si="759"/>
        <v>-18.715401913150217</v>
      </c>
      <c r="AE816" s="2" t="s">
        <v>91</v>
      </c>
      <c r="AG816" s="8">
        <v>-3314245</v>
      </c>
      <c r="AH816" s="8">
        <v>-3314245</v>
      </c>
      <c r="AJ816" s="70">
        <v>-50000</v>
      </c>
      <c r="AK816" s="70">
        <v>714285.7142857142</v>
      </c>
      <c r="AL816" s="72"/>
      <c r="AM816" s="22"/>
      <c r="AO816" s="22" t="s">
        <v>138</v>
      </c>
      <c r="AP816" s="23" t="s">
        <v>1366</v>
      </c>
      <c r="AQ816" s="22" t="s">
        <v>83</v>
      </c>
      <c r="AR816" s="51" t="str">
        <f t="shared" si="698"/>
        <v>JD8B-F22601-AAW</v>
      </c>
      <c r="AS816" s="3"/>
      <c r="AT816" s="22">
        <v>1</v>
      </c>
      <c r="AU816" s="22">
        <v>1</v>
      </c>
      <c r="AV816" s="22">
        <v>1</v>
      </c>
      <c r="AW816" s="22">
        <v>1</v>
      </c>
      <c r="AX816" s="22">
        <v>1</v>
      </c>
      <c r="AY816" s="22">
        <v>1</v>
      </c>
      <c r="AZ816" s="22">
        <v>1</v>
      </c>
      <c r="BA816" s="22">
        <v>1</v>
      </c>
      <c r="BB816" s="64">
        <f t="shared" si="760"/>
        <v>1</v>
      </c>
      <c r="BD816" s="60">
        <v>-17.935254048531572</v>
      </c>
      <c r="BE816" s="60">
        <v>-0.70638888888888884</v>
      </c>
      <c r="BF816" s="95">
        <v>-7.3758975729756551E-2</v>
      </c>
      <c r="BG816" s="95">
        <v>0</v>
      </c>
      <c r="BH816" s="95">
        <v>0</v>
      </c>
      <c r="BI816" s="8">
        <v>-18.715401913150217</v>
      </c>
      <c r="BJ816" s="2" t="s">
        <v>91</v>
      </c>
      <c r="BL816" s="70">
        <v>-3314245</v>
      </c>
      <c r="BM816" s="70">
        <v>-3314245</v>
      </c>
      <c r="BO816" s="70">
        <v>-50000</v>
      </c>
      <c r="BP816" s="70">
        <v>714285.7142857142</v>
      </c>
      <c r="BQ816" s="72"/>
      <c r="BS816" s="61">
        <f t="shared" si="751"/>
        <v>0</v>
      </c>
      <c r="BT816" s="61">
        <f t="shared" si="752"/>
        <v>0</v>
      </c>
      <c r="BU816" s="61">
        <f t="shared" si="753"/>
        <v>0</v>
      </c>
      <c r="BV816" s="61">
        <f t="shared" si="753"/>
        <v>0</v>
      </c>
      <c r="BW816" s="61">
        <f t="shared" si="753"/>
        <v>0</v>
      </c>
      <c r="BX816" s="61">
        <f t="shared" si="750"/>
        <v>0</v>
      </c>
      <c r="BY816" s="61" t="s">
        <v>91</v>
      </c>
      <c r="CA816" s="61">
        <f t="shared" si="701"/>
        <v>0</v>
      </c>
      <c r="CB816" s="61">
        <f t="shared" si="701"/>
        <v>0</v>
      </c>
      <c r="CC816" s="61">
        <f t="shared" si="701"/>
        <v>0</v>
      </c>
      <c r="CD816" s="61">
        <f t="shared" si="701"/>
        <v>0</v>
      </c>
      <c r="CE816" s="61">
        <f t="shared" si="701"/>
        <v>0</v>
      </c>
      <c r="CF816" s="61">
        <f t="shared" si="701"/>
        <v>0</v>
      </c>
      <c r="CG816" s="61">
        <f t="shared" si="701"/>
        <v>0</v>
      </c>
      <c r="CH816" s="61">
        <f t="shared" si="701"/>
        <v>0</v>
      </c>
      <c r="CI816" s="61">
        <f t="shared" si="738"/>
        <v>0</v>
      </c>
      <c r="CJ816" s="61"/>
      <c r="CK816" s="61">
        <f t="shared" si="702"/>
        <v>0</v>
      </c>
      <c r="CL816" s="61">
        <f t="shared" si="702"/>
        <v>0</v>
      </c>
      <c r="CM816" s="61">
        <f t="shared" si="702"/>
        <v>0</v>
      </c>
      <c r="CN816" s="61">
        <f t="shared" si="702"/>
        <v>0</v>
      </c>
      <c r="CO816" s="61">
        <f t="shared" si="702"/>
        <v>0</v>
      </c>
      <c r="CP816" s="61">
        <f t="shared" si="702"/>
        <v>0</v>
      </c>
      <c r="CQ816" s="61">
        <f t="shared" si="702"/>
        <v>0</v>
      </c>
      <c r="CR816" s="61">
        <f t="shared" si="702"/>
        <v>0</v>
      </c>
      <c r="CS816" s="61">
        <f t="shared" si="739"/>
        <v>0</v>
      </c>
      <c r="CT816" s="61">
        <f t="shared" si="740"/>
        <v>0</v>
      </c>
      <c r="CV816" s="61">
        <f t="shared" si="724"/>
        <v>0</v>
      </c>
      <c r="CW816" s="61">
        <f t="shared" si="741"/>
        <v>0</v>
      </c>
      <c r="CX816" s="61"/>
      <c r="CY816" s="61">
        <f t="shared" si="725"/>
        <v>0</v>
      </c>
      <c r="CZ816" s="61">
        <f t="shared" si="725"/>
        <v>0</v>
      </c>
      <c r="DA816" s="61">
        <f t="shared" si="725"/>
        <v>0</v>
      </c>
      <c r="DB816" s="2" t="s">
        <v>102</v>
      </c>
      <c r="DC816" s="2" t="s">
        <v>85</v>
      </c>
      <c r="DD816" s="2" t="s">
        <v>142</v>
      </c>
      <c r="DE816" s="2" t="s">
        <v>1146</v>
      </c>
      <c r="DF816" s="3" t="s">
        <v>86</v>
      </c>
      <c r="DG816" s="58">
        <v>43019</v>
      </c>
      <c r="EC816" s="60" t="str">
        <f>VLOOKUP($M816,[1]Detail!$M:$BO,1,0)</f>
        <v>JD8B-F22601-AAW</v>
      </c>
      <c r="ED816" s="60">
        <f>VLOOKUP($M816,[1]Detail!$M:$BO,22,0)</f>
        <v>-18.715401913150217</v>
      </c>
      <c r="EE816" s="60">
        <f>VLOOKUP($M816,[1]Detail!$M:$BO,42,0)</f>
        <v>-3314245</v>
      </c>
      <c r="EF816" s="60">
        <f>VLOOKUP($M816,[1]Detail!$M:$BO,45,0)</f>
        <v>-50000</v>
      </c>
      <c r="EH816" s="60">
        <f t="shared" si="771"/>
        <v>0</v>
      </c>
      <c r="EI816" s="60">
        <f t="shared" si="772"/>
        <v>0</v>
      </c>
      <c r="EJ816" s="60">
        <f t="shared" si="773"/>
        <v>0</v>
      </c>
    </row>
    <row r="817" spans="1:140" ht="12.75" hidden="1" customHeight="1">
      <c r="A817" s="2" t="s">
        <v>86</v>
      </c>
      <c r="B817" s="99" t="s">
        <v>1367</v>
      </c>
      <c r="C817" s="159" t="s">
        <v>1364</v>
      </c>
      <c r="D817" s="150" t="s">
        <v>1217</v>
      </c>
      <c r="E817" s="2" t="s">
        <v>968</v>
      </c>
      <c r="F817" s="2" t="s">
        <v>969</v>
      </c>
      <c r="G817" s="88" t="s">
        <v>331</v>
      </c>
      <c r="J817" s="149" t="s">
        <v>138</v>
      </c>
      <c r="K817" s="23" t="s">
        <v>1366</v>
      </c>
      <c r="L817" s="149" t="s">
        <v>220</v>
      </c>
      <c r="M817" s="51" t="str">
        <f t="shared" si="722"/>
        <v>JD8B-F22601-ABW</v>
      </c>
      <c r="O817" s="22"/>
      <c r="P817" s="22"/>
      <c r="Q817" s="22"/>
      <c r="R817" s="22"/>
      <c r="S817" s="22"/>
      <c r="T817" s="22"/>
      <c r="U817" s="94">
        <v>1</v>
      </c>
      <c r="V817" s="94">
        <v>1</v>
      </c>
      <c r="W817" s="64">
        <f t="shared" si="758"/>
        <v>0.1</v>
      </c>
      <c r="Y817" s="113">
        <v>-17.935254048531572</v>
      </c>
      <c r="Z817" s="113">
        <v>-0.70638888888888884</v>
      </c>
      <c r="AA817" s="114">
        <v>-7.3758975729756551E-2</v>
      </c>
      <c r="AB817" s="114">
        <v>0</v>
      </c>
      <c r="AC817" s="114">
        <v>0</v>
      </c>
      <c r="AD817" s="8">
        <f>SUM(Y817:AC817)</f>
        <v>-18.715401913150217</v>
      </c>
      <c r="AE817" s="2" t="s">
        <v>91</v>
      </c>
      <c r="AG817" s="8">
        <v>-3314245</v>
      </c>
      <c r="AH817" s="8">
        <v>-3314245</v>
      </c>
      <c r="AJ817" s="70">
        <v>-50000</v>
      </c>
      <c r="AK817" s="70">
        <f>-AJ817/0.07</f>
        <v>714285.7142857142</v>
      </c>
      <c r="AL817" s="72"/>
      <c r="AM817" s="22"/>
      <c r="AO817" s="22" t="s">
        <v>204</v>
      </c>
      <c r="AP817" s="85" t="s">
        <v>1366</v>
      </c>
      <c r="AQ817" s="22" t="s">
        <v>83</v>
      </c>
      <c r="AR817" s="51" t="str">
        <f>TRIM(AO817)&amp;"-"&amp;TRIM(AP817)&amp;"-"&amp;TRIM(AQ817)</f>
        <v>ED8B-F22601-AAW</v>
      </c>
      <c r="AS817" s="3"/>
      <c r="AT817" s="22"/>
      <c r="AU817" s="22"/>
      <c r="AV817" s="22"/>
      <c r="AW817" s="22"/>
      <c r="AX817" s="22"/>
      <c r="AY817" s="22"/>
      <c r="AZ817" s="94">
        <v>1</v>
      </c>
      <c r="BA817" s="94">
        <v>1</v>
      </c>
      <c r="BB817" s="64">
        <f t="shared" si="760"/>
        <v>0.1</v>
      </c>
      <c r="BD817" s="113">
        <v>-17.935254048531572</v>
      </c>
      <c r="BE817" s="113">
        <v>-0.70638888888888884</v>
      </c>
      <c r="BF817" s="114">
        <v>-7.3758975729756551E-2</v>
      </c>
      <c r="BG817" s="114">
        <v>0</v>
      </c>
      <c r="BH817" s="114">
        <v>0</v>
      </c>
      <c r="BI817" s="8">
        <f>SUM(BD817:BH817)</f>
        <v>-18.715401913150217</v>
      </c>
      <c r="BJ817" s="2" t="s">
        <v>91</v>
      </c>
      <c r="BL817" s="97">
        <v>-3314245</v>
      </c>
      <c r="BM817" s="97">
        <v>-3314245</v>
      </c>
      <c r="BO817" s="70">
        <v>-50000</v>
      </c>
      <c r="BP817" s="70">
        <f>-BO817/0.07</f>
        <v>714285.7142857142</v>
      </c>
      <c r="BQ817" s="72"/>
      <c r="BS817" s="61">
        <f t="shared" si="751"/>
        <v>0</v>
      </c>
      <c r="BT817" s="61">
        <f t="shared" si="752"/>
        <v>0</v>
      </c>
      <c r="BU817" s="61">
        <f t="shared" si="753"/>
        <v>0</v>
      </c>
      <c r="BV817" s="61">
        <f t="shared" si="753"/>
        <v>0</v>
      </c>
      <c r="BW817" s="61">
        <f t="shared" si="753"/>
        <v>0</v>
      </c>
      <c r="BX817" s="61">
        <f t="shared" si="750"/>
        <v>0</v>
      </c>
      <c r="BY817" s="61" t="s">
        <v>91</v>
      </c>
      <c r="CA817" s="61">
        <f t="shared" si="701"/>
        <v>0</v>
      </c>
      <c r="CB817" s="61">
        <f t="shared" si="701"/>
        <v>0</v>
      </c>
      <c r="CC817" s="61">
        <f t="shared" si="701"/>
        <v>0</v>
      </c>
      <c r="CD817" s="61">
        <f t="shared" si="701"/>
        <v>0</v>
      </c>
      <c r="CE817" s="61">
        <f t="shared" si="701"/>
        <v>0</v>
      </c>
      <c r="CF817" s="61">
        <f t="shared" si="701"/>
        <v>0</v>
      </c>
      <c r="CG817" s="61">
        <f t="shared" si="701"/>
        <v>0</v>
      </c>
      <c r="CH817" s="61">
        <f t="shared" si="701"/>
        <v>0</v>
      </c>
      <c r="CI817" s="61">
        <f t="shared" si="738"/>
        <v>0</v>
      </c>
      <c r="CJ817" s="61"/>
      <c r="CK817" s="61">
        <f t="shared" si="702"/>
        <v>0</v>
      </c>
      <c r="CL817" s="61">
        <f t="shared" si="702"/>
        <v>0</v>
      </c>
      <c r="CM817" s="61">
        <f t="shared" si="702"/>
        <v>0</v>
      </c>
      <c r="CN817" s="61">
        <f t="shared" si="702"/>
        <v>0</v>
      </c>
      <c r="CO817" s="61">
        <f t="shared" si="702"/>
        <v>0</v>
      </c>
      <c r="CP817" s="61">
        <f t="shared" si="702"/>
        <v>0</v>
      </c>
      <c r="CQ817" s="61">
        <f t="shared" si="702"/>
        <v>0</v>
      </c>
      <c r="CR817" s="61">
        <f t="shared" si="702"/>
        <v>0</v>
      </c>
      <c r="CS817" s="61">
        <f t="shared" si="739"/>
        <v>0</v>
      </c>
      <c r="CT817" s="61">
        <f t="shared" si="740"/>
        <v>0</v>
      </c>
      <c r="CV817" s="61">
        <f>SUM(AG817)-SUM(BL817)</f>
        <v>0</v>
      </c>
      <c r="CW817" s="61">
        <f>SUM(AH817)-SUM(BM817)</f>
        <v>0</v>
      </c>
      <c r="CX817" s="61"/>
      <c r="CY817" s="61">
        <f>SUM(AJ817)-SUM(BO817)</f>
        <v>0</v>
      </c>
      <c r="CZ817" s="61">
        <f>SUM(AK817)-SUM(BP817)</f>
        <v>0</v>
      </c>
      <c r="DA817" s="61">
        <f>SUM(AL817)-SUM(BQ817)</f>
        <v>0</v>
      </c>
      <c r="DB817" s="2" t="s">
        <v>102</v>
      </c>
      <c r="DC817" s="2" t="s">
        <v>134</v>
      </c>
      <c r="DD817" s="2" t="s">
        <v>142</v>
      </c>
      <c r="DE817" s="2" t="s">
        <v>143</v>
      </c>
      <c r="DF817" s="3" t="s">
        <v>86</v>
      </c>
      <c r="DG817" s="145">
        <v>43042</v>
      </c>
      <c r="EC817" s="60" t="str">
        <f>VLOOKUP($M817,[1]Detail!$M:$BO,1,0)</f>
        <v>JD8B-F22601-ABW</v>
      </c>
      <c r="ED817" s="60">
        <f>VLOOKUP($M817,[1]Detail!$M:$BO,22,0)</f>
        <v>-18.715401913150217</v>
      </c>
      <c r="EE817" s="60">
        <f>VLOOKUP($M817,[1]Detail!$M:$BO,42,0)</f>
        <v>0</v>
      </c>
      <c r="EF817" s="60">
        <f>VLOOKUP($M817,[1]Detail!$M:$BO,45,0)</f>
        <v>0</v>
      </c>
      <c r="EH817" s="60">
        <f t="shared" si="771"/>
        <v>0</v>
      </c>
      <c r="EI817" s="60">
        <f t="shared" si="772"/>
        <v>3314245</v>
      </c>
      <c r="EJ817" s="60">
        <f t="shared" si="773"/>
        <v>50000</v>
      </c>
    </row>
    <row r="818" spans="1:140" ht="12.75" hidden="1" customHeight="1">
      <c r="B818" s="99" t="s">
        <v>1167</v>
      </c>
      <c r="C818" s="22" t="s">
        <v>1364</v>
      </c>
      <c r="D818" s="95" t="s">
        <v>1217</v>
      </c>
      <c r="E818" s="2" t="s">
        <v>968</v>
      </c>
      <c r="F818" s="2" t="s">
        <v>969</v>
      </c>
      <c r="G818" s="2" t="s">
        <v>331</v>
      </c>
      <c r="J818" s="22" t="s">
        <v>138</v>
      </c>
      <c r="K818" s="23" t="s">
        <v>1368</v>
      </c>
      <c r="L818" s="22" t="s">
        <v>83</v>
      </c>
      <c r="M818" s="51" t="str">
        <f t="shared" si="722"/>
        <v>JD8B-F266B35-AAW</v>
      </c>
      <c r="O818" s="22">
        <v>1</v>
      </c>
      <c r="P818" s="22">
        <v>1</v>
      </c>
      <c r="Q818" s="22">
        <v>1</v>
      </c>
      <c r="R818" s="22">
        <v>1</v>
      </c>
      <c r="S818" s="22">
        <v>1</v>
      </c>
      <c r="T818" s="22">
        <v>1</v>
      </c>
      <c r="U818" s="22">
        <v>1</v>
      </c>
      <c r="V818" s="22">
        <v>1</v>
      </c>
      <c r="W818" s="64">
        <f t="shared" si="758"/>
        <v>1</v>
      </c>
      <c r="Y818" s="8">
        <v>-17.39</v>
      </c>
      <c r="Z818" s="8">
        <v>-0.71</v>
      </c>
      <c r="AA818" s="8">
        <v>0</v>
      </c>
      <c r="AB818" s="8"/>
      <c r="AC818" s="8">
        <v>-7.0000000000000007E-2</v>
      </c>
      <c r="AD818" s="8">
        <f t="shared" si="759"/>
        <v>-18.170000000000002</v>
      </c>
      <c r="AE818" s="2" t="s">
        <v>91</v>
      </c>
      <c r="AG818" s="8"/>
      <c r="AH818" s="8"/>
      <c r="AJ818" s="70"/>
      <c r="AK818" s="70"/>
      <c r="AL818" s="72"/>
      <c r="AM818" s="22"/>
      <c r="AO818" s="22" t="s">
        <v>138</v>
      </c>
      <c r="AP818" s="85" t="s">
        <v>1368</v>
      </c>
      <c r="AQ818" s="22" t="s">
        <v>83</v>
      </c>
      <c r="AR818" s="51" t="str">
        <f t="shared" si="698"/>
        <v>JD8B-F266B35-AAW</v>
      </c>
      <c r="AS818" s="3"/>
      <c r="AT818" s="22">
        <v>1</v>
      </c>
      <c r="AU818" s="22">
        <v>1</v>
      </c>
      <c r="AV818" s="22">
        <v>1</v>
      </c>
      <c r="AW818" s="22">
        <v>1</v>
      </c>
      <c r="AX818" s="22">
        <v>1</v>
      </c>
      <c r="AY818" s="22">
        <v>1</v>
      </c>
      <c r="AZ818" s="22">
        <v>1</v>
      </c>
      <c r="BA818" s="22">
        <v>1</v>
      </c>
      <c r="BB818" s="64">
        <f t="shared" si="760"/>
        <v>1</v>
      </c>
      <c r="BD818" s="8">
        <v>-17.39</v>
      </c>
      <c r="BE818" s="8">
        <v>-0.71</v>
      </c>
      <c r="BF818" s="8">
        <v>0</v>
      </c>
      <c r="BG818" s="8"/>
      <c r="BH818" s="8">
        <v>-7.0000000000000007E-2</v>
      </c>
      <c r="BI818" s="8">
        <f t="shared" ref="BI818:BI843" si="774">SUM(BD818:BH818)</f>
        <v>-18.170000000000002</v>
      </c>
      <c r="BJ818" s="2" t="s">
        <v>91</v>
      </c>
      <c r="BL818" s="70"/>
      <c r="BM818" s="70"/>
      <c r="BO818" s="70"/>
      <c r="BP818" s="70"/>
      <c r="BQ818" s="72"/>
      <c r="BS818" s="61">
        <f t="shared" si="751"/>
        <v>0</v>
      </c>
      <c r="BT818" s="61">
        <f t="shared" si="752"/>
        <v>0</v>
      </c>
      <c r="BU818" s="61">
        <f t="shared" si="753"/>
        <v>0</v>
      </c>
      <c r="BV818" s="61">
        <f t="shared" si="753"/>
        <v>0</v>
      </c>
      <c r="BW818" s="61">
        <f t="shared" si="753"/>
        <v>0</v>
      </c>
      <c r="BX818" s="61">
        <f t="shared" si="750"/>
        <v>0</v>
      </c>
      <c r="BY818" s="61" t="s">
        <v>91</v>
      </c>
      <c r="CA818" s="61">
        <f t="shared" si="701"/>
        <v>0</v>
      </c>
      <c r="CB818" s="61">
        <f t="shared" si="701"/>
        <v>0</v>
      </c>
      <c r="CC818" s="61">
        <f t="shared" si="701"/>
        <v>0</v>
      </c>
      <c r="CD818" s="61">
        <f t="shared" si="701"/>
        <v>0</v>
      </c>
      <c r="CE818" s="61">
        <f t="shared" si="701"/>
        <v>0</v>
      </c>
      <c r="CF818" s="61">
        <f t="shared" si="701"/>
        <v>0</v>
      </c>
      <c r="CG818" s="61">
        <f t="shared" si="701"/>
        <v>0</v>
      </c>
      <c r="CH818" s="61">
        <f t="shared" si="701"/>
        <v>0</v>
      </c>
      <c r="CI818" s="61">
        <f t="shared" si="738"/>
        <v>0</v>
      </c>
      <c r="CJ818" s="61"/>
      <c r="CK818" s="61">
        <f t="shared" si="702"/>
        <v>0</v>
      </c>
      <c r="CL818" s="61">
        <f t="shared" si="702"/>
        <v>0</v>
      </c>
      <c r="CM818" s="61">
        <f t="shared" si="702"/>
        <v>0</v>
      </c>
      <c r="CN818" s="61">
        <f t="shared" si="702"/>
        <v>0</v>
      </c>
      <c r="CO818" s="61">
        <f t="shared" si="702"/>
        <v>0</v>
      </c>
      <c r="CP818" s="61">
        <f t="shared" si="702"/>
        <v>0</v>
      </c>
      <c r="CQ818" s="61">
        <f t="shared" si="702"/>
        <v>0</v>
      </c>
      <c r="CR818" s="61">
        <f t="shared" si="702"/>
        <v>0</v>
      </c>
      <c r="CS818" s="61">
        <f t="shared" si="739"/>
        <v>0</v>
      </c>
      <c r="CT818" s="61">
        <f t="shared" si="740"/>
        <v>0</v>
      </c>
      <c r="CV818" s="61">
        <f t="shared" si="724"/>
        <v>0</v>
      </c>
      <c r="CW818" s="61">
        <f t="shared" si="741"/>
        <v>0</v>
      </c>
      <c r="CX818" s="61"/>
      <c r="CY818" s="61">
        <f t="shared" si="725"/>
        <v>0</v>
      </c>
      <c r="CZ818" s="61">
        <f t="shared" si="725"/>
        <v>0</v>
      </c>
      <c r="DA818" s="61">
        <f t="shared" si="725"/>
        <v>0</v>
      </c>
      <c r="DB818" s="2" t="s">
        <v>102</v>
      </c>
      <c r="DC818" s="2" t="s">
        <v>85</v>
      </c>
      <c r="DD818" s="2" t="s">
        <v>142</v>
      </c>
      <c r="DE818" s="2" t="s">
        <v>1146</v>
      </c>
      <c r="DF818" s="3" t="s">
        <v>86</v>
      </c>
      <c r="DG818" s="58">
        <v>43019</v>
      </c>
      <c r="EC818" s="60" t="str">
        <f>VLOOKUP($M818,[1]Detail!$M:$BO,1,0)</f>
        <v>JD8B-F266B35-AAW</v>
      </c>
      <c r="ED818" s="60">
        <f>VLOOKUP($M818,[1]Detail!$M:$BO,22,0)</f>
        <v>-18.170000000000002</v>
      </c>
      <c r="EE818" s="60">
        <f>VLOOKUP($M818,[1]Detail!$M:$BO,42,0)</f>
        <v>-3314245</v>
      </c>
      <c r="EF818" s="60">
        <f>VLOOKUP($M818,[1]Detail!$M:$BO,45,0)</f>
        <v>-50000</v>
      </c>
      <c r="EH818" s="60">
        <f t="shared" si="771"/>
        <v>0</v>
      </c>
      <c r="EI818" s="60">
        <f t="shared" si="772"/>
        <v>-3314245</v>
      </c>
      <c r="EJ818" s="60">
        <f t="shared" si="773"/>
        <v>-50000</v>
      </c>
    </row>
    <row r="819" spans="1:140" ht="12.75" hidden="1" customHeight="1">
      <c r="B819" s="99" t="s">
        <v>1369</v>
      </c>
      <c r="C819" s="22" t="s">
        <v>1370</v>
      </c>
      <c r="D819" s="22" t="s">
        <v>1371</v>
      </c>
      <c r="E819" s="2" t="s">
        <v>968</v>
      </c>
      <c r="F819" s="2" t="s">
        <v>969</v>
      </c>
      <c r="G819" s="2" t="s">
        <v>339</v>
      </c>
      <c r="J819" s="149" t="s">
        <v>126</v>
      </c>
      <c r="K819" s="23" t="s">
        <v>1372</v>
      </c>
      <c r="L819" s="149" t="s">
        <v>100</v>
      </c>
      <c r="M819" s="51" t="str">
        <f t="shared" si="722"/>
        <v>JD8B-F02654-AA</v>
      </c>
      <c r="O819" s="22">
        <v>1</v>
      </c>
      <c r="P819" s="22">
        <v>1</v>
      </c>
      <c r="Q819" s="22">
        <v>1</v>
      </c>
      <c r="R819" s="22">
        <v>1</v>
      </c>
      <c r="S819" s="22">
        <v>1</v>
      </c>
      <c r="T819" s="22">
        <v>1</v>
      </c>
      <c r="U819" s="22">
        <v>1</v>
      </c>
      <c r="V819" s="22">
        <v>1</v>
      </c>
      <c r="W819" s="64">
        <f t="shared" si="758"/>
        <v>1</v>
      </c>
      <c r="Y819" s="60">
        <v>-1.31</v>
      </c>
      <c r="Z819" s="60">
        <v>-0.1</v>
      </c>
      <c r="AA819" s="60">
        <v>-0.03</v>
      </c>
      <c r="AB819" s="60"/>
      <c r="AC819" s="60"/>
      <c r="AD819" s="8">
        <f t="shared" si="759"/>
        <v>-1.4400000000000002</v>
      </c>
      <c r="AE819" s="2" t="s">
        <v>84</v>
      </c>
      <c r="AG819" s="70">
        <v>-92000</v>
      </c>
      <c r="AH819" s="70">
        <v>-92000</v>
      </c>
      <c r="AJ819" s="70"/>
      <c r="AK819" s="70"/>
      <c r="AL819" s="72"/>
      <c r="AM819" s="22"/>
      <c r="AO819" s="22" t="s">
        <v>128</v>
      </c>
      <c r="AP819" s="23" t="s">
        <v>1372</v>
      </c>
      <c r="AQ819" s="22" t="s">
        <v>151</v>
      </c>
      <c r="AR819" s="51" t="str">
        <f t="shared" si="698"/>
        <v>ED8B-F02654-AG</v>
      </c>
      <c r="AS819" s="3"/>
      <c r="AT819" s="22">
        <v>1</v>
      </c>
      <c r="AU819" s="22">
        <v>1</v>
      </c>
      <c r="AV819" s="22">
        <v>1</v>
      </c>
      <c r="AW819" s="22">
        <v>1</v>
      </c>
      <c r="AX819" s="22">
        <v>1</v>
      </c>
      <c r="AY819" s="22">
        <v>1</v>
      </c>
      <c r="AZ819" s="22">
        <v>1</v>
      </c>
      <c r="BA819" s="22">
        <v>1</v>
      </c>
      <c r="BB819" s="64">
        <f t="shared" si="760"/>
        <v>1</v>
      </c>
      <c r="BD819" s="60">
        <f>-1.31+0.17</f>
        <v>-1.1400000000000001</v>
      </c>
      <c r="BE819" s="60">
        <v>-0.1</v>
      </c>
      <c r="BF819" s="60">
        <v>-0.03</v>
      </c>
      <c r="BG819" s="60"/>
      <c r="BH819" s="60"/>
      <c r="BI819" s="8">
        <f t="shared" si="774"/>
        <v>-1.2700000000000002</v>
      </c>
      <c r="BJ819" s="2" t="s">
        <v>84</v>
      </c>
      <c r="BL819" s="70">
        <v>-92000</v>
      </c>
      <c r="BM819" s="70">
        <v>-92000</v>
      </c>
      <c r="BO819" s="70"/>
      <c r="BP819" s="70"/>
      <c r="BQ819" s="72"/>
      <c r="BS819" s="61">
        <f t="shared" si="751"/>
        <v>-0.16999999999999993</v>
      </c>
      <c r="BT819" s="61">
        <f t="shared" si="752"/>
        <v>0</v>
      </c>
      <c r="BU819" s="61">
        <f t="shared" si="753"/>
        <v>0</v>
      </c>
      <c r="BV819" s="61">
        <f t="shared" si="753"/>
        <v>0</v>
      </c>
      <c r="BW819" s="61">
        <f t="shared" si="753"/>
        <v>0</v>
      </c>
      <c r="BX819" s="61">
        <f t="shared" si="750"/>
        <v>-0.16999999999999993</v>
      </c>
      <c r="BY819" s="61" t="s">
        <v>91</v>
      </c>
      <c r="CA819" s="61">
        <f t="shared" si="701"/>
        <v>-2.557544757033247E-2</v>
      </c>
      <c r="CB819" s="61">
        <f t="shared" si="701"/>
        <v>-2.557544757033247E-2</v>
      </c>
      <c r="CC819" s="61">
        <f t="shared" si="701"/>
        <v>-2.557544757033247E-2</v>
      </c>
      <c r="CD819" s="61">
        <f t="shared" si="701"/>
        <v>-2.557544757033247E-2</v>
      </c>
      <c r="CE819" s="61">
        <f t="shared" si="701"/>
        <v>-2.557544757033247E-2</v>
      </c>
      <c r="CF819" s="61">
        <f t="shared" si="701"/>
        <v>-2.557544757033247E-2</v>
      </c>
      <c r="CG819" s="61">
        <f t="shared" si="701"/>
        <v>-2.557544757033247E-2</v>
      </c>
      <c r="CH819" s="61">
        <f t="shared" si="701"/>
        <v>-2.557544757033247E-2</v>
      </c>
      <c r="CI819" s="61">
        <f t="shared" si="738"/>
        <v>-2.5575447570332477E-2</v>
      </c>
      <c r="CJ819" s="61"/>
      <c r="CK819" s="61">
        <f t="shared" si="702"/>
        <v>-2.557544757033247E-2</v>
      </c>
      <c r="CL819" s="61">
        <f t="shared" si="702"/>
        <v>-2.557544757033247E-2</v>
      </c>
      <c r="CM819" s="61">
        <f t="shared" si="702"/>
        <v>-2.557544757033247E-2</v>
      </c>
      <c r="CN819" s="61">
        <f t="shared" si="702"/>
        <v>-2.557544757033247E-2</v>
      </c>
      <c r="CO819" s="61">
        <f t="shared" si="702"/>
        <v>-2.557544757033247E-2</v>
      </c>
      <c r="CP819" s="61">
        <f t="shared" si="702"/>
        <v>-2.557544757033247E-2</v>
      </c>
      <c r="CQ819" s="61">
        <f t="shared" si="702"/>
        <v>-2.557544757033247E-2</v>
      </c>
      <c r="CR819" s="61">
        <f t="shared" si="702"/>
        <v>-2.557544757033247E-2</v>
      </c>
      <c r="CS819" s="61">
        <f t="shared" si="739"/>
        <v>-2.5575447570332477E-2</v>
      </c>
      <c r="CT819" s="61">
        <f t="shared" si="740"/>
        <v>-0.16999999999999998</v>
      </c>
      <c r="CV819" s="61">
        <f t="shared" ref="CV819:CV959" si="775">SUM(AG819)-SUM(BL819)</f>
        <v>0</v>
      </c>
      <c r="CW819" s="61">
        <f t="shared" ref="CW819:CW959" si="776">SUM(AH819)-SUM(BM819)</f>
        <v>0</v>
      </c>
      <c r="CX819" s="61"/>
      <c r="CY819" s="61">
        <f t="shared" ref="CY819:DA959" si="777">SUM(AJ819)-SUM(BO819)</f>
        <v>0</v>
      </c>
      <c r="CZ819" s="61">
        <f t="shared" si="777"/>
        <v>0</v>
      </c>
      <c r="DA819" s="61">
        <f t="shared" si="777"/>
        <v>0</v>
      </c>
      <c r="DB819" s="2" t="s">
        <v>85</v>
      </c>
      <c r="DC819" s="2" t="s">
        <v>86</v>
      </c>
      <c r="DD819" s="2" t="s">
        <v>87</v>
      </c>
      <c r="DE819" s="2" t="s">
        <v>264</v>
      </c>
      <c r="DF819" s="3" t="s">
        <v>86</v>
      </c>
      <c r="DG819" s="58">
        <v>43019</v>
      </c>
      <c r="EC819" s="60"/>
      <c r="ED819" s="60"/>
      <c r="EE819" s="60"/>
      <c r="EF819" s="60"/>
    </row>
    <row r="820" spans="1:140" ht="12.75" hidden="1" customHeight="1">
      <c r="B820" s="99" t="s">
        <v>1373</v>
      </c>
      <c r="C820" s="22" t="s">
        <v>1370</v>
      </c>
      <c r="D820" s="22" t="s">
        <v>1371</v>
      </c>
      <c r="E820" s="2" t="s">
        <v>968</v>
      </c>
      <c r="F820" s="2" t="s">
        <v>969</v>
      </c>
      <c r="G820" s="2" t="s">
        <v>339</v>
      </c>
      <c r="J820" s="149" t="s">
        <v>126</v>
      </c>
      <c r="K820" s="23" t="s">
        <v>1372</v>
      </c>
      <c r="L820" s="149" t="s">
        <v>132</v>
      </c>
      <c r="M820" s="51" t="str">
        <f t="shared" si="722"/>
        <v>JD8B-F02654-AB</v>
      </c>
      <c r="O820" s="22">
        <v>1</v>
      </c>
      <c r="P820" s="22">
        <v>1</v>
      </c>
      <c r="Q820" s="22">
        <v>1</v>
      </c>
      <c r="R820" s="22">
        <v>1</v>
      </c>
      <c r="S820" s="22">
        <v>1</v>
      </c>
      <c r="T820" s="22">
        <v>1</v>
      </c>
      <c r="U820" s="22">
        <v>1</v>
      </c>
      <c r="V820" s="22">
        <v>1</v>
      </c>
      <c r="W820" s="64">
        <f t="shared" si="758"/>
        <v>1</v>
      </c>
      <c r="Y820" s="60">
        <v>-1.31</v>
      </c>
      <c r="Z820" s="60">
        <v>-0.1</v>
      </c>
      <c r="AA820" s="60">
        <v>-0.03</v>
      </c>
      <c r="AB820" s="60"/>
      <c r="AC820" s="60"/>
      <c r="AD820" s="8">
        <f t="shared" ref="AD820" si="778">SUM(Y820:AC820)</f>
        <v>-1.4400000000000002</v>
      </c>
      <c r="AE820" s="2" t="s">
        <v>84</v>
      </c>
      <c r="AG820" s="70">
        <v>-92000</v>
      </c>
      <c r="AH820" s="70">
        <v>-92000</v>
      </c>
      <c r="AJ820" s="70"/>
      <c r="AK820" s="70"/>
      <c r="AL820" s="72"/>
      <c r="AM820" s="22"/>
      <c r="AO820" s="149" t="s">
        <v>126</v>
      </c>
      <c r="AP820" s="23" t="s">
        <v>1372</v>
      </c>
      <c r="AQ820" s="149" t="s">
        <v>100</v>
      </c>
      <c r="AR820" s="51" t="str">
        <f t="shared" si="698"/>
        <v>JD8B-F02654-AA</v>
      </c>
      <c r="AS820" s="3"/>
      <c r="AT820" s="22">
        <v>1</v>
      </c>
      <c r="AU820" s="22">
        <v>1</v>
      </c>
      <c r="AV820" s="22">
        <v>1</v>
      </c>
      <c r="AW820" s="22">
        <v>1</v>
      </c>
      <c r="AX820" s="22">
        <v>1</v>
      </c>
      <c r="AY820" s="22">
        <v>1</v>
      </c>
      <c r="AZ820" s="22">
        <v>1</v>
      </c>
      <c r="BA820" s="22">
        <v>1</v>
      </c>
      <c r="BB820" s="64">
        <f t="shared" si="760"/>
        <v>1</v>
      </c>
      <c r="BD820" s="60">
        <v>-1.31</v>
      </c>
      <c r="BE820" s="60">
        <v>-0.1</v>
      </c>
      <c r="BF820" s="60">
        <v>-0.03</v>
      </c>
      <c r="BG820" s="60"/>
      <c r="BH820" s="60"/>
      <c r="BI820" s="8">
        <f t="shared" ref="BI820" si="779">SUM(BD820:BH820)</f>
        <v>-1.4400000000000002</v>
      </c>
      <c r="BJ820" s="2" t="s">
        <v>84</v>
      </c>
      <c r="BL820" s="70">
        <v>-92000</v>
      </c>
      <c r="BM820" s="70">
        <v>-92000</v>
      </c>
      <c r="BO820" s="70"/>
      <c r="BP820" s="70"/>
      <c r="BQ820" s="72"/>
      <c r="BS820" s="61">
        <f t="shared" si="751"/>
        <v>0</v>
      </c>
      <c r="BT820" s="61">
        <f t="shared" si="752"/>
        <v>0</v>
      </c>
      <c r="BU820" s="61">
        <f t="shared" si="753"/>
        <v>0</v>
      </c>
      <c r="BV820" s="61">
        <f t="shared" si="753"/>
        <v>0</v>
      </c>
      <c r="BW820" s="61">
        <f t="shared" si="753"/>
        <v>0</v>
      </c>
      <c r="BX820" s="61">
        <f t="shared" si="750"/>
        <v>0</v>
      </c>
      <c r="BY820" s="61" t="s">
        <v>91</v>
      </c>
      <c r="CA820" s="61">
        <f t="shared" si="701"/>
        <v>0</v>
      </c>
      <c r="CB820" s="61">
        <f t="shared" si="701"/>
        <v>0</v>
      </c>
      <c r="CC820" s="61">
        <f t="shared" si="701"/>
        <v>0</v>
      </c>
      <c r="CD820" s="61">
        <f t="shared" si="701"/>
        <v>0</v>
      </c>
      <c r="CE820" s="61">
        <f t="shared" si="701"/>
        <v>0</v>
      </c>
      <c r="CF820" s="61">
        <f t="shared" si="701"/>
        <v>0</v>
      </c>
      <c r="CG820" s="61">
        <f t="shared" si="701"/>
        <v>0</v>
      </c>
      <c r="CH820" s="61">
        <f t="shared" si="701"/>
        <v>0</v>
      </c>
      <c r="CI820" s="61">
        <f t="shared" si="738"/>
        <v>0</v>
      </c>
      <c r="CJ820" s="61"/>
      <c r="CK820" s="61">
        <f t="shared" si="702"/>
        <v>0</v>
      </c>
      <c r="CL820" s="61">
        <f t="shared" si="702"/>
        <v>0</v>
      </c>
      <c r="CM820" s="61">
        <f t="shared" si="702"/>
        <v>0</v>
      </c>
      <c r="CN820" s="61">
        <f t="shared" si="702"/>
        <v>0</v>
      </c>
      <c r="CO820" s="61">
        <f t="shared" si="702"/>
        <v>0</v>
      </c>
      <c r="CP820" s="61">
        <f t="shared" si="702"/>
        <v>0</v>
      </c>
      <c r="CQ820" s="61">
        <f t="shared" si="702"/>
        <v>0</v>
      </c>
      <c r="CR820" s="61">
        <f t="shared" si="702"/>
        <v>0</v>
      </c>
      <c r="CS820" s="61">
        <f t="shared" si="739"/>
        <v>0</v>
      </c>
      <c r="CT820" s="61">
        <f t="shared" si="740"/>
        <v>0</v>
      </c>
      <c r="CV820" s="61">
        <f t="shared" ref="CV820" si="780">SUM(AG820)-SUM(BL820)</f>
        <v>0</v>
      </c>
      <c r="CW820" s="61">
        <f t="shared" ref="CW820" si="781">SUM(AH820)-SUM(BM820)</f>
        <v>0</v>
      </c>
      <c r="CX820" s="61"/>
      <c r="CY820" s="61">
        <f t="shared" si="777"/>
        <v>0</v>
      </c>
      <c r="CZ820" s="61">
        <f t="shared" si="777"/>
        <v>0</v>
      </c>
      <c r="DA820" s="61">
        <f t="shared" si="777"/>
        <v>0</v>
      </c>
      <c r="DB820" s="2" t="s">
        <v>86</v>
      </c>
      <c r="DC820" s="2" t="s">
        <v>85</v>
      </c>
      <c r="DD820" s="2" t="s">
        <v>87</v>
      </c>
      <c r="DE820" s="2" t="s">
        <v>106</v>
      </c>
      <c r="DF820" s="2" t="s">
        <v>86</v>
      </c>
      <c r="DG820" s="62">
        <v>43129</v>
      </c>
      <c r="EC820" s="60" t="str">
        <f>VLOOKUP($M820,[1]Detail!$M:$BO,1,0)</f>
        <v>JD8B-F02654-AB</v>
      </c>
      <c r="ED820" s="60">
        <f>VLOOKUP($M820,[1]Detail!$M:$BO,22,0)</f>
        <v>-1.4400000000000002</v>
      </c>
      <c r="EE820" s="60">
        <f>VLOOKUP($M820,[1]Detail!$M:$BO,42,0)</f>
        <v>-92000</v>
      </c>
      <c r="EF820" s="60">
        <f>VLOOKUP($M820,[1]Detail!$M:$BO,45,0)</f>
        <v>0</v>
      </c>
      <c r="EH820" s="60">
        <f>ED820-AD820</f>
        <v>0</v>
      </c>
      <c r="EI820" s="60">
        <f>EE820-AG820</f>
        <v>0</v>
      </c>
      <c r="EJ820" s="60">
        <f>EF820-AJ820</f>
        <v>0</v>
      </c>
    </row>
    <row r="821" spans="1:140" ht="12.75" hidden="1" customHeight="1">
      <c r="B821" s="99" t="s">
        <v>1369</v>
      </c>
      <c r="C821" s="22" t="s">
        <v>1370</v>
      </c>
      <c r="D821" s="22" t="s">
        <v>1371</v>
      </c>
      <c r="E821" s="2" t="s">
        <v>968</v>
      </c>
      <c r="F821" s="2" t="s">
        <v>969</v>
      </c>
      <c r="G821" s="2" t="s">
        <v>339</v>
      </c>
      <c r="J821" s="149" t="s">
        <v>126</v>
      </c>
      <c r="K821" s="23" t="s">
        <v>1374</v>
      </c>
      <c r="L821" s="149" t="s">
        <v>100</v>
      </c>
      <c r="M821" s="51" t="str">
        <f t="shared" si="722"/>
        <v>JD8B-F02655-AA</v>
      </c>
      <c r="O821" s="22">
        <v>1</v>
      </c>
      <c r="P821" s="22">
        <v>1</v>
      </c>
      <c r="Q821" s="22">
        <v>1</v>
      </c>
      <c r="R821" s="22">
        <v>1</v>
      </c>
      <c r="S821" s="22">
        <v>1</v>
      </c>
      <c r="T821" s="22">
        <v>1</v>
      </c>
      <c r="U821" s="22">
        <v>1</v>
      </c>
      <c r="V821" s="22">
        <v>1</v>
      </c>
      <c r="W821" s="64">
        <f t="shared" si="758"/>
        <v>1</v>
      </c>
      <c r="Y821" s="60">
        <v>-1.31</v>
      </c>
      <c r="Z821" s="60">
        <v>-0.1</v>
      </c>
      <c r="AA821" s="60">
        <v>-0.03</v>
      </c>
      <c r="AB821" s="60"/>
      <c r="AC821" s="60"/>
      <c r="AD821" s="8">
        <f t="shared" si="759"/>
        <v>-1.4400000000000002</v>
      </c>
      <c r="AE821" s="2" t="s">
        <v>84</v>
      </c>
      <c r="AG821" s="70">
        <v>-92000</v>
      </c>
      <c r="AH821" s="70">
        <v>-92000</v>
      </c>
      <c r="AJ821" s="70"/>
      <c r="AK821" s="70"/>
      <c r="AL821" s="72"/>
      <c r="AM821" s="22"/>
      <c r="AO821" s="22" t="s">
        <v>128</v>
      </c>
      <c r="AP821" s="23" t="s">
        <v>1374</v>
      </c>
      <c r="AQ821" s="22" t="s">
        <v>151</v>
      </c>
      <c r="AR821" s="51" t="str">
        <f t="shared" si="698"/>
        <v>ED8B-F02655-AG</v>
      </c>
      <c r="AS821" s="3"/>
      <c r="AT821" s="22">
        <v>1</v>
      </c>
      <c r="AU821" s="22">
        <v>1</v>
      </c>
      <c r="AV821" s="22">
        <v>1</v>
      </c>
      <c r="AW821" s="22">
        <v>1</v>
      </c>
      <c r="AX821" s="22">
        <v>1</v>
      </c>
      <c r="AY821" s="22">
        <v>1</v>
      </c>
      <c r="AZ821" s="22">
        <v>1</v>
      </c>
      <c r="BA821" s="22">
        <v>1</v>
      </c>
      <c r="BB821" s="64">
        <f t="shared" si="760"/>
        <v>1</v>
      </c>
      <c r="BD821" s="60">
        <f>-1.31+0.17</f>
        <v>-1.1400000000000001</v>
      </c>
      <c r="BE821" s="60">
        <v>-0.1</v>
      </c>
      <c r="BF821" s="60">
        <v>-0.03</v>
      </c>
      <c r="BG821" s="60"/>
      <c r="BH821" s="60"/>
      <c r="BI821" s="8">
        <f t="shared" si="774"/>
        <v>-1.2700000000000002</v>
      </c>
      <c r="BJ821" s="2" t="s">
        <v>84</v>
      </c>
      <c r="BL821" s="70">
        <v>-92000</v>
      </c>
      <c r="BM821" s="70">
        <v>-92000</v>
      </c>
      <c r="BO821" s="70"/>
      <c r="BP821" s="70"/>
      <c r="BQ821" s="72"/>
      <c r="BS821" s="61">
        <f t="shared" si="751"/>
        <v>-0.16999999999999993</v>
      </c>
      <c r="BT821" s="61">
        <f t="shared" si="752"/>
        <v>0</v>
      </c>
      <c r="BU821" s="61">
        <f t="shared" si="753"/>
        <v>0</v>
      </c>
      <c r="BV821" s="61">
        <f t="shared" si="753"/>
        <v>0</v>
      </c>
      <c r="BW821" s="61">
        <f t="shared" si="753"/>
        <v>0</v>
      </c>
      <c r="BX821" s="61">
        <f t="shared" si="750"/>
        <v>-0.16999999999999993</v>
      </c>
      <c r="BY821" s="61" t="s">
        <v>91</v>
      </c>
      <c r="CA821" s="61">
        <f t="shared" si="701"/>
        <v>-2.557544757033247E-2</v>
      </c>
      <c r="CB821" s="61">
        <f t="shared" si="701"/>
        <v>-2.557544757033247E-2</v>
      </c>
      <c r="CC821" s="61">
        <f t="shared" si="701"/>
        <v>-2.557544757033247E-2</v>
      </c>
      <c r="CD821" s="61">
        <f t="shared" si="701"/>
        <v>-2.557544757033247E-2</v>
      </c>
      <c r="CE821" s="61">
        <f t="shared" si="701"/>
        <v>-2.557544757033247E-2</v>
      </c>
      <c r="CF821" s="61">
        <f t="shared" si="701"/>
        <v>-2.557544757033247E-2</v>
      </c>
      <c r="CG821" s="61">
        <f t="shared" si="701"/>
        <v>-2.557544757033247E-2</v>
      </c>
      <c r="CH821" s="61">
        <f t="shared" si="701"/>
        <v>-2.557544757033247E-2</v>
      </c>
      <c r="CI821" s="61">
        <f t="shared" si="738"/>
        <v>-2.5575447570332477E-2</v>
      </c>
      <c r="CJ821" s="61"/>
      <c r="CK821" s="61">
        <f t="shared" si="702"/>
        <v>-2.557544757033247E-2</v>
      </c>
      <c r="CL821" s="61">
        <f t="shared" si="702"/>
        <v>-2.557544757033247E-2</v>
      </c>
      <c r="CM821" s="61">
        <f t="shared" si="702"/>
        <v>-2.557544757033247E-2</v>
      </c>
      <c r="CN821" s="61">
        <f t="shared" si="702"/>
        <v>-2.557544757033247E-2</v>
      </c>
      <c r="CO821" s="61">
        <f t="shared" si="702"/>
        <v>-2.557544757033247E-2</v>
      </c>
      <c r="CP821" s="61">
        <f t="shared" si="702"/>
        <v>-2.557544757033247E-2</v>
      </c>
      <c r="CQ821" s="61">
        <f t="shared" si="702"/>
        <v>-2.557544757033247E-2</v>
      </c>
      <c r="CR821" s="61">
        <f t="shared" si="702"/>
        <v>-2.557544757033247E-2</v>
      </c>
      <c r="CS821" s="61">
        <f t="shared" si="739"/>
        <v>-2.5575447570332477E-2</v>
      </c>
      <c r="CT821" s="61">
        <f t="shared" si="740"/>
        <v>-0.16999999999999998</v>
      </c>
      <c r="CV821" s="61">
        <f t="shared" si="775"/>
        <v>0</v>
      </c>
      <c r="CW821" s="61">
        <f t="shared" si="776"/>
        <v>0</v>
      </c>
      <c r="CX821" s="61"/>
      <c r="CY821" s="61">
        <f t="shared" si="777"/>
        <v>0</v>
      </c>
      <c r="CZ821" s="61">
        <f t="shared" si="777"/>
        <v>0</v>
      </c>
      <c r="DA821" s="61">
        <f t="shared" si="777"/>
        <v>0</v>
      </c>
      <c r="DB821" s="2" t="s">
        <v>85</v>
      </c>
      <c r="DC821" s="2" t="s">
        <v>86</v>
      </c>
      <c r="DD821" s="2" t="s">
        <v>87</v>
      </c>
      <c r="DE821" s="2" t="s">
        <v>264</v>
      </c>
      <c r="DF821" s="3" t="s">
        <v>86</v>
      </c>
      <c r="DG821" s="58">
        <v>43019</v>
      </c>
      <c r="EC821" s="60"/>
      <c r="ED821" s="60"/>
      <c r="EE821" s="60"/>
      <c r="EF821" s="60"/>
    </row>
    <row r="822" spans="1:140" ht="12.75" hidden="1" customHeight="1">
      <c r="B822" s="99" t="s">
        <v>1373</v>
      </c>
      <c r="C822" s="22" t="s">
        <v>1370</v>
      </c>
      <c r="D822" s="22" t="s">
        <v>1371</v>
      </c>
      <c r="E822" s="2" t="s">
        <v>968</v>
      </c>
      <c r="F822" s="2" t="s">
        <v>969</v>
      </c>
      <c r="G822" s="2" t="s">
        <v>339</v>
      </c>
      <c r="J822" s="149" t="s">
        <v>126</v>
      </c>
      <c r="K822" s="23" t="s">
        <v>1374</v>
      </c>
      <c r="L822" s="149" t="s">
        <v>132</v>
      </c>
      <c r="M822" s="51" t="str">
        <f t="shared" si="722"/>
        <v>JD8B-F02655-AB</v>
      </c>
      <c r="O822" s="22">
        <v>1</v>
      </c>
      <c r="P822" s="22">
        <v>1</v>
      </c>
      <c r="Q822" s="22">
        <v>1</v>
      </c>
      <c r="R822" s="22">
        <v>1</v>
      </c>
      <c r="S822" s="22">
        <v>1</v>
      </c>
      <c r="T822" s="22">
        <v>1</v>
      </c>
      <c r="U822" s="22">
        <v>1</v>
      </c>
      <c r="V822" s="22">
        <v>1</v>
      </c>
      <c r="W822" s="64">
        <f t="shared" si="758"/>
        <v>1</v>
      </c>
      <c r="Y822" s="60">
        <v>-1.31</v>
      </c>
      <c r="Z822" s="60">
        <v>-0.1</v>
      </c>
      <c r="AA822" s="60">
        <v>-0.03</v>
      </c>
      <c r="AB822" s="60"/>
      <c r="AC822" s="60"/>
      <c r="AD822" s="8">
        <f t="shared" ref="AD822" si="782">SUM(Y822:AC822)</f>
        <v>-1.4400000000000002</v>
      </c>
      <c r="AE822" s="2" t="s">
        <v>84</v>
      </c>
      <c r="AG822" s="70">
        <v>-92000</v>
      </c>
      <c r="AH822" s="70">
        <v>-92000</v>
      </c>
      <c r="AJ822" s="70"/>
      <c r="AK822" s="70"/>
      <c r="AL822" s="72"/>
      <c r="AM822" s="22"/>
      <c r="AO822" s="149" t="s">
        <v>126</v>
      </c>
      <c r="AP822" s="23" t="s">
        <v>1374</v>
      </c>
      <c r="AQ822" s="149" t="s">
        <v>100</v>
      </c>
      <c r="AR822" s="51" t="str">
        <f t="shared" ref="AR822:AR855" si="783">TRIM(AO822)&amp;"-"&amp;TRIM(AP822)&amp;"-"&amp;TRIM(AQ822)</f>
        <v>JD8B-F02655-AA</v>
      </c>
      <c r="AS822" s="3"/>
      <c r="AT822" s="22">
        <v>1</v>
      </c>
      <c r="AU822" s="22">
        <v>1</v>
      </c>
      <c r="AV822" s="22">
        <v>1</v>
      </c>
      <c r="AW822" s="22">
        <v>1</v>
      </c>
      <c r="AX822" s="22">
        <v>1</v>
      </c>
      <c r="AY822" s="22">
        <v>1</v>
      </c>
      <c r="AZ822" s="22">
        <v>1</v>
      </c>
      <c r="BA822" s="22">
        <v>1</v>
      </c>
      <c r="BB822" s="64">
        <f t="shared" si="760"/>
        <v>1</v>
      </c>
      <c r="BD822" s="60">
        <v>-1.31</v>
      </c>
      <c r="BE822" s="60">
        <v>-0.1</v>
      </c>
      <c r="BF822" s="60">
        <v>-0.03</v>
      </c>
      <c r="BG822" s="60"/>
      <c r="BH822" s="60"/>
      <c r="BI822" s="8">
        <f t="shared" ref="BI822" si="784">SUM(BD822:BH822)</f>
        <v>-1.4400000000000002</v>
      </c>
      <c r="BJ822" s="2" t="s">
        <v>84</v>
      </c>
      <c r="BL822" s="70">
        <v>-92000</v>
      </c>
      <c r="BM822" s="70">
        <v>-92000</v>
      </c>
      <c r="BO822" s="70"/>
      <c r="BP822" s="70"/>
      <c r="BQ822" s="72"/>
      <c r="BS822" s="61">
        <f t="shared" si="751"/>
        <v>0</v>
      </c>
      <c r="BT822" s="61">
        <f t="shared" si="752"/>
        <v>0</v>
      </c>
      <c r="BU822" s="61">
        <f t="shared" si="753"/>
        <v>0</v>
      </c>
      <c r="BV822" s="61">
        <f t="shared" si="753"/>
        <v>0</v>
      </c>
      <c r="BW822" s="61">
        <f t="shared" si="753"/>
        <v>0</v>
      </c>
      <c r="BX822" s="61">
        <f t="shared" si="750"/>
        <v>0</v>
      </c>
      <c r="BY822" s="61" t="s">
        <v>91</v>
      </c>
      <c r="CA822" s="61">
        <f t="shared" si="701"/>
        <v>0</v>
      </c>
      <c r="CB822" s="61">
        <f t="shared" si="701"/>
        <v>0</v>
      </c>
      <c r="CC822" s="61">
        <f t="shared" si="701"/>
        <v>0</v>
      </c>
      <c r="CD822" s="61">
        <f t="shared" si="701"/>
        <v>0</v>
      </c>
      <c r="CE822" s="61">
        <f t="shared" si="701"/>
        <v>0</v>
      </c>
      <c r="CF822" s="61">
        <f t="shared" si="701"/>
        <v>0</v>
      </c>
      <c r="CG822" s="61">
        <f t="shared" si="701"/>
        <v>0</v>
      </c>
      <c r="CH822" s="61">
        <f t="shared" si="701"/>
        <v>0</v>
      </c>
      <c r="CI822" s="61">
        <f t="shared" si="738"/>
        <v>0</v>
      </c>
      <c r="CJ822" s="61"/>
      <c r="CK822" s="61">
        <f t="shared" si="702"/>
        <v>0</v>
      </c>
      <c r="CL822" s="61">
        <f t="shared" si="702"/>
        <v>0</v>
      </c>
      <c r="CM822" s="61">
        <f t="shared" si="702"/>
        <v>0</v>
      </c>
      <c r="CN822" s="61">
        <f t="shared" si="702"/>
        <v>0</v>
      </c>
      <c r="CO822" s="61">
        <f t="shared" si="702"/>
        <v>0</v>
      </c>
      <c r="CP822" s="61">
        <f t="shared" si="702"/>
        <v>0</v>
      </c>
      <c r="CQ822" s="61">
        <f t="shared" si="702"/>
        <v>0</v>
      </c>
      <c r="CR822" s="61">
        <f t="shared" si="702"/>
        <v>0</v>
      </c>
      <c r="CS822" s="61">
        <f t="shared" si="739"/>
        <v>0</v>
      </c>
      <c r="CT822" s="61">
        <f t="shared" si="740"/>
        <v>0</v>
      </c>
      <c r="CV822" s="61">
        <f t="shared" ref="CV822" si="785">SUM(AG822)-SUM(BL822)</f>
        <v>0</v>
      </c>
      <c r="CW822" s="61">
        <f t="shared" ref="CW822" si="786">SUM(AH822)-SUM(BM822)</f>
        <v>0</v>
      </c>
      <c r="CX822" s="61"/>
      <c r="CY822" s="61">
        <f t="shared" si="777"/>
        <v>0</v>
      </c>
      <c r="CZ822" s="61">
        <f t="shared" si="777"/>
        <v>0</v>
      </c>
      <c r="DA822" s="61">
        <f t="shared" si="777"/>
        <v>0</v>
      </c>
      <c r="DB822" s="2" t="s">
        <v>86</v>
      </c>
      <c r="DC822" s="2" t="s">
        <v>85</v>
      </c>
      <c r="DD822" s="2" t="s">
        <v>87</v>
      </c>
      <c r="DE822" s="2" t="s">
        <v>106</v>
      </c>
      <c r="DF822" s="2" t="s">
        <v>86</v>
      </c>
      <c r="DG822" s="62">
        <v>43129</v>
      </c>
      <c r="EC822" s="60" t="str">
        <f>VLOOKUP($M822,[1]Detail!$M:$BO,1,0)</f>
        <v>JD8B-F02655-AB</v>
      </c>
      <c r="ED822" s="60">
        <f>VLOOKUP($M822,[1]Detail!$M:$BO,22,0)</f>
        <v>-1.4400000000000002</v>
      </c>
      <c r="EE822" s="60">
        <f>VLOOKUP($M822,[1]Detail!$M:$BO,42,0)</f>
        <v>-92000</v>
      </c>
      <c r="EF822" s="60">
        <f>VLOOKUP($M822,[1]Detail!$M:$BO,45,0)</f>
        <v>0</v>
      </c>
      <c r="EH822" s="60">
        <f>ED822-AD822</f>
        <v>0</v>
      </c>
      <c r="EI822" s="60">
        <f>EE822-AG822</f>
        <v>0</v>
      </c>
      <c r="EJ822" s="60">
        <f>EF822-AJ822</f>
        <v>0</v>
      </c>
    </row>
    <row r="823" spans="1:140" s="115" customFormat="1" ht="12.75" hidden="1" customHeight="1">
      <c r="B823" s="99" t="s">
        <v>1375</v>
      </c>
      <c r="C823" s="115" t="s">
        <v>936</v>
      </c>
      <c r="D823" s="115" t="s">
        <v>937</v>
      </c>
      <c r="E823" s="115" t="str">
        <f>VLOOKUP($C823,[1]Detail!$C:$AK,6,0)</f>
        <v>PMT1</v>
      </c>
      <c r="F823" s="115" t="str">
        <f>VLOOKUP($C823,[1]Detail!$C:$AK,7,0)</f>
        <v>TH</v>
      </c>
      <c r="G823" s="115" t="str">
        <f>VLOOKUP($C823,[1]Detail!$C:$AK,5,0)</f>
        <v>B</v>
      </c>
      <c r="J823" s="151" t="s">
        <v>126</v>
      </c>
      <c r="K823" s="122" t="s">
        <v>938</v>
      </c>
      <c r="L823" s="151" t="s">
        <v>599</v>
      </c>
      <c r="M823" s="51" t="str">
        <f t="shared" si="722"/>
        <v>JD8B-19B514-BC</v>
      </c>
      <c r="N823" s="123"/>
      <c r="O823" s="115">
        <v>1</v>
      </c>
      <c r="P823" s="115">
        <v>1</v>
      </c>
      <c r="Q823" s="115">
        <v>1</v>
      </c>
      <c r="R823" s="115">
        <v>1</v>
      </c>
      <c r="S823" s="115">
        <v>0</v>
      </c>
      <c r="T823" s="115">
        <v>0</v>
      </c>
      <c r="U823" s="115">
        <v>0</v>
      </c>
      <c r="V823" s="115">
        <v>0</v>
      </c>
      <c r="W823" s="125">
        <f t="shared" si="758"/>
        <v>0.67</v>
      </c>
      <c r="Y823" s="126">
        <f>-44.68*0-48.53</f>
        <v>-48.53</v>
      </c>
      <c r="Z823" s="126">
        <v>-0.69</v>
      </c>
      <c r="AA823" s="126">
        <v>-0.39</v>
      </c>
      <c r="AB823" s="126">
        <v>0</v>
      </c>
      <c r="AC823" s="126">
        <v>-2.23</v>
      </c>
      <c r="AD823" s="126">
        <f t="shared" si="759"/>
        <v>-51.839999999999996</v>
      </c>
      <c r="AE823" s="115" t="s">
        <v>91</v>
      </c>
      <c r="AG823" s="126">
        <f>-747122.4*0-3289442.4</f>
        <v>-3289442.4</v>
      </c>
      <c r="AH823" s="126">
        <v>-747122.4</v>
      </c>
      <c r="AI823" s="127"/>
      <c r="AJ823" s="70">
        <v>-686526</v>
      </c>
      <c r="AK823" s="70">
        <v>308146</v>
      </c>
      <c r="AL823" s="72"/>
      <c r="AO823" s="151" t="s">
        <v>126</v>
      </c>
      <c r="AP823" s="122" t="s">
        <v>938</v>
      </c>
      <c r="AQ823" s="115" t="s">
        <v>120</v>
      </c>
      <c r="AR823" s="51" t="str">
        <f t="shared" si="783"/>
        <v>JD8B-19B514-BB</v>
      </c>
      <c r="AS823" s="123"/>
      <c r="AT823" s="124">
        <v>1</v>
      </c>
      <c r="AU823" s="124">
        <v>1</v>
      </c>
      <c r="AV823" s="124">
        <v>1</v>
      </c>
      <c r="AW823" s="124">
        <v>1</v>
      </c>
      <c r="AX823" s="124">
        <v>0</v>
      </c>
      <c r="AY823" s="124">
        <v>0</v>
      </c>
      <c r="AZ823" s="124">
        <v>0</v>
      </c>
      <c r="BA823" s="124">
        <v>0</v>
      </c>
      <c r="BB823" s="125">
        <f t="shared" si="760"/>
        <v>0.67</v>
      </c>
      <c r="BD823" s="60">
        <f>-44.68*0-48.53</f>
        <v>-48.53</v>
      </c>
      <c r="BE823" s="60">
        <v>-0.69</v>
      </c>
      <c r="BF823" s="95">
        <v>-0.39</v>
      </c>
      <c r="BG823" s="95">
        <v>0</v>
      </c>
      <c r="BH823" s="95">
        <v>-2.23</v>
      </c>
      <c r="BI823" s="126">
        <f t="shared" si="774"/>
        <v>-51.839999999999996</v>
      </c>
      <c r="BJ823" s="115" t="s">
        <v>91</v>
      </c>
      <c r="BL823" s="70">
        <f>-747122.4*0-3289442.4</f>
        <v>-3289442.4</v>
      </c>
      <c r="BM823" s="70">
        <v>-747122.4</v>
      </c>
      <c r="BO823" s="70">
        <v>-686526</v>
      </c>
      <c r="BP823" s="70">
        <v>308146</v>
      </c>
      <c r="BQ823" s="72"/>
      <c r="BS823" s="61">
        <f t="shared" si="751"/>
        <v>0</v>
      </c>
      <c r="BT823" s="61">
        <f t="shared" si="752"/>
        <v>0</v>
      </c>
      <c r="BU823" s="61">
        <f t="shared" si="753"/>
        <v>0</v>
      </c>
      <c r="BV823" s="61">
        <f t="shared" si="753"/>
        <v>0</v>
      </c>
      <c r="BW823" s="61">
        <f t="shared" si="753"/>
        <v>0</v>
      </c>
      <c r="BX823" s="61">
        <f t="shared" si="750"/>
        <v>0</v>
      </c>
      <c r="BY823" s="61" t="s">
        <v>91</v>
      </c>
      <c r="CA823" s="61">
        <f t="shared" si="701"/>
        <v>0</v>
      </c>
      <c r="CB823" s="61">
        <f t="shared" ref="CB823:CH866" si="787">($Y823*P823-AU823*$BD823)/$C$2</f>
        <v>0</v>
      </c>
      <c r="CC823" s="61">
        <f t="shared" si="787"/>
        <v>0</v>
      </c>
      <c r="CD823" s="61">
        <f t="shared" si="787"/>
        <v>0</v>
      </c>
      <c r="CE823" s="61">
        <f t="shared" si="787"/>
        <v>0</v>
      </c>
      <c r="CF823" s="61">
        <f t="shared" si="787"/>
        <v>0</v>
      </c>
      <c r="CG823" s="61">
        <f t="shared" si="787"/>
        <v>0</v>
      </c>
      <c r="CH823" s="61">
        <f t="shared" si="787"/>
        <v>0</v>
      </c>
      <c r="CI823" s="61">
        <f t="shared" si="738"/>
        <v>0</v>
      </c>
      <c r="CJ823" s="61"/>
      <c r="CK823" s="61">
        <f t="shared" si="702"/>
        <v>0</v>
      </c>
      <c r="CL823" s="61">
        <f t="shared" ref="CL823:CR866" si="788">(P823*$AD823-AU823*$BI823)/$C$2</f>
        <v>0</v>
      </c>
      <c r="CM823" s="61">
        <f t="shared" si="788"/>
        <v>0</v>
      </c>
      <c r="CN823" s="61">
        <f t="shared" si="788"/>
        <v>0</v>
      </c>
      <c r="CO823" s="61">
        <f t="shared" si="788"/>
        <v>0</v>
      </c>
      <c r="CP823" s="61">
        <f t="shared" si="788"/>
        <v>0</v>
      </c>
      <c r="CQ823" s="61">
        <f t="shared" si="788"/>
        <v>0</v>
      </c>
      <c r="CR823" s="61">
        <f t="shared" si="788"/>
        <v>0</v>
      </c>
      <c r="CS823" s="61">
        <f t="shared" si="739"/>
        <v>0</v>
      </c>
      <c r="CT823" s="61">
        <f t="shared" si="740"/>
        <v>0</v>
      </c>
      <c r="CV823" s="61">
        <f t="shared" si="775"/>
        <v>0</v>
      </c>
      <c r="CW823" s="61">
        <f t="shared" si="776"/>
        <v>0</v>
      </c>
      <c r="CX823" s="61"/>
      <c r="CY823" s="61">
        <f t="shared" si="777"/>
        <v>0</v>
      </c>
      <c r="CZ823" s="61">
        <f t="shared" si="777"/>
        <v>0</v>
      </c>
      <c r="DA823" s="61">
        <f t="shared" si="777"/>
        <v>0</v>
      </c>
      <c r="DB823" s="115" t="s">
        <v>85</v>
      </c>
      <c r="DC823" s="115" t="s">
        <v>85</v>
      </c>
      <c r="DD823" s="115" t="s">
        <v>142</v>
      </c>
      <c r="DE823" s="115" t="s">
        <v>264</v>
      </c>
      <c r="DF823" s="123" t="s">
        <v>86</v>
      </c>
      <c r="DG823" s="160">
        <v>43034</v>
      </c>
      <c r="DZ823" s="123"/>
      <c r="EC823" s="60"/>
      <c r="ED823" s="60"/>
      <c r="EE823" s="60"/>
      <c r="EF823" s="60"/>
    </row>
    <row r="824" spans="1:140" s="115" customFormat="1" ht="12.75" hidden="1" customHeight="1">
      <c r="B824" s="99" t="s">
        <v>1375</v>
      </c>
      <c r="C824" s="115" t="s">
        <v>936</v>
      </c>
      <c r="D824" s="115" t="s">
        <v>937</v>
      </c>
      <c r="E824" s="115" t="str">
        <f>VLOOKUP($C824,[1]Detail!$C:$AK,6,0)</f>
        <v>PMT1</v>
      </c>
      <c r="F824" s="115" t="str">
        <f>VLOOKUP($C824,[1]Detail!$C:$AK,7,0)</f>
        <v>TH</v>
      </c>
      <c r="G824" s="115" t="str">
        <f>VLOOKUP($C824,[1]Detail!$C:$AK,5,0)</f>
        <v>B</v>
      </c>
      <c r="J824" s="151" t="s">
        <v>126</v>
      </c>
      <c r="K824" s="122" t="s">
        <v>938</v>
      </c>
      <c r="L824" s="151" t="s">
        <v>234</v>
      </c>
      <c r="M824" s="51" t="str">
        <f t="shared" si="722"/>
        <v>JD8B-19B514-AC</v>
      </c>
      <c r="N824" s="123"/>
      <c r="O824" s="115">
        <v>0</v>
      </c>
      <c r="P824" s="115">
        <v>0</v>
      </c>
      <c r="Q824" s="115">
        <v>0</v>
      </c>
      <c r="R824" s="115">
        <v>0</v>
      </c>
      <c r="S824" s="115">
        <v>1</v>
      </c>
      <c r="T824" s="115">
        <v>1</v>
      </c>
      <c r="U824" s="115">
        <v>1</v>
      </c>
      <c r="V824" s="115">
        <v>1</v>
      </c>
      <c r="W824" s="125">
        <f t="shared" si="758"/>
        <v>0.33</v>
      </c>
      <c r="Y824" s="126">
        <f>-51.74*0-55.58</f>
        <v>-55.58</v>
      </c>
      <c r="Z824" s="126">
        <v>-0.69</v>
      </c>
      <c r="AA824" s="126">
        <v>-0.39</v>
      </c>
      <c r="AB824" s="126">
        <v>0</v>
      </c>
      <c r="AC824" s="126">
        <v>-2.23</v>
      </c>
      <c r="AD824" s="126">
        <f t="shared" si="759"/>
        <v>-58.889999999999993</v>
      </c>
      <c r="AE824" s="115" t="s">
        <v>91</v>
      </c>
      <c r="AG824" s="126">
        <v>-3463757.6</v>
      </c>
      <c r="AH824" s="126">
        <v>-3463757.6</v>
      </c>
      <c r="AI824" s="127"/>
      <c r="AJ824" s="70">
        <v>-594307</v>
      </c>
      <c r="AK824" s="70">
        <v>266753</v>
      </c>
      <c r="AL824" s="72"/>
      <c r="AO824" s="151" t="s">
        <v>126</v>
      </c>
      <c r="AP824" s="122" t="s">
        <v>938</v>
      </c>
      <c r="AQ824" s="115" t="s">
        <v>132</v>
      </c>
      <c r="AR824" s="51" t="str">
        <f t="shared" si="783"/>
        <v>JD8B-19B514-AB</v>
      </c>
      <c r="AS824" s="123"/>
      <c r="AT824" s="124">
        <v>0</v>
      </c>
      <c r="AU824" s="124">
        <v>0</v>
      </c>
      <c r="AV824" s="124">
        <v>0</v>
      </c>
      <c r="AW824" s="124">
        <v>0</v>
      </c>
      <c r="AX824" s="124">
        <v>1</v>
      </c>
      <c r="AY824" s="124">
        <v>1</v>
      </c>
      <c r="AZ824" s="124">
        <v>1</v>
      </c>
      <c r="BA824" s="124">
        <v>1</v>
      </c>
      <c r="BB824" s="125">
        <f t="shared" si="760"/>
        <v>0.33</v>
      </c>
      <c r="BD824" s="60">
        <f>-51.74*0-55.58</f>
        <v>-55.58</v>
      </c>
      <c r="BE824" s="60">
        <v>-0.69</v>
      </c>
      <c r="BF824" s="95">
        <v>-0.39</v>
      </c>
      <c r="BG824" s="95">
        <v>0</v>
      </c>
      <c r="BH824" s="95">
        <v>-2.23</v>
      </c>
      <c r="BI824" s="126">
        <f t="shared" si="774"/>
        <v>-58.889999999999993</v>
      </c>
      <c r="BJ824" s="115" t="s">
        <v>91</v>
      </c>
      <c r="BL824" s="70">
        <v>-3463757.6</v>
      </c>
      <c r="BM824" s="70">
        <v>-3463757.6</v>
      </c>
      <c r="BO824" s="70">
        <v>-594307</v>
      </c>
      <c r="BP824" s="70">
        <v>266753</v>
      </c>
      <c r="BQ824" s="72"/>
      <c r="BS824" s="61">
        <f t="shared" si="751"/>
        <v>0</v>
      </c>
      <c r="BT824" s="61">
        <f t="shared" si="752"/>
        <v>0</v>
      </c>
      <c r="BU824" s="61">
        <f t="shared" si="753"/>
        <v>0</v>
      </c>
      <c r="BV824" s="61">
        <f t="shared" si="753"/>
        <v>0</v>
      </c>
      <c r="BW824" s="61">
        <f t="shared" si="753"/>
        <v>0</v>
      </c>
      <c r="BX824" s="61">
        <f t="shared" si="750"/>
        <v>0</v>
      </c>
      <c r="BY824" s="61" t="s">
        <v>91</v>
      </c>
      <c r="CA824" s="61">
        <f t="shared" ref="CA824:CA867" si="789">($Y824*O824-AT824*$BD824)/$C$2</f>
        <v>0</v>
      </c>
      <c r="CB824" s="61">
        <f t="shared" si="787"/>
        <v>0</v>
      </c>
      <c r="CC824" s="61">
        <f t="shared" si="787"/>
        <v>0</v>
      </c>
      <c r="CD824" s="61">
        <f t="shared" si="787"/>
        <v>0</v>
      </c>
      <c r="CE824" s="61">
        <f t="shared" si="787"/>
        <v>0</v>
      </c>
      <c r="CF824" s="61">
        <f t="shared" si="787"/>
        <v>0</v>
      </c>
      <c r="CG824" s="61">
        <f t="shared" si="787"/>
        <v>0</v>
      </c>
      <c r="CH824" s="61">
        <f t="shared" si="787"/>
        <v>0</v>
      </c>
      <c r="CI824" s="61">
        <f t="shared" si="738"/>
        <v>0</v>
      </c>
      <c r="CJ824" s="61"/>
      <c r="CK824" s="61">
        <f t="shared" ref="CK824:CK867" si="790">(O824*$AD824-AT824*$BI824)/$C$2</f>
        <v>0</v>
      </c>
      <c r="CL824" s="61">
        <f t="shared" si="788"/>
        <v>0</v>
      </c>
      <c r="CM824" s="61">
        <f t="shared" si="788"/>
        <v>0</v>
      </c>
      <c r="CN824" s="61">
        <f t="shared" si="788"/>
        <v>0</v>
      </c>
      <c r="CO824" s="61">
        <f t="shared" si="788"/>
        <v>0</v>
      </c>
      <c r="CP824" s="61">
        <f t="shared" si="788"/>
        <v>0</v>
      </c>
      <c r="CQ824" s="61">
        <f t="shared" si="788"/>
        <v>0</v>
      </c>
      <c r="CR824" s="61">
        <f t="shared" si="788"/>
        <v>0</v>
      </c>
      <c r="CS824" s="61">
        <f t="shared" si="739"/>
        <v>0</v>
      </c>
      <c r="CT824" s="61">
        <f t="shared" si="740"/>
        <v>0</v>
      </c>
      <c r="CV824" s="61">
        <f t="shared" si="775"/>
        <v>0</v>
      </c>
      <c r="CW824" s="61">
        <f t="shared" si="776"/>
        <v>0</v>
      </c>
      <c r="CX824" s="61"/>
      <c r="CY824" s="61">
        <f t="shared" si="777"/>
        <v>0</v>
      </c>
      <c r="CZ824" s="61">
        <f t="shared" si="777"/>
        <v>0</v>
      </c>
      <c r="DA824" s="61">
        <f t="shared" si="777"/>
        <v>0</v>
      </c>
      <c r="DB824" s="115" t="s">
        <v>85</v>
      </c>
      <c r="DC824" s="115" t="s">
        <v>85</v>
      </c>
      <c r="DD824" s="115" t="s">
        <v>142</v>
      </c>
      <c r="DE824" s="115" t="s">
        <v>264</v>
      </c>
      <c r="DF824" s="123" t="s">
        <v>86</v>
      </c>
      <c r="DG824" s="160">
        <v>43034</v>
      </c>
      <c r="DZ824" s="123"/>
      <c r="EC824" s="60"/>
      <c r="ED824" s="60"/>
      <c r="EE824" s="60"/>
      <c r="EF824" s="60"/>
    </row>
    <row r="825" spans="1:140" s="115" customFormat="1" ht="12.75" hidden="1" customHeight="1">
      <c r="B825" s="99" t="s">
        <v>1376</v>
      </c>
      <c r="C825" s="115" t="s">
        <v>936</v>
      </c>
      <c r="D825" s="115" t="s">
        <v>937</v>
      </c>
      <c r="E825" s="115" t="str">
        <f>VLOOKUP($C825,[1]Detail!$C:$AK,6,0)</f>
        <v>PMT1</v>
      </c>
      <c r="F825" s="115" t="str">
        <f>VLOOKUP($C825,[1]Detail!$C:$AK,7,0)</f>
        <v>TH</v>
      </c>
      <c r="G825" s="115" t="str">
        <f>VLOOKUP($C825,[1]Detail!$C:$AK,5,0)</f>
        <v>B</v>
      </c>
      <c r="J825" s="151" t="s">
        <v>126</v>
      </c>
      <c r="K825" s="122" t="s">
        <v>938</v>
      </c>
      <c r="L825" s="151" t="s">
        <v>989</v>
      </c>
      <c r="M825" s="51" t="str">
        <f t="shared" si="722"/>
        <v>JD8B-19B514-BD</v>
      </c>
      <c r="N825" s="123"/>
      <c r="O825" s="115">
        <v>1</v>
      </c>
      <c r="P825" s="115">
        <v>1</v>
      </c>
      <c r="Q825" s="115">
        <v>1</v>
      </c>
      <c r="R825" s="115">
        <v>1</v>
      </c>
      <c r="S825" s="115">
        <v>0</v>
      </c>
      <c r="T825" s="115">
        <v>0</v>
      </c>
      <c r="U825" s="115">
        <v>0</v>
      </c>
      <c r="V825" s="115">
        <v>0</v>
      </c>
      <c r="W825" s="125">
        <f t="shared" si="758"/>
        <v>0.67</v>
      </c>
      <c r="Y825" s="126">
        <f>-44.68*0-48.53</f>
        <v>-48.53</v>
      </c>
      <c r="Z825" s="126">
        <v>-0.69</v>
      </c>
      <c r="AA825" s="126">
        <v>-0.39</v>
      </c>
      <c r="AB825" s="126">
        <v>0</v>
      </c>
      <c r="AC825" s="126">
        <v>-2.23</v>
      </c>
      <c r="AD825" s="126">
        <f t="shared" ref="AD825:AD828" si="791">SUM(Y825:AC825)</f>
        <v>-51.839999999999996</v>
      </c>
      <c r="AE825" s="115" t="s">
        <v>91</v>
      </c>
      <c r="AG825" s="126">
        <f>-747122.4*0-3289442.4</f>
        <v>-3289442.4</v>
      </c>
      <c r="AH825" s="126">
        <v>-747122.4</v>
      </c>
      <c r="AI825" s="127"/>
      <c r="AJ825" s="70">
        <v>-686526</v>
      </c>
      <c r="AK825" s="70">
        <v>308146</v>
      </c>
      <c r="AL825" s="72"/>
      <c r="AO825" s="151" t="s">
        <v>126</v>
      </c>
      <c r="AP825" s="122" t="s">
        <v>938</v>
      </c>
      <c r="AQ825" s="151" t="s">
        <v>599</v>
      </c>
      <c r="AR825" s="51" t="str">
        <f t="shared" si="783"/>
        <v>JD8B-19B514-BC</v>
      </c>
      <c r="AS825" s="123"/>
      <c r="AT825" s="115">
        <v>1</v>
      </c>
      <c r="AU825" s="115">
        <v>1</v>
      </c>
      <c r="AV825" s="115">
        <v>1</v>
      </c>
      <c r="AW825" s="115">
        <v>1</v>
      </c>
      <c r="AX825" s="115">
        <v>0</v>
      </c>
      <c r="AY825" s="115">
        <v>0</v>
      </c>
      <c r="AZ825" s="115">
        <v>0</v>
      </c>
      <c r="BA825" s="115">
        <v>0</v>
      </c>
      <c r="BB825" s="125">
        <f t="shared" si="760"/>
        <v>0.67</v>
      </c>
      <c r="BD825" s="126">
        <f>-44.68*0-48.53</f>
        <v>-48.53</v>
      </c>
      <c r="BE825" s="126">
        <v>-0.69</v>
      </c>
      <c r="BF825" s="126">
        <v>-0.39</v>
      </c>
      <c r="BG825" s="126">
        <v>0</v>
      </c>
      <c r="BH825" s="126">
        <v>-2.23</v>
      </c>
      <c r="BI825" s="126">
        <f t="shared" ref="BI825:BI828" si="792">SUM(BD825:BH825)</f>
        <v>-51.839999999999996</v>
      </c>
      <c r="BJ825" s="115" t="s">
        <v>91</v>
      </c>
      <c r="BL825" s="126">
        <f>-747122.4*0-3289442.4</f>
        <v>-3289442.4</v>
      </c>
      <c r="BM825" s="126">
        <v>-747122.4</v>
      </c>
      <c r="BN825" s="127"/>
      <c r="BO825" s="70">
        <v>-686526</v>
      </c>
      <c r="BP825" s="70">
        <v>308146</v>
      </c>
      <c r="BQ825" s="72"/>
      <c r="BS825" s="61">
        <f t="shared" si="751"/>
        <v>0</v>
      </c>
      <c r="BT825" s="61">
        <f t="shared" si="752"/>
        <v>0</v>
      </c>
      <c r="BU825" s="61">
        <f t="shared" si="753"/>
        <v>0</v>
      </c>
      <c r="BV825" s="61">
        <f t="shared" si="753"/>
        <v>0</v>
      </c>
      <c r="BW825" s="61">
        <f t="shared" si="753"/>
        <v>0</v>
      </c>
      <c r="BX825" s="61">
        <f t="shared" si="750"/>
        <v>0</v>
      </c>
      <c r="BY825" s="61" t="s">
        <v>91</v>
      </c>
      <c r="CA825" s="61">
        <f t="shared" si="789"/>
        <v>0</v>
      </c>
      <c r="CB825" s="61">
        <f t="shared" si="787"/>
        <v>0</v>
      </c>
      <c r="CC825" s="61">
        <f t="shared" si="787"/>
        <v>0</v>
      </c>
      <c r="CD825" s="61">
        <f t="shared" si="787"/>
        <v>0</v>
      </c>
      <c r="CE825" s="61">
        <f t="shared" si="787"/>
        <v>0</v>
      </c>
      <c r="CF825" s="61">
        <f t="shared" si="787"/>
        <v>0</v>
      </c>
      <c r="CG825" s="61">
        <f t="shared" si="787"/>
        <v>0</v>
      </c>
      <c r="CH825" s="61">
        <f t="shared" si="787"/>
        <v>0</v>
      </c>
      <c r="CI825" s="61">
        <f t="shared" si="738"/>
        <v>0</v>
      </c>
      <c r="CJ825" s="61"/>
      <c r="CK825" s="61">
        <f t="shared" si="790"/>
        <v>0</v>
      </c>
      <c r="CL825" s="61">
        <f t="shared" si="788"/>
        <v>0</v>
      </c>
      <c r="CM825" s="61">
        <f t="shared" si="788"/>
        <v>0</v>
      </c>
      <c r="CN825" s="61">
        <f t="shared" si="788"/>
        <v>0</v>
      </c>
      <c r="CO825" s="61">
        <f t="shared" si="788"/>
        <v>0</v>
      </c>
      <c r="CP825" s="61">
        <f t="shared" si="788"/>
        <v>0</v>
      </c>
      <c r="CQ825" s="61">
        <f t="shared" si="788"/>
        <v>0</v>
      </c>
      <c r="CR825" s="61">
        <f t="shared" si="788"/>
        <v>0</v>
      </c>
      <c r="CS825" s="61">
        <f t="shared" si="739"/>
        <v>0</v>
      </c>
      <c r="CT825" s="61">
        <f t="shared" si="740"/>
        <v>0</v>
      </c>
      <c r="CV825" s="61">
        <f t="shared" ref="CV825:CV828" si="793">SUM(AG825)-SUM(BL825)</f>
        <v>0</v>
      </c>
      <c r="CW825" s="61">
        <f t="shared" ref="CW825:CW828" si="794">SUM(AH825)-SUM(BM825)</f>
        <v>0</v>
      </c>
      <c r="CX825" s="61"/>
      <c r="CY825" s="61">
        <f t="shared" si="777"/>
        <v>0</v>
      </c>
      <c r="CZ825" s="61">
        <f t="shared" si="777"/>
        <v>0</v>
      </c>
      <c r="DA825" s="61">
        <f t="shared" si="777"/>
        <v>0</v>
      </c>
      <c r="DB825" s="115" t="s">
        <v>85</v>
      </c>
      <c r="DC825" s="115" t="s">
        <v>85</v>
      </c>
      <c r="DD825" s="115" t="s">
        <v>142</v>
      </c>
      <c r="DE825" s="115" t="s">
        <v>106</v>
      </c>
      <c r="DF825" s="3" t="s">
        <v>86</v>
      </c>
      <c r="DG825" s="62">
        <v>43097</v>
      </c>
      <c r="DZ825" s="123"/>
      <c r="EC825" s="60"/>
      <c r="ED825" s="60"/>
      <c r="EE825" s="60"/>
      <c r="EF825" s="60"/>
    </row>
    <row r="826" spans="1:140" s="115" customFormat="1" ht="12.75" hidden="1" customHeight="1">
      <c r="B826" s="99" t="s">
        <v>1376</v>
      </c>
      <c r="C826" s="115" t="s">
        <v>936</v>
      </c>
      <c r="D826" s="115" t="s">
        <v>937</v>
      </c>
      <c r="E826" s="115" t="str">
        <f>VLOOKUP($C826,[1]Detail!$C:$AK,6,0)</f>
        <v>PMT1</v>
      </c>
      <c r="F826" s="115" t="str">
        <f>VLOOKUP($C826,[1]Detail!$C:$AK,7,0)</f>
        <v>TH</v>
      </c>
      <c r="G826" s="115" t="str">
        <f>VLOOKUP($C826,[1]Detail!$C:$AK,5,0)</f>
        <v>B</v>
      </c>
      <c r="J826" s="151" t="s">
        <v>126</v>
      </c>
      <c r="K826" s="122" t="s">
        <v>938</v>
      </c>
      <c r="L826" s="151" t="s">
        <v>162</v>
      </c>
      <c r="M826" s="51" t="str">
        <f t="shared" si="722"/>
        <v>JD8B-19B514-AD</v>
      </c>
      <c r="N826" s="123"/>
      <c r="O826" s="115">
        <v>0</v>
      </c>
      <c r="P826" s="115">
        <v>0</v>
      </c>
      <c r="Q826" s="115">
        <v>0</v>
      </c>
      <c r="R826" s="115">
        <v>0</v>
      </c>
      <c r="S826" s="115">
        <v>1</v>
      </c>
      <c r="T826" s="115">
        <v>1</v>
      </c>
      <c r="U826" s="115">
        <v>1</v>
      </c>
      <c r="V826" s="115">
        <v>1</v>
      </c>
      <c r="W826" s="125">
        <f t="shared" si="758"/>
        <v>0.33</v>
      </c>
      <c r="Y826" s="126">
        <f>-51.74*0-55.58</f>
        <v>-55.58</v>
      </c>
      <c r="Z826" s="126">
        <v>-0.69</v>
      </c>
      <c r="AA826" s="126">
        <v>-0.39</v>
      </c>
      <c r="AB826" s="126">
        <v>0</v>
      </c>
      <c r="AC826" s="126">
        <v>-2.23</v>
      </c>
      <c r="AD826" s="126">
        <f t="shared" si="791"/>
        <v>-58.889999999999993</v>
      </c>
      <c r="AE826" s="115" t="s">
        <v>91</v>
      </c>
      <c r="AG826" s="126">
        <v>-3463757.6</v>
      </c>
      <c r="AH826" s="126">
        <v>-3463757.6</v>
      </c>
      <c r="AI826" s="127"/>
      <c r="AJ826" s="70">
        <v>-594307</v>
      </c>
      <c r="AK826" s="70">
        <v>266753</v>
      </c>
      <c r="AL826" s="72"/>
      <c r="AO826" s="151" t="s">
        <v>126</v>
      </c>
      <c r="AP826" s="122" t="s">
        <v>938</v>
      </c>
      <c r="AQ826" s="151" t="s">
        <v>234</v>
      </c>
      <c r="AR826" s="51" t="str">
        <f t="shared" si="783"/>
        <v>JD8B-19B514-AC</v>
      </c>
      <c r="AS826" s="123"/>
      <c r="AT826" s="115">
        <v>0</v>
      </c>
      <c r="AU826" s="115">
        <v>0</v>
      </c>
      <c r="AV826" s="115">
        <v>0</v>
      </c>
      <c r="AW826" s="115">
        <v>0</v>
      </c>
      <c r="AX826" s="115">
        <v>1</v>
      </c>
      <c r="AY826" s="115">
        <v>1</v>
      </c>
      <c r="AZ826" s="115">
        <v>1</v>
      </c>
      <c r="BA826" s="115">
        <v>1</v>
      </c>
      <c r="BB826" s="125">
        <f t="shared" si="760"/>
        <v>0.33</v>
      </c>
      <c r="BD826" s="126">
        <f>-51.74*0-55.58</f>
        <v>-55.58</v>
      </c>
      <c r="BE826" s="126">
        <v>-0.69</v>
      </c>
      <c r="BF826" s="126">
        <v>-0.39</v>
      </c>
      <c r="BG826" s="126">
        <v>0</v>
      </c>
      <c r="BH826" s="126">
        <v>-2.23</v>
      </c>
      <c r="BI826" s="126">
        <f t="shared" si="792"/>
        <v>-58.889999999999993</v>
      </c>
      <c r="BJ826" s="115" t="s">
        <v>91</v>
      </c>
      <c r="BL826" s="126">
        <v>-3463757.6</v>
      </c>
      <c r="BM826" s="126">
        <v>-3463757.6</v>
      </c>
      <c r="BN826" s="127"/>
      <c r="BO826" s="70">
        <v>-594307</v>
      </c>
      <c r="BP826" s="70">
        <v>266753</v>
      </c>
      <c r="BQ826" s="72"/>
      <c r="BS826" s="61">
        <f t="shared" si="751"/>
        <v>0</v>
      </c>
      <c r="BT826" s="61">
        <f t="shared" si="752"/>
        <v>0</v>
      </c>
      <c r="BU826" s="61">
        <f t="shared" si="753"/>
        <v>0</v>
      </c>
      <c r="BV826" s="61">
        <f t="shared" si="753"/>
        <v>0</v>
      </c>
      <c r="BW826" s="61">
        <f t="shared" si="753"/>
        <v>0</v>
      </c>
      <c r="BX826" s="61">
        <f t="shared" si="750"/>
        <v>0</v>
      </c>
      <c r="BY826" s="61" t="s">
        <v>91</v>
      </c>
      <c r="CA826" s="61">
        <f t="shared" si="789"/>
        <v>0</v>
      </c>
      <c r="CB826" s="61">
        <f t="shared" si="787"/>
        <v>0</v>
      </c>
      <c r="CC826" s="61">
        <f t="shared" si="787"/>
        <v>0</v>
      </c>
      <c r="CD826" s="61">
        <f t="shared" si="787"/>
        <v>0</v>
      </c>
      <c r="CE826" s="61">
        <f t="shared" si="787"/>
        <v>0</v>
      </c>
      <c r="CF826" s="61">
        <f t="shared" si="787"/>
        <v>0</v>
      </c>
      <c r="CG826" s="61">
        <f t="shared" si="787"/>
        <v>0</v>
      </c>
      <c r="CH826" s="61">
        <f t="shared" si="787"/>
        <v>0</v>
      </c>
      <c r="CI826" s="61">
        <f t="shared" si="738"/>
        <v>0</v>
      </c>
      <c r="CJ826" s="61"/>
      <c r="CK826" s="61">
        <f t="shared" si="790"/>
        <v>0</v>
      </c>
      <c r="CL826" s="61">
        <f t="shared" si="788"/>
        <v>0</v>
      </c>
      <c r="CM826" s="61">
        <f t="shared" si="788"/>
        <v>0</v>
      </c>
      <c r="CN826" s="61">
        <f t="shared" si="788"/>
        <v>0</v>
      </c>
      <c r="CO826" s="61">
        <f t="shared" si="788"/>
        <v>0</v>
      </c>
      <c r="CP826" s="61">
        <f t="shared" si="788"/>
        <v>0</v>
      </c>
      <c r="CQ826" s="61">
        <f t="shared" si="788"/>
        <v>0</v>
      </c>
      <c r="CR826" s="61">
        <f t="shared" si="788"/>
        <v>0</v>
      </c>
      <c r="CS826" s="61">
        <f t="shared" si="739"/>
        <v>0</v>
      </c>
      <c r="CT826" s="61">
        <f t="shared" si="740"/>
        <v>0</v>
      </c>
      <c r="CV826" s="61">
        <f t="shared" si="793"/>
        <v>0</v>
      </c>
      <c r="CW826" s="61">
        <f t="shared" si="794"/>
        <v>0</v>
      </c>
      <c r="CX826" s="61"/>
      <c r="CY826" s="61">
        <f t="shared" si="777"/>
        <v>0</v>
      </c>
      <c r="CZ826" s="61">
        <f t="shared" si="777"/>
        <v>0</v>
      </c>
      <c r="DA826" s="61">
        <f t="shared" si="777"/>
        <v>0</v>
      </c>
      <c r="DB826" s="115" t="s">
        <v>85</v>
      </c>
      <c r="DC826" s="115" t="s">
        <v>85</v>
      </c>
      <c r="DD826" s="115" t="s">
        <v>142</v>
      </c>
      <c r="DE826" s="115" t="s">
        <v>106</v>
      </c>
      <c r="DF826" s="3" t="s">
        <v>86</v>
      </c>
      <c r="DG826" s="62">
        <v>43097</v>
      </c>
      <c r="DZ826" s="123"/>
      <c r="EC826" s="60"/>
      <c r="ED826" s="60"/>
      <c r="EE826" s="60"/>
      <c r="EF826" s="60"/>
    </row>
    <row r="827" spans="1:140" s="115" customFormat="1" ht="12.75" hidden="1" customHeight="1">
      <c r="B827" s="99" t="s">
        <v>1377</v>
      </c>
      <c r="C827" s="115" t="s">
        <v>936</v>
      </c>
      <c r="D827" s="115" t="s">
        <v>937</v>
      </c>
      <c r="E827" s="115" t="str">
        <f>VLOOKUP($C827,[1]Detail!$C:$AK,6,0)</f>
        <v>PMT1</v>
      </c>
      <c r="F827" s="115" t="str">
        <f>VLOOKUP($C827,[1]Detail!$C:$AK,7,0)</f>
        <v>TH</v>
      </c>
      <c r="G827" s="115" t="str">
        <f>VLOOKUP($C827,[1]Detail!$C:$AK,5,0)</f>
        <v>B</v>
      </c>
      <c r="J827" s="151" t="s">
        <v>126</v>
      </c>
      <c r="K827" s="122" t="s">
        <v>938</v>
      </c>
      <c r="L827" s="151" t="s">
        <v>886</v>
      </c>
      <c r="M827" s="51" t="str">
        <f t="shared" si="722"/>
        <v>JD8B-19B514-BE</v>
      </c>
      <c r="N827" s="123"/>
      <c r="O827" s="115">
        <v>1</v>
      </c>
      <c r="P827" s="115">
        <v>1</v>
      </c>
      <c r="Q827" s="115">
        <v>1</v>
      </c>
      <c r="R827" s="115">
        <v>1</v>
      </c>
      <c r="S827" s="115">
        <v>0</v>
      </c>
      <c r="T827" s="115">
        <v>0</v>
      </c>
      <c r="U827" s="115">
        <v>0</v>
      </c>
      <c r="V827" s="115">
        <v>0</v>
      </c>
      <c r="W827" s="125">
        <f t="shared" si="758"/>
        <v>0.67</v>
      </c>
      <c r="Y827" s="126">
        <f>-44.68*0-48.53</f>
        <v>-48.53</v>
      </c>
      <c r="Z827" s="126">
        <v>-0.69</v>
      </c>
      <c r="AA827" s="126">
        <v>-0.39</v>
      </c>
      <c r="AB827" s="126">
        <v>0</v>
      </c>
      <c r="AC827" s="126">
        <v>-2.23</v>
      </c>
      <c r="AD827" s="126">
        <f t="shared" si="791"/>
        <v>-51.839999999999996</v>
      </c>
      <c r="AE827" s="115" t="s">
        <v>91</v>
      </c>
      <c r="AG827" s="126">
        <f>-747122.4*0-3289442.4</f>
        <v>-3289442.4</v>
      </c>
      <c r="AH827" s="126">
        <v>-747122.4</v>
      </c>
      <c r="AI827" s="127"/>
      <c r="AJ827" s="70">
        <v>-686526</v>
      </c>
      <c r="AK827" s="70">
        <v>308146</v>
      </c>
      <c r="AL827" s="72"/>
      <c r="AO827" s="151" t="s">
        <v>126</v>
      </c>
      <c r="AP827" s="122" t="s">
        <v>938</v>
      </c>
      <c r="AQ827" s="151" t="s">
        <v>989</v>
      </c>
      <c r="AR827" s="51" t="str">
        <f t="shared" si="783"/>
        <v>JD8B-19B514-BD</v>
      </c>
      <c r="AS827" s="123"/>
      <c r="AT827" s="115">
        <v>1</v>
      </c>
      <c r="AU827" s="115">
        <v>1</v>
      </c>
      <c r="AV827" s="115">
        <v>1</v>
      </c>
      <c r="AW827" s="115">
        <v>1</v>
      </c>
      <c r="AX827" s="115">
        <v>0</v>
      </c>
      <c r="AY827" s="115">
        <v>0</v>
      </c>
      <c r="AZ827" s="115">
        <v>0</v>
      </c>
      <c r="BA827" s="115">
        <v>0</v>
      </c>
      <c r="BB827" s="125">
        <f t="shared" si="760"/>
        <v>0.67</v>
      </c>
      <c r="BD827" s="126">
        <f>-44.68*0-48.53</f>
        <v>-48.53</v>
      </c>
      <c r="BE827" s="126">
        <v>-0.69</v>
      </c>
      <c r="BF827" s="126">
        <v>-0.39</v>
      </c>
      <c r="BG827" s="126">
        <v>0</v>
      </c>
      <c r="BH827" s="126">
        <v>-2.23</v>
      </c>
      <c r="BI827" s="126">
        <f t="shared" si="792"/>
        <v>-51.839999999999996</v>
      </c>
      <c r="BJ827" s="115" t="s">
        <v>91</v>
      </c>
      <c r="BL827" s="126">
        <f>-747122.4*0-3289442.4</f>
        <v>-3289442.4</v>
      </c>
      <c r="BM827" s="126">
        <v>-747122.4</v>
      </c>
      <c r="BN827" s="127"/>
      <c r="BO827" s="70">
        <v>-686526</v>
      </c>
      <c r="BP827" s="70">
        <v>308146</v>
      </c>
      <c r="BQ827" s="72"/>
      <c r="BS827" s="61">
        <f t="shared" si="751"/>
        <v>0</v>
      </c>
      <c r="BT827" s="61">
        <f t="shared" si="752"/>
        <v>0</v>
      </c>
      <c r="BU827" s="61">
        <f t="shared" si="753"/>
        <v>0</v>
      </c>
      <c r="BV827" s="61">
        <f t="shared" si="753"/>
        <v>0</v>
      </c>
      <c r="BW827" s="61">
        <f t="shared" si="753"/>
        <v>0</v>
      </c>
      <c r="BX827" s="61">
        <f t="shared" si="750"/>
        <v>0</v>
      </c>
      <c r="BY827" s="61" t="s">
        <v>91</v>
      </c>
      <c r="CA827" s="61">
        <f t="shared" si="789"/>
        <v>0</v>
      </c>
      <c r="CB827" s="61">
        <f t="shared" si="787"/>
        <v>0</v>
      </c>
      <c r="CC827" s="61">
        <f t="shared" si="787"/>
        <v>0</v>
      </c>
      <c r="CD827" s="61">
        <f t="shared" si="787"/>
        <v>0</v>
      </c>
      <c r="CE827" s="61">
        <f t="shared" si="787"/>
        <v>0</v>
      </c>
      <c r="CF827" s="61">
        <f t="shared" si="787"/>
        <v>0</v>
      </c>
      <c r="CG827" s="61">
        <f t="shared" si="787"/>
        <v>0</v>
      </c>
      <c r="CH827" s="61">
        <f t="shared" si="787"/>
        <v>0</v>
      </c>
      <c r="CI827" s="61">
        <f t="shared" si="738"/>
        <v>0</v>
      </c>
      <c r="CJ827" s="61"/>
      <c r="CK827" s="61">
        <f t="shared" si="790"/>
        <v>0</v>
      </c>
      <c r="CL827" s="61">
        <f t="shared" si="788"/>
        <v>0</v>
      </c>
      <c r="CM827" s="61">
        <f t="shared" si="788"/>
        <v>0</v>
      </c>
      <c r="CN827" s="61">
        <f t="shared" si="788"/>
        <v>0</v>
      </c>
      <c r="CO827" s="61">
        <f t="shared" si="788"/>
        <v>0</v>
      </c>
      <c r="CP827" s="61">
        <f t="shared" si="788"/>
        <v>0</v>
      </c>
      <c r="CQ827" s="61">
        <f t="shared" si="788"/>
        <v>0</v>
      </c>
      <c r="CR827" s="61">
        <f t="shared" si="788"/>
        <v>0</v>
      </c>
      <c r="CS827" s="61">
        <f t="shared" si="739"/>
        <v>0</v>
      </c>
      <c r="CT827" s="61">
        <f t="shared" si="740"/>
        <v>0</v>
      </c>
      <c r="CV827" s="61">
        <f t="shared" si="793"/>
        <v>0</v>
      </c>
      <c r="CW827" s="61">
        <f t="shared" si="794"/>
        <v>0</v>
      </c>
      <c r="CX827" s="61"/>
      <c r="CY827" s="61">
        <f t="shared" si="777"/>
        <v>0</v>
      </c>
      <c r="CZ827" s="61">
        <f t="shared" si="777"/>
        <v>0</v>
      </c>
      <c r="DA827" s="61">
        <f t="shared" si="777"/>
        <v>0</v>
      </c>
      <c r="DB827" s="115" t="s">
        <v>86</v>
      </c>
      <c r="DC827" s="115" t="s">
        <v>85</v>
      </c>
      <c r="DD827" s="115" t="s">
        <v>142</v>
      </c>
      <c r="DE827" s="115" t="s">
        <v>106</v>
      </c>
      <c r="DF827" s="3" t="s">
        <v>86</v>
      </c>
      <c r="DG827" s="62">
        <v>43123</v>
      </c>
      <c r="DZ827" s="123"/>
      <c r="EC827" s="60" t="str">
        <f>VLOOKUP($M827,[1]Detail!$M:$BO,1,0)</f>
        <v>JD8B-19B514-BE</v>
      </c>
      <c r="ED827" s="60">
        <f>VLOOKUP($M827,[1]Detail!$M:$BO,22,0)</f>
        <v>-51.839999999999996</v>
      </c>
      <c r="EE827" s="60">
        <f>VLOOKUP($M827,[1]Detail!$M:$BO,42,0)</f>
        <v>-3289442.4</v>
      </c>
      <c r="EF827" s="60">
        <f>VLOOKUP($M827,[1]Detail!$M:$BO,45,0)</f>
        <v>-686526</v>
      </c>
      <c r="EH827" s="60">
        <f t="shared" ref="EH827:EH828" si="795">ED827-AD827</f>
        <v>0</v>
      </c>
      <c r="EI827" s="60">
        <f t="shared" ref="EI827:EI828" si="796">EE827-AG827</f>
        <v>0</v>
      </c>
      <c r="EJ827" s="60">
        <f t="shared" ref="EJ827:EJ828" si="797">EF827-AJ827</f>
        <v>0</v>
      </c>
    </row>
    <row r="828" spans="1:140" s="115" customFormat="1" ht="12.75" hidden="1" customHeight="1">
      <c r="B828" s="99" t="s">
        <v>1377</v>
      </c>
      <c r="C828" s="115" t="s">
        <v>936</v>
      </c>
      <c r="D828" s="115" t="s">
        <v>937</v>
      </c>
      <c r="E828" s="115" t="str">
        <f>VLOOKUP($C828,[1]Detail!$C:$AK,6,0)</f>
        <v>PMT1</v>
      </c>
      <c r="F828" s="115" t="str">
        <f>VLOOKUP($C828,[1]Detail!$C:$AK,7,0)</f>
        <v>TH</v>
      </c>
      <c r="G828" s="115" t="str">
        <f>VLOOKUP($C828,[1]Detail!$C:$AK,5,0)</f>
        <v>B</v>
      </c>
      <c r="J828" s="151" t="s">
        <v>126</v>
      </c>
      <c r="K828" s="122" t="s">
        <v>938</v>
      </c>
      <c r="L828" s="151" t="s">
        <v>129</v>
      </c>
      <c r="M828" s="51" t="str">
        <f t="shared" si="722"/>
        <v>JD8B-19B514-AE</v>
      </c>
      <c r="N828" s="123"/>
      <c r="O828" s="115">
        <v>0</v>
      </c>
      <c r="P828" s="115">
        <v>0</v>
      </c>
      <c r="Q828" s="115">
        <v>0</v>
      </c>
      <c r="R828" s="115">
        <v>0</v>
      </c>
      <c r="S828" s="115">
        <v>1</v>
      </c>
      <c r="T828" s="115">
        <v>1</v>
      </c>
      <c r="U828" s="115">
        <v>1</v>
      </c>
      <c r="V828" s="115">
        <v>1</v>
      </c>
      <c r="W828" s="125">
        <f t="shared" si="758"/>
        <v>0.33</v>
      </c>
      <c r="Y828" s="126">
        <f>-51.74*0-55.58</f>
        <v>-55.58</v>
      </c>
      <c r="Z828" s="126">
        <v>-0.69</v>
      </c>
      <c r="AA828" s="126">
        <v>-0.39</v>
      </c>
      <c r="AB828" s="126">
        <v>0</v>
      </c>
      <c r="AC828" s="126">
        <v>-2.23</v>
      </c>
      <c r="AD828" s="126">
        <f t="shared" si="791"/>
        <v>-58.889999999999993</v>
      </c>
      <c r="AE828" s="115" t="s">
        <v>91</v>
      </c>
      <c r="AG828" s="126">
        <v>-3463757.6</v>
      </c>
      <c r="AH828" s="126">
        <v>-3463757.6</v>
      </c>
      <c r="AI828" s="127"/>
      <c r="AJ828" s="70">
        <v>-594307</v>
      </c>
      <c r="AK828" s="70">
        <v>266753</v>
      </c>
      <c r="AL828" s="72"/>
      <c r="AO828" s="151" t="s">
        <v>126</v>
      </c>
      <c r="AP828" s="122" t="s">
        <v>938</v>
      </c>
      <c r="AQ828" s="151" t="s">
        <v>162</v>
      </c>
      <c r="AR828" s="51" t="str">
        <f t="shared" si="783"/>
        <v>JD8B-19B514-AD</v>
      </c>
      <c r="AS828" s="123"/>
      <c r="AT828" s="115">
        <v>0</v>
      </c>
      <c r="AU828" s="115">
        <v>0</v>
      </c>
      <c r="AV828" s="115">
        <v>0</v>
      </c>
      <c r="AW828" s="115">
        <v>0</v>
      </c>
      <c r="AX828" s="115">
        <v>1</v>
      </c>
      <c r="AY828" s="115">
        <v>1</v>
      </c>
      <c r="AZ828" s="115">
        <v>1</v>
      </c>
      <c r="BA828" s="115">
        <v>1</v>
      </c>
      <c r="BB828" s="125">
        <f t="shared" si="760"/>
        <v>0.33</v>
      </c>
      <c r="BD828" s="126">
        <f>-51.74*0-55.58</f>
        <v>-55.58</v>
      </c>
      <c r="BE828" s="126">
        <v>-0.69</v>
      </c>
      <c r="BF828" s="126">
        <v>-0.39</v>
      </c>
      <c r="BG828" s="126">
        <v>0</v>
      </c>
      <c r="BH828" s="126">
        <v>-2.23</v>
      </c>
      <c r="BI828" s="126">
        <f t="shared" si="792"/>
        <v>-58.889999999999993</v>
      </c>
      <c r="BJ828" s="115" t="s">
        <v>91</v>
      </c>
      <c r="BL828" s="126">
        <v>-3463757.6</v>
      </c>
      <c r="BM828" s="126">
        <v>-3463757.6</v>
      </c>
      <c r="BN828" s="127"/>
      <c r="BO828" s="70">
        <v>-594307</v>
      </c>
      <c r="BP828" s="70">
        <v>266753</v>
      </c>
      <c r="BQ828" s="72"/>
      <c r="BS828" s="61">
        <f t="shared" si="751"/>
        <v>0</v>
      </c>
      <c r="BT828" s="61">
        <f t="shared" si="752"/>
        <v>0</v>
      </c>
      <c r="BU828" s="61">
        <f t="shared" si="753"/>
        <v>0</v>
      </c>
      <c r="BV828" s="61">
        <f t="shared" si="753"/>
        <v>0</v>
      </c>
      <c r="BW828" s="61">
        <f t="shared" si="753"/>
        <v>0</v>
      </c>
      <c r="BX828" s="61">
        <f t="shared" si="750"/>
        <v>0</v>
      </c>
      <c r="BY828" s="61" t="s">
        <v>91</v>
      </c>
      <c r="CA828" s="61">
        <f t="shared" si="789"/>
        <v>0</v>
      </c>
      <c r="CB828" s="61">
        <f t="shared" si="787"/>
        <v>0</v>
      </c>
      <c r="CC828" s="61">
        <f t="shared" si="787"/>
        <v>0</v>
      </c>
      <c r="CD828" s="61">
        <f t="shared" si="787"/>
        <v>0</v>
      </c>
      <c r="CE828" s="61">
        <f t="shared" si="787"/>
        <v>0</v>
      </c>
      <c r="CF828" s="61">
        <f t="shared" si="787"/>
        <v>0</v>
      </c>
      <c r="CG828" s="61">
        <f t="shared" si="787"/>
        <v>0</v>
      </c>
      <c r="CH828" s="61">
        <f t="shared" si="787"/>
        <v>0</v>
      </c>
      <c r="CI828" s="61">
        <f t="shared" si="738"/>
        <v>0</v>
      </c>
      <c r="CJ828" s="61"/>
      <c r="CK828" s="61">
        <f t="shared" si="790"/>
        <v>0</v>
      </c>
      <c r="CL828" s="61">
        <f t="shared" si="788"/>
        <v>0</v>
      </c>
      <c r="CM828" s="61">
        <f t="shared" si="788"/>
        <v>0</v>
      </c>
      <c r="CN828" s="61">
        <f t="shared" si="788"/>
        <v>0</v>
      </c>
      <c r="CO828" s="61">
        <f t="shared" si="788"/>
        <v>0</v>
      </c>
      <c r="CP828" s="61">
        <f t="shared" si="788"/>
        <v>0</v>
      </c>
      <c r="CQ828" s="61">
        <f t="shared" si="788"/>
        <v>0</v>
      </c>
      <c r="CR828" s="61">
        <f t="shared" si="788"/>
        <v>0</v>
      </c>
      <c r="CS828" s="61">
        <f t="shared" si="739"/>
        <v>0</v>
      </c>
      <c r="CT828" s="61">
        <f t="shared" si="740"/>
        <v>0</v>
      </c>
      <c r="CV828" s="61">
        <f t="shared" si="793"/>
        <v>0</v>
      </c>
      <c r="CW828" s="61">
        <f t="shared" si="794"/>
        <v>0</v>
      </c>
      <c r="CX828" s="61"/>
      <c r="CY828" s="61">
        <f t="shared" si="777"/>
        <v>0</v>
      </c>
      <c r="CZ828" s="61">
        <f t="shared" si="777"/>
        <v>0</v>
      </c>
      <c r="DA828" s="61">
        <f t="shared" si="777"/>
        <v>0</v>
      </c>
      <c r="DB828" s="115" t="s">
        <v>86</v>
      </c>
      <c r="DC828" s="115" t="s">
        <v>85</v>
      </c>
      <c r="DD828" s="115" t="s">
        <v>142</v>
      </c>
      <c r="DE828" s="115" t="s">
        <v>106</v>
      </c>
      <c r="DF828" s="3" t="s">
        <v>86</v>
      </c>
      <c r="DG828" s="62">
        <v>43123</v>
      </c>
      <c r="DZ828" s="123"/>
      <c r="EC828" s="60" t="str">
        <f>VLOOKUP($M828,[1]Detail!$M:$BO,1,0)</f>
        <v>JD8B-19B514-AE</v>
      </c>
      <c r="ED828" s="60">
        <f>VLOOKUP($M828,[1]Detail!$M:$BO,22,0)</f>
        <v>-58.889999999999993</v>
      </c>
      <c r="EE828" s="60">
        <f>VLOOKUP($M828,[1]Detail!$M:$BO,42,0)</f>
        <v>-3463757.6</v>
      </c>
      <c r="EF828" s="60">
        <f>VLOOKUP($M828,[1]Detail!$M:$BO,45,0)</f>
        <v>-594307</v>
      </c>
      <c r="EH828" s="60">
        <f t="shared" si="795"/>
        <v>0</v>
      </c>
      <c r="EI828" s="60">
        <f t="shared" si="796"/>
        <v>0</v>
      </c>
      <c r="EJ828" s="60">
        <f t="shared" si="797"/>
        <v>0</v>
      </c>
    </row>
    <row r="829" spans="1:140" ht="12.75" hidden="1" customHeight="1">
      <c r="B829" s="99" t="s">
        <v>1378</v>
      </c>
      <c r="C829" s="22" t="s">
        <v>526</v>
      </c>
      <c r="D829" s="22" t="s">
        <v>527</v>
      </c>
      <c r="E829" s="2" t="str">
        <f>VLOOKUP($C829,[1]Detail!$C:$AK,6,0)</f>
        <v>PMT1</v>
      </c>
      <c r="F829" s="2" t="str">
        <f>VLOOKUP($C829,[1]Detail!$C:$AK,7,0)</f>
        <v>TH</v>
      </c>
      <c r="G829" s="2" t="str">
        <f>VLOOKUP($C829,[1]Detail!$C:$AK,5,0)</f>
        <v>D</v>
      </c>
      <c r="J829" s="22" t="s">
        <v>463</v>
      </c>
      <c r="K829" s="23" t="s">
        <v>528</v>
      </c>
      <c r="L829" s="22" t="s">
        <v>484</v>
      </c>
      <c r="M829" s="51" t="str">
        <f t="shared" si="722"/>
        <v>JD8B-F02216-AC</v>
      </c>
      <c r="O829" s="22">
        <v>1</v>
      </c>
      <c r="P829" s="22">
        <v>1</v>
      </c>
      <c r="Q829" s="22">
        <v>1</v>
      </c>
      <c r="R829" s="22">
        <v>1</v>
      </c>
      <c r="S829" s="22">
        <v>1</v>
      </c>
      <c r="T829" s="22">
        <v>1</v>
      </c>
      <c r="U829" s="22">
        <v>1</v>
      </c>
      <c r="V829" s="22">
        <v>1</v>
      </c>
      <c r="W829" s="64">
        <f t="shared" si="758"/>
        <v>1</v>
      </c>
      <c r="Y829" s="95">
        <v>-59.03</v>
      </c>
      <c r="Z829" s="95">
        <v>-0.61</v>
      </c>
      <c r="AA829" s="95">
        <v>-1.32</v>
      </c>
      <c r="AB829" s="95">
        <v>0</v>
      </c>
      <c r="AC829" s="95">
        <v>0</v>
      </c>
      <c r="AD829" s="8">
        <f t="shared" si="759"/>
        <v>-60.96</v>
      </c>
      <c r="AE829" s="2" t="s">
        <v>91</v>
      </c>
      <c r="AG829" s="96">
        <f>-2540176-21500</f>
        <v>-2561676</v>
      </c>
      <c r="AH829" s="96">
        <f>-2540176-21500</f>
        <v>-2561676</v>
      </c>
      <c r="AI829" s="6"/>
      <c r="AJ829" s="71">
        <v>0</v>
      </c>
      <c r="AK829" s="71">
        <v>0</v>
      </c>
      <c r="AL829" s="72"/>
      <c r="AM829" s="22"/>
      <c r="AO829" s="22" t="s">
        <v>463</v>
      </c>
      <c r="AP829" s="23" t="s">
        <v>528</v>
      </c>
      <c r="AQ829" s="22" t="s">
        <v>486</v>
      </c>
      <c r="AR829" s="51" t="str">
        <f t="shared" si="783"/>
        <v>JD8B-F02216-AB</v>
      </c>
      <c r="AS829" s="3"/>
      <c r="AT829" s="22">
        <v>1</v>
      </c>
      <c r="AU829" s="22">
        <v>1</v>
      </c>
      <c r="AV829" s="22">
        <v>1</v>
      </c>
      <c r="AW829" s="22">
        <v>1</v>
      </c>
      <c r="AX829" s="22">
        <v>1</v>
      </c>
      <c r="AY829" s="22">
        <v>1</v>
      </c>
      <c r="AZ829" s="22">
        <v>1</v>
      </c>
      <c r="BA829" s="22">
        <v>1</v>
      </c>
      <c r="BB829" s="64">
        <f t="shared" si="760"/>
        <v>1</v>
      </c>
      <c r="BD829" s="95">
        <v>-59.03</v>
      </c>
      <c r="BE829" s="95">
        <v>-0.61</v>
      </c>
      <c r="BF829" s="95">
        <v>-1.32</v>
      </c>
      <c r="BG829" s="95">
        <v>0</v>
      </c>
      <c r="BH829" s="95">
        <v>0</v>
      </c>
      <c r="BI829" s="8">
        <f t="shared" si="774"/>
        <v>-60.96</v>
      </c>
      <c r="BJ829" s="2" t="s">
        <v>91</v>
      </c>
      <c r="BL829" s="96">
        <v>-2540176</v>
      </c>
      <c r="BM829" s="96">
        <v>-2540176</v>
      </c>
      <c r="BN829" s="6"/>
      <c r="BO829" s="71">
        <v>0</v>
      </c>
      <c r="BP829" s="71">
        <v>0</v>
      </c>
      <c r="BQ829" s="72"/>
      <c r="BS829" s="61">
        <f t="shared" si="751"/>
        <v>0</v>
      </c>
      <c r="BT829" s="61">
        <f t="shared" si="752"/>
        <v>0</v>
      </c>
      <c r="BU829" s="61">
        <f t="shared" si="753"/>
        <v>0</v>
      </c>
      <c r="BV829" s="61">
        <f t="shared" si="753"/>
        <v>0</v>
      </c>
      <c r="BW829" s="61">
        <f t="shared" si="753"/>
        <v>0</v>
      </c>
      <c r="BX829" s="61">
        <f t="shared" si="750"/>
        <v>0</v>
      </c>
      <c r="BY829" s="61" t="s">
        <v>91</v>
      </c>
      <c r="CA829" s="61">
        <f t="shared" si="789"/>
        <v>0</v>
      </c>
      <c r="CB829" s="61">
        <f t="shared" si="787"/>
        <v>0</v>
      </c>
      <c r="CC829" s="61">
        <f t="shared" si="787"/>
        <v>0</v>
      </c>
      <c r="CD829" s="61">
        <f t="shared" si="787"/>
        <v>0</v>
      </c>
      <c r="CE829" s="61">
        <f t="shared" si="787"/>
        <v>0</v>
      </c>
      <c r="CF829" s="61">
        <f t="shared" si="787"/>
        <v>0</v>
      </c>
      <c r="CG829" s="61">
        <f t="shared" si="787"/>
        <v>0</v>
      </c>
      <c r="CH829" s="61">
        <f t="shared" si="787"/>
        <v>0</v>
      </c>
      <c r="CI829" s="61">
        <f t="shared" si="738"/>
        <v>0</v>
      </c>
      <c r="CJ829" s="61"/>
      <c r="CK829" s="61">
        <f t="shared" si="790"/>
        <v>0</v>
      </c>
      <c r="CL829" s="61">
        <f t="shared" si="788"/>
        <v>0</v>
      </c>
      <c r="CM829" s="61">
        <f t="shared" si="788"/>
        <v>0</v>
      </c>
      <c r="CN829" s="61">
        <f t="shared" si="788"/>
        <v>0</v>
      </c>
      <c r="CO829" s="61">
        <f t="shared" si="788"/>
        <v>0</v>
      </c>
      <c r="CP829" s="61">
        <f t="shared" si="788"/>
        <v>0</v>
      </c>
      <c r="CQ829" s="61">
        <f t="shared" si="788"/>
        <v>0</v>
      </c>
      <c r="CR829" s="61">
        <f t="shared" si="788"/>
        <v>0</v>
      </c>
      <c r="CS829" s="61">
        <f t="shared" si="739"/>
        <v>0</v>
      </c>
      <c r="CT829" s="61">
        <f t="shared" si="740"/>
        <v>0</v>
      </c>
      <c r="CV829" s="61">
        <f t="shared" si="775"/>
        <v>-21500</v>
      </c>
      <c r="CW829" s="61">
        <f t="shared" si="776"/>
        <v>-21500</v>
      </c>
      <c r="CX829" s="61"/>
      <c r="CY829" s="61">
        <f t="shared" si="777"/>
        <v>0</v>
      </c>
      <c r="CZ829" s="61">
        <f t="shared" si="777"/>
        <v>0</v>
      </c>
      <c r="DA829" s="61">
        <f t="shared" si="777"/>
        <v>0</v>
      </c>
      <c r="DB829" s="2" t="s">
        <v>85</v>
      </c>
      <c r="DC829" s="2" t="s">
        <v>85</v>
      </c>
      <c r="DD829" s="2" t="s">
        <v>87</v>
      </c>
      <c r="DE829" s="2" t="s">
        <v>264</v>
      </c>
      <c r="DF829" s="3" t="s">
        <v>86</v>
      </c>
      <c r="DG829" s="58">
        <v>43019</v>
      </c>
      <c r="EC829" s="60"/>
      <c r="ED829" s="60"/>
      <c r="EE829" s="60"/>
      <c r="EF829" s="60"/>
    </row>
    <row r="830" spans="1:140" ht="12.75" hidden="1" customHeight="1">
      <c r="B830" s="99" t="s">
        <v>1379</v>
      </c>
      <c r="C830" s="22" t="s">
        <v>526</v>
      </c>
      <c r="D830" s="22" t="s">
        <v>527</v>
      </c>
      <c r="E830" s="2" t="str">
        <f>VLOOKUP($C830,[1]Detail!$C:$AK,6,0)</f>
        <v>PMT1</v>
      </c>
      <c r="F830" s="2" t="str">
        <f>VLOOKUP($C830,[1]Detail!$C:$AK,7,0)</f>
        <v>TH</v>
      </c>
      <c r="G830" s="2" t="str">
        <f>VLOOKUP($C830,[1]Detail!$C:$AK,5,0)</f>
        <v>D</v>
      </c>
      <c r="J830" s="22" t="s">
        <v>463</v>
      </c>
      <c r="K830" s="23" t="s">
        <v>528</v>
      </c>
      <c r="L830" s="22" t="s">
        <v>489</v>
      </c>
      <c r="M830" s="51" t="str">
        <f t="shared" si="722"/>
        <v>JD8B-F02216-AD</v>
      </c>
      <c r="O830" s="22">
        <v>1</v>
      </c>
      <c r="P830" s="22">
        <v>1</v>
      </c>
      <c r="Q830" s="22">
        <v>1</v>
      </c>
      <c r="R830" s="22">
        <v>1</v>
      </c>
      <c r="S830" s="22">
        <v>1</v>
      </c>
      <c r="T830" s="22">
        <v>1</v>
      </c>
      <c r="U830" s="22">
        <v>1</v>
      </c>
      <c r="V830" s="22">
        <v>1</v>
      </c>
      <c r="W830" s="64">
        <f t="shared" si="758"/>
        <v>1</v>
      </c>
      <c r="Y830" s="95">
        <f>-59.03-0.98</f>
        <v>-60.01</v>
      </c>
      <c r="Z830" s="95">
        <v>-0.61</v>
      </c>
      <c r="AA830" s="95">
        <v>-1.32</v>
      </c>
      <c r="AB830" s="95">
        <v>0</v>
      </c>
      <c r="AC830" s="95">
        <v>0</v>
      </c>
      <c r="AD830" s="8">
        <f t="shared" ref="AD830:AD831" si="798">SUM(Y830:AC830)</f>
        <v>-61.94</v>
      </c>
      <c r="AE830" s="2" t="s">
        <v>91</v>
      </c>
      <c r="AG830" s="96">
        <f>-2540176-21500-1425000</f>
        <v>-3986676</v>
      </c>
      <c r="AH830" s="96">
        <f>-2540176-21500-1425000</f>
        <v>-3986676</v>
      </c>
      <c r="AI830" s="6"/>
      <c r="AJ830" s="71">
        <v>0</v>
      </c>
      <c r="AK830" s="71">
        <v>0</v>
      </c>
      <c r="AL830" s="72"/>
      <c r="AM830" s="22" t="s">
        <v>1380</v>
      </c>
      <c r="AO830" s="22" t="s">
        <v>463</v>
      </c>
      <c r="AP830" s="23" t="s">
        <v>528</v>
      </c>
      <c r="AQ830" s="22" t="s">
        <v>484</v>
      </c>
      <c r="AR830" s="51" t="str">
        <f t="shared" si="783"/>
        <v>JD8B-F02216-AC</v>
      </c>
      <c r="AS830" s="3"/>
      <c r="AT830" s="22">
        <v>1</v>
      </c>
      <c r="AU830" s="22">
        <v>1</v>
      </c>
      <c r="AV830" s="22">
        <v>1</v>
      </c>
      <c r="AW830" s="22">
        <v>1</v>
      </c>
      <c r="AX830" s="22">
        <v>1</v>
      </c>
      <c r="AY830" s="22">
        <v>1</v>
      </c>
      <c r="AZ830" s="22">
        <v>1</v>
      </c>
      <c r="BA830" s="22">
        <v>1</v>
      </c>
      <c r="BB830" s="64">
        <f t="shared" si="760"/>
        <v>1</v>
      </c>
      <c r="BD830" s="95">
        <v>-59.03</v>
      </c>
      <c r="BE830" s="95">
        <v>-0.61</v>
      </c>
      <c r="BF830" s="95">
        <v>-1.32</v>
      </c>
      <c r="BG830" s="95">
        <v>0</v>
      </c>
      <c r="BH830" s="95">
        <v>0</v>
      </c>
      <c r="BI830" s="8">
        <f t="shared" ref="BI830" si="799">SUM(BD830:BH830)</f>
        <v>-60.96</v>
      </c>
      <c r="BJ830" s="2" t="s">
        <v>91</v>
      </c>
      <c r="BL830" s="96">
        <f>-2540176-21500</f>
        <v>-2561676</v>
      </c>
      <c r="BM830" s="96">
        <f>-2540176-21500</f>
        <v>-2561676</v>
      </c>
      <c r="BN830" s="6"/>
      <c r="BO830" s="71">
        <v>0</v>
      </c>
      <c r="BP830" s="71">
        <v>0</v>
      </c>
      <c r="BQ830" s="72"/>
      <c r="BR830" s="22"/>
      <c r="BS830" s="61">
        <f t="shared" si="751"/>
        <v>-0.97999999999999687</v>
      </c>
      <c r="BT830" s="61">
        <f t="shared" si="752"/>
        <v>0</v>
      </c>
      <c r="BU830" s="61">
        <f t="shared" si="753"/>
        <v>0</v>
      </c>
      <c r="BV830" s="61">
        <f t="shared" si="753"/>
        <v>0</v>
      </c>
      <c r="BW830" s="61">
        <f t="shared" si="753"/>
        <v>0</v>
      </c>
      <c r="BX830" s="61">
        <f t="shared" si="750"/>
        <v>-0.97999999999999687</v>
      </c>
      <c r="BY830" s="61" t="s">
        <v>91</v>
      </c>
      <c r="CA830" s="61">
        <f t="shared" si="789"/>
        <v>-0.14743493305250441</v>
      </c>
      <c r="CB830" s="61">
        <f t="shared" si="787"/>
        <v>-0.14743493305250441</v>
      </c>
      <c r="CC830" s="61">
        <f t="shared" si="787"/>
        <v>-0.14743493305250441</v>
      </c>
      <c r="CD830" s="61">
        <f t="shared" si="787"/>
        <v>-0.14743493305250441</v>
      </c>
      <c r="CE830" s="61">
        <f t="shared" si="787"/>
        <v>-0.14743493305250441</v>
      </c>
      <c r="CF830" s="61">
        <f t="shared" si="787"/>
        <v>-0.14743493305250441</v>
      </c>
      <c r="CG830" s="61">
        <f t="shared" si="787"/>
        <v>-0.14743493305250441</v>
      </c>
      <c r="CH830" s="61">
        <f t="shared" si="787"/>
        <v>-0.14743493305250441</v>
      </c>
      <c r="CI830" s="61">
        <f t="shared" si="738"/>
        <v>-0.14743493305250438</v>
      </c>
      <c r="CJ830" s="61"/>
      <c r="CK830" s="61">
        <f t="shared" si="790"/>
        <v>-0.14743493305250441</v>
      </c>
      <c r="CL830" s="61">
        <f t="shared" si="788"/>
        <v>-0.14743493305250441</v>
      </c>
      <c r="CM830" s="61">
        <f t="shared" si="788"/>
        <v>-0.14743493305250441</v>
      </c>
      <c r="CN830" s="61">
        <f t="shared" si="788"/>
        <v>-0.14743493305250441</v>
      </c>
      <c r="CO830" s="61">
        <f t="shared" si="788"/>
        <v>-0.14743493305250441</v>
      </c>
      <c r="CP830" s="61">
        <f t="shared" si="788"/>
        <v>-0.14743493305250441</v>
      </c>
      <c r="CQ830" s="61">
        <f t="shared" si="788"/>
        <v>-0.14743493305250441</v>
      </c>
      <c r="CR830" s="61">
        <f t="shared" si="788"/>
        <v>-0.14743493305250441</v>
      </c>
      <c r="CS830" s="61">
        <f t="shared" si="739"/>
        <v>-0.14743493305250438</v>
      </c>
      <c r="CT830" s="63">
        <f t="shared" si="740"/>
        <v>-0.97999999999999665</v>
      </c>
      <c r="CV830" s="61">
        <f t="shared" ref="CV830" si="800">SUM(AG830)-SUM(BL830)</f>
        <v>-1425000</v>
      </c>
      <c r="CW830" s="61">
        <f t="shared" ref="CW830:CW831" si="801">SUM(AH830)-SUM(BM830)</f>
        <v>-1425000</v>
      </c>
      <c r="CX830" s="61"/>
      <c r="CY830" s="61">
        <f t="shared" si="777"/>
        <v>0</v>
      </c>
      <c r="CZ830" s="61">
        <f t="shared" si="777"/>
        <v>0</v>
      </c>
      <c r="DA830" s="61">
        <f t="shared" si="777"/>
        <v>0</v>
      </c>
      <c r="DB830" s="2" t="s">
        <v>85</v>
      </c>
      <c r="DC830" s="2" t="s">
        <v>85</v>
      </c>
      <c r="DD830" s="2" t="s">
        <v>87</v>
      </c>
      <c r="DE830" s="2" t="s">
        <v>169</v>
      </c>
      <c r="DF830" s="3" t="s">
        <v>86</v>
      </c>
      <c r="DG830" s="62">
        <v>43103</v>
      </c>
      <c r="EC830" s="60"/>
      <c r="ED830" s="60"/>
      <c r="EE830" s="60"/>
      <c r="EF830" s="60"/>
    </row>
    <row r="831" spans="1:140" ht="12.75" hidden="1" customHeight="1">
      <c r="B831" s="99" t="s">
        <v>1381</v>
      </c>
      <c r="C831" s="22" t="s">
        <v>526</v>
      </c>
      <c r="D831" s="22" t="s">
        <v>527</v>
      </c>
      <c r="E831" s="2" t="str">
        <f>VLOOKUP($C831,[1]Detail!$C:$AK,6,0)</f>
        <v>PMT1</v>
      </c>
      <c r="F831" s="2" t="str">
        <f>VLOOKUP($C831,[1]Detail!$C:$AK,7,0)</f>
        <v>TH</v>
      </c>
      <c r="G831" s="2" t="str">
        <f>VLOOKUP($C831,[1]Detail!$C:$AK,5,0)</f>
        <v>D</v>
      </c>
      <c r="J831" s="22" t="s">
        <v>463</v>
      </c>
      <c r="K831" s="23" t="s">
        <v>528</v>
      </c>
      <c r="L831" s="22" t="s">
        <v>1382</v>
      </c>
      <c r="M831" s="51" t="str">
        <f t="shared" si="722"/>
        <v>JD8B-F02216-AE</v>
      </c>
      <c r="O831" s="22">
        <v>1</v>
      </c>
      <c r="P831" s="22">
        <v>1</v>
      </c>
      <c r="Q831" s="22">
        <v>1</v>
      </c>
      <c r="R831" s="22">
        <v>1</v>
      </c>
      <c r="S831" s="22">
        <v>1</v>
      </c>
      <c r="T831" s="22">
        <v>1</v>
      </c>
      <c r="U831" s="22">
        <v>1</v>
      </c>
      <c r="V831" s="22">
        <v>1</v>
      </c>
      <c r="W831" s="64">
        <f t="shared" si="758"/>
        <v>1</v>
      </c>
      <c r="Y831" s="95">
        <f>-59.03-0.98+0.29</f>
        <v>-59.72</v>
      </c>
      <c r="Z831" s="95">
        <v>-0.61</v>
      </c>
      <c r="AA831" s="95">
        <v>-1.32</v>
      </c>
      <c r="AB831" s="95">
        <v>0</v>
      </c>
      <c r="AC831" s="95">
        <v>0</v>
      </c>
      <c r="AD831" s="8">
        <f t="shared" si="798"/>
        <v>-61.65</v>
      </c>
      <c r="AE831" s="2" t="s">
        <v>91</v>
      </c>
      <c r="AG831" s="96">
        <f>-2540176-21500-1425000-118000</f>
        <v>-4104676</v>
      </c>
      <c r="AH831" s="96">
        <f>-2540176-21500-1425000-118000</f>
        <v>-4104676</v>
      </c>
      <c r="AI831" s="6"/>
      <c r="AJ831" s="71">
        <v>0</v>
      </c>
      <c r="AK831" s="71">
        <v>0</v>
      </c>
      <c r="AL831" s="72"/>
      <c r="AM831" s="22" t="s">
        <v>1380</v>
      </c>
      <c r="AO831" s="22" t="s">
        <v>463</v>
      </c>
      <c r="AP831" s="23" t="s">
        <v>528</v>
      </c>
      <c r="AQ831" s="22" t="s">
        <v>489</v>
      </c>
      <c r="AR831" s="51" t="str">
        <f t="shared" si="783"/>
        <v>JD8B-F02216-AD</v>
      </c>
      <c r="AS831" s="3"/>
      <c r="AT831" s="22">
        <v>1</v>
      </c>
      <c r="AU831" s="22">
        <v>1</v>
      </c>
      <c r="AV831" s="22">
        <v>1</v>
      </c>
      <c r="AW831" s="22">
        <v>1</v>
      </c>
      <c r="AX831" s="22">
        <v>1</v>
      </c>
      <c r="AY831" s="22">
        <v>1</v>
      </c>
      <c r="AZ831" s="22">
        <v>1</v>
      </c>
      <c r="BA831" s="22">
        <v>1</v>
      </c>
      <c r="BB831" s="64">
        <f t="shared" si="760"/>
        <v>1</v>
      </c>
      <c r="BD831" s="95">
        <f>-59.03-0.98</f>
        <v>-60.01</v>
      </c>
      <c r="BE831" s="95">
        <v>-0.61</v>
      </c>
      <c r="BF831" s="95">
        <v>-1.32</v>
      </c>
      <c r="BG831" s="95">
        <v>0</v>
      </c>
      <c r="BH831" s="95">
        <v>0</v>
      </c>
      <c r="BI831" s="8">
        <f t="shared" ref="BI831" si="802">SUM(BD831:BH831)</f>
        <v>-61.94</v>
      </c>
      <c r="BJ831" s="2" t="s">
        <v>91</v>
      </c>
      <c r="BL831" s="96">
        <f>-2540176-21500-1425000</f>
        <v>-3986676</v>
      </c>
      <c r="BM831" s="96">
        <f>-2540176-21500-1425000</f>
        <v>-3986676</v>
      </c>
      <c r="BN831" s="6"/>
      <c r="BO831" s="71">
        <v>0</v>
      </c>
      <c r="BP831" s="71">
        <v>0</v>
      </c>
      <c r="BQ831" s="72"/>
      <c r="BR831" s="22"/>
      <c r="BS831" s="61">
        <f t="shared" si="751"/>
        <v>0.28999999999999915</v>
      </c>
      <c r="BT831" s="61">
        <f t="shared" si="752"/>
        <v>0</v>
      </c>
      <c r="BU831" s="61">
        <f t="shared" si="753"/>
        <v>0</v>
      </c>
      <c r="BV831" s="61">
        <f t="shared" si="753"/>
        <v>0</v>
      </c>
      <c r="BW831" s="61">
        <f t="shared" si="753"/>
        <v>0</v>
      </c>
      <c r="BX831" s="61">
        <f t="shared" si="750"/>
        <v>0.28999999999999915</v>
      </c>
      <c r="BY831" s="61" t="s">
        <v>91</v>
      </c>
      <c r="CA831" s="61">
        <f t="shared" si="789"/>
        <v>4.3628704678802338E-2</v>
      </c>
      <c r="CB831" s="61">
        <f t="shared" si="787"/>
        <v>4.3628704678802338E-2</v>
      </c>
      <c r="CC831" s="61">
        <f t="shared" si="787"/>
        <v>4.3628704678802338E-2</v>
      </c>
      <c r="CD831" s="61">
        <f t="shared" si="787"/>
        <v>4.3628704678802338E-2</v>
      </c>
      <c r="CE831" s="61">
        <f t="shared" si="787"/>
        <v>4.3628704678802338E-2</v>
      </c>
      <c r="CF831" s="61">
        <f t="shared" si="787"/>
        <v>4.3628704678802338E-2</v>
      </c>
      <c r="CG831" s="61">
        <f t="shared" si="787"/>
        <v>4.3628704678802338E-2</v>
      </c>
      <c r="CH831" s="61">
        <f t="shared" si="787"/>
        <v>4.3628704678802338E-2</v>
      </c>
      <c r="CI831" s="61">
        <f t="shared" si="738"/>
        <v>4.3628704678802338E-2</v>
      </c>
      <c r="CJ831" s="61"/>
      <c r="CK831" s="61">
        <f t="shared" si="790"/>
        <v>4.3628704678802338E-2</v>
      </c>
      <c r="CL831" s="61">
        <f t="shared" si="788"/>
        <v>4.3628704678802338E-2</v>
      </c>
      <c r="CM831" s="61">
        <f t="shared" si="788"/>
        <v>4.3628704678802338E-2</v>
      </c>
      <c r="CN831" s="61">
        <f t="shared" si="788"/>
        <v>4.3628704678802338E-2</v>
      </c>
      <c r="CO831" s="61">
        <f t="shared" si="788"/>
        <v>4.3628704678802338E-2</v>
      </c>
      <c r="CP831" s="61">
        <f t="shared" si="788"/>
        <v>4.3628704678802338E-2</v>
      </c>
      <c r="CQ831" s="61">
        <f t="shared" si="788"/>
        <v>4.3628704678802338E-2</v>
      </c>
      <c r="CR831" s="61">
        <f t="shared" si="788"/>
        <v>4.3628704678802338E-2</v>
      </c>
      <c r="CS831" s="61">
        <f t="shared" si="739"/>
        <v>4.3628704678802338E-2</v>
      </c>
      <c r="CT831" s="63">
        <f t="shared" si="740"/>
        <v>0.28999999999999915</v>
      </c>
      <c r="CV831" s="61">
        <f t="shared" ref="CV831" si="803">SUM(AG831)-SUM(BL831)</f>
        <v>-118000</v>
      </c>
      <c r="CW831" s="61">
        <f t="shared" si="801"/>
        <v>-118000</v>
      </c>
      <c r="CX831" s="61"/>
      <c r="CY831" s="61">
        <f t="shared" si="777"/>
        <v>0</v>
      </c>
      <c r="CZ831" s="61">
        <f t="shared" si="777"/>
        <v>0</v>
      </c>
      <c r="DA831" s="61">
        <f t="shared" si="777"/>
        <v>0</v>
      </c>
      <c r="DB831" s="2" t="s">
        <v>86</v>
      </c>
      <c r="DC831" s="2" t="s">
        <v>85</v>
      </c>
      <c r="DD831" s="2" t="s">
        <v>87</v>
      </c>
      <c r="DE831" s="2" t="s">
        <v>106</v>
      </c>
      <c r="DF831" s="3" t="s">
        <v>86</v>
      </c>
      <c r="DG831" s="62">
        <v>43124</v>
      </c>
      <c r="EC831" s="60" t="str">
        <f>VLOOKUP($M831,[1]Detail!$M:$BO,1,0)</f>
        <v>JD8B-F02216-AE</v>
      </c>
      <c r="ED831" s="60">
        <f>VLOOKUP($M831,[1]Detail!$M:$BO,22,0)</f>
        <v>-61.65</v>
      </c>
      <c r="EE831" s="60">
        <f>VLOOKUP($M831,[1]Detail!$M:$BO,42,0)</f>
        <v>-4104676</v>
      </c>
      <c r="EF831" s="60">
        <f>VLOOKUP($M831,[1]Detail!$M:$BO,45,0)</f>
        <v>0</v>
      </c>
      <c r="EH831" s="60">
        <f>ED831-AD831</f>
        <v>0</v>
      </c>
      <c r="EI831" s="60">
        <f>EE831-AG831</f>
        <v>0</v>
      </c>
      <c r="EJ831" s="60">
        <f>EF831-AJ831</f>
        <v>0</v>
      </c>
    </row>
    <row r="832" spans="1:140" ht="12.75" hidden="1" customHeight="1">
      <c r="B832" s="99" t="s">
        <v>1383</v>
      </c>
      <c r="C832" s="22" t="s">
        <v>1384</v>
      </c>
      <c r="D832" s="22" t="s">
        <v>1385</v>
      </c>
      <c r="E832" s="2" t="s">
        <v>968</v>
      </c>
      <c r="F832" s="2" t="s">
        <v>969</v>
      </c>
      <c r="G832" s="2" t="s">
        <v>994</v>
      </c>
      <c r="J832" s="149" t="s">
        <v>128</v>
      </c>
      <c r="K832" s="23" t="s">
        <v>1386</v>
      </c>
      <c r="L832" s="149" t="s">
        <v>1387</v>
      </c>
      <c r="M832" s="51" t="str">
        <f t="shared" si="722"/>
        <v>ED8B-F518A30-AKW</v>
      </c>
      <c r="O832" s="22"/>
      <c r="P832" s="22"/>
      <c r="Q832" s="22"/>
      <c r="R832" s="22"/>
      <c r="S832" s="22"/>
      <c r="T832" s="22"/>
      <c r="U832" s="22">
        <v>1</v>
      </c>
      <c r="V832" s="22">
        <v>1</v>
      </c>
      <c r="W832" s="64">
        <f t="shared" si="758"/>
        <v>0.1</v>
      </c>
      <c r="Y832" s="60">
        <v>-802.63</v>
      </c>
      <c r="Z832" s="60">
        <v>-1.8</v>
      </c>
      <c r="AA832" s="60">
        <v>-1.59</v>
      </c>
      <c r="AB832" s="60">
        <v>-1.69</v>
      </c>
      <c r="AC832" s="60"/>
      <c r="AD832" s="8">
        <f t="shared" si="759"/>
        <v>-807.71</v>
      </c>
      <c r="AE832" s="2" t="s">
        <v>84</v>
      </c>
      <c r="AG832" s="70"/>
      <c r="AH832" s="70"/>
      <c r="AJ832" s="70"/>
      <c r="AK832" s="70"/>
      <c r="AL832" s="72"/>
      <c r="AM832" s="22"/>
      <c r="AO832" s="149" t="s">
        <v>128</v>
      </c>
      <c r="AP832" s="23" t="s">
        <v>1386</v>
      </c>
      <c r="AQ832" s="149" t="s">
        <v>197</v>
      </c>
      <c r="AR832" s="51" t="str">
        <f t="shared" si="783"/>
        <v>ED8B-F518A30-AJW</v>
      </c>
      <c r="AS832" s="3"/>
      <c r="AT832" s="22"/>
      <c r="AU832" s="22"/>
      <c r="AV832" s="22"/>
      <c r="AW832" s="22"/>
      <c r="AX832" s="22"/>
      <c r="AY832" s="22"/>
      <c r="AZ832" s="22">
        <v>1</v>
      </c>
      <c r="BA832" s="22">
        <v>1</v>
      </c>
      <c r="BB832" s="64">
        <f t="shared" si="760"/>
        <v>0.1</v>
      </c>
      <c r="BD832" s="60">
        <v>-802.63</v>
      </c>
      <c r="BE832" s="60">
        <v>-1.8</v>
      </c>
      <c r="BF832" s="60">
        <v>-1.59</v>
      </c>
      <c r="BG832" s="60">
        <v>-1.69</v>
      </c>
      <c r="BH832" s="60"/>
      <c r="BI832" s="8">
        <f t="shared" ref="BI832" si="804">SUM(BD832:BH832)</f>
        <v>-807.71</v>
      </c>
      <c r="BJ832" s="2" t="s">
        <v>84</v>
      </c>
      <c r="BL832" s="70"/>
      <c r="BM832" s="70"/>
      <c r="BO832" s="70"/>
      <c r="BP832" s="70"/>
      <c r="BQ832" s="72"/>
      <c r="BS832" s="61">
        <f t="shared" si="751"/>
        <v>0</v>
      </c>
      <c r="BT832" s="61">
        <f t="shared" si="752"/>
        <v>0</v>
      </c>
      <c r="BU832" s="61">
        <f t="shared" si="753"/>
        <v>0</v>
      </c>
      <c r="BV832" s="61">
        <f t="shared" si="753"/>
        <v>0</v>
      </c>
      <c r="BW832" s="61">
        <f t="shared" si="753"/>
        <v>0</v>
      </c>
      <c r="BX832" s="61">
        <f t="shared" si="750"/>
        <v>0</v>
      </c>
      <c r="BY832" s="61" t="s">
        <v>91</v>
      </c>
      <c r="CA832" s="61">
        <f t="shared" si="789"/>
        <v>0</v>
      </c>
      <c r="CB832" s="61">
        <f t="shared" si="787"/>
        <v>0</v>
      </c>
      <c r="CC832" s="61">
        <f t="shared" si="787"/>
        <v>0</v>
      </c>
      <c r="CD832" s="61">
        <f t="shared" si="787"/>
        <v>0</v>
      </c>
      <c r="CE832" s="61">
        <f t="shared" si="787"/>
        <v>0</v>
      </c>
      <c r="CF832" s="61">
        <f t="shared" si="787"/>
        <v>0</v>
      </c>
      <c r="CG832" s="61">
        <f t="shared" si="787"/>
        <v>0</v>
      </c>
      <c r="CH832" s="61">
        <f t="shared" si="787"/>
        <v>0</v>
      </c>
      <c r="CI832" s="61">
        <f t="shared" si="738"/>
        <v>0</v>
      </c>
      <c r="CJ832" s="61"/>
      <c r="CK832" s="61">
        <f t="shared" si="790"/>
        <v>0</v>
      </c>
      <c r="CL832" s="61">
        <f t="shared" si="788"/>
        <v>0</v>
      </c>
      <c r="CM832" s="61">
        <f t="shared" si="788"/>
        <v>0</v>
      </c>
      <c r="CN832" s="61">
        <f t="shared" si="788"/>
        <v>0</v>
      </c>
      <c r="CO832" s="61">
        <f t="shared" si="788"/>
        <v>0</v>
      </c>
      <c r="CP832" s="61">
        <f t="shared" si="788"/>
        <v>0</v>
      </c>
      <c r="CQ832" s="61">
        <f t="shared" si="788"/>
        <v>0</v>
      </c>
      <c r="CR832" s="61">
        <f t="shared" si="788"/>
        <v>0</v>
      </c>
      <c r="CS832" s="61">
        <f t="shared" si="739"/>
        <v>0</v>
      </c>
      <c r="CT832" s="61">
        <f t="shared" si="740"/>
        <v>0</v>
      </c>
      <c r="CV832" s="61">
        <f t="shared" si="775"/>
        <v>0</v>
      </c>
      <c r="CW832" s="61">
        <f t="shared" si="776"/>
        <v>0</v>
      </c>
      <c r="CX832" s="61"/>
      <c r="CY832" s="61">
        <f t="shared" si="777"/>
        <v>0</v>
      </c>
      <c r="CZ832" s="61">
        <f t="shared" si="777"/>
        <v>0</v>
      </c>
      <c r="DA832" s="61">
        <f t="shared" si="777"/>
        <v>0</v>
      </c>
      <c r="DB832" s="2" t="s">
        <v>85</v>
      </c>
      <c r="DC832" s="2" t="s">
        <v>85</v>
      </c>
      <c r="DD832" s="2" t="s">
        <v>87</v>
      </c>
      <c r="DE832" s="2" t="s">
        <v>264</v>
      </c>
      <c r="DF832" s="3" t="s">
        <v>86</v>
      </c>
      <c r="DG832" s="58">
        <v>43042</v>
      </c>
      <c r="EC832" s="60"/>
      <c r="ED832" s="60"/>
      <c r="EE832" s="60"/>
      <c r="EF832" s="60"/>
    </row>
    <row r="833" spans="2:140" ht="12.75" hidden="1" customHeight="1">
      <c r="B833" s="99" t="s">
        <v>1388</v>
      </c>
      <c r="C833" s="22" t="s">
        <v>1384</v>
      </c>
      <c r="D833" s="22" t="s">
        <v>1385</v>
      </c>
      <c r="E833" s="2" t="s">
        <v>968</v>
      </c>
      <c r="F833" s="2" t="s">
        <v>969</v>
      </c>
      <c r="G833" s="2" t="s">
        <v>994</v>
      </c>
      <c r="J833" s="149" t="s">
        <v>128</v>
      </c>
      <c r="K833" s="23" t="s">
        <v>1386</v>
      </c>
      <c r="L833" s="149" t="s">
        <v>1387</v>
      </c>
      <c r="M833" s="51" t="str">
        <f t="shared" si="722"/>
        <v>ED8B-F518A30-AKW</v>
      </c>
      <c r="O833" s="22"/>
      <c r="P833" s="22"/>
      <c r="Q833" s="22"/>
      <c r="R833" s="22"/>
      <c r="S833" s="22"/>
      <c r="T833" s="22"/>
      <c r="U833" s="22">
        <v>1</v>
      </c>
      <c r="V833" s="22">
        <v>1</v>
      </c>
      <c r="W833" s="64">
        <f t="shared" si="758"/>
        <v>0.1</v>
      </c>
      <c r="Y833" s="60">
        <f>-0.45-802.63</f>
        <v>-803.08</v>
      </c>
      <c r="Z833" s="60">
        <v>-1.8</v>
      </c>
      <c r="AA833" s="60">
        <v>-1.59</v>
      </c>
      <c r="AB833" s="60">
        <v>-1.69</v>
      </c>
      <c r="AC833" s="60"/>
      <c r="AD833" s="8">
        <f t="shared" ref="AD833:AD834" si="805">SUM(Y833:AC833)</f>
        <v>-808.16000000000008</v>
      </c>
      <c r="AE833" s="2" t="s">
        <v>84</v>
      </c>
      <c r="AG833" s="70"/>
      <c r="AH833" s="70"/>
      <c r="AJ833" s="70"/>
      <c r="AK833" s="70"/>
      <c r="AL833" s="72"/>
      <c r="AM833" s="22"/>
      <c r="AO833" s="149" t="s">
        <v>128</v>
      </c>
      <c r="AP833" s="23" t="s">
        <v>1386</v>
      </c>
      <c r="AQ833" s="149" t="s">
        <v>1387</v>
      </c>
      <c r="AR833" s="51" t="str">
        <f t="shared" si="783"/>
        <v>ED8B-F518A30-AKW</v>
      </c>
      <c r="AS833" s="3"/>
      <c r="AT833" s="22"/>
      <c r="AU833" s="22"/>
      <c r="AV833" s="22"/>
      <c r="AW833" s="22"/>
      <c r="AX833" s="22"/>
      <c r="AY833" s="22"/>
      <c r="AZ833" s="22">
        <v>1</v>
      </c>
      <c r="BA833" s="22">
        <v>1</v>
      </c>
      <c r="BB833" s="64">
        <f t="shared" si="760"/>
        <v>0.1</v>
      </c>
      <c r="BD833" s="60">
        <v>-802.63</v>
      </c>
      <c r="BE833" s="60">
        <v>-1.8</v>
      </c>
      <c r="BF833" s="60">
        <v>-1.59</v>
      </c>
      <c r="BG833" s="60">
        <v>-1.69</v>
      </c>
      <c r="BH833" s="60"/>
      <c r="BI833" s="8">
        <f t="shared" ref="BI833" si="806">SUM(BD833:BH833)</f>
        <v>-807.71</v>
      </c>
      <c r="BJ833" s="2" t="s">
        <v>84</v>
      </c>
      <c r="BL833" s="70"/>
      <c r="BM833" s="70"/>
      <c r="BO833" s="70"/>
      <c r="BP833" s="70"/>
      <c r="BQ833" s="72"/>
      <c r="BS833" s="61">
        <f t="shared" si="751"/>
        <v>-0.45000000000004547</v>
      </c>
      <c r="BT833" s="61">
        <f t="shared" si="752"/>
        <v>0</v>
      </c>
      <c r="BU833" s="61">
        <f t="shared" si="753"/>
        <v>0</v>
      </c>
      <c r="BV833" s="61">
        <f t="shared" si="753"/>
        <v>0</v>
      </c>
      <c r="BW833" s="61">
        <f t="shared" si="753"/>
        <v>0</v>
      </c>
      <c r="BX833" s="61">
        <f t="shared" si="750"/>
        <v>-0.45000000000004547</v>
      </c>
      <c r="BY833" s="61" t="s">
        <v>91</v>
      </c>
      <c r="CA833" s="61">
        <f t="shared" si="789"/>
        <v>0</v>
      </c>
      <c r="CB833" s="61">
        <f t="shared" si="787"/>
        <v>0</v>
      </c>
      <c r="CC833" s="61">
        <f t="shared" si="787"/>
        <v>0</v>
      </c>
      <c r="CD833" s="61">
        <f t="shared" si="787"/>
        <v>0</v>
      </c>
      <c r="CE833" s="61">
        <f t="shared" si="787"/>
        <v>0</v>
      </c>
      <c r="CF833" s="61">
        <f t="shared" si="787"/>
        <v>0</v>
      </c>
      <c r="CG833" s="61">
        <f t="shared" si="787"/>
        <v>-6.7699714156769286E-2</v>
      </c>
      <c r="CH833" s="61">
        <f t="shared" si="787"/>
        <v>-6.7699714156769286E-2</v>
      </c>
      <c r="CI833" s="61">
        <f t="shared" si="738"/>
        <v>-6.7699714156769291E-3</v>
      </c>
      <c r="CJ833" s="61"/>
      <c r="CK833" s="61">
        <f t="shared" si="790"/>
        <v>0</v>
      </c>
      <c r="CL833" s="61">
        <f t="shared" si="788"/>
        <v>0</v>
      </c>
      <c r="CM833" s="61">
        <f t="shared" si="788"/>
        <v>0</v>
      </c>
      <c r="CN833" s="61">
        <f t="shared" si="788"/>
        <v>0</v>
      </c>
      <c r="CO833" s="61">
        <f t="shared" si="788"/>
        <v>0</v>
      </c>
      <c r="CP833" s="61">
        <f t="shared" si="788"/>
        <v>0</v>
      </c>
      <c r="CQ833" s="61">
        <f t="shared" si="788"/>
        <v>-6.7699714156769286E-2</v>
      </c>
      <c r="CR833" s="61">
        <f t="shared" si="788"/>
        <v>-6.7699714156769286E-2</v>
      </c>
      <c r="CS833" s="61">
        <f t="shared" si="739"/>
        <v>-6.7699714156769291E-3</v>
      </c>
      <c r="CT833" s="61">
        <f t="shared" si="740"/>
        <v>-4.500000000000455E-2</v>
      </c>
      <c r="CV833" s="61">
        <f t="shared" ref="CV833" si="807">SUM(AG833)-SUM(BL833)</f>
        <v>0</v>
      </c>
      <c r="CW833" s="61">
        <f t="shared" ref="CW833:CW834" si="808">SUM(AH833)-SUM(BM833)</f>
        <v>0</v>
      </c>
      <c r="CX833" s="61"/>
      <c r="CY833" s="61">
        <f t="shared" si="777"/>
        <v>0</v>
      </c>
      <c r="CZ833" s="61">
        <f t="shared" si="777"/>
        <v>0</v>
      </c>
      <c r="DA833" s="61">
        <f t="shared" si="777"/>
        <v>0</v>
      </c>
      <c r="DB833" s="2" t="s">
        <v>85</v>
      </c>
      <c r="DC833" s="2" t="s">
        <v>85</v>
      </c>
      <c r="DD833" s="2" t="s">
        <v>87</v>
      </c>
      <c r="DE833" s="2" t="s">
        <v>106</v>
      </c>
      <c r="DG833" s="58"/>
      <c r="DZ833" s="3" t="e">
        <v>#N/A</v>
      </c>
      <c r="EC833" s="60"/>
      <c r="ED833" s="60"/>
      <c r="EE833" s="60"/>
      <c r="EF833" s="60"/>
    </row>
    <row r="834" spans="2:140" ht="12.75" hidden="1" customHeight="1">
      <c r="B834" s="99" t="s">
        <v>1389</v>
      </c>
      <c r="C834" s="22" t="s">
        <v>1384</v>
      </c>
      <c r="D834" s="22" t="s">
        <v>1385</v>
      </c>
      <c r="E834" s="2" t="s">
        <v>968</v>
      </c>
      <c r="F834" s="2" t="s">
        <v>969</v>
      </c>
      <c r="G834" s="2" t="s">
        <v>994</v>
      </c>
      <c r="J834" s="149" t="s">
        <v>128</v>
      </c>
      <c r="K834" s="23" t="s">
        <v>1386</v>
      </c>
      <c r="L834" s="149" t="s">
        <v>1390</v>
      </c>
      <c r="M834" s="51" t="str">
        <f t="shared" si="722"/>
        <v>ED8B-F518A30-ALW</v>
      </c>
      <c r="O834" s="22"/>
      <c r="P834" s="22"/>
      <c r="Q834" s="22"/>
      <c r="R834" s="22"/>
      <c r="S834" s="22"/>
      <c r="T834" s="22"/>
      <c r="U834" s="22">
        <v>1</v>
      </c>
      <c r="V834" s="22">
        <v>1</v>
      </c>
      <c r="W834" s="64">
        <f t="shared" si="758"/>
        <v>0.1</v>
      </c>
      <c r="Y834" s="60">
        <f>-0.45-802.63</f>
        <v>-803.08</v>
      </c>
      <c r="Z834" s="60">
        <v>-1.8</v>
      </c>
      <c r="AA834" s="60">
        <v>-1.59</v>
      </c>
      <c r="AB834" s="60">
        <v>-1.69</v>
      </c>
      <c r="AC834" s="60"/>
      <c r="AD834" s="8">
        <f t="shared" si="805"/>
        <v>-808.16000000000008</v>
      </c>
      <c r="AE834" s="2" t="s">
        <v>84</v>
      </c>
      <c r="AG834" s="70"/>
      <c r="AH834" s="70"/>
      <c r="AJ834" s="70"/>
      <c r="AK834" s="70"/>
      <c r="AL834" s="72"/>
      <c r="AM834" s="22"/>
      <c r="AO834" s="149" t="s">
        <v>128</v>
      </c>
      <c r="AP834" s="23" t="s">
        <v>1386</v>
      </c>
      <c r="AQ834" s="149" t="s">
        <v>1387</v>
      </c>
      <c r="AR834" s="51" t="str">
        <f t="shared" si="783"/>
        <v>ED8B-F518A30-AKW</v>
      </c>
      <c r="AS834" s="3"/>
      <c r="AT834" s="22"/>
      <c r="AU834" s="22"/>
      <c r="AV834" s="22"/>
      <c r="AW834" s="22"/>
      <c r="AX834" s="22"/>
      <c r="AY834" s="22"/>
      <c r="AZ834" s="22">
        <v>1</v>
      </c>
      <c r="BA834" s="22">
        <v>1</v>
      </c>
      <c r="BB834" s="64">
        <f t="shared" si="760"/>
        <v>0.1</v>
      </c>
      <c r="BD834" s="60">
        <f>-0.45-802.63</f>
        <v>-803.08</v>
      </c>
      <c r="BE834" s="60">
        <v>-1.8</v>
      </c>
      <c r="BF834" s="60">
        <v>-1.59</v>
      </c>
      <c r="BG834" s="60">
        <v>-1.69</v>
      </c>
      <c r="BH834" s="60"/>
      <c r="BI834" s="8">
        <f t="shared" ref="BI834" si="809">SUM(BD834:BH834)</f>
        <v>-808.16000000000008</v>
      </c>
      <c r="BJ834" s="2" t="s">
        <v>84</v>
      </c>
      <c r="BL834" s="70"/>
      <c r="BM834" s="70"/>
      <c r="BO834" s="70"/>
      <c r="BP834" s="70"/>
      <c r="BQ834" s="72"/>
      <c r="BS834" s="61">
        <f t="shared" si="751"/>
        <v>0</v>
      </c>
      <c r="BT834" s="61">
        <f t="shared" si="752"/>
        <v>0</v>
      </c>
      <c r="BU834" s="61">
        <f t="shared" si="753"/>
        <v>0</v>
      </c>
      <c r="BV834" s="61">
        <f t="shared" si="753"/>
        <v>0</v>
      </c>
      <c r="BW834" s="61">
        <f t="shared" si="753"/>
        <v>0</v>
      </c>
      <c r="BX834" s="61">
        <f t="shared" si="750"/>
        <v>0</v>
      </c>
      <c r="BY834" s="61" t="s">
        <v>91</v>
      </c>
      <c r="CA834" s="61">
        <f t="shared" si="789"/>
        <v>0</v>
      </c>
      <c r="CB834" s="61">
        <f t="shared" si="787"/>
        <v>0</v>
      </c>
      <c r="CC834" s="61">
        <f t="shared" si="787"/>
        <v>0</v>
      </c>
      <c r="CD834" s="61">
        <f t="shared" si="787"/>
        <v>0</v>
      </c>
      <c r="CE834" s="61">
        <f t="shared" si="787"/>
        <v>0</v>
      </c>
      <c r="CF834" s="61">
        <f t="shared" si="787"/>
        <v>0</v>
      </c>
      <c r="CG834" s="61">
        <f t="shared" si="787"/>
        <v>0</v>
      </c>
      <c r="CH834" s="61">
        <f t="shared" si="787"/>
        <v>0</v>
      </c>
      <c r="CI834" s="61">
        <f t="shared" si="738"/>
        <v>0</v>
      </c>
      <c r="CJ834" s="61"/>
      <c r="CK834" s="61">
        <f t="shared" si="790"/>
        <v>0</v>
      </c>
      <c r="CL834" s="61">
        <f t="shared" si="788"/>
        <v>0</v>
      </c>
      <c r="CM834" s="61">
        <f t="shared" si="788"/>
        <v>0</v>
      </c>
      <c r="CN834" s="61">
        <f t="shared" si="788"/>
        <v>0</v>
      </c>
      <c r="CO834" s="61">
        <f t="shared" si="788"/>
        <v>0</v>
      </c>
      <c r="CP834" s="61">
        <f t="shared" si="788"/>
        <v>0</v>
      </c>
      <c r="CQ834" s="61">
        <f t="shared" si="788"/>
        <v>0</v>
      </c>
      <c r="CR834" s="61">
        <f t="shared" si="788"/>
        <v>0</v>
      </c>
      <c r="CS834" s="61">
        <f t="shared" si="739"/>
        <v>0</v>
      </c>
      <c r="CT834" s="61">
        <f t="shared" si="740"/>
        <v>0</v>
      </c>
      <c r="CV834" s="61">
        <f t="shared" ref="CV834" si="810">SUM(AG834)-SUM(BL834)</f>
        <v>0</v>
      </c>
      <c r="CW834" s="61">
        <f t="shared" si="808"/>
        <v>0</v>
      </c>
      <c r="CX834" s="61"/>
      <c r="CY834" s="61">
        <f t="shared" si="777"/>
        <v>0</v>
      </c>
      <c r="CZ834" s="61">
        <f t="shared" si="777"/>
        <v>0</v>
      </c>
      <c r="DA834" s="61">
        <f t="shared" si="777"/>
        <v>0</v>
      </c>
      <c r="DB834" s="2" t="s">
        <v>86</v>
      </c>
      <c r="DC834" s="2" t="s">
        <v>85</v>
      </c>
      <c r="DD834" s="2" t="s">
        <v>87</v>
      </c>
      <c r="DE834" s="2" t="s">
        <v>106</v>
      </c>
      <c r="DF834" s="3" t="s">
        <v>118</v>
      </c>
      <c r="DG834" s="62">
        <v>43097</v>
      </c>
      <c r="EC834" s="60" t="str">
        <f>VLOOKUP($M834,[1]Detail!$M:$BO,1,0)</f>
        <v>ED8B-F518A30-ALW</v>
      </c>
      <c r="ED834" s="60">
        <f>VLOOKUP($M834,[1]Detail!$M:$BO,22,0)</f>
        <v>-808.16000000000008</v>
      </c>
      <c r="EE834" s="60">
        <f>VLOOKUP($M834,[1]Detail!$M:$BO,42,0)</f>
        <v>0</v>
      </c>
      <c r="EF834" s="60">
        <f>VLOOKUP($M834,[1]Detail!$M:$BO,45,0)</f>
        <v>0</v>
      </c>
      <c r="EH834" s="60">
        <f>ED834-AD834</f>
        <v>0</v>
      </c>
      <c r="EI834" s="60">
        <f>EE834-AG834</f>
        <v>0</v>
      </c>
      <c r="EJ834" s="60">
        <f>EF834-AJ834</f>
        <v>0</v>
      </c>
    </row>
    <row r="835" spans="2:140" ht="12.75" hidden="1" customHeight="1">
      <c r="B835" s="99" t="s">
        <v>1391</v>
      </c>
      <c r="C835" s="22" t="s">
        <v>1239</v>
      </c>
      <c r="D835" s="22" t="s">
        <v>1240</v>
      </c>
      <c r="E835" s="2" t="s">
        <v>993</v>
      </c>
      <c r="F835" s="2" t="s">
        <v>969</v>
      </c>
      <c r="G835" s="2" t="s">
        <v>994</v>
      </c>
      <c r="J835" s="149" t="s">
        <v>126</v>
      </c>
      <c r="K835" s="23">
        <v>3600</v>
      </c>
      <c r="L835" s="149" t="s">
        <v>216</v>
      </c>
      <c r="M835" s="51" t="str">
        <f t="shared" si="722"/>
        <v>JD8B-3600-CCW</v>
      </c>
      <c r="O835" s="22"/>
      <c r="P835" s="22"/>
      <c r="Q835" s="22"/>
      <c r="R835" s="22"/>
      <c r="S835" s="22">
        <v>1</v>
      </c>
      <c r="T835" s="22">
        <v>1</v>
      </c>
      <c r="U835" s="22">
        <v>1</v>
      </c>
      <c r="V835" s="22">
        <v>1</v>
      </c>
      <c r="W835" s="64">
        <f t="shared" si="758"/>
        <v>0.33</v>
      </c>
      <c r="Y835" s="60">
        <v>-257.64999999999998</v>
      </c>
      <c r="Z835" s="60">
        <v>-2.31</v>
      </c>
      <c r="AA835" s="60"/>
      <c r="AB835" s="60"/>
      <c r="AC835" s="60">
        <v>-5.42</v>
      </c>
      <c r="AD835" s="8">
        <f t="shared" si="759"/>
        <v>-265.38</v>
      </c>
      <c r="AE835" s="2" t="s">
        <v>84</v>
      </c>
      <c r="AG835" s="70">
        <v>-474200</v>
      </c>
      <c r="AH835" s="70">
        <v>-474200</v>
      </c>
      <c r="AJ835" s="70">
        <v>-4613877</v>
      </c>
      <c r="AK835" s="70">
        <f>AJ835/AC835</f>
        <v>851268.8191881919</v>
      </c>
      <c r="AL835" s="72"/>
      <c r="AM835" s="22"/>
      <c r="AO835" s="149" t="s">
        <v>126</v>
      </c>
      <c r="AP835" s="23">
        <v>3600</v>
      </c>
      <c r="AQ835" s="149" t="s">
        <v>211</v>
      </c>
      <c r="AR835" s="51" t="str">
        <f t="shared" si="783"/>
        <v>JD8B-3600-CBW</v>
      </c>
      <c r="AS835" s="3"/>
      <c r="AT835" s="22"/>
      <c r="AU835" s="22"/>
      <c r="AV835" s="22"/>
      <c r="AW835" s="22"/>
      <c r="AX835" s="22">
        <v>1</v>
      </c>
      <c r="AY835" s="22">
        <v>1</v>
      </c>
      <c r="AZ835" s="22">
        <v>1</v>
      </c>
      <c r="BA835" s="22">
        <v>1</v>
      </c>
      <c r="BB835" s="64">
        <f t="shared" si="760"/>
        <v>0.33</v>
      </c>
      <c r="BD835" s="60">
        <v>-257.64999999999998</v>
      </c>
      <c r="BE835" s="60">
        <v>-2.31</v>
      </c>
      <c r="BF835" s="60"/>
      <c r="BG835" s="60"/>
      <c r="BH835" s="60">
        <v>-5.42</v>
      </c>
      <c r="BI835" s="8">
        <f t="shared" si="774"/>
        <v>-265.38</v>
      </c>
      <c r="BJ835" s="2" t="s">
        <v>84</v>
      </c>
      <c r="BL835" s="70">
        <v>-432200</v>
      </c>
      <c r="BM835" s="70">
        <v>-432200</v>
      </c>
      <c r="BO835" s="70">
        <v>-4613877</v>
      </c>
      <c r="BP835" s="70">
        <f>BO835/BH835</f>
        <v>851268.8191881919</v>
      </c>
      <c r="BQ835" s="72"/>
      <c r="BS835" s="61">
        <f t="shared" si="751"/>
        <v>0</v>
      </c>
      <c r="BT835" s="61">
        <f t="shared" si="752"/>
        <v>0</v>
      </c>
      <c r="BU835" s="61">
        <f t="shared" si="753"/>
        <v>0</v>
      </c>
      <c r="BV835" s="61">
        <f t="shared" si="753"/>
        <v>0</v>
      </c>
      <c r="BW835" s="61">
        <f t="shared" si="753"/>
        <v>0</v>
      </c>
      <c r="BX835" s="61">
        <f t="shared" si="750"/>
        <v>0</v>
      </c>
      <c r="BY835" s="61" t="s">
        <v>91</v>
      </c>
      <c r="CA835" s="61">
        <f t="shared" si="789"/>
        <v>0</v>
      </c>
      <c r="CB835" s="61">
        <f t="shared" si="787"/>
        <v>0</v>
      </c>
      <c r="CC835" s="61">
        <f t="shared" si="787"/>
        <v>0</v>
      </c>
      <c r="CD835" s="61">
        <f t="shared" si="787"/>
        <v>0</v>
      </c>
      <c r="CE835" s="61">
        <f t="shared" si="787"/>
        <v>0</v>
      </c>
      <c r="CF835" s="61">
        <f t="shared" si="787"/>
        <v>0</v>
      </c>
      <c r="CG835" s="61">
        <f t="shared" si="787"/>
        <v>0</v>
      </c>
      <c r="CH835" s="61">
        <f t="shared" si="787"/>
        <v>0</v>
      </c>
      <c r="CI835" s="61">
        <f t="shared" si="738"/>
        <v>0</v>
      </c>
      <c r="CJ835" s="61"/>
      <c r="CK835" s="61">
        <f t="shared" si="790"/>
        <v>0</v>
      </c>
      <c r="CL835" s="61">
        <f t="shared" si="788"/>
        <v>0</v>
      </c>
      <c r="CM835" s="61">
        <f t="shared" si="788"/>
        <v>0</v>
      </c>
      <c r="CN835" s="61">
        <f t="shared" si="788"/>
        <v>0</v>
      </c>
      <c r="CO835" s="61">
        <f t="shared" si="788"/>
        <v>0</v>
      </c>
      <c r="CP835" s="61">
        <f t="shared" si="788"/>
        <v>0</v>
      </c>
      <c r="CQ835" s="61">
        <f t="shared" si="788"/>
        <v>0</v>
      </c>
      <c r="CR835" s="61">
        <f t="shared" si="788"/>
        <v>0</v>
      </c>
      <c r="CS835" s="61">
        <f t="shared" si="739"/>
        <v>0</v>
      </c>
      <c r="CT835" s="61">
        <f t="shared" si="740"/>
        <v>0</v>
      </c>
      <c r="CV835" s="61">
        <f t="shared" si="775"/>
        <v>-42000</v>
      </c>
      <c r="CW835" s="61">
        <f t="shared" si="776"/>
        <v>-42000</v>
      </c>
      <c r="CX835" s="61"/>
      <c r="CY835" s="61">
        <f t="shared" si="777"/>
        <v>0</v>
      </c>
      <c r="CZ835" s="61">
        <f t="shared" si="777"/>
        <v>0</v>
      </c>
      <c r="DA835" s="61">
        <f t="shared" si="777"/>
        <v>0</v>
      </c>
      <c r="DB835" s="2" t="s">
        <v>85</v>
      </c>
      <c r="DC835" s="2" t="s">
        <v>85</v>
      </c>
      <c r="DD835" s="2" t="s">
        <v>87</v>
      </c>
      <c r="DE835" s="2" t="s">
        <v>264</v>
      </c>
      <c r="DG835" s="62"/>
      <c r="DZ835" s="3" t="e">
        <v>#N/A</v>
      </c>
      <c r="EC835" s="60"/>
      <c r="ED835" s="60"/>
      <c r="EE835" s="60"/>
      <c r="EF835" s="60"/>
    </row>
    <row r="836" spans="2:140" ht="12.75" hidden="1" customHeight="1">
      <c r="B836" s="99" t="s">
        <v>1392</v>
      </c>
      <c r="C836" s="2" t="s">
        <v>1393</v>
      </c>
      <c r="D836" s="1" t="s">
        <v>1394</v>
      </c>
      <c r="E836" s="1" t="s">
        <v>523</v>
      </c>
      <c r="F836" s="2" t="s">
        <v>969</v>
      </c>
      <c r="G836" s="2" t="s">
        <v>994</v>
      </c>
      <c r="J836" s="149" t="s">
        <v>286</v>
      </c>
      <c r="K836" s="23" t="s">
        <v>1395</v>
      </c>
      <c r="L836" s="149" t="s">
        <v>100</v>
      </c>
      <c r="M836" s="51" t="str">
        <f t="shared" si="722"/>
        <v>JD8G-12B591-AA</v>
      </c>
      <c r="O836" s="22">
        <v>1</v>
      </c>
      <c r="P836" s="22">
        <v>1</v>
      </c>
      <c r="Q836" s="22">
        <v>1</v>
      </c>
      <c r="R836" s="22">
        <v>1</v>
      </c>
      <c r="S836" s="22"/>
      <c r="T836" s="22"/>
      <c r="U836" s="22">
        <v>1</v>
      </c>
      <c r="V836" s="22"/>
      <c r="W836" s="64">
        <f t="shared" si="758"/>
        <v>0.72000000000000008</v>
      </c>
      <c r="Y836" s="60">
        <v>-70.959999999999994</v>
      </c>
      <c r="Z836" s="60">
        <v>-0.6</v>
      </c>
      <c r="AA836" s="60">
        <v>-1.4</v>
      </c>
      <c r="AB836" s="60"/>
      <c r="AC836" s="60"/>
      <c r="AD836" s="8">
        <f t="shared" si="759"/>
        <v>-72.959999999999994</v>
      </c>
      <c r="AE836" s="2" t="s">
        <v>84</v>
      </c>
      <c r="AG836" s="70"/>
      <c r="AH836" s="70"/>
      <c r="AJ836" s="70"/>
      <c r="AK836" s="70"/>
      <c r="AL836" s="72"/>
      <c r="AM836" s="22"/>
      <c r="AO836" s="149" t="s">
        <v>286</v>
      </c>
      <c r="AP836" s="23" t="s">
        <v>1395</v>
      </c>
      <c r="AQ836" s="149" t="s">
        <v>100</v>
      </c>
      <c r="AR836" s="51" t="str">
        <f t="shared" si="783"/>
        <v>JD8G-12B591-AA</v>
      </c>
      <c r="AS836" s="3"/>
      <c r="AT836" s="22">
        <v>1</v>
      </c>
      <c r="AU836" s="22">
        <v>1</v>
      </c>
      <c r="AV836" s="22">
        <v>1</v>
      </c>
      <c r="AW836" s="22">
        <v>1</v>
      </c>
      <c r="AX836" s="22"/>
      <c r="AY836" s="22"/>
      <c r="AZ836" s="22">
        <v>1</v>
      </c>
      <c r="BA836" s="22"/>
      <c r="BB836" s="64">
        <f t="shared" si="760"/>
        <v>0.72000000000000008</v>
      </c>
      <c r="BD836" s="60">
        <v>-70.959999999999994</v>
      </c>
      <c r="BE836" s="60">
        <v>-0.6</v>
      </c>
      <c r="BF836" s="60">
        <v>-1.4</v>
      </c>
      <c r="BG836" s="60"/>
      <c r="BH836" s="60"/>
      <c r="BI836" s="8">
        <f t="shared" si="774"/>
        <v>-72.959999999999994</v>
      </c>
      <c r="BJ836" s="2" t="s">
        <v>84</v>
      </c>
      <c r="BL836" s="70"/>
      <c r="BM836" s="70"/>
      <c r="BO836" s="70"/>
      <c r="BP836" s="70"/>
      <c r="BQ836" s="72"/>
      <c r="BS836" s="61">
        <f t="shared" si="751"/>
        <v>0</v>
      </c>
      <c r="BT836" s="61">
        <f t="shared" si="752"/>
        <v>0</v>
      </c>
      <c r="BU836" s="61">
        <f t="shared" si="753"/>
        <v>0</v>
      </c>
      <c r="BV836" s="61">
        <f t="shared" si="753"/>
        <v>0</v>
      </c>
      <c r="BW836" s="61">
        <f t="shared" si="753"/>
        <v>0</v>
      </c>
      <c r="BX836" s="61">
        <f t="shared" si="750"/>
        <v>0</v>
      </c>
      <c r="BY836" s="61" t="s">
        <v>91</v>
      </c>
      <c r="CA836" s="61">
        <f t="shared" si="789"/>
        <v>0</v>
      </c>
      <c r="CB836" s="61">
        <f t="shared" si="787"/>
        <v>0</v>
      </c>
      <c r="CC836" s="61">
        <f t="shared" si="787"/>
        <v>0</v>
      </c>
      <c r="CD836" s="61">
        <f t="shared" si="787"/>
        <v>0</v>
      </c>
      <c r="CE836" s="61">
        <f t="shared" si="787"/>
        <v>0</v>
      </c>
      <c r="CF836" s="61">
        <f t="shared" si="787"/>
        <v>0</v>
      </c>
      <c r="CG836" s="61">
        <f t="shared" si="787"/>
        <v>0</v>
      </c>
      <c r="CH836" s="61">
        <f t="shared" si="787"/>
        <v>0</v>
      </c>
      <c r="CI836" s="61">
        <f t="shared" si="738"/>
        <v>0</v>
      </c>
      <c r="CJ836" s="61"/>
      <c r="CK836" s="61">
        <f t="shared" si="790"/>
        <v>0</v>
      </c>
      <c r="CL836" s="61">
        <f t="shared" si="788"/>
        <v>0</v>
      </c>
      <c r="CM836" s="61">
        <f t="shared" si="788"/>
        <v>0</v>
      </c>
      <c r="CN836" s="61">
        <f t="shared" si="788"/>
        <v>0</v>
      </c>
      <c r="CO836" s="61">
        <f t="shared" si="788"/>
        <v>0</v>
      </c>
      <c r="CP836" s="61">
        <f t="shared" si="788"/>
        <v>0</v>
      </c>
      <c r="CQ836" s="61">
        <f t="shared" si="788"/>
        <v>0</v>
      </c>
      <c r="CR836" s="61">
        <f t="shared" si="788"/>
        <v>0</v>
      </c>
      <c r="CS836" s="61">
        <f t="shared" si="739"/>
        <v>0</v>
      </c>
      <c r="CT836" s="61">
        <f t="shared" si="740"/>
        <v>0</v>
      </c>
      <c r="CV836" s="61">
        <f t="shared" si="775"/>
        <v>0</v>
      </c>
      <c r="CW836" s="61">
        <f t="shared" si="776"/>
        <v>0</v>
      </c>
      <c r="CX836" s="61"/>
      <c r="CY836" s="61">
        <f t="shared" si="777"/>
        <v>0</v>
      </c>
      <c r="CZ836" s="61">
        <f t="shared" si="777"/>
        <v>0</v>
      </c>
      <c r="DA836" s="61">
        <f t="shared" si="777"/>
        <v>0</v>
      </c>
      <c r="DB836" s="2" t="s">
        <v>86</v>
      </c>
      <c r="DC836" s="2" t="s">
        <v>86</v>
      </c>
      <c r="DD836" s="2" t="s">
        <v>87</v>
      </c>
      <c r="DE836" s="2" t="s">
        <v>264</v>
      </c>
      <c r="DG836" s="62"/>
      <c r="DZ836" s="3" t="e">
        <v>#N/A</v>
      </c>
      <c r="EC836" s="60" t="str">
        <f>VLOOKUP($M836,[1]Detail!$M:$BO,1,0)</f>
        <v>JD8G-12B591-AA</v>
      </c>
      <c r="ED836" s="60">
        <f>VLOOKUP($M836,[1]Detail!$M:$BO,22,0)</f>
        <v>-72.959999999999994</v>
      </c>
      <c r="EE836" s="60">
        <f>VLOOKUP($M836,[1]Detail!$M:$BO,42,0)</f>
        <v>0</v>
      </c>
      <c r="EF836" s="60">
        <f>VLOOKUP($M836,[1]Detail!$M:$BO,45,0)</f>
        <v>0</v>
      </c>
      <c r="EH836" s="60">
        <f t="shared" ref="EH836:EH837" si="811">ED836-AD836</f>
        <v>0</v>
      </c>
      <c r="EI836" s="60">
        <f t="shared" ref="EI836:EI837" si="812">EE836-AG836</f>
        <v>0</v>
      </c>
      <c r="EJ836" s="60">
        <f t="shared" ref="EJ836:EJ837" si="813">EF836-AJ836</f>
        <v>0</v>
      </c>
    </row>
    <row r="837" spans="2:140" ht="12.75" hidden="1" customHeight="1">
      <c r="B837" s="99" t="s">
        <v>1396</v>
      </c>
      <c r="C837" s="22" t="s">
        <v>1397</v>
      </c>
      <c r="D837" s="22" t="s">
        <v>1398</v>
      </c>
      <c r="E837" s="23" t="s">
        <v>523</v>
      </c>
      <c r="F837" s="22" t="s">
        <v>348</v>
      </c>
      <c r="G837" s="22" t="s">
        <v>339</v>
      </c>
      <c r="J837" s="149" t="s">
        <v>600</v>
      </c>
      <c r="K837" s="23" t="s">
        <v>1399</v>
      </c>
      <c r="L837" s="149" t="s">
        <v>113</v>
      </c>
      <c r="M837" s="51" t="str">
        <f t="shared" si="722"/>
        <v>JX61-6C750-CA</v>
      </c>
      <c r="O837" s="22"/>
      <c r="P837" s="22"/>
      <c r="Q837" s="22"/>
      <c r="R837" s="22"/>
      <c r="S837" s="22">
        <v>1</v>
      </c>
      <c r="T837" s="22">
        <v>1</v>
      </c>
      <c r="U837" s="22"/>
      <c r="V837" s="22">
        <v>1</v>
      </c>
      <c r="W837" s="64">
        <f t="shared" si="758"/>
        <v>0.28000000000000003</v>
      </c>
      <c r="Y837" s="60">
        <v>-1.14024190728365</v>
      </c>
      <c r="Z837" s="60">
        <v>-7.6065613026819898E-2</v>
      </c>
      <c r="AA837" s="60">
        <v>-3.7499999999999999E-2</v>
      </c>
      <c r="AB837" s="60"/>
      <c r="AC837" s="60"/>
      <c r="AD837" s="8">
        <f t="shared" si="759"/>
        <v>-1.2538075203104699</v>
      </c>
      <c r="AE837" s="2" t="s">
        <v>84</v>
      </c>
      <c r="AG837" s="70">
        <v>-178500</v>
      </c>
      <c r="AH837" s="70">
        <v>-178500</v>
      </c>
      <c r="AJ837" s="70"/>
      <c r="AK837" s="70"/>
      <c r="AL837" s="72"/>
      <c r="AM837" s="22"/>
      <c r="AO837" s="149" t="s">
        <v>600</v>
      </c>
      <c r="AP837" s="23" t="s">
        <v>1399</v>
      </c>
      <c r="AQ837" s="149" t="s">
        <v>132</v>
      </c>
      <c r="AR837" s="51" t="str">
        <f t="shared" si="783"/>
        <v>JX61-6C750-AB</v>
      </c>
      <c r="AS837" s="3"/>
      <c r="AT837" s="94"/>
      <c r="AU837" s="94"/>
      <c r="AV837" s="94"/>
      <c r="AW837" s="94"/>
      <c r="AX837" s="94"/>
      <c r="AY837" s="94"/>
      <c r="AZ837" s="94"/>
      <c r="BA837" s="94"/>
      <c r="BB837" s="64">
        <f t="shared" si="760"/>
        <v>0</v>
      </c>
      <c r="BD837" s="60"/>
      <c r="BE837" s="60"/>
      <c r="BF837" s="95"/>
      <c r="BG837" s="95"/>
      <c r="BH837" s="95"/>
      <c r="BI837" s="8">
        <f t="shared" si="774"/>
        <v>0</v>
      </c>
      <c r="BJ837" s="2" t="s">
        <v>84</v>
      </c>
      <c r="BL837" s="70"/>
      <c r="BM837" s="70"/>
      <c r="BO837" s="70"/>
      <c r="BP837" s="70"/>
      <c r="BQ837" s="72"/>
      <c r="BS837" s="61">
        <f t="shared" si="751"/>
        <v>-1.14024190728365</v>
      </c>
      <c r="BT837" s="61">
        <f t="shared" si="752"/>
        <v>-7.6065613026819898E-2</v>
      </c>
      <c r="BU837" s="61">
        <f t="shared" si="753"/>
        <v>-3.7499999999999999E-2</v>
      </c>
      <c r="BV837" s="61">
        <f t="shared" si="753"/>
        <v>0</v>
      </c>
      <c r="BW837" s="61">
        <f t="shared" si="753"/>
        <v>0</v>
      </c>
      <c r="BX837" s="61">
        <f t="shared" si="750"/>
        <v>-1.2538075203104699</v>
      </c>
      <c r="BY837" s="61" t="s">
        <v>91</v>
      </c>
      <c r="CA837" s="61">
        <f t="shared" si="789"/>
        <v>0</v>
      </c>
      <c r="CB837" s="61">
        <f t="shared" si="787"/>
        <v>0</v>
      </c>
      <c r="CC837" s="61">
        <f t="shared" si="787"/>
        <v>0</v>
      </c>
      <c r="CD837" s="61">
        <f t="shared" si="787"/>
        <v>0</v>
      </c>
      <c r="CE837" s="61">
        <f t="shared" si="787"/>
        <v>-0.17154233598369942</v>
      </c>
      <c r="CF837" s="61">
        <f t="shared" si="787"/>
        <v>-0.17154233598369942</v>
      </c>
      <c r="CG837" s="61">
        <f t="shared" si="787"/>
        <v>0</v>
      </c>
      <c r="CH837" s="61">
        <f t="shared" si="787"/>
        <v>-0.17154233598369942</v>
      </c>
      <c r="CI837" s="61">
        <f t="shared" si="738"/>
        <v>-4.8031854075435844E-2</v>
      </c>
      <c r="CJ837" s="61"/>
      <c r="CK837" s="61">
        <f t="shared" si="790"/>
        <v>0</v>
      </c>
      <c r="CL837" s="61">
        <f t="shared" si="788"/>
        <v>0</v>
      </c>
      <c r="CM837" s="61">
        <f t="shared" si="788"/>
        <v>0</v>
      </c>
      <c r="CN837" s="61">
        <f t="shared" si="788"/>
        <v>0</v>
      </c>
      <c r="CO837" s="61">
        <f t="shared" si="788"/>
        <v>-0.18862757940581765</v>
      </c>
      <c r="CP837" s="61">
        <f t="shared" si="788"/>
        <v>-0.18862757940581765</v>
      </c>
      <c r="CQ837" s="61">
        <f t="shared" si="788"/>
        <v>0</v>
      </c>
      <c r="CR837" s="61">
        <f t="shared" si="788"/>
        <v>-0.18862757940581765</v>
      </c>
      <c r="CS837" s="61">
        <f t="shared" si="739"/>
        <v>-5.2815722233628945E-2</v>
      </c>
      <c r="CT837" s="61">
        <f t="shared" si="740"/>
        <v>-0.35106610568693158</v>
      </c>
      <c r="CV837" s="61">
        <f t="shared" si="775"/>
        <v>-178500</v>
      </c>
      <c r="CW837" s="61">
        <f t="shared" si="776"/>
        <v>-178500</v>
      </c>
      <c r="CX837" s="61"/>
      <c r="CY837" s="61">
        <f t="shared" si="777"/>
        <v>0</v>
      </c>
      <c r="CZ837" s="61">
        <f t="shared" si="777"/>
        <v>0</v>
      </c>
      <c r="DA837" s="61">
        <f t="shared" si="777"/>
        <v>0</v>
      </c>
      <c r="DB837" s="2" t="s">
        <v>86</v>
      </c>
      <c r="DC837" s="2" t="s">
        <v>86</v>
      </c>
      <c r="DD837" s="2" t="s">
        <v>87</v>
      </c>
      <c r="DE837" s="2" t="s">
        <v>264</v>
      </c>
      <c r="DG837" s="62"/>
      <c r="DZ837" s="3" t="e">
        <v>#N/A</v>
      </c>
      <c r="EC837" s="60" t="str">
        <f>VLOOKUP($M837,[1]Detail!$M:$BO,1,0)</f>
        <v>JX61-6C750-CA</v>
      </c>
      <c r="ED837" s="60">
        <f>VLOOKUP($M837,[1]Detail!$M:$BO,22,0)</f>
        <v>-1.2538075203104699</v>
      </c>
      <c r="EE837" s="60">
        <f>VLOOKUP($M837,[1]Detail!$M:$BO,42,0)</f>
        <v>-178500</v>
      </c>
      <c r="EF837" s="60">
        <f>VLOOKUP($M837,[1]Detail!$M:$BO,45,0)</f>
        <v>0</v>
      </c>
      <c r="EH837" s="60">
        <f t="shared" si="811"/>
        <v>0</v>
      </c>
      <c r="EI837" s="60">
        <f t="shared" si="812"/>
        <v>0</v>
      </c>
      <c r="EJ837" s="60">
        <f t="shared" si="813"/>
        <v>0</v>
      </c>
    </row>
    <row r="838" spans="2:140" ht="12.75" hidden="1" customHeight="1">
      <c r="B838" s="99" t="s">
        <v>1400</v>
      </c>
      <c r="C838" s="22" t="s">
        <v>975</v>
      </c>
      <c r="D838" s="22" t="s">
        <v>976</v>
      </c>
      <c r="E838" s="2" t="s">
        <v>968</v>
      </c>
      <c r="F838" s="2" t="s">
        <v>969</v>
      </c>
      <c r="G838" s="2" t="s">
        <v>331</v>
      </c>
      <c r="J838" s="149" t="s">
        <v>126</v>
      </c>
      <c r="K838" s="23">
        <v>17682</v>
      </c>
      <c r="L838" s="149" t="s">
        <v>1401</v>
      </c>
      <c r="M838" s="51" t="str">
        <f t="shared" si="722"/>
        <v>JD8B-17682-CEW</v>
      </c>
      <c r="O838" s="94">
        <v>0</v>
      </c>
      <c r="P838" s="94">
        <v>0</v>
      </c>
      <c r="Q838" s="94">
        <v>0</v>
      </c>
      <c r="R838" s="94">
        <v>0</v>
      </c>
      <c r="S838" s="94">
        <v>0</v>
      </c>
      <c r="T838" s="94">
        <v>0</v>
      </c>
      <c r="U838" s="94">
        <v>1</v>
      </c>
      <c r="V838" s="94">
        <v>1</v>
      </c>
      <c r="W838" s="64">
        <v>0.1</v>
      </c>
      <c r="Y838" s="60">
        <v>-203.95</v>
      </c>
      <c r="Z838" s="60">
        <v>-1.3495999999999999</v>
      </c>
      <c r="AA838" s="60">
        <v>-4.3099999999999996</v>
      </c>
      <c r="AB838" s="60"/>
      <c r="AC838" s="60"/>
      <c r="AD838" s="8">
        <f t="shared" ref="AD838" si="814">SUM(Y838:AC838)</f>
        <v>-209.6096</v>
      </c>
      <c r="AE838" s="2" t="s">
        <v>84</v>
      </c>
      <c r="AG838" s="70">
        <v>-3599850</v>
      </c>
      <c r="AH838" s="70">
        <v>-3599850</v>
      </c>
      <c r="AJ838" s="70"/>
      <c r="AK838" s="70"/>
      <c r="AL838" s="72"/>
      <c r="AM838" s="22"/>
      <c r="AO838" s="149" t="s">
        <v>126</v>
      </c>
      <c r="AP838" s="23">
        <v>17682</v>
      </c>
      <c r="AQ838" s="149" t="s">
        <v>1191</v>
      </c>
      <c r="AR838" s="51" t="str">
        <f t="shared" si="783"/>
        <v>JD8B-17682-CDW</v>
      </c>
      <c r="AS838" s="3"/>
      <c r="AT838" s="94">
        <v>0</v>
      </c>
      <c r="AU838" s="94">
        <v>0</v>
      </c>
      <c r="AV838" s="94">
        <v>0</v>
      </c>
      <c r="AW838" s="94">
        <v>0</v>
      </c>
      <c r="AX838" s="94">
        <v>0</v>
      </c>
      <c r="AY838" s="94">
        <v>0</v>
      </c>
      <c r="AZ838" s="94">
        <v>1</v>
      </c>
      <c r="BA838" s="94">
        <v>1</v>
      </c>
      <c r="BB838" s="64">
        <f t="shared" si="760"/>
        <v>0.1</v>
      </c>
      <c r="BD838" s="60">
        <v>-203.2466</v>
      </c>
      <c r="BE838" s="60">
        <v>-1.3495999999999999</v>
      </c>
      <c r="BF838" s="60">
        <v>-4.3099999999999996</v>
      </c>
      <c r="BG838" s="60">
        <v>0</v>
      </c>
      <c r="BH838" s="60">
        <v>0</v>
      </c>
      <c r="BI838" s="8">
        <f t="shared" si="774"/>
        <v>-208.90620000000001</v>
      </c>
      <c r="BJ838" s="2" t="s">
        <v>91</v>
      </c>
      <c r="BL838" s="70">
        <v>-3551850</v>
      </c>
      <c r="BM838" s="70">
        <v>-3551850</v>
      </c>
      <c r="BO838" s="70"/>
      <c r="BP838" s="70"/>
      <c r="BQ838" s="72"/>
      <c r="BS838" s="61">
        <f t="shared" si="751"/>
        <v>-0.70339999999998781</v>
      </c>
      <c r="BT838" s="61">
        <f t="shared" si="752"/>
        <v>0</v>
      </c>
      <c r="BU838" s="61">
        <f t="shared" si="753"/>
        <v>0</v>
      </c>
      <c r="BV838" s="61">
        <f t="shared" si="753"/>
        <v>0</v>
      </c>
      <c r="BW838" s="61">
        <f t="shared" si="753"/>
        <v>0</v>
      </c>
      <c r="BX838" s="61">
        <f t="shared" si="750"/>
        <v>-0.70339999999998781</v>
      </c>
      <c r="BY838" s="61" t="s">
        <v>91</v>
      </c>
      <c r="CA838" s="61">
        <f t="shared" si="789"/>
        <v>0</v>
      </c>
      <c r="CB838" s="61">
        <f t="shared" si="787"/>
        <v>0</v>
      </c>
      <c r="CC838" s="61">
        <f t="shared" si="787"/>
        <v>0</v>
      </c>
      <c r="CD838" s="61">
        <f t="shared" si="787"/>
        <v>0</v>
      </c>
      <c r="CE838" s="61">
        <f t="shared" si="787"/>
        <v>0</v>
      </c>
      <c r="CF838" s="61">
        <f t="shared" si="787"/>
        <v>0</v>
      </c>
      <c r="CG838" s="61">
        <f t="shared" si="787"/>
        <v>-0.10582217541747974</v>
      </c>
      <c r="CH838" s="61">
        <f t="shared" si="787"/>
        <v>-0.10582217541747974</v>
      </c>
      <c r="CI838" s="61">
        <f t="shared" si="738"/>
        <v>-1.0582217541747974E-2</v>
      </c>
      <c r="CJ838" s="61"/>
      <c r="CK838" s="61">
        <f t="shared" si="790"/>
        <v>0</v>
      </c>
      <c r="CL838" s="61">
        <f t="shared" si="788"/>
        <v>0</v>
      </c>
      <c r="CM838" s="61">
        <f t="shared" si="788"/>
        <v>0</v>
      </c>
      <c r="CN838" s="61">
        <f t="shared" si="788"/>
        <v>0</v>
      </c>
      <c r="CO838" s="61">
        <f t="shared" si="788"/>
        <v>0</v>
      </c>
      <c r="CP838" s="61">
        <f t="shared" si="788"/>
        <v>0</v>
      </c>
      <c r="CQ838" s="61">
        <f t="shared" si="788"/>
        <v>-0.10582217541747974</v>
      </c>
      <c r="CR838" s="61">
        <f t="shared" si="788"/>
        <v>-0.10582217541747974</v>
      </c>
      <c r="CS838" s="61">
        <f t="shared" si="739"/>
        <v>-1.0582217541747974E-2</v>
      </c>
      <c r="CT838" s="61">
        <f t="shared" si="740"/>
        <v>-7.0339999999998792E-2</v>
      </c>
      <c r="CV838" s="61">
        <f t="shared" ref="CV838" si="815">SUM(AG838)-SUM(BL838)</f>
        <v>-48000</v>
      </c>
      <c r="CW838" s="61">
        <f t="shared" ref="CW838:CW839" si="816">SUM(AH838)-SUM(BM838)</f>
        <v>-48000</v>
      </c>
      <c r="CX838" s="61"/>
      <c r="CY838" s="61">
        <f t="shared" si="777"/>
        <v>0</v>
      </c>
      <c r="CZ838" s="61">
        <f t="shared" si="777"/>
        <v>0</v>
      </c>
      <c r="DA838" s="61">
        <f t="shared" si="777"/>
        <v>0</v>
      </c>
      <c r="DB838" s="2" t="s">
        <v>85</v>
      </c>
      <c r="DC838" s="2" t="s">
        <v>85</v>
      </c>
      <c r="DD838" s="2" t="s">
        <v>142</v>
      </c>
      <c r="DE838" s="2" t="s">
        <v>1146</v>
      </c>
      <c r="DF838" s="3" t="s">
        <v>86</v>
      </c>
      <c r="DG838" s="58">
        <v>43019</v>
      </c>
      <c r="EC838" s="60"/>
      <c r="ED838" s="60"/>
      <c r="EE838" s="60"/>
      <c r="EF838" s="60"/>
    </row>
    <row r="839" spans="2:140" ht="12.75" hidden="1" customHeight="1">
      <c r="B839" s="99" t="s">
        <v>1267</v>
      </c>
      <c r="C839" s="22" t="s">
        <v>975</v>
      </c>
      <c r="D839" s="22" t="s">
        <v>976</v>
      </c>
      <c r="E839" s="2" t="s">
        <v>968</v>
      </c>
      <c r="F839" s="2" t="s">
        <v>969</v>
      </c>
      <c r="G839" s="2" t="s">
        <v>331</v>
      </c>
      <c r="J839" s="149" t="s">
        <v>126</v>
      </c>
      <c r="K839" s="23">
        <v>17682</v>
      </c>
      <c r="L839" s="149" t="s">
        <v>1347</v>
      </c>
      <c r="M839" s="51" t="str">
        <f t="shared" si="722"/>
        <v>JD8B-17682-CFW</v>
      </c>
      <c r="O839" s="94">
        <v>0</v>
      </c>
      <c r="P839" s="94">
        <v>0</v>
      </c>
      <c r="Q839" s="94">
        <v>0</v>
      </c>
      <c r="R839" s="94">
        <v>0</v>
      </c>
      <c r="S839" s="94">
        <v>0</v>
      </c>
      <c r="T839" s="94">
        <v>0</v>
      </c>
      <c r="U839" s="94">
        <v>1</v>
      </c>
      <c r="V839" s="94">
        <v>1</v>
      </c>
      <c r="W839" s="64">
        <v>0.1</v>
      </c>
      <c r="Y839" s="60">
        <f>-203.95-2.9</f>
        <v>-206.85</v>
      </c>
      <c r="Z839" s="60">
        <v>-1.3495999999999999</v>
      </c>
      <c r="AA839" s="60">
        <v>-4.3099999999999996</v>
      </c>
      <c r="AB839" s="60"/>
      <c r="AC839" s="60"/>
      <c r="AD839" s="8">
        <f t="shared" ref="AD839" si="817">SUM(Y839:AC839)</f>
        <v>-212.50960000000001</v>
      </c>
      <c r="AE839" s="2" t="s">
        <v>84</v>
      </c>
      <c r="AG839" s="70">
        <f>-3599850-211705</f>
        <v>-3811555</v>
      </c>
      <c r="AH839" s="70">
        <f>-3599850-211705</f>
        <v>-3811555</v>
      </c>
      <c r="AJ839" s="70"/>
      <c r="AK839" s="70"/>
      <c r="AL839" s="72"/>
      <c r="AM839" s="22"/>
      <c r="AO839" s="149" t="s">
        <v>126</v>
      </c>
      <c r="AP839" s="23">
        <v>17682</v>
      </c>
      <c r="AQ839" s="149" t="s">
        <v>1401</v>
      </c>
      <c r="AR839" s="51" t="str">
        <f>TRIM(AO839)&amp;"-"&amp;TRIM(AP839)&amp;"-"&amp;TRIM(AQ839)</f>
        <v>JD8B-17682-CEW</v>
      </c>
      <c r="AS839" s="3"/>
      <c r="AT839" s="94">
        <v>0</v>
      </c>
      <c r="AU839" s="94">
        <v>0</v>
      </c>
      <c r="AV839" s="94">
        <v>0</v>
      </c>
      <c r="AW839" s="94">
        <v>0</v>
      </c>
      <c r="AX839" s="94">
        <v>0</v>
      </c>
      <c r="AY839" s="94">
        <v>0</v>
      </c>
      <c r="AZ839" s="94">
        <v>1</v>
      </c>
      <c r="BA839" s="94">
        <v>1</v>
      </c>
      <c r="BB839" s="64">
        <v>0.1</v>
      </c>
      <c r="BD839" s="60">
        <f>-203.95-2.9</f>
        <v>-206.85</v>
      </c>
      <c r="BE839" s="60">
        <v>-1.3495999999999999</v>
      </c>
      <c r="BF839" s="60">
        <v>-4.3099999999999996</v>
      </c>
      <c r="BG839" s="60"/>
      <c r="BH839" s="60"/>
      <c r="BI839" s="8">
        <f t="shared" ref="BI839" si="818">SUM(BD839:BH839)</f>
        <v>-212.50960000000001</v>
      </c>
      <c r="BJ839" s="2" t="s">
        <v>84</v>
      </c>
      <c r="BL839" s="70">
        <v>-3599850</v>
      </c>
      <c r="BM839" s="70">
        <v>-3599850</v>
      </c>
      <c r="BO839" s="70"/>
      <c r="BP839" s="70"/>
      <c r="BQ839" s="72"/>
      <c r="BS839" s="61">
        <f t="shared" si="751"/>
        <v>0</v>
      </c>
      <c r="BT839" s="61">
        <f t="shared" si="752"/>
        <v>0</v>
      </c>
      <c r="BU839" s="61">
        <f t="shared" si="753"/>
        <v>0</v>
      </c>
      <c r="BV839" s="61">
        <f t="shared" si="753"/>
        <v>0</v>
      </c>
      <c r="BW839" s="61">
        <f t="shared" si="753"/>
        <v>0</v>
      </c>
      <c r="BX839" s="61">
        <f t="shared" si="750"/>
        <v>0</v>
      </c>
      <c r="BY839" s="61" t="s">
        <v>91</v>
      </c>
      <c r="CA839" s="61">
        <f t="shared" si="789"/>
        <v>0</v>
      </c>
      <c r="CB839" s="61">
        <f t="shared" si="787"/>
        <v>0</v>
      </c>
      <c r="CC839" s="61">
        <f t="shared" si="787"/>
        <v>0</v>
      </c>
      <c r="CD839" s="61">
        <f t="shared" si="787"/>
        <v>0</v>
      </c>
      <c r="CE839" s="61">
        <f t="shared" si="787"/>
        <v>0</v>
      </c>
      <c r="CF839" s="61">
        <f t="shared" si="787"/>
        <v>0</v>
      </c>
      <c r="CG839" s="61">
        <f t="shared" si="787"/>
        <v>0</v>
      </c>
      <c r="CH839" s="61">
        <f t="shared" si="787"/>
        <v>0</v>
      </c>
      <c r="CI839" s="61">
        <f t="shared" si="738"/>
        <v>0</v>
      </c>
      <c r="CJ839" s="61"/>
      <c r="CK839" s="61">
        <f t="shared" si="790"/>
        <v>0</v>
      </c>
      <c r="CL839" s="61">
        <f t="shared" si="788"/>
        <v>0</v>
      </c>
      <c r="CM839" s="61">
        <f t="shared" si="788"/>
        <v>0</v>
      </c>
      <c r="CN839" s="61">
        <f t="shared" si="788"/>
        <v>0</v>
      </c>
      <c r="CO839" s="61">
        <f t="shared" si="788"/>
        <v>0</v>
      </c>
      <c r="CP839" s="61">
        <f t="shared" si="788"/>
        <v>0</v>
      </c>
      <c r="CQ839" s="61">
        <f t="shared" si="788"/>
        <v>0</v>
      </c>
      <c r="CR839" s="61">
        <f t="shared" si="788"/>
        <v>0</v>
      </c>
      <c r="CS839" s="61">
        <f t="shared" si="739"/>
        <v>0</v>
      </c>
      <c r="CT839" s="143">
        <f t="shared" si="740"/>
        <v>0</v>
      </c>
      <c r="CV839" s="61">
        <f t="shared" ref="CV839" si="819">SUM(AG839)-SUM(BL839)</f>
        <v>-211705</v>
      </c>
      <c r="CW839" s="61">
        <f t="shared" si="816"/>
        <v>-211705</v>
      </c>
      <c r="CX839" s="61"/>
      <c r="CY839" s="61">
        <f t="shared" si="777"/>
        <v>0</v>
      </c>
      <c r="CZ839" s="61">
        <f t="shared" si="777"/>
        <v>0</v>
      </c>
      <c r="DA839" s="61">
        <f t="shared" si="777"/>
        <v>0</v>
      </c>
      <c r="DB839" s="2" t="s">
        <v>86</v>
      </c>
      <c r="DC839" s="2" t="s">
        <v>85</v>
      </c>
      <c r="DD839" s="2" t="s">
        <v>142</v>
      </c>
      <c r="DE839" s="2" t="s">
        <v>106</v>
      </c>
      <c r="DF839" s="3" t="s">
        <v>86</v>
      </c>
      <c r="DG839" s="62">
        <v>43138</v>
      </c>
      <c r="EC839" s="60" t="str">
        <f>VLOOKUP($M839,[1]Detail!$M:$BO,1,0)</f>
        <v>JD8B-17682-CFW</v>
      </c>
      <c r="ED839" s="60">
        <f>VLOOKUP($M839,[1]Detail!$M:$BO,22,0)</f>
        <v>-212.50960000000001</v>
      </c>
      <c r="EE839" s="60">
        <f>VLOOKUP($M839,[1]Detail!$M:$BO,42,0)</f>
        <v>-3811555</v>
      </c>
      <c r="EF839" s="60">
        <f>VLOOKUP($M839,[1]Detail!$M:$BO,45,0)</f>
        <v>0</v>
      </c>
      <c r="EH839" s="60">
        <f>ED839-AD839</f>
        <v>0</v>
      </c>
      <c r="EI839" s="161">
        <f>SUM(EE839)-SUM(AG839)</f>
        <v>0</v>
      </c>
      <c r="EJ839" s="60">
        <f>EF839-AJ839</f>
        <v>0</v>
      </c>
    </row>
    <row r="840" spans="2:140" ht="12.75" hidden="1" customHeight="1">
      <c r="B840" s="99" t="s">
        <v>1400</v>
      </c>
      <c r="C840" s="22" t="s">
        <v>975</v>
      </c>
      <c r="D840" s="22" t="s">
        <v>976</v>
      </c>
      <c r="E840" s="2" t="s">
        <v>968</v>
      </c>
      <c r="F840" s="2" t="s">
        <v>969</v>
      </c>
      <c r="G840" s="2" t="s">
        <v>331</v>
      </c>
      <c r="J840" s="149" t="s">
        <v>126</v>
      </c>
      <c r="K840" s="23">
        <v>17683</v>
      </c>
      <c r="L840" s="149" t="s">
        <v>1401</v>
      </c>
      <c r="M840" s="51" t="str">
        <f t="shared" ref="M840:M903" si="820">TRIM(J840)&amp;"-"&amp;TRIM(K840)&amp;"-"&amp;TRIM(L840)</f>
        <v>JD8B-17683-CEW</v>
      </c>
      <c r="O840" s="94">
        <v>0</v>
      </c>
      <c r="P840" s="94">
        <v>0</v>
      </c>
      <c r="Q840" s="94">
        <v>0</v>
      </c>
      <c r="R840" s="94">
        <v>0</v>
      </c>
      <c r="S840" s="94">
        <v>0</v>
      </c>
      <c r="T840" s="94">
        <v>0</v>
      </c>
      <c r="U840" s="94">
        <v>1</v>
      </c>
      <c r="V840" s="94">
        <v>1</v>
      </c>
      <c r="W840" s="64">
        <v>0.1</v>
      </c>
      <c r="Y840" s="60">
        <f>-203.95</f>
        <v>-203.95</v>
      </c>
      <c r="Z840" s="60">
        <v>-1.3495999999999999</v>
      </c>
      <c r="AA840" s="60">
        <v>-4.3099999999999996</v>
      </c>
      <c r="AB840" s="60"/>
      <c r="AC840" s="60"/>
      <c r="AD840" s="8">
        <f t="shared" ref="AD840" si="821">SUM(Y840:AC840)</f>
        <v>-209.6096</v>
      </c>
      <c r="AE840" s="2" t="s">
        <v>84</v>
      </c>
      <c r="AG840" s="70"/>
      <c r="AH840" s="70"/>
      <c r="AJ840" s="70"/>
      <c r="AK840" s="70"/>
      <c r="AL840" s="72"/>
      <c r="AM840" s="22"/>
      <c r="AO840" s="149" t="s">
        <v>126</v>
      </c>
      <c r="AP840" s="23">
        <v>17683</v>
      </c>
      <c r="AQ840" s="149" t="s">
        <v>1191</v>
      </c>
      <c r="AR840" s="51" t="str">
        <f t="shared" ref="AR840:AR903" si="822">TRIM(AO840)&amp;"-"&amp;TRIM(AP840)&amp;"-"&amp;TRIM(AQ840)</f>
        <v>JD8B-17683-CDW</v>
      </c>
      <c r="AS840" s="3"/>
      <c r="AT840" s="94">
        <v>0</v>
      </c>
      <c r="AU840" s="94">
        <v>0</v>
      </c>
      <c r="AV840" s="94">
        <v>0</v>
      </c>
      <c r="AW840" s="94">
        <v>0</v>
      </c>
      <c r="AX840" s="94">
        <v>0</v>
      </c>
      <c r="AY840" s="94">
        <v>0</v>
      </c>
      <c r="AZ840" s="94">
        <v>1</v>
      </c>
      <c r="BA840" s="94">
        <v>1</v>
      </c>
      <c r="BB840" s="64">
        <f>SUMPRODUCT(AT840:BA840,$O$6:$V$6)</f>
        <v>0.1</v>
      </c>
      <c r="BD840" s="60">
        <v>-203.2466</v>
      </c>
      <c r="BE840" s="60">
        <v>-1.3495999999999999</v>
      </c>
      <c r="BF840" s="60">
        <v>-4.3099999999999996</v>
      </c>
      <c r="BG840" s="60">
        <v>0</v>
      </c>
      <c r="BH840" s="60">
        <v>0</v>
      </c>
      <c r="BI840" s="8">
        <f t="shared" si="774"/>
        <v>-208.90620000000001</v>
      </c>
      <c r="BJ840" s="2" t="s">
        <v>91</v>
      </c>
      <c r="BL840" s="70"/>
      <c r="BM840" s="70"/>
      <c r="BO840" s="70"/>
      <c r="BP840" s="70"/>
      <c r="BQ840" s="72"/>
      <c r="BS840" s="61">
        <f t="shared" si="751"/>
        <v>-0.70339999999998781</v>
      </c>
      <c r="BT840" s="61">
        <f t="shared" si="752"/>
        <v>0</v>
      </c>
      <c r="BU840" s="61">
        <f t="shared" si="753"/>
        <v>0</v>
      </c>
      <c r="BV840" s="61">
        <f t="shared" si="753"/>
        <v>0</v>
      </c>
      <c r="BW840" s="61">
        <f t="shared" si="753"/>
        <v>0</v>
      </c>
      <c r="BX840" s="61">
        <f t="shared" si="750"/>
        <v>-0.70339999999998781</v>
      </c>
      <c r="BY840" s="61" t="s">
        <v>91</v>
      </c>
      <c r="CA840" s="61">
        <f t="shared" si="789"/>
        <v>0</v>
      </c>
      <c r="CB840" s="61">
        <f t="shared" si="787"/>
        <v>0</v>
      </c>
      <c r="CC840" s="61">
        <f t="shared" si="787"/>
        <v>0</v>
      </c>
      <c r="CD840" s="61">
        <f t="shared" si="787"/>
        <v>0</v>
      </c>
      <c r="CE840" s="61">
        <f t="shared" si="787"/>
        <v>0</v>
      </c>
      <c r="CF840" s="61">
        <f t="shared" si="787"/>
        <v>0</v>
      </c>
      <c r="CG840" s="61">
        <f t="shared" si="787"/>
        <v>-0.10582217541747974</v>
      </c>
      <c r="CH840" s="61">
        <f t="shared" si="787"/>
        <v>-0.10582217541747974</v>
      </c>
      <c r="CI840" s="61">
        <f t="shared" si="738"/>
        <v>-1.0582217541747974E-2</v>
      </c>
      <c r="CJ840" s="61"/>
      <c r="CK840" s="61">
        <f t="shared" si="790"/>
        <v>0</v>
      </c>
      <c r="CL840" s="61">
        <f t="shared" si="788"/>
        <v>0</v>
      </c>
      <c r="CM840" s="61">
        <f t="shared" si="788"/>
        <v>0</v>
      </c>
      <c r="CN840" s="61">
        <f t="shared" si="788"/>
        <v>0</v>
      </c>
      <c r="CO840" s="61">
        <f t="shared" si="788"/>
        <v>0</v>
      </c>
      <c r="CP840" s="61">
        <f t="shared" si="788"/>
        <v>0</v>
      </c>
      <c r="CQ840" s="61">
        <f t="shared" si="788"/>
        <v>-0.10582217541747974</v>
      </c>
      <c r="CR840" s="61">
        <f t="shared" si="788"/>
        <v>-0.10582217541747974</v>
      </c>
      <c r="CS840" s="61">
        <f t="shared" si="739"/>
        <v>-1.0582217541747974E-2</v>
      </c>
      <c r="CT840" s="61">
        <f t="shared" si="740"/>
        <v>-7.0339999999998792E-2</v>
      </c>
      <c r="CV840" s="61">
        <f t="shared" ref="CV840" si="823">SUM(AG840)-SUM(BL840)</f>
        <v>0</v>
      </c>
      <c r="CW840" s="61">
        <f t="shared" ref="CW840" si="824">SUM(AH840)-SUM(BM840)</f>
        <v>0</v>
      </c>
      <c r="CX840" s="61"/>
      <c r="CY840" s="61">
        <f t="shared" si="777"/>
        <v>0</v>
      </c>
      <c r="CZ840" s="61">
        <f t="shared" si="777"/>
        <v>0</v>
      </c>
      <c r="DA840" s="61">
        <f t="shared" si="777"/>
        <v>0</v>
      </c>
      <c r="DB840" s="2" t="s">
        <v>85</v>
      </c>
      <c r="DC840" s="2" t="s">
        <v>85</v>
      </c>
      <c r="DD840" s="2" t="s">
        <v>142</v>
      </c>
      <c r="DE840" s="2" t="s">
        <v>1146</v>
      </c>
      <c r="DF840" s="3" t="s">
        <v>86</v>
      </c>
      <c r="DG840" s="58">
        <v>43019</v>
      </c>
      <c r="EC840" s="60"/>
      <c r="ED840" s="60"/>
      <c r="EE840" s="60"/>
      <c r="EF840" s="60"/>
    </row>
    <row r="841" spans="2:140" s="131" customFormat="1" ht="12.75" hidden="1" customHeight="1">
      <c r="B841" s="129" t="s">
        <v>1267</v>
      </c>
      <c r="C841" s="130" t="s">
        <v>975</v>
      </c>
      <c r="D841" s="130" t="s">
        <v>976</v>
      </c>
      <c r="E841" s="131" t="s">
        <v>968</v>
      </c>
      <c r="F841" s="131" t="s">
        <v>969</v>
      </c>
      <c r="G841" s="131" t="s">
        <v>331</v>
      </c>
      <c r="H841" s="2"/>
      <c r="J841" s="157" t="s">
        <v>126</v>
      </c>
      <c r="K841" s="132">
        <v>17683</v>
      </c>
      <c r="L841" s="157" t="s">
        <v>1347</v>
      </c>
      <c r="M841" s="133" t="str">
        <f t="shared" si="820"/>
        <v>JD8B-17683-CFW</v>
      </c>
      <c r="N841" s="134"/>
      <c r="O841" s="158">
        <v>0</v>
      </c>
      <c r="P841" s="158">
        <v>0</v>
      </c>
      <c r="Q841" s="158">
        <v>0</v>
      </c>
      <c r="R841" s="158">
        <v>0</v>
      </c>
      <c r="S841" s="158">
        <v>0</v>
      </c>
      <c r="T841" s="158">
        <v>0</v>
      </c>
      <c r="U841" s="158">
        <v>1</v>
      </c>
      <c r="V841" s="158">
        <v>1</v>
      </c>
      <c r="W841" s="135">
        <v>0.1</v>
      </c>
      <c r="Y841" s="139">
        <f>-203.95-2.9</f>
        <v>-206.85</v>
      </c>
      <c r="Z841" s="139">
        <v>-1.3495999999999999</v>
      </c>
      <c r="AA841" s="139">
        <v>-4.3099999999999996</v>
      </c>
      <c r="AB841" s="139"/>
      <c r="AC841" s="139"/>
      <c r="AD841" s="136">
        <f t="shared" ref="AD841" si="825">SUM(Y841:AC841)</f>
        <v>-212.50960000000001</v>
      </c>
      <c r="AE841" s="131" t="s">
        <v>84</v>
      </c>
      <c r="AG841" s="137"/>
      <c r="AH841" s="137"/>
      <c r="AJ841" s="137"/>
      <c r="AK841" s="137"/>
      <c r="AL841" s="138"/>
      <c r="AM841" s="130"/>
      <c r="AO841" s="157" t="s">
        <v>126</v>
      </c>
      <c r="AP841" s="132">
        <v>17683</v>
      </c>
      <c r="AQ841" s="157" t="s">
        <v>1401</v>
      </c>
      <c r="AR841" s="133" t="str">
        <f t="shared" si="822"/>
        <v>JD8B-17683-CEW</v>
      </c>
      <c r="AS841" s="134"/>
      <c r="AT841" s="158">
        <v>0</v>
      </c>
      <c r="AU841" s="158">
        <v>0</v>
      </c>
      <c r="AV841" s="158">
        <v>0</v>
      </c>
      <c r="AW841" s="158">
        <v>0</v>
      </c>
      <c r="AX841" s="158">
        <v>0</v>
      </c>
      <c r="AY841" s="158">
        <v>0</v>
      </c>
      <c r="AZ841" s="158">
        <v>1</v>
      </c>
      <c r="BA841" s="158">
        <v>1</v>
      </c>
      <c r="BB841" s="135">
        <v>0.1</v>
      </c>
      <c r="BD841" s="139">
        <v>-203.95</v>
      </c>
      <c r="BE841" s="139">
        <v>-1.3495999999999999</v>
      </c>
      <c r="BF841" s="139">
        <v>-4.3099999999999996</v>
      </c>
      <c r="BG841" s="139"/>
      <c r="BH841" s="139"/>
      <c r="BI841" s="136">
        <f t="shared" ref="BI841" si="826">SUM(BD841:BH841)</f>
        <v>-209.6096</v>
      </c>
      <c r="BJ841" s="131" t="s">
        <v>84</v>
      </c>
      <c r="BL841" s="137"/>
      <c r="BM841" s="137"/>
      <c r="BO841" s="137"/>
      <c r="BP841" s="137"/>
      <c r="BQ841" s="138"/>
      <c r="BS841" s="61">
        <f t="shared" si="751"/>
        <v>-2.9000000000000057</v>
      </c>
      <c r="BT841" s="61">
        <f t="shared" si="752"/>
        <v>0</v>
      </c>
      <c r="BU841" s="61">
        <f t="shared" si="753"/>
        <v>0</v>
      </c>
      <c r="BV841" s="61">
        <f t="shared" si="753"/>
        <v>0</v>
      </c>
      <c r="BW841" s="61">
        <f t="shared" si="753"/>
        <v>0</v>
      </c>
      <c r="BX841" s="61">
        <f t="shared" si="750"/>
        <v>-2.9000000000000057</v>
      </c>
      <c r="BY841" s="61" t="s">
        <v>91</v>
      </c>
      <c r="BZ841" s="2"/>
      <c r="CA841" s="61">
        <f t="shared" si="789"/>
        <v>0</v>
      </c>
      <c r="CB841" s="61">
        <f t="shared" si="787"/>
        <v>0</v>
      </c>
      <c r="CC841" s="61">
        <f t="shared" si="787"/>
        <v>0</v>
      </c>
      <c r="CD841" s="61">
        <f t="shared" si="787"/>
        <v>0</v>
      </c>
      <c r="CE841" s="61">
        <f t="shared" si="787"/>
        <v>0</v>
      </c>
      <c r="CF841" s="61">
        <f t="shared" si="787"/>
        <v>0</v>
      </c>
      <c r="CG841" s="61">
        <f t="shared" si="787"/>
        <v>-0.43628704678802549</v>
      </c>
      <c r="CH841" s="61">
        <f t="shared" si="787"/>
        <v>-0.43628704678802549</v>
      </c>
      <c r="CI841" s="61">
        <f t="shared" si="738"/>
        <v>-4.3628704678802553E-2</v>
      </c>
      <c r="CJ841" s="61"/>
      <c r="CK841" s="61">
        <f t="shared" si="790"/>
        <v>0</v>
      </c>
      <c r="CL841" s="61">
        <f t="shared" si="788"/>
        <v>0</v>
      </c>
      <c r="CM841" s="61">
        <f t="shared" si="788"/>
        <v>0</v>
      </c>
      <c r="CN841" s="61">
        <f t="shared" si="788"/>
        <v>0</v>
      </c>
      <c r="CO841" s="61">
        <f t="shared" si="788"/>
        <v>0</v>
      </c>
      <c r="CP841" s="61">
        <f t="shared" si="788"/>
        <v>0</v>
      </c>
      <c r="CQ841" s="61">
        <f t="shared" si="788"/>
        <v>-0.43628704678802549</v>
      </c>
      <c r="CR841" s="61">
        <f t="shared" si="788"/>
        <v>-0.43628704678802549</v>
      </c>
      <c r="CS841" s="61">
        <f t="shared" si="739"/>
        <v>-4.3628704678802553E-2</v>
      </c>
      <c r="CT841" s="143">
        <f t="shared" si="740"/>
        <v>-0.29000000000000059</v>
      </c>
      <c r="CU841" s="2"/>
      <c r="CV841" s="61">
        <f t="shared" ref="CV841" si="827">SUM(AG841)-SUM(BL841)</f>
        <v>0</v>
      </c>
      <c r="CW841" s="61">
        <f t="shared" ref="CW841" si="828">SUM(AH841)-SUM(BM841)</f>
        <v>0</v>
      </c>
      <c r="CX841" s="61"/>
      <c r="CY841" s="61">
        <f t="shared" si="777"/>
        <v>0</v>
      </c>
      <c r="CZ841" s="61">
        <f t="shared" si="777"/>
        <v>0</v>
      </c>
      <c r="DA841" s="61">
        <f t="shared" si="777"/>
        <v>0</v>
      </c>
      <c r="DB841" s="131" t="s">
        <v>86</v>
      </c>
      <c r="DC841" s="131" t="s">
        <v>85</v>
      </c>
      <c r="DD841" s="131" t="s">
        <v>142</v>
      </c>
      <c r="DE841" s="131" t="s">
        <v>106</v>
      </c>
      <c r="DF841" s="134" t="s">
        <v>86</v>
      </c>
      <c r="DG841" s="141">
        <v>43138</v>
      </c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134"/>
      <c r="EC841" s="139" t="str">
        <f>VLOOKUP($M841,[1]Detail!$M:$BO,1,0)</f>
        <v>JD8B-17683-CFW</v>
      </c>
      <c r="ED841" s="139">
        <f>VLOOKUP($M841,[1]Detail!$M:$BO,22,0)</f>
        <v>-212.50960000000001</v>
      </c>
      <c r="EE841" s="139" t="str">
        <f>VLOOKUP($M841,[1]Detail!$M:$BO,42,0)</f>
        <v>incl.above</v>
      </c>
      <c r="EF841" s="139">
        <f>VLOOKUP($M841,[1]Detail!$M:$BO,45,0)</f>
        <v>0</v>
      </c>
      <c r="EH841" s="139">
        <f>ED841-AD841</f>
        <v>0</v>
      </c>
      <c r="EI841" s="139">
        <f>SUM(EE841)-SUM(AG841)</f>
        <v>0</v>
      </c>
      <c r="EJ841" s="139">
        <f>EF841-AJ841</f>
        <v>0</v>
      </c>
    </row>
    <row r="842" spans="2:140" ht="12.75" hidden="1" customHeight="1">
      <c r="B842" s="99"/>
      <c r="C842" s="22"/>
      <c r="D842" s="22"/>
      <c r="F842" s="2"/>
      <c r="G842" s="2"/>
      <c r="J842" s="149" t="s">
        <v>600</v>
      </c>
      <c r="K842" s="23" t="s">
        <v>1402</v>
      </c>
      <c r="L842" s="149" t="s">
        <v>362</v>
      </c>
      <c r="M842" s="51" t="str">
        <f t="shared" si="820"/>
        <v>JX61-9C623-EA</v>
      </c>
      <c r="O842" s="98">
        <v>0</v>
      </c>
      <c r="P842" s="98">
        <v>0</v>
      </c>
      <c r="Q842" s="98">
        <v>0</v>
      </c>
      <c r="R842" s="98">
        <v>0</v>
      </c>
      <c r="S842" s="98">
        <v>1</v>
      </c>
      <c r="T842" s="98">
        <v>1</v>
      </c>
      <c r="U842" s="98">
        <v>0</v>
      </c>
      <c r="V842" s="98">
        <v>1</v>
      </c>
      <c r="W842" s="64">
        <f t="shared" ref="W842:W905" si="829">SUMPRODUCT(O842:V842,$O$6:$V$6)</f>
        <v>0.28000000000000003</v>
      </c>
      <c r="Y842" s="8">
        <v>-89.22</v>
      </c>
      <c r="Z842" s="8">
        <v>-3.13</v>
      </c>
      <c r="AA842" s="8">
        <v>-1.21</v>
      </c>
      <c r="AB842" s="8">
        <v>0</v>
      </c>
      <c r="AC842" s="8">
        <v>0</v>
      </c>
      <c r="AD842" s="8">
        <f t="shared" ref="AD842:AD843" si="830">SUM(Y842:AC842)</f>
        <v>-93.559999999999988</v>
      </c>
      <c r="AE842" s="2" t="s">
        <v>91</v>
      </c>
      <c r="AG842" s="70">
        <v>0</v>
      </c>
      <c r="AH842" s="70">
        <v>0</v>
      </c>
      <c r="AJ842" s="71">
        <v>0</v>
      </c>
      <c r="AK842" s="71">
        <v>0</v>
      </c>
      <c r="AL842" s="72"/>
      <c r="AM842" s="22"/>
      <c r="AO842" s="149"/>
      <c r="AP842" s="23"/>
      <c r="AQ842" s="149"/>
      <c r="AR842" s="51"/>
      <c r="AS842" s="3"/>
      <c r="AT842" s="94"/>
      <c r="AU842" s="94"/>
      <c r="AV842" s="94"/>
      <c r="AW842" s="94"/>
      <c r="AX842" s="94"/>
      <c r="AY842" s="94"/>
      <c r="AZ842" s="94"/>
      <c r="BA842" s="94"/>
      <c r="BB842" s="64"/>
      <c r="BD842" s="60"/>
      <c r="BE842" s="60"/>
      <c r="BF842" s="60"/>
      <c r="BG842" s="60"/>
      <c r="BH842" s="60"/>
      <c r="BI842" s="8"/>
      <c r="BL842" s="70"/>
      <c r="BM842" s="70"/>
      <c r="BO842" s="70"/>
      <c r="BP842" s="70"/>
      <c r="BQ842" s="72"/>
      <c r="BS842" s="61"/>
      <c r="BT842" s="61"/>
      <c r="BU842" s="61"/>
      <c r="BV842" s="61"/>
      <c r="BW842" s="61"/>
      <c r="BX842" s="61"/>
      <c r="BY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  <c r="CN842" s="61"/>
      <c r="CO842" s="61"/>
      <c r="CP842" s="61"/>
      <c r="CQ842" s="61"/>
      <c r="CR842" s="61"/>
      <c r="CS842" s="61"/>
      <c r="CT842" s="61"/>
      <c r="CV842" s="61"/>
      <c r="CW842" s="61"/>
      <c r="CX842" s="61"/>
      <c r="CY842" s="61"/>
      <c r="CZ842" s="61"/>
      <c r="DA842" s="61"/>
      <c r="DG842" s="58"/>
      <c r="EC842" s="60"/>
      <c r="ED842" s="60"/>
      <c r="EE842" s="60"/>
      <c r="EF842" s="60"/>
    </row>
    <row r="843" spans="2:140" ht="12.75" hidden="1" customHeight="1">
      <c r="B843" s="99" t="s">
        <v>1403</v>
      </c>
      <c r="C843" s="22" t="s">
        <v>1072</v>
      </c>
      <c r="D843" s="22" t="s">
        <v>1073</v>
      </c>
      <c r="E843" s="2" t="s">
        <v>1005</v>
      </c>
      <c r="F843" s="2" t="s">
        <v>330</v>
      </c>
      <c r="G843" s="2" t="s">
        <v>994</v>
      </c>
      <c r="J843" s="149" t="s">
        <v>600</v>
      </c>
      <c r="K843" s="23" t="s">
        <v>1402</v>
      </c>
      <c r="L843" s="149" t="s">
        <v>358</v>
      </c>
      <c r="M843" s="51" t="str">
        <f t="shared" si="820"/>
        <v>JX61-9C623-EB</v>
      </c>
      <c r="O843" s="98">
        <v>0</v>
      </c>
      <c r="P843" s="98">
        <v>0</v>
      </c>
      <c r="Q843" s="98">
        <v>0</v>
      </c>
      <c r="R843" s="98">
        <v>0</v>
      </c>
      <c r="S843" s="98">
        <v>1</v>
      </c>
      <c r="T843" s="98">
        <v>1</v>
      </c>
      <c r="U843" s="98">
        <v>0</v>
      </c>
      <c r="V843" s="98">
        <v>1</v>
      </c>
      <c r="W843" s="64">
        <f t="shared" si="829"/>
        <v>0.28000000000000003</v>
      </c>
      <c r="Y843" s="60">
        <v>-95.83</v>
      </c>
      <c r="Z843" s="60">
        <v>-3.13</v>
      </c>
      <c r="AA843" s="60">
        <v>-1.21</v>
      </c>
      <c r="AB843" s="60"/>
      <c r="AC843" s="60"/>
      <c r="AD843" s="8">
        <f t="shared" si="830"/>
        <v>-100.16999999999999</v>
      </c>
      <c r="AE843" s="2" t="s">
        <v>84</v>
      </c>
      <c r="AG843" s="70">
        <v>0</v>
      </c>
      <c r="AH843" s="70">
        <v>0</v>
      </c>
      <c r="AJ843" s="71">
        <v>0</v>
      </c>
      <c r="AK843" s="71">
        <v>0</v>
      </c>
      <c r="AL843" s="72"/>
      <c r="AM843" s="22"/>
      <c r="AO843" s="149" t="s">
        <v>600</v>
      </c>
      <c r="AP843" s="23" t="s">
        <v>1402</v>
      </c>
      <c r="AQ843" s="149" t="s">
        <v>362</v>
      </c>
      <c r="AR843" s="51" t="str">
        <f t="shared" si="822"/>
        <v>JX61-9C623-EA</v>
      </c>
      <c r="AS843" s="3"/>
      <c r="AT843" s="98">
        <v>0</v>
      </c>
      <c r="AU843" s="98">
        <v>0</v>
      </c>
      <c r="AV843" s="98">
        <v>0</v>
      </c>
      <c r="AW843" s="98">
        <v>0</v>
      </c>
      <c r="AX843" s="98">
        <v>1</v>
      </c>
      <c r="AY843" s="98">
        <v>1</v>
      </c>
      <c r="AZ843" s="98">
        <v>0</v>
      </c>
      <c r="BA843" s="98">
        <v>1</v>
      </c>
      <c r="BB843" s="64">
        <f t="shared" ref="BB843:BB906" si="831">SUMPRODUCT(AT843:BA843,$O$6:$V$6)</f>
        <v>0.28000000000000003</v>
      </c>
      <c r="BD843" s="8">
        <v>-89.22</v>
      </c>
      <c r="BE843" s="8">
        <v>-3.13</v>
      </c>
      <c r="BF843" s="8">
        <v>-1.21</v>
      </c>
      <c r="BG843" s="8">
        <v>0</v>
      </c>
      <c r="BH843" s="8">
        <v>0</v>
      </c>
      <c r="BI843" s="8">
        <f t="shared" si="774"/>
        <v>-93.559999999999988</v>
      </c>
      <c r="BJ843" s="2" t="s">
        <v>91</v>
      </c>
      <c r="BL843" s="70">
        <v>0</v>
      </c>
      <c r="BM843" s="70">
        <v>0</v>
      </c>
      <c r="BO843" s="71">
        <v>0</v>
      </c>
      <c r="BP843" s="71">
        <v>0</v>
      </c>
      <c r="BQ843" s="72"/>
      <c r="BS843" s="61">
        <f t="shared" ref="BS843:BS906" si="832">SUM(Y843)-SUM(BD843)</f>
        <v>-6.6099999999999994</v>
      </c>
      <c r="BT843" s="61">
        <f t="shared" ref="BT843:BT906" si="833">SUM(Z843)-SUM(BE843)</f>
        <v>0</v>
      </c>
      <c r="BU843" s="61">
        <f t="shared" ref="BU843:BU874" si="834">SUM(AA843)-SUM(BF843)</f>
        <v>0</v>
      </c>
      <c r="BV843" s="61">
        <f t="shared" ref="BV843:BV874" si="835">SUM(AB843)-SUM(BG843)</f>
        <v>0</v>
      </c>
      <c r="BW843" s="61">
        <f t="shared" ref="BW843:BX874" si="836">SUM(AC843)-SUM(BH843)</f>
        <v>0</v>
      </c>
      <c r="BX843" s="61">
        <f t="shared" si="836"/>
        <v>-6.6099999999999994</v>
      </c>
      <c r="BY843" s="61" t="s">
        <v>91</v>
      </c>
      <c r="CA843" s="61">
        <f t="shared" ref="CA843:CH882" si="837">($Y843*O843-AT843*$BD843)/$C$2</f>
        <v>0</v>
      </c>
      <c r="CB843" s="61">
        <f t="shared" si="837"/>
        <v>0</v>
      </c>
      <c r="CC843" s="61">
        <f t="shared" si="837"/>
        <v>0</v>
      </c>
      <c r="CD843" s="61">
        <f t="shared" si="837"/>
        <v>0</v>
      </c>
      <c r="CE843" s="61">
        <f t="shared" si="837"/>
        <v>-0.99443357905822161</v>
      </c>
      <c r="CF843" s="61">
        <f t="shared" si="837"/>
        <v>-0.99443357905822161</v>
      </c>
      <c r="CG843" s="61">
        <f t="shared" si="837"/>
        <v>0</v>
      </c>
      <c r="CH843" s="61">
        <f t="shared" si="837"/>
        <v>-0.99443357905822161</v>
      </c>
      <c r="CI843" s="61">
        <f t="shared" ref="CI843:CI882" si="838">SUMPRODUCT(CA843:CH843,$O$6:$V$6)</f>
        <v>-0.27844140213630209</v>
      </c>
      <c r="CJ843" s="61"/>
      <c r="CK843" s="61">
        <f t="shared" ref="CK843:CR874" si="839">(O843*$AD843-AT843*$BI843)/$C$2</f>
        <v>0</v>
      </c>
      <c r="CL843" s="61">
        <f t="shared" si="839"/>
        <v>0</v>
      </c>
      <c r="CM843" s="61">
        <f t="shared" si="839"/>
        <v>0</v>
      </c>
      <c r="CN843" s="61">
        <f t="shared" si="839"/>
        <v>0</v>
      </c>
      <c r="CO843" s="61">
        <f t="shared" si="839"/>
        <v>-0.99443357905822161</v>
      </c>
      <c r="CP843" s="61">
        <f t="shared" si="839"/>
        <v>-0.99443357905822161</v>
      </c>
      <c r="CQ843" s="61">
        <f t="shared" si="839"/>
        <v>0</v>
      </c>
      <c r="CR843" s="61">
        <f t="shared" si="839"/>
        <v>-0.99443357905822161</v>
      </c>
      <c r="CS843" s="61">
        <f t="shared" ref="CS843:CS882" si="840">SUMPRODUCT(CK843:CR843,$O$6:$V$6)</f>
        <v>-0.27844140213630209</v>
      </c>
      <c r="CT843" s="61">
        <f t="shared" ref="CT843:CT882" si="841">CS843*$C$2</f>
        <v>-1.8508</v>
      </c>
      <c r="CV843" s="61">
        <f t="shared" ref="CV843" si="842">SUM(AG843)-SUM(BL843)</f>
        <v>0</v>
      </c>
      <c r="CW843" s="61">
        <f t="shared" ref="CW843" si="843">SUM(AH843)-SUM(BM843)</f>
        <v>0</v>
      </c>
      <c r="CX843" s="61"/>
      <c r="CY843" s="61">
        <f t="shared" si="777"/>
        <v>0</v>
      </c>
      <c r="CZ843" s="61">
        <f t="shared" si="777"/>
        <v>0</v>
      </c>
      <c r="DA843" s="61">
        <f t="shared" si="777"/>
        <v>0</v>
      </c>
      <c r="DB843" s="2" t="s">
        <v>86</v>
      </c>
      <c r="DC843" s="2" t="s">
        <v>85</v>
      </c>
      <c r="DD843" s="2" t="s">
        <v>142</v>
      </c>
      <c r="DE843" s="2" t="s">
        <v>264</v>
      </c>
      <c r="DG843" s="62"/>
      <c r="DZ843" s="3" t="e">
        <v>#N/A</v>
      </c>
      <c r="EC843" s="60" t="str">
        <f>VLOOKUP($M843,[1]Detail!$M:$BO,1,0)</f>
        <v>JX61-9C623-EB</v>
      </c>
      <c r="ED843" s="60">
        <f>VLOOKUP($M843,[1]Detail!$M:$BO,22,0)</f>
        <v>-100.16999999999999</v>
      </c>
      <c r="EE843" s="60">
        <f>VLOOKUP($M843,[1]Detail!$M:$BO,42,0)</f>
        <v>0</v>
      </c>
      <c r="EF843" s="60">
        <f>VLOOKUP($M843,[1]Detail!$M:$BO,45,0)</f>
        <v>0</v>
      </c>
      <c r="EH843" s="60">
        <f t="shared" ref="EH843:EH844" si="844">ED843-AD843</f>
        <v>0</v>
      </c>
      <c r="EI843" s="60">
        <f t="shared" ref="EI843:EI844" si="845">EE843-AG843</f>
        <v>0</v>
      </c>
      <c r="EJ843" s="60">
        <f t="shared" ref="EJ843:EJ844" si="846">EF843-AJ843</f>
        <v>0</v>
      </c>
    </row>
    <row r="844" spans="2:140" ht="12.75" hidden="1" customHeight="1">
      <c r="B844" s="99" t="s">
        <v>1404</v>
      </c>
      <c r="C844" s="22" t="s">
        <v>1072</v>
      </c>
      <c r="D844" s="22" t="s">
        <v>1073</v>
      </c>
      <c r="E844" s="2" t="s">
        <v>1005</v>
      </c>
      <c r="F844" s="2" t="s">
        <v>330</v>
      </c>
      <c r="G844" s="2" t="s">
        <v>994</v>
      </c>
      <c r="J844" s="149" t="s">
        <v>600</v>
      </c>
      <c r="K844" s="23" t="s">
        <v>1402</v>
      </c>
      <c r="L844" s="149" t="s">
        <v>305</v>
      </c>
      <c r="M844" s="51" t="str">
        <f t="shared" si="820"/>
        <v>JX61-9C623-FB</v>
      </c>
      <c r="O844" s="98">
        <v>0</v>
      </c>
      <c r="P844" s="98">
        <v>0</v>
      </c>
      <c r="Q844" s="98">
        <v>0</v>
      </c>
      <c r="R844" s="98">
        <v>0</v>
      </c>
      <c r="S844" s="98">
        <v>1</v>
      </c>
      <c r="T844" s="98">
        <v>1</v>
      </c>
      <c r="U844" s="98">
        <v>0</v>
      </c>
      <c r="V844" s="98">
        <v>1</v>
      </c>
      <c r="W844" s="64">
        <f t="shared" si="829"/>
        <v>0.28000000000000003</v>
      </c>
      <c r="Y844" s="60">
        <v>-90.67</v>
      </c>
      <c r="Z844" s="60">
        <v>-3.13</v>
      </c>
      <c r="AA844" s="60">
        <v>-1.21</v>
      </c>
      <c r="AB844" s="60"/>
      <c r="AC844" s="60"/>
      <c r="AD844" s="8">
        <f t="shared" ref="AD844:AD872" si="847">SUM(Y844:AC844)</f>
        <v>-95.009999999999991</v>
      </c>
      <c r="AE844" s="2" t="s">
        <v>84</v>
      </c>
      <c r="AG844" s="70">
        <v>-3369000</v>
      </c>
      <c r="AH844" s="70">
        <v>-3369000</v>
      </c>
      <c r="AJ844" s="71">
        <v>0</v>
      </c>
      <c r="AK844" s="71">
        <v>0</v>
      </c>
      <c r="AL844" s="72"/>
      <c r="AM844" s="22"/>
      <c r="AO844" s="149" t="s">
        <v>600</v>
      </c>
      <c r="AP844" s="23" t="s">
        <v>1402</v>
      </c>
      <c r="AQ844" s="149" t="s">
        <v>306</v>
      </c>
      <c r="AR844" s="51" t="str">
        <f t="shared" si="822"/>
        <v>JX61-9C623-FA</v>
      </c>
      <c r="AS844" s="3"/>
      <c r="AT844" s="98">
        <v>0</v>
      </c>
      <c r="AU844" s="98">
        <v>0</v>
      </c>
      <c r="AV844" s="98">
        <v>0</v>
      </c>
      <c r="AW844" s="98">
        <v>0</v>
      </c>
      <c r="AX844" s="98">
        <v>1</v>
      </c>
      <c r="AY844" s="98">
        <v>1</v>
      </c>
      <c r="AZ844" s="98">
        <v>0</v>
      </c>
      <c r="BA844" s="98">
        <v>1</v>
      </c>
      <c r="BB844" s="64">
        <f t="shared" si="831"/>
        <v>0.28000000000000003</v>
      </c>
      <c r="BD844" s="8">
        <v>-85.84</v>
      </c>
      <c r="BE844" s="8">
        <v>-3.13</v>
      </c>
      <c r="BF844" s="8">
        <v>-1.21</v>
      </c>
      <c r="BG844" s="8">
        <v>0</v>
      </c>
      <c r="BH844" s="8">
        <v>0</v>
      </c>
      <c r="BI844" s="8">
        <f t="shared" ref="BI844:BI850" si="848">SUM(BD844:BH844)</f>
        <v>-90.179999999999993</v>
      </c>
      <c r="BJ844" s="2" t="s">
        <v>84</v>
      </c>
      <c r="BL844" s="70">
        <v>-3369000</v>
      </c>
      <c r="BM844" s="70">
        <v>-3369000</v>
      </c>
      <c r="BO844" s="71">
        <v>0</v>
      </c>
      <c r="BP844" s="71">
        <v>0</v>
      </c>
      <c r="BQ844" s="72"/>
      <c r="BS844" s="61">
        <f t="shared" si="832"/>
        <v>-4.8299999999999983</v>
      </c>
      <c r="BT844" s="61">
        <f t="shared" si="833"/>
        <v>0</v>
      </c>
      <c r="BU844" s="61">
        <f t="shared" si="834"/>
        <v>0</v>
      </c>
      <c r="BV844" s="61">
        <f t="shared" si="835"/>
        <v>0</v>
      </c>
      <c r="BW844" s="61">
        <f t="shared" si="836"/>
        <v>0</v>
      </c>
      <c r="BX844" s="61">
        <f t="shared" si="836"/>
        <v>-4.8299999999999983</v>
      </c>
      <c r="BY844" s="61" t="s">
        <v>91</v>
      </c>
      <c r="CA844" s="61">
        <f t="shared" si="837"/>
        <v>0</v>
      </c>
      <c r="CB844" s="61">
        <f t="shared" si="837"/>
        <v>0</v>
      </c>
      <c r="CC844" s="61">
        <f t="shared" si="837"/>
        <v>0</v>
      </c>
      <c r="CD844" s="61">
        <f t="shared" si="837"/>
        <v>0</v>
      </c>
      <c r="CE844" s="61">
        <f t="shared" si="837"/>
        <v>-0.72664359861591665</v>
      </c>
      <c r="CF844" s="61">
        <f t="shared" si="837"/>
        <v>-0.72664359861591665</v>
      </c>
      <c r="CG844" s="61">
        <f t="shared" si="837"/>
        <v>0</v>
      </c>
      <c r="CH844" s="61">
        <f t="shared" si="837"/>
        <v>-0.72664359861591665</v>
      </c>
      <c r="CI844" s="61">
        <f t="shared" si="838"/>
        <v>-0.2034602076124567</v>
      </c>
      <c r="CJ844" s="61"/>
      <c r="CK844" s="61">
        <f t="shared" si="839"/>
        <v>0</v>
      </c>
      <c r="CL844" s="61">
        <f t="shared" si="839"/>
        <v>0</v>
      </c>
      <c r="CM844" s="61">
        <f t="shared" si="839"/>
        <v>0</v>
      </c>
      <c r="CN844" s="61">
        <f t="shared" si="839"/>
        <v>0</v>
      </c>
      <c r="CO844" s="61">
        <f t="shared" si="839"/>
        <v>-0.72664359861591665</v>
      </c>
      <c r="CP844" s="61">
        <f t="shared" si="839"/>
        <v>-0.72664359861591665</v>
      </c>
      <c r="CQ844" s="61">
        <f t="shared" si="839"/>
        <v>0</v>
      </c>
      <c r="CR844" s="61">
        <f t="shared" si="839"/>
        <v>-0.72664359861591665</v>
      </c>
      <c r="CS844" s="61">
        <f t="shared" si="840"/>
        <v>-0.2034602076124567</v>
      </c>
      <c r="CT844" s="61">
        <f t="shared" si="841"/>
        <v>-1.3523999999999998</v>
      </c>
      <c r="CV844" s="61">
        <f t="shared" ref="CV844:CV877" si="849">SUM(AG844)-SUM(BL844)</f>
        <v>0</v>
      </c>
      <c r="CW844" s="61">
        <f t="shared" ref="CW844:CW877" si="850">SUM(AH844)-SUM(BM844)</f>
        <v>0</v>
      </c>
      <c r="CX844" s="61"/>
      <c r="CY844" s="61">
        <f t="shared" si="777"/>
        <v>0</v>
      </c>
      <c r="CZ844" s="61">
        <f t="shared" si="777"/>
        <v>0</v>
      </c>
      <c r="DA844" s="61">
        <f t="shared" si="777"/>
        <v>0</v>
      </c>
      <c r="DB844" s="2" t="s">
        <v>86</v>
      </c>
      <c r="DC844" s="2" t="s">
        <v>85</v>
      </c>
      <c r="DD844" s="2" t="s">
        <v>142</v>
      </c>
      <c r="DE844" s="2" t="s">
        <v>264</v>
      </c>
      <c r="DG844" s="62"/>
      <c r="DZ844" s="3" t="e">
        <v>#N/A</v>
      </c>
      <c r="EC844" s="60" t="str">
        <f>VLOOKUP($M844,[1]Detail!$M:$BO,1,0)</f>
        <v>JX61-9C623-FB</v>
      </c>
      <c r="ED844" s="60">
        <f>VLOOKUP($M844,[1]Detail!$M:$BO,22,0)</f>
        <v>-95.009999999999991</v>
      </c>
      <c r="EE844" s="60">
        <f>VLOOKUP($M844,[1]Detail!$M:$BO,42,0)</f>
        <v>-3369000</v>
      </c>
      <c r="EF844" s="60">
        <f>VLOOKUP($M844,[1]Detail!$M:$BO,45,0)</f>
        <v>0</v>
      </c>
      <c r="EH844" s="60">
        <f t="shared" si="844"/>
        <v>0</v>
      </c>
      <c r="EI844" s="60">
        <f t="shared" si="845"/>
        <v>0</v>
      </c>
      <c r="EJ844" s="60">
        <f t="shared" si="846"/>
        <v>0</v>
      </c>
    </row>
    <row r="845" spans="2:140" ht="12.75" hidden="1" customHeight="1">
      <c r="B845" s="99" t="s">
        <v>1405</v>
      </c>
      <c r="C845" s="22" t="s">
        <v>950</v>
      </c>
      <c r="D845" s="22" t="s">
        <v>951</v>
      </c>
      <c r="E845" s="2" t="s">
        <v>968</v>
      </c>
      <c r="F845" s="2" t="s">
        <v>969</v>
      </c>
      <c r="G845" s="2" t="s">
        <v>331</v>
      </c>
      <c r="J845" s="149" t="s">
        <v>126</v>
      </c>
      <c r="K845" s="23" t="s">
        <v>952</v>
      </c>
      <c r="L845" s="149" t="s">
        <v>132</v>
      </c>
      <c r="M845" s="51" t="str">
        <f t="shared" si="820"/>
        <v>JD8B-F20898-AB</v>
      </c>
      <c r="O845" s="22">
        <v>0</v>
      </c>
      <c r="P845" s="22">
        <v>0</v>
      </c>
      <c r="Q845" s="22">
        <v>0</v>
      </c>
      <c r="R845" s="22">
        <v>0</v>
      </c>
      <c r="S845" s="22">
        <v>0</v>
      </c>
      <c r="T845" s="22">
        <v>0</v>
      </c>
      <c r="U845" s="22">
        <v>1</v>
      </c>
      <c r="V845" s="22">
        <v>1</v>
      </c>
      <c r="W845" s="64">
        <f t="shared" si="829"/>
        <v>0.1</v>
      </c>
      <c r="Y845" s="8">
        <v>-16.02</v>
      </c>
      <c r="Z845" s="8">
        <v>-0.66</v>
      </c>
      <c r="AA845" s="8">
        <v>-0.16</v>
      </c>
      <c r="AB845" s="8">
        <v>0</v>
      </c>
      <c r="AC845" s="8">
        <v>-0.16</v>
      </c>
      <c r="AD845" s="8">
        <f t="shared" si="847"/>
        <v>-17</v>
      </c>
      <c r="AE845" s="2" t="s">
        <v>84</v>
      </c>
      <c r="AG845" s="8">
        <v>-822500</v>
      </c>
      <c r="AH845" s="8">
        <v>-822500</v>
      </c>
      <c r="AI845" s="6"/>
      <c r="AJ845" s="70">
        <v>-88750</v>
      </c>
      <c r="AK845" s="70">
        <v>574899</v>
      </c>
      <c r="AL845" s="72"/>
      <c r="AM845" s="22"/>
      <c r="AO845" s="149" t="s">
        <v>126</v>
      </c>
      <c r="AP845" s="23" t="s">
        <v>952</v>
      </c>
      <c r="AQ845" s="149" t="s">
        <v>100</v>
      </c>
      <c r="AR845" s="51" t="str">
        <f t="shared" si="822"/>
        <v>JD8B-F20898-AA</v>
      </c>
      <c r="AS845" s="3"/>
      <c r="AT845" s="94">
        <v>0</v>
      </c>
      <c r="AU845" s="94">
        <v>0</v>
      </c>
      <c r="AV845" s="94">
        <v>0</v>
      </c>
      <c r="AW845" s="94">
        <v>0</v>
      </c>
      <c r="AX845" s="94">
        <v>0</v>
      </c>
      <c r="AY845" s="94">
        <v>0</v>
      </c>
      <c r="AZ845" s="94">
        <v>1</v>
      </c>
      <c r="BA845" s="94">
        <v>1</v>
      </c>
      <c r="BB845" s="64">
        <f t="shared" si="831"/>
        <v>0.1</v>
      </c>
      <c r="BD845" s="60">
        <v>-16.02</v>
      </c>
      <c r="BE845" s="60">
        <v>-0.66</v>
      </c>
      <c r="BF845" s="95">
        <v>-0.16</v>
      </c>
      <c r="BG845" s="95">
        <v>0</v>
      </c>
      <c r="BH845" s="95">
        <v>-0.16</v>
      </c>
      <c r="BI845" s="8">
        <f t="shared" ref="BI845:BI848" si="851">SUM(BD845:BH845)</f>
        <v>-17</v>
      </c>
      <c r="BJ845" s="2" t="s">
        <v>84</v>
      </c>
      <c r="BL845" s="70">
        <v>-822500</v>
      </c>
      <c r="BM845" s="70">
        <v>-822500</v>
      </c>
      <c r="BO845" s="70">
        <v>-88750</v>
      </c>
      <c r="BP845" s="70">
        <v>-574899</v>
      </c>
      <c r="BQ845" s="72"/>
      <c r="BS845" s="61">
        <f t="shared" si="832"/>
        <v>0</v>
      </c>
      <c r="BT845" s="61">
        <f t="shared" si="833"/>
        <v>0</v>
      </c>
      <c r="BU845" s="61">
        <f t="shared" si="834"/>
        <v>0</v>
      </c>
      <c r="BV845" s="61">
        <f t="shared" si="835"/>
        <v>0</v>
      </c>
      <c r="BW845" s="61">
        <f t="shared" si="836"/>
        <v>0</v>
      </c>
      <c r="BX845" s="61">
        <f t="shared" si="836"/>
        <v>0</v>
      </c>
      <c r="BY845" s="61" t="s">
        <v>91</v>
      </c>
      <c r="CA845" s="61">
        <f t="shared" si="837"/>
        <v>0</v>
      </c>
      <c r="CB845" s="61">
        <f t="shared" si="837"/>
        <v>0</v>
      </c>
      <c r="CC845" s="61">
        <f t="shared" si="837"/>
        <v>0</v>
      </c>
      <c r="CD845" s="61">
        <f t="shared" si="837"/>
        <v>0</v>
      </c>
      <c r="CE845" s="61">
        <f t="shared" si="837"/>
        <v>0</v>
      </c>
      <c r="CF845" s="61">
        <f t="shared" si="837"/>
        <v>0</v>
      </c>
      <c r="CG845" s="61">
        <f t="shared" si="837"/>
        <v>0</v>
      </c>
      <c r="CH845" s="61">
        <f t="shared" si="837"/>
        <v>0</v>
      </c>
      <c r="CI845" s="61">
        <f t="shared" si="838"/>
        <v>0</v>
      </c>
      <c r="CJ845" s="61"/>
      <c r="CK845" s="61">
        <f t="shared" si="839"/>
        <v>0</v>
      </c>
      <c r="CL845" s="61">
        <f t="shared" si="839"/>
        <v>0</v>
      </c>
      <c r="CM845" s="61">
        <f t="shared" si="839"/>
        <v>0</v>
      </c>
      <c r="CN845" s="61">
        <f t="shared" si="839"/>
        <v>0</v>
      </c>
      <c r="CO845" s="61">
        <f t="shared" si="839"/>
        <v>0</v>
      </c>
      <c r="CP845" s="61">
        <f t="shared" si="839"/>
        <v>0</v>
      </c>
      <c r="CQ845" s="61">
        <f t="shared" si="839"/>
        <v>0</v>
      </c>
      <c r="CR845" s="61">
        <f t="shared" si="839"/>
        <v>0</v>
      </c>
      <c r="CS845" s="61">
        <f t="shared" si="840"/>
        <v>0</v>
      </c>
      <c r="CT845" s="61">
        <f t="shared" si="841"/>
        <v>0</v>
      </c>
      <c r="CV845" s="61">
        <f t="shared" ref="CV845:CV848" si="852">SUM(AG845)-SUM(BL845)</f>
        <v>0</v>
      </c>
      <c r="CW845" s="61">
        <f t="shared" si="850"/>
        <v>0</v>
      </c>
      <c r="CX845" s="61"/>
      <c r="CY845" s="61">
        <f t="shared" si="777"/>
        <v>0</v>
      </c>
      <c r="CZ845" s="61">
        <f t="shared" si="777"/>
        <v>1149798</v>
      </c>
      <c r="DA845" s="61">
        <f t="shared" si="777"/>
        <v>0</v>
      </c>
      <c r="DB845" s="2" t="s">
        <v>85</v>
      </c>
      <c r="DC845" s="2" t="s">
        <v>85</v>
      </c>
      <c r="DD845" s="2" t="s">
        <v>142</v>
      </c>
      <c r="DE845" s="2" t="s">
        <v>264</v>
      </c>
      <c r="DF845" s="3" t="s">
        <v>102</v>
      </c>
      <c r="DG845" s="62">
        <v>43035</v>
      </c>
      <c r="EC845" s="60"/>
      <c r="ED845" s="60"/>
      <c r="EE845" s="60"/>
      <c r="EF845" s="60"/>
    </row>
    <row r="846" spans="2:140" ht="12.75" hidden="1" customHeight="1">
      <c r="B846" s="99" t="s">
        <v>1406</v>
      </c>
      <c r="C846" s="22" t="s">
        <v>950</v>
      </c>
      <c r="D846" s="22" t="s">
        <v>951</v>
      </c>
      <c r="E846" s="2" t="s">
        <v>968</v>
      </c>
      <c r="F846" s="2" t="s">
        <v>969</v>
      </c>
      <c r="G846" s="2" t="s">
        <v>331</v>
      </c>
      <c r="J846" s="149" t="s">
        <v>126</v>
      </c>
      <c r="K846" s="23" t="s">
        <v>952</v>
      </c>
      <c r="L846" s="149" t="s">
        <v>234</v>
      </c>
      <c r="M846" s="51" t="str">
        <f t="shared" si="820"/>
        <v>JD8B-F20898-AC</v>
      </c>
      <c r="O846" s="22">
        <v>0</v>
      </c>
      <c r="P846" s="22">
        <v>0</v>
      </c>
      <c r="Q846" s="22">
        <v>0</v>
      </c>
      <c r="R846" s="22">
        <v>0</v>
      </c>
      <c r="S846" s="22">
        <v>0</v>
      </c>
      <c r="T846" s="22">
        <v>0</v>
      </c>
      <c r="U846" s="22">
        <v>1</v>
      </c>
      <c r="V846" s="22">
        <v>1</v>
      </c>
      <c r="W846" s="64">
        <f t="shared" si="829"/>
        <v>0.1</v>
      </c>
      <c r="Y846" s="8">
        <f>-16.02-0.34</f>
        <v>-16.36</v>
      </c>
      <c r="Z846" s="8">
        <v>-0.66</v>
      </c>
      <c r="AA846" s="8">
        <v>-0.16</v>
      </c>
      <c r="AB846" s="8">
        <v>0</v>
      </c>
      <c r="AC846" s="8">
        <v>-0.16</v>
      </c>
      <c r="AD846" s="8">
        <f t="shared" ref="AD846" si="853">SUM(Y846:AC846)</f>
        <v>-17.34</v>
      </c>
      <c r="AE846" s="2" t="s">
        <v>84</v>
      </c>
      <c r="AG846" s="8">
        <v>-822500</v>
      </c>
      <c r="AH846" s="8">
        <v>-822500</v>
      </c>
      <c r="AI846" s="6"/>
      <c r="AJ846" s="70">
        <v>-88750</v>
      </c>
      <c r="AK846" s="70">
        <v>574899</v>
      </c>
      <c r="AL846" s="72"/>
      <c r="AM846" s="22"/>
      <c r="AO846" s="149" t="s">
        <v>126</v>
      </c>
      <c r="AP846" s="23" t="s">
        <v>952</v>
      </c>
      <c r="AQ846" s="149" t="s">
        <v>132</v>
      </c>
      <c r="AR846" s="51" t="str">
        <f t="shared" si="822"/>
        <v>JD8B-F20898-AB</v>
      </c>
      <c r="AS846" s="3"/>
      <c r="AT846" s="94">
        <v>0</v>
      </c>
      <c r="AU846" s="94">
        <v>0</v>
      </c>
      <c r="AV846" s="94">
        <v>0</v>
      </c>
      <c r="AW846" s="94">
        <v>0</v>
      </c>
      <c r="AX846" s="94">
        <v>0</v>
      </c>
      <c r="AY846" s="94">
        <v>0</v>
      </c>
      <c r="AZ846" s="94">
        <v>1</v>
      </c>
      <c r="BA846" s="94">
        <v>1</v>
      </c>
      <c r="BB846" s="64">
        <f t="shared" si="831"/>
        <v>0.1</v>
      </c>
      <c r="BD846" s="8">
        <v>-16.02</v>
      </c>
      <c r="BE846" s="8">
        <v>-0.66</v>
      </c>
      <c r="BF846" s="8">
        <v>-0.16</v>
      </c>
      <c r="BG846" s="8">
        <v>0</v>
      </c>
      <c r="BH846" s="8">
        <v>-0.16</v>
      </c>
      <c r="BI846" s="8">
        <f t="shared" si="851"/>
        <v>-17</v>
      </c>
      <c r="BJ846" s="2" t="s">
        <v>84</v>
      </c>
      <c r="BL846" s="70">
        <v>-822500</v>
      </c>
      <c r="BM846" s="70">
        <v>-822500</v>
      </c>
      <c r="BO846" s="70">
        <v>-88750</v>
      </c>
      <c r="BP846" s="70">
        <v>-574899</v>
      </c>
      <c r="BQ846" s="72"/>
      <c r="BS846" s="61">
        <f t="shared" si="832"/>
        <v>-0.33999999999999986</v>
      </c>
      <c r="BT846" s="61">
        <f t="shared" si="833"/>
        <v>0</v>
      </c>
      <c r="BU846" s="61">
        <f t="shared" si="834"/>
        <v>0</v>
      </c>
      <c r="BV846" s="61">
        <f t="shared" si="835"/>
        <v>0</v>
      </c>
      <c r="BW846" s="61">
        <f t="shared" si="836"/>
        <v>0</v>
      </c>
      <c r="BX846" s="61">
        <f t="shared" si="836"/>
        <v>-0.33999999999999986</v>
      </c>
      <c r="BY846" s="61" t="s">
        <v>91</v>
      </c>
      <c r="CA846" s="61">
        <f t="shared" si="837"/>
        <v>0</v>
      </c>
      <c r="CB846" s="61">
        <f t="shared" si="837"/>
        <v>0</v>
      </c>
      <c r="CC846" s="61">
        <f t="shared" si="837"/>
        <v>0</v>
      </c>
      <c r="CD846" s="61">
        <f t="shared" si="837"/>
        <v>0</v>
      </c>
      <c r="CE846" s="61">
        <f t="shared" si="837"/>
        <v>0</v>
      </c>
      <c r="CF846" s="61">
        <f t="shared" si="837"/>
        <v>0</v>
      </c>
      <c r="CG846" s="61">
        <f t="shared" si="837"/>
        <v>-5.115089514066494E-2</v>
      </c>
      <c r="CH846" s="61">
        <f t="shared" si="837"/>
        <v>-5.115089514066494E-2</v>
      </c>
      <c r="CI846" s="61">
        <f t="shared" si="838"/>
        <v>-5.115089514066494E-3</v>
      </c>
      <c r="CJ846" s="61"/>
      <c r="CK846" s="61">
        <f t="shared" si="839"/>
        <v>0</v>
      </c>
      <c r="CL846" s="61">
        <f t="shared" si="839"/>
        <v>0</v>
      </c>
      <c r="CM846" s="61">
        <f t="shared" si="839"/>
        <v>0</v>
      </c>
      <c r="CN846" s="61">
        <f t="shared" si="839"/>
        <v>0</v>
      </c>
      <c r="CO846" s="61">
        <f t="shared" si="839"/>
        <v>0</v>
      </c>
      <c r="CP846" s="61">
        <f t="shared" si="839"/>
        <v>0</v>
      </c>
      <c r="CQ846" s="61">
        <f t="shared" si="839"/>
        <v>-5.115089514066494E-2</v>
      </c>
      <c r="CR846" s="61">
        <f t="shared" si="839"/>
        <v>-5.115089514066494E-2</v>
      </c>
      <c r="CS846" s="61">
        <f t="shared" si="840"/>
        <v>-5.115089514066494E-3</v>
      </c>
      <c r="CT846" s="63">
        <f t="shared" si="841"/>
        <v>-3.3999999999999989E-2</v>
      </c>
      <c r="CV846" s="61">
        <f t="shared" si="852"/>
        <v>0</v>
      </c>
      <c r="CW846" s="61">
        <f t="shared" si="850"/>
        <v>0</v>
      </c>
      <c r="CX846" s="61"/>
      <c r="CY846" s="61">
        <f t="shared" si="777"/>
        <v>0</v>
      </c>
      <c r="CZ846" s="61">
        <f t="shared" si="777"/>
        <v>1149798</v>
      </c>
      <c r="DA846" s="61">
        <f t="shared" si="777"/>
        <v>0</v>
      </c>
      <c r="DB846" s="2" t="s">
        <v>86</v>
      </c>
      <c r="DC846" s="2" t="s">
        <v>85</v>
      </c>
      <c r="DD846" s="2" t="s">
        <v>142</v>
      </c>
      <c r="DE846" s="2" t="s">
        <v>106</v>
      </c>
      <c r="DF846" s="3" t="s">
        <v>86</v>
      </c>
      <c r="DG846" s="62">
        <v>43068</v>
      </c>
      <c r="EC846" s="60" t="str">
        <f>VLOOKUP($M846,[1]Detail!$M:$BO,1,0)</f>
        <v>JD8B-F20898-AC</v>
      </c>
      <c r="ED846" s="60">
        <f>VLOOKUP($M846,[1]Detail!$M:$BO,22,0)</f>
        <v>-17.34</v>
      </c>
      <c r="EE846" s="60">
        <f>VLOOKUP($M846,[1]Detail!$M:$BO,42,0)</f>
        <v>-822500</v>
      </c>
      <c r="EF846" s="60">
        <f>VLOOKUP($M846,[1]Detail!$M:$BO,45,0)</f>
        <v>-88750</v>
      </c>
      <c r="EH846" s="60">
        <f>ED846-AD846</f>
        <v>0</v>
      </c>
      <c r="EI846" s="60">
        <f>EE846-AG846</f>
        <v>0</v>
      </c>
      <c r="EJ846" s="60">
        <f>EF846-AJ846</f>
        <v>0</v>
      </c>
    </row>
    <row r="847" spans="2:140" ht="12.75" hidden="1" customHeight="1">
      <c r="B847" s="99" t="s">
        <v>1405</v>
      </c>
      <c r="C847" s="22" t="s">
        <v>950</v>
      </c>
      <c r="D847" s="22" t="s">
        <v>951</v>
      </c>
      <c r="E847" s="2" t="s">
        <v>968</v>
      </c>
      <c r="F847" s="2" t="s">
        <v>969</v>
      </c>
      <c r="G847" s="2" t="s">
        <v>331</v>
      </c>
      <c r="J847" s="149" t="s">
        <v>126</v>
      </c>
      <c r="K847" s="23" t="s">
        <v>953</v>
      </c>
      <c r="L847" s="149" t="s">
        <v>132</v>
      </c>
      <c r="M847" s="51" t="str">
        <f t="shared" si="820"/>
        <v>JD8B-F20899-AB</v>
      </c>
      <c r="O847" s="22">
        <v>0</v>
      </c>
      <c r="P847" s="22">
        <v>0</v>
      </c>
      <c r="Q847" s="22">
        <v>0</v>
      </c>
      <c r="R847" s="22">
        <v>0</v>
      </c>
      <c r="S847" s="22">
        <v>0</v>
      </c>
      <c r="T847" s="22">
        <v>0</v>
      </c>
      <c r="U847" s="22">
        <v>1</v>
      </c>
      <c r="V847" s="22">
        <v>1</v>
      </c>
      <c r="W847" s="64">
        <f t="shared" si="829"/>
        <v>0.1</v>
      </c>
      <c r="Y847" s="8">
        <v>-16.02</v>
      </c>
      <c r="Z847" s="8">
        <v>-0.66</v>
      </c>
      <c r="AA847" s="8">
        <v>-0.16</v>
      </c>
      <c r="AB847" s="8">
        <v>0</v>
      </c>
      <c r="AC847" s="8">
        <v>-0.16</v>
      </c>
      <c r="AD847" s="8">
        <f t="shared" si="847"/>
        <v>-17</v>
      </c>
      <c r="AE847" s="2" t="s">
        <v>84</v>
      </c>
      <c r="AG847" s="8">
        <v>-822500</v>
      </c>
      <c r="AH847" s="8">
        <v>-822500</v>
      </c>
      <c r="AI847" s="6"/>
      <c r="AJ847" s="70">
        <v>-88750</v>
      </c>
      <c r="AK847" s="70">
        <v>574899</v>
      </c>
      <c r="AL847" s="72"/>
      <c r="AM847" s="22"/>
      <c r="AO847" s="149" t="s">
        <v>126</v>
      </c>
      <c r="AP847" s="23" t="s">
        <v>953</v>
      </c>
      <c r="AQ847" s="149" t="s">
        <v>100</v>
      </c>
      <c r="AR847" s="51" t="str">
        <f t="shared" si="822"/>
        <v>JD8B-F20899-AA</v>
      </c>
      <c r="AS847" s="3"/>
      <c r="AT847" s="94">
        <v>0</v>
      </c>
      <c r="AU847" s="94">
        <v>0</v>
      </c>
      <c r="AV847" s="94">
        <v>0</v>
      </c>
      <c r="AW847" s="94">
        <v>0</v>
      </c>
      <c r="AX847" s="94">
        <v>0</v>
      </c>
      <c r="AY847" s="94">
        <v>0</v>
      </c>
      <c r="AZ847" s="94">
        <v>1</v>
      </c>
      <c r="BA847" s="94">
        <v>1</v>
      </c>
      <c r="BB847" s="64">
        <f t="shared" si="831"/>
        <v>0.1</v>
      </c>
      <c r="BD847" s="60">
        <v>-16.02</v>
      </c>
      <c r="BE847" s="60">
        <v>-0.66</v>
      </c>
      <c r="BF847" s="95">
        <v>-0.16</v>
      </c>
      <c r="BG847" s="95">
        <v>0</v>
      </c>
      <c r="BH847" s="95">
        <v>-0.16</v>
      </c>
      <c r="BI847" s="8">
        <f t="shared" si="851"/>
        <v>-17</v>
      </c>
      <c r="BJ847" s="2" t="s">
        <v>84</v>
      </c>
      <c r="BL847" s="70">
        <v>-822500</v>
      </c>
      <c r="BM847" s="70">
        <v>-822500</v>
      </c>
      <c r="BO847" s="70">
        <v>-88750</v>
      </c>
      <c r="BP847" s="70">
        <v>-574899</v>
      </c>
      <c r="BQ847" s="162"/>
      <c r="BS847" s="61">
        <f t="shared" si="832"/>
        <v>0</v>
      </c>
      <c r="BT847" s="61">
        <f t="shared" si="833"/>
        <v>0</v>
      </c>
      <c r="BU847" s="61">
        <f t="shared" si="834"/>
        <v>0</v>
      </c>
      <c r="BV847" s="61">
        <f t="shared" si="835"/>
        <v>0</v>
      </c>
      <c r="BW847" s="61">
        <f t="shared" si="836"/>
        <v>0</v>
      </c>
      <c r="BX847" s="61">
        <f t="shared" si="836"/>
        <v>0</v>
      </c>
      <c r="BY847" s="61" t="s">
        <v>91</v>
      </c>
      <c r="CA847" s="61">
        <f t="shared" si="837"/>
        <v>0</v>
      </c>
      <c r="CB847" s="61">
        <f t="shared" si="837"/>
        <v>0</v>
      </c>
      <c r="CC847" s="61">
        <f t="shared" si="837"/>
        <v>0</v>
      </c>
      <c r="CD847" s="61">
        <f t="shared" si="837"/>
        <v>0</v>
      </c>
      <c r="CE847" s="61">
        <f t="shared" si="837"/>
        <v>0</v>
      </c>
      <c r="CF847" s="61">
        <f t="shared" si="837"/>
        <v>0</v>
      </c>
      <c r="CG847" s="61">
        <f t="shared" si="837"/>
        <v>0</v>
      </c>
      <c r="CH847" s="61">
        <f t="shared" si="837"/>
        <v>0</v>
      </c>
      <c r="CI847" s="61">
        <f t="shared" si="838"/>
        <v>0</v>
      </c>
      <c r="CJ847" s="61"/>
      <c r="CK847" s="61">
        <f t="shared" si="839"/>
        <v>0</v>
      </c>
      <c r="CL847" s="61">
        <f t="shared" si="839"/>
        <v>0</v>
      </c>
      <c r="CM847" s="61">
        <f t="shared" si="839"/>
        <v>0</v>
      </c>
      <c r="CN847" s="61">
        <f t="shared" si="839"/>
        <v>0</v>
      </c>
      <c r="CO847" s="61">
        <f t="shared" si="839"/>
        <v>0</v>
      </c>
      <c r="CP847" s="61">
        <f t="shared" si="839"/>
        <v>0</v>
      </c>
      <c r="CQ847" s="61">
        <f t="shared" si="839"/>
        <v>0</v>
      </c>
      <c r="CR847" s="61">
        <f t="shared" si="839"/>
        <v>0</v>
      </c>
      <c r="CS847" s="61">
        <f t="shared" si="840"/>
        <v>0</v>
      </c>
      <c r="CT847" s="63">
        <f t="shared" si="841"/>
        <v>0</v>
      </c>
      <c r="CV847" s="61">
        <f t="shared" si="852"/>
        <v>0</v>
      </c>
      <c r="CW847" s="61">
        <f t="shared" si="850"/>
        <v>0</v>
      </c>
      <c r="CX847" s="61"/>
      <c r="CY847" s="61">
        <f t="shared" si="777"/>
        <v>0</v>
      </c>
      <c r="CZ847" s="61">
        <f t="shared" si="777"/>
        <v>1149798</v>
      </c>
      <c r="DA847" s="61">
        <f t="shared" si="777"/>
        <v>0</v>
      </c>
      <c r="DB847" s="2" t="s">
        <v>85</v>
      </c>
      <c r="DC847" s="2" t="s">
        <v>85</v>
      </c>
      <c r="DD847" s="2" t="s">
        <v>142</v>
      </c>
      <c r="DE847" s="2" t="s">
        <v>264</v>
      </c>
      <c r="DF847" s="3" t="s">
        <v>102</v>
      </c>
      <c r="DG847" s="62">
        <v>43035</v>
      </c>
      <c r="EC847" s="60"/>
      <c r="ED847" s="60"/>
      <c r="EE847" s="60"/>
      <c r="EF847" s="60"/>
    </row>
    <row r="848" spans="2:140" ht="12.75" hidden="1" customHeight="1">
      <c r="B848" s="99" t="s">
        <v>1406</v>
      </c>
      <c r="C848" s="22" t="s">
        <v>950</v>
      </c>
      <c r="D848" s="22" t="s">
        <v>951</v>
      </c>
      <c r="E848" s="2" t="s">
        <v>968</v>
      </c>
      <c r="F848" s="2" t="s">
        <v>969</v>
      </c>
      <c r="G848" s="2" t="s">
        <v>331</v>
      </c>
      <c r="J848" s="149" t="s">
        <v>126</v>
      </c>
      <c r="K848" s="23" t="s">
        <v>953</v>
      </c>
      <c r="L848" s="149" t="s">
        <v>234</v>
      </c>
      <c r="M848" s="51" t="str">
        <f t="shared" si="820"/>
        <v>JD8B-F20899-AC</v>
      </c>
      <c r="O848" s="22">
        <v>0</v>
      </c>
      <c r="P848" s="22">
        <v>0</v>
      </c>
      <c r="Q848" s="22">
        <v>0</v>
      </c>
      <c r="R848" s="22">
        <v>0</v>
      </c>
      <c r="S848" s="22">
        <v>0</v>
      </c>
      <c r="T848" s="22">
        <v>0</v>
      </c>
      <c r="U848" s="22">
        <v>1</v>
      </c>
      <c r="V848" s="22">
        <v>1</v>
      </c>
      <c r="W848" s="64">
        <f t="shared" si="829"/>
        <v>0.1</v>
      </c>
      <c r="Y848" s="8">
        <f>-16.02-0.34</f>
        <v>-16.36</v>
      </c>
      <c r="Z848" s="8">
        <v>-0.66</v>
      </c>
      <c r="AA848" s="8">
        <v>-0.16</v>
      </c>
      <c r="AB848" s="8">
        <v>0</v>
      </c>
      <c r="AC848" s="8">
        <v>-0.16</v>
      </c>
      <c r="AD848" s="8">
        <f t="shared" ref="AD848" si="854">SUM(Y848:AC848)</f>
        <v>-17.34</v>
      </c>
      <c r="AE848" s="2" t="s">
        <v>84</v>
      </c>
      <c r="AG848" s="8">
        <v>-822500</v>
      </c>
      <c r="AH848" s="8">
        <v>-822500</v>
      </c>
      <c r="AI848" s="6"/>
      <c r="AJ848" s="70">
        <v>-88750</v>
      </c>
      <c r="AK848" s="70">
        <v>574899</v>
      </c>
      <c r="AL848" s="72"/>
      <c r="AM848" s="22"/>
      <c r="AO848" s="149" t="s">
        <v>126</v>
      </c>
      <c r="AP848" s="23" t="s">
        <v>953</v>
      </c>
      <c r="AQ848" s="149" t="s">
        <v>132</v>
      </c>
      <c r="AR848" s="51" t="str">
        <f t="shared" si="822"/>
        <v>JD8B-F20899-AB</v>
      </c>
      <c r="AS848" s="3"/>
      <c r="AT848" s="94">
        <v>0</v>
      </c>
      <c r="AU848" s="94">
        <v>0</v>
      </c>
      <c r="AV848" s="94">
        <v>0</v>
      </c>
      <c r="AW848" s="94">
        <v>0</v>
      </c>
      <c r="AX848" s="94">
        <v>0</v>
      </c>
      <c r="AY848" s="94">
        <v>0</v>
      </c>
      <c r="AZ848" s="94">
        <v>1</v>
      </c>
      <c r="BA848" s="94">
        <v>1</v>
      </c>
      <c r="BB848" s="64">
        <f t="shared" si="831"/>
        <v>0.1</v>
      </c>
      <c r="BD848" s="60">
        <v>-16.02</v>
      </c>
      <c r="BE848" s="60">
        <v>-0.66</v>
      </c>
      <c r="BF848" s="95">
        <v>-0.16</v>
      </c>
      <c r="BG848" s="95">
        <v>0</v>
      </c>
      <c r="BH848" s="95">
        <v>-0.16</v>
      </c>
      <c r="BI848" s="8">
        <f t="shared" si="851"/>
        <v>-17</v>
      </c>
      <c r="BJ848" s="2" t="s">
        <v>84</v>
      </c>
      <c r="BL848" s="70">
        <v>-822500</v>
      </c>
      <c r="BM848" s="70">
        <v>-822500</v>
      </c>
      <c r="BO848" s="70">
        <v>-88750</v>
      </c>
      <c r="BP848" s="70">
        <v>-574899</v>
      </c>
      <c r="BQ848" s="162"/>
      <c r="BS848" s="61">
        <f t="shared" si="832"/>
        <v>-0.33999999999999986</v>
      </c>
      <c r="BT848" s="61">
        <f t="shared" si="833"/>
        <v>0</v>
      </c>
      <c r="BU848" s="61">
        <f t="shared" si="834"/>
        <v>0</v>
      </c>
      <c r="BV848" s="61">
        <f t="shared" si="835"/>
        <v>0</v>
      </c>
      <c r="BW848" s="61">
        <f t="shared" si="836"/>
        <v>0</v>
      </c>
      <c r="BX848" s="61">
        <f t="shared" si="836"/>
        <v>-0.33999999999999986</v>
      </c>
      <c r="BY848" s="61" t="s">
        <v>91</v>
      </c>
      <c r="CA848" s="61">
        <f t="shared" si="837"/>
        <v>0</v>
      </c>
      <c r="CB848" s="61">
        <f t="shared" si="837"/>
        <v>0</v>
      </c>
      <c r="CC848" s="61">
        <f t="shared" si="837"/>
        <v>0</v>
      </c>
      <c r="CD848" s="61">
        <f t="shared" si="837"/>
        <v>0</v>
      </c>
      <c r="CE848" s="61">
        <f t="shared" si="837"/>
        <v>0</v>
      </c>
      <c r="CF848" s="61">
        <f t="shared" si="837"/>
        <v>0</v>
      </c>
      <c r="CG848" s="61">
        <f t="shared" si="837"/>
        <v>-5.115089514066494E-2</v>
      </c>
      <c r="CH848" s="61">
        <f t="shared" si="837"/>
        <v>-5.115089514066494E-2</v>
      </c>
      <c r="CI848" s="61">
        <f t="shared" si="838"/>
        <v>-5.115089514066494E-3</v>
      </c>
      <c r="CJ848" s="61"/>
      <c r="CK848" s="61">
        <f t="shared" si="839"/>
        <v>0</v>
      </c>
      <c r="CL848" s="61">
        <f t="shared" si="839"/>
        <v>0</v>
      </c>
      <c r="CM848" s="61">
        <f t="shared" si="839"/>
        <v>0</v>
      </c>
      <c r="CN848" s="61">
        <f t="shared" si="839"/>
        <v>0</v>
      </c>
      <c r="CO848" s="61">
        <f t="shared" si="839"/>
        <v>0</v>
      </c>
      <c r="CP848" s="61">
        <f t="shared" si="839"/>
        <v>0</v>
      </c>
      <c r="CQ848" s="61">
        <f t="shared" si="839"/>
        <v>-5.115089514066494E-2</v>
      </c>
      <c r="CR848" s="61">
        <f t="shared" si="839"/>
        <v>-5.115089514066494E-2</v>
      </c>
      <c r="CS848" s="61">
        <f t="shared" si="840"/>
        <v>-5.115089514066494E-3</v>
      </c>
      <c r="CT848" s="63">
        <f t="shared" si="841"/>
        <v>-3.3999999999999989E-2</v>
      </c>
      <c r="CV848" s="61">
        <f t="shared" si="852"/>
        <v>0</v>
      </c>
      <c r="CW848" s="61">
        <f t="shared" si="850"/>
        <v>0</v>
      </c>
      <c r="CX848" s="61"/>
      <c r="CY848" s="61">
        <f t="shared" si="777"/>
        <v>0</v>
      </c>
      <c r="CZ848" s="61">
        <f t="shared" si="777"/>
        <v>1149798</v>
      </c>
      <c r="DA848" s="61">
        <f t="shared" si="777"/>
        <v>0</v>
      </c>
      <c r="DB848" s="2" t="s">
        <v>86</v>
      </c>
      <c r="DC848" s="2" t="s">
        <v>85</v>
      </c>
      <c r="DD848" s="2" t="s">
        <v>142</v>
      </c>
      <c r="DE848" s="2" t="s">
        <v>106</v>
      </c>
      <c r="DG848" s="62"/>
      <c r="DZ848" s="3" t="e">
        <v>#N/A</v>
      </c>
      <c r="EC848" s="60" t="str">
        <f>VLOOKUP($M848,[1]Detail!$M:$BO,1,0)</f>
        <v>JD8B-F20899-AC</v>
      </c>
      <c r="ED848" s="60">
        <f>VLOOKUP($M848,[1]Detail!$M:$BO,22,0)</f>
        <v>-17.34</v>
      </c>
      <c r="EE848" s="60">
        <f>VLOOKUP($M848,[1]Detail!$M:$BO,42,0)</f>
        <v>-822500</v>
      </c>
      <c r="EF848" s="60">
        <f>VLOOKUP($M848,[1]Detail!$M:$BO,45,0)</f>
        <v>-88750</v>
      </c>
      <c r="EH848" s="60">
        <f>ED848-AD848</f>
        <v>0</v>
      </c>
      <c r="EI848" s="60">
        <f>EE848-AG848</f>
        <v>0</v>
      </c>
      <c r="EJ848" s="60">
        <f>EF848-AJ848</f>
        <v>0</v>
      </c>
    </row>
    <row r="849" spans="2:140" ht="12.75" hidden="1" customHeight="1">
      <c r="B849" s="99" t="s">
        <v>1405</v>
      </c>
      <c r="C849" s="22" t="s">
        <v>950</v>
      </c>
      <c r="D849" s="22" t="s">
        <v>951</v>
      </c>
      <c r="E849" s="2" t="s">
        <v>968</v>
      </c>
      <c r="F849" s="2" t="s">
        <v>969</v>
      </c>
      <c r="G849" s="2" t="s">
        <v>331</v>
      </c>
      <c r="J849" s="149" t="s">
        <v>126</v>
      </c>
      <c r="K849" s="23" t="s">
        <v>954</v>
      </c>
      <c r="L849" s="149" t="s">
        <v>132</v>
      </c>
      <c r="M849" s="51" t="str">
        <f t="shared" si="820"/>
        <v>JD8B-F254A40-AB</v>
      </c>
      <c r="O849" s="22">
        <v>0</v>
      </c>
      <c r="P849" s="22">
        <v>0</v>
      </c>
      <c r="Q849" s="22">
        <v>0</v>
      </c>
      <c r="R849" s="22">
        <v>0</v>
      </c>
      <c r="S849" s="22">
        <v>0</v>
      </c>
      <c r="T849" s="22">
        <v>0</v>
      </c>
      <c r="U849" s="22">
        <v>1</v>
      </c>
      <c r="V849" s="22">
        <v>1</v>
      </c>
      <c r="W849" s="64">
        <f t="shared" si="829"/>
        <v>0.1</v>
      </c>
      <c r="Y849" s="8">
        <v>-15.74</v>
      </c>
      <c r="Z849" s="8">
        <v>-0.66</v>
      </c>
      <c r="AA849" s="8">
        <v>-0.16</v>
      </c>
      <c r="AB849" s="8">
        <v>0</v>
      </c>
      <c r="AC849" s="8">
        <v>-0.16</v>
      </c>
      <c r="AD849" s="8">
        <f t="shared" si="847"/>
        <v>-16.72</v>
      </c>
      <c r="AE849" s="2" t="s">
        <v>84</v>
      </c>
      <c r="AG849" s="8">
        <v>-822500</v>
      </c>
      <c r="AH849" s="8">
        <v>-822500</v>
      </c>
      <c r="AI849" s="6"/>
      <c r="AJ849" s="70">
        <v>-88750</v>
      </c>
      <c r="AK849" s="70">
        <v>574899</v>
      </c>
      <c r="AL849" s="72"/>
      <c r="AM849" s="22"/>
      <c r="AO849" s="149" t="s">
        <v>126</v>
      </c>
      <c r="AP849" s="23" t="s">
        <v>954</v>
      </c>
      <c r="AQ849" s="149" t="s">
        <v>100</v>
      </c>
      <c r="AR849" s="51" t="str">
        <f t="shared" si="822"/>
        <v>JD8B-F254A40-AA</v>
      </c>
      <c r="AS849" s="3"/>
      <c r="AT849" s="94">
        <v>0</v>
      </c>
      <c r="AU849" s="94">
        <v>0</v>
      </c>
      <c r="AV849" s="94">
        <v>0</v>
      </c>
      <c r="AW849" s="94">
        <v>0</v>
      </c>
      <c r="AX849" s="94">
        <v>0</v>
      </c>
      <c r="AY849" s="94">
        <v>0</v>
      </c>
      <c r="AZ849" s="94">
        <v>1</v>
      </c>
      <c r="BA849" s="94">
        <v>1</v>
      </c>
      <c r="BB849" s="64">
        <f t="shared" si="831"/>
        <v>0.1</v>
      </c>
      <c r="BD849" s="60">
        <v>-15.74</v>
      </c>
      <c r="BE849" s="60">
        <v>-0.66</v>
      </c>
      <c r="BF849" s="95">
        <v>-0.16</v>
      </c>
      <c r="BG849" s="95">
        <v>0</v>
      </c>
      <c r="BH849" s="95">
        <v>-0.16</v>
      </c>
      <c r="BI849" s="8">
        <f t="shared" si="848"/>
        <v>-16.72</v>
      </c>
      <c r="BJ849" s="2" t="s">
        <v>84</v>
      </c>
      <c r="BL849" s="70">
        <v>-822500</v>
      </c>
      <c r="BM849" s="70">
        <v>-822500</v>
      </c>
      <c r="BO849" s="70">
        <v>-88750</v>
      </c>
      <c r="BP849" s="70">
        <v>-574899</v>
      </c>
      <c r="BQ849" s="72"/>
      <c r="BS849" s="61">
        <f t="shared" si="832"/>
        <v>0</v>
      </c>
      <c r="BT849" s="61">
        <f t="shared" si="833"/>
        <v>0</v>
      </c>
      <c r="BU849" s="61">
        <f t="shared" si="834"/>
        <v>0</v>
      </c>
      <c r="BV849" s="61">
        <f t="shared" si="835"/>
        <v>0</v>
      </c>
      <c r="BW849" s="61">
        <f t="shared" si="836"/>
        <v>0</v>
      </c>
      <c r="BX849" s="61">
        <f t="shared" si="836"/>
        <v>0</v>
      </c>
      <c r="BY849" s="61" t="s">
        <v>91</v>
      </c>
      <c r="CA849" s="61">
        <f t="shared" si="837"/>
        <v>0</v>
      </c>
      <c r="CB849" s="61">
        <f t="shared" si="837"/>
        <v>0</v>
      </c>
      <c r="CC849" s="61">
        <f t="shared" si="837"/>
        <v>0</v>
      </c>
      <c r="CD849" s="61">
        <f t="shared" si="837"/>
        <v>0</v>
      </c>
      <c r="CE849" s="61">
        <f t="shared" si="837"/>
        <v>0</v>
      </c>
      <c r="CF849" s="61">
        <f t="shared" si="837"/>
        <v>0</v>
      </c>
      <c r="CG849" s="61">
        <f t="shared" si="837"/>
        <v>0</v>
      </c>
      <c r="CH849" s="61">
        <f t="shared" si="837"/>
        <v>0</v>
      </c>
      <c r="CI849" s="61">
        <f t="shared" si="838"/>
        <v>0</v>
      </c>
      <c r="CJ849" s="61"/>
      <c r="CK849" s="61">
        <f t="shared" si="839"/>
        <v>0</v>
      </c>
      <c r="CL849" s="61">
        <f t="shared" si="839"/>
        <v>0</v>
      </c>
      <c r="CM849" s="61">
        <f t="shared" si="839"/>
        <v>0</v>
      </c>
      <c r="CN849" s="61">
        <f t="shared" si="839"/>
        <v>0</v>
      </c>
      <c r="CO849" s="61">
        <f t="shared" si="839"/>
        <v>0</v>
      </c>
      <c r="CP849" s="61">
        <f t="shared" si="839"/>
        <v>0</v>
      </c>
      <c r="CQ849" s="61">
        <f t="shared" si="839"/>
        <v>0</v>
      </c>
      <c r="CR849" s="61">
        <f t="shared" si="839"/>
        <v>0</v>
      </c>
      <c r="CS849" s="61">
        <f t="shared" si="840"/>
        <v>0</v>
      </c>
      <c r="CT849" s="63">
        <f t="shared" si="841"/>
        <v>0</v>
      </c>
      <c r="CV849" s="61">
        <f t="shared" si="849"/>
        <v>0</v>
      </c>
      <c r="CW849" s="61">
        <f t="shared" si="850"/>
        <v>0</v>
      </c>
      <c r="CX849" s="61"/>
      <c r="CY849" s="61">
        <f t="shared" si="777"/>
        <v>0</v>
      </c>
      <c r="CZ849" s="61">
        <f t="shared" si="777"/>
        <v>1149798</v>
      </c>
      <c r="DA849" s="61">
        <f t="shared" si="777"/>
        <v>0</v>
      </c>
      <c r="DB849" s="2" t="s">
        <v>85</v>
      </c>
      <c r="DC849" s="2" t="s">
        <v>85</v>
      </c>
      <c r="DD849" s="2" t="s">
        <v>142</v>
      </c>
      <c r="DE849" s="2" t="s">
        <v>264</v>
      </c>
      <c r="DG849" s="62"/>
      <c r="DZ849" s="3" t="e">
        <v>#N/A</v>
      </c>
      <c r="EC849" s="60"/>
      <c r="ED849" s="60"/>
      <c r="EE849" s="60"/>
      <c r="EF849" s="60"/>
    </row>
    <row r="850" spans="2:140" ht="12.75" hidden="1" customHeight="1">
      <c r="B850" s="99" t="s">
        <v>1405</v>
      </c>
      <c r="C850" s="22" t="s">
        <v>950</v>
      </c>
      <c r="D850" s="22" t="s">
        <v>951</v>
      </c>
      <c r="E850" s="2" t="s">
        <v>968</v>
      </c>
      <c r="F850" s="2" t="s">
        <v>969</v>
      </c>
      <c r="G850" s="2" t="s">
        <v>331</v>
      </c>
      <c r="J850" s="149" t="s">
        <v>126</v>
      </c>
      <c r="K850" s="23" t="s">
        <v>1407</v>
      </c>
      <c r="L850" s="149" t="s">
        <v>132</v>
      </c>
      <c r="M850" s="51" t="str">
        <f t="shared" si="820"/>
        <v>JD8B-F254A41-AB</v>
      </c>
      <c r="O850" s="22">
        <v>0</v>
      </c>
      <c r="P850" s="22">
        <v>0</v>
      </c>
      <c r="Q850" s="22">
        <v>0</v>
      </c>
      <c r="R850" s="22">
        <v>0</v>
      </c>
      <c r="S850" s="22">
        <v>0</v>
      </c>
      <c r="T850" s="22">
        <v>0</v>
      </c>
      <c r="U850" s="22">
        <v>1</v>
      </c>
      <c r="V850" s="22">
        <v>1</v>
      </c>
      <c r="W850" s="64">
        <f t="shared" si="829"/>
        <v>0.1</v>
      </c>
      <c r="Y850" s="8">
        <v>-15.74</v>
      </c>
      <c r="Z850" s="8">
        <v>-0.66</v>
      </c>
      <c r="AA850" s="8">
        <v>-0.16</v>
      </c>
      <c r="AB850" s="8">
        <v>0</v>
      </c>
      <c r="AC850" s="8">
        <v>-0.16</v>
      </c>
      <c r="AD850" s="8">
        <f t="shared" si="847"/>
        <v>-16.72</v>
      </c>
      <c r="AE850" s="2" t="s">
        <v>84</v>
      </c>
      <c r="AG850" s="8">
        <v>-822500</v>
      </c>
      <c r="AH850" s="8">
        <v>-822500</v>
      </c>
      <c r="AI850" s="6"/>
      <c r="AJ850" s="70">
        <v>-88750</v>
      </c>
      <c r="AK850" s="70">
        <v>574899</v>
      </c>
      <c r="AL850" s="72"/>
      <c r="AM850" s="22"/>
      <c r="AO850" s="149" t="s">
        <v>126</v>
      </c>
      <c r="AP850" s="23" t="s">
        <v>1407</v>
      </c>
      <c r="AQ850" s="149" t="s">
        <v>100</v>
      </c>
      <c r="AR850" s="51" t="str">
        <f t="shared" si="822"/>
        <v>JD8B-F254A41-AA</v>
      </c>
      <c r="AS850" s="3"/>
      <c r="AT850" s="94">
        <v>0</v>
      </c>
      <c r="AU850" s="94">
        <v>0</v>
      </c>
      <c r="AV850" s="94">
        <v>0</v>
      </c>
      <c r="AW850" s="94">
        <v>0</v>
      </c>
      <c r="AX850" s="94">
        <v>0</v>
      </c>
      <c r="AY850" s="94">
        <v>0</v>
      </c>
      <c r="AZ850" s="94">
        <v>1</v>
      </c>
      <c r="BA850" s="94">
        <v>1</v>
      </c>
      <c r="BB850" s="64">
        <f t="shared" si="831"/>
        <v>0.1</v>
      </c>
      <c r="BD850" s="60">
        <v>-15.74</v>
      </c>
      <c r="BE850" s="60">
        <v>-0.66</v>
      </c>
      <c r="BF850" s="95">
        <v>-0.16</v>
      </c>
      <c r="BG850" s="95">
        <v>0</v>
      </c>
      <c r="BH850" s="95">
        <v>-0.16</v>
      </c>
      <c r="BI850" s="8">
        <f t="shared" si="848"/>
        <v>-16.72</v>
      </c>
      <c r="BJ850" s="2" t="s">
        <v>84</v>
      </c>
      <c r="BL850" s="70">
        <v>-822500</v>
      </c>
      <c r="BM850" s="70">
        <v>-822500</v>
      </c>
      <c r="BO850" s="70">
        <v>-88750</v>
      </c>
      <c r="BP850" s="70">
        <v>-574899</v>
      </c>
      <c r="BQ850" s="72"/>
      <c r="BS850" s="61">
        <f t="shared" si="832"/>
        <v>0</v>
      </c>
      <c r="BT850" s="61">
        <f t="shared" si="833"/>
        <v>0</v>
      </c>
      <c r="BU850" s="61">
        <f t="shared" si="834"/>
        <v>0</v>
      </c>
      <c r="BV850" s="61">
        <f t="shared" si="835"/>
        <v>0</v>
      </c>
      <c r="BW850" s="61">
        <f t="shared" si="836"/>
        <v>0</v>
      </c>
      <c r="BX850" s="61">
        <f t="shared" si="836"/>
        <v>0</v>
      </c>
      <c r="BY850" s="61" t="s">
        <v>91</v>
      </c>
      <c r="CA850" s="61">
        <f t="shared" si="837"/>
        <v>0</v>
      </c>
      <c r="CB850" s="61">
        <f t="shared" si="837"/>
        <v>0</v>
      </c>
      <c r="CC850" s="61">
        <f t="shared" si="837"/>
        <v>0</v>
      </c>
      <c r="CD850" s="61">
        <f t="shared" si="837"/>
        <v>0</v>
      </c>
      <c r="CE850" s="61">
        <f t="shared" si="837"/>
        <v>0</v>
      </c>
      <c r="CF850" s="61">
        <f t="shared" si="837"/>
        <v>0</v>
      </c>
      <c r="CG850" s="61">
        <f t="shared" si="837"/>
        <v>0</v>
      </c>
      <c r="CH850" s="61">
        <f t="shared" si="837"/>
        <v>0</v>
      </c>
      <c r="CI850" s="61">
        <f t="shared" si="838"/>
        <v>0</v>
      </c>
      <c r="CJ850" s="61"/>
      <c r="CK850" s="61">
        <f t="shared" si="839"/>
        <v>0</v>
      </c>
      <c r="CL850" s="61">
        <f t="shared" si="839"/>
        <v>0</v>
      </c>
      <c r="CM850" s="61">
        <f t="shared" si="839"/>
        <v>0</v>
      </c>
      <c r="CN850" s="61">
        <f t="shared" si="839"/>
        <v>0</v>
      </c>
      <c r="CO850" s="61">
        <f t="shared" si="839"/>
        <v>0</v>
      </c>
      <c r="CP850" s="61">
        <f t="shared" si="839"/>
        <v>0</v>
      </c>
      <c r="CQ850" s="61">
        <f t="shared" si="839"/>
        <v>0</v>
      </c>
      <c r="CR850" s="61">
        <f t="shared" si="839"/>
        <v>0</v>
      </c>
      <c r="CS850" s="61">
        <f t="shared" si="840"/>
        <v>0</v>
      </c>
      <c r="CT850" s="63">
        <f t="shared" si="841"/>
        <v>0</v>
      </c>
      <c r="CV850" s="61">
        <f t="shared" si="849"/>
        <v>0</v>
      </c>
      <c r="CW850" s="61">
        <f t="shared" si="850"/>
        <v>0</v>
      </c>
      <c r="CX850" s="61"/>
      <c r="CY850" s="61">
        <f t="shared" si="777"/>
        <v>0</v>
      </c>
      <c r="CZ850" s="61">
        <f t="shared" si="777"/>
        <v>1149798</v>
      </c>
      <c r="DA850" s="61">
        <f t="shared" si="777"/>
        <v>0</v>
      </c>
      <c r="DB850" s="2" t="s">
        <v>85</v>
      </c>
      <c r="DC850" s="2" t="s">
        <v>85</v>
      </c>
      <c r="DD850" s="2" t="s">
        <v>142</v>
      </c>
      <c r="DE850" s="2" t="s">
        <v>264</v>
      </c>
      <c r="DG850" s="62"/>
      <c r="DZ850" s="3" t="e">
        <v>#N/A</v>
      </c>
      <c r="EC850" s="60"/>
      <c r="ED850" s="60"/>
      <c r="EE850" s="60"/>
      <c r="EF850" s="60"/>
    </row>
    <row r="851" spans="2:140" ht="12.75" hidden="1" customHeight="1">
      <c r="B851" s="99" t="s">
        <v>1405</v>
      </c>
      <c r="C851" s="22" t="s">
        <v>950</v>
      </c>
      <c r="D851" s="22" t="s">
        <v>951</v>
      </c>
      <c r="E851" s="2" t="s">
        <v>968</v>
      </c>
      <c r="F851" s="2" t="s">
        <v>969</v>
      </c>
      <c r="G851" s="2" t="s">
        <v>331</v>
      </c>
      <c r="J851" s="149" t="s">
        <v>126</v>
      </c>
      <c r="K851" s="23" t="s">
        <v>1408</v>
      </c>
      <c r="L851" s="149" t="s">
        <v>132</v>
      </c>
      <c r="M851" s="51" t="str">
        <f t="shared" si="820"/>
        <v>JD8B-F254A42-AB</v>
      </c>
      <c r="O851" s="22">
        <v>0</v>
      </c>
      <c r="P851" s="22">
        <v>0</v>
      </c>
      <c r="Q851" s="22">
        <v>0</v>
      </c>
      <c r="R851" s="22">
        <v>0</v>
      </c>
      <c r="S851" s="22">
        <v>0</v>
      </c>
      <c r="T851" s="22">
        <v>0</v>
      </c>
      <c r="U851" s="22">
        <v>1</v>
      </c>
      <c r="V851" s="22">
        <v>1</v>
      </c>
      <c r="W851" s="64">
        <f t="shared" si="829"/>
        <v>0.1</v>
      </c>
      <c r="Y851" s="8">
        <v>-14.24</v>
      </c>
      <c r="Z851" s="8">
        <v>-0.91</v>
      </c>
      <c r="AA851" s="8">
        <v>-0.16</v>
      </c>
      <c r="AB851" s="8">
        <v>0</v>
      </c>
      <c r="AC851" s="8">
        <v>-0.16</v>
      </c>
      <c r="AD851" s="8">
        <f t="shared" si="847"/>
        <v>-15.47</v>
      </c>
      <c r="AE851" s="2" t="s">
        <v>84</v>
      </c>
      <c r="AG851" s="8">
        <v>-815000</v>
      </c>
      <c r="AH851" s="8">
        <v>-815000</v>
      </c>
      <c r="AI851" s="6"/>
      <c r="AJ851" s="70">
        <v>-88750</v>
      </c>
      <c r="AK851" s="70">
        <v>574899</v>
      </c>
      <c r="AL851" s="72"/>
      <c r="AM851" s="22"/>
      <c r="AO851" s="149" t="s">
        <v>126</v>
      </c>
      <c r="AP851" s="23" t="s">
        <v>1408</v>
      </c>
      <c r="AQ851" s="149" t="s">
        <v>100</v>
      </c>
      <c r="AR851" s="51" t="str">
        <f t="shared" si="822"/>
        <v>JD8B-F254A42-AA</v>
      </c>
      <c r="AS851" s="3"/>
      <c r="AT851" s="94">
        <v>0</v>
      </c>
      <c r="AU851" s="94">
        <v>0</v>
      </c>
      <c r="AV851" s="94">
        <v>0</v>
      </c>
      <c r="AW851" s="94">
        <v>0</v>
      </c>
      <c r="AX851" s="94">
        <v>0</v>
      </c>
      <c r="AY851" s="94">
        <v>0</v>
      </c>
      <c r="AZ851" s="94">
        <v>1</v>
      </c>
      <c r="BA851" s="94">
        <v>1</v>
      </c>
      <c r="BB851" s="64">
        <f t="shared" si="831"/>
        <v>0.1</v>
      </c>
      <c r="BD851" s="60">
        <v>-14.24</v>
      </c>
      <c r="BE851" s="60">
        <v>-0.91</v>
      </c>
      <c r="BF851" s="95">
        <v>-0.16</v>
      </c>
      <c r="BG851" s="95">
        <v>0</v>
      </c>
      <c r="BH851" s="95">
        <v>-0.16</v>
      </c>
      <c r="BI851" s="8">
        <f t="shared" ref="BI851" si="855">SUM(BD851:BH851)</f>
        <v>-15.47</v>
      </c>
      <c r="BJ851" s="2" t="s">
        <v>84</v>
      </c>
      <c r="BL851" s="70">
        <v>-815000</v>
      </c>
      <c r="BM851" s="70">
        <v>-815000</v>
      </c>
      <c r="BO851" s="70">
        <v>-88750</v>
      </c>
      <c r="BP851" s="70">
        <v>-574899</v>
      </c>
      <c r="BQ851" s="72"/>
      <c r="BS851" s="61">
        <f t="shared" si="832"/>
        <v>0</v>
      </c>
      <c r="BT851" s="61">
        <f t="shared" si="833"/>
        <v>0</v>
      </c>
      <c r="BU851" s="61">
        <f t="shared" si="834"/>
        <v>0</v>
      </c>
      <c r="BV851" s="61">
        <f t="shared" si="835"/>
        <v>0</v>
      </c>
      <c r="BW851" s="61">
        <f t="shared" si="836"/>
        <v>0</v>
      </c>
      <c r="BX851" s="61">
        <f t="shared" si="836"/>
        <v>0</v>
      </c>
      <c r="BY851" s="61" t="s">
        <v>91</v>
      </c>
      <c r="CA851" s="61">
        <f t="shared" si="837"/>
        <v>0</v>
      </c>
      <c r="CB851" s="61">
        <f t="shared" si="837"/>
        <v>0</v>
      </c>
      <c r="CC851" s="61">
        <f t="shared" si="837"/>
        <v>0</v>
      </c>
      <c r="CD851" s="61">
        <f t="shared" si="837"/>
        <v>0</v>
      </c>
      <c r="CE851" s="61">
        <f t="shared" si="837"/>
        <v>0</v>
      </c>
      <c r="CF851" s="61">
        <f t="shared" si="837"/>
        <v>0</v>
      </c>
      <c r="CG851" s="61">
        <f t="shared" si="837"/>
        <v>0</v>
      </c>
      <c r="CH851" s="61">
        <f t="shared" si="837"/>
        <v>0</v>
      </c>
      <c r="CI851" s="61">
        <f t="shared" si="838"/>
        <v>0</v>
      </c>
      <c r="CJ851" s="61"/>
      <c r="CK851" s="61">
        <f t="shared" si="839"/>
        <v>0</v>
      </c>
      <c r="CL851" s="61">
        <f t="shared" si="839"/>
        <v>0</v>
      </c>
      <c r="CM851" s="61">
        <f t="shared" si="839"/>
        <v>0</v>
      </c>
      <c r="CN851" s="61">
        <f t="shared" si="839"/>
        <v>0</v>
      </c>
      <c r="CO851" s="61">
        <f t="shared" si="839"/>
        <v>0</v>
      </c>
      <c r="CP851" s="61">
        <f t="shared" si="839"/>
        <v>0</v>
      </c>
      <c r="CQ851" s="61">
        <f t="shared" si="839"/>
        <v>0</v>
      </c>
      <c r="CR851" s="61">
        <f t="shared" si="839"/>
        <v>0</v>
      </c>
      <c r="CS851" s="61">
        <f t="shared" si="840"/>
        <v>0</v>
      </c>
      <c r="CT851" s="63">
        <f t="shared" si="841"/>
        <v>0</v>
      </c>
      <c r="CV851" s="61">
        <f t="shared" ref="CV851:CV868" si="856">SUM(AG851)-SUM(BL851)</f>
        <v>0</v>
      </c>
      <c r="CW851" s="61">
        <f t="shared" si="850"/>
        <v>0</v>
      </c>
      <c r="CX851" s="61"/>
      <c r="CY851" s="61">
        <f t="shared" si="777"/>
        <v>0</v>
      </c>
      <c r="CZ851" s="61">
        <f t="shared" si="777"/>
        <v>1149798</v>
      </c>
      <c r="DA851" s="61">
        <f t="shared" si="777"/>
        <v>0</v>
      </c>
      <c r="DB851" s="2" t="s">
        <v>85</v>
      </c>
      <c r="DC851" s="2" t="s">
        <v>85</v>
      </c>
      <c r="DD851" s="2" t="s">
        <v>142</v>
      </c>
      <c r="DE851" s="2" t="s">
        <v>264</v>
      </c>
      <c r="DG851" s="62"/>
      <c r="DZ851" s="3" t="e">
        <v>#N/A</v>
      </c>
      <c r="EC851" s="60"/>
      <c r="ED851" s="60"/>
      <c r="EE851" s="60"/>
      <c r="EF851" s="60"/>
    </row>
    <row r="852" spans="2:140" ht="12.75" hidden="1" customHeight="1">
      <c r="B852" s="99" t="s">
        <v>1405</v>
      </c>
      <c r="C852" s="22" t="s">
        <v>950</v>
      </c>
      <c r="D852" s="22" t="s">
        <v>951</v>
      </c>
      <c r="E852" s="2" t="s">
        <v>968</v>
      </c>
      <c r="F852" s="2" t="s">
        <v>969</v>
      </c>
      <c r="G852" s="2" t="s">
        <v>331</v>
      </c>
      <c r="J852" s="149" t="s">
        <v>126</v>
      </c>
      <c r="K852" s="23" t="s">
        <v>1409</v>
      </c>
      <c r="L852" s="149" t="s">
        <v>132</v>
      </c>
      <c r="M852" s="51" t="str">
        <f t="shared" si="820"/>
        <v>JD8B-F254A43-AB</v>
      </c>
      <c r="O852" s="22">
        <v>0</v>
      </c>
      <c r="P852" s="22">
        <v>0</v>
      </c>
      <c r="Q852" s="22">
        <v>0</v>
      </c>
      <c r="R852" s="22">
        <v>0</v>
      </c>
      <c r="S852" s="22">
        <v>0</v>
      </c>
      <c r="T852" s="22">
        <v>0</v>
      </c>
      <c r="U852" s="22">
        <v>1</v>
      </c>
      <c r="V852" s="22">
        <v>1</v>
      </c>
      <c r="W852" s="64">
        <f t="shared" si="829"/>
        <v>0.1</v>
      </c>
      <c r="Y852" s="8">
        <v>-14.24</v>
      </c>
      <c r="Z852" s="8">
        <v>-0.91</v>
      </c>
      <c r="AA852" s="8">
        <v>-0.16</v>
      </c>
      <c r="AB852" s="8">
        <v>0</v>
      </c>
      <c r="AC852" s="8">
        <v>-0.16</v>
      </c>
      <c r="AD852" s="8">
        <f t="shared" si="847"/>
        <v>-15.47</v>
      </c>
      <c r="AE852" s="2" t="s">
        <v>84</v>
      </c>
      <c r="AG852" s="8">
        <v>-815000</v>
      </c>
      <c r="AH852" s="8">
        <v>-815000</v>
      </c>
      <c r="AI852" s="6"/>
      <c r="AJ852" s="70">
        <v>-88750</v>
      </c>
      <c r="AK852" s="70">
        <v>574899</v>
      </c>
      <c r="AL852" s="72"/>
      <c r="AM852" s="22"/>
      <c r="AO852" s="149" t="s">
        <v>126</v>
      </c>
      <c r="AP852" s="23" t="s">
        <v>1409</v>
      </c>
      <c r="AQ852" s="149" t="s">
        <v>100</v>
      </c>
      <c r="AR852" s="51" t="str">
        <f t="shared" si="822"/>
        <v>JD8B-F254A43-AA</v>
      </c>
      <c r="AS852" s="3"/>
      <c r="AT852" s="94">
        <v>0</v>
      </c>
      <c r="AU852" s="94">
        <v>0</v>
      </c>
      <c r="AV852" s="94">
        <v>0</v>
      </c>
      <c r="AW852" s="94">
        <v>0</v>
      </c>
      <c r="AX852" s="94">
        <v>0</v>
      </c>
      <c r="AY852" s="94">
        <v>0</v>
      </c>
      <c r="AZ852" s="94">
        <v>1</v>
      </c>
      <c r="BA852" s="94">
        <v>1</v>
      </c>
      <c r="BB852" s="64">
        <f t="shared" si="831"/>
        <v>0.1</v>
      </c>
      <c r="BD852" s="60">
        <v>-14.24</v>
      </c>
      <c r="BE852" s="60">
        <v>-0.91</v>
      </c>
      <c r="BF852" s="95">
        <v>-0.16</v>
      </c>
      <c r="BG852" s="95">
        <v>0</v>
      </c>
      <c r="BH852" s="95">
        <v>-0.16</v>
      </c>
      <c r="BI852" s="8">
        <f t="shared" ref="BI852:BI859" si="857">SUM(BD852:BH852)</f>
        <v>-15.47</v>
      </c>
      <c r="BJ852" s="2" t="s">
        <v>84</v>
      </c>
      <c r="BL852" s="70">
        <v>-815000</v>
      </c>
      <c r="BM852" s="70">
        <v>-815000</v>
      </c>
      <c r="BO852" s="70">
        <v>-88750</v>
      </c>
      <c r="BP852" s="70">
        <v>-574899</v>
      </c>
      <c r="BQ852" s="72"/>
      <c r="BS852" s="61">
        <f t="shared" si="832"/>
        <v>0</v>
      </c>
      <c r="BT852" s="61">
        <f t="shared" si="833"/>
        <v>0</v>
      </c>
      <c r="BU852" s="61">
        <f t="shared" si="834"/>
        <v>0</v>
      </c>
      <c r="BV852" s="61">
        <f t="shared" si="835"/>
        <v>0</v>
      </c>
      <c r="BW852" s="61">
        <f t="shared" si="836"/>
        <v>0</v>
      </c>
      <c r="BX852" s="61">
        <f t="shared" si="836"/>
        <v>0</v>
      </c>
      <c r="BY852" s="61" t="s">
        <v>91</v>
      </c>
      <c r="CA852" s="61">
        <f t="shared" si="837"/>
        <v>0</v>
      </c>
      <c r="CB852" s="61">
        <f t="shared" si="837"/>
        <v>0</v>
      </c>
      <c r="CC852" s="61">
        <f t="shared" si="837"/>
        <v>0</v>
      </c>
      <c r="CD852" s="61">
        <f t="shared" si="837"/>
        <v>0</v>
      </c>
      <c r="CE852" s="61">
        <f t="shared" si="837"/>
        <v>0</v>
      </c>
      <c r="CF852" s="61">
        <f t="shared" si="837"/>
        <v>0</v>
      </c>
      <c r="CG852" s="61">
        <f t="shared" si="837"/>
        <v>0</v>
      </c>
      <c r="CH852" s="61">
        <f t="shared" si="837"/>
        <v>0</v>
      </c>
      <c r="CI852" s="61">
        <f t="shared" si="838"/>
        <v>0</v>
      </c>
      <c r="CJ852" s="61"/>
      <c r="CK852" s="61">
        <f t="shared" si="839"/>
        <v>0</v>
      </c>
      <c r="CL852" s="61">
        <f t="shared" si="839"/>
        <v>0</v>
      </c>
      <c r="CM852" s="61">
        <f t="shared" si="839"/>
        <v>0</v>
      </c>
      <c r="CN852" s="61">
        <f t="shared" si="839"/>
        <v>0</v>
      </c>
      <c r="CO852" s="61">
        <f t="shared" si="839"/>
        <v>0</v>
      </c>
      <c r="CP852" s="61">
        <f t="shared" si="839"/>
        <v>0</v>
      </c>
      <c r="CQ852" s="61">
        <f t="shared" si="839"/>
        <v>0</v>
      </c>
      <c r="CR852" s="61">
        <f t="shared" si="839"/>
        <v>0</v>
      </c>
      <c r="CS852" s="61">
        <f t="shared" si="840"/>
        <v>0</v>
      </c>
      <c r="CT852" s="63">
        <f t="shared" si="841"/>
        <v>0</v>
      </c>
      <c r="CV852" s="61">
        <f t="shared" ref="CV852" si="858">SUM(AG852)-SUM(BL852)</f>
        <v>0</v>
      </c>
      <c r="CW852" s="61">
        <f t="shared" si="850"/>
        <v>0</v>
      </c>
      <c r="CX852" s="61"/>
      <c r="CY852" s="61">
        <f t="shared" si="777"/>
        <v>0</v>
      </c>
      <c r="CZ852" s="61">
        <f t="shared" si="777"/>
        <v>1149798</v>
      </c>
      <c r="DA852" s="61">
        <f t="shared" si="777"/>
        <v>0</v>
      </c>
      <c r="DB852" s="2" t="s">
        <v>85</v>
      </c>
      <c r="DC852" s="2" t="s">
        <v>85</v>
      </c>
      <c r="DD852" s="2" t="s">
        <v>142</v>
      </c>
      <c r="DE852" s="2" t="s">
        <v>264</v>
      </c>
      <c r="DG852" s="62"/>
      <c r="DZ852" s="3" t="e">
        <v>#N/A</v>
      </c>
      <c r="EC852" s="60"/>
      <c r="ED852" s="60"/>
      <c r="EE852" s="60"/>
      <c r="EF852" s="60"/>
    </row>
    <row r="853" spans="2:140" ht="12.75" hidden="1" customHeight="1">
      <c r="B853" s="99" t="s">
        <v>1406</v>
      </c>
      <c r="C853" s="22" t="s">
        <v>950</v>
      </c>
      <c r="D853" s="22" t="s">
        <v>951</v>
      </c>
      <c r="E853" s="2" t="s">
        <v>968</v>
      </c>
      <c r="F853" s="2" t="s">
        <v>969</v>
      </c>
      <c r="G853" s="2" t="s">
        <v>331</v>
      </c>
      <c r="J853" s="149" t="s">
        <v>126</v>
      </c>
      <c r="K853" s="23" t="s">
        <v>954</v>
      </c>
      <c r="L853" s="149" t="s">
        <v>234</v>
      </c>
      <c r="M853" s="51" t="str">
        <f t="shared" si="820"/>
        <v>JD8B-F254A40-AC</v>
      </c>
      <c r="O853" s="22">
        <v>0</v>
      </c>
      <c r="P853" s="22">
        <v>0</v>
      </c>
      <c r="Q853" s="22">
        <v>0</v>
      </c>
      <c r="R853" s="22">
        <v>0</v>
      </c>
      <c r="S853" s="22">
        <v>0</v>
      </c>
      <c r="T853" s="22">
        <v>0</v>
      </c>
      <c r="U853" s="22">
        <v>1</v>
      </c>
      <c r="V853" s="22">
        <v>1</v>
      </c>
      <c r="W853" s="64">
        <f t="shared" si="829"/>
        <v>0.1</v>
      </c>
      <c r="Y853" s="8">
        <f>-15.74-0.32</f>
        <v>-16.059999999999999</v>
      </c>
      <c r="Z853" s="8">
        <v>-0.66</v>
      </c>
      <c r="AA853" s="8">
        <v>-0.16</v>
      </c>
      <c r="AB853" s="8">
        <v>0</v>
      </c>
      <c r="AC853" s="8">
        <v>-0.16</v>
      </c>
      <c r="AD853" s="8">
        <f t="shared" ref="AD853:AD856" si="859">SUM(Y853:AC853)</f>
        <v>-17.04</v>
      </c>
      <c r="AE853" s="2" t="s">
        <v>84</v>
      </c>
      <c r="AG853" s="8">
        <v>-822500</v>
      </c>
      <c r="AH853" s="8">
        <v>-822500</v>
      </c>
      <c r="AI853" s="6"/>
      <c r="AJ853" s="70">
        <v>-88750</v>
      </c>
      <c r="AK853" s="70">
        <v>574899</v>
      </c>
      <c r="AL853" s="72"/>
      <c r="AM853" s="22"/>
      <c r="AO853" s="149" t="s">
        <v>126</v>
      </c>
      <c r="AP853" s="23" t="s">
        <v>954</v>
      </c>
      <c r="AQ853" s="149" t="s">
        <v>132</v>
      </c>
      <c r="AR853" s="51" t="str">
        <f t="shared" si="822"/>
        <v>JD8B-F254A40-AB</v>
      </c>
      <c r="AS853" s="3"/>
      <c r="AT853" s="94">
        <v>0</v>
      </c>
      <c r="AU853" s="94">
        <v>0</v>
      </c>
      <c r="AV853" s="94">
        <v>0</v>
      </c>
      <c r="AW853" s="94">
        <v>0</v>
      </c>
      <c r="AX853" s="94">
        <v>0</v>
      </c>
      <c r="AY853" s="94">
        <v>0</v>
      </c>
      <c r="AZ853" s="94">
        <v>1</v>
      </c>
      <c r="BA853" s="94">
        <v>1</v>
      </c>
      <c r="BB853" s="64">
        <f t="shared" si="831"/>
        <v>0.1</v>
      </c>
      <c r="BD853" s="8">
        <v>-15.74</v>
      </c>
      <c r="BE853" s="8">
        <v>-0.66</v>
      </c>
      <c r="BF853" s="8">
        <v>-0.16</v>
      </c>
      <c r="BG853" s="8">
        <v>0</v>
      </c>
      <c r="BH853" s="95">
        <v>-0.16</v>
      </c>
      <c r="BI853" s="8">
        <f t="shared" ref="BI853:BI854" si="860">SUM(BD853:BH853)</f>
        <v>-16.72</v>
      </c>
      <c r="BJ853" s="2" t="s">
        <v>84</v>
      </c>
      <c r="BL853" s="70">
        <v>-822500</v>
      </c>
      <c r="BM853" s="70">
        <v>-822500</v>
      </c>
      <c r="BO853" s="70">
        <v>-88750</v>
      </c>
      <c r="BP853" s="70">
        <v>-574899</v>
      </c>
      <c r="BQ853" s="72"/>
      <c r="BS853" s="61">
        <f t="shared" si="832"/>
        <v>-0.31999999999999851</v>
      </c>
      <c r="BT853" s="61">
        <f t="shared" si="833"/>
        <v>0</v>
      </c>
      <c r="BU853" s="61">
        <f t="shared" si="834"/>
        <v>0</v>
      </c>
      <c r="BV853" s="61">
        <f t="shared" si="835"/>
        <v>0</v>
      </c>
      <c r="BW853" s="61">
        <f t="shared" si="836"/>
        <v>0</v>
      </c>
      <c r="BX853" s="61">
        <f t="shared" si="836"/>
        <v>-0.32000000000000028</v>
      </c>
      <c r="BY853" s="61" t="s">
        <v>91</v>
      </c>
      <c r="CA853" s="61">
        <f t="shared" si="837"/>
        <v>0</v>
      </c>
      <c r="CB853" s="61">
        <f t="shared" si="837"/>
        <v>0</v>
      </c>
      <c r="CC853" s="61">
        <f t="shared" si="837"/>
        <v>0</v>
      </c>
      <c r="CD853" s="61">
        <f t="shared" si="837"/>
        <v>0</v>
      </c>
      <c r="CE853" s="61">
        <f t="shared" si="837"/>
        <v>0</v>
      </c>
      <c r="CF853" s="61">
        <f t="shared" si="837"/>
        <v>0</v>
      </c>
      <c r="CG853" s="61">
        <f t="shared" si="837"/>
        <v>-4.8142018955919741E-2</v>
      </c>
      <c r="CH853" s="61">
        <f t="shared" si="837"/>
        <v>-4.8142018955919741E-2</v>
      </c>
      <c r="CI853" s="61">
        <f t="shared" si="838"/>
        <v>-4.8142018955919744E-3</v>
      </c>
      <c r="CJ853" s="61"/>
      <c r="CK853" s="61">
        <f t="shared" si="839"/>
        <v>0</v>
      </c>
      <c r="CL853" s="61">
        <f t="shared" si="839"/>
        <v>0</v>
      </c>
      <c r="CM853" s="61">
        <f t="shared" si="839"/>
        <v>0</v>
      </c>
      <c r="CN853" s="61">
        <f t="shared" si="839"/>
        <v>0</v>
      </c>
      <c r="CO853" s="61">
        <f t="shared" si="839"/>
        <v>0</v>
      </c>
      <c r="CP853" s="61">
        <f t="shared" si="839"/>
        <v>0</v>
      </c>
      <c r="CQ853" s="61">
        <f t="shared" si="839"/>
        <v>-4.8142018955920005E-2</v>
      </c>
      <c r="CR853" s="61">
        <f t="shared" si="839"/>
        <v>-4.8142018955920005E-2</v>
      </c>
      <c r="CS853" s="61">
        <f t="shared" si="840"/>
        <v>-4.8142018955920005E-3</v>
      </c>
      <c r="CT853" s="63">
        <f t="shared" si="841"/>
        <v>-3.2000000000000028E-2</v>
      </c>
      <c r="CV853" s="61">
        <f t="shared" ref="CV853:CV854" si="861">SUM(AG853)-SUM(BL853)</f>
        <v>0</v>
      </c>
      <c r="CW853" s="61">
        <f t="shared" si="850"/>
        <v>0</v>
      </c>
      <c r="CX853" s="61"/>
      <c r="CY853" s="61">
        <f t="shared" si="777"/>
        <v>0</v>
      </c>
      <c r="CZ853" s="61">
        <f t="shared" si="777"/>
        <v>1149798</v>
      </c>
      <c r="DA853" s="61">
        <f t="shared" si="777"/>
        <v>0</v>
      </c>
      <c r="DB853" s="2" t="s">
        <v>86</v>
      </c>
      <c r="DC853" s="2" t="s">
        <v>85</v>
      </c>
      <c r="DD853" s="2" t="s">
        <v>142</v>
      </c>
      <c r="DE853" s="2" t="s">
        <v>106</v>
      </c>
      <c r="DG853" s="62"/>
      <c r="DZ853" s="3" t="e">
        <v>#N/A</v>
      </c>
      <c r="EC853" s="60" t="str">
        <f>VLOOKUP($M853,[1]Detail!$M:$BO,1,0)</f>
        <v>JD8B-F254A40-AC</v>
      </c>
      <c r="ED853" s="60">
        <f>VLOOKUP($M853,[1]Detail!$M:$BO,22,0)</f>
        <v>-17.04</v>
      </c>
      <c r="EE853" s="60">
        <f>VLOOKUP($M853,[1]Detail!$M:$BO,42,0)</f>
        <v>-822500</v>
      </c>
      <c r="EF853" s="60">
        <f>VLOOKUP($M853,[1]Detail!$M:$BO,45,0)</f>
        <v>-88750</v>
      </c>
      <c r="EH853" s="60">
        <f t="shared" ref="EH853:EH856" si="862">ED853-AD853</f>
        <v>0</v>
      </c>
      <c r="EI853" s="60">
        <f t="shared" ref="EI853:EI856" si="863">EE853-AG853</f>
        <v>0</v>
      </c>
      <c r="EJ853" s="60">
        <f t="shared" ref="EJ853:EJ856" si="864">EF853-AJ853</f>
        <v>0</v>
      </c>
    </row>
    <row r="854" spans="2:140" ht="12.75" hidden="1" customHeight="1">
      <c r="B854" s="99" t="s">
        <v>1406</v>
      </c>
      <c r="C854" s="22" t="s">
        <v>950</v>
      </c>
      <c r="D854" s="22" t="s">
        <v>951</v>
      </c>
      <c r="E854" s="2" t="s">
        <v>968</v>
      </c>
      <c r="F854" s="2" t="s">
        <v>969</v>
      </c>
      <c r="G854" s="2" t="s">
        <v>331</v>
      </c>
      <c r="J854" s="149" t="s">
        <v>126</v>
      </c>
      <c r="K854" s="23" t="s">
        <v>1407</v>
      </c>
      <c r="L854" s="149" t="s">
        <v>234</v>
      </c>
      <c r="M854" s="51" t="str">
        <f t="shared" si="820"/>
        <v>JD8B-F254A41-AC</v>
      </c>
      <c r="O854" s="22">
        <v>0</v>
      </c>
      <c r="P854" s="22">
        <v>0</v>
      </c>
      <c r="Q854" s="22">
        <v>0</v>
      </c>
      <c r="R854" s="22">
        <v>0</v>
      </c>
      <c r="S854" s="22">
        <v>0</v>
      </c>
      <c r="T854" s="22">
        <v>0</v>
      </c>
      <c r="U854" s="22">
        <v>1</v>
      </c>
      <c r="V854" s="22">
        <v>1</v>
      </c>
      <c r="W854" s="64">
        <f t="shared" si="829"/>
        <v>0.1</v>
      </c>
      <c r="Y854" s="8">
        <f>-15.74-0.32</f>
        <v>-16.059999999999999</v>
      </c>
      <c r="Z854" s="8">
        <v>-0.66</v>
      </c>
      <c r="AA854" s="8">
        <v>-0.16</v>
      </c>
      <c r="AB854" s="8">
        <v>0</v>
      </c>
      <c r="AC854" s="8">
        <v>-0.16</v>
      </c>
      <c r="AD854" s="8">
        <f t="shared" si="859"/>
        <v>-17.04</v>
      </c>
      <c r="AE854" s="2" t="s">
        <v>84</v>
      </c>
      <c r="AG854" s="8">
        <v>-822500</v>
      </c>
      <c r="AH854" s="8">
        <v>-822500</v>
      </c>
      <c r="AI854" s="6"/>
      <c r="AJ854" s="70">
        <v>-88750</v>
      </c>
      <c r="AK854" s="70">
        <v>574899</v>
      </c>
      <c r="AL854" s="72"/>
      <c r="AM854" s="22"/>
      <c r="AO854" s="149" t="s">
        <v>126</v>
      </c>
      <c r="AP854" s="23" t="s">
        <v>1407</v>
      </c>
      <c r="AQ854" s="149" t="s">
        <v>132</v>
      </c>
      <c r="AR854" s="51" t="str">
        <f t="shared" si="822"/>
        <v>JD8B-F254A41-AB</v>
      </c>
      <c r="AS854" s="3"/>
      <c r="AT854" s="94">
        <v>0</v>
      </c>
      <c r="AU854" s="94">
        <v>0</v>
      </c>
      <c r="AV854" s="94">
        <v>0</v>
      </c>
      <c r="AW854" s="94">
        <v>0</v>
      </c>
      <c r="AX854" s="94">
        <v>0</v>
      </c>
      <c r="AY854" s="94">
        <v>0</v>
      </c>
      <c r="AZ854" s="94">
        <v>1</v>
      </c>
      <c r="BA854" s="94">
        <v>1</v>
      </c>
      <c r="BB854" s="64">
        <f t="shared" si="831"/>
        <v>0.1</v>
      </c>
      <c r="BD854" s="8">
        <v>-15.74</v>
      </c>
      <c r="BE854" s="8">
        <v>-0.66</v>
      </c>
      <c r="BF854" s="8">
        <v>-0.16</v>
      </c>
      <c r="BG854" s="8">
        <v>0</v>
      </c>
      <c r="BH854" s="95">
        <v>-0.16</v>
      </c>
      <c r="BI854" s="8">
        <f t="shared" si="860"/>
        <v>-16.72</v>
      </c>
      <c r="BJ854" s="2" t="s">
        <v>84</v>
      </c>
      <c r="BL854" s="70">
        <v>-822500</v>
      </c>
      <c r="BM854" s="70">
        <v>-822500</v>
      </c>
      <c r="BO854" s="70">
        <v>-88750</v>
      </c>
      <c r="BP854" s="70">
        <v>-574899</v>
      </c>
      <c r="BQ854" s="72"/>
      <c r="BS854" s="61">
        <f t="shared" si="832"/>
        <v>-0.31999999999999851</v>
      </c>
      <c r="BT854" s="61">
        <f t="shared" si="833"/>
        <v>0</v>
      </c>
      <c r="BU854" s="61">
        <f t="shared" si="834"/>
        <v>0</v>
      </c>
      <c r="BV854" s="61">
        <f t="shared" si="835"/>
        <v>0</v>
      </c>
      <c r="BW854" s="61">
        <f t="shared" si="836"/>
        <v>0</v>
      </c>
      <c r="BX854" s="61">
        <f t="shared" si="836"/>
        <v>-0.32000000000000028</v>
      </c>
      <c r="BY854" s="61" t="s">
        <v>91</v>
      </c>
      <c r="CA854" s="61">
        <f t="shared" si="837"/>
        <v>0</v>
      </c>
      <c r="CB854" s="61">
        <f t="shared" si="837"/>
        <v>0</v>
      </c>
      <c r="CC854" s="61">
        <f t="shared" si="837"/>
        <v>0</v>
      </c>
      <c r="CD854" s="61">
        <f t="shared" si="837"/>
        <v>0</v>
      </c>
      <c r="CE854" s="61">
        <f t="shared" si="837"/>
        <v>0</v>
      </c>
      <c r="CF854" s="61">
        <f t="shared" si="837"/>
        <v>0</v>
      </c>
      <c r="CG854" s="61">
        <f t="shared" si="837"/>
        <v>-4.8142018955919741E-2</v>
      </c>
      <c r="CH854" s="61">
        <f t="shared" si="837"/>
        <v>-4.8142018955919741E-2</v>
      </c>
      <c r="CI854" s="61">
        <f t="shared" si="838"/>
        <v>-4.8142018955919744E-3</v>
      </c>
      <c r="CJ854" s="61"/>
      <c r="CK854" s="61">
        <f t="shared" si="839"/>
        <v>0</v>
      </c>
      <c r="CL854" s="61">
        <f t="shared" si="839"/>
        <v>0</v>
      </c>
      <c r="CM854" s="61">
        <f t="shared" si="839"/>
        <v>0</v>
      </c>
      <c r="CN854" s="61">
        <f t="shared" si="839"/>
        <v>0</v>
      </c>
      <c r="CO854" s="61">
        <f t="shared" si="839"/>
        <v>0</v>
      </c>
      <c r="CP854" s="61">
        <f t="shared" si="839"/>
        <v>0</v>
      </c>
      <c r="CQ854" s="61">
        <f t="shared" si="839"/>
        <v>-4.8142018955920005E-2</v>
      </c>
      <c r="CR854" s="61">
        <f t="shared" si="839"/>
        <v>-4.8142018955920005E-2</v>
      </c>
      <c r="CS854" s="61">
        <f t="shared" si="840"/>
        <v>-4.8142018955920005E-3</v>
      </c>
      <c r="CT854" s="63">
        <f t="shared" si="841"/>
        <v>-3.2000000000000028E-2</v>
      </c>
      <c r="CV854" s="61">
        <f t="shared" si="861"/>
        <v>0</v>
      </c>
      <c r="CW854" s="61">
        <f t="shared" si="850"/>
        <v>0</v>
      </c>
      <c r="CX854" s="61"/>
      <c r="CY854" s="61">
        <f t="shared" si="777"/>
        <v>0</v>
      </c>
      <c r="CZ854" s="61">
        <f t="shared" si="777"/>
        <v>1149798</v>
      </c>
      <c r="DA854" s="61">
        <f t="shared" si="777"/>
        <v>0</v>
      </c>
      <c r="DB854" s="2" t="s">
        <v>86</v>
      </c>
      <c r="DC854" s="2" t="s">
        <v>85</v>
      </c>
      <c r="DD854" s="2" t="s">
        <v>142</v>
      </c>
      <c r="DE854" s="2" t="s">
        <v>106</v>
      </c>
      <c r="DG854" s="62"/>
      <c r="DZ854" s="3" t="e">
        <v>#N/A</v>
      </c>
      <c r="EC854" s="60" t="str">
        <f>VLOOKUP($M854,[1]Detail!$M:$BO,1,0)</f>
        <v>JD8B-F254A41-AC</v>
      </c>
      <c r="ED854" s="60">
        <f>VLOOKUP($M854,[1]Detail!$M:$BO,22,0)</f>
        <v>-17.04</v>
      </c>
      <c r="EE854" s="60">
        <f>VLOOKUP($M854,[1]Detail!$M:$BO,42,0)</f>
        <v>-822500</v>
      </c>
      <c r="EF854" s="60">
        <f>VLOOKUP($M854,[1]Detail!$M:$BO,45,0)</f>
        <v>-88750</v>
      </c>
      <c r="EH854" s="60">
        <f t="shared" si="862"/>
        <v>0</v>
      </c>
      <c r="EI854" s="60">
        <f t="shared" si="863"/>
        <v>0</v>
      </c>
      <c r="EJ854" s="60">
        <f t="shared" si="864"/>
        <v>0</v>
      </c>
    </row>
    <row r="855" spans="2:140" ht="12.75" hidden="1" customHeight="1">
      <c r="B855" s="99" t="s">
        <v>1406</v>
      </c>
      <c r="C855" s="22" t="s">
        <v>950</v>
      </c>
      <c r="D855" s="22" t="s">
        <v>951</v>
      </c>
      <c r="E855" s="2" t="s">
        <v>968</v>
      </c>
      <c r="F855" s="2" t="s">
        <v>969</v>
      </c>
      <c r="G855" s="2" t="s">
        <v>331</v>
      </c>
      <c r="J855" s="149" t="s">
        <v>126</v>
      </c>
      <c r="K855" s="23" t="s">
        <v>1408</v>
      </c>
      <c r="L855" s="149" t="s">
        <v>234</v>
      </c>
      <c r="M855" s="51" t="str">
        <f t="shared" si="820"/>
        <v>JD8B-F254A42-AC</v>
      </c>
      <c r="O855" s="22">
        <v>0</v>
      </c>
      <c r="P855" s="22">
        <v>0</v>
      </c>
      <c r="Q855" s="22">
        <v>0</v>
      </c>
      <c r="R855" s="22">
        <v>0</v>
      </c>
      <c r="S855" s="22">
        <v>0</v>
      </c>
      <c r="T855" s="22">
        <v>0</v>
      </c>
      <c r="U855" s="22">
        <v>1</v>
      </c>
      <c r="V855" s="22">
        <v>1</v>
      </c>
      <c r="W855" s="64">
        <f t="shared" si="829"/>
        <v>0.1</v>
      </c>
      <c r="Y855" s="8">
        <f>-14.24-0.27</f>
        <v>-14.51</v>
      </c>
      <c r="Z855" s="8">
        <v>-0.91</v>
      </c>
      <c r="AA855" s="8">
        <v>-0.16</v>
      </c>
      <c r="AB855" s="8">
        <v>0</v>
      </c>
      <c r="AC855" s="8">
        <v>-0.16</v>
      </c>
      <c r="AD855" s="8">
        <f t="shared" si="859"/>
        <v>-15.74</v>
      </c>
      <c r="AE855" s="2" t="s">
        <v>84</v>
      </c>
      <c r="AG855" s="8">
        <v>-815000</v>
      </c>
      <c r="AH855" s="8">
        <v>-815000</v>
      </c>
      <c r="AI855" s="6"/>
      <c r="AJ855" s="70">
        <v>-88750</v>
      </c>
      <c r="AK855" s="70">
        <v>574899</v>
      </c>
      <c r="AL855" s="72"/>
      <c r="AM855" s="22"/>
      <c r="AO855" s="149" t="s">
        <v>126</v>
      </c>
      <c r="AP855" s="23" t="s">
        <v>1408</v>
      </c>
      <c r="AQ855" s="149" t="s">
        <v>132</v>
      </c>
      <c r="AR855" s="51" t="str">
        <f t="shared" si="822"/>
        <v>JD8B-F254A42-AB</v>
      </c>
      <c r="AS855" s="3"/>
      <c r="AT855" s="94">
        <v>0</v>
      </c>
      <c r="AU855" s="94">
        <v>0</v>
      </c>
      <c r="AV855" s="94">
        <v>0</v>
      </c>
      <c r="AW855" s="94">
        <v>0</v>
      </c>
      <c r="AX855" s="94">
        <v>0</v>
      </c>
      <c r="AY855" s="94">
        <v>0</v>
      </c>
      <c r="AZ855" s="94">
        <v>1</v>
      </c>
      <c r="BA855" s="94">
        <v>1</v>
      </c>
      <c r="BB855" s="64">
        <f t="shared" si="831"/>
        <v>0.1</v>
      </c>
      <c r="BD855" s="8">
        <v>-14.24</v>
      </c>
      <c r="BE855" s="8">
        <v>-0.91</v>
      </c>
      <c r="BF855" s="8">
        <v>-0.16</v>
      </c>
      <c r="BG855" s="8">
        <v>0</v>
      </c>
      <c r="BH855" s="95">
        <v>-0.16</v>
      </c>
      <c r="BI855" s="8">
        <f t="shared" ref="BI855:BI856" si="865">SUM(BD855:BH855)</f>
        <v>-15.47</v>
      </c>
      <c r="BJ855" s="2" t="s">
        <v>84</v>
      </c>
      <c r="BL855" s="70">
        <v>-815000</v>
      </c>
      <c r="BM855" s="70">
        <v>-815000</v>
      </c>
      <c r="BO855" s="70">
        <v>-88750</v>
      </c>
      <c r="BP855" s="70">
        <v>-574899</v>
      </c>
      <c r="BQ855" s="72"/>
      <c r="BS855" s="61">
        <f t="shared" si="832"/>
        <v>-0.26999999999999957</v>
      </c>
      <c r="BT855" s="61">
        <f t="shared" si="833"/>
        <v>0</v>
      </c>
      <c r="BU855" s="61">
        <f t="shared" si="834"/>
        <v>0</v>
      </c>
      <c r="BV855" s="61">
        <f t="shared" si="835"/>
        <v>0</v>
      </c>
      <c r="BW855" s="61">
        <f t="shared" si="836"/>
        <v>0</v>
      </c>
      <c r="BX855" s="61">
        <f t="shared" si="836"/>
        <v>-0.26999999999999957</v>
      </c>
      <c r="BY855" s="61" t="s">
        <v>91</v>
      </c>
      <c r="CA855" s="61">
        <f t="shared" si="837"/>
        <v>0</v>
      </c>
      <c r="CB855" s="61">
        <f t="shared" si="837"/>
        <v>0</v>
      </c>
      <c r="CC855" s="61">
        <f t="shared" si="837"/>
        <v>0</v>
      </c>
      <c r="CD855" s="61">
        <f t="shared" si="837"/>
        <v>0</v>
      </c>
      <c r="CE855" s="61">
        <f t="shared" si="837"/>
        <v>0</v>
      </c>
      <c r="CF855" s="61">
        <f t="shared" si="837"/>
        <v>0</v>
      </c>
      <c r="CG855" s="61">
        <f t="shared" si="837"/>
        <v>-4.0619828494057403E-2</v>
      </c>
      <c r="CH855" s="61">
        <f t="shared" si="837"/>
        <v>-4.0619828494057403E-2</v>
      </c>
      <c r="CI855" s="61">
        <f t="shared" si="838"/>
        <v>-4.0619828494057406E-3</v>
      </c>
      <c r="CJ855" s="61"/>
      <c r="CK855" s="61">
        <f t="shared" si="839"/>
        <v>0</v>
      </c>
      <c r="CL855" s="61">
        <f t="shared" si="839"/>
        <v>0</v>
      </c>
      <c r="CM855" s="61">
        <f t="shared" si="839"/>
        <v>0</v>
      </c>
      <c r="CN855" s="61">
        <f t="shared" si="839"/>
        <v>0</v>
      </c>
      <c r="CO855" s="61">
        <f t="shared" si="839"/>
        <v>0</v>
      </c>
      <c r="CP855" s="61">
        <f t="shared" si="839"/>
        <v>0</v>
      </c>
      <c r="CQ855" s="61">
        <f t="shared" si="839"/>
        <v>-4.0619828494057403E-2</v>
      </c>
      <c r="CR855" s="61">
        <f t="shared" si="839"/>
        <v>-4.0619828494057403E-2</v>
      </c>
      <c r="CS855" s="61">
        <f t="shared" si="840"/>
        <v>-4.0619828494057406E-3</v>
      </c>
      <c r="CT855" s="63">
        <f t="shared" si="841"/>
        <v>-2.6999999999999958E-2</v>
      </c>
      <c r="CV855" s="61">
        <f t="shared" ref="CV855:CV856" si="866">SUM(AG855)-SUM(BL855)</f>
        <v>0</v>
      </c>
      <c r="CW855" s="61">
        <f t="shared" si="850"/>
        <v>0</v>
      </c>
      <c r="CX855" s="61"/>
      <c r="CY855" s="61">
        <f t="shared" si="777"/>
        <v>0</v>
      </c>
      <c r="CZ855" s="61">
        <f t="shared" si="777"/>
        <v>1149798</v>
      </c>
      <c r="DA855" s="61">
        <f t="shared" si="777"/>
        <v>0</v>
      </c>
      <c r="DB855" s="2" t="s">
        <v>86</v>
      </c>
      <c r="DC855" s="2" t="s">
        <v>85</v>
      </c>
      <c r="DD855" s="2" t="s">
        <v>142</v>
      </c>
      <c r="DE855" s="2" t="s">
        <v>106</v>
      </c>
      <c r="DG855" s="62"/>
      <c r="DZ855" s="3" t="e">
        <v>#N/A</v>
      </c>
      <c r="EC855" s="60" t="str">
        <f>VLOOKUP($M855,[1]Detail!$M:$BO,1,0)</f>
        <v>JD8B-F254A42-AC</v>
      </c>
      <c r="ED855" s="60">
        <f>VLOOKUP($M855,[1]Detail!$M:$BO,22,0)</f>
        <v>-15.74</v>
      </c>
      <c r="EE855" s="60">
        <f>VLOOKUP($M855,[1]Detail!$M:$BO,42,0)</f>
        <v>-815000</v>
      </c>
      <c r="EF855" s="60">
        <f>VLOOKUP($M855,[1]Detail!$M:$BO,45,0)</f>
        <v>-88750</v>
      </c>
      <c r="EH855" s="60">
        <f t="shared" si="862"/>
        <v>0</v>
      </c>
      <c r="EI855" s="60">
        <f t="shared" si="863"/>
        <v>0</v>
      </c>
      <c r="EJ855" s="60">
        <f t="shared" si="864"/>
        <v>0</v>
      </c>
    </row>
    <row r="856" spans="2:140" ht="12.75" hidden="1" customHeight="1">
      <c r="B856" s="99" t="s">
        <v>1406</v>
      </c>
      <c r="C856" s="22" t="s">
        <v>950</v>
      </c>
      <c r="D856" s="22" t="s">
        <v>951</v>
      </c>
      <c r="E856" s="2" t="s">
        <v>968</v>
      </c>
      <c r="F856" s="2" t="s">
        <v>969</v>
      </c>
      <c r="G856" s="2" t="s">
        <v>331</v>
      </c>
      <c r="J856" s="149" t="s">
        <v>126</v>
      </c>
      <c r="K856" s="23" t="s">
        <v>1409</v>
      </c>
      <c r="L856" s="149" t="s">
        <v>234</v>
      </c>
      <c r="M856" s="51" t="str">
        <f t="shared" si="820"/>
        <v>JD8B-F254A43-AC</v>
      </c>
      <c r="O856" s="22">
        <v>0</v>
      </c>
      <c r="P856" s="22">
        <v>0</v>
      </c>
      <c r="Q856" s="22">
        <v>0</v>
      </c>
      <c r="R856" s="22">
        <v>0</v>
      </c>
      <c r="S856" s="22">
        <v>0</v>
      </c>
      <c r="T856" s="22">
        <v>0</v>
      </c>
      <c r="U856" s="22">
        <v>1</v>
      </c>
      <c r="V856" s="22">
        <v>1</v>
      </c>
      <c r="W856" s="64">
        <f t="shared" si="829"/>
        <v>0.1</v>
      </c>
      <c r="Y856" s="8">
        <f>-14.24-0.27</f>
        <v>-14.51</v>
      </c>
      <c r="Z856" s="8">
        <v>-0.91</v>
      </c>
      <c r="AA856" s="8">
        <v>-0.16</v>
      </c>
      <c r="AB856" s="8">
        <v>0</v>
      </c>
      <c r="AC856" s="8">
        <v>-0.16</v>
      </c>
      <c r="AD856" s="8">
        <f t="shared" si="859"/>
        <v>-15.74</v>
      </c>
      <c r="AE856" s="2" t="s">
        <v>84</v>
      </c>
      <c r="AG856" s="8">
        <v>-815000</v>
      </c>
      <c r="AH856" s="8">
        <v>-815000</v>
      </c>
      <c r="AI856" s="6"/>
      <c r="AJ856" s="70">
        <v>-88750</v>
      </c>
      <c r="AK856" s="70">
        <v>574899</v>
      </c>
      <c r="AL856" s="72"/>
      <c r="AM856" s="22"/>
      <c r="AO856" s="149" t="s">
        <v>126</v>
      </c>
      <c r="AP856" s="23" t="s">
        <v>1409</v>
      </c>
      <c r="AQ856" s="149" t="s">
        <v>132</v>
      </c>
      <c r="AR856" s="51" t="str">
        <f t="shared" si="822"/>
        <v>JD8B-F254A43-AB</v>
      </c>
      <c r="AS856" s="3"/>
      <c r="AT856" s="94">
        <v>0</v>
      </c>
      <c r="AU856" s="94">
        <v>0</v>
      </c>
      <c r="AV856" s="94">
        <v>0</v>
      </c>
      <c r="AW856" s="94">
        <v>0</v>
      </c>
      <c r="AX856" s="94">
        <v>0</v>
      </c>
      <c r="AY856" s="94">
        <v>0</v>
      </c>
      <c r="AZ856" s="94">
        <v>1</v>
      </c>
      <c r="BA856" s="94">
        <v>1</v>
      </c>
      <c r="BB856" s="64">
        <f t="shared" si="831"/>
        <v>0.1</v>
      </c>
      <c r="BD856" s="8">
        <v>-14.24</v>
      </c>
      <c r="BE856" s="8">
        <v>-0.91</v>
      </c>
      <c r="BF856" s="8">
        <v>-0.16</v>
      </c>
      <c r="BG856" s="8">
        <v>0</v>
      </c>
      <c r="BH856" s="95">
        <v>-0.16</v>
      </c>
      <c r="BI856" s="8">
        <f t="shared" si="865"/>
        <v>-15.47</v>
      </c>
      <c r="BJ856" s="2" t="s">
        <v>84</v>
      </c>
      <c r="BL856" s="70">
        <v>-815000</v>
      </c>
      <c r="BM856" s="70">
        <v>-815000</v>
      </c>
      <c r="BO856" s="70">
        <v>-88750</v>
      </c>
      <c r="BP856" s="70">
        <v>-574899</v>
      </c>
      <c r="BQ856" s="72"/>
      <c r="BS856" s="61">
        <f t="shared" si="832"/>
        <v>-0.26999999999999957</v>
      </c>
      <c r="BT856" s="61">
        <f t="shared" si="833"/>
        <v>0</v>
      </c>
      <c r="BU856" s="61">
        <f t="shared" si="834"/>
        <v>0</v>
      </c>
      <c r="BV856" s="61">
        <f t="shared" si="835"/>
        <v>0</v>
      </c>
      <c r="BW856" s="61">
        <f t="shared" si="836"/>
        <v>0</v>
      </c>
      <c r="BX856" s="61">
        <f t="shared" si="836"/>
        <v>-0.26999999999999957</v>
      </c>
      <c r="BY856" s="61" t="s">
        <v>91</v>
      </c>
      <c r="CA856" s="61">
        <f t="shared" si="837"/>
        <v>0</v>
      </c>
      <c r="CB856" s="61">
        <f t="shared" si="837"/>
        <v>0</v>
      </c>
      <c r="CC856" s="61">
        <f t="shared" si="837"/>
        <v>0</v>
      </c>
      <c r="CD856" s="61">
        <f t="shared" si="837"/>
        <v>0</v>
      </c>
      <c r="CE856" s="61">
        <f t="shared" si="837"/>
        <v>0</v>
      </c>
      <c r="CF856" s="61">
        <f t="shared" si="837"/>
        <v>0</v>
      </c>
      <c r="CG856" s="61">
        <f t="shared" si="837"/>
        <v>-4.0619828494057403E-2</v>
      </c>
      <c r="CH856" s="61">
        <f t="shared" si="837"/>
        <v>-4.0619828494057403E-2</v>
      </c>
      <c r="CI856" s="61">
        <f t="shared" si="838"/>
        <v>-4.0619828494057406E-3</v>
      </c>
      <c r="CJ856" s="61"/>
      <c r="CK856" s="61">
        <f t="shared" si="839"/>
        <v>0</v>
      </c>
      <c r="CL856" s="61">
        <f t="shared" si="839"/>
        <v>0</v>
      </c>
      <c r="CM856" s="61">
        <f t="shared" si="839"/>
        <v>0</v>
      </c>
      <c r="CN856" s="61">
        <f t="shared" si="839"/>
        <v>0</v>
      </c>
      <c r="CO856" s="61">
        <f t="shared" si="839"/>
        <v>0</v>
      </c>
      <c r="CP856" s="61">
        <f t="shared" si="839"/>
        <v>0</v>
      </c>
      <c r="CQ856" s="61">
        <f t="shared" si="839"/>
        <v>-4.0619828494057403E-2</v>
      </c>
      <c r="CR856" s="61">
        <f t="shared" si="839"/>
        <v>-4.0619828494057403E-2</v>
      </c>
      <c r="CS856" s="61">
        <f t="shared" si="840"/>
        <v>-4.0619828494057406E-3</v>
      </c>
      <c r="CT856" s="63">
        <f t="shared" si="841"/>
        <v>-2.6999999999999958E-2</v>
      </c>
      <c r="CV856" s="61">
        <f t="shared" si="866"/>
        <v>0</v>
      </c>
      <c r="CW856" s="61">
        <f t="shared" si="850"/>
        <v>0</v>
      </c>
      <c r="CX856" s="61"/>
      <c r="CY856" s="61">
        <f t="shared" ref="CY856" si="867">SUM(AJ856)-SUM(BO856)</f>
        <v>0</v>
      </c>
      <c r="CZ856" s="61">
        <f t="shared" ref="CZ856" si="868">SUM(AK856)-SUM(BP856)</f>
        <v>1149798</v>
      </c>
      <c r="DA856" s="61">
        <f t="shared" si="777"/>
        <v>0</v>
      </c>
      <c r="DB856" s="2" t="s">
        <v>86</v>
      </c>
      <c r="DC856" s="2" t="s">
        <v>85</v>
      </c>
      <c r="DD856" s="2" t="s">
        <v>142</v>
      </c>
      <c r="DE856" s="2" t="s">
        <v>106</v>
      </c>
      <c r="DG856" s="62"/>
      <c r="DZ856" s="3" t="e">
        <v>#N/A</v>
      </c>
      <c r="EC856" s="60" t="str">
        <f>VLOOKUP($M856,[1]Detail!$M:$BO,1,0)</f>
        <v>JD8B-F254A43-AC</v>
      </c>
      <c r="ED856" s="60">
        <f>VLOOKUP($M856,[1]Detail!$M:$BO,22,0)</f>
        <v>-15.74</v>
      </c>
      <c r="EE856" s="60">
        <f>VLOOKUP($M856,[1]Detail!$M:$BO,42,0)</f>
        <v>-815000</v>
      </c>
      <c r="EF856" s="60">
        <f>VLOOKUP($M856,[1]Detail!$M:$BO,45,0)</f>
        <v>-88750</v>
      </c>
      <c r="EH856" s="60">
        <f t="shared" si="862"/>
        <v>0</v>
      </c>
      <c r="EI856" s="60">
        <f t="shared" si="863"/>
        <v>0</v>
      </c>
      <c r="EJ856" s="60">
        <f t="shared" si="864"/>
        <v>0</v>
      </c>
    </row>
    <row r="857" spans="2:140" ht="12.75" hidden="1" customHeight="1">
      <c r="B857" s="99" t="s">
        <v>1410</v>
      </c>
      <c r="C857" s="22" t="s">
        <v>893</v>
      </c>
      <c r="D857" s="22" t="s">
        <v>894</v>
      </c>
      <c r="E857" s="2" t="str">
        <f>VLOOKUP($C857,[1]Detail!$C:$AK,6,0)</f>
        <v>PMT4</v>
      </c>
      <c r="F857" s="2" t="str">
        <f>VLOOKUP($C857,[1]Detail!$C:$AK,7,0)</f>
        <v>PF</v>
      </c>
      <c r="G857" s="2" t="str">
        <f>VLOOKUP($C857,[1]Detail!$C:$AK,5,0)</f>
        <v>B</v>
      </c>
      <c r="J857" s="149" t="s">
        <v>585</v>
      </c>
      <c r="K857" s="163" t="s">
        <v>892</v>
      </c>
      <c r="L857" s="149" t="s">
        <v>162</v>
      </c>
      <c r="M857" s="51" t="str">
        <f t="shared" si="820"/>
        <v>JD81-5E211-AD</v>
      </c>
      <c r="O857" s="94">
        <v>0</v>
      </c>
      <c r="P857" s="94">
        <v>0</v>
      </c>
      <c r="Q857" s="94">
        <v>0</v>
      </c>
      <c r="R857" s="94">
        <v>0</v>
      </c>
      <c r="S857" s="94">
        <v>1</v>
      </c>
      <c r="T857" s="94">
        <v>1</v>
      </c>
      <c r="U857" s="94">
        <v>0</v>
      </c>
      <c r="V857" s="94">
        <v>1</v>
      </c>
      <c r="W857" s="64">
        <f t="shared" si="829"/>
        <v>0.28000000000000003</v>
      </c>
      <c r="Y857" s="60">
        <v>-434.49</v>
      </c>
      <c r="Z857" s="60">
        <v>-4.97</v>
      </c>
      <c r="AA857" s="60">
        <v>-6.59</v>
      </c>
      <c r="AB857" s="95"/>
      <c r="AC857" s="60">
        <v>-5.31</v>
      </c>
      <c r="AD857" s="8">
        <f t="shared" si="847"/>
        <v>-451.36</v>
      </c>
      <c r="AE857" s="2" t="s">
        <v>84</v>
      </c>
      <c r="AG857" s="70">
        <v>-235000</v>
      </c>
      <c r="AH857" s="70">
        <v>-3906000</v>
      </c>
      <c r="AJ857" s="70">
        <v>-826122</v>
      </c>
      <c r="AK857" s="70">
        <v>155639</v>
      </c>
      <c r="AL857" s="72"/>
      <c r="AM857" s="22"/>
      <c r="AO857" s="149" t="s">
        <v>585</v>
      </c>
      <c r="AP857" s="163" t="s">
        <v>892</v>
      </c>
      <c r="AQ857" s="22" t="s">
        <v>234</v>
      </c>
      <c r="AR857" s="51" t="str">
        <f t="shared" si="822"/>
        <v>JD81-5E211-AC</v>
      </c>
      <c r="AS857" s="3"/>
      <c r="AT857" s="94">
        <v>0</v>
      </c>
      <c r="AU857" s="94">
        <v>0</v>
      </c>
      <c r="AV857" s="94">
        <v>0</v>
      </c>
      <c r="AW857" s="94">
        <v>0</v>
      </c>
      <c r="AX857" s="94">
        <v>1</v>
      </c>
      <c r="AY857" s="94">
        <v>1</v>
      </c>
      <c r="AZ857" s="94">
        <v>0</v>
      </c>
      <c r="BA857" s="94">
        <v>1</v>
      </c>
      <c r="BB857" s="64">
        <f t="shared" si="831"/>
        <v>0.28000000000000003</v>
      </c>
      <c r="BD857" s="8">
        <v>-427.54</v>
      </c>
      <c r="BE857" s="8">
        <v>-4.97</v>
      </c>
      <c r="BF857" s="8">
        <v>-6.59</v>
      </c>
      <c r="BG857" s="8">
        <v>0</v>
      </c>
      <c r="BH857" s="8">
        <v>-5.31</v>
      </c>
      <c r="BI857" s="8">
        <f t="shared" si="857"/>
        <v>-444.41</v>
      </c>
      <c r="BJ857" s="2" t="s">
        <v>91</v>
      </c>
      <c r="BL857" s="8">
        <v>-235000</v>
      </c>
      <c r="BM857" s="8">
        <v>-3906000</v>
      </c>
      <c r="BN857" s="6"/>
      <c r="BO857" s="70">
        <v>-826122</v>
      </c>
      <c r="BP857" s="70">
        <v>155639</v>
      </c>
      <c r="BQ857" s="72"/>
      <c r="BS857" s="61">
        <f t="shared" si="832"/>
        <v>-6.9499999999999886</v>
      </c>
      <c r="BT857" s="61">
        <f t="shared" si="833"/>
        <v>0</v>
      </c>
      <c r="BU857" s="61">
        <f t="shared" si="834"/>
        <v>0</v>
      </c>
      <c r="BV857" s="61">
        <f t="shared" si="835"/>
        <v>0</v>
      </c>
      <c r="BW857" s="61">
        <f t="shared" si="836"/>
        <v>0</v>
      </c>
      <c r="BX857" s="61">
        <f t="shared" si="836"/>
        <v>-6.9499999999999886</v>
      </c>
      <c r="BY857" s="61" t="s">
        <v>91</v>
      </c>
      <c r="CA857" s="61">
        <f t="shared" si="837"/>
        <v>0</v>
      </c>
      <c r="CB857" s="61">
        <f t="shared" si="837"/>
        <v>0</v>
      </c>
      <c r="CC857" s="61">
        <f t="shared" si="837"/>
        <v>0</v>
      </c>
      <c r="CD857" s="61">
        <f t="shared" si="837"/>
        <v>0</v>
      </c>
      <c r="CE857" s="61">
        <f t="shared" si="837"/>
        <v>-1.0455844741988849</v>
      </c>
      <c r="CF857" s="61">
        <f t="shared" si="837"/>
        <v>-1.0455844741988849</v>
      </c>
      <c r="CG857" s="61">
        <f t="shared" si="837"/>
        <v>0</v>
      </c>
      <c r="CH857" s="61">
        <f t="shared" si="837"/>
        <v>-1.0455844741988849</v>
      </c>
      <c r="CI857" s="61">
        <f t="shared" si="838"/>
        <v>-0.29276365277568778</v>
      </c>
      <c r="CJ857" s="61"/>
      <c r="CK857" s="61">
        <f t="shared" si="839"/>
        <v>0</v>
      </c>
      <c r="CL857" s="61">
        <f t="shared" si="839"/>
        <v>0</v>
      </c>
      <c r="CM857" s="61">
        <f t="shared" si="839"/>
        <v>0</v>
      </c>
      <c r="CN857" s="61">
        <f t="shared" si="839"/>
        <v>0</v>
      </c>
      <c r="CO857" s="61">
        <f t="shared" si="839"/>
        <v>-1.0455844741988849</v>
      </c>
      <c r="CP857" s="61">
        <f t="shared" si="839"/>
        <v>-1.0455844741988849</v>
      </c>
      <c r="CQ857" s="61">
        <f t="shared" si="839"/>
        <v>0</v>
      </c>
      <c r="CR857" s="61">
        <f t="shared" si="839"/>
        <v>-1.0455844741988849</v>
      </c>
      <c r="CS857" s="61">
        <f t="shared" si="840"/>
        <v>-0.29276365277568778</v>
      </c>
      <c r="CT857" s="61">
        <f t="shared" si="841"/>
        <v>-1.9459999999999966</v>
      </c>
      <c r="CV857" s="61">
        <f t="shared" si="856"/>
        <v>0</v>
      </c>
      <c r="CW857" s="61">
        <f t="shared" si="850"/>
        <v>0</v>
      </c>
      <c r="CX857" s="61"/>
      <c r="CY857" s="61">
        <f t="shared" si="777"/>
        <v>0</v>
      </c>
      <c r="CZ857" s="61">
        <f t="shared" si="777"/>
        <v>0</v>
      </c>
      <c r="DA857" s="61">
        <f t="shared" si="777"/>
        <v>0</v>
      </c>
      <c r="DB857" s="2" t="s">
        <v>85</v>
      </c>
      <c r="DC857" s="2" t="s">
        <v>85</v>
      </c>
      <c r="DD857" s="2" t="s">
        <v>87</v>
      </c>
      <c r="DE857" s="2" t="s">
        <v>264</v>
      </c>
      <c r="DG857" s="62"/>
      <c r="DZ857" s="3" t="e">
        <v>#N/A</v>
      </c>
      <c r="EC857" s="60"/>
      <c r="ED857" s="60"/>
      <c r="EE857" s="60"/>
      <c r="EF857" s="60"/>
    </row>
    <row r="858" spans="2:140" ht="12.75" hidden="1" customHeight="1">
      <c r="B858" s="99" t="s">
        <v>1411</v>
      </c>
      <c r="C858" s="22" t="s">
        <v>893</v>
      </c>
      <c r="D858" s="22" t="s">
        <v>894</v>
      </c>
      <c r="E858" s="2" t="str">
        <f>VLOOKUP($C858,[1]Detail!$C:$AK,6,0)</f>
        <v>PMT4</v>
      </c>
      <c r="F858" s="2" t="str">
        <f>VLOOKUP($C858,[1]Detail!$C:$AK,7,0)</f>
        <v>PF</v>
      </c>
      <c r="G858" s="2" t="str">
        <f>VLOOKUP($C858,[1]Detail!$C:$AK,5,0)</f>
        <v>B</v>
      </c>
      <c r="J858" s="149" t="s">
        <v>585</v>
      </c>
      <c r="K858" s="163" t="s">
        <v>892</v>
      </c>
      <c r="L858" s="149" t="s">
        <v>129</v>
      </c>
      <c r="M858" s="51" t="str">
        <f t="shared" si="820"/>
        <v>JD81-5E211-AE</v>
      </c>
      <c r="O858" s="94">
        <v>0</v>
      </c>
      <c r="P858" s="94">
        <v>0</v>
      </c>
      <c r="Q858" s="94">
        <v>0</v>
      </c>
      <c r="R858" s="94">
        <v>0</v>
      </c>
      <c r="S858" s="94">
        <v>1</v>
      </c>
      <c r="T858" s="94">
        <v>1</v>
      </c>
      <c r="U858" s="94">
        <v>0</v>
      </c>
      <c r="V858" s="94">
        <v>1</v>
      </c>
      <c r="W858" s="64">
        <f t="shared" si="829"/>
        <v>0.28000000000000003</v>
      </c>
      <c r="Y858" s="60">
        <f>-12.48-434.49</f>
        <v>-446.97</v>
      </c>
      <c r="Z858" s="60">
        <v>-4.97</v>
      </c>
      <c r="AA858" s="60">
        <v>-6.59</v>
      </c>
      <c r="AB858" s="95"/>
      <c r="AC858" s="60">
        <v>-5.31</v>
      </c>
      <c r="AD858" s="8">
        <f t="shared" ref="AD858" si="869">SUM(Y858:AC858)</f>
        <v>-463.84000000000003</v>
      </c>
      <c r="AE858" s="2" t="s">
        <v>84</v>
      </c>
      <c r="AG858" s="70">
        <v>-235000</v>
      </c>
      <c r="AH858" s="70">
        <v>-3906000</v>
      </c>
      <c r="AJ858" s="70">
        <v>-826122</v>
      </c>
      <c r="AK858" s="70">
        <v>155639</v>
      </c>
      <c r="AL858" s="72"/>
      <c r="AM858" s="22"/>
      <c r="AO858" s="149" t="s">
        <v>585</v>
      </c>
      <c r="AP858" s="163" t="s">
        <v>892</v>
      </c>
      <c r="AQ858" s="149" t="s">
        <v>162</v>
      </c>
      <c r="AR858" s="51" t="str">
        <f t="shared" si="822"/>
        <v>JD81-5E211-AD</v>
      </c>
      <c r="AS858" s="3"/>
      <c r="AT858" s="94">
        <v>0</v>
      </c>
      <c r="AU858" s="94">
        <v>0</v>
      </c>
      <c r="AV858" s="94">
        <v>0</v>
      </c>
      <c r="AW858" s="94">
        <v>0</v>
      </c>
      <c r="AX858" s="94">
        <v>1</v>
      </c>
      <c r="AY858" s="94">
        <v>1</v>
      </c>
      <c r="AZ858" s="94">
        <v>0</v>
      </c>
      <c r="BA858" s="94">
        <v>1</v>
      </c>
      <c r="BB858" s="64">
        <f t="shared" si="831"/>
        <v>0.28000000000000003</v>
      </c>
      <c r="BD858" s="60">
        <v>-434.49</v>
      </c>
      <c r="BE858" s="60">
        <v>-4.97</v>
      </c>
      <c r="BF858" s="60">
        <v>-6.59</v>
      </c>
      <c r="BG858" s="95"/>
      <c r="BH858" s="60">
        <v>-5.31</v>
      </c>
      <c r="BI858" s="8">
        <f t="shared" si="857"/>
        <v>-451.36</v>
      </c>
      <c r="BJ858" s="2" t="s">
        <v>84</v>
      </c>
      <c r="BL858" s="70">
        <v>-235000</v>
      </c>
      <c r="BM858" s="70">
        <v>-3906000</v>
      </c>
      <c r="BO858" s="70">
        <v>-826122</v>
      </c>
      <c r="BP858" s="70">
        <v>155639</v>
      </c>
      <c r="BQ858" s="72"/>
      <c r="BR858" s="22"/>
      <c r="BS858" s="61">
        <f t="shared" si="832"/>
        <v>-12.480000000000018</v>
      </c>
      <c r="BT858" s="61">
        <f t="shared" si="833"/>
        <v>0</v>
      </c>
      <c r="BU858" s="61">
        <f t="shared" si="834"/>
        <v>0</v>
      </c>
      <c r="BV858" s="61">
        <f t="shared" si="835"/>
        <v>0</v>
      </c>
      <c r="BW858" s="61">
        <f t="shared" si="836"/>
        <v>0</v>
      </c>
      <c r="BX858" s="61">
        <f t="shared" si="836"/>
        <v>-12.480000000000018</v>
      </c>
      <c r="BY858" s="61" t="s">
        <v>91</v>
      </c>
      <c r="CA858" s="61">
        <f t="shared" si="837"/>
        <v>0</v>
      </c>
      <c r="CB858" s="61">
        <f t="shared" si="837"/>
        <v>0</v>
      </c>
      <c r="CC858" s="61">
        <f t="shared" si="837"/>
        <v>0</v>
      </c>
      <c r="CD858" s="61">
        <f t="shared" si="837"/>
        <v>0</v>
      </c>
      <c r="CE858" s="61">
        <f t="shared" si="837"/>
        <v>-1.8775387392808813</v>
      </c>
      <c r="CF858" s="61">
        <f t="shared" si="837"/>
        <v>-1.8775387392808813</v>
      </c>
      <c r="CG858" s="61">
        <f t="shared" si="837"/>
        <v>0</v>
      </c>
      <c r="CH858" s="61">
        <f t="shared" si="837"/>
        <v>-1.8775387392808813</v>
      </c>
      <c r="CI858" s="61">
        <f t="shared" si="838"/>
        <v>-0.52571084699864679</v>
      </c>
      <c r="CJ858" s="61"/>
      <c r="CK858" s="61">
        <f t="shared" si="839"/>
        <v>0</v>
      </c>
      <c r="CL858" s="61">
        <f t="shared" si="839"/>
        <v>0</v>
      </c>
      <c r="CM858" s="61">
        <f t="shared" si="839"/>
        <v>0</v>
      </c>
      <c r="CN858" s="61">
        <f t="shared" si="839"/>
        <v>0</v>
      </c>
      <c r="CO858" s="61">
        <f t="shared" si="839"/>
        <v>-1.8775387392808813</v>
      </c>
      <c r="CP858" s="61">
        <f t="shared" si="839"/>
        <v>-1.8775387392808813</v>
      </c>
      <c r="CQ858" s="61">
        <f t="shared" si="839"/>
        <v>0</v>
      </c>
      <c r="CR858" s="61">
        <f t="shared" si="839"/>
        <v>-1.8775387392808813</v>
      </c>
      <c r="CS858" s="61">
        <f t="shared" si="840"/>
        <v>-0.52571084699864679</v>
      </c>
      <c r="CT858" s="63">
        <f t="shared" si="841"/>
        <v>-3.4944000000000055</v>
      </c>
      <c r="CV858" s="61">
        <f t="shared" ref="CV858" si="870">SUM(AG858)-SUM(BL858)</f>
        <v>0</v>
      </c>
      <c r="CW858" s="61">
        <f t="shared" si="850"/>
        <v>0</v>
      </c>
      <c r="CX858" s="61"/>
      <c r="CY858" s="61">
        <f t="shared" si="777"/>
        <v>0</v>
      </c>
      <c r="CZ858" s="61">
        <f t="shared" si="777"/>
        <v>0</v>
      </c>
      <c r="DA858" s="61">
        <f t="shared" si="777"/>
        <v>0</v>
      </c>
      <c r="DB858" s="2" t="s">
        <v>86</v>
      </c>
      <c r="DC858" s="2" t="s">
        <v>85</v>
      </c>
      <c r="DD858" s="2" t="s">
        <v>87</v>
      </c>
      <c r="DE858" s="2" t="s">
        <v>169</v>
      </c>
      <c r="DG858" s="62"/>
      <c r="DZ858" s="3" t="e">
        <v>#N/A</v>
      </c>
      <c r="EC858" s="60" t="str">
        <f>VLOOKUP($M858,[1]Detail!$M:$BO,1,0)</f>
        <v>JD81-5E211-AE</v>
      </c>
      <c r="ED858" s="60">
        <f>VLOOKUP($M858,[1]Detail!$M:$BO,22,0)</f>
        <v>-451.36</v>
      </c>
      <c r="EE858" s="60">
        <f>VLOOKUP($M858,[1]Detail!$M:$BO,42,0)</f>
        <v>-235000</v>
      </c>
      <c r="EF858" s="60">
        <f>VLOOKUP($M858,[1]Detail!$M:$BO,45,0)</f>
        <v>-826122</v>
      </c>
      <c r="EH858" s="60">
        <f t="shared" ref="EH858:EH859" si="871">ED858-AD858</f>
        <v>12.480000000000018</v>
      </c>
      <c r="EI858" s="60">
        <f t="shared" ref="EI858:EI859" si="872">EE858-AG858</f>
        <v>0</v>
      </c>
      <c r="EJ858" s="60">
        <f t="shared" ref="EJ858:EJ859" si="873">EF858-AJ858</f>
        <v>0</v>
      </c>
    </row>
    <row r="859" spans="2:140" ht="12.75" hidden="1" customHeight="1">
      <c r="B859" s="99" t="s">
        <v>1412</v>
      </c>
      <c r="C859" s="22" t="s">
        <v>857</v>
      </c>
      <c r="D859" s="22" t="s">
        <v>858</v>
      </c>
      <c r="E859" s="2" t="s">
        <v>1005</v>
      </c>
      <c r="F859" s="2" t="s">
        <v>330</v>
      </c>
      <c r="G859" s="2" t="s">
        <v>331</v>
      </c>
      <c r="J859" s="149" t="s">
        <v>585</v>
      </c>
      <c r="K859" s="23" t="s">
        <v>873</v>
      </c>
      <c r="L859" s="149" t="s">
        <v>132</v>
      </c>
      <c r="M859" s="51" t="str">
        <f t="shared" si="820"/>
        <v>JD81-18K580-AB</v>
      </c>
      <c r="O859" s="94">
        <v>0</v>
      </c>
      <c r="P859" s="94">
        <v>1</v>
      </c>
      <c r="Q859" s="94">
        <v>0</v>
      </c>
      <c r="R859" s="94">
        <v>1</v>
      </c>
      <c r="S859" s="94">
        <v>0</v>
      </c>
      <c r="T859" s="94">
        <v>0</v>
      </c>
      <c r="U859" s="94">
        <v>1</v>
      </c>
      <c r="V859" s="94">
        <v>1</v>
      </c>
      <c r="W859" s="64">
        <f t="shared" si="829"/>
        <v>0.49</v>
      </c>
      <c r="Y859" s="60">
        <v>-33.4</v>
      </c>
      <c r="Z859" s="60">
        <v>-0.3</v>
      </c>
      <c r="AA859" s="60">
        <v>-0.6</v>
      </c>
      <c r="AB859" s="60"/>
      <c r="AC859" s="60"/>
      <c r="AD859" s="8">
        <f t="shared" ref="AD859:AD868" si="874">SUM(Y859:AC859)</f>
        <v>-34.299999999999997</v>
      </c>
      <c r="AE859" s="2" t="s">
        <v>84</v>
      </c>
      <c r="AG859" s="70">
        <v>-170000</v>
      </c>
      <c r="AH859" s="70">
        <v>-170000</v>
      </c>
      <c r="AJ859" s="70">
        <v>0</v>
      </c>
      <c r="AK859" s="70">
        <v>0</v>
      </c>
      <c r="AL859" s="72">
        <v>0</v>
      </c>
      <c r="AM859" s="22"/>
      <c r="AO859" s="22" t="s">
        <v>585</v>
      </c>
      <c r="AP859" s="85" t="s">
        <v>873</v>
      </c>
      <c r="AQ859" s="22" t="s">
        <v>100</v>
      </c>
      <c r="AR859" s="51" t="str">
        <f t="shared" si="822"/>
        <v>JD81-18K580-AA</v>
      </c>
      <c r="AS859" s="3"/>
      <c r="AT859" s="94">
        <v>0</v>
      </c>
      <c r="AU859" s="94">
        <v>1</v>
      </c>
      <c r="AV859" s="94">
        <v>0</v>
      </c>
      <c r="AW859" s="94">
        <v>1</v>
      </c>
      <c r="AX859" s="94">
        <v>0</v>
      </c>
      <c r="AY859" s="94">
        <v>0</v>
      </c>
      <c r="AZ859" s="94">
        <v>1</v>
      </c>
      <c r="BA859" s="94">
        <v>1</v>
      </c>
      <c r="BB859" s="64">
        <f t="shared" si="831"/>
        <v>0.49</v>
      </c>
      <c r="BD859" s="8">
        <v>-31.7</v>
      </c>
      <c r="BE859" s="8">
        <v>-0.3</v>
      </c>
      <c r="BF859" s="8">
        <v>-0.6</v>
      </c>
      <c r="BG859" s="8">
        <v>0</v>
      </c>
      <c r="BH859" s="8">
        <v>0</v>
      </c>
      <c r="BI859" s="8">
        <f t="shared" si="857"/>
        <v>-32.6</v>
      </c>
      <c r="BJ859" s="2" t="s">
        <v>91</v>
      </c>
      <c r="BL859" s="8">
        <v>-160000</v>
      </c>
      <c r="BM859" s="8">
        <v>-160000</v>
      </c>
      <c r="BN859" s="6"/>
      <c r="BO859" s="70">
        <v>0</v>
      </c>
      <c r="BP859" s="70">
        <v>0</v>
      </c>
      <c r="BQ859" s="72">
        <v>0</v>
      </c>
      <c r="BS859" s="61">
        <f t="shared" si="832"/>
        <v>-1.6999999999999993</v>
      </c>
      <c r="BT859" s="61">
        <f t="shared" si="833"/>
        <v>0</v>
      </c>
      <c r="BU859" s="61">
        <f t="shared" si="834"/>
        <v>0</v>
      </c>
      <c r="BV859" s="61">
        <f t="shared" si="835"/>
        <v>0</v>
      </c>
      <c r="BW859" s="61">
        <f t="shared" si="836"/>
        <v>0</v>
      </c>
      <c r="BX859" s="61">
        <f t="shared" si="836"/>
        <v>-1.6999999999999957</v>
      </c>
      <c r="BY859" s="61" t="s">
        <v>91</v>
      </c>
      <c r="CA859" s="61">
        <f t="shared" si="837"/>
        <v>0</v>
      </c>
      <c r="CB859" s="61">
        <f t="shared" si="837"/>
        <v>-0.25575447570332471</v>
      </c>
      <c r="CC859" s="61">
        <f t="shared" si="837"/>
        <v>0</v>
      </c>
      <c r="CD859" s="61">
        <f t="shared" si="837"/>
        <v>-0.25575447570332471</v>
      </c>
      <c r="CE859" s="61">
        <f t="shared" si="837"/>
        <v>0</v>
      </c>
      <c r="CF859" s="61">
        <f t="shared" si="837"/>
        <v>0</v>
      </c>
      <c r="CG859" s="61">
        <f t="shared" si="837"/>
        <v>-0.25575447570332471</v>
      </c>
      <c r="CH859" s="61">
        <f t="shared" si="837"/>
        <v>-0.25575447570332471</v>
      </c>
      <c r="CI859" s="61">
        <f t="shared" si="838"/>
        <v>-0.12531969309462912</v>
      </c>
      <c r="CJ859" s="61"/>
      <c r="CK859" s="61">
        <f t="shared" si="839"/>
        <v>0</v>
      </c>
      <c r="CL859" s="61">
        <f t="shared" si="839"/>
        <v>-0.25575447570332416</v>
      </c>
      <c r="CM859" s="61">
        <f t="shared" si="839"/>
        <v>0</v>
      </c>
      <c r="CN859" s="61">
        <f t="shared" si="839"/>
        <v>-0.25575447570332416</v>
      </c>
      <c r="CO859" s="61">
        <f t="shared" si="839"/>
        <v>0</v>
      </c>
      <c r="CP859" s="61">
        <f t="shared" si="839"/>
        <v>0</v>
      </c>
      <c r="CQ859" s="61">
        <f t="shared" si="839"/>
        <v>-0.25575447570332416</v>
      </c>
      <c r="CR859" s="61">
        <f t="shared" si="839"/>
        <v>-0.25575447570332416</v>
      </c>
      <c r="CS859" s="61">
        <f t="shared" si="840"/>
        <v>-0.12531969309462884</v>
      </c>
      <c r="CT859" s="61">
        <f t="shared" si="841"/>
        <v>-0.83299999999999796</v>
      </c>
      <c r="CV859" s="61">
        <f t="shared" si="856"/>
        <v>-10000</v>
      </c>
      <c r="CW859" s="61">
        <f t="shared" si="850"/>
        <v>-10000</v>
      </c>
      <c r="CX859" s="61"/>
      <c r="CY859" s="61">
        <f t="shared" si="777"/>
        <v>0</v>
      </c>
      <c r="CZ859" s="61">
        <f t="shared" si="777"/>
        <v>0</v>
      </c>
      <c r="DA859" s="61">
        <f t="shared" si="777"/>
        <v>0</v>
      </c>
      <c r="DB859" s="2" t="s">
        <v>86</v>
      </c>
      <c r="DC859" s="2" t="s">
        <v>85</v>
      </c>
      <c r="DD859" s="2" t="s">
        <v>142</v>
      </c>
      <c r="DE859" s="2" t="s">
        <v>264</v>
      </c>
      <c r="DF859" s="2" t="s">
        <v>86</v>
      </c>
      <c r="DG859" s="58">
        <v>43019</v>
      </c>
      <c r="EC859" s="60" t="str">
        <f>VLOOKUP($M859,[1]Detail!$M:$BO,1,0)</f>
        <v>JD81-18K580-AB</v>
      </c>
      <c r="ED859" s="60">
        <f>VLOOKUP($M859,[1]Detail!$M:$BO,22,0)</f>
        <v>-34.299999999999997</v>
      </c>
      <c r="EE859" s="60">
        <f>VLOOKUP($M859,[1]Detail!$M:$BO,42,0)</f>
        <v>-170000</v>
      </c>
      <c r="EF859" s="60">
        <f>VLOOKUP($M859,[1]Detail!$M:$BO,45,0)</f>
        <v>0</v>
      </c>
      <c r="EH859" s="60">
        <f t="shared" si="871"/>
        <v>0</v>
      </c>
      <c r="EI859" s="60">
        <f t="shared" si="872"/>
        <v>0</v>
      </c>
      <c r="EJ859" s="60">
        <f t="shared" si="873"/>
        <v>0</v>
      </c>
    </row>
    <row r="860" spans="2:140" ht="12.75" hidden="1" customHeight="1">
      <c r="B860" s="99" t="s">
        <v>1413</v>
      </c>
      <c r="C860" s="22" t="s">
        <v>1414</v>
      </c>
      <c r="D860" s="22" t="s">
        <v>1415</v>
      </c>
      <c r="E860" s="2" t="s">
        <v>968</v>
      </c>
      <c r="F860" s="2" t="s">
        <v>969</v>
      </c>
      <c r="G860" s="2" t="s">
        <v>331</v>
      </c>
      <c r="J860" s="149" t="s">
        <v>126</v>
      </c>
      <c r="K860" s="23" t="s">
        <v>1416</v>
      </c>
      <c r="L860" s="149" t="s">
        <v>234</v>
      </c>
      <c r="M860" s="51" t="str">
        <f t="shared" si="820"/>
        <v>JD8B-F42700-AC</v>
      </c>
      <c r="O860" s="22">
        <v>1</v>
      </c>
      <c r="P860" s="22">
        <v>1</v>
      </c>
      <c r="Q860" s="22">
        <v>1</v>
      </c>
      <c r="R860" s="22">
        <v>1</v>
      </c>
      <c r="S860" s="22">
        <v>1</v>
      </c>
      <c r="T860" s="22">
        <v>1</v>
      </c>
      <c r="U860" s="22">
        <v>1</v>
      </c>
      <c r="V860" s="22">
        <v>1</v>
      </c>
      <c r="W860" s="64">
        <f t="shared" si="829"/>
        <v>1</v>
      </c>
      <c r="Y860" s="60">
        <f>-38.98*0-39.31</f>
        <v>-39.31</v>
      </c>
      <c r="Z860" s="60">
        <v>-3.15</v>
      </c>
      <c r="AA860" s="60">
        <v>-2.13</v>
      </c>
      <c r="AB860" s="60">
        <v>0</v>
      </c>
      <c r="AC860" s="60">
        <v>-0.42</v>
      </c>
      <c r="AD860" s="8">
        <f t="shared" si="874"/>
        <v>-45.010000000000005</v>
      </c>
      <c r="AE860" s="2" t="s">
        <v>91</v>
      </c>
      <c r="AG860" s="70">
        <v>-1035290</v>
      </c>
      <c r="AH860" s="70">
        <v>-1035290</v>
      </c>
      <c r="AJ860" s="71">
        <v>-242150</v>
      </c>
      <c r="AK860" s="71">
        <v>574899</v>
      </c>
      <c r="AL860" s="72">
        <v>0</v>
      </c>
      <c r="AM860" s="22"/>
      <c r="AO860" s="149" t="s">
        <v>126</v>
      </c>
      <c r="AP860" s="23" t="s">
        <v>1416</v>
      </c>
      <c r="AQ860" s="22" t="s">
        <v>132</v>
      </c>
      <c r="AR860" s="51" t="str">
        <f t="shared" si="822"/>
        <v>JD8B-F42700-AB</v>
      </c>
      <c r="AS860" s="3"/>
      <c r="AT860" s="22">
        <v>1</v>
      </c>
      <c r="AU860" s="22">
        <v>1</v>
      </c>
      <c r="AV860" s="22">
        <v>1</v>
      </c>
      <c r="AW860" s="22">
        <v>1</v>
      </c>
      <c r="AX860" s="22">
        <v>1</v>
      </c>
      <c r="AY860" s="22">
        <v>1</v>
      </c>
      <c r="AZ860" s="22">
        <v>1</v>
      </c>
      <c r="BA860" s="22">
        <v>1</v>
      </c>
      <c r="BB860" s="64">
        <f t="shared" si="831"/>
        <v>1</v>
      </c>
      <c r="BD860" s="60">
        <f>-38.98*0-39.31</f>
        <v>-39.31</v>
      </c>
      <c r="BE860" s="60">
        <v>-3.15</v>
      </c>
      <c r="BF860" s="60">
        <v>-2.13</v>
      </c>
      <c r="BG860" s="60">
        <v>0</v>
      </c>
      <c r="BH860" s="60">
        <v>-0.42</v>
      </c>
      <c r="BI860" s="8">
        <f t="shared" ref="BI860:BI864" si="875">SUM(BD860:BH860)</f>
        <v>-45.010000000000005</v>
      </c>
      <c r="BJ860" s="2" t="s">
        <v>91</v>
      </c>
      <c r="BL860" s="71">
        <v>-1023000</v>
      </c>
      <c r="BM860" s="71">
        <f>BL860</f>
        <v>-1023000</v>
      </c>
      <c r="BN860" s="6"/>
      <c r="BO860" s="71">
        <v>-242150</v>
      </c>
      <c r="BP860" s="71">
        <v>574899</v>
      </c>
      <c r="BQ860" s="72"/>
      <c r="BS860" s="61">
        <f t="shared" si="832"/>
        <v>0</v>
      </c>
      <c r="BT860" s="61">
        <f t="shared" si="833"/>
        <v>0</v>
      </c>
      <c r="BU860" s="61">
        <f t="shared" si="834"/>
        <v>0</v>
      </c>
      <c r="BV860" s="61">
        <f t="shared" si="835"/>
        <v>0</v>
      </c>
      <c r="BW860" s="61">
        <f t="shared" si="836"/>
        <v>0</v>
      </c>
      <c r="BX860" s="61">
        <f t="shared" si="836"/>
        <v>0</v>
      </c>
      <c r="BY860" s="61" t="s">
        <v>91</v>
      </c>
      <c r="CA860" s="61">
        <f t="shared" si="837"/>
        <v>0</v>
      </c>
      <c r="CB860" s="61">
        <f t="shared" si="837"/>
        <v>0</v>
      </c>
      <c r="CC860" s="61">
        <f t="shared" si="837"/>
        <v>0</v>
      </c>
      <c r="CD860" s="61">
        <f t="shared" si="837"/>
        <v>0</v>
      </c>
      <c r="CE860" s="61">
        <f t="shared" si="837"/>
        <v>0</v>
      </c>
      <c r="CF860" s="61">
        <f t="shared" si="837"/>
        <v>0</v>
      </c>
      <c r="CG860" s="61">
        <f t="shared" si="837"/>
        <v>0</v>
      </c>
      <c r="CH860" s="61">
        <f t="shared" si="837"/>
        <v>0</v>
      </c>
      <c r="CI860" s="61">
        <f t="shared" si="838"/>
        <v>0</v>
      </c>
      <c r="CJ860" s="61"/>
      <c r="CK860" s="61">
        <f t="shared" si="839"/>
        <v>0</v>
      </c>
      <c r="CL860" s="61">
        <f t="shared" si="839"/>
        <v>0</v>
      </c>
      <c r="CM860" s="61">
        <f t="shared" si="839"/>
        <v>0</v>
      </c>
      <c r="CN860" s="61">
        <f t="shared" si="839"/>
        <v>0</v>
      </c>
      <c r="CO860" s="61">
        <f t="shared" si="839"/>
        <v>0</v>
      </c>
      <c r="CP860" s="61">
        <f t="shared" si="839"/>
        <v>0</v>
      </c>
      <c r="CQ860" s="61">
        <f t="shared" si="839"/>
        <v>0</v>
      </c>
      <c r="CR860" s="61">
        <f t="shared" si="839"/>
        <v>0</v>
      </c>
      <c r="CS860" s="61">
        <f t="shared" si="840"/>
        <v>0</v>
      </c>
      <c r="CT860" s="61">
        <f t="shared" si="841"/>
        <v>0</v>
      </c>
      <c r="CV860" s="61">
        <f t="shared" ref="CV860" si="876">SUM(AG860)-SUM(BL860)</f>
        <v>-12290</v>
      </c>
      <c r="CW860" s="61">
        <f t="shared" si="850"/>
        <v>-12290</v>
      </c>
      <c r="CX860" s="61"/>
      <c r="CY860" s="61">
        <f t="shared" si="777"/>
        <v>0</v>
      </c>
      <c r="CZ860" s="61">
        <f t="shared" si="777"/>
        <v>0</v>
      </c>
      <c r="DA860" s="61">
        <f t="shared" si="777"/>
        <v>0</v>
      </c>
      <c r="DB860" s="2" t="s">
        <v>85</v>
      </c>
      <c r="DC860" s="2" t="s">
        <v>85</v>
      </c>
      <c r="DD860" s="2" t="s">
        <v>142</v>
      </c>
      <c r="DE860" s="2" t="s">
        <v>264</v>
      </c>
      <c r="DF860" s="2" t="s">
        <v>86</v>
      </c>
      <c r="DG860" s="58">
        <v>43019</v>
      </c>
      <c r="EC860" s="60"/>
      <c r="ED860" s="60"/>
      <c r="EE860" s="60"/>
      <c r="EF860" s="60"/>
    </row>
    <row r="861" spans="2:140" ht="13.5" hidden="1" customHeight="1">
      <c r="B861" s="99" t="s">
        <v>1413</v>
      </c>
      <c r="C861" s="22" t="s">
        <v>1414</v>
      </c>
      <c r="D861" s="22" t="s">
        <v>1415</v>
      </c>
      <c r="E861" s="2" t="s">
        <v>968</v>
      </c>
      <c r="F861" s="2" t="s">
        <v>969</v>
      </c>
      <c r="G861" s="2" t="s">
        <v>331</v>
      </c>
      <c r="J861" s="149" t="s">
        <v>126</v>
      </c>
      <c r="K861" s="23" t="s">
        <v>1417</v>
      </c>
      <c r="L861" s="149" t="s">
        <v>234</v>
      </c>
      <c r="M861" s="51" t="str">
        <f t="shared" si="820"/>
        <v>JD8B-F42701-AC</v>
      </c>
      <c r="O861" s="22">
        <v>1</v>
      </c>
      <c r="P861" s="22">
        <v>1</v>
      </c>
      <c r="Q861" s="22">
        <v>1</v>
      </c>
      <c r="R861" s="22">
        <v>1</v>
      </c>
      <c r="S861" s="22">
        <v>1</v>
      </c>
      <c r="T861" s="22">
        <v>1</v>
      </c>
      <c r="U861" s="22">
        <v>1</v>
      </c>
      <c r="V861" s="22">
        <v>1</v>
      </c>
      <c r="W861" s="64">
        <f t="shared" si="829"/>
        <v>1</v>
      </c>
      <c r="Y861" s="60">
        <f>-38.98*0-39.31</f>
        <v>-39.31</v>
      </c>
      <c r="Z861" s="60">
        <v>-3.15</v>
      </c>
      <c r="AA861" s="60">
        <v>-2.13</v>
      </c>
      <c r="AB861" s="60">
        <v>0</v>
      </c>
      <c r="AC861" s="60">
        <v>-0.42</v>
      </c>
      <c r="AD861" s="8">
        <f t="shared" si="874"/>
        <v>-45.010000000000005</v>
      </c>
      <c r="AE861" s="2" t="s">
        <v>91</v>
      </c>
      <c r="AG861" s="70">
        <v>-1035290</v>
      </c>
      <c r="AH861" s="70">
        <v>-1035290</v>
      </c>
      <c r="AJ861" s="71">
        <v>-242150</v>
      </c>
      <c r="AK861" s="71">
        <v>574899</v>
      </c>
      <c r="AL861" s="72">
        <v>0</v>
      </c>
      <c r="AM861" s="22"/>
      <c r="AO861" s="149" t="s">
        <v>126</v>
      </c>
      <c r="AP861" s="23" t="s">
        <v>1417</v>
      </c>
      <c r="AQ861" s="22" t="s">
        <v>132</v>
      </c>
      <c r="AR861" s="51" t="str">
        <f t="shared" si="822"/>
        <v>JD8B-F42701-AB</v>
      </c>
      <c r="AS861" s="3"/>
      <c r="AT861" s="22">
        <v>1</v>
      </c>
      <c r="AU861" s="22">
        <v>1</v>
      </c>
      <c r="AV861" s="22">
        <v>1</v>
      </c>
      <c r="AW861" s="22">
        <v>1</v>
      </c>
      <c r="AX861" s="22">
        <v>1</v>
      </c>
      <c r="AY861" s="22">
        <v>1</v>
      </c>
      <c r="AZ861" s="22">
        <v>1</v>
      </c>
      <c r="BA861" s="22">
        <v>1</v>
      </c>
      <c r="BB861" s="64">
        <f t="shared" si="831"/>
        <v>1</v>
      </c>
      <c r="BD861" s="60">
        <f>-38.98*0-39.31</f>
        <v>-39.31</v>
      </c>
      <c r="BE861" s="60">
        <v>-3.15</v>
      </c>
      <c r="BF861" s="60">
        <v>-2.13</v>
      </c>
      <c r="BG861" s="60">
        <v>0</v>
      </c>
      <c r="BH861" s="60">
        <v>-0.42</v>
      </c>
      <c r="BI861" s="8">
        <f t="shared" si="875"/>
        <v>-45.010000000000005</v>
      </c>
      <c r="BJ861" s="2" t="s">
        <v>91</v>
      </c>
      <c r="BL861" s="71">
        <v>-1023000</v>
      </c>
      <c r="BM861" s="71">
        <f>BL861</f>
        <v>-1023000</v>
      </c>
      <c r="BN861" s="6"/>
      <c r="BO861" s="71">
        <v>-242150</v>
      </c>
      <c r="BP861" s="71">
        <v>574899</v>
      </c>
      <c r="BQ861" s="72"/>
      <c r="BS861" s="61">
        <f t="shared" si="832"/>
        <v>0</v>
      </c>
      <c r="BT861" s="61">
        <f t="shared" si="833"/>
        <v>0</v>
      </c>
      <c r="BU861" s="61">
        <f t="shared" si="834"/>
        <v>0</v>
      </c>
      <c r="BV861" s="61">
        <f t="shared" si="835"/>
        <v>0</v>
      </c>
      <c r="BW861" s="61">
        <f t="shared" si="836"/>
        <v>0</v>
      </c>
      <c r="BX861" s="61">
        <f t="shared" si="836"/>
        <v>0</v>
      </c>
      <c r="BY861" s="61" t="s">
        <v>91</v>
      </c>
      <c r="CA861" s="61">
        <f t="shared" si="837"/>
        <v>0</v>
      </c>
      <c r="CB861" s="61">
        <f t="shared" si="837"/>
        <v>0</v>
      </c>
      <c r="CC861" s="61">
        <f t="shared" si="837"/>
        <v>0</v>
      </c>
      <c r="CD861" s="61">
        <f t="shared" si="837"/>
        <v>0</v>
      </c>
      <c r="CE861" s="61">
        <f t="shared" si="837"/>
        <v>0</v>
      </c>
      <c r="CF861" s="61">
        <f t="shared" si="837"/>
        <v>0</v>
      </c>
      <c r="CG861" s="61">
        <f t="shared" si="837"/>
        <v>0</v>
      </c>
      <c r="CH861" s="61">
        <f t="shared" si="837"/>
        <v>0</v>
      </c>
      <c r="CI861" s="61">
        <f t="shared" si="838"/>
        <v>0</v>
      </c>
      <c r="CJ861" s="61"/>
      <c r="CK861" s="61">
        <f t="shared" si="839"/>
        <v>0</v>
      </c>
      <c r="CL861" s="61">
        <f t="shared" si="839"/>
        <v>0</v>
      </c>
      <c r="CM861" s="61">
        <f t="shared" si="839"/>
        <v>0</v>
      </c>
      <c r="CN861" s="61">
        <f t="shared" si="839"/>
        <v>0</v>
      </c>
      <c r="CO861" s="61">
        <f t="shared" si="839"/>
        <v>0</v>
      </c>
      <c r="CP861" s="61">
        <f t="shared" si="839"/>
        <v>0</v>
      </c>
      <c r="CQ861" s="61">
        <f t="shared" si="839"/>
        <v>0</v>
      </c>
      <c r="CR861" s="61">
        <f t="shared" si="839"/>
        <v>0</v>
      </c>
      <c r="CS861" s="61">
        <f t="shared" si="840"/>
        <v>0</v>
      </c>
      <c r="CT861" s="61">
        <f t="shared" si="841"/>
        <v>0</v>
      </c>
      <c r="CV861" s="61">
        <f t="shared" si="856"/>
        <v>-12290</v>
      </c>
      <c r="CW861" s="61">
        <f t="shared" si="850"/>
        <v>-12290</v>
      </c>
      <c r="CX861" s="61"/>
      <c r="CY861" s="61">
        <f t="shared" si="777"/>
        <v>0</v>
      </c>
      <c r="CZ861" s="61">
        <f t="shared" si="777"/>
        <v>0</v>
      </c>
      <c r="DA861" s="61">
        <f t="shared" si="777"/>
        <v>0</v>
      </c>
      <c r="DB861" s="2" t="s">
        <v>85</v>
      </c>
      <c r="DC861" s="2" t="s">
        <v>85</v>
      </c>
      <c r="DD861" s="2" t="s">
        <v>142</v>
      </c>
      <c r="DE861" s="2" t="s">
        <v>264</v>
      </c>
      <c r="DF861" s="2" t="s">
        <v>86</v>
      </c>
      <c r="DG861" s="58">
        <v>43019</v>
      </c>
      <c r="EC861" s="60"/>
      <c r="ED861" s="60"/>
      <c r="EE861" s="60"/>
      <c r="EF861" s="60"/>
    </row>
    <row r="862" spans="2:140" ht="12.75" hidden="1" customHeight="1">
      <c r="B862" s="99" t="s">
        <v>1418</v>
      </c>
      <c r="C862" s="22" t="s">
        <v>1414</v>
      </c>
      <c r="D862" s="22" t="s">
        <v>1415</v>
      </c>
      <c r="E862" s="2" t="s">
        <v>968</v>
      </c>
      <c r="F862" s="2" t="s">
        <v>969</v>
      </c>
      <c r="G862" s="2" t="s">
        <v>331</v>
      </c>
      <c r="J862" s="149" t="s">
        <v>126</v>
      </c>
      <c r="K862" s="23" t="s">
        <v>1416</v>
      </c>
      <c r="L862" s="149" t="s">
        <v>162</v>
      </c>
      <c r="M862" s="51" t="str">
        <f t="shared" si="820"/>
        <v>JD8B-F42700-AD</v>
      </c>
      <c r="O862" s="22">
        <v>1</v>
      </c>
      <c r="P862" s="22">
        <v>1</v>
      </c>
      <c r="Q862" s="22">
        <v>1</v>
      </c>
      <c r="R862" s="22">
        <v>1</v>
      </c>
      <c r="S862" s="22">
        <v>1</v>
      </c>
      <c r="T862" s="22">
        <v>1</v>
      </c>
      <c r="U862" s="22">
        <v>1</v>
      </c>
      <c r="V862" s="22">
        <v>1</v>
      </c>
      <c r="W862" s="64">
        <f t="shared" si="829"/>
        <v>1</v>
      </c>
      <c r="Y862" s="60">
        <f>-38.98*0-39.31-0.15</f>
        <v>-39.46</v>
      </c>
      <c r="Z862" s="60">
        <v>-3.15</v>
      </c>
      <c r="AA862" s="60">
        <v>-2.13</v>
      </c>
      <c r="AB862" s="60">
        <v>0</v>
      </c>
      <c r="AC862" s="60">
        <v>-0.42</v>
      </c>
      <c r="AD862" s="8">
        <f t="shared" ref="AD862:AD863" si="877">SUM(Y862:AC862)</f>
        <v>-45.160000000000004</v>
      </c>
      <c r="AE862" s="2" t="s">
        <v>91</v>
      </c>
      <c r="AG862" s="70">
        <f>-1035290-1790</f>
        <v>-1037080</v>
      </c>
      <c r="AH862" s="70">
        <f>-1035290-1790</f>
        <v>-1037080</v>
      </c>
      <c r="AJ862" s="71">
        <v>-242150</v>
      </c>
      <c r="AK862" s="71">
        <v>574899</v>
      </c>
      <c r="AL862" s="72">
        <v>0</v>
      </c>
      <c r="AM862" s="22"/>
      <c r="AO862" s="149" t="s">
        <v>126</v>
      </c>
      <c r="AP862" s="23" t="s">
        <v>1416</v>
      </c>
      <c r="AQ862" s="22" t="s">
        <v>234</v>
      </c>
      <c r="AR862" s="51" t="str">
        <f t="shared" si="822"/>
        <v>JD8B-F42700-AC</v>
      </c>
      <c r="AS862" s="3"/>
      <c r="AT862" s="22">
        <v>1</v>
      </c>
      <c r="AU862" s="22">
        <v>1</v>
      </c>
      <c r="AV862" s="22">
        <v>1</v>
      </c>
      <c r="AW862" s="22">
        <v>1</v>
      </c>
      <c r="AX862" s="22">
        <v>1</v>
      </c>
      <c r="AY862" s="22">
        <v>1</v>
      </c>
      <c r="AZ862" s="22">
        <v>1</v>
      </c>
      <c r="BA862" s="22">
        <v>1</v>
      </c>
      <c r="BB862" s="64">
        <f t="shared" si="831"/>
        <v>1</v>
      </c>
      <c r="BD862" s="60">
        <f>-38.98*0-39.31</f>
        <v>-39.31</v>
      </c>
      <c r="BE862" s="60">
        <v>-3.15</v>
      </c>
      <c r="BF862" s="60">
        <v>-2.13</v>
      </c>
      <c r="BG862" s="60">
        <v>0</v>
      </c>
      <c r="BH862" s="60">
        <v>-0.42</v>
      </c>
      <c r="BI862" s="8">
        <f t="shared" si="875"/>
        <v>-45.010000000000005</v>
      </c>
      <c r="BJ862" s="2" t="s">
        <v>91</v>
      </c>
      <c r="BL862" s="70">
        <v>-1035290</v>
      </c>
      <c r="BM862" s="70">
        <v>-1035290</v>
      </c>
      <c r="BN862" s="6"/>
      <c r="BO862" s="71">
        <v>-242150</v>
      </c>
      <c r="BP862" s="71">
        <v>574899</v>
      </c>
      <c r="BQ862" s="72"/>
      <c r="BS862" s="61">
        <f t="shared" si="832"/>
        <v>-0.14999999999999858</v>
      </c>
      <c r="BT862" s="61">
        <f t="shared" si="833"/>
        <v>0</v>
      </c>
      <c r="BU862" s="61">
        <f t="shared" si="834"/>
        <v>0</v>
      </c>
      <c r="BV862" s="61">
        <f t="shared" si="835"/>
        <v>0</v>
      </c>
      <c r="BW862" s="61">
        <f t="shared" si="836"/>
        <v>0</v>
      </c>
      <c r="BX862" s="61">
        <f t="shared" si="836"/>
        <v>-0.14999999999999858</v>
      </c>
      <c r="BY862" s="61" t="s">
        <v>91</v>
      </c>
      <c r="CA862" s="61">
        <f t="shared" si="837"/>
        <v>-2.2566571385587268E-2</v>
      </c>
      <c r="CB862" s="61">
        <f t="shared" si="837"/>
        <v>-2.2566571385587268E-2</v>
      </c>
      <c r="CC862" s="61">
        <f t="shared" si="837"/>
        <v>-2.2566571385587268E-2</v>
      </c>
      <c r="CD862" s="61">
        <f t="shared" si="837"/>
        <v>-2.2566571385587268E-2</v>
      </c>
      <c r="CE862" s="61">
        <f t="shared" si="837"/>
        <v>-2.2566571385587268E-2</v>
      </c>
      <c r="CF862" s="61">
        <f t="shared" si="837"/>
        <v>-2.2566571385587268E-2</v>
      </c>
      <c r="CG862" s="61">
        <f t="shared" si="837"/>
        <v>-2.2566571385587268E-2</v>
      </c>
      <c r="CH862" s="61">
        <f t="shared" si="837"/>
        <v>-2.2566571385587268E-2</v>
      </c>
      <c r="CI862" s="61">
        <f t="shared" si="838"/>
        <v>-2.2566571385587271E-2</v>
      </c>
      <c r="CJ862" s="61"/>
      <c r="CK862" s="61">
        <f t="shared" si="839"/>
        <v>-2.2566571385587268E-2</v>
      </c>
      <c r="CL862" s="61">
        <f t="shared" si="839"/>
        <v>-2.2566571385587268E-2</v>
      </c>
      <c r="CM862" s="61">
        <f t="shared" si="839"/>
        <v>-2.2566571385587268E-2</v>
      </c>
      <c r="CN862" s="61">
        <f t="shared" si="839"/>
        <v>-2.2566571385587268E-2</v>
      </c>
      <c r="CO862" s="61">
        <f t="shared" si="839"/>
        <v>-2.2566571385587268E-2</v>
      </c>
      <c r="CP862" s="61">
        <f t="shared" si="839"/>
        <v>-2.2566571385587268E-2</v>
      </c>
      <c r="CQ862" s="61">
        <f t="shared" si="839"/>
        <v>-2.2566571385587268E-2</v>
      </c>
      <c r="CR862" s="61">
        <f t="shared" si="839"/>
        <v>-2.2566571385587268E-2</v>
      </c>
      <c r="CS862" s="61">
        <f t="shared" si="840"/>
        <v>-2.2566571385587271E-2</v>
      </c>
      <c r="CT862" s="63">
        <f t="shared" si="841"/>
        <v>-0.14999999999999861</v>
      </c>
      <c r="CV862" s="61">
        <f t="shared" si="856"/>
        <v>-1790</v>
      </c>
      <c r="CW862" s="61">
        <f t="shared" si="850"/>
        <v>-1790</v>
      </c>
      <c r="CX862" s="61"/>
      <c r="CY862" s="61">
        <f t="shared" si="777"/>
        <v>0</v>
      </c>
      <c r="CZ862" s="61">
        <f t="shared" si="777"/>
        <v>0</v>
      </c>
      <c r="DA862" s="61">
        <f t="shared" si="777"/>
        <v>0</v>
      </c>
      <c r="DB862" s="2" t="s">
        <v>86</v>
      </c>
      <c r="DC862" s="2" t="s">
        <v>85</v>
      </c>
      <c r="DD862" s="2" t="s">
        <v>142</v>
      </c>
      <c r="DE862" s="2" t="s">
        <v>106</v>
      </c>
      <c r="DF862" s="2" t="s">
        <v>86</v>
      </c>
      <c r="DG862" s="58">
        <v>43068</v>
      </c>
      <c r="EC862" s="60" t="str">
        <f>VLOOKUP($M862,[1]Detail!$M:$BO,1,0)</f>
        <v>JD8B-F42700-AD</v>
      </c>
      <c r="ED862" s="60">
        <f>VLOOKUP($M862,[1]Detail!$M:$BO,22,0)</f>
        <v>-45.160000000000004</v>
      </c>
      <c r="EE862" s="60">
        <f>VLOOKUP($M862,[1]Detail!$M:$BO,42,0)</f>
        <v>-1037080</v>
      </c>
      <c r="EF862" s="60">
        <f>VLOOKUP($M862,[1]Detail!$M:$BO,45,0)</f>
        <v>-242150</v>
      </c>
      <c r="EH862" s="60">
        <f t="shared" ref="EH862:EH863" si="878">ED862-AD862</f>
        <v>0</v>
      </c>
      <c r="EI862" s="60">
        <f t="shared" ref="EI862:EI863" si="879">EE862-AG862</f>
        <v>0</v>
      </c>
      <c r="EJ862" s="60">
        <f t="shared" ref="EJ862:EJ863" si="880">EF862-AJ862</f>
        <v>0</v>
      </c>
    </row>
    <row r="863" spans="2:140" ht="12.75" hidden="1" customHeight="1">
      <c r="B863" s="99" t="s">
        <v>1418</v>
      </c>
      <c r="C863" s="22" t="s">
        <v>1414</v>
      </c>
      <c r="D863" s="22" t="s">
        <v>1415</v>
      </c>
      <c r="E863" s="2" t="s">
        <v>968</v>
      </c>
      <c r="F863" s="2" t="s">
        <v>969</v>
      </c>
      <c r="G863" s="2" t="s">
        <v>331</v>
      </c>
      <c r="J863" s="149" t="s">
        <v>126</v>
      </c>
      <c r="K863" s="23" t="s">
        <v>1417</v>
      </c>
      <c r="L863" s="149" t="s">
        <v>162</v>
      </c>
      <c r="M863" s="51" t="str">
        <f t="shared" si="820"/>
        <v>JD8B-F42701-AD</v>
      </c>
      <c r="O863" s="22">
        <v>1</v>
      </c>
      <c r="P863" s="22">
        <v>1</v>
      </c>
      <c r="Q863" s="22">
        <v>1</v>
      </c>
      <c r="R863" s="22">
        <v>1</v>
      </c>
      <c r="S863" s="22">
        <v>1</v>
      </c>
      <c r="T863" s="22">
        <v>1</v>
      </c>
      <c r="U863" s="22">
        <v>1</v>
      </c>
      <c r="V863" s="22">
        <v>1</v>
      </c>
      <c r="W863" s="64">
        <f t="shared" si="829"/>
        <v>1</v>
      </c>
      <c r="Y863" s="60">
        <f>-38.98*0-39.31-0.15</f>
        <v>-39.46</v>
      </c>
      <c r="Z863" s="60">
        <v>-3.15</v>
      </c>
      <c r="AA863" s="60">
        <v>-2.13</v>
      </c>
      <c r="AB863" s="60">
        <v>0</v>
      </c>
      <c r="AC863" s="60">
        <v>-0.42</v>
      </c>
      <c r="AD863" s="8">
        <f t="shared" si="877"/>
        <v>-45.160000000000004</v>
      </c>
      <c r="AE863" s="2" t="s">
        <v>91</v>
      </c>
      <c r="AG863" s="70">
        <f>-1035290-1790</f>
        <v>-1037080</v>
      </c>
      <c r="AH863" s="70">
        <f>-1035290-1790</f>
        <v>-1037080</v>
      </c>
      <c r="AJ863" s="71">
        <v>-242150</v>
      </c>
      <c r="AK863" s="71">
        <v>574899</v>
      </c>
      <c r="AL863" s="72">
        <v>0</v>
      </c>
      <c r="AM863" s="22"/>
      <c r="AO863" s="149" t="s">
        <v>126</v>
      </c>
      <c r="AP863" s="23" t="s">
        <v>1417</v>
      </c>
      <c r="AQ863" s="22" t="s">
        <v>234</v>
      </c>
      <c r="AR863" s="51" t="str">
        <f t="shared" si="822"/>
        <v>JD8B-F42701-AC</v>
      </c>
      <c r="AS863" s="3"/>
      <c r="AT863" s="22">
        <v>1</v>
      </c>
      <c r="AU863" s="22">
        <v>1</v>
      </c>
      <c r="AV863" s="22">
        <v>1</v>
      </c>
      <c r="AW863" s="22">
        <v>1</v>
      </c>
      <c r="AX863" s="22">
        <v>1</v>
      </c>
      <c r="AY863" s="22">
        <v>1</v>
      </c>
      <c r="AZ863" s="22">
        <v>1</v>
      </c>
      <c r="BA863" s="22">
        <v>1</v>
      </c>
      <c r="BB863" s="64">
        <f t="shared" si="831"/>
        <v>1</v>
      </c>
      <c r="BD863" s="60">
        <f>-38.98*0-39.31</f>
        <v>-39.31</v>
      </c>
      <c r="BE863" s="60">
        <v>-3.15</v>
      </c>
      <c r="BF863" s="60">
        <v>-2.13</v>
      </c>
      <c r="BG863" s="60">
        <v>0</v>
      </c>
      <c r="BH863" s="60">
        <v>-0.42</v>
      </c>
      <c r="BI863" s="8">
        <f t="shared" si="875"/>
        <v>-45.010000000000005</v>
      </c>
      <c r="BJ863" s="2" t="s">
        <v>91</v>
      </c>
      <c r="BL863" s="70">
        <v>-1035290</v>
      </c>
      <c r="BM863" s="70">
        <v>-1035290</v>
      </c>
      <c r="BN863" s="6"/>
      <c r="BO863" s="71">
        <v>-242150</v>
      </c>
      <c r="BP863" s="71">
        <v>574899</v>
      </c>
      <c r="BQ863" s="72"/>
      <c r="BS863" s="61">
        <f t="shared" si="832"/>
        <v>-0.14999999999999858</v>
      </c>
      <c r="BT863" s="61">
        <f t="shared" si="833"/>
        <v>0</v>
      </c>
      <c r="BU863" s="61">
        <f t="shared" si="834"/>
        <v>0</v>
      </c>
      <c r="BV863" s="61">
        <f t="shared" si="835"/>
        <v>0</v>
      </c>
      <c r="BW863" s="61">
        <f t="shared" si="836"/>
        <v>0</v>
      </c>
      <c r="BX863" s="61">
        <f t="shared" si="836"/>
        <v>-0.14999999999999858</v>
      </c>
      <c r="BY863" s="61" t="s">
        <v>91</v>
      </c>
      <c r="CA863" s="61">
        <f t="shared" si="837"/>
        <v>-2.2566571385587268E-2</v>
      </c>
      <c r="CB863" s="61">
        <f t="shared" si="837"/>
        <v>-2.2566571385587268E-2</v>
      </c>
      <c r="CC863" s="61">
        <f t="shared" si="837"/>
        <v>-2.2566571385587268E-2</v>
      </c>
      <c r="CD863" s="61">
        <f t="shared" si="837"/>
        <v>-2.2566571385587268E-2</v>
      </c>
      <c r="CE863" s="61">
        <f t="shared" si="837"/>
        <v>-2.2566571385587268E-2</v>
      </c>
      <c r="CF863" s="61">
        <f t="shared" si="837"/>
        <v>-2.2566571385587268E-2</v>
      </c>
      <c r="CG863" s="61">
        <f t="shared" si="837"/>
        <v>-2.2566571385587268E-2</v>
      </c>
      <c r="CH863" s="61">
        <f t="shared" si="837"/>
        <v>-2.2566571385587268E-2</v>
      </c>
      <c r="CI863" s="61">
        <f t="shared" si="838"/>
        <v>-2.2566571385587271E-2</v>
      </c>
      <c r="CJ863" s="61"/>
      <c r="CK863" s="61">
        <f t="shared" si="839"/>
        <v>-2.2566571385587268E-2</v>
      </c>
      <c r="CL863" s="61">
        <f t="shared" si="839"/>
        <v>-2.2566571385587268E-2</v>
      </c>
      <c r="CM863" s="61">
        <f t="shared" si="839"/>
        <v>-2.2566571385587268E-2</v>
      </c>
      <c r="CN863" s="61">
        <f t="shared" si="839"/>
        <v>-2.2566571385587268E-2</v>
      </c>
      <c r="CO863" s="61">
        <f t="shared" si="839"/>
        <v>-2.2566571385587268E-2</v>
      </c>
      <c r="CP863" s="61">
        <f t="shared" si="839"/>
        <v>-2.2566571385587268E-2</v>
      </c>
      <c r="CQ863" s="61">
        <f t="shared" si="839"/>
        <v>-2.2566571385587268E-2</v>
      </c>
      <c r="CR863" s="61">
        <f t="shared" si="839"/>
        <v>-2.2566571385587268E-2</v>
      </c>
      <c r="CS863" s="61">
        <f t="shared" si="840"/>
        <v>-2.2566571385587271E-2</v>
      </c>
      <c r="CT863" s="63">
        <f t="shared" si="841"/>
        <v>-0.14999999999999861</v>
      </c>
      <c r="CV863" s="61">
        <f t="shared" ref="CV863" si="881">SUM(AG863)-SUM(BL863)</f>
        <v>-1790</v>
      </c>
      <c r="CW863" s="61">
        <f t="shared" ref="CW863" si="882">SUM(AH863)-SUM(BM863)</f>
        <v>-1790</v>
      </c>
      <c r="CX863" s="61"/>
      <c r="CY863" s="61">
        <f t="shared" si="777"/>
        <v>0</v>
      </c>
      <c r="CZ863" s="61">
        <f t="shared" si="777"/>
        <v>0</v>
      </c>
      <c r="DA863" s="61">
        <f t="shared" si="777"/>
        <v>0</v>
      </c>
      <c r="DB863" s="2" t="s">
        <v>86</v>
      </c>
      <c r="DC863" s="2" t="s">
        <v>85</v>
      </c>
      <c r="DD863" s="2" t="s">
        <v>142</v>
      </c>
      <c r="DE863" s="2" t="s">
        <v>106</v>
      </c>
      <c r="DF863" s="2" t="s">
        <v>86</v>
      </c>
      <c r="DG863" s="58">
        <v>43068</v>
      </c>
      <c r="EC863" s="60" t="str">
        <f>VLOOKUP($M863,[1]Detail!$M:$BO,1,0)</f>
        <v>JD8B-F42701-AD</v>
      </c>
      <c r="ED863" s="60">
        <f>VLOOKUP($M863,[1]Detail!$M:$BO,22,0)</f>
        <v>-45.160000000000004</v>
      </c>
      <c r="EE863" s="60">
        <f>VLOOKUP($M863,[1]Detail!$M:$BO,42,0)</f>
        <v>-1037080</v>
      </c>
      <c r="EF863" s="60">
        <f>VLOOKUP($M863,[1]Detail!$M:$BO,45,0)</f>
        <v>-242150</v>
      </c>
      <c r="EH863" s="60">
        <f t="shared" si="878"/>
        <v>0</v>
      </c>
      <c r="EI863" s="60">
        <f t="shared" si="879"/>
        <v>0</v>
      </c>
      <c r="EJ863" s="60">
        <f t="shared" si="880"/>
        <v>0</v>
      </c>
    </row>
    <row r="864" spans="2:140" ht="12.75" hidden="1" customHeight="1">
      <c r="B864" s="99" t="s">
        <v>1413</v>
      </c>
      <c r="C864" s="22" t="s">
        <v>1414</v>
      </c>
      <c r="D864" s="22" t="s">
        <v>1415</v>
      </c>
      <c r="E864" s="2" t="s">
        <v>968</v>
      </c>
      <c r="F864" s="2" t="s">
        <v>969</v>
      </c>
      <c r="G864" s="2" t="s">
        <v>331</v>
      </c>
      <c r="J864" s="149" t="s">
        <v>126</v>
      </c>
      <c r="K864" s="23" t="s">
        <v>1419</v>
      </c>
      <c r="L864" s="149" t="s">
        <v>132</v>
      </c>
      <c r="M864" s="51" t="str">
        <f t="shared" si="820"/>
        <v>JD8B-F44858-AB</v>
      </c>
      <c r="O864" s="22">
        <v>1</v>
      </c>
      <c r="P864" s="22">
        <v>1</v>
      </c>
      <c r="Q864" s="22">
        <v>1</v>
      </c>
      <c r="R864" s="22">
        <v>1</v>
      </c>
      <c r="S864" s="22">
        <v>1</v>
      </c>
      <c r="T864" s="22">
        <v>1</v>
      </c>
      <c r="U864" s="22">
        <v>1</v>
      </c>
      <c r="V864" s="22">
        <v>1</v>
      </c>
      <c r="W864" s="64">
        <f t="shared" si="829"/>
        <v>1</v>
      </c>
      <c r="Y864" s="60">
        <v>-1.1200000000000001</v>
      </c>
      <c r="Z864" s="60">
        <v>-0.11</v>
      </c>
      <c r="AA864" s="60">
        <v>-0.03</v>
      </c>
      <c r="AB864" s="60">
        <v>0</v>
      </c>
      <c r="AC864" s="60">
        <v>0</v>
      </c>
      <c r="AD864" s="8">
        <f t="shared" si="874"/>
        <v>-1.2600000000000002</v>
      </c>
      <c r="AE864" s="2" t="s">
        <v>91</v>
      </c>
      <c r="AG864" s="70">
        <v>-72373</v>
      </c>
      <c r="AH864" s="70">
        <v>-72373</v>
      </c>
      <c r="AJ864" s="70"/>
      <c r="AK864" s="70"/>
      <c r="AL864" s="72"/>
      <c r="AM864" s="22"/>
      <c r="AO864" s="149" t="s">
        <v>126</v>
      </c>
      <c r="AP864" s="23" t="s">
        <v>1419</v>
      </c>
      <c r="AQ864" s="22" t="s">
        <v>100</v>
      </c>
      <c r="AR864" s="51" t="str">
        <f t="shared" si="822"/>
        <v>JD8B-F44858-AA</v>
      </c>
      <c r="AS864" s="3"/>
      <c r="AT864" s="22">
        <v>1</v>
      </c>
      <c r="AU864" s="22">
        <v>1</v>
      </c>
      <c r="AV864" s="22">
        <v>1</v>
      </c>
      <c r="AW864" s="22">
        <v>1</v>
      </c>
      <c r="AX864" s="22">
        <v>1</v>
      </c>
      <c r="AY864" s="22">
        <v>1</v>
      </c>
      <c r="AZ864" s="22">
        <v>1</v>
      </c>
      <c r="BA864" s="22">
        <v>1</v>
      </c>
      <c r="BB864" s="64">
        <f t="shared" si="831"/>
        <v>1</v>
      </c>
      <c r="BD864" s="60">
        <v>-1.1200000000000001</v>
      </c>
      <c r="BE864" s="60">
        <v>-0.11</v>
      </c>
      <c r="BF864" s="60">
        <v>-0.03</v>
      </c>
      <c r="BG864" s="60">
        <v>0</v>
      </c>
      <c r="BH864" s="60">
        <v>0</v>
      </c>
      <c r="BI864" s="8">
        <f t="shared" si="875"/>
        <v>-1.2600000000000002</v>
      </c>
      <c r="BJ864" s="2" t="s">
        <v>91</v>
      </c>
      <c r="BL864" s="71">
        <v>-62500</v>
      </c>
      <c r="BM864" s="71">
        <v>-62500</v>
      </c>
      <c r="BN864" s="6"/>
      <c r="BO864" s="71">
        <v>0</v>
      </c>
      <c r="BP864" s="71">
        <v>0</v>
      </c>
      <c r="BQ864" s="72">
        <v>0</v>
      </c>
      <c r="BS864" s="61">
        <f t="shared" si="832"/>
        <v>0</v>
      </c>
      <c r="BT864" s="61">
        <f t="shared" si="833"/>
        <v>0</v>
      </c>
      <c r="BU864" s="61">
        <f t="shared" si="834"/>
        <v>0</v>
      </c>
      <c r="BV864" s="61">
        <f t="shared" si="835"/>
        <v>0</v>
      </c>
      <c r="BW864" s="61">
        <f t="shared" si="836"/>
        <v>0</v>
      </c>
      <c r="BX864" s="61">
        <f t="shared" si="836"/>
        <v>0</v>
      </c>
      <c r="BY864" s="61" t="s">
        <v>91</v>
      </c>
      <c r="CA864" s="61">
        <f t="shared" si="837"/>
        <v>0</v>
      </c>
      <c r="CB864" s="61">
        <f t="shared" si="837"/>
        <v>0</v>
      </c>
      <c r="CC864" s="61">
        <f t="shared" si="837"/>
        <v>0</v>
      </c>
      <c r="CD864" s="61">
        <f t="shared" si="837"/>
        <v>0</v>
      </c>
      <c r="CE864" s="61">
        <f t="shared" si="837"/>
        <v>0</v>
      </c>
      <c r="CF864" s="61">
        <f t="shared" si="837"/>
        <v>0</v>
      </c>
      <c r="CG864" s="61">
        <f t="shared" si="837"/>
        <v>0</v>
      </c>
      <c r="CH864" s="61">
        <f t="shared" si="837"/>
        <v>0</v>
      </c>
      <c r="CI864" s="61">
        <f t="shared" si="838"/>
        <v>0</v>
      </c>
      <c r="CJ864" s="61"/>
      <c r="CK864" s="61">
        <f t="shared" si="839"/>
        <v>0</v>
      </c>
      <c r="CL864" s="61">
        <f t="shared" si="839"/>
        <v>0</v>
      </c>
      <c r="CM864" s="61">
        <f t="shared" si="839"/>
        <v>0</v>
      </c>
      <c r="CN864" s="61">
        <f t="shared" si="839"/>
        <v>0</v>
      </c>
      <c r="CO864" s="61">
        <f t="shared" si="839"/>
        <v>0</v>
      </c>
      <c r="CP864" s="61">
        <f t="shared" si="839"/>
        <v>0</v>
      </c>
      <c r="CQ864" s="61">
        <f t="shared" si="839"/>
        <v>0</v>
      </c>
      <c r="CR864" s="61">
        <f t="shared" si="839"/>
        <v>0</v>
      </c>
      <c r="CS864" s="61">
        <f t="shared" si="840"/>
        <v>0</v>
      </c>
      <c r="CT864" s="61">
        <f t="shared" si="841"/>
        <v>0</v>
      </c>
      <c r="CV864" s="61">
        <f t="shared" ref="CV864" si="883">SUM(AG864)-SUM(BL864)</f>
        <v>-9873</v>
      </c>
      <c r="CW864" s="61">
        <f t="shared" ref="CW864" si="884">SUM(AH864)-SUM(BM864)</f>
        <v>-9873</v>
      </c>
      <c r="CX864" s="61"/>
      <c r="CY864" s="61">
        <f t="shared" si="777"/>
        <v>0</v>
      </c>
      <c r="CZ864" s="61">
        <f t="shared" si="777"/>
        <v>0</v>
      </c>
      <c r="DA864" s="61">
        <f t="shared" si="777"/>
        <v>0</v>
      </c>
      <c r="DB864" s="2" t="s">
        <v>85</v>
      </c>
      <c r="DC864" s="2" t="s">
        <v>85</v>
      </c>
      <c r="DD864" s="2" t="s">
        <v>142</v>
      </c>
      <c r="DE864" s="2" t="s">
        <v>264</v>
      </c>
      <c r="DF864" s="2" t="s">
        <v>86</v>
      </c>
      <c r="DG864" s="58">
        <v>43019</v>
      </c>
      <c r="EC864" s="60"/>
      <c r="ED864" s="60"/>
      <c r="EE864" s="60"/>
      <c r="EF864" s="60"/>
    </row>
    <row r="865" spans="1:140" ht="12.75" hidden="1" customHeight="1">
      <c r="B865" s="99" t="s">
        <v>1420</v>
      </c>
      <c r="C865" s="22" t="s">
        <v>1414</v>
      </c>
      <c r="D865" s="22" t="s">
        <v>1415</v>
      </c>
      <c r="E865" s="2" t="s">
        <v>968</v>
      </c>
      <c r="F865" s="2" t="s">
        <v>969</v>
      </c>
      <c r="G865" s="2" t="s">
        <v>331</v>
      </c>
      <c r="J865" s="149" t="s">
        <v>126</v>
      </c>
      <c r="K865" s="23" t="s">
        <v>1419</v>
      </c>
      <c r="L865" s="149" t="s">
        <v>234</v>
      </c>
      <c r="M865" s="51" t="str">
        <f t="shared" si="820"/>
        <v>JD8B-F44858-AC</v>
      </c>
      <c r="O865" s="22">
        <v>1</v>
      </c>
      <c r="P865" s="22">
        <v>1</v>
      </c>
      <c r="Q865" s="22">
        <v>1</v>
      </c>
      <c r="R865" s="22">
        <v>1</v>
      </c>
      <c r="S865" s="22">
        <v>1</v>
      </c>
      <c r="T865" s="22">
        <v>1</v>
      </c>
      <c r="U865" s="22">
        <v>1</v>
      </c>
      <c r="V865" s="22">
        <v>1</v>
      </c>
      <c r="W865" s="64">
        <f t="shared" si="829"/>
        <v>1</v>
      </c>
      <c r="Y865" s="60">
        <v>-1.1200000000000001</v>
      </c>
      <c r="Z865" s="60">
        <v>-0.11</v>
      </c>
      <c r="AA865" s="60">
        <v>-0.03</v>
      </c>
      <c r="AB865" s="60">
        <v>0</v>
      </c>
      <c r="AC865" s="60">
        <v>0</v>
      </c>
      <c r="AD865" s="8">
        <f t="shared" ref="AD865" si="885">SUM(Y865:AC865)</f>
        <v>-1.2600000000000002</v>
      </c>
      <c r="AE865" s="2" t="s">
        <v>91</v>
      </c>
      <c r="AG865" s="70">
        <v>-72373</v>
      </c>
      <c r="AH865" s="70">
        <v>-72373</v>
      </c>
      <c r="AJ865" s="70"/>
      <c r="AK865" s="70"/>
      <c r="AL865" s="72"/>
      <c r="AM865" s="22"/>
      <c r="AO865" s="149" t="s">
        <v>126</v>
      </c>
      <c r="AP865" s="23" t="s">
        <v>1419</v>
      </c>
      <c r="AQ865" s="149" t="s">
        <v>132</v>
      </c>
      <c r="AR865" s="51" t="str">
        <f t="shared" si="822"/>
        <v>JD8B-F44858-AB</v>
      </c>
      <c r="AS865" s="3"/>
      <c r="AT865" s="22">
        <v>1</v>
      </c>
      <c r="AU865" s="22">
        <v>1</v>
      </c>
      <c r="AV865" s="22">
        <v>1</v>
      </c>
      <c r="AW865" s="22">
        <v>1</v>
      </c>
      <c r="AX865" s="22">
        <v>1</v>
      </c>
      <c r="AY865" s="22">
        <v>1</v>
      </c>
      <c r="AZ865" s="22">
        <v>1</v>
      </c>
      <c r="BA865" s="22">
        <v>1</v>
      </c>
      <c r="BB865" s="64">
        <f t="shared" si="831"/>
        <v>1</v>
      </c>
      <c r="BD865" s="60">
        <v>-1.1200000000000001</v>
      </c>
      <c r="BE865" s="60">
        <v>-0.11</v>
      </c>
      <c r="BF865" s="60">
        <v>-0.03</v>
      </c>
      <c r="BG865" s="60">
        <v>0</v>
      </c>
      <c r="BH865" s="60">
        <v>0</v>
      </c>
      <c r="BI865" s="8">
        <f t="shared" ref="BI865:BI868" si="886">SUM(BD865:BH865)</f>
        <v>-1.2600000000000002</v>
      </c>
      <c r="BJ865" s="2" t="s">
        <v>91</v>
      </c>
      <c r="BL865" s="70">
        <v>-72373</v>
      </c>
      <c r="BM865" s="70">
        <v>-72373</v>
      </c>
      <c r="BN865" s="6"/>
      <c r="BO865" s="71">
        <v>0</v>
      </c>
      <c r="BP865" s="71">
        <v>0</v>
      </c>
      <c r="BQ865" s="72">
        <v>0</v>
      </c>
      <c r="BS865" s="61">
        <f t="shared" si="832"/>
        <v>0</v>
      </c>
      <c r="BT865" s="61">
        <f t="shared" si="833"/>
        <v>0</v>
      </c>
      <c r="BU865" s="61">
        <f t="shared" si="834"/>
        <v>0</v>
      </c>
      <c r="BV865" s="61">
        <f t="shared" si="835"/>
        <v>0</v>
      </c>
      <c r="BW865" s="61">
        <f t="shared" si="836"/>
        <v>0</v>
      </c>
      <c r="BX865" s="61">
        <f t="shared" si="836"/>
        <v>0</v>
      </c>
      <c r="BY865" s="61" t="s">
        <v>91</v>
      </c>
      <c r="CA865" s="61">
        <f t="shared" si="837"/>
        <v>0</v>
      </c>
      <c r="CB865" s="61">
        <f t="shared" si="837"/>
        <v>0</v>
      </c>
      <c r="CC865" s="61">
        <f t="shared" si="837"/>
        <v>0</v>
      </c>
      <c r="CD865" s="61">
        <f t="shared" si="837"/>
        <v>0</v>
      </c>
      <c r="CE865" s="61">
        <f t="shared" si="837"/>
        <v>0</v>
      </c>
      <c r="CF865" s="61">
        <f t="shared" si="837"/>
        <v>0</v>
      </c>
      <c r="CG865" s="61">
        <f t="shared" si="837"/>
        <v>0</v>
      </c>
      <c r="CH865" s="61">
        <f t="shared" si="837"/>
        <v>0</v>
      </c>
      <c r="CI865" s="61">
        <f t="shared" si="838"/>
        <v>0</v>
      </c>
      <c r="CJ865" s="61"/>
      <c r="CK865" s="61">
        <f t="shared" si="839"/>
        <v>0</v>
      </c>
      <c r="CL865" s="61">
        <f t="shared" si="839"/>
        <v>0</v>
      </c>
      <c r="CM865" s="61">
        <f t="shared" si="839"/>
        <v>0</v>
      </c>
      <c r="CN865" s="61">
        <f t="shared" si="839"/>
        <v>0</v>
      </c>
      <c r="CO865" s="61">
        <f t="shared" si="839"/>
        <v>0</v>
      </c>
      <c r="CP865" s="61">
        <f t="shared" si="839"/>
        <v>0</v>
      </c>
      <c r="CQ865" s="61">
        <f t="shared" si="839"/>
        <v>0</v>
      </c>
      <c r="CR865" s="61">
        <f t="shared" si="839"/>
        <v>0</v>
      </c>
      <c r="CS865" s="61">
        <f t="shared" si="840"/>
        <v>0</v>
      </c>
      <c r="CT865" s="61">
        <f t="shared" si="841"/>
        <v>0</v>
      </c>
      <c r="CV865" s="61">
        <f t="shared" ref="CV865:CV866" si="887">SUM(AG865)-SUM(BL865)</f>
        <v>0</v>
      </c>
      <c r="CW865" s="61">
        <f t="shared" ref="CW865:CW866" si="888">SUM(AH865)-SUM(BM865)</f>
        <v>0</v>
      </c>
      <c r="CX865" s="61"/>
      <c r="CY865" s="61">
        <f t="shared" si="777"/>
        <v>0</v>
      </c>
      <c r="CZ865" s="61">
        <f t="shared" si="777"/>
        <v>0</v>
      </c>
      <c r="DA865" s="61">
        <f t="shared" si="777"/>
        <v>0</v>
      </c>
      <c r="DB865" s="2" t="s">
        <v>86</v>
      </c>
      <c r="DC865" s="2" t="s">
        <v>85</v>
      </c>
      <c r="DD865" s="2" t="s">
        <v>142</v>
      </c>
      <c r="DE865" s="2" t="s">
        <v>264</v>
      </c>
      <c r="DF865" s="3" t="s">
        <v>118</v>
      </c>
      <c r="DG865" s="62">
        <v>43111</v>
      </c>
      <c r="EC865" s="60" t="str">
        <f>VLOOKUP($M865,[1]Detail!$M:$BO,1,0)</f>
        <v>JD8B-F44858-AC</v>
      </c>
      <c r="ED865" s="60">
        <f>VLOOKUP($M865,[1]Detail!$M:$BO,22,0)</f>
        <v>-1.2600000000000002</v>
      </c>
      <c r="EE865" s="60">
        <f>VLOOKUP($M865,[1]Detail!$M:$BO,42,0)</f>
        <v>-72373</v>
      </c>
      <c r="EF865" s="60">
        <f>VLOOKUP($M865,[1]Detail!$M:$BO,45,0)</f>
        <v>0</v>
      </c>
      <c r="EH865" s="60">
        <f t="shared" ref="EH865:EH871" si="889">ED865-AD865</f>
        <v>0</v>
      </c>
      <c r="EI865" s="60">
        <f t="shared" ref="EI865:EI871" si="890">EE865-AG865</f>
        <v>0</v>
      </c>
      <c r="EJ865" s="60">
        <f t="shared" ref="EJ865:EJ871" si="891">EF865-AJ865</f>
        <v>0</v>
      </c>
    </row>
    <row r="866" spans="1:140" ht="12.75" hidden="1" customHeight="1">
      <c r="B866" s="99" t="s">
        <v>1413</v>
      </c>
      <c r="C866" s="22" t="s">
        <v>1414</v>
      </c>
      <c r="D866" s="22" t="s">
        <v>1415</v>
      </c>
      <c r="E866" s="2" t="s">
        <v>968</v>
      </c>
      <c r="F866" s="2" t="s">
        <v>969</v>
      </c>
      <c r="G866" s="2" t="s">
        <v>331</v>
      </c>
      <c r="J866" s="149" t="s">
        <v>126</v>
      </c>
      <c r="K866" s="23" t="s">
        <v>1421</v>
      </c>
      <c r="L866" s="149" t="s">
        <v>132</v>
      </c>
      <c r="M866" s="51" t="str">
        <f t="shared" si="820"/>
        <v>JD8B-F44890-AB</v>
      </c>
      <c r="O866" s="22">
        <v>1</v>
      </c>
      <c r="P866" s="22">
        <v>1</v>
      </c>
      <c r="Q866" s="22">
        <v>1</v>
      </c>
      <c r="R866" s="22">
        <v>1</v>
      </c>
      <c r="S866" s="22">
        <v>1</v>
      </c>
      <c r="T866" s="22">
        <v>1</v>
      </c>
      <c r="U866" s="22">
        <v>1</v>
      </c>
      <c r="V866" s="22">
        <v>1</v>
      </c>
      <c r="W866" s="64">
        <f t="shared" si="829"/>
        <v>1</v>
      </c>
      <c r="Y866" s="60">
        <v>-7.97</v>
      </c>
      <c r="Z866" s="60">
        <v>-0.74299999999999999</v>
      </c>
      <c r="AA866" s="60">
        <v>-0.42199999999999999</v>
      </c>
      <c r="AB866" s="60">
        <v>0</v>
      </c>
      <c r="AC866" s="60">
        <v>0</v>
      </c>
      <c r="AD866" s="8">
        <f t="shared" si="874"/>
        <v>-9.1349999999999998</v>
      </c>
      <c r="AE866" s="2" t="s">
        <v>91</v>
      </c>
      <c r="AG866" s="70">
        <v>-33710</v>
      </c>
      <c r="AH866" s="70">
        <v>-33710</v>
      </c>
      <c r="AJ866" s="70"/>
      <c r="AK866" s="70"/>
      <c r="AL866" s="72"/>
      <c r="AM866" s="22"/>
      <c r="AO866" s="149" t="s">
        <v>126</v>
      </c>
      <c r="AP866" s="23" t="s">
        <v>1421</v>
      </c>
      <c r="AQ866" s="22" t="s">
        <v>100</v>
      </c>
      <c r="AR866" s="51" t="str">
        <f t="shared" si="822"/>
        <v>JD8B-F44890-AA</v>
      </c>
      <c r="AS866" s="3"/>
      <c r="AT866" s="22">
        <v>1</v>
      </c>
      <c r="AU866" s="22">
        <v>1</v>
      </c>
      <c r="AV866" s="22">
        <v>1</v>
      </c>
      <c r="AW866" s="22">
        <v>1</v>
      </c>
      <c r="AX866" s="22">
        <v>1</v>
      </c>
      <c r="AY866" s="22">
        <v>1</v>
      </c>
      <c r="AZ866" s="22">
        <v>1</v>
      </c>
      <c r="BA866" s="22">
        <v>1</v>
      </c>
      <c r="BB866" s="64">
        <f t="shared" si="831"/>
        <v>1</v>
      </c>
      <c r="BD866" s="60">
        <v>-7.97</v>
      </c>
      <c r="BE866" s="60">
        <v>-0.74299999999999999</v>
      </c>
      <c r="BF866" s="60">
        <v>-0.42199999999999999</v>
      </c>
      <c r="BG866" s="60">
        <v>0</v>
      </c>
      <c r="BH866" s="60">
        <v>0</v>
      </c>
      <c r="BI866" s="8">
        <f t="shared" si="886"/>
        <v>-9.1349999999999998</v>
      </c>
      <c r="BJ866" s="2" t="s">
        <v>91</v>
      </c>
      <c r="BL866" s="71">
        <v>-25000</v>
      </c>
      <c r="BM866" s="71">
        <v>-25000</v>
      </c>
      <c r="BN866" s="6"/>
      <c r="BO866" s="71">
        <v>0</v>
      </c>
      <c r="BP866" s="71">
        <v>0</v>
      </c>
      <c r="BQ866" s="72">
        <v>0</v>
      </c>
      <c r="BS866" s="61">
        <f t="shared" si="832"/>
        <v>0</v>
      </c>
      <c r="BT866" s="61">
        <f t="shared" si="833"/>
        <v>0</v>
      </c>
      <c r="BU866" s="61">
        <f t="shared" si="834"/>
        <v>0</v>
      </c>
      <c r="BV866" s="61">
        <f t="shared" si="835"/>
        <v>0</v>
      </c>
      <c r="BW866" s="61">
        <f t="shared" si="836"/>
        <v>0</v>
      </c>
      <c r="BX866" s="61">
        <f t="shared" si="836"/>
        <v>0</v>
      </c>
      <c r="BY866" s="61" t="s">
        <v>91</v>
      </c>
      <c r="CA866" s="61">
        <f t="shared" si="837"/>
        <v>0</v>
      </c>
      <c r="CB866" s="61">
        <f t="shared" si="837"/>
        <v>0</v>
      </c>
      <c r="CC866" s="61">
        <f t="shared" si="837"/>
        <v>0</v>
      </c>
      <c r="CD866" s="61">
        <f t="shared" si="837"/>
        <v>0</v>
      </c>
      <c r="CE866" s="61">
        <f t="shared" si="837"/>
        <v>0</v>
      </c>
      <c r="CF866" s="61">
        <f t="shared" si="837"/>
        <v>0</v>
      </c>
      <c r="CG866" s="61">
        <f t="shared" si="837"/>
        <v>0</v>
      </c>
      <c r="CH866" s="61">
        <f t="shared" si="837"/>
        <v>0</v>
      </c>
      <c r="CI866" s="61">
        <f t="shared" si="838"/>
        <v>0</v>
      </c>
      <c r="CJ866" s="61"/>
      <c r="CK866" s="61">
        <f t="shared" si="839"/>
        <v>0</v>
      </c>
      <c r="CL866" s="61">
        <f t="shared" si="839"/>
        <v>0</v>
      </c>
      <c r="CM866" s="61">
        <f t="shared" si="839"/>
        <v>0</v>
      </c>
      <c r="CN866" s="61">
        <f t="shared" si="839"/>
        <v>0</v>
      </c>
      <c r="CO866" s="61">
        <f t="shared" si="839"/>
        <v>0</v>
      </c>
      <c r="CP866" s="61">
        <f t="shared" si="839"/>
        <v>0</v>
      </c>
      <c r="CQ866" s="61">
        <f t="shared" si="839"/>
        <v>0</v>
      </c>
      <c r="CR866" s="61">
        <f t="shared" si="839"/>
        <v>0</v>
      </c>
      <c r="CS866" s="61">
        <f t="shared" si="840"/>
        <v>0</v>
      </c>
      <c r="CT866" s="61">
        <f t="shared" si="841"/>
        <v>0</v>
      </c>
      <c r="CV866" s="61">
        <f t="shared" si="887"/>
        <v>-8710</v>
      </c>
      <c r="CW866" s="61">
        <f t="shared" si="888"/>
        <v>-8710</v>
      </c>
      <c r="CX866" s="61"/>
      <c r="CY866" s="61">
        <f t="shared" si="777"/>
        <v>0</v>
      </c>
      <c r="CZ866" s="61">
        <f t="shared" si="777"/>
        <v>0</v>
      </c>
      <c r="DA866" s="61">
        <f t="shared" si="777"/>
        <v>0</v>
      </c>
      <c r="DB866" s="2" t="s">
        <v>86</v>
      </c>
      <c r="DC866" s="2" t="s">
        <v>85</v>
      </c>
      <c r="DD866" s="2" t="s">
        <v>142</v>
      </c>
      <c r="DE866" s="2" t="s">
        <v>264</v>
      </c>
      <c r="DF866" s="2" t="s">
        <v>86</v>
      </c>
      <c r="DG866" s="58">
        <v>43019</v>
      </c>
      <c r="EC866" s="60" t="str">
        <f>VLOOKUP($M866,[1]Detail!$M:$BO,1,0)</f>
        <v>JD8B-F44890-AB</v>
      </c>
      <c r="ED866" s="60">
        <f>VLOOKUP($M866,[1]Detail!$M:$BO,22,0)</f>
        <v>-9.1349999999999998</v>
      </c>
      <c r="EE866" s="60">
        <f>VLOOKUP($M866,[1]Detail!$M:$BO,42,0)</f>
        <v>-33710</v>
      </c>
      <c r="EF866" s="60">
        <f>VLOOKUP($M866,[1]Detail!$M:$BO,45,0)</f>
        <v>0</v>
      </c>
      <c r="EH866" s="60">
        <f t="shared" si="889"/>
        <v>0</v>
      </c>
      <c r="EI866" s="60">
        <f t="shared" si="890"/>
        <v>0</v>
      </c>
      <c r="EJ866" s="60">
        <f t="shared" si="891"/>
        <v>0</v>
      </c>
    </row>
    <row r="867" spans="1:140" ht="12.75" hidden="1" customHeight="1">
      <c r="B867" s="99" t="s">
        <v>1413</v>
      </c>
      <c r="C867" s="22" t="s">
        <v>1414</v>
      </c>
      <c r="D867" s="22" t="s">
        <v>1415</v>
      </c>
      <c r="E867" s="2" t="s">
        <v>968</v>
      </c>
      <c r="F867" s="2" t="s">
        <v>969</v>
      </c>
      <c r="G867" s="2" t="s">
        <v>331</v>
      </c>
      <c r="J867" s="149" t="s">
        <v>126</v>
      </c>
      <c r="K867" s="23" t="s">
        <v>1422</v>
      </c>
      <c r="L867" s="149" t="s">
        <v>132</v>
      </c>
      <c r="M867" s="51" t="str">
        <f t="shared" si="820"/>
        <v>JD8B-F44891-AB</v>
      </c>
      <c r="O867" s="22">
        <v>1</v>
      </c>
      <c r="P867" s="22">
        <v>1</v>
      </c>
      <c r="Q867" s="22">
        <v>1</v>
      </c>
      <c r="R867" s="22">
        <v>1</v>
      </c>
      <c r="S867" s="22">
        <v>1</v>
      </c>
      <c r="T867" s="22">
        <v>1</v>
      </c>
      <c r="U867" s="22">
        <v>1</v>
      </c>
      <c r="V867" s="22">
        <v>1</v>
      </c>
      <c r="W867" s="64">
        <f t="shared" si="829"/>
        <v>1</v>
      </c>
      <c r="Y867" s="60">
        <v>-7.97</v>
      </c>
      <c r="Z867" s="60">
        <v>-0.74299999999999999</v>
      </c>
      <c r="AA867" s="60">
        <v>-0.42199999999999999</v>
      </c>
      <c r="AB867" s="60">
        <v>0</v>
      </c>
      <c r="AC867" s="60">
        <v>0</v>
      </c>
      <c r="AD867" s="8">
        <f t="shared" si="874"/>
        <v>-9.1349999999999998</v>
      </c>
      <c r="AE867" s="2" t="s">
        <v>91</v>
      </c>
      <c r="AG867" s="70">
        <v>-33710</v>
      </c>
      <c r="AH867" s="70">
        <v>-33710</v>
      </c>
      <c r="AJ867" s="70"/>
      <c r="AK867" s="70"/>
      <c r="AL867" s="72"/>
      <c r="AM867" s="22"/>
      <c r="AO867" s="149" t="s">
        <v>126</v>
      </c>
      <c r="AP867" s="23" t="s">
        <v>1422</v>
      </c>
      <c r="AQ867" s="22" t="s">
        <v>100</v>
      </c>
      <c r="AR867" s="51" t="str">
        <f t="shared" si="822"/>
        <v>JD8B-F44891-AA</v>
      </c>
      <c r="AS867" s="3"/>
      <c r="AT867" s="22">
        <v>1</v>
      </c>
      <c r="AU867" s="22">
        <v>1</v>
      </c>
      <c r="AV867" s="22">
        <v>1</v>
      </c>
      <c r="AW867" s="22">
        <v>1</v>
      </c>
      <c r="AX867" s="22">
        <v>1</v>
      </c>
      <c r="AY867" s="22">
        <v>1</v>
      </c>
      <c r="AZ867" s="22">
        <v>1</v>
      </c>
      <c r="BA867" s="22">
        <v>1</v>
      </c>
      <c r="BB867" s="64">
        <f t="shared" si="831"/>
        <v>1</v>
      </c>
      <c r="BD867" s="60">
        <v>-7.97</v>
      </c>
      <c r="BE867" s="60">
        <v>-0.74299999999999999</v>
      </c>
      <c r="BF867" s="60">
        <v>-0.42199999999999999</v>
      </c>
      <c r="BG867" s="60">
        <v>0</v>
      </c>
      <c r="BH867" s="60">
        <v>0</v>
      </c>
      <c r="BI867" s="8">
        <f t="shared" si="886"/>
        <v>-9.1349999999999998</v>
      </c>
      <c r="BJ867" s="2" t="s">
        <v>91</v>
      </c>
      <c r="BL867" s="71">
        <v>-25000</v>
      </c>
      <c r="BM867" s="71">
        <v>-25000</v>
      </c>
      <c r="BN867" s="6"/>
      <c r="BO867" s="71">
        <v>0</v>
      </c>
      <c r="BP867" s="71">
        <v>0</v>
      </c>
      <c r="BQ867" s="72">
        <v>0</v>
      </c>
      <c r="BS867" s="61">
        <f t="shared" si="832"/>
        <v>0</v>
      </c>
      <c r="BT867" s="61">
        <f t="shared" si="833"/>
        <v>0</v>
      </c>
      <c r="BU867" s="61">
        <f t="shared" si="834"/>
        <v>0</v>
      </c>
      <c r="BV867" s="61">
        <f t="shared" si="835"/>
        <v>0</v>
      </c>
      <c r="BW867" s="61">
        <f t="shared" si="836"/>
        <v>0</v>
      </c>
      <c r="BX867" s="61">
        <f t="shared" si="836"/>
        <v>0</v>
      </c>
      <c r="BY867" s="61" t="s">
        <v>91</v>
      </c>
      <c r="CA867" s="61">
        <f t="shared" si="837"/>
        <v>0</v>
      </c>
      <c r="CB867" s="61">
        <f t="shared" si="837"/>
        <v>0</v>
      </c>
      <c r="CC867" s="61">
        <f t="shared" si="837"/>
        <v>0</v>
      </c>
      <c r="CD867" s="61">
        <f t="shared" si="837"/>
        <v>0</v>
      </c>
      <c r="CE867" s="61">
        <f t="shared" si="837"/>
        <v>0</v>
      </c>
      <c r="CF867" s="61">
        <f t="shared" si="837"/>
        <v>0</v>
      </c>
      <c r="CG867" s="61">
        <f t="shared" si="837"/>
        <v>0</v>
      </c>
      <c r="CH867" s="61">
        <f t="shared" si="837"/>
        <v>0</v>
      </c>
      <c r="CI867" s="61">
        <f t="shared" si="838"/>
        <v>0</v>
      </c>
      <c r="CJ867" s="61"/>
      <c r="CK867" s="61">
        <f t="shared" si="839"/>
        <v>0</v>
      </c>
      <c r="CL867" s="61">
        <f t="shared" si="839"/>
        <v>0</v>
      </c>
      <c r="CM867" s="61">
        <f t="shared" si="839"/>
        <v>0</v>
      </c>
      <c r="CN867" s="61">
        <f t="shared" si="839"/>
        <v>0</v>
      </c>
      <c r="CO867" s="61">
        <f t="shared" si="839"/>
        <v>0</v>
      </c>
      <c r="CP867" s="61">
        <f t="shared" si="839"/>
        <v>0</v>
      </c>
      <c r="CQ867" s="61">
        <f t="shared" si="839"/>
        <v>0</v>
      </c>
      <c r="CR867" s="61">
        <f t="shared" si="839"/>
        <v>0</v>
      </c>
      <c r="CS867" s="61">
        <f t="shared" si="840"/>
        <v>0</v>
      </c>
      <c r="CT867" s="61">
        <f t="shared" si="841"/>
        <v>0</v>
      </c>
      <c r="CV867" s="61">
        <f t="shared" si="856"/>
        <v>-8710</v>
      </c>
      <c r="CW867" s="61">
        <f t="shared" si="850"/>
        <v>-8710</v>
      </c>
      <c r="CX867" s="61"/>
      <c r="CY867" s="61">
        <f t="shared" si="777"/>
        <v>0</v>
      </c>
      <c r="CZ867" s="61">
        <f t="shared" si="777"/>
        <v>0</v>
      </c>
      <c r="DA867" s="61">
        <f t="shared" si="777"/>
        <v>0</v>
      </c>
      <c r="DB867" s="2" t="s">
        <v>86</v>
      </c>
      <c r="DC867" s="2" t="s">
        <v>85</v>
      </c>
      <c r="DD867" s="2" t="s">
        <v>142</v>
      </c>
      <c r="DE867" s="2" t="s">
        <v>264</v>
      </c>
      <c r="DF867" s="2" t="s">
        <v>86</v>
      </c>
      <c r="DG867" s="58">
        <v>43019</v>
      </c>
      <c r="EC867" s="60" t="str">
        <f>VLOOKUP($M867,[1]Detail!$M:$BO,1,0)</f>
        <v>JD8B-F44891-AB</v>
      </c>
      <c r="ED867" s="60">
        <f>VLOOKUP($M867,[1]Detail!$M:$BO,22,0)</f>
        <v>-9.1349999999999998</v>
      </c>
      <c r="EE867" s="60">
        <f>VLOOKUP($M867,[1]Detail!$M:$BO,42,0)</f>
        <v>-33710</v>
      </c>
      <c r="EF867" s="60">
        <f>VLOOKUP($M867,[1]Detail!$M:$BO,45,0)</f>
        <v>0</v>
      </c>
      <c r="EH867" s="60">
        <f t="shared" si="889"/>
        <v>0</v>
      </c>
      <c r="EI867" s="60">
        <f t="shared" si="890"/>
        <v>0</v>
      </c>
      <c r="EJ867" s="60">
        <f t="shared" si="891"/>
        <v>0</v>
      </c>
    </row>
    <row r="868" spans="1:140" ht="12.75" hidden="1" customHeight="1">
      <c r="B868" s="99" t="s">
        <v>1423</v>
      </c>
      <c r="C868" s="22" t="s">
        <v>405</v>
      </c>
      <c r="D868" s="22" t="s">
        <v>407</v>
      </c>
      <c r="E868" s="2" t="s">
        <v>968</v>
      </c>
      <c r="F868" s="2" t="s">
        <v>969</v>
      </c>
      <c r="G868" s="2" t="s">
        <v>1087</v>
      </c>
      <c r="J868" s="149" t="s">
        <v>126</v>
      </c>
      <c r="K868" s="23">
        <v>13228</v>
      </c>
      <c r="L868" s="149" t="s">
        <v>100</v>
      </c>
      <c r="M868" s="51" t="str">
        <f t="shared" si="820"/>
        <v>JD8B-13228-AA</v>
      </c>
      <c r="O868" s="94">
        <v>0</v>
      </c>
      <c r="P868" s="94">
        <v>0</v>
      </c>
      <c r="Q868" s="94">
        <v>0</v>
      </c>
      <c r="R868" s="94">
        <v>0</v>
      </c>
      <c r="S868" s="94">
        <v>0</v>
      </c>
      <c r="T868" s="94">
        <v>0</v>
      </c>
      <c r="U868" s="94">
        <v>2</v>
      </c>
      <c r="V868" s="94">
        <v>2</v>
      </c>
      <c r="W868" s="64">
        <f t="shared" si="829"/>
        <v>0.2</v>
      </c>
      <c r="Y868" s="60">
        <v>-7.23</v>
      </c>
      <c r="Z868" s="60">
        <v>-0.22</v>
      </c>
      <c r="AA868" s="60">
        <v>-0.2</v>
      </c>
      <c r="AB868" s="60">
        <v>0</v>
      </c>
      <c r="AC868" s="60">
        <v>0</v>
      </c>
      <c r="AD868" s="8">
        <f t="shared" si="874"/>
        <v>-7.65</v>
      </c>
      <c r="AE868" s="2" t="s">
        <v>84</v>
      </c>
      <c r="AG868" s="70">
        <v>-71000</v>
      </c>
      <c r="AH868" s="70">
        <v>-71000</v>
      </c>
      <c r="AJ868" s="70"/>
      <c r="AK868" s="70"/>
      <c r="AL868" s="72"/>
      <c r="AM868" s="22"/>
      <c r="AO868" s="149" t="s">
        <v>126</v>
      </c>
      <c r="AP868" s="23">
        <v>13228</v>
      </c>
      <c r="AQ868" s="149" t="s">
        <v>100</v>
      </c>
      <c r="AR868" s="51" t="str">
        <f t="shared" si="822"/>
        <v>JD8B-13228-AA</v>
      </c>
      <c r="AS868" s="3"/>
      <c r="AT868" s="94">
        <v>0</v>
      </c>
      <c r="AU868" s="94">
        <v>0</v>
      </c>
      <c r="AV868" s="94">
        <v>0</v>
      </c>
      <c r="AW868" s="94">
        <v>0</v>
      </c>
      <c r="AX868" s="94">
        <v>0</v>
      </c>
      <c r="AY868" s="94">
        <v>0</v>
      </c>
      <c r="AZ868" s="94">
        <v>1</v>
      </c>
      <c r="BA868" s="94">
        <v>1</v>
      </c>
      <c r="BB868" s="64">
        <f t="shared" si="831"/>
        <v>0.1</v>
      </c>
      <c r="BD868" s="60">
        <v>-7.23</v>
      </c>
      <c r="BE868" s="60">
        <v>-0.22</v>
      </c>
      <c r="BF868" s="60">
        <v>-0.2</v>
      </c>
      <c r="BG868" s="60">
        <v>0</v>
      </c>
      <c r="BH868" s="60">
        <v>0</v>
      </c>
      <c r="BI868" s="8">
        <f t="shared" si="886"/>
        <v>-7.65</v>
      </c>
      <c r="BJ868" s="2" t="s">
        <v>91</v>
      </c>
      <c r="BL868" s="71">
        <v>-71000</v>
      </c>
      <c r="BM868" s="71">
        <v>-71000</v>
      </c>
      <c r="BO868" s="71">
        <v>0</v>
      </c>
      <c r="BP868" s="71">
        <v>0</v>
      </c>
      <c r="BQ868" s="72">
        <v>0</v>
      </c>
      <c r="BS868" s="61">
        <f t="shared" si="832"/>
        <v>0</v>
      </c>
      <c r="BT868" s="61">
        <f t="shared" si="833"/>
        <v>0</v>
      </c>
      <c r="BU868" s="61">
        <f t="shared" si="834"/>
        <v>0</v>
      </c>
      <c r="BV868" s="61">
        <f t="shared" si="835"/>
        <v>0</v>
      </c>
      <c r="BW868" s="61">
        <f t="shared" si="836"/>
        <v>0</v>
      </c>
      <c r="BX868" s="61">
        <f t="shared" si="836"/>
        <v>0</v>
      </c>
      <c r="BY868" s="61" t="s">
        <v>91</v>
      </c>
      <c r="CA868" s="61">
        <f t="shared" si="837"/>
        <v>0</v>
      </c>
      <c r="CB868" s="61">
        <f t="shared" si="837"/>
        <v>0</v>
      </c>
      <c r="CC868" s="61">
        <f t="shared" si="837"/>
        <v>0</v>
      </c>
      <c r="CD868" s="61">
        <f t="shared" si="837"/>
        <v>0</v>
      </c>
      <c r="CE868" s="61">
        <f t="shared" si="837"/>
        <v>0</v>
      </c>
      <c r="CF868" s="61">
        <f t="shared" si="837"/>
        <v>0</v>
      </c>
      <c r="CG868" s="61">
        <f t="shared" si="837"/>
        <v>-1.0877087407853168</v>
      </c>
      <c r="CH868" s="61">
        <f t="shared" si="837"/>
        <v>-1.0877087407853168</v>
      </c>
      <c r="CI868" s="61">
        <f t="shared" si="838"/>
        <v>-0.10877087407853168</v>
      </c>
      <c r="CJ868" s="61"/>
      <c r="CK868" s="61">
        <f t="shared" si="839"/>
        <v>0</v>
      </c>
      <c r="CL868" s="61">
        <f t="shared" si="839"/>
        <v>0</v>
      </c>
      <c r="CM868" s="61">
        <f t="shared" si="839"/>
        <v>0</v>
      </c>
      <c r="CN868" s="61">
        <f t="shared" si="839"/>
        <v>0</v>
      </c>
      <c r="CO868" s="61">
        <f t="shared" si="839"/>
        <v>0</v>
      </c>
      <c r="CP868" s="61">
        <f t="shared" si="839"/>
        <v>0</v>
      </c>
      <c r="CQ868" s="61">
        <f t="shared" si="839"/>
        <v>-1.1508951406649617</v>
      </c>
      <c r="CR868" s="61">
        <f t="shared" si="839"/>
        <v>-1.1508951406649617</v>
      </c>
      <c r="CS868" s="61">
        <f t="shared" si="840"/>
        <v>-0.11508951406649617</v>
      </c>
      <c r="CT868" s="61">
        <f t="shared" si="841"/>
        <v>-0.76500000000000012</v>
      </c>
      <c r="CV868" s="61">
        <f t="shared" si="856"/>
        <v>0</v>
      </c>
      <c r="CW868" s="61">
        <f t="shared" si="850"/>
        <v>0</v>
      </c>
      <c r="CX868" s="61"/>
      <c r="CY868" s="61">
        <f t="shared" si="777"/>
        <v>0</v>
      </c>
      <c r="CZ868" s="61">
        <f t="shared" si="777"/>
        <v>0</v>
      </c>
      <c r="DA868" s="61">
        <f t="shared" si="777"/>
        <v>0</v>
      </c>
      <c r="DB868" s="2" t="s">
        <v>86</v>
      </c>
      <c r="DC868" s="2" t="s">
        <v>102</v>
      </c>
      <c r="DD868" s="2" t="s">
        <v>142</v>
      </c>
      <c r="DE868" s="2" t="s">
        <v>264</v>
      </c>
      <c r="DF868" s="1" t="s">
        <v>86</v>
      </c>
      <c r="DG868" s="62">
        <v>43033</v>
      </c>
      <c r="EC868" s="60" t="str">
        <f>VLOOKUP($M868,[1]Detail!$M:$BO,1,0)</f>
        <v>JD8B-13228-AA</v>
      </c>
      <c r="ED868" s="60">
        <f>VLOOKUP($M868,[1]Detail!$M:$BO,22,0)</f>
        <v>-7.65</v>
      </c>
      <c r="EE868" s="60">
        <f>VLOOKUP($M868,[1]Detail!$M:$BO,42,0)</f>
        <v>-142000</v>
      </c>
      <c r="EF868" s="60">
        <f>VLOOKUP($M868,[1]Detail!$M:$BO,45,0)</f>
        <v>0</v>
      </c>
      <c r="EH868" s="60">
        <f t="shared" si="889"/>
        <v>0</v>
      </c>
      <c r="EI868" s="60">
        <f t="shared" si="890"/>
        <v>-71000</v>
      </c>
      <c r="EJ868" s="60">
        <f t="shared" si="891"/>
        <v>0</v>
      </c>
    </row>
    <row r="869" spans="1:140" ht="12.75" hidden="1" customHeight="1">
      <c r="B869" s="99" t="s">
        <v>1423</v>
      </c>
      <c r="C869" s="22" t="s">
        <v>405</v>
      </c>
      <c r="D869" s="22" t="s">
        <v>407</v>
      </c>
      <c r="E869" s="2" t="s">
        <v>968</v>
      </c>
      <c r="F869" s="2" t="s">
        <v>969</v>
      </c>
      <c r="G869" s="2" t="s">
        <v>1087</v>
      </c>
      <c r="J869" s="149" t="s">
        <v>138</v>
      </c>
      <c r="K869" s="23">
        <v>13229</v>
      </c>
      <c r="L869" s="149" t="s">
        <v>180</v>
      </c>
      <c r="M869" s="51" t="str">
        <f t="shared" si="820"/>
        <v>JD8B-13229-AA</v>
      </c>
      <c r="O869" s="94">
        <v>0</v>
      </c>
      <c r="P869" s="94">
        <v>0</v>
      </c>
      <c r="Q869" s="94">
        <v>0</v>
      </c>
      <c r="R869" s="94">
        <v>0</v>
      </c>
      <c r="S869" s="94">
        <v>0</v>
      </c>
      <c r="T869" s="94">
        <v>0</v>
      </c>
      <c r="U869" s="94">
        <v>0</v>
      </c>
      <c r="V869" s="94">
        <v>0</v>
      </c>
      <c r="W869" s="64">
        <f t="shared" si="829"/>
        <v>0</v>
      </c>
      <c r="Y869" s="60">
        <f>-7.23*0</f>
        <v>0</v>
      </c>
      <c r="Z869" s="60">
        <f>0*-0.22</f>
        <v>0</v>
      </c>
      <c r="AA869" s="60">
        <f>0*-0.2</f>
        <v>0</v>
      </c>
      <c r="AB869" s="60">
        <v>0</v>
      </c>
      <c r="AC869" s="60">
        <v>0</v>
      </c>
      <c r="AD869" s="8">
        <f>SUM(Y869:AC869)</f>
        <v>0</v>
      </c>
      <c r="AE869" s="2" t="s">
        <v>91</v>
      </c>
      <c r="AG869" s="70">
        <v>-71000</v>
      </c>
      <c r="AH869" s="70">
        <v>-71000</v>
      </c>
      <c r="AJ869" s="70"/>
      <c r="AK869" s="70"/>
      <c r="AL869" s="72"/>
      <c r="AM869" s="22"/>
      <c r="AO869" s="85" t="s">
        <v>138</v>
      </c>
      <c r="AP869" s="23">
        <v>13229</v>
      </c>
      <c r="AQ869" s="85" t="s">
        <v>180</v>
      </c>
      <c r="AR869" s="51" t="str">
        <f>TRIM(AO869)&amp;"-"&amp;TRIM(AP869)&amp;"-"&amp;TRIM(AQ869)</f>
        <v>JD8B-13229-AA</v>
      </c>
      <c r="AS869" s="3"/>
      <c r="AT869" s="94">
        <v>0</v>
      </c>
      <c r="AU869" s="94">
        <v>0</v>
      </c>
      <c r="AV869" s="94">
        <v>0</v>
      </c>
      <c r="AW869" s="94">
        <v>0</v>
      </c>
      <c r="AX869" s="94">
        <v>0</v>
      </c>
      <c r="AY869" s="94">
        <v>0</v>
      </c>
      <c r="AZ869" s="94">
        <v>1</v>
      </c>
      <c r="BA869" s="94">
        <v>1</v>
      </c>
      <c r="BB869" s="64">
        <f t="shared" si="831"/>
        <v>0.1</v>
      </c>
      <c r="BD869" s="60">
        <v>-7.23</v>
      </c>
      <c r="BE869" s="60">
        <v>-0.22</v>
      </c>
      <c r="BF869" s="60">
        <v>-0.2</v>
      </c>
      <c r="BG869" s="60">
        <v>0</v>
      </c>
      <c r="BH869" s="60">
        <v>0</v>
      </c>
      <c r="BI869" s="8">
        <f>SUM(BD869:BH869)</f>
        <v>-7.65</v>
      </c>
      <c r="BJ869" s="2" t="s">
        <v>91</v>
      </c>
      <c r="BL869" s="71">
        <v>-71000</v>
      </c>
      <c r="BM869" s="71">
        <v>-71000</v>
      </c>
      <c r="BO869" s="71">
        <v>0</v>
      </c>
      <c r="BP869" s="71">
        <v>0</v>
      </c>
      <c r="BQ869" s="72">
        <v>0</v>
      </c>
      <c r="BS869" s="61">
        <f t="shared" si="832"/>
        <v>7.23</v>
      </c>
      <c r="BT869" s="61">
        <f t="shared" si="833"/>
        <v>0.22</v>
      </c>
      <c r="BU869" s="61">
        <f t="shared" si="834"/>
        <v>0.2</v>
      </c>
      <c r="BV869" s="61">
        <f t="shared" si="835"/>
        <v>0</v>
      </c>
      <c r="BW869" s="61">
        <f t="shared" si="836"/>
        <v>0</v>
      </c>
      <c r="BX869" s="61">
        <f t="shared" si="836"/>
        <v>7.65</v>
      </c>
      <c r="BY869" s="61" t="s">
        <v>91</v>
      </c>
      <c r="CA869" s="61">
        <f t="shared" si="837"/>
        <v>0</v>
      </c>
      <c r="CB869" s="61">
        <f t="shared" si="837"/>
        <v>0</v>
      </c>
      <c r="CC869" s="61">
        <f t="shared" si="837"/>
        <v>0</v>
      </c>
      <c r="CD869" s="61">
        <f t="shared" si="837"/>
        <v>0</v>
      </c>
      <c r="CE869" s="61">
        <f t="shared" si="837"/>
        <v>0</v>
      </c>
      <c r="CF869" s="61">
        <f t="shared" si="837"/>
        <v>0</v>
      </c>
      <c r="CG869" s="61">
        <f t="shared" si="837"/>
        <v>1.0877087407853168</v>
      </c>
      <c r="CH869" s="61">
        <f t="shared" si="837"/>
        <v>1.0877087407853168</v>
      </c>
      <c r="CI869" s="61">
        <f t="shared" si="838"/>
        <v>0.10877087407853168</v>
      </c>
      <c r="CJ869" s="61"/>
      <c r="CK869" s="61">
        <f t="shared" si="839"/>
        <v>0</v>
      </c>
      <c r="CL869" s="61">
        <f t="shared" si="839"/>
        <v>0</v>
      </c>
      <c r="CM869" s="61">
        <f t="shared" si="839"/>
        <v>0</v>
      </c>
      <c r="CN869" s="61">
        <f t="shared" si="839"/>
        <v>0</v>
      </c>
      <c r="CO869" s="61">
        <f t="shared" si="839"/>
        <v>0</v>
      </c>
      <c r="CP869" s="61">
        <f t="shared" si="839"/>
        <v>0</v>
      </c>
      <c r="CQ869" s="61">
        <f t="shared" si="839"/>
        <v>1.1508951406649617</v>
      </c>
      <c r="CR869" s="61">
        <f t="shared" si="839"/>
        <v>1.1508951406649617</v>
      </c>
      <c r="CS869" s="61">
        <f t="shared" si="840"/>
        <v>0.11508951406649617</v>
      </c>
      <c r="CT869" s="61">
        <f t="shared" si="841"/>
        <v>0.76500000000000012</v>
      </c>
      <c r="CV869" s="61">
        <f>SUM(AG869)-SUM(BL869)</f>
        <v>0</v>
      </c>
      <c r="CW869" s="61">
        <f>SUM(AH869)-SUM(BM869)</f>
        <v>0</v>
      </c>
      <c r="CX869" s="61"/>
      <c r="CY869" s="61">
        <f>SUM(AJ869)-SUM(BO869)</f>
        <v>0</v>
      </c>
      <c r="CZ869" s="61">
        <f>SUM(AK869)-SUM(BP869)</f>
        <v>0</v>
      </c>
      <c r="DA869" s="61">
        <f>SUM(AL869)-SUM(BQ869)</f>
        <v>0</v>
      </c>
      <c r="DB869" s="2" t="s">
        <v>102</v>
      </c>
      <c r="DC869" s="2" t="s">
        <v>134</v>
      </c>
      <c r="DD869" s="2" t="s">
        <v>142</v>
      </c>
      <c r="DE869" s="2" t="s">
        <v>1146</v>
      </c>
      <c r="DF869" s="1" t="s">
        <v>102</v>
      </c>
      <c r="DG869" s="62">
        <v>43033</v>
      </c>
      <c r="EC869" s="60"/>
      <c r="ED869" s="60"/>
      <c r="EE869" s="60"/>
      <c r="EF869" s="60"/>
      <c r="EH869" s="60"/>
      <c r="EI869" s="60"/>
      <c r="EJ869" s="60"/>
    </row>
    <row r="870" spans="1:140" ht="12.75" hidden="1" customHeight="1">
      <c r="B870" s="99" t="s">
        <v>1424</v>
      </c>
      <c r="C870" s="22" t="s">
        <v>862</v>
      </c>
      <c r="D870" s="22" t="s">
        <v>863</v>
      </c>
      <c r="E870" s="2" t="s">
        <v>1005</v>
      </c>
      <c r="F870" s="2" t="s">
        <v>330</v>
      </c>
      <c r="G870" s="2" t="s">
        <v>331</v>
      </c>
      <c r="J870" s="2" t="s">
        <v>585</v>
      </c>
      <c r="K870" s="149" t="s">
        <v>869</v>
      </c>
      <c r="L870" s="149" t="s">
        <v>132</v>
      </c>
      <c r="M870" s="51" t="str">
        <f t="shared" si="820"/>
        <v>JD81-8B273-AB</v>
      </c>
      <c r="O870" s="94">
        <v>1</v>
      </c>
      <c r="P870" s="94">
        <v>1</v>
      </c>
      <c r="Q870" s="94">
        <v>1</v>
      </c>
      <c r="R870" s="94">
        <v>1</v>
      </c>
      <c r="S870" s="94">
        <v>0</v>
      </c>
      <c r="T870" s="94">
        <v>0</v>
      </c>
      <c r="U870" s="94">
        <v>1</v>
      </c>
      <c r="V870" s="94">
        <v>0</v>
      </c>
      <c r="W870" s="64">
        <f t="shared" si="829"/>
        <v>0.72000000000000008</v>
      </c>
      <c r="Y870" s="60">
        <v>-20.6</v>
      </c>
      <c r="Z870" s="8">
        <v>-0.6</v>
      </c>
      <c r="AA870" s="8">
        <v>-1.2</v>
      </c>
      <c r="AB870" s="60">
        <v>0</v>
      </c>
      <c r="AC870" s="60">
        <v>0</v>
      </c>
      <c r="AD870" s="8">
        <f t="shared" si="847"/>
        <v>-22.400000000000002</v>
      </c>
      <c r="AE870" s="2" t="s">
        <v>84</v>
      </c>
      <c r="AG870" s="70">
        <v>-106000</v>
      </c>
      <c r="AH870" s="70">
        <v>-106000</v>
      </c>
      <c r="AJ870" s="70">
        <v>0</v>
      </c>
      <c r="AK870" s="70">
        <v>0</v>
      </c>
      <c r="AL870" s="72">
        <v>0</v>
      </c>
      <c r="AM870" s="22"/>
      <c r="AO870" s="22" t="s">
        <v>585</v>
      </c>
      <c r="AP870" s="23" t="s">
        <v>869</v>
      </c>
      <c r="AQ870" s="22" t="s">
        <v>100</v>
      </c>
      <c r="AR870" s="51" t="str">
        <f t="shared" si="822"/>
        <v>JD81-8B273-AA</v>
      </c>
      <c r="AS870" s="3"/>
      <c r="AT870" s="94">
        <v>1</v>
      </c>
      <c r="AU870" s="94">
        <v>1</v>
      </c>
      <c r="AV870" s="94">
        <v>1</v>
      </c>
      <c r="AW870" s="94">
        <v>1</v>
      </c>
      <c r="AX870" s="94">
        <v>0</v>
      </c>
      <c r="AY870" s="94">
        <v>0</v>
      </c>
      <c r="AZ870" s="94">
        <v>1</v>
      </c>
      <c r="BA870" s="94">
        <v>0</v>
      </c>
      <c r="BB870" s="64">
        <f t="shared" si="831"/>
        <v>0.72000000000000008</v>
      </c>
      <c r="BD870" s="8">
        <v>-20.6</v>
      </c>
      <c r="BE870" s="8">
        <v>-0.6</v>
      </c>
      <c r="BF870" s="8">
        <v>-1.2</v>
      </c>
      <c r="BG870" s="8">
        <v>0</v>
      </c>
      <c r="BH870" s="8">
        <v>0</v>
      </c>
      <c r="BI870" s="8">
        <f t="shared" ref="BI870" si="892">SUM(BD870:BH870)</f>
        <v>-22.400000000000002</v>
      </c>
      <c r="BJ870" s="2" t="s">
        <v>91</v>
      </c>
      <c r="BL870" s="6">
        <v>-103000</v>
      </c>
      <c r="BM870" s="6">
        <v>-103000</v>
      </c>
      <c r="BN870" s="6"/>
      <c r="BO870" s="70">
        <v>0</v>
      </c>
      <c r="BP870" s="70">
        <v>0</v>
      </c>
      <c r="BQ870" s="72">
        <v>0</v>
      </c>
      <c r="BS870" s="61">
        <f t="shared" si="832"/>
        <v>0</v>
      </c>
      <c r="BT870" s="61">
        <f t="shared" si="833"/>
        <v>0</v>
      </c>
      <c r="BU870" s="61">
        <f t="shared" si="834"/>
        <v>0</v>
      </c>
      <c r="BV870" s="61">
        <f t="shared" si="835"/>
        <v>0</v>
      </c>
      <c r="BW870" s="61">
        <f t="shared" si="836"/>
        <v>0</v>
      </c>
      <c r="BX870" s="61">
        <f t="shared" si="836"/>
        <v>0</v>
      </c>
      <c r="BY870" s="61" t="s">
        <v>91</v>
      </c>
      <c r="CA870" s="61">
        <f t="shared" si="837"/>
        <v>0</v>
      </c>
      <c r="CB870" s="61">
        <f t="shared" si="837"/>
        <v>0</v>
      </c>
      <c r="CC870" s="61">
        <f t="shared" si="837"/>
        <v>0</v>
      </c>
      <c r="CD870" s="61">
        <f t="shared" si="837"/>
        <v>0</v>
      </c>
      <c r="CE870" s="61">
        <f t="shared" si="837"/>
        <v>0</v>
      </c>
      <c r="CF870" s="61">
        <f t="shared" si="837"/>
        <v>0</v>
      </c>
      <c r="CG870" s="61">
        <f t="shared" si="837"/>
        <v>0</v>
      </c>
      <c r="CH870" s="61">
        <f t="shared" si="837"/>
        <v>0</v>
      </c>
      <c r="CI870" s="61">
        <f t="shared" si="838"/>
        <v>0</v>
      </c>
      <c r="CJ870" s="61"/>
      <c r="CK870" s="61">
        <f t="shared" si="839"/>
        <v>0</v>
      </c>
      <c r="CL870" s="61">
        <f t="shared" si="839"/>
        <v>0</v>
      </c>
      <c r="CM870" s="61">
        <f t="shared" si="839"/>
        <v>0</v>
      </c>
      <c r="CN870" s="61">
        <f t="shared" si="839"/>
        <v>0</v>
      </c>
      <c r="CO870" s="61">
        <f t="shared" si="839"/>
        <v>0</v>
      </c>
      <c r="CP870" s="61">
        <f t="shared" si="839"/>
        <v>0</v>
      </c>
      <c r="CQ870" s="61">
        <f t="shared" si="839"/>
        <v>0</v>
      </c>
      <c r="CR870" s="61">
        <f t="shared" si="839"/>
        <v>0</v>
      </c>
      <c r="CS870" s="61">
        <f t="shared" si="840"/>
        <v>0</v>
      </c>
      <c r="CT870" s="61">
        <f t="shared" si="841"/>
        <v>0</v>
      </c>
      <c r="CV870" s="61">
        <f t="shared" si="849"/>
        <v>-3000</v>
      </c>
      <c r="CW870" s="61">
        <f t="shared" si="850"/>
        <v>-3000</v>
      </c>
      <c r="CX870" s="61"/>
      <c r="CY870" s="61">
        <f t="shared" si="777"/>
        <v>0</v>
      </c>
      <c r="CZ870" s="61">
        <f t="shared" si="777"/>
        <v>0</v>
      </c>
      <c r="DA870" s="61">
        <f t="shared" si="777"/>
        <v>0</v>
      </c>
      <c r="DB870" s="2" t="s">
        <v>86</v>
      </c>
      <c r="DC870" s="2" t="s">
        <v>85</v>
      </c>
      <c r="DD870" s="2" t="s">
        <v>142</v>
      </c>
      <c r="DE870" s="2" t="s">
        <v>264</v>
      </c>
      <c r="DF870" s="2" t="s">
        <v>86</v>
      </c>
      <c r="DG870" s="58">
        <v>43019</v>
      </c>
      <c r="EC870" s="60" t="str">
        <f>VLOOKUP($M870,[1]Detail!$M:$BO,1,0)</f>
        <v>JD81-8B273-AB</v>
      </c>
      <c r="ED870" s="60">
        <f>VLOOKUP($M870,[1]Detail!$M:$BO,22,0)</f>
        <v>-22.400000000000002</v>
      </c>
      <c r="EE870" s="60">
        <f>VLOOKUP($M870,[1]Detail!$M:$BO,42,0)</f>
        <v>-106000</v>
      </c>
      <c r="EF870" s="60">
        <f>VLOOKUP($M870,[1]Detail!$M:$BO,45,0)</f>
        <v>0</v>
      </c>
      <c r="EH870" s="60">
        <f t="shared" si="889"/>
        <v>0</v>
      </c>
      <c r="EI870" s="60">
        <f t="shared" si="890"/>
        <v>0</v>
      </c>
      <c r="EJ870" s="60">
        <f t="shared" si="891"/>
        <v>0</v>
      </c>
    </row>
    <row r="871" spans="1:140" ht="12.75" hidden="1" customHeight="1">
      <c r="B871" s="115" t="s">
        <v>876</v>
      </c>
      <c r="C871" s="22" t="s">
        <v>862</v>
      </c>
      <c r="D871" s="22" t="s">
        <v>863</v>
      </c>
      <c r="E871" s="2" t="s">
        <v>1005</v>
      </c>
      <c r="F871" s="2" t="s">
        <v>330</v>
      </c>
      <c r="G871" s="2" t="s">
        <v>331</v>
      </c>
      <c r="J871" s="2" t="s">
        <v>864</v>
      </c>
      <c r="K871" s="149" t="s">
        <v>1425</v>
      </c>
      <c r="L871" s="149" t="s">
        <v>1122</v>
      </c>
      <c r="M871" s="51" t="str">
        <f t="shared" si="820"/>
        <v>JD81-8B273-CC</v>
      </c>
      <c r="O871" s="94">
        <v>1</v>
      </c>
      <c r="P871" s="94">
        <v>1</v>
      </c>
      <c r="Q871" s="94">
        <v>1</v>
      </c>
      <c r="R871" s="94">
        <v>1</v>
      </c>
      <c r="S871" s="94">
        <v>0</v>
      </c>
      <c r="T871" s="94">
        <v>0</v>
      </c>
      <c r="U871" s="94">
        <v>1</v>
      </c>
      <c r="V871" s="94">
        <v>0</v>
      </c>
      <c r="W871" s="64">
        <f t="shared" si="829"/>
        <v>0.72000000000000008</v>
      </c>
      <c r="Y871" s="60">
        <f>-51.42-0.55</f>
        <v>-51.97</v>
      </c>
      <c r="Z871" s="95">
        <v>-0.6</v>
      </c>
      <c r="AA871" s="95">
        <v>-1.2</v>
      </c>
      <c r="AB871" s="60">
        <v>0</v>
      </c>
      <c r="AC871" s="60">
        <v>0</v>
      </c>
      <c r="AD871" s="8">
        <f>SUM(Y871:AC871)</f>
        <v>-53.77</v>
      </c>
      <c r="AE871" s="2" t="s">
        <v>91</v>
      </c>
      <c r="AG871" s="70">
        <f>-35760-221400</f>
        <v>-257160</v>
      </c>
      <c r="AH871" s="70">
        <f>-35760-221400</f>
        <v>-257160</v>
      </c>
      <c r="AJ871" s="70">
        <v>0</v>
      </c>
      <c r="AK871" s="70">
        <v>0</v>
      </c>
      <c r="AL871" s="72">
        <v>0</v>
      </c>
      <c r="AM871" s="22"/>
      <c r="AO871" s="149" t="s">
        <v>864</v>
      </c>
      <c r="AP871" s="23" t="s">
        <v>1425</v>
      </c>
      <c r="AQ871" s="149" t="s">
        <v>878</v>
      </c>
      <c r="AR871" s="51" t="str">
        <f>TRIM(AO871)&amp;"-"&amp;TRIM(AP871)&amp;"-"&amp;TRIM(AQ871)</f>
        <v>JD81-8B273-CB</v>
      </c>
      <c r="AS871" s="3"/>
      <c r="AT871" s="94">
        <v>0</v>
      </c>
      <c r="AU871" s="94">
        <v>0</v>
      </c>
      <c r="AV871" s="94">
        <v>0</v>
      </c>
      <c r="AW871" s="94">
        <v>0</v>
      </c>
      <c r="AX871" s="94">
        <v>1</v>
      </c>
      <c r="AY871" s="94">
        <v>1</v>
      </c>
      <c r="AZ871" s="94">
        <v>0</v>
      </c>
      <c r="BA871" s="94">
        <v>1</v>
      </c>
      <c r="BB871" s="64">
        <f t="shared" si="831"/>
        <v>0.28000000000000003</v>
      </c>
      <c r="BD871" s="164">
        <v>-51.42</v>
      </c>
      <c r="BE871" s="95">
        <v>-0.6</v>
      </c>
      <c r="BF871" s="95">
        <v>-1.2</v>
      </c>
      <c r="BG871" s="164">
        <v>0</v>
      </c>
      <c r="BH871" s="164">
        <v>0</v>
      </c>
      <c r="BI871" s="8">
        <f>SUM(BD871:BH871)</f>
        <v>-53.220000000000006</v>
      </c>
      <c r="BJ871" s="2" t="s">
        <v>91</v>
      </c>
      <c r="BL871" s="90">
        <v>-221400</v>
      </c>
      <c r="BM871" s="90">
        <v>-221400</v>
      </c>
      <c r="BN871" s="6"/>
      <c r="BO871" s="70">
        <v>0</v>
      </c>
      <c r="BP871" s="70">
        <v>0</v>
      </c>
      <c r="BQ871" s="72">
        <v>0</v>
      </c>
      <c r="BS871" s="61">
        <f t="shared" si="832"/>
        <v>-0.54999999999999716</v>
      </c>
      <c r="BT871" s="61">
        <f t="shared" si="833"/>
        <v>0</v>
      </c>
      <c r="BU871" s="61">
        <f t="shared" si="834"/>
        <v>0</v>
      </c>
      <c r="BV871" s="61">
        <f t="shared" si="835"/>
        <v>0</v>
      </c>
      <c r="BW871" s="61">
        <f t="shared" si="836"/>
        <v>0</v>
      </c>
      <c r="BX871" s="61">
        <f t="shared" si="836"/>
        <v>-0.54999999999999716</v>
      </c>
      <c r="BY871" s="61" t="s">
        <v>91</v>
      </c>
      <c r="CA871" s="61">
        <f t="shared" si="837"/>
        <v>-7.8185647660598763</v>
      </c>
      <c r="CB871" s="61">
        <f t="shared" si="837"/>
        <v>-7.8185647660598763</v>
      </c>
      <c r="CC871" s="61">
        <f t="shared" si="837"/>
        <v>-7.8185647660598763</v>
      </c>
      <c r="CD871" s="61">
        <f t="shared" si="837"/>
        <v>-7.8185647660598763</v>
      </c>
      <c r="CE871" s="61">
        <f t="shared" si="837"/>
        <v>7.7358206709793889</v>
      </c>
      <c r="CF871" s="61">
        <f t="shared" si="837"/>
        <v>7.7358206709793889</v>
      </c>
      <c r="CG871" s="61">
        <f t="shared" si="837"/>
        <v>-7.8185647660598763</v>
      </c>
      <c r="CH871" s="61">
        <f t="shared" si="837"/>
        <v>7.7358206709793889</v>
      </c>
      <c r="CI871" s="61">
        <f t="shared" si="838"/>
        <v>-3.4633368436888818</v>
      </c>
      <c r="CJ871" s="61"/>
      <c r="CK871" s="61">
        <f t="shared" si="839"/>
        <v>-8.0893636226869265</v>
      </c>
      <c r="CL871" s="61">
        <f t="shared" si="839"/>
        <v>-8.0893636226869265</v>
      </c>
      <c r="CM871" s="61">
        <f t="shared" si="839"/>
        <v>-8.0893636226869265</v>
      </c>
      <c r="CN871" s="61">
        <f t="shared" si="839"/>
        <v>-8.0893636226869265</v>
      </c>
      <c r="CO871" s="61">
        <f t="shared" si="839"/>
        <v>8.0066195276064391</v>
      </c>
      <c r="CP871" s="61">
        <f t="shared" si="839"/>
        <v>8.0066195276064391</v>
      </c>
      <c r="CQ871" s="61">
        <f t="shared" si="839"/>
        <v>-8.0893636226869265</v>
      </c>
      <c r="CR871" s="61">
        <f t="shared" si="839"/>
        <v>8.0066195276064391</v>
      </c>
      <c r="CS871" s="61">
        <f t="shared" si="840"/>
        <v>-3.582488340604784</v>
      </c>
      <c r="CT871" s="61">
        <f t="shared" si="841"/>
        <v>-23.812799999999999</v>
      </c>
      <c r="CV871" s="61">
        <f>SUM(AG871)-SUM(BL871)</f>
        <v>-35760</v>
      </c>
      <c r="CW871" s="61">
        <f>SUM(AH871)-SUM(BM871)</f>
        <v>-35760</v>
      </c>
      <c r="CX871" s="61"/>
      <c r="CY871" s="61">
        <f>SUM(AJ871)-SUM(BO871)</f>
        <v>0</v>
      </c>
      <c r="CZ871" s="61">
        <f>SUM(AK871)-SUM(BP871)</f>
        <v>0</v>
      </c>
      <c r="DA871" s="61">
        <f>SUM(AL871)-SUM(BQ871)</f>
        <v>0</v>
      </c>
      <c r="DB871" s="2" t="s">
        <v>102</v>
      </c>
      <c r="DC871" s="2" t="s">
        <v>134</v>
      </c>
      <c r="DD871" s="2" t="s">
        <v>142</v>
      </c>
      <c r="DE871" s="2" t="s">
        <v>143</v>
      </c>
      <c r="DF871" s="3" t="s">
        <v>86</v>
      </c>
      <c r="DG871" s="62">
        <v>43103</v>
      </c>
      <c r="EC871" s="60" t="str">
        <f>VLOOKUP($M871,[1]Detail!$M:$BO,1,0)</f>
        <v>JD81-8B273-CC</v>
      </c>
      <c r="ED871" s="60">
        <f>VLOOKUP($M871,[1]Detail!$M:$BO,22,0)</f>
        <v>-53.77</v>
      </c>
      <c r="EE871" s="60">
        <f>VLOOKUP($M871,[1]Detail!$M:$BO,42,0)</f>
        <v>-257160</v>
      </c>
      <c r="EF871" s="60">
        <f>VLOOKUP($M871,[1]Detail!$M:$BO,45,0)</f>
        <v>0</v>
      </c>
      <c r="EH871" s="60">
        <f t="shared" si="889"/>
        <v>0</v>
      </c>
      <c r="EI871" s="60">
        <f t="shared" si="890"/>
        <v>0</v>
      </c>
      <c r="EJ871" s="60">
        <f t="shared" si="891"/>
        <v>0</v>
      </c>
    </row>
    <row r="872" spans="1:140" ht="12.75" hidden="1" customHeight="1">
      <c r="B872" s="99" t="s">
        <v>1426</v>
      </c>
      <c r="C872" s="22" t="s">
        <v>862</v>
      </c>
      <c r="D872" s="22" t="s">
        <v>863</v>
      </c>
      <c r="E872" s="2" t="s">
        <v>1005</v>
      </c>
      <c r="F872" s="2" t="s">
        <v>330</v>
      </c>
      <c r="G872" s="2" t="s">
        <v>331</v>
      </c>
      <c r="J872" s="149" t="s">
        <v>585</v>
      </c>
      <c r="K872" s="23" t="s">
        <v>869</v>
      </c>
      <c r="L872" s="149" t="s">
        <v>122</v>
      </c>
      <c r="M872" s="51" t="str">
        <f t="shared" si="820"/>
        <v>JD81-8B273-CB</v>
      </c>
      <c r="O872" s="94">
        <v>0</v>
      </c>
      <c r="P872" s="94">
        <v>0</v>
      </c>
      <c r="Q872" s="94">
        <v>0</v>
      </c>
      <c r="R872" s="94">
        <v>0</v>
      </c>
      <c r="S872" s="94">
        <v>1</v>
      </c>
      <c r="T872" s="94">
        <v>1</v>
      </c>
      <c r="U872" s="94">
        <v>0</v>
      </c>
      <c r="V872" s="94">
        <v>1</v>
      </c>
      <c r="W872" s="64">
        <f t="shared" si="829"/>
        <v>0.28000000000000003</v>
      </c>
      <c r="Y872" s="60">
        <v>-51.42</v>
      </c>
      <c r="Z872" s="60">
        <v>-0.6</v>
      </c>
      <c r="AA872" s="60">
        <v>-1.2</v>
      </c>
      <c r="AB872" s="60">
        <v>0</v>
      </c>
      <c r="AC872" s="60">
        <v>0</v>
      </c>
      <c r="AD872" s="8">
        <f t="shared" si="847"/>
        <v>-53.220000000000006</v>
      </c>
      <c r="AE872" s="2" t="s">
        <v>84</v>
      </c>
      <c r="AG872" s="70">
        <v>-221400</v>
      </c>
      <c r="AH872" s="70">
        <v>-221400</v>
      </c>
      <c r="AJ872" s="70"/>
      <c r="AK872" s="70"/>
      <c r="AL872" s="72"/>
      <c r="AM872" s="22"/>
      <c r="AO872" s="22" t="s">
        <v>585</v>
      </c>
      <c r="AP872" s="85" t="s">
        <v>869</v>
      </c>
      <c r="AQ872" s="22" t="s">
        <v>113</v>
      </c>
      <c r="AR872" s="51" t="str">
        <f t="shared" si="822"/>
        <v>JD81-8B273-CA</v>
      </c>
      <c r="AS872" s="3"/>
      <c r="AT872" s="22">
        <v>0</v>
      </c>
      <c r="AU872" s="22">
        <v>0</v>
      </c>
      <c r="AV872" s="22">
        <v>0</v>
      </c>
      <c r="AW872" s="22">
        <v>0</v>
      </c>
      <c r="AX872" s="22">
        <v>1</v>
      </c>
      <c r="AY872" s="22">
        <v>1</v>
      </c>
      <c r="AZ872" s="22">
        <v>0</v>
      </c>
      <c r="BA872" s="22">
        <v>1</v>
      </c>
      <c r="BB872" s="64">
        <f t="shared" si="831"/>
        <v>0.28000000000000003</v>
      </c>
      <c r="BD872" s="8">
        <v>-51.42</v>
      </c>
      <c r="BE872" s="8">
        <v>-0.6</v>
      </c>
      <c r="BF872" s="8">
        <v>-1.2</v>
      </c>
      <c r="BG872" s="8">
        <v>0</v>
      </c>
      <c r="BH872" s="8">
        <v>0</v>
      </c>
      <c r="BI872" s="8">
        <f t="shared" ref="BI872:BI873" si="893">SUM(BD872:BH872)</f>
        <v>-53.220000000000006</v>
      </c>
      <c r="BJ872" s="2" t="s">
        <v>91</v>
      </c>
      <c r="BL872" s="6">
        <v>-216400</v>
      </c>
      <c r="BM872" s="6">
        <v>-216400</v>
      </c>
      <c r="BN872" s="6"/>
      <c r="BO872" s="70">
        <v>0</v>
      </c>
      <c r="BP872" s="70">
        <v>0</v>
      </c>
      <c r="BQ872" s="72">
        <v>0</v>
      </c>
      <c r="BS872" s="61">
        <f t="shared" si="832"/>
        <v>0</v>
      </c>
      <c r="BT872" s="61">
        <f t="shared" si="833"/>
        <v>0</v>
      </c>
      <c r="BU872" s="61">
        <f t="shared" si="834"/>
        <v>0</v>
      </c>
      <c r="BV872" s="61">
        <f t="shared" si="835"/>
        <v>0</v>
      </c>
      <c r="BW872" s="61">
        <f t="shared" si="836"/>
        <v>0</v>
      </c>
      <c r="BX872" s="61">
        <f t="shared" si="836"/>
        <v>0</v>
      </c>
      <c r="BY872" s="61" t="s">
        <v>91</v>
      </c>
      <c r="CA872" s="61">
        <f t="shared" si="837"/>
        <v>0</v>
      </c>
      <c r="CB872" s="61">
        <f t="shared" si="837"/>
        <v>0</v>
      </c>
      <c r="CC872" s="61">
        <f t="shared" si="837"/>
        <v>0</v>
      </c>
      <c r="CD872" s="61">
        <f t="shared" si="837"/>
        <v>0</v>
      </c>
      <c r="CE872" s="61">
        <f t="shared" si="837"/>
        <v>0</v>
      </c>
      <c r="CF872" s="61">
        <f t="shared" si="837"/>
        <v>0</v>
      </c>
      <c r="CG872" s="61">
        <f t="shared" si="837"/>
        <v>0</v>
      </c>
      <c r="CH872" s="61">
        <f t="shared" si="837"/>
        <v>0</v>
      </c>
      <c r="CI872" s="61">
        <f t="shared" si="838"/>
        <v>0</v>
      </c>
      <c r="CJ872" s="61"/>
      <c r="CK872" s="61">
        <f t="shared" si="839"/>
        <v>0</v>
      </c>
      <c r="CL872" s="61">
        <f t="shared" si="839"/>
        <v>0</v>
      </c>
      <c r="CM872" s="61">
        <f t="shared" si="839"/>
        <v>0</v>
      </c>
      <c r="CN872" s="61">
        <f t="shared" si="839"/>
        <v>0</v>
      </c>
      <c r="CO872" s="61">
        <f t="shared" si="839"/>
        <v>0</v>
      </c>
      <c r="CP872" s="61">
        <f t="shared" si="839"/>
        <v>0</v>
      </c>
      <c r="CQ872" s="61">
        <f t="shared" si="839"/>
        <v>0</v>
      </c>
      <c r="CR872" s="61">
        <f t="shared" si="839"/>
        <v>0</v>
      </c>
      <c r="CS872" s="61">
        <f t="shared" si="840"/>
        <v>0</v>
      </c>
      <c r="CT872" s="61">
        <f t="shared" si="841"/>
        <v>0</v>
      </c>
      <c r="CV872" s="61">
        <f t="shared" si="849"/>
        <v>-5000</v>
      </c>
      <c r="CW872" s="61">
        <f t="shared" si="850"/>
        <v>-5000</v>
      </c>
      <c r="CX872" s="61"/>
      <c r="CY872" s="61">
        <f t="shared" si="777"/>
        <v>0</v>
      </c>
      <c r="CZ872" s="61">
        <f t="shared" si="777"/>
        <v>0</v>
      </c>
      <c r="DA872" s="61">
        <f t="shared" si="777"/>
        <v>0</v>
      </c>
      <c r="DB872" s="2" t="s">
        <v>134</v>
      </c>
      <c r="DC872" s="2" t="s">
        <v>85</v>
      </c>
      <c r="DD872" s="2" t="s">
        <v>142</v>
      </c>
      <c r="DE872" s="2" t="s">
        <v>264</v>
      </c>
      <c r="DG872" s="62"/>
      <c r="DZ872" s="3" t="e">
        <v>#N/A</v>
      </c>
      <c r="EC872" s="60"/>
      <c r="ED872" s="60"/>
      <c r="EE872" s="60"/>
      <c r="EF872" s="60"/>
    </row>
    <row r="873" spans="1:140" ht="12.75" hidden="1" customHeight="1">
      <c r="B873" s="99" t="s">
        <v>1427</v>
      </c>
      <c r="C873" s="22" t="s">
        <v>1323</v>
      </c>
      <c r="D873" s="22" t="s">
        <v>1428</v>
      </c>
      <c r="E873" s="2" t="s">
        <v>968</v>
      </c>
      <c r="F873" s="2" t="s">
        <v>969</v>
      </c>
      <c r="G873" s="2" t="s">
        <v>331</v>
      </c>
      <c r="J873" s="149" t="s">
        <v>559</v>
      </c>
      <c r="K873" s="23" t="s">
        <v>1429</v>
      </c>
      <c r="L873" s="23" t="s">
        <v>215</v>
      </c>
      <c r="M873" s="51" t="str">
        <f t="shared" si="820"/>
        <v>PJD8B-F22401-BCW</v>
      </c>
      <c r="O873" s="94">
        <v>0</v>
      </c>
      <c r="P873" s="94">
        <v>0</v>
      </c>
      <c r="Q873" s="94">
        <v>0</v>
      </c>
      <c r="R873" s="94">
        <v>0</v>
      </c>
      <c r="S873" s="94">
        <v>0</v>
      </c>
      <c r="T873" s="94">
        <v>0</v>
      </c>
      <c r="U873" s="94">
        <v>1</v>
      </c>
      <c r="V873" s="94">
        <v>1</v>
      </c>
      <c r="W873" s="64">
        <f t="shared" si="829"/>
        <v>0.1</v>
      </c>
      <c r="Y873" s="60">
        <v>-87.28</v>
      </c>
      <c r="Z873" s="60">
        <v>-1.23</v>
      </c>
      <c r="AA873" s="60">
        <v>-0.82</v>
      </c>
      <c r="AB873" s="60"/>
      <c r="AC873" s="60">
        <v>-7.0438999999999998</v>
      </c>
      <c r="AD873" s="8">
        <f t="shared" ref="AD873" si="894">SUM(Y873:AC873)</f>
        <v>-96.373899999999992</v>
      </c>
      <c r="AE873" s="2" t="s">
        <v>84</v>
      </c>
      <c r="AG873" s="70">
        <v>-1003250</v>
      </c>
      <c r="AH873" s="70">
        <v>-1003250</v>
      </c>
      <c r="AJ873" s="70" t="s">
        <v>1430</v>
      </c>
      <c r="AK873" s="70"/>
      <c r="AL873" s="72"/>
      <c r="AM873" s="22"/>
      <c r="AO873" s="149" t="s">
        <v>559</v>
      </c>
      <c r="AP873" s="23" t="s">
        <v>1429</v>
      </c>
      <c r="AQ873" s="23" t="s">
        <v>210</v>
      </c>
      <c r="AR873" s="51" t="str">
        <f t="shared" si="822"/>
        <v>PJD8B-F22401-BBW</v>
      </c>
      <c r="AS873" s="3"/>
      <c r="AT873" s="94">
        <v>0</v>
      </c>
      <c r="AU873" s="94">
        <v>0</v>
      </c>
      <c r="AV873" s="94">
        <v>0</v>
      </c>
      <c r="AW873" s="94">
        <v>0</v>
      </c>
      <c r="AX873" s="94">
        <v>0</v>
      </c>
      <c r="AY873" s="94">
        <v>0</v>
      </c>
      <c r="AZ873" s="94">
        <v>1</v>
      </c>
      <c r="BA873" s="94">
        <v>1</v>
      </c>
      <c r="BB873" s="64">
        <f t="shared" si="831"/>
        <v>0.1</v>
      </c>
      <c r="BD873" s="60">
        <v>-87.28</v>
      </c>
      <c r="BE873" s="60">
        <v>-1.23</v>
      </c>
      <c r="BF873" s="60">
        <v>-0.82</v>
      </c>
      <c r="BG873" s="60"/>
      <c r="BH873" s="60">
        <v>-7.0438999999999998</v>
      </c>
      <c r="BI873" s="8">
        <f t="shared" si="893"/>
        <v>-96.373899999999992</v>
      </c>
      <c r="BJ873" s="2" t="s">
        <v>84</v>
      </c>
      <c r="BL873" s="70">
        <v>-995750</v>
      </c>
      <c r="BM873" s="70">
        <v>-995750</v>
      </c>
      <c r="BO873" s="70" t="s">
        <v>1430</v>
      </c>
      <c r="BP873" s="70"/>
      <c r="BQ873" s="72"/>
      <c r="BS873" s="61">
        <f t="shared" si="832"/>
        <v>0</v>
      </c>
      <c r="BT873" s="61">
        <f t="shared" si="833"/>
        <v>0</v>
      </c>
      <c r="BU873" s="61">
        <f t="shared" si="834"/>
        <v>0</v>
      </c>
      <c r="BV873" s="61">
        <f t="shared" si="835"/>
        <v>0</v>
      </c>
      <c r="BW873" s="61">
        <f t="shared" si="836"/>
        <v>0</v>
      </c>
      <c r="BX873" s="61">
        <f t="shared" si="836"/>
        <v>0</v>
      </c>
      <c r="BY873" s="61" t="s">
        <v>91</v>
      </c>
      <c r="CA873" s="61">
        <f t="shared" si="837"/>
        <v>0</v>
      </c>
      <c r="CB873" s="61">
        <f t="shared" si="837"/>
        <v>0</v>
      </c>
      <c r="CC873" s="61">
        <f t="shared" si="837"/>
        <v>0</v>
      </c>
      <c r="CD873" s="61">
        <f t="shared" si="837"/>
        <v>0</v>
      </c>
      <c r="CE873" s="61">
        <f t="shared" si="837"/>
        <v>0</v>
      </c>
      <c r="CF873" s="61">
        <f t="shared" si="837"/>
        <v>0</v>
      </c>
      <c r="CG873" s="61">
        <f t="shared" si="837"/>
        <v>0</v>
      </c>
      <c r="CH873" s="61">
        <f t="shared" si="837"/>
        <v>0</v>
      </c>
      <c r="CI873" s="61">
        <f t="shared" si="838"/>
        <v>0</v>
      </c>
      <c r="CJ873" s="61"/>
      <c r="CK873" s="61">
        <f t="shared" si="839"/>
        <v>0</v>
      </c>
      <c r="CL873" s="61">
        <f t="shared" si="839"/>
        <v>0</v>
      </c>
      <c r="CM873" s="61">
        <f t="shared" si="839"/>
        <v>0</v>
      </c>
      <c r="CN873" s="61">
        <f t="shared" si="839"/>
        <v>0</v>
      </c>
      <c r="CO873" s="61">
        <f t="shared" si="839"/>
        <v>0</v>
      </c>
      <c r="CP873" s="61">
        <f t="shared" si="839"/>
        <v>0</v>
      </c>
      <c r="CQ873" s="61">
        <f t="shared" si="839"/>
        <v>0</v>
      </c>
      <c r="CR873" s="61">
        <f t="shared" si="839"/>
        <v>0</v>
      </c>
      <c r="CS873" s="61">
        <f t="shared" si="840"/>
        <v>0</v>
      </c>
      <c r="CT873" s="61">
        <f t="shared" si="841"/>
        <v>0</v>
      </c>
      <c r="CV873" s="61">
        <f t="shared" si="849"/>
        <v>-7500</v>
      </c>
      <c r="CW873" s="61">
        <f t="shared" si="850"/>
        <v>-7500</v>
      </c>
      <c r="CX873" s="61"/>
      <c r="CY873" s="61">
        <f t="shared" si="777"/>
        <v>0</v>
      </c>
      <c r="CZ873" s="61">
        <f t="shared" si="777"/>
        <v>0</v>
      </c>
      <c r="DA873" s="61">
        <f t="shared" si="777"/>
        <v>0</v>
      </c>
      <c r="DB873" s="2" t="s">
        <v>85</v>
      </c>
      <c r="DC873" s="2" t="s">
        <v>85</v>
      </c>
      <c r="DD873" s="2" t="s">
        <v>87</v>
      </c>
      <c r="DE873" s="2" t="s">
        <v>106</v>
      </c>
      <c r="DF873" s="3" t="s">
        <v>86</v>
      </c>
      <c r="DG873" s="62">
        <v>43042</v>
      </c>
      <c r="EC873" s="60"/>
      <c r="ED873" s="60"/>
      <c r="EE873" s="60"/>
      <c r="EF873" s="60"/>
      <c r="EH873" s="60"/>
      <c r="EI873" s="60"/>
      <c r="EJ873" s="60"/>
    </row>
    <row r="874" spans="1:140" ht="12.75" hidden="1" customHeight="1">
      <c r="B874" s="99" t="s">
        <v>1431</v>
      </c>
      <c r="C874" s="22" t="s">
        <v>1323</v>
      </c>
      <c r="D874" s="22" t="s">
        <v>1428</v>
      </c>
      <c r="E874" s="2" t="s">
        <v>968</v>
      </c>
      <c r="F874" s="2" t="s">
        <v>969</v>
      </c>
      <c r="G874" s="2" t="s">
        <v>331</v>
      </c>
      <c r="J874" s="149" t="s">
        <v>559</v>
      </c>
      <c r="K874" s="23" t="s">
        <v>1429</v>
      </c>
      <c r="L874" s="23" t="s">
        <v>670</v>
      </c>
      <c r="M874" s="51" t="str">
        <f t="shared" si="820"/>
        <v>PJD8B-F22401-BDW</v>
      </c>
      <c r="O874" s="94">
        <v>0</v>
      </c>
      <c r="P874" s="94">
        <v>0</v>
      </c>
      <c r="Q874" s="94">
        <v>0</v>
      </c>
      <c r="R874" s="94">
        <v>0</v>
      </c>
      <c r="S874" s="94">
        <v>0</v>
      </c>
      <c r="T874" s="94">
        <v>0</v>
      </c>
      <c r="U874" s="94">
        <v>1</v>
      </c>
      <c r="V874" s="94">
        <v>1</v>
      </c>
      <c r="W874" s="64">
        <f t="shared" si="829"/>
        <v>0.1</v>
      </c>
      <c r="Y874" s="60">
        <v>-87.28</v>
      </c>
      <c r="Z874" s="60">
        <v>-1.23</v>
      </c>
      <c r="AA874" s="60">
        <v>-0.82</v>
      </c>
      <c r="AB874" s="60"/>
      <c r="AC874" s="60">
        <v>-7.0438999999999998</v>
      </c>
      <c r="AD874" s="8">
        <f t="shared" ref="AD874" si="895">SUM(Y874:AC874)</f>
        <v>-96.373899999999992</v>
      </c>
      <c r="AE874" s="2" t="s">
        <v>84</v>
      </c>
      <c r="AG874" s="70">
        <v>-1003250</v>
      </c>
      <c r="AH874" s="70">
        <v>-1003250</v>
      </c>
      <c r="AJ874" s="70" t="s">
        <v>1430</v>
      </c>
      <c r="AK874" s="70"/>
      <c r="AL874" s="72"/>
      <c r="AM874" s="22"/>
      <c r="AO874" s="149" t="s">
        <v>559</v>
      </c>
      <c r="AP874" s="23" t="s">
        <v>1429</v>
      </c>
      <c r="AQ874" s="23" t="s">
        <v>215</v>
      </c>
      <c r="AR874" s="51" t="str">
        <f t="shared" si="822"/>
        <v>PJD8B-F22401-BCW</v>
      </c>
      <c r="AS874" s="3"/>
      <c r="AT874" s="94">
        <v>0</v>
      </c>
      <c r="AU874" s="94">
        <v>0</v>
      </c>
      <c r="AV874" s="94">
        <v>0</v>
      </c>
      <c r="AW874" s="94">
        <v>0</v>
      </c>
      <c r="AX874" s="94">
        <v>0</v>
      </c>
      <c r="AY874" s="94">
        <v>0</v>
      </c>
      <c r="AZ874" s="94">
        <v>1</v>
      </c>
      <c r="BA874" s="94">
        <v>1</v>
      </c>
      <c r="BB874" s="64">
        <f t="shared" si="831"/>
        <v>0.1</v>
      </c>
      <c r="BD874" s="60">
        <v>-87.28</v>
      </c>
      <c r="BE874" s="60">
        <v>-1.23</v>
      </c>
      <c r="BF874" s="60">
        <v>-0.82</v>
      </c>
      <c r="BG874" s="60"/>
      <c r="BH874" s="60">
        <v>-7.0438999999999998</v>
      </c>
      <c r="BI874" s="8">
        <f t="shared" ref="BI874" si="896">SUM(BD874:BH874)</f>
        <v>-96.373899999999992</v>
      </c>
      <c r="BJ874" s="2" t="s">
        <v>84</v>
      </c>
      <c r="BL874" s="70">
        <v>-995750</v>
      </c>
      <c r="BM874" s="70">
        <v>-995750</v>
      </c>
      <c r="BO874" s="70" t="s">
        <v>1430</v>
      </c>
      <c r="BP874" s="70"/>
      <c r="BQ874" s="72"/>
      <c r="BS874" s="61">
        <f t="shared" si="832"/>
        <v>0</v>
      </c>
      <c r="BT874" s="61">
        <f t="shared" si="833"/>
        <v>0</v>
      </c>
      <c r="BU874" s="61">
        <f t="shared" si="834"/>
        <v>0</v>
      </c>
      <c r="BV874" s="61">
        <f t="shared" si="835"/>
        <v>0</v>
      </c>
      <c r="BW874" s="61">
        <f t="shared" si="836"/>
        <v>0</v>
      </c>
      <c r="BX874" s="61">
        <f t="shared" si="836"/>
        <v>0</v>
      </c>
      <c r="BY874" s="61" t="s">
        <v>91</v>
      </c>
      <c r="CA874" s="61">
        <f t="shared" si="837"/>
        <v>0</v>
      </c>
      <c r="CB874" s="61">
        <f t="shared" si="837"/>
        <v>0</v>
      </c>
      <c r="CC874" s="61">
        <f t="shared" si="837"/>
        <v>0</v>
      </c>
      <c r="CD874" s="61">
        <f t="shared" si="837"/>
        <v>0</v>
      </c>
      <c r="CE874" s="61">
        <f t="shared" si="837"/>
        <v>0</v>
      </c>
      <c r="CF874" s="61">
        <f t="shared" si="837"/>
        <v>0</v>
      </c>
      <c r="CG874" s="61">
        <f t="shared" si="837"/>
        <v>0</v>
      </c>
      <c r="CH874" s="61">
        <f t="shared" ref="CH874:CH913" si="897">($Y874*V874-BA874*$BD874)/$C$2</f>
        <v>0</v>
      </c>
      <c r="CI874" s="61">
        <f t="shared" si="838"/>
        <v>0</v>
      </c>
      <c r="CJ874" s="61"/>
      <c r="CK874" s="61">
        <f t="shared" si="839"/>
        <v>0</v>
      </c>
      <c r="CL874" s="61">
        <f t="shared" si="839"/>
        <v>0</v>
      </c>
      <c r="CM874" s="61">
        <f t="shared" si="839"/>
        <v>0</v>
      </c>
      <c r="CN874" s="61">
        <f t="shared" si="839"/>
        <v>0</v>
      </c>
      <c r="CO874" s="61">
        <f t="shared" si="839"/>
        <v>0</v>
      </c>
      <c r="CP874" s="61">
        <f t="shared" si="839"/>
        <v>0</v>
      </c>
      <c r="CQ874" s="61">
        <f t="shared" si="839"/>
        <v>0</v>
      </c>
      <c r="CR874" s="61">
        <f t="shared" ref="CR874:CR937" si="898">(V874*$AD874-BA874*$BI874)/$C$2</f>
        <v>0</v>
      </c>
      <c r="CS874" s="61">
        <f t="shared" si="840"/>
        <v>0</v>
      </c>
      <c r="CT874" s="61">
        <f t="shared" si="841"/>
        <v>0</v>
      </c>
      <c r="CV874" s="61">
        <f t="shared" ref="CV874" si="899">SUM(AG874)-SUM(BL874)</f>
        <v>-7500</v>
      </c>
      <c r="CW874" s="61">
        <f t="shared" si="850"/>
        <v>-7500</v>
      </c>
      <c r="CX874" s="61"/>
      <c r="CY874" s="61">
        <f t="shared" si="777"/>
        <v>0</v>
      </c>
      <c r="CZ874" s="61">
        <f t="shared" si="777"/>
        <v>0</v>
      </c>
      <c r="DA874" s="61">
        <f t="shared" si="777"/>
        <v>0</v>
      </c>
      <c r="DB874" s="2" t="s">
        <v>86</v>
      </c>
      <c r="DC874" s="2" t="s">
        <v>85</v>
      </c>
      <c r="DD874" s="2" t="s">
        <v>87</v>
      </c>
      <c r="DE874" s="2" t="s">
        <v>106</v>
      </c>
      <c r="DF874" s="3" t="s">
        <v>86</v>
      </c>
      <c r="DG874" s="62">
        <v>43089</v>
      </c>
      <c r="EC874" s="60" t="str">
        <f>VLOOKUP($M874,[1]Detail!$M:$BO,1,0)</f>
        <v>PJD8B-F22401-BDW</v>
      </c>
      <c r="ED874" s="60">
        <f>VLOOKUP($M874,[1]Detail!$M:$BO,22,0)</f>
        <v>-96.373899999999992</v>
      </c>
      <c r="EE874" s="155">
        <f>VLOOKUP($M874,[1]Detail!$M:$BO,42,0)</f>
        <v>-1003250</v>
      </c>
      <c r="EF874" s="60" t="str">
        <f>VLOOKUP($M874,[1]Detail!$M:$BO,45,0)</f>
        <v>included in F22400</v>
      </c>
      <c r="EH874" s="60">
        <f t="shared" ref="EH874:EH876" si="900">ED874-AD874</f>
        <v>0</v>
      </c>
      <c r="EI874" s="60">
        <f t="shared" ref="EI874:EI876" si="901">EE874-AG874</f>
        <v>0</v>
      </c>
      <c r="EJ874" s="60">
        <f>SUM(EF874)-SUM(AJ874)</f>
        <v>0</v>
      </c>
    </row>
    <row r="875" spans="1:140" ht="12.75" hidden="1" customHeight="1">
      <c r="B875" s="99" t="s">
        <v>1432</v>
      </c>
      <c r="C875" s="22" t="s">
        <v>1358</v>
      </c>
      <c r="D875" s="22" t="s">
        <v>1359</v>
      </c>
      <c r="E875" s="2" t="s">
        <v>968</v>
      </c>
      <c r="F875" s="2" t="s">
        <v>969</v>
      </c>
      <c r="G875" s="2" t="s">
        <v>1087</v>
      </c>
      <c r="J875" s="149" t="s">
        <v>126</v>
      </c>
      <c r="K875" s="23" t="s">
        <v>1360</v>
      </c>
      <c r="L875" s="149" t="s">
        <v>234</v>
      </c>
      <c r="M875" s="51" t="str">
        <f t="shared" si="820"/>
        <v>JD8B-17D926-AC</v>
      </c>
      <c r="O875" s="94">
        <v>1</v>
      </c>
      <c r="P875" s="94">
        <v>1</v>
      </c>
      <c r="Q875" s="94">
        <v>1</v>
      </c>
      <c r="R875" s="94">
        <v>1</v>
      </c>
      <c r="S875" s="94">
        <v>1</v>
      </c>
      <c r="T875" s="94">
        <v>1</v>
      </c>
      <c r="U875" s="94">
        <v>1</v>
      </c>
      <c r="V875" s="94"/>
      <c r="W875" s="64">
        <f t="shared" si="829"/>
        <v>0.95000000000000007</v>
      </c>
      <c r="Y875" s="60">
        <v>-5.5</v>
      </c>
      <c r="Z875" s="60">
        <v>-0.3933333</v>
      </c>
      <c r="AA875" s="60">
        <v>-0.76333329999999999</v>
      </c>
      <c r="AB875" s="60"/>
      <c r="AC875" s="60"/>
      <c r="AD875" s="8">
        <f t="shared" ref="AD875:AD879" si="902">SUM(Y875:AC875)</f>
        <v>-6.6566666000000003</v>
      </c>
      <c r="AE875" s="2" t="s">
        <v>84</v>
      </c>
      <c r="AG875" s="70">
        <v>-121200</v>
      </c>
      <c r="AH875" s="70">
        <v>-121200</v>
      </c>
      <c r="AJ875" s="70"/>
      <c r="AK875" s="70"/>
      <c r="AL875" s="72"/>
      <c r="AM875" s="22"/>
      <c r="AO875" s="149" t="s">
        <v>126</v>
      </c>
      <c r="AP875" s="23" t="s">
        <v>1360</v>
      </c>
      <c r="AQ875" s="22" t="s">
        <v>100</v>
      </c>
      <c r="AR875" s="51" t="str">
        <f t="shared" si="822"/>
        <v>JD8B-17D926-AA</v>
      </c>
      <c r="AS875" s="3"/>
      <c r="AT875" s="94">
        <v>1</v>
      </c>
      <c r="AU875" s="94">
        <v>1</v>
      </c>
      <c r="AV875" s="94">
        <v>1</v>
      </c>
      <c r="AW875" s="94">
        <v>1</v>
      </c>
      <c r="AX875" s="94">
        <v>1</v>
      </c>
      <c r="AY875" s="94">
        <v>1</v>
      </c>
      <c r="AZ875" s="94">
        <v>1</v>
      </c>
      <c r="BA875" s="94"/>
      <c r="BB875" s="64">
        <f t="shared" si="831"/>
        <v>0.95000000000000007</v>
      </c>
      <c r="BD875" s="60">
        <v>-5.5</v>
      </c>
      <c r="BE875" s="60">
        <v>-0.3933333</v>
      </c>
      <c r="BF875" s="60">
        <v>-0.76333329999999999</v>
      </c>
      <c r="BG875" s="60"/>
      <c r="BH875" s="60"/>
      <c r="BI875" s="8">
        <f t="shared" ref="BI875:BI876" si="903">SUM(BD875:BH875)</f>
        <v>-6.6566666000000003</v>
      </c>
      <c r="BJ875" s="2" t="s">
        <v>84</v>
      </c>
      <c r="BL875" s="70">
        <v>-121200</v>
      </c>
      <c r="BM875" s="70">
        <v>-121200</v>
      </c>
      <c r="BO875" s="70"/>
      <c r="BP875" s="70"/>
      <c r="BQ875" s="72"/>
      <c r="BS875" s="61">
        <f t="shared" si="832"/>
        <v>0</v>
      </c>
      <c r="BT875" s="61">
        <f t="shared" si="833"/>
        <v>0</v>
      </c>
      <c r="BU875" s="61">
        <f t="shared" ref="BU875:BX907" si="904">SUM(AA875)-SUM(BF875)</f>
        <v>0</v>
      </c>
      <c r="BV875" s="61">
        <f t="shared" si="904"/>
        <v>0</v>
      </c>
      <c r="BW875" s="61">
        <f t="shared" si="904"/>
        <v>0</v>
      </c>
      <c r="BX875" s="61">
        <f t="shared" si="904"/>
        <v>0</v>
      </c>
      <c r="BY875" s="61" t="s">
        <v>91</v>
      </c>
      <c r="CA875" s="61">
        <f t="shared" ref="CA875:CG914" si="905">($Y875*O875-AT875*$BD875)/$C$2</f>
        <v>0</v>
      </c>
      <c r="CB875" s="61">
        <f t="shared" si="905"/>
        <v>0</v>
      </c>
      <c r="CC875" s="61">
        <f t="shared" si="905"/>
        <v>0</v>
      </c>
      <c r="CD875" s="61">
        <f t="shared" si="905"/>
        <v>0</v>
      </c>
      <c r="CE875" s="61">
        <f t="shared" si="905"/>
        <v>0</v>
      </c>
      <c r="CF875" s="61">
        <f t="shared" si="905"/>
        <v>0</v>
      </c>
      <c r="CG875" s="61">
        <f t="shared" si="905"/>
        <v>0</v>
      </c>
      <c r="CH875" s="61">
        <f t="shared" si="897"/>
        <v>0</v>
      </c>
      <c r="CI875" s="61">
        <f t="shared" si="838"/>
        <v>0</v>
      </c>
      <c r="CJ875" s="61"/>
      <c r="CK875" s="61">
        <f t="shared" ref="CK875:CQ906" si="906">(O875*$AD875-AT875*$BI875)/$C$2</f>
        <v>0</v>
      </c>
      <c r="CL875" s="61">
        <f t="shared" si="906"/>
        <v>0</v>
      </c>
      <c r="CM875" s="61">
        <f t="shared" si="906"/>
        <v>0</v>
      </c>
      <c r="CN875" s="61">
        <f t="shared" si="906"/>
        <v>0</v>
      </c>
      <c r="CO875" s="61">
        <f t="shared" si="906"/>
        <v>0</v>
      </c>
      <c r="CP875" s="61">
        <f t="shared" si="906"/>
        <v>0</v>
      </c>
      <c r="CQ875" s="61">
        <f t="shared" si="906"/>
        <v>0</v>
      </c>
      <c r="CR875" s="61">
        <f t="shared" si="898"/>
        <v>0</v>
      </c>
      <c r="CS875" s="61">
        <f t="shared" si="840"/>
        <v>0</v>
      </c>
      <c r="CT875" s="61">
        <f t="shared" si="841"/>
        <v>0</v>
      </c>
      <c r="CV875" s="61">
        <f t="shared" si="849"/>
        <v>0</v>
      </c>
      <c r="CW875" s="61">
        <f t="shared" si="850"/>
        <v>0</v>
      </c>
      <c r="CX875" s="61"/>
      <c r="CY875" s="61">
        <f t="shared" si="777"/>
        <v>0</v>
      </c>
      <c r="CZ875" s="61">
        <f t="shared" si="777"/>
        <v>0</v>
      </c>
      <c r="DA875" s="61">
        <f t="shared" si="777"/>
        <v>0</v>
      </c>
      <c r="DB875" s="2" t="s">
        <v>86</v>
      </c>
      <c r="DC875" s="2" t="s">
        <v>85</v>
      </c>
      <c r="DD875" s="2" t="s">
        <v>142</v>
      </c>
      <c r="DE875" s="2" t="s">
        <v>264</v>
      </c>
      <c r="DF875" s="3" t="s">
        <v>86</v>
      </c>
      <c r="DG875" s="62">
        <v>43034</v>
      </c>
      <c r="EC875" s="60" t="str">
        <f>VLOOKUP($M875,[1]Detail!$M:$BO,1,0)</f>
        <v>JD8B-17D926-AC</v>
      </c>
      <c r="ED875" s="60">
        <f>VLOOKUP($M875,[1]Detail!$M:$BO,22,0)</f>
        <v>-6.6566666000000003</v>
      </c>
      <c r="EE875" s="60">
        <f>VLOOKUP($M875,[1]Detail!$M:$BO,42,0)</f>
        <v>-121200</v>
      </c>
      <c r="EF875" s="60">
        <f>VLOOKUP($M875,[1]Detail!$M:$BO,45,0)</f>
        <v>0</v>
      </c>
      <c r="EH875" s="60">
        <f t="shared" si="900"/>
        <v>0</v>
      </c>
      <c r="EI875" s="60">
        <f t="shared" si="901"/>
        <v>0</v>
      </c>
      <c r="EJ875" s="60">
        <f t="shared" ref="EJ875:EJ876" si="907">EF875-AJ875</f>
        <v>0</v>
      </c>
    </row>
    <row r="876" spans="1:140" s="166" customFormat="1" ht="12.75" hidden="1" customHeight="1">
      <c r="A876" s="2"/>
      <c r="B876" s="99" t="s">
        <v>1432</v>
      </c>
      <c r="C876" s="22" t="s">
        <v>1358</v>
      </c>
      <c r="D876" s="22" t="s">
        <v>1359</v>
      </c>
      <c r="E876" s="2" t="s">
        <v>968</v>
      </c>
      <c r="F876" s="2" t="s">
        <v>969</v>
      </c>
      <c r="G876" s="2" t="s">
        <v>1087</v>
      </c>
      <c r="H876" s="2"/>
      <c r="I876" s="2"/>
      <c r="J876" s="149" t="s">
        <v>126</v>
      </c>
      <c r="K876" s="23" t="s">
        <v>1361</v>
      </c>
      <c r="L876" s="149" t="s">
        <v>234</v>
      </c>
      <c r="M876" s="51" t="str">
        <f t="shared" si="820"/>
        <v>JD8B-17D927-AC</v>
      </c>
      <c r="N876" s="3"/>
      <c r="O876" s="94">
        <v>1</v>
      </c>
      <c r="P876" s="94">
        <v>1</v>
      </c>
      <c r="Q876" s="94">
        <v>1</v>
      </c>
      <c r="R876" s="94">
        <v>1</v>
      </c>
      <c r="S876" s="94">
        <v>1</v>
      </c>
      <c r="T876" s="94">
        <v>1</v>
      </c>
      <c r="U876" s="94">
        <v>1</v>
      </c>
      <c r="V876" s="94"/>
      <c r="W876" s="64">
        <f t="shared" si="829"/>
        <v>0.95000000000000007</v>
      </c>
      <c r="X876" s="2"/>
      <c r="Y876" s="60">
        <v>-5.62</v>
      </c>
      <c r="Z876" s="60">
        <v>-0.3933333</v>
      </c>
      <c r="AA876" s="60">
        <v>-0.76333329999999999</v>
      </c>
      <c r="AB876" s="60"/>
      <c r="AC876" s="60"/>
      <c r="AD876" s="8">
        <f t="shared" si="902"/>
        <v>-6.7766666000000004</v>
      </c>
      <c r="AE876" s="2" t="s">
        <v>84</v>
      </c>
      <c r="AF876" s="2"/>
      <c r="AG876" s="70">
        <v>-121200</v>
      </c>
      <c r="AH876" s="70">
        <v>-121200</v>
      </c>
      <c r="AI876" s="2"/>
      <c r="AJ876" s="70"/>
      <c r="AK876" s="70"/>
      <c r="AL876" s="72"/>
      <c r="AM876" s="22"/>
      <c r="AN876" s="2"/>
      <c r="AO876" s="149" t="s">
        <v>126</v>
      </c>
      <c r="AP876" s="23" t="s">
        <v>1361</v>
      </c>
      <c r="AQ876" s="22" t="s">
        <v>100</v>
      </c>
      <c r="AR876" s="51" t="str">
        <f t="shared" si="822"/>
        <v>JD8B-17D927-AA</v>
      </c>
      <c r="AS876" s="3"/>
      <c r="AT876" s="94">
        <v>1</v>
      </c>
      <c r="AU876" s="94">
        <v>1</v>
      </c>
      <c r="AV876" s="94">
        <v>1</v>
      </c>
      <c r="AW876" s="94">
        <v>1</v>
      </c>
      <c r="AX876" s="94">
        <v>1</v>
      </c>
      <c r="AY876" s="94">
        <v>1</v>
      </c>
      <c r="AZ876" s="94">
        <v>1</v>
      </c>
      <c r="BA876" s="94"/>
      <c r="BB876" s="64">
        <f t="shared" si="831"/>
        <v>0.95000000000000007</v>
      </c>
      <c r="BC876" s="2"/>
      <c r="BD876" s="60">
        <v>-5.62</v>
      </c>
      <c r="BE876" s="60">
        <v>-0.3933333</v>
      </c>
      <c r="BF876" s="60">
        <v>-0.76333329999999999</v>
      </c>
      <c r="BG876" s="60"/>
      <c r="BH876" s="60"/>
      <c r="BI876" s="8">
        <f t="shared" si="903"/>
        <v>-6.7766666000000004</v>
      </c>
      <c r="BJ876" s="2" t="s">
        <v>84</v>
      </c>
      <c r="BK876" s="2"/>
      <c r="BL876" s="70">
        <v>-121200</v>
      </c>
      <c r="BM876" s="70">
        <v>-121200</v>
      </c>
      <c r="BN876" s="2"/>
      <c r="BO876" s="70"/>
      <c r="BP876" s="70"/>
      <c r="BQ876" s="72"/>
      <c r="BR876" s="2"/>
      <c r="BS876" s="61">
        <f t="shared" si="832"/>
        <v>0</v>
      </c>
      <c r="BT876" s="61">
        <f t="shared" si="833"/>
        <v>0</v>
      </c>
      <c r="BU876" s="61">
        <f t="shared" si="904"/>
        <v>0</v>
      </c>
      <c r="BV876" s="61">
        <f t="shared" si="904"/>
        <v>0</v>
      </c>
      <c r="BW876" s="61">
        <f t="shared" si="904"/>
        <v>0</v>
      </c>
      <c r="BX876" s="61">
        <f t="shared" si="904"/>
        <v>0</v>
      </c>
      <c r="BY876" s="61" t="s">
        <v>91</v>
      </c>
      <c r="BZ876" s="2"/>
      <c r="CA876" s="61">
        <f t="shared" si="905"/>
        <v>0</v>
      </c>
      <c r="CB876" s="61">
        <f t="shared" si="905"/>
        <v>0</v>
      </c>
      <c r="CC876" s="61">
        <f t="shared" si="905"/>
        <v>0</v>
      </c>
      <c r="CD876" s="61">
        <f t="shared" si="905"/>
        <v>0</v>
      </c>
      <c r="CE876" s="61">
        <f t="shared" si="905"/>
        <v>0</v>
      </c>
      <c r="CF876" s="61">
        <f t="shared" si="905"/>
        <v>0</v>
      </c>
      <c r="CG876" s="61">
        <f t="shared" si="905"/>
        <v>0</v>
      </c>
      <c r="CH876" s="61">
        <f t="shared" si="897"/>
        <v>0</v>
      </c>
      <c r="CI876" s="61">
        <f t="shared" si="838"/>
        <v>0</v>
      </c>
      <c r="CJ876" s="61"/>
      <c r="CK876" s="61">
        <f t="shared" si="906"/>
        <v>0</v>
      </c>
      <c r="CL876" s="61">
        <f t="shared" si="906"/>
        <v>0</v>
      </c>
      <c r="CM876" s="61">
        <f t="shared" si="906"/>
        <v>0</v>
      </c>
      <c r="CN876" s="61">
        <f t="shared" si="906"/>
        <v>0</v>
      </c>
      <c r="CO876" s="61">
        <f t="shared" si="906"/>
        <v>0</v>
      </c>
      <c r="CP876" s="61">
        <f t="shared" si="906"/>
        <v>0</v>
      </c>
      <c r="CQ876" s="61">
        <f t="shared" si="906"/>
        <v>0</v>
      </c>
      <c r="CR876" s="61">
        <f t="shared" si="898"/>
        <v>0</v>
      </c>
      <c r="CS876" s="61">
        <f t="shared" si="840"/>
        <v>0</v>
      </c>
      <c r="CT876" s="61">
        <f t="shared" si="841"/>
        <v>0</v>
      </c>
      <c r="CU876" s="2"/>
      <c r="CV876" s="61">
        <f t="shared" ref="CV876" si="908">SUM(AG876)-SUM(BL876)</f>
        <v>0</v>
      </c>
      <c r="CW876" s="61">
        <f t="shared" ref="CW876" si="909">SUM(AH876)-SUM(BM876)</f>
        <v>0</v>
      </c>
      <c r="CX876" s="61"/>
      <c r="CY876" s="61">
        <f t="shared" si="777"/>
        <v>0</v>
      </c>
      <c r="CZ876" s="61">
        <f t="shared" si="777"/>
        <v>0</v>
      </c>
      <c r="DA876" s="61">
        <f t="shared" si="777"/>
        <v>0</v>
      </c>
      <c r="DB876" s="2" t="s">
        <v>86</v>
      </c>
      <c r="DC876" s="2" t="s">
        <v>85</v>
      </c>
      <c r="DD876" s="2" t="s">
        <v>142</v>
      </c>
      <c r="DE876" s="2" t="s">
        <v>264</v>
      </c>
      <c r="DF876" s="3" t="s">
        <v>86</v>
      </c>
      <c r="DG876" s="62">
        <v>43034</v>
      </c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165"/>
      <c r="EC876" s="167" t="str">
        <f>VLOOKUP($M876,[1]Detail!$M:$BO,1,0)</f>
        <v>JD8B-17D927-AC</v>
      </c>
      <c r="ED876" s="167">
        <f>VLOOKUP($M876,[1]Detail!$M:$BO,22,0)</f>
        <v>-6.7766666000000004</v>
      </c>
      <c r="EE876" s="167">
        <f>VLOOKUP($M876,[1]Detail!$M:$BO,42,0)</f>
        <v>-121200</v>
      </c>
      <c r="EF876" s="167">
        <f>VLOOKUP($M876,[1]Detail!$M:$BO,45,0)</f>
        <v>0</v>
      </c>
      <c r="EH876" s="167">
        <f t="shared" si="900"/>
        <v>0</v>
      </c>
      <c r="EI876" s="167">
        <f t="shared" si="901"/>
        <v>0</v>
      </c>
      <c r="EJ876" s="167">
        <f t="shared" si="907"/>
        <v>0</v>
      </c>
    </row>
    <row r="877" spans="1:140" ht="11.25" hidden="1" customHeight="1">
      <c r="B877" s="99" t="s">
        <v>1432</v>
      </c>
      <c r="C877" s="22" t="s">
        <v>1358</v>
      </c>
      <c r="D877" s="22" t="s">
        <v>1359</v>
      </c>
      <c r="E877" s="2" t="s">
        <v>968</v>
      </c>
      <c r="F877" s="2" t="s">
        <v>969</v>
      </c>
      <c r="G877" s="2" t="s">
        <v>1087</v>
      </c>
      <c r="J877" s="149" t="s">
        <v>126</v>
      </c>
      <c r="K877" s="23" t="s">
        <v>1362</v>
      </c>
      <c r="L877" s="149" t="s">
        <v>1334</v>
      </c>
      <c r="M877" s="51" t="str">
        <f t="shared" si="820"/>
        <v>JD8B-17K819-AFW</v>
      </c>
      <c r="O877" s="94">
        <v>1</v>
      </c>
      <c r="P877" s="94">
        <v>1</v>
      </c>
      <c r="Q877" s="94"/>
      <c r="R877" s="94"/>
      <c r="S877" s="94"/>
      <c r="T877" s="94"/>
      <c r="U877" s="94"/>
      <c r="V877" s="94"/>
      <c r="W877" s="64">
        <f t="shared" si="829"/>
        <v>0.30000000000000004</v>
      </c>
      <c r="Y877" s="70">
        <v>-352.52</v>
      </c>
      <c r="Z877" s="60">
        <v>-2.5099999999999998</v>
      </c>
      <c r="AA877" s="60">
        <v>-8.25</v>
      </c>
      <c r="AB877" s="60"/>
      <c r="AC877" s="60"/>
      <c r="AD877" s="8">
        <f t="shared" si="902"/>
        <v>-363.28</v>
      </c>
      <c r="AE877" s="2" t="s">
        <v>84</v>
      </c>
      <c r="AG877" s="70"/>
      <c r="AH877" s="70"/>
      <c r="AJ877" s="70"/>
      <c r="AK877" s="70"/>
      <c r="AL877" s="72"/>
      <c r="AM877" s="22"/>
      <c r="AO877" s="149" t="s">
        <v>126</v>
      </c>
      <c r="AP877" s="23" t="s">
        <v>1362</v>
      </c>
      <c r="AQ877" s="22" t="s">
        <v>196</v>
      </c>
      <c r="AR877" s="51" t="str">
        <f t="shared" si="822"/>
        <v>JD8B-17K819-AAW</v>
      </c>
      <c r="AS877" s="3"/>
      <c r="AT877" s="94">
        <v>1</v>
      </c>
      <c r="AU877" s="94">
        <v>1</v>
      </c>
      <c r="AV877" s="94"/>
      <c r="AW877" s="94"/>
      <c r="AX877" s="94"/>
      <c r="AY877" s="94"/>
      <c r="AZ877" s="94"/>
      <c r="BA877" s="94"/>
      <c r="BB877" s="64">
        <f t="shared" si="831"/>
        <v>0.30000000000000004</v>
      </c>
      <c r="BD877" s="70">
        <v>-352.52</v>
      </c>
      <c r="BE877" s="60">
        <v>-2.5099999999999998</v>
      </c>
      <c r="BF877" s="60">
        <v>-8.25</v>
      </c>
      <c r="BG877" s="60"/>
      <c r="BH877" s="60"/>
      <c r="BI877" s="8">
        <f t="shared" ref="BI877:BI882" si="910">SUM(BD877:BH877)</f>
        <v>-363.28</v>
      </c>
      <c r="BJ877" s="2" t="s">
        <v>84</v>
      </c>
      <c r="BL877" s="70"/>
      <c r="BM877" s="70"/>
      <c r="BO877" s="70"/>
      <c r="BP877" s="70"/>
      <c r="BQ877" s="72"/>
      <c r="BS877" s="61">
        <f t="shared" si="832"/>
        <v>0</v>
      </c>
      <c r="BT877" s="61">
        <f t="shared" si="833"/>
        <v>0</v>
      </c>
      <c r="BU877" s="61">
        <f t="shared" si="904"/>
        <v>0</v>
      </c>
      <c r="BV877" s="61">
        <f t="shared" si="904"/>
        <v>0</v>
      </c>
      <c r="BW877" s="61">
        <f t="shared" si="904"/>
        <v>0</v>
      </c>
      <c r="BX877" s="61">
        <f t="shared" si="904"/>
        <v>0</v>
      </c>
      <c r="BY877" s="61" t="s">
        <v>91</v>
      </c>
      <c r="CA877" s="61">
        <f t="shared" si="905"/>
        <v>0</v>
      </c>
      <c r="CB877" s="61">
        <f t="shared" si="905"/>
        <v>0</v>
      </c>
      <c r="CC877" s="61">
        <f t="shared" si="905"/>
        <v>0</v>
      </c>
      <c r="CD877" s="61">
        <f t="shared" si="905"/>
        <v>0</v>
      </c>
      <c r="CE877" s="61">
        <f t="shared" si="905"/>
        <v>0</v>
      </c>
      <c r="CF877" s="61">
        <f t="shared" si="905"/>
        <v>0</v>
      </c>
      <c r="CG877" s="61">
        <f t="shared" si="905"/>
        <v>0</v>
      </c>
      <c r="CH877" s="61">
        <f t="shared" si="897"/>
        <v>0</v>
      </c>
      <c r="CI877" s="61">
        <f t="shared" si="838"/>
        <v>0</v>
      </c>
      <c r="CJ877" s="61"/>
      <c r="CK877" s="61">
        <f t="shared" si="906"/>
        <v>0</v>
      </c>
      <c r="CL877" s="61">
        <f t="shared" si="906"/>
        <v>0</v>
      </c>
      <c r="CM877" s="61">
        <f t="shared" si="906"/>
        <v>0</v>
      </c>
      <c r="CN877" s="61">
        <f t="shared" si="906"/>
        <v>0</v>
      </c>
      <c r="CO877" s="61">
        <f t="shared" si="906"/>
        <v>0</v>
      </c>
      <c r="CP877" s="61">
        <f t="shared" si="906"/>
        <v>0</v>
      </c>
      <c r="CQ877" s="61">
        <f t="shared" si="906"/>
        <v>0</v>
      </c>
      <c r="CR877" s="61">
        <f t="shared" si="898"/>
        <v>0</v>
      </c>
      <c r="CS877" s="61">
        <f t="shared" si="840"/>
        <v>0</v>
      </c>
      <c r="CT877" s="61">
        <f t="shared" si="841"/>
        <v>0</v>
      </c>
      <c r="CV877" s="61">
        <f t="shared" si="849"/>
        <v>0</v>
      </c>
      <c r="CW877" s="61">
        <f t="shared" si="850"/>
        <v>0</v>
      </c>
      <c r="CX877" s="61"/>
      <c r="CY877" s="61">
        <f t="shared" si="777"/>
        <v>0</v>
      </c>
      <c r="CZ877" s="61">
        <f t="shared" si="777"/>
        <v>0</v>
      </c>
      <c r="DA877" s="61">
        <f t="shared" si="777"/>
        <v>0</v>
      </c>
      <c r="DB877" s="2" t="s">
        <v>85</v>
      </c>
      <c r="DC877" s="2" t="s">
        <v>85</v>
      </c>
      <c r="DD877" s="2" t="s">
        <v>142</v>
      </c>
      <c r="DE877" s="2" t="s">
        <v>264</v>
      </c>
      <c r="DF877" s="3" t="s">
        <v>86</v>
      </c>
      <c r="DG877" s="62">
        <v>43034</v>
      </c>
      <c r="EC877" s="60"/>
      <c r="ED877" s="60"/>
      <c r="EE877" s="60"/>
      <c r="EF877" s="60"/>
      <c r="EH877" s="60"/>
      <c r="EI877" s="60"/>
      <c r="EJ877" s="60"/>
    </row>
    <row r="878" spans="1:140" ht="12.75" hidden="1" customHeight="1">
      <c r="B878" s="99" t="s">
        <v>1432</v>
      </c>
      <c r="C878" s="22" t="s">
        <v>1358</v>
      </c>
      <c r="D878" s="22" t="s">
        <v>1359</v>
      </c>
      <c r="E878" s="2" t="s">
        <v>968</v>
      </c>
      <c r="F878" s="2" t="s">
        <v>969</v>
      </c>
      <c r="G878" s="2" t="s">
        <v>1087</v>
      </c>
      <c r="J878" s="149" t="s">
        <v>126</v>
      </c>
      <c r="K878" s="23" t="s">
        <v>1362</v>
      </c>
      <c r="L878" s="149" t="s">
        <v>1335</v>
      </c>
      <c r="M878" s="51" t="str">
        <f t="shared" si="820"/>
        <v>JD8B-17K819-BFW</v>
      </c>
      <c r="O878" s="94"/>
      <c r="P878" s="94"/>
      <c r="Q878" s="94">
        <v>1</v>
      </c>
      <c r="R878" s="94">
        <v>1</v>
      </c>
      <c r="S878" s="94">
        <v>1</v>
      </c>
      <c r="T878" s="94">
        <v>1</v>
      </c>
      <c r="U878" s="94"/>
      <c r="V878" s="94"/>
      <c r="W878" s="64">
        <f t="shared" si="829"/>
        <v>0.6</v>
      </c>
      <c r="Y878" s="60">
        <v>-357.02</v>
      </c>
      <c r="Z878" s="60">
        <v>-2.5099999999999998</v>
      </c>
      <c r="AA878" s="60">
        <v>-8.25</v>
      </c>
      <c r="AB878" s="60"/>
      <c r="AC878" s="60"/>
      <c r="AD878" s="8">
        <f t="shared" si="902"/>
        <v>-367.78</v>
      </c>
      <c r="AE878" s="2" t="s">
        <v>84</v>
      </c>
      <c r="AG878" s="70">
        <v>-11224500</v>
      </c>
      <c r="AH878" s="70">
        <v>-11224500</v>
      </c>
      <c r="AJ878" s="70"/>
      <c r="AK878" s="70"/>
      <c r="AL878" s="72"/>
      <c r="AM878" s="22"/>
      <c r="AO878" s="149" t="s">
        <v>126</v>
      </c>
      <c r="AP878" s="23" t="s">
        <v>1362</v>
      </c>
      <c r="AQ878" s="22" t="s">
        <v>198</v>
      </c>
      <c r="AR878" s="51" t="str">
        <f t="shared" si="822"/>
        <v>JD8B-17K819-BAW</v>
      </c>
      <c r="AS878" s="3"/>
      <c r="AT878" s="94"/>
      <c r="AU878" s="94"/>
      <c r="AV878" s="94">
        <v>1</v>
      </c>
      <c r="AW878" s="94">
        <v>1</v>
      </c>
      <c r="AX878" s="94">
        <v>1</v>
      </c>
      <c r="AY878" s="94">
        <v>1</v>
      </c>
      <c r="AZ878" s="94"/>
      <c r="BA878" s="94"/>
      <c r="BB878" s="64">
        <f t="shared" si="831"/>
        <v>0.6</v>
      </c>
      <c r="BD878" s="60">
        <v>-357.02</v>
      </c>
      <c r="BE878" s="60">
        <v>-2.5099999999999998</v>
      </c>
      <c r="BF878" s="60">
        <v>-8.25</v>
      </c>
      <c r="BG878" s="60"/>
      <c r="BH878" s="60"/>
      <c r="BI878" s="8">
        <f t="shared" si="910"/>
        <v>-367.78</v>
      </c>
      <c r="BJ878" s="2" t="s">
        <v>84</v>
      </c>
      <c r="BL878" s="70">
        <v>-11224500</v>
      </c>
      <c r="BM878" s="70">
        <v>-11224500</v>
      </c>
      <c r="BO878" s="70"/>
      <c r="BP878" s="70"/>
      <c r="BQ878" s="72"/>
      <c r="BS878" s="61">
        <f t="shared" si="832"/>
        <v>0</v>
      </c>
      <c r="BT878" s="61">
        <f t="shared" si="833"/>
        <v>0</v>
      </c>
      <c r="BU878" s="61">
        <f t="shared" si="904"/>
        <v>0</v>
      </c>
      <c r="BV878" s="61">
        <f t="shared" si="904"/>
        <v>0</v>
      </c>
      <c r="BW878" s="61">
        <f t="shared" si="904"/>
        <v>0</v>
      </c>
      <c r="BX878" s="61">
        <f t="shared" si="904"/>
        <v>0</v>
      </c>
      <c r="BY878" s="61" t="s">
        <v>91</v>
      </c>
      <c r="CA878" s="61">
        <f t="shared" si="905"/>
        <v>0</v>
      </c>
      <c r="CB878" s="61">
        <f t="shared" si="905"/>
        <v>0</v>
      </c>
      <c r="CC878" s="61">
        <f t="shared" si="905"/>
        <v>0</v>
      </c>
      <c r="CD878" s="61">
        <f t="shared" si="905"/>
        <v>0</v>
      </c>
      <c r="CE878" s="61">
        <f t="shared" si="905"/>
        <v>0</v>
      </c>
      <c r="CF878" s="61">
        <f t="shared" si="905"/>
        <v>0</v>
      </c>
      <c r="CG878" s="61">
        <f t="shared" si="905"/>
        <v>0</v>
      </c>
      <c r="CH878" s="61">
        <f t="shared" si="897"/>
        <v>0</v>
      </c>
      <c r="CI878" s="61">
        <f t="shared" si="838"/>
        <v>0</v>
      </c>
      <c r="CJ878" s="61"/>
      <c r="CK878" s="61">
        <f t="shared" si="906"/>
        <v>0</v>
      </c>
      <c r="CL878" s="61">
        <f t="shared" si="906"/>
        <v>0</v>
      </c>
      <c r="CM878" s="61">
        <f t="shared" si="906"/>
        <v>0</v>
      </c>
      <c r="CN878" s="61">
        <f t="shared" si="906"/>
        <v>0</v>
      </c>
      <c r="CO878" s="61">
        <f t="shared" si="906"/>
        <v>0</v>
      </c>
      <c r="CP878" s="61">
        <f t="shared" si="906"/>
        <v>0</v>
      </c>
      <c r="CQ878" s="61">
        <f t="shared" si="906"/>
        <v>0</v>
      </c>
      <c r="CR878" s="61">
        <f t="shared" si="898"/>
        <v>0</v>
      </c>
      <c r="CS878" s="61">
        <f t="shared" si="840"/>
        <v>0</v>
      </c>
      <c r="CT878" s="61">
        <f t="shared" si="841"/>
        <v>0</v>
      </c>
      <c r="CV878" s="61">
        <f t="shared" ref="CV878:CV879" si="911">SUM(AG878)-SUM(BL878)</f>
        <v>0</v>
      </c>
      <c r="CW878" s="61">
        <f t="shared" ref="CW878:CW880" si="912">SUM(AH878)-SUM(BM878)</f>
        <v>0</v>
      </c>
      <c r="CX878" s="61"/>
      <c r="CY878" s="61">
        <f t="shared" si="777"/>
        <v>0</v>
      </c>
      <c r="CZ878" s="61">
        <f t="shared" si="777"/>
        <v>0</v>
      </c>
      <c r="DA878" s="61">
        <f t="shared" si="777"/>
        <v>0</v>
      </c>
      <c r="DB878" s="2" t="s">
        <v>85</v>
      </c>
      <c r="DC878" s="2" t="s">
        <v>85</v>
      </c>
      <c r="DD878" s="2" t="s">
        <v>142</v>
      </c>
      <c r="DE878" s="2" t="s">
        <v>264</v>
      </c>
      <c r="DF878" s="3" t="s">
        <v>86</v>
      </c>
      <c r="DG878" s="62">
        <v>43034</v>
      </c>
      <c r="EC878" s="60"/>
      <c r="ED878" s="60"/>
      <c r="EE878" s="60"/>
      <c r="EF878" s="60"/>
    </row>
    <row r="879" spans="1:140" ht="12.75" hidden="1" customHeight="1">
      <c r="B879" s="99" t="s">
        <v>1432</v>
      </c>
      <c r="C879" s="22" t="s">
        <v>1358</v>
      </c>
      <c r="D879" s="22" t="s">
        <v>1359</v>
      </c>
      <c r="E879" s="2" t="s">
        <v>968</v>
      </c>
      <c r="F879" s="2" t="s">
        <v>969</v>
      </c>
      <c r="G879" s="2" t="s">
        <v>1087</v>
      </c>
      <c r="J879" s="149" t="s">
        <v>126</v>
      </c>
      <c r="K879" s="23" t="s">
        <v>1362</v>
      </c>
      <c r="L879" s="149" t="s">
        <v>1347</v>
      </c>
      <c r="M879" s="51" t="str">
        <f t="shared" si="820"/>
        <v>JD8B-17K819-CFW</v>
      </c>
      <c r="O879" s="94"/>
      <c r="P879" s="94"/>
      <c r="Q879" s="94"/>
      <c r="R879" s="94"/>
      <c r="S879" s="94"/>
      <c r="T879" s="94"/>
      <c r="U879" s="94">
        <v>1</v>
      </c>
      <c r="V879" s="94">
        <v>1</v>
      </c>
      <c r="W879" s="64">
        <f t="shared" si="829"/>
        <v>0.1</v>
      </c>
      <c r="Y879" s="60">
        <v>-436.78</v>
      </c>
      <c r="Z879" s="60">
        <v>-2.5099999999999998</v>
      </c>
      <c r="AA879" s="60">
        <v>-8.25</v>
      </c>
      <c r="AB879" s="60"/>
      <c r="AC879" s="60"/>
      <c r="AD879" s="8">
        <f t="shared" si="902"/>
        <v>-447.53999999999996</v>
      </c>
      <c r="AE879" s="2" t="s">
        <v>84</v>
      </c>
      <c r="AG879" s="70"/>
      <c r="AH879" s="70"/>
      <c r="AJ879" s="70"/>
      <c r="AK879" s="70"/>
      <c r="AL879" s="72"/>
      <c r="AM879" s="22"/>
      <c r="AO879" s="149" t="s">
        <v>126</v>
      </c>
      <c r="AP879" s="23" t="s">
        <v>1362</v>
      </c>
      <c r="AQ879" s="22" t="s">
        <v>269</v>
      </c>
      <c r="AR879" s="51" t="str">
        <f t="shared" si="822"/>
        <v>JD8B-17K819-CAW</v>
      </c>
      <c r="AS879" s="3"/>
      <c r="AT879" s="94"/>
      <c r="AU879" s="94"/>
      <c r="AV879" s="94"/>
      <c r="AW879" s="94"/>
      <c r="AX879" s="94"/>
      <c r="AY879" s="94"/>
      <c r="AZ879" s="94">
        <v>1</v>
      </c>
      <c r="BA879" s="94">
        <v>1</v>
      </c>
      <c r="BB879" s="64">
        <f t="shared" si="831"/>
        <v>0.1</v>
      </c>
      <c r="BD879" s="60">
        <v>-436.78</v>
      </c>
      <c r="BE879" s="60">
        <v>-2.5099999999999998</v>
      </c>
      <c r="BF879" s="60">
        <v>-8.25</v>
      </c>
      <c r="BG879" s="60"/>
      <c r="BH879" s="60"/>
      <c r="BI879" s="8">
        <f t="shared" si="910"/>
        <v>-447.53999999999996</v>
      </c>
      <c r="BJ879" s="2" t="s">
        <v>84</v>
      </c>
      <c r="BL879" s="70"/>
      <c r="BM879" s="70"/>
      <c r="BO879" s="70"/>
      <c r="BP879" s="70"/>
      <c r="BQ879" s="72"/>
      <c r="BS879" s="61">
        <f t="shared" si="832"/>
        <v>0</v>
      </c>
      <c r="BT879" s="61">
        <f t="shared" si="833"/>
        <v>0</v>
      </c>
      <c r="BU879" s="61">
        <f t="shared" si="904"/>
        <v>0</v>
      </c>
      <c r="BV879" s="61">
        <f t="shared" si="904"/>
        <v>0</v>
      </c>
      <c r="BW879" s="61">
        <f t="shared" si="904"/>
        <v>0</v>
      </c>
      <c r="BX879" s="61">
        <f t="shared" si="904"/>
        <v>0</v>
      </c>
      <c r="BY879" s="61" t="s">
        <v>91</v>
      </c>
      <c r="CA879" s="61">
        <f t="shared" si="905"/>
        <v>0</v>
      </c>
      <c r="CB879" s="61">
        <f t="shared" si="905"/>
        <v>0</v>
      </c>
      <c r="CC879" s="61">
        <f t="shared" si="905"/>
        <v>0</v>
      </c>
      <c r="CD879" s="61">
        <f t="shared" si="905"/>
        <v>0</v>
      </c>
      <c r="CE879" s="61">
        <f t="shared" si="905"/>
        <v>0</v>
      </c>
      <c r="CF879" s="61">
        <f t="shared" si="905"/>
        <v>0</v>
      </c>
      <c r="CG879" s="61">
        <f t="shared" si="905"/>
        <v>0</v>
      </c>
      <c r="CH879" s="61">
        <f t="shared" si="897"/>
        <v>0</v>
      </c>
      <c r="CI879" s="61">
        <f t="shared" si="838"/>
        <v>0</v>
      </c>
      <c r="CJ879" s="61"/>
      <c r="CK879" s="61">
        <f t="shared" si="906"/>
        <v>0</v>
      </c>
      <c r="CL879" s="61">
        <f t="shared" si="906"/>
        <v>0</v>
      </c>
      <c r="CM879" s="61">
        <f t="shared" si="906"/>
        <v>0</v>
      </c>
      <c r="CN879" s="61">
        <f t="shared" si="906"/>
        <v>0</v>
      </c>
      <c r="CO879" s="61">
        <f t="shared" si="906"/>
        <v>0</v>
      </c>
      <c r="CP879" s="61">
        <f t="shared" si="906"/>
        <v>0</v>
      </c>
      <c r="CQ879" s="61">
        <f t="shared" si="906"/>
        <v>0</v>
      </c>
      <c r="CR879" s="61">
        <f t="shared" si="898"/>
        <v>0</v>
      </c>
      <c r="CS879" s="61">
        <f t="shared" si="840"/>
        <v>0</v>
      </c>
      <c r="CT879" s="61">
        <f t="shared" si="841"/>
        <v>0</v>
      </c>
      <c r="CV879" s="61">
        <f t="shared" si="911"/>
        <v>0</v>
      </c>
      <c r="CW879" s="61">
        <f t="shared" si="912"/>
        <v>0</v>
      </c>
      <c r="CX879" s="61"/>
      <c r="CY879" s="61">
        <f t="shared" si="777"/>
        <v>0</v>
      </c>
      <c r="CZ879" s="61">
        <f t="shared" si="777"/>
        <v>0</v>
      </c>
      <c r="DA879" s="61">
        <f t="shared" si="777"/>
        <v>0</v>
      </c>
      <c r="DB879" s="2" t="s">
        <v>85</v>
      </c>
      <c r="DC879" s="2" t="s">
        <v>85</v>
      </c>
      <c r="DD879" s="2" t="s">
        <v>142</v>
      </c>
      <c r="DE879" s="2" t="s">
        <v>264</v>
      </c>
      <c r="DF879" s="3" t="s">
        <v>86</v>
      </c>
      <c r="DG879" s="62">
        <v>43034</v>
      </c>
      <c r="EC879" s="60"/>
      <c r="ED879" s="60"/>
      <c r="EE879" s="60"/>
      <c r="EF879" s="60"/>
    </row>
    <row r="880" spans="1:140" ht="12.75" hidden="1" customHeight="1">
      <c r="B880" s="99" t="s">
        <v>1433</v>
      </c>
      <c r="C880" s="22" t="s">
        <v>1358</v>
      </c>
      <c r="D880" s="22" t="s">
        <v>1359</v>
      </c>
      <c r="E880" s="2" t="s">
        <v>968</v>
      </c>
      <c r="F880" s="2" t="s">
        <v>969</v>
      </c>
      <c r="G880" s="2" t="s">
        <v>1087</v>
      </c>
      <c r="J880" s="149" t="s">
        <v>126</v>
      </c>
      <c r="K880" s="23" t="s">
        <v>1362</v>
      </c>
      <c r="L880" s="149" t="s">
        <v>1338</v>
      </c>
      <c r="M880" s="51" t="str">
        <f t="shared" si="820"/>
        <v>JD8B-17K819-AGW</v>
      </c>
      <c r="O880" s="94">
        <v>1</v>
      </c>
      <c r="P880" s="94">
        <v>1</v>
      </c>
      <c r="Q880" s="94"/>
      <c r="R880" s="94"/>
      <c r="S880" s="94"/>
      <c r="T880" s="94"/>
      <c r="U880" s="94"/>
      <c r="V880" s="94"/>
      <c r="W880" s="64">
        <f t="shared" si="829"/>
        <v>0.30000000000000004</v>
      </c>
      <c r="Y880" s="70">
        <f>Y877-1.55</f>
        <v>-354.07</v>
      </c>
      <c r="Z880" s="60">
        <v>-2.5099999999999998</v>
      </c>
      <c r="AA880" s="60">
        <v>-8.25</v>
      </c>
      <c r="AB880" s="60"/>
      <c r="AC880" s="60"/>
      <c r="AD880" s="8">
        <f t="shared" ref="AD880:AD890" si="913">SUM(Y880:AC880)</f>
        <v>-364.83</v>
      </c>
      <c r="AE880" s="2" t="s">
        <v>84</v>
      </c>
      <c r="AG880" s="70"/>
      <c r="AH880" s="70"/>
      <c r="AJ880" s="70"/>
      <c r="AK880" s="70"/>
      <c r="AL880" s="72"/>
      <c r="AM880" s="22"/>
      <c r="AO880" s="149" t="s">
        <v>126</v>
      </c>
      <c r="AP880" s="23" t="s">
        <v>1362</v>
      </c>
      <c r="AQ880" s="149" t="s">
        <v>1334</v>
      </c>
      <c r="AR880" s="51" t="str">
        <f t="shared" si="822"/>
        <v>JD8B-17K819-AFW</v>
      </c>
      <c r="AS880" s="3"/>
      <c r="AT880" s="94">
        <v>1</v>
      </c>
      <c r="AU880" s="94">
        <v>1</v>
      </c>
      <c r="AV880" s="94"/>
      <c r="AW880" s="94"/>
      <c r="AX880" s="94"/>
      <c r="AY880" s="94"/>
      <c r="AZ880" s="94"/>
      <c r="BA880" s="94"/>
      <c r="BB880" s="64">
        <f t="shared" si="831"/>
        <v>0.30000000000000004</v>
      </c>
      <c r="BD880" s="70">
        <v>-352.52</v>
      </c>
      <c r="BE880" s="60">
        <v>-2.5099999999999998</v>
      </c>
      <c r="BF880" s="60">
        <v>-8.25</v>
      </c>
      <c r="BG880" s="60"/>
      <c r="BH880" s="60"/>
      <c r="BI880" s="8">
        <f t="shared" si="910"/>
        <v>-363.28</v>
      </c>
      <c r="BJ880" s="2" t="s">
        <v>84</v>
      </c>
      <c r="BL880" s="70"/>
      <c r="BM880" s="70"/>
      <c r="BO880" s="70"/>
      <c r="BP880" s="70"/>
      <c r="BQ880" s="72"/>
      <c r="BS880" s="61">
        <f t="shared" si="832"/>
        <v>-1.5500000000000114</v>
      </c>
      <c r="BT880" s="61">
        <f t="shared" si="833"/>
        <v>0</v>
      </c>
      <c r="BU880" s="61">
        <f t="shared" si="904"/>
        <v>0</v>
      </c>
      <c r="BV880" s="61">
        <f t="shared" si="904"/>
        <v>0</v>
      </c>
      <c r="BW880" s="61">
        <f t="shared" si="904"/>
        <v>0</v>
      </c>
      <c r="BX880" s="61">
        <f t="shared" si="904"/>
        <v>-1.5500000000000114</v>
      </c>
      <c r="BY880" s="61" t="s">
        <v>91</v>
      </c>
      <c r="CA880" s="61">
        <f t="shared" si="905"/>
        <v>-0.23318790431773903</v>
      </c>
      <c r="CB880" s="61">
        <f t="shared" si="905"/>
        <v>-0.23318790431773903</v>
      </c>
      <c r="CC880" s="61">
        <f t="shared" si="905"/>
        <v>0</v>
      </c>
      <c r="CD880" s="61">
        <f t="shared" si="905"/>
        <v>0</v>
      </c>
      <c r="CE880" s="61">
        <f t="shared" si="905"/>
        <v>0</v>
      </c>
      <c r="CF880" s="61">
        <f t="shared" si="905"/>
        <v>0</v>
      </c>
      <c r="CG880" s="61">
        <f t="shared" si="905"/>
        <v>0</v>
      </c>
      <c r="CH880" s="61">
        <f t="shared" si="897"/>
        <v>0</v>
      </c>
      <c r="CI880" s="61">
        <f t="shared" si="838"/>
        <v>-6.9956371295321715E-2</v>
      </c>
      <c r="CJ880" s="61"/>
      <c r="CK880" s="61">
        <f t="shared" si="906"/>
        <v>-0.23318790431773903</v>
      </c>
      <c r="CL880" s="61">
        <f t="shared" si="906"/>
        <v>-0.23318790431773903</v>
      </c>
      <c r="CM880" s="61">
        <f t="shared" si="906"/>
        <v>0</v>
      </c>
      <c r="CN880" s="61">
        <f t="shared" si="906"/>
        <v>0</v>
      </c>
      <c r="CO880" s="61">
        <f t="shared" si="906"/>
        <v>0</v>
      </c>
      <c r="CP880" s="61">
        <f t="shared" si="906"/>
        <v>0</v>
      </c>
      <c r="CQ880" s="61">
        <f t="shared" si="906"/>
        <v>0</v>
      </c>
      <c r="CR880" s="61">
        <f t="shared" si="898"/>
        <v>0</v>
      </c>
      <c r="CS880" s="61">
        <f t="shared" si="840"/>
        <v>-6.9956371295321715E-2</v>
      </c>
      <c r="CT880" s="61">
        <f t="shared" si="841"/>
        <v>-0.46500000000000347</v>
      </c>
      <c r="CV880" s="61">
        <f t="shared" ref="CV880" si="914">SUM(AG880)-SUM(BL880)</f>
        <v>0</v>
      </c>
      <c r="CW880" s="61">
        <f t="shared" si="912"/>
        <v>0</v>
      </c>
      <c r="CX880" s="61"/>
      <c r="CY880" s="61">
        <f t="shared" si="777"/>
        <v>0</v>
      </c>
      <c r="CZ880" s="61">
        <f t="shared" si="777"/>
        <v>0</v>
      </c>
      <c r="DA880" s="61">
        <f t="shared" si="777"/>
        <v>0</v>
      </c>
      <c r="DB880" s="2" t="s">
        <v>134</v>
      </c>
      <c r="DC880" s="2" t="s">
        <v>85</v>
      </c>
      <c r="DD880" s="2" t="s">
        <v>142</v>
      </c>
      <c r="DE880" s="2" t="s">
        <v>106</v>
      </c>
      <c r="DF880" s="3" t="s">
        <v>86</v>
      </c>
      <c r="DG880" s="62">
        <v>43068</v>
      </c>
      <c r="EC880" s="60"/>
      <c r="ED880" s="60"/>
      <c r="EE880" s="60"/>
      <c r="EF880" s="60"/>
    </row>
    <row r="881" spans="1:140" ht="12.75" hidden="1" customHeight="1">
      <c r="B881" s="99" t="s">
        <v>1433</v>
      </c>
      <c r="C881" s="22" t="s">
        <v>1358</v>
      </c>
      <c r="D881" s="22" t="s">
        <v>1359</v>
      </c>
      <c r="E881" s="2" t="s">
        <v>968</v>
      </c>
      <c r="F881" s="2" t="s">
        <v>969</v>
      </c>
      <c r="G881" s="2" t="s">
        <v>1087</v>
      </c>
      <c r="J881" s="149" t="s">
        <v>126</v>
      </c>
      <c r="K881" s="23" t="s">
        <v>1362</v>
      </c>
      <c r="L881" s="149" t="s">
        <v>656</v>
      </c>
      <c r="M881" s="51" t="str">
        <f t="shared" si="820"/>
        <v>JD8B-17K819-BGW</v>
      </c>
      <c r="O881" s="94"/>
      <c r="P881" s="94"/>
      <c r="Q881" s="94">
        <v>1</v>
      </c>
      <c r="R881" s="94">
        <v>1</v>
      </c>
      <c r="S881" s="94">
        <v>1</v>
      </c>
      <c r="T881" s="94">
        <v>1</v>
      </c>
      <c r="U881" s="94"/>
      <c r="V881" s="94"/>
      <c r="W881" s="64">
        <f t="shared" si="829"/>
        <v>0.6</v>
      </c>
      <c r="Y881" s="60">
        <f>Y878-1.55</f>
        <v>-358.57</v>
      </c>
      <c r="Z881" s="60">
        <v>-2.5099999999999998</v>
      </c>
      <c r="AA881" s="60">
        <v>-8.25</v>
      </c>
      <c r="AB881" s="60"/>
      <c r="AC881" s="60"/>
      <c r="AD881" s="8">
        <f t="shared" si="913"/>
        <v>-369.33</v>
      </c>
      <c r="AE881" s="2" t="s">
        <v>84</v>
      </c>
      <c r="AG881" s="70">
        <v>-11384500</v>
      </c>
      <c r="AH881" s="70">
        <v>-11384500</v>
      </c>
      <c r="AJ881" s="70"/>
      <c r="AK881" s="70"/>
      <c r="AL881" s="72"/>
      <c r="AM881" s="22"/>
      <c r="AO881" s="149" t="s">
        <v>126</v>
      </c>
      <c r="AP881" s="23" t="s">
        <v>1362</v>
      </c>
      <c r="AQ881" s="149" t="s">
        <v>1335</v>
      </c>
      <c r="AR881" s="51" t="str">
        <f t="shared" si="822"/>
        <v>JD8B-17K819-BFW</v>
      </c>
      <c r="AS881" s="3"/>
      <c r="AT881" s="94"/>
      <c r="AU881" s="94"/>
      <c r="AV881" s="94">
        <v>1</v>
      </c>
      <c r="AW881" s="94">
        <v>1</v>
      </c>
      <c r="AX881" s="94">
        <v>1</v>
      </c>
      <c r="AY881" s="94">
        <v>1</v>
      </c>
      <c r="AZ881" s="94"/>
      <c r="BA881" s="94"/>
      <c r="BB881" s="64">
        <f t="shared" si="831"/>
        <v>0.6</v>
      </c>
      <c r="BD881" s="60">
        <v>-357.02</v>
      </c>
      <c r="BE881" s="60">
        <v>-2.5099999999999998</v>
      </c>
      <c r="BF881" s="60">
        <v>-8.25</v>
      </c>
      <c r="BG881" s="60"/>
      <c r="BH881" s="60"/>
      <c r="BI881" s="8">
        <f t="shared" si="910"/>
        <v>-367.78</v>
      </c>
      <c r="BJ881" s="2" t="s">
        <v>84</v>
      </c>
      <c r="BL881" s="70">
        <v>-11224500</v>
      </c>
      <c r="BM881" s="70">
        <v>-11224500</v>
      </c>
      <c r="BO881" s="70"/>
      <c r="BP881" s="70"/>
      <c r="BQ881" s="72"/>
      <c r="BS881" s="61">
        <f t="shared" si="832"/>
        <v>-1.5500000000000114</v>
      </c>
      <c r="BT881" s="61">
        <f t="shared" si="833"/>
        <v>0</v>
      </c>
      <c r="BU881" s="61">
        <f t="shared" si="904"/>
        <v>0</v>
      </c>
      <c r="BV881" s="61">
        <f t="shared" si="904"/>
        <v>0</v>
      </c>
      <c r="BW881" s="61">
        <f t="shared" si="904"/>
        <v>0</v>
      </c>
      <c r="BX881" s="61">
        <f t="shared" si="904"/>
        <v>-1.5500000000000114</v>
      </c>
      <c r="BY881" s="61" t="s">
        <v>91</v>
      </c>
      <c r="CA881" s="61">
        <f t="shared" si="905"/>
        <v>0</v>
      </c>
      <c r="CB881" s="61">
        <f t="shared" si="905"/>
        <v>0</v>
      </c>
      <c r="CC881" s="61">
        <f t="shared" si="905"/>
        <v>-0.23318790431773903</v>
      </c>
      <c r="CD881" s="61">
        <f t="shared" si="905"/>
        <v>-0.23318790431773903</v>
      </c>
      <c r="CE881" s="61">
        <f t="shared" si="905"/>
        <v>-0.23318790431773903</v>
      </c>
      <c r="CF881" s="61">
        <f t="shared" si="905"/>
        <v>-0.23318790431773903</v>
      </c>
      <c r="CG881" s="61">
        <f t="shared" si="905"/>
        <v>0</v>
      </c>
      <c r="CH881" s="61">
        <f t="shared" si="897"/>
        <v>0</v>
      </c>
      <c r="CI881" s="61">
        <f t="shared" si="838"/>
        <v>-0.13991274259064343</v>
      </c>
      <c r="CJ881" s="61"/>
      <c r="CK881" s="61">
        <f t="shared" si="906"/>
        <v>0</v>
      </c>
      <c r="CL881" s="61">
        <f t="shared" si="906"/>
        <v>0</v>
      </c>
      <c r="CM881" s="61">
        <f t="shared" si="906"/>
        <v>-0.23318790431773903</v>
      </c>
      <c r="CN881" s="61">
        <f t="shared" si="906"/>
        <v>-0.23318790431773903</v>
      </c>
      <c r="CO881" s="61">
        <f t="shared" si="906"/>
        <v>-0.23318790431773903</v>
      </c>
      <c r="CP881" s="61">
        <f t="shared" si="906"/>
        <v>-0.23318790431773903</v>
      </c>
      <c r="CQ881" s="61">
        <f t="shared" si="906"/>
        <v>0</v>
      </c>
      <c r="CR881" s="61">
        <f t="shared" si="898"/>
        <v>0</v>
      </c>
      <c r="CS881" s="61">
        <f t="shared" si="840"/>
        <v>-0.13991274259064343</v>
      </c>
      <c r="CT881" s="61">
        <f t="shared" si="841"/>
        <v>-0.93000000000000693</v>
      </c>
      <c r="CV881" s="61">
        <f t="shared" ref="CV881:CV882" si="915">SUM(AG881)-SUM(BL881)</f>
        <v>-160000</v>
      </c>
      <c r="CW881" s="61">
        <f t="shared" ref="CW881:CW882" si="916">SUM(AH881)-SUM(BM881)</f>
        <v>-160000</v>
      </c>
      <c r="CX881" s="61"/>
      <c r="CY881" s="61">
        <f t="shared" si="777"/>
        <v>0</v>
      </c>
      <c r="CZ881" s="61">
        <f t="shared" si="777"/>
        <v>0</v>
      </c>
      <c r="DA881" s="61">
        <f t="shared" si="777"/>
        <v>0</v>
      </c>
      <c r="DB881" s="2" t="s">
        <v>134</v>
      </c>
      <c r="DC881" s="2" t="s">
        <v>85</v>
      </c>
      <c r="DD881" s="2" t="s">
        <v>142</v>
      </c>
      <c r="DE881" s="2" t="s">
        <v>106</v>
      </c>
      <c r="DF881" s="3" t="s">
        <v>86</v>
      </c>
      <c r="DG881" s="62">
        <v>43068</v>
      </c>
      <c r="EC881" s="60"/>
      <c r="ED881" s="60"/>
      <c r="EE881" s="60"/>
      <c r="EF881" s="60"/>
    </row>
    <row r="882" spans="1:140" ht="12.75" hidden="1" customHeight="1">
      <c r="B882" s="99" t="s">
        <v>1433</v>
      </c>
      <c r="C882" s="22" t="s">
        <v>1358</v>
      </c>
      <c r="D882" s="22" t="s">
        <v>1359</v>
      </c>
      <c r="E882" s="2" t="s">
        <v>968</v>
      </c>
      <c r="F882" s="2" t="s">
        <v>969</v>
      </c>
      <c r="G882" s="2" t="s">
        <v>1087</v>
      </c>
      <c r="J882" s="149" t="s">
        <v>126</v>
      </c>
      <c r="K882" s="23" t="s">
        <v>1362</v>
      </c>
      <c r="L882" s="149" t="s">
        <v>1434</v>
      </c>
      <c r="M882" s="51" t="str">
        <f t="shared" si="820"/>
        <v>JD8B-17K819-CGW</v>
      </c>
      <c r="O882" s="94"/>
      <c r="P882" s="94"/>
      <c r="Q882" s="94"/>
      <c r="R882" s="94"/>
      <c r="S882" s="94"/>
      <c r="T882" s="94"/>
      <c r="U882" s="94">
        <v>1</v>
      </c>
      <c r="V882" s="94">
        <v>1</v>
      </c>
      <c r="W882" s="64">
        <f t="shared" si="829"/>
        <v>0.1</v>
      </c>
      <c r="Y882" s="60">
        <f>Y879-1.55</f>
        <v>-438.33</v>
      </c>
      <c r="Z882" s="60">
        <v>-2.5099999999999998</v>
      </c>
      <c r="AA882" s="60">
        <v>-8.25</v>
      </c>
      <c r="AB882" s="60"/>
      <c r="AC882" s="60"/>
      <c r="AD882" s="8">
        <f t="shared" si="913"/>
        <v>-449.09</v>
      </c>
      <c r="AE882" s="2" t="s">
        <v>84</v>
      </c>
      <c r="AG882" s="70"/>
      <c r="AH882" s="70"/>
      <c r="AJ882" s="70"/>
      <c r="AK882" s="70"/>
      <c r="AL882" s="72"/>
      <c r="AM882" s="22"/>
      <c r="AO882" s="149" t="s">
        <v>126</v>
      </c>
      <c r="AP882" s="23" t="s">
        <v>1362</v>
      </c>
      <c r="AQ882" s="149" t="s">
        <v>1347</v>
      </c>
      <c r="AR882" s="51" t="str">
        <f t="shared" si="822"/>
        <v>JD8B-17K819-CFW</v>
      </c>
      <c r="AS882" s="3"/>
      <c r="AT882" s="94"/>
      <c r="AU882" s="94"/>
      <c r="AV882" s="94"/>
      <c r="AW882" s="94"/>
      <c r="AX882" s="94"/>
      <c r="AY882" s="94"/>
      <c r="AZ882" s="94">
        <v>1</v>
      </c>
      <c r="BA882" s="94">
        <v>1</v>
      </c>
      <c r="BB882" s="64">
        <f t="shared" si="831"/>
        <v>0.1</v>
      </c>
      <c r="BD882" s="60">
        <v>-436.78</v>
      </c>
      <c r="BE882" s="60">
        <v>-2.5099999999999998</v>
      </c>
      <c r="BF882" s="60">
        <v>-8.25</v>
      </c>
      <c r="BG882" s="60"/>
      <c r="BH882" s="60"/>
      <c r="BI882" s="8">
        <f t="shared" si="910"/>
        <v>-447.53999999999996</v>
      </c>
      <c r="BJ882" s="2" t="s">
        <v>84</v>
      </c>
      <c r="BL882" s="70"/>
      <c r="BM882" s="70"/>
      <c r="BO882" s="70"/>
      <c r="BP882" s="70"/>
      <c r="BQ882" s="72"/>
      <c r="BS882" s="61">
        <f t="shared" si="832"/>
        <v>-1.5500000000000114</v>
      </c>
      <c r="BT882" s="61">
        <f t="shared" si="833"/>
        <v>0</v>
      </c>
      <c r="BU882" s="61">
        <f t="shared" si="904"/>
        <v>0</v>
      </c>
      <c r="BV882" s="61">
        <f t="shared" si="904"/>
        <v>0</v>
      </c>
      <c r="BW882" s="61">
        <f t="shared" si="904"/>
        <v>0</v>
      </c>
      <c r="BX882" s="61">
        <f t="shared" si="904"/>
        <v>-1.5500000000000114</v>
      </c>
      <c r="BY882" s="61" t="s">
        <v>91</v>
      </c>
      <c r="CA882" s="61">
        <f t="shared" si="905"/>
        <v>0</v>
      </c>
      <c r="CB882" s="61">
        <f t="shared" si="905"/>
        <v>0</v>
      </c>
      <c r="CC882" s="61">
        <f t="shared" si="905"/>
        <v>0</v>
      </c>
      <c r="CD882" s="61">
        <f t="shared" si="905"/>
        <v>0</v>
      </c>
      <c r="CE882" s="61">
        <f t="shared" si="905"/>
        <v>0</v>
      </c>
      <c r="CF882" s="61">
        <f t="shared" si="905"/>
        <v>0</v>
      </c>
      <c r="CG882" s="61">
        <f t="shared" si="905"/>
        <v>-0.23318790431773903</v>
      </c>
      <c r="CH882" s="61">
        <f t="shared" si="897"/>
        <v>-0.23318790431773903</v>
      </c>
      <c r="CI882" s="61">
        <f t="shared" si="838"/>
        <v>-2.3318790431773904E-2</v>
      </c>
      <c r="CJ882" s="61"/>
      <c r="CK882" s="61">
        <f t="shared" si="906"/>
        <v>0</v>
      </c>
      <c r="CL882" s="61">
        <f t="shared" si="906"/>
        <v>0</v>
      </c>
      <c r="CM882" s="61">
        <f t="shared" si="906"/>
        <v>0</v>
      </c>
      <c r="CN882" s="61">
        <f t="shared" si="906"/>
        <v>0</v>
      </c>
      <c r="CO882" s="61">
        <f t="shared" si="906"/>
        <v>0</v>
      </c>
      <c r="CP882" s="61">
        <f t="shared" si="906"/>
        <v>0</v>
      </c>
      <c r="CQ882" s="61">
        <f t="shared" si="906"/>
        <v>-0.23318790431773903</v>
      </c>
      <c r="CR882" s="61">
        <f t="shared" si="898"/>
        <v>-0.23318790431773903</v>
      </c>
      <c r="CS882" s="61">
        <f t="shared" si="840"/>
        <v>-2.3318790431773904E-2</v>
      </c>
      <c r="CT882" s="61">
        <f t="shared" si="841"/>
        <v>-0.15500000000000114</v>
      </c>
      <c r="CV882" s="61">
        <f t="shared" si="915"/>
        <v>0</v>
      </c>
      <c r="CW882" s="61">
        <f t="shared" si="916"/>
        <v>0</v>
      </c>
      <c r="CX882" s="61"/>
      <c r="CY882" s="61">
        <f t="shared" si="777"/>
        <v>0</v>
      </c>
      <c r="CZ882" s="61">
        <f t="shared" si="777"/>
        <v>0</v>
      </c>
      <c r="DA882" s="61">
        <f t="shared" si="777"/>
        <v>0</v>
      </c>
      <c r="DB882" s="2" t="s">
        <v>134</v>
      </c>
      <c r="DC882" s="2" t="s">
        <v>85</v>
      </c>
      <c r="DD882" s="2" t="s">
        <v>142</v>
      </c>
      <c r="DE882" s="2" t="s">
        <v>106</v>
      </c>
      <c r="DF882" s="3" t="s">
        <v>86</v>
      </c>
      <c r="DG882" s="62">
        <v>43068</v>
      </c>
      <c r="EC882" s="60"/>
      <c r="ED882" s="60"/>
      <c r="EE882" s="60"/>
      <c r="EF882" s="60"/>
    </row>
    <row r="883" spans="1:140" ht="12.75" hidden="1" customHeight="1">
      <c r="B883" s="115" t="s">
        <v>1435</v>
      </c>
      <c r="C883" s="22" t="s">
        <v>1358</v>
      </c>
      <c r="D883" s="22" t="s">
        <v>1359</v>
      </c>
      <c r="E883" s="2" t="s">
        <v>968</v>
      </c>
      <c r="F883" s="2" t="s">
        <v>969</v>
      </c>
      <c r="G883" s="2" t="s">
        <v>1087</v>
      </c>
      <c r="J883" s="149" t="s">
        <v>138</v>
      </c>
      <c r="K883" s="23" t="s">
        <v>1436</v>
      </c>
      <c r="L883" s="149" t="s">
        <v>1342</v>
      </c>
      <c r="M883" s="51" t="str">
        <f t="shared" si="820"/>
        <v>JD8B-17K819-AHW</v>
      </c>
      <c r="O883" s="94">
        <v>1</v>
      </c>
      <c r="P883" s="94">
        <v>1</v>
      </c>
      <c r="Q883" s="94"/>
      <c r="R883" s="94"/>
      <c r="S883" s="94"/>
      <c r="T883" s="94"/>
      <c r="U883" s="94"/>
      <c r="V883" s="94"/>
      <c r="W883" s="64">
        <f t="shared" si="829"/>
        <v>0.30000000000000004</v>
      </c>
      <c r="Y883" s="168">
        <v>-354.07</v>
      </c>
      <c r="Z883" s="60">
        <v>-2.5099999999999998</v>
      </c>
      <c r="AA883" s="60">
        <v>-8.25</v>
      </c>
      <c r="AB883" s="60"/>
      <c r="AC883" s="60"/>
      <c r="AD883" s="8">
        <f t="shared" si="913"/>
        <v>-364.83</v>
      </c>
      <c r="AE883" s="2" t="s">
        <v>91</v>
      </c>
      <c r="AG883" s="70"/>
      <c r="AH883" s="70"/>
      <c r="AJ883" s="70"/>
      <c r="AK883" s="70"/>
      <c r="AL883" s="72"/>
      <c r="AM883" s="22"/>
      <c r="AO883" s="149" t="s">
        <v>138</v>
      </c>
      <c r="AP883" s="23" t="s">
        <v>1436</v>
      </c>
      <c r="AQ883" s="149" t="s">
        <v>1437</v>
      </c>
      <c r="AR883" s="51" t="str">
        <f t="shared" si="822"/>
        <v>JD8B-17K819-AFW</v>
      </c>
      <c r="AS883" s="3"/>
      <c r="AT883" s="94">
        <v>1</v>
      </c>
      <c r="AU883" s="94">
        <v>1</v>
      </c>
      <c r="AV883" s="94"/>
      <c r="AW883" s="94"/>
      <c r="AX883" s="94"/>
      <c r="AY883" s="94"/>
      <c r="AZ883" s="94"/>
      <c r="BA883" s="94"/>
      <c r="BB883" s="64">
        <f t="shared" si="831"/>
        <v>0.30000000000000004</v>
      </c>
      <c r="BD883" s="168">
        <v>-352.52</v>
      </c>
      <c r="BE883" s="60">
        <v>-2.5099999999999998</v>
      </c>
      <c r="BF883" s="60">
        <v>-8.25</v>
      </c>
      <c r="BG883" s="60"/>
      <c r="BH883" s="60"/>
      <c r="BI883" s="8">
        <f t="shared" ref="BI883:BI898" si="917">SUM(BD883:BH883)</f>
        <v>-363.28</v>
      </c>
      <c r="BJ883" s="2" t="s">
        <v>91</v>
      </c>
      <c r="BL883" s="70"/>
      <c r="BM883" s="70"/>
      <c r="BO883" s="70"/>
      <c r="BP883" s="70"/>
      <c r="BQ883" s="72"/>
      <c r="BS883" s="61">
        <f t="shared" si="832"/>
        <v>-1.5500000000000114</v>
      </c>
      <c r="BT883" s="61">
        <f t="shared" si="833"/>
        <v>0</v>
      </c>
      <c r="BU883" s="61">
        <f t="shared" si="904"/>
        <v>0</v>
      </c>
      <c r="BV883" s="61">
        <f t="shared" si="904"/>
        <v>0</v>
      </c>
      <c r="BW883" s="61">
        <f t="shared" si="904"/>
        <v>0</v>
      </c>
      <c r="BX883" s="61">
        <f t="shared" si="904"/>
        <v>-1.5500000000000114</v>
      </c>
      <c r="BY883" s="61">
        <f>SUM(AE883)-SUM(BJ883)</f>
        <v>0</v>
      </c>
      <c r="BZ883" s="61" t="e">
        <f>SUM(#REF!)-SUM(BK883)</f>
        <v>#REF!</v>
      </c>
      <c r="CA883" s="61">
        <f t="shared" ref="CA883:CA884" si="918">SUM(AF883)-SUM(BL883)</f>
        <v>0</v>
      </c>
      <c r="CB883" s="61">
        <f t="shared" ref="CB883:CB884" si="919">SUM(AG883)-SUM(BM883)</f>
        <v>0</v>
      </c>
      <c r="CC883" s="61">
        <f t="shared" ref="CC883:CJ884" si="920">SUM(AH883)-SUM(BN883)</f>
        <v>0</v>
      </c>
      <c r="CD883" s="61">
        <f t="shared" si="920"/>
        <v>0</v>
      </c>
      <c r="CE883" s="61">
        <f t="shared" si="920"/>
        <v>0</v>
      </c>
      <c r="CF883" s="61">
        <f t="shared" si="920"/>
        <v>0</v>
      </c>
      <c r="CG883" s="61">
        <f t="shared" si="920"/>
        <v>0</v>
      </c>
      <c r="CH883" s="61">
        <f t="shared" si="920"/>
        <v>1.5500000000000114</v>
      </c>
      <c r="CI883" s="61">
        <f t="shared" si="920"/>
        <v>0</v>
      </c>
      <c r="CJ883" s="61">
        <f t="shared" si="920"/>
        <v>0</v>
      </c>
      <c r="CK883" s="61">
        <f t="shared" si="906"/>
        <v>-0.23318790431773903</v>
      </c>
      <c r="CL883" s="61">
        <f t="shared" si="906"/>
        <v>-0.23318790431773903</v>
      </c>
      <c r="CM883" s="61">
        <f t="shared" si="906"/>
        <v>0</v>
      </c>
      <c r="CN883" s="61">
        <f t="shared" si="906"/>
        <v>0</v>
      </c>
      <c r="CO883" s="61">
        <f t="shared" si="906"/>
        <v>0</v>
      </c>
      <c r="CP883" s="61">
        <f t="shared" si="906"/>
        <v>0</v>
      </c>
      <c r="CQ883" s="61">
        <f t="shared" si="906"/>
        <v>0</v>
      </c>
      <c r="CR883" s="61">
        <f t="shared" si="898"/>
        <v>0</v>
      </c>
      <c r="CS883" s="61">
        <f t="shared" ref="CS883:DA884" si="921">SUM(AX883)-SUM(CD883)</f>
        <v>0</v>
      </c>
      <c r="CT883" s="61">
        <f t="shared" si="921"/>
        <v>0</v>
      </c>
      <c r="CU883" s="61">
        <f t="shared" si="921"/>
        <v>0</v>
      </c>
      <c r="CV883" s="61">
        <f t="shared" si="921"/>
        <v>0</v>
      </c>
      <c r="CW883" s="61">
        <f t="shared" si="921"/>
        <v>-1.2500000000000113</v>
      </c>
      <c r="CX883" s="61">
        <f t="shared" si="921"/>
        <v>0</v>
      </c>
      <c r="CY883" s="61">
        <f t="shared" si="921"/>
        <v>-352.52</v>
      </c>
      <c r="CZ883" s="61">
        <f t="shared" si="921"/>
        <v>-2.2768120956822608</v>
      </c>
      <c r="DA883" s="61">
        <f t="shared" si="921"/>
        <v>-8.0168120956822602</v>
      </c>
      <c r="DB883" s="2" t="s">
        <v>85</v>
      </c>
      <c r="DC883" s="2" t="s">
        <v>134</v>
      </c>
      <c r="DD883" s="2" t="s">
        <v>142</v>
      </c>
      <c r="DE883" s="2" t="s">
        <v>143</v>
      </c>
      <c r="DG883" s="62"/>
      <c r="DZ883" s="3" t="e">
        <v>#N/A</v>
      </c>
      <c r="EC883" s="60"/>
      <c r="ED883" s="60"/>
      <c r="EE883" s="60"/>
      <c r="EF883" s="60"/>
    </row>
    <row r="884" spans="1:140" ht="12.75" hidden="1" customHeight="1">
      <c r="A884" s="115"/>
      <c r="B884" s="115" t="s">
        <v>1438</v>
      </c>
      <c r="C884" s="115" t="s">
        <v>1358</v>
      </c>
      <c r="D884" s="115" t="s">
        <v>1359</v>
      </c>
      <c r="E884" s="115" t="s">
        <v>968</v>
      </c>
      <c r="F884" s="115" t="s">
        <v>969</v>
      </c>
      <c r="G884" s="115" t="s">
        <v>1087</v>
      </c>
      <c r="I884" s="115"/>
      <c r="J884" s="151" t="s">
        <v>138</v>
      </c>
      <c r="K884" s="122" t="s">
        <v>1436</v>
      </c>
      <c r="L884" s="151" t="s">
        <v>197</v>
      </c>
      <c r="M884" s="51" t="str">
        <f t="shared" si="820"/>
        <v>JD8B-17K819-AJW</v>
      </c>
      <c r="N884" s="123"/>
      <c r="O884" s="124">
        <v>1</v>
      </c>
      <c r="P884" s="124">
        <v>1</v>
      </c>
      <c r="Q884" s="124"/>
      <c r="R884" s="124"/>
      <c r="S884" s="124"/>
      <c r="T884" s="124"/>
      <c r="U884" s="124"/>
      <c r="V884" s="124"/>
      <c r="W884" s="125">
        <f t="shared" si="829"/>
        <v>0.30000000000000004</v>
      </c>
      <c r="X884" s="115"/>
      <c r="Y884" s="169">
        <v>-354.07</v>
      </c>
      <c r="Z884" s="60">
        <v>-2.5099999999999998</v>
      </c>
      <c r="AA884" s="60">
        <v>-8.25</v>
      </c>
      <c r="AB884" s="60"/>
      <c r="AC884" s="60"/>
      <c r="AD884" s="126">
        <f t="shared" si="913"/>
        <v>-364.83</v>
      </c>
      <c r="AE884" s="115" t="s">
        <v>91</v>
      </c>
      <c r="AF884" s="115"/>
      <c r="AG884" s="70"/>
      <c r="AH884" s="70"/>
      <c r="AI884" s="115"/>
      <c r="AJ884" s="70"/>
      <c r="AK884" s="70"/>
      <c r="AL884" s="72"/>
      <c r="AM884" s="115"/>
      <c r="AN884" s="115"/>
      <c r="AO884" s="151" t="s">
        <v>138</v>
      </c>
      <c r="AP884" s="122" t="s">
        <v>1436</v>
      </c>
      <c r="AQ884" s="151" t="s">
        <v>1342</v>
      </c>
      <c r="AR884" s="51" t="str">
        <f t="shared" si="822"/>
        <v>JD8B-17K819-AHW</v>
      </c>
      <c r="AS884" s="123"/>
      <c r="AT884" s="124">
        <v>1</v>
      </c>
      <c r="AU884" s="124">
        <v>1</v>
      </c>
      <c r="AV884" s="124"/>
      <c r="AW884" s="124"/>
      <c r="AX884" s="124"/>
      <c r="AY884" s="124"/>
      <c r="AZ884" s="124"/>
      <c r="BA884" s="124"/>
      <c r="BB884" s="125">
        <f t="shared" si="831"/>
        <v>0.30000000000000004</v>
      </c>
      <c r="BC884" s="115"/>
      <c r="BD884" s="168">
        <v>-354.07</v>
      </c>
      <c r="BE884" s="60">
        <v>-2.5099999999999998</v>
      </c>
      <c r="BF884" s="60">
        <v>-8.25</v>
      </c>
      <c r="BG884" s="60"/>
      <c r="BH884" s="60"/>
      <c r="BI884" s="126">
        <f t="shared" si="917"/>
        <v>-364.83</v>
      </c>
      <c r="BJ884" s="115" t="s">
        <v>91</v>
      </c>
      <c r="BK884" s="126"/>
      <c r="BL884" s="115"/>
      <c r="BM884" s="70"/>
      <c r="BN884" s="70"/>
      <c r="BO884" s="115"/>
      <c r="BP884" s="70"/>
      <c r="BQ884" s="70"/>
      <c r="BR884" s="72"/>
      <c r="BS884" s="170">
        <f t="shared" si="832"/>
        <v>0</v>
      </c>
      <c r="BT884" s="170">
        <f t="shared" si="833"/>
        <v>0</v>
      </c>
      <c r="BU884" s="170">
        <f t="shared" si="904"/>
        <v>0</v>
      </c>
      <c r="BV884" s="170">
        <f t="shared" si="904"/>
        <v>0</v>
      </c>
      <c r="BW884" s="170">
        <f t="shared" si="904"/>
        <v>0</v>
      </c>
      <c r="BX884" s="170">
        <f t="shared" si="904"/>
        <v>0</v>
      </c>
      <c r="BY884" s="170">
        <f>SUM(AE884)-SUM(BJ884)</f>
        <v>0</v>
      </c>
      <c r="BZ884" s="170" t="e">
        <f>SUM(#REF!)-SUM(BK884)</f>
        <v>#REF!</v>
      </c>
      <c r="CA884" s="170">
        <f t="shared" si="918"/>
        <v>0</v>
      </c>
      <c r="CB884" s="170">
        <f t="shared" si="919"/>
        <v>0</v>
      </c>
      <c r="CC884" s="170">
        <f t="shared" si="920"/>
        <v>0</v>
      </c>
      <c r="CD884" s="170">
        <f t="shared" si="920"/>
        <v>0</v>
      </c>
      <c r="CE884" s="170">
        <f t="shared" si="920"/>
        <v>0</v>
      </c>
      <c r="CF884" s="170">
        <f t="shared" si="920"/>
        <v>0</v>
      </c>
      <c r="CG884" s="170">
        <f t="shared" si="920"/>
        <v>0</v>
      </c>
      <c r="CH884" s="170">
        <f t="shared" si="920"/>
        <v>0</v>
      </c>
      <c r="CI884" s="170">
        <f t="shared" si="920"/>
        <v>0</v>
      </c>
      <c r="CJ884" s="170">
        <f t="shared" si="920"/>
        <v>0</v>
      </c>
      <c r="CK884" s="61">
        <f t="shared" si="906"/>
        <v>0</v>
      </c>
      <c r="CL884" s="61">
        <f t="shared" si="906"/>
        <v>0</v>
      </c>
      <c r="CM884" s="61">
        <f t="shared" si="906"/>
        <v>0</v>
      </c>
      <c r="CN884" s="61">
        <f t="shared" si="906"/>
        <v>0</v>
      </c>
      <c r="CO884" s="61">
        <f t="shared" si="906"/>
        <v>0</v>
      </c>
      <c r="CP884" s="61">
        <f t="shared" si="906"/>
        <v>0</v>
      </c>
      <c r="CQ884" s="61">
        <f t="shared" si="906"/>
        <v>0</v>
      </c>
      <c r="CR884" s="61">
        <f t="shared" si="898"/>
        <v>0</v>
      </c>
      <c r="CS884" s="170">
        <f t="shared" si="921"/>
        <v>0</v>
      </c>
      <c r="CT884" s="170">
        <f t="shared" si="921"/>
        <v>0</v>
      </c>
      <c r="CU884" s="170">
        <f t="shared" si="921"/>
        <v>0</v>
      </c>
      <c r="CV884" s="170">
        <f t="shared" si="921"/>
        <v>0</v>
      </c>
      <c r="CW884" s="170">
        <f t="shared" si="921"/>
        <v>0.30000000000000004</v>
      </c>
      <c r="CX884" s="170">
        <f t="shared" si="921"/>
        <v>0</v>
      </c>
      <c r="CY884" s="170">
        <f t="shared" si="921"/>
        <v>-354.07</v>
      </c>
      <c r="CZ884" s="170">
        <f t="shared" si="921"/>
        <v>-2.5099999999999998</v>
      </c>
      <c r="DA884" s="170">
        <f t="shared" si="921"/>
        <v>-8.25</v>
      </c>
      <c r="DB884" s="115" t="s">
        <v>102</v>
      </c>
      <c r="DC884" s="115" t="s">
        <v>134</v>
      </c>
      <c r="DD884" s="115" t="s">
        <v>142</v>
      </c>
      <c r="DE884" s="115" t="s">
        <v>1439</v>
      </c>
      <c r="DF884" s="123"/>
      <c r="DG884" s="128"/>
      <c r="DH884" s="115"/>
      <c r="DZ884" s="3" t="e">
        <v>#N/A</v>
      </c>
      <c r="EC884" s="60" t="str">
        <f>VLOOKUP($M884,[1]Detail!$M:$BO,1,0)</f>
        <v>JD8B-17K819-AJW</v>
      </c>
      <c r="ED884" s="60">
        <f>VLOOKUP($M884,[1]Detail!$M:$BO,22,0)</f>
        <v>-364.83</v>
      </c>
      <c r="EE884" s="60">
        <f>VLOOKUP($M884,[1]Detail!$M:$BO,42,0)</f>
        <v>0</v>
      </c>
      <c r="EF884" s="60">
        <f>VLOOKUP($M884,[1]Detail!$M:$BO,45,0)</f>
        <v>0</v>
      </c>
      <c r="EH884" s="60">
        <f>ED884-AD884</f>
        <v>0</v>
      </c>
      <c r="EI884" s="60">
        <f>EE884-AG884</f>
        <v>0</v>
      </c>
      <c r="EJ884" s="60">
        <f>EF884-AJ884</f>
        <v>0</v>
      </c>
    </row>
    <row r="885" spans="1:140" ht="12.75" hidden="1" customHeight="1">
      <c r="B885" s="99" t="s">
        <v>1435</v>
      </c>
      <c r="C885" s="22" t="s">
        <v>1358</v>
      </c>
      <c r="D885" s="22" t="s">
        <v>1359</v>
      </c>
      <c r="E885" s="2" t="s">
        <v>968</v>
      </c>
      <c r="F885" s="2" t="s">
        <v>969</v>
      </c>
      <c r="G885" s="2" t="s">
        <v>1087</v>
      </c>
      <c r="J885" s="149" t="s">
        <v>138</v>
      </c>
      <c r="K885" s="23" t="s">
        <v>1436</v>
      </c>
      <c r="L885" s="149" t="s">
        <v>797</v>
      </c>
      <c r="M885" s="51" t="str">
        <f t="shared" si="820"/>
        <v>JD8B-17K819-BHW</v>
      </c>
      <c r="O885" s="94"/>
      <c r="P885" s="94"/>
      <c r="Q885" s="94">
        <v>1</v>
      </c>
      <c r="R885" s="94">
        <v>1</v>
      </c>
      <c r="S885" s="94">
        <v>1</v>
      </c>
      <c r="T885" s="94">
        <v>1</v>
      </c>
      <c r="U885" s="94"/>
      <c r="V885" s="94"/>
      <c r="W885" s="64">
        <f t="shared" si="829"/>
        <v>0.6</v>
      </c>
      <c r="Y885" s="60">
        <v>-358.57</v>
      </c>
      <c r="Z885" s="60">
        <v>-2.5099999999999998</v>
      </c>
      <c r="AA885" s="60">
        <v>-8.25</v>
      </c>
      <c r="AB885" s="60"/>
      <c r="AC885" s="60"/>
      <c r="AD885" s="8">
        <f t="shared" si="913"/>
        <v>-369.33</v>
      </c>
      <c r="AE885" s="2" t="s">
        <v>91</v>
      </c>
      <c r="AG885" s="70">
        <v>-11384500</v>
      </c>
      <c r="AH885" s="70">
        <v>-11384500</v>
      </c>
      <c r="AJ885" s="70"/>
      <c r="AK885" s="70"/>
      <c r="AL885" s="72"/>
      <c r="AM885" s="22"/>
      <c r="AO885" s="149" t="s">
        <v>138</v>
      </c>
      <c r="AP885" s="23" t="s">
        <v>1436</v>
      </c>
      <c r="AQ885" s="149" t="s">
        <v>1440</v>
      </c>
      <c r="AR885" s="51" t="str">
        <f t="shared" si="822"/>
        <v>JD8B-17K819-BFW</v>
      </c>
      <c r="AS885" s="3"/>
      <c r="AT885" s="94"/>
      <c r="AU885" s="94"/>
      <c r="AV885" s="94">
        <v>1</v>
      </c>
      <c r="AW885" s="94">
        <v>1</v>
      </c>
      <c r="AX885" s="94">
        <v>1</v>
      </c>
      <c r="AY885" s="94">
        <v>1</v>
      </c>
      <c r="AZ885" s="94"/>
      <c r="BA885" s="94"/>
      <c r="BB885" s="64">
        <f t="shared" si="831"/>
        <v>0.6</v>
      </c>
      <c r="BD885" s="60">
        <v>-357.02</v>
      </c>
      <c r="BE885" s="60">
        <v>-2.5099999999999998</v>
      </c>
      <c r="BF885" s="60">
        <v>-8.25</v>
      </c>
      <c r="BG885" s="60"/>
      <c r="BH885" s="60"/>
      <c r="BI885" s="8">
        <f t="shared" si="917"/>
        <v>-367.78</v>
      </c>
      <c r="BJ885" s="2" t="s">
        <v>91</v>
      </c>
      <c r="BL885" s="70">
        <v>-11224500</v>
      </c>
      <c r="BM885" s="70">
        <v>-11224500</v>
      </c>
      <c r="BO885" s="70"/>
      <c r="BP885" s="70"/>
      <c r="BQ885" s="72"/>
      <c r="BS885" s="61">
        <f t="shared" si="832"/>
        <v>-1.5500000000000114</v>
      </c>
      <c r="BT885" s="61">
        <f t="shared" si="833"/>
        <v>0</v>
      </c>
      <c r="BU885" s="61">
        <f t="shared" si="904"/>
        <v>0</v>
      </c>
      <c r="BV885" s="61">
        <f t="shared" si="904"/>
        <v>0</v>
      </c>
      <c r="BW885" s="61">
        <f t="shared" si="904"/>
        <v>0</v>
      </c>
      <c r="BX885" s="61">
        <f t="shared" si="904"/>
        <v>-1.5500000000000114</v>
      </c>
      <c r="BY885" s="61" t="s">
        <v>91</v>
      </c>
      <c r="CA885" s="61">
        <f t="shared" ref="CA885:CH916" si="922">($Y885*O885-AT885*$BD885)/$C$2</f>
        <v>0</v>
      </c>
      <c r="CB885" s="61">
        <f t="shared" si="922"/>
        <v>0</v>
      </c>
      <c r="CC885" s="61">
        <f t="shared" si="922"/>
        <v>-0.23318790431773903</v>
      </c>
      <c r="CD885" s="61">
        <f t="shared" si="922"/>
        <v>-0.23318790431773903</v>
      </c>
      <c r="CE885" s="61">
        <f t="shared" si="922"/>
        <v>-0.23318790431773903</v>
      </c>
      <c r="CF885" s="61">
        <f t="shared" si="922"/>
        <v>-0.23318790431773903</v>
      </c>
      <c r="CG885" s="61">
        <f t="shared" si="922"/>
        <v>0</v>
      </c>
      <c r="CH885" s="61">
        <f t="shared" si="922"/>
        <v>0</v>
      </c>
      <c r="CI885" s="61">
        <f t="shared" ref="CI885:CI948" si="923">SUMPRODUCT(CA885:CH885,$O$6:$V$6)</f>
        <v>-0.13991274259064343</v>
      </c>
      <c r="CJ885" s="61"/>
      <c r="CK885" s="61">
        <f t="shared" si="906"/>
        <v>0</v>
      </c>
      <c r="CL885" s="61">
        <f t="shared" si="906"/>
        <v>0</v>
      </c>
      <c r="CM885" s="61">
        <f t="shared" si="906"/>
        <v>-0.23318790431773903</v>
      </c>
      <c r="CN885" s="61">
        <f t="shared" si="906"/>
        <v>-0.23318790431773903</v>
      </c>
      <c r="CO885" s="61">
        <f t="shared" si="906"/>
        <v>-0.23318790431773903</v>
      </c>
      <c r="CP885" s="61">
        <f t="shared" si="906"/>
        <v>-0.23318790431773903</v>
      </c>
      <c r="CQ885" s="61">
        <f t="shared" si="906"/>
        <v>0</v>
      </c>
      <c r="CR885" s="61">
        <f t="shared" si="898"/>
        <v>0</v>
      </c>
      <c r="CS885" s="61">
        <f t="shared" ref="CS885:CS948" si="924">SUMPRODUCT(CK885:CR885,$O$6:$V$6)</f>
        <v>-0.13991274259064343</v>
      </c>
      <c r="CT885" s="61">
        <f t="shared" ref="CT885:CT948" si="925">CS885*$C$2</f>
        <v>-0.93000000000000693</v>
      </c>
      <c r="CV885" s="61">
        <f t="shared" ref="CV885:CW885" si="926">SUM(AG885)-SUM(BL885)</f>
        <v>-160000</v>
      </c>
      <c r="CW885" s="61">
        <f t="shared" si="926"/>
        <v>-160000</v>
      </c>
      <c r="CX885" s="61"/>
      <c r="CY885" s="61">
        <f t="shared" ref="CY885:DA885" si="927">SUM(AJ885)-SUM(BO885)</f>
        <v>0</v>
      </c>
      <c r="CZ885" s="61">
        <f t="shared" si="927"/>
        <v>0</v>
      </c>
      <c r="DA885" s="61">
        <f t="shared" si="927"/>
        <v>0</v>
      </c>
      <c r="DB885" s="2" t="s">
        <v>85</v>
      </c>
      <c r="DC885" s="2" t="s">
        <v>134</v>
      </c>
      <c r="DD885" s="2" t="s">
        <v>142</v>
      </c>
      <c r="DE885" s="2" t="s">
        <v>143</v>
      </c>
      <c r="DG885" s="62"/>
      <c r="DZ885" s="3" t="e">
        <v>#N/A</v>
      </c>
      <c r="EC885" s="60"/>
      <c r="ED885" s="60"/>
      <c r="EE885" s="60"/>
      <c r="EF885" s="60"/>
    </row>
    <row r="886" spans="1:140" ht="12.75" hidden="1" customHeight="1">
      <c r="B886" s="99" t="s">
        <v>1441</v>
      </c>
      <c r="C886" s="22" t="s">
        <v>1358</v>
      </c>
      <c r="D886" s="22" t="s">
        <v>1359</v>
      </c>
      <c r="E886" s="2" t="s">
        <v>968</v>
      </c>
      <c r="F886" s="2" t="s">
        <v>969</v>
      </c>
      <c r="G886" s="2" t="s">
        <v>1087</v>
      </c>
      <c r="J886" s="149" t="s">
        <v>138</v>
      </c>
      <c r="K886" s="23" t="s">
        <v>1436</v>
      </c>
      <c r="L886" s="149" t="s">
        <v>1442</v>
      </c>
      <c r="M886" s="51" t="str">
        <f t="shared" si="820"/>
        <v>JD8B-17K819-BJW</v>
      </c>
      <c r="O886" s="94"/>
      <c r="P886" s="94"/>
      <c r="Q886" s="94">
        <v>1</v>
      </c>
      <c r="R886" s="94">
        <v>1</v>
      </c>
      <c r="S886" s="94">
        <v>1</v>
      </c>
      <c r="T886" s="94">
        <v>1</v>
      </c>
      <c r="U886" s="94"/>
      <c r="V886" s="94"/>
      <c r="W886" s="64">
        <f t="shared" si="829"/>
        <v>0.6</v>
      </c>
      <c r="Y886" s="60">
        <v>-358.57</v>
      </c>
      <c r="Z886" s="60">
        <v>-2.5099999999999998</v>
      </c>
      <c r="AA886" s="60">
        <v>-8.25</v>
      </c>
      <c r="AB886" s="60"/>
      <c r="AC886" s="60"/>
      <c r="AD886" s="8">
        <f t="shared" si="913"/>
        <v>-369.33</v>
      </c>
      <c r="AE886" s="2" t="s">
        <v>91</v>
      </c>
      <c r="AG886" s="70">
        <v>-11384500</v>
      </c>
      <c r="AH886" s="70">
        <v>-11384500</v>
      </c>
      <c r="AJ886" s="70"/>
      <c r="AK886" s="70"/>
      <c r="AL886" s="72"/>
      <c r="AM886" s="22"/>
      <c r="AO886" s="149" t="s">
        <v>138</v>
      </c>
      <c r="AP886" s="23" t="s">
        <v>1436</v>
      </c>
      <c r="AQ886" s="149" t="s">
        <v>797</v>
      </c>
      <c r="AR886" s="51" t="str">
        <f t="shared" si="822"/>
        <v>JD8B-17K819-BHW</v>
      </c>
      <c r="AS886" s="3"/>
      <c r="AT886" s="94"/>
      <c r="AU886" s="94"/>
      <c r="AV886" s="94">
        <v>1</v>
      </c>
      <c r="AW886" s="94">
        <v>1</v>
      </c>
      <c r="AX886" s="94">
        <v>1</v>
      </c>
      <c r="AY886" s="94">
        <v>1</v>
      </c>
      <c r="AZ886" s="94"/>
      <c r="BA886" s="94"/>
      <c r="BB886" s="64">
        <f t="shared" si="831"/>
        <v>0.6</v>
      </c>
      <c r="BD886" s="60">
        <v>-358.57</v>
      </c>
      <c r="BE886" s="60">
        <v>-2.5099999999999998</v>
      </c>
      <c r="BF886" s="60">
        <v>-8.25</v>
      </c>
      <c r="BG886" s="60"/>
      <c r="BH886" s="60"/>
      <c r="BI886" s="8">
        <f t="shared" si="917"/>
        <v>-369.33</v>
      </c>
      <c r="BJ886" s="2" t="s">
        <v>91</v>
      </c>
      <c r="BL886" s="70">
        <v>-11384500</v>
      </c>
      <c r="BM886" s="70">
        <v>-11384500</v>
      </c>
      <c r="BO886" s="70"/>
      <c r="BP886" s="70"/>
      <c r="BQ886" s="72"/>
      <c r="BS886" s="61">
        <f t="shared" si="832"/>
        <v>0</v>
      </c>
      <c r="BT886" s="61">
        <f t="shared" si="833"/>
        <v>0</v>
      </c>
      <c r="BU886" s="61">
        <f t="shared" si="904"/>
        <v>0</v>
      </c>
      <c r="BV886" s="61">
        <f t="shared" si="904"/>
        <v>0</v>
      </c>
      <c r="BW886" s="61">
        <f t="shared" si="904"/>
        <v>0</v>
      </c>
      <c r="BX886" s="61">
        <f t="shared" si="904"/>
        <v>0</v>
      </c>
      <c r="BY886" s="61" t="s">
        <v>91</v>
      </c>
      <c r="CA886" s="61">
        <f t="shared" si="922"/>
        <v>0</v>
      </c>
      <c r="CB886" s="61">
        <f t="shared" si="922"/>
        <v>0</v>
      </c>
      <c r="CC886" s="61">
        <f t="shared" si="922"/>
        <v>0</v>
      </c>
      <c r="CD886" s="61">
        <f t="shared" si="922"/>
        <v>0</v>
      </c>
      <c r="CE886" s="61">
        <f t="shared" si="922"/>
        <v>0</v>
      </c>
      <c r="CF886" s="61">
        <f t="shared" si="922"/>
        <v>0</v>
      </c>
      <c r="CG886" s="61">
        <f t="shared" si="922"/>
        <v>0</v>
      </c>
      <c r="CH886" s="61">
        <f t="shared" si="922"/>
        <v>0</v>
      </c>
      <c r="CI886" s="61">
        <f t="shared" si="923"/>
        <v>0</v>
      </c>
      <c r="CJ886" s="61"/>
      <c r="CK886" s="61">
        <f t="shared" si="906"/>
        <v>0</v>
      </c>
      <c r="CL886" s="61">
        <f t="shared" si="906"/>
        <v>0</v>
      </c>
      <c r="CM886" s="61">
        <f t="shared" si="906"/>
        <v>0</v>
      </c>
      <c r="CN886" s="61">
        <f t="shared" si="906"/>
        <v>0</v>
      </c>
      <c r="CO886" s="61">
        <f t="shared" si="906"/>
        <v>0</v>
      </c>
      <c r="CP886" s="61">
        <f t="shared" si="906"/>
        <v>0</v>
      </c>
      <c r="CQ886" s="61">
        <f t="shared" si="906"/>
        <v>0</v>
      </c>
      <c r="CR886" s="61">
        <f t="shared" si="898"/>
        <v>0</v>
      </c>
      <c r="CS886" s="61">
        <f t="shared" si="924"/>
        <v>0</v>
      </c>
      <c r="CT886" s="61">
        <f t="shared" si="925"/>
        <v>0</v>
      </c>
      <c r="CV886" s="61">
        <f t="shared" ref="CV886:CW889" si="928">SUM(AG886)-SUM(BL886)</f>
        <v>0</v>
      </c>
      <c r="CW886" s="61">
        <f t="shared" si="928"/>
        <v>0</v>
      </c>
      <c r="CX886" s="61"/>
      <c r="CY886" s="61">
        <f t="shared" ref="CY886:DA896" si="929">SUM(AJ886)-SUM(BO886)</f>
        <v>0</v>
      </c>
      <c r="CZ886" s="61">
        <f t="shared" si="929"/>
        <v>0</v>
      </c>
      <c r="DA886" s="61">
        <f t="shared" si="929"/>
        <v>0</v>
      </c>
      <c r="DB886" s="2" t="s">
        <v>85</v>
      </c>
      <c r="DC886" s="2" t="s">
        <v>134</v>
      </c>
      <c r="DD886" s="2" t="s">
        <v>142</v>
      </c>
      <c r="DE886" s="2" t="s">
        <v>143</v>
      </c>
      <c r="DF886" s="3" t="s">
        <v>86</v>
      </c>
      <c r="DG886" s="62">
        <v>43138</v>
      </c>
      <c r="EC886" s="60"/>
      <c r="ED886" s="60"/>
      <c r="EE886" s="60"/>
      <c r="EF886" s="60"/>
    </row>
    <row r="887" spans="1:140" s="115" customFormat="1" ht="12.75" hidden="1" customHeight="1">
      <c r="B887" s="99" t="s">
        <v>1438</v>
      </c>
      <c r="C887" s="115" t="s">
        <v>1358</v>
      </c>
      <c r="D887" s="115" t="s">
        <v>1359</v>
      </c>
      <c r="E887" s="115" t="s">
        <v>968</v>
      </c>
      <c r="F887" s="115" t="s">
        <v>969</v>
      </c>
      <c r="G887" s="115" t="s">
        <v>1087</v>
      </c>
      <c r="H887" s="2"/>
      <c r="J887" s="151" t="s">
        <v>138</v>
      </c>
      <c r="K887" s="122" t="s">
        <v>1436</v>
      </c>
      <c r="L887" s="151" t="s">
        <v>1443</v>
      </c>
      <c r="M887" s="51" t="str">
        <f t="shared" si="820"/>
        <v>JD8B-17K819-BKW</v>
      </c>
      <c r="N887" s="123"/>
      <c r="O887" s="124"/>
      <c r="P887" s="124"/>
      <c r="Q887" s="124">
        <v>1</v>
      </c>
      <c r="R887" s="124">
        <v>1</v>
      </c>
      <c r="S887" s="124">
        <v>1</v>
      </c>
      <c r="T887" s="124">
        <v>1</v>
      </c>
      <c r="U887" s="124"/>
      <c r="V887" s="124"/>
      <c r="W887" s="125">
        <f t="shared" si="829"/>
        <v>0.6</v>
      </c>
      <c r="Y887" s="60">
        <v>-358.57</v>
      </c>
      <c r="Z887" s="60">
        <v>-2.5099999999999998</v>
      </c>
      <c r="AA887" s="60">
        <v>-8.25</v>
      </c>
      <c r="AB887" s="60"/>
      <c r="AC887" s="60"/>
      <c r="AD887" s="126">
        <f t="shared" si="913"/>
        <v>-369.33</v>
      </c>
      <c r="AE887" s="115" t="s">
        <v>91</v>
      </c>
      <c r="AG887" s="70">
        <v>-11384500</v>
      </c>
      <c r="AH887" s="70">
        <v>-11384500</v>
      </c>
      <c r="AJ887" s="70"/>
      <c r="AK887" s="70"/>
      <c r="AL887" s="72"/>
      <c r="AO887" s="151" t="s">
        <v>138</v>
      </c>
      <c r="AP887" s="122" t="s">
        <v>1436</v>
      </c>
      <c r="AQ887" s="151" t="s">
        <v>1442</v>
      </c>
      <c r="AR887" s="51" t="str">
        <f t="shared" si="822"/>
        <v>JD8B-17K819-BJW</v>
      </c>
      <c r="AS887" s="123"/>
      <c r="AT887" s="124"/>
      <c r="AU887" s="124"/>
      <c r="AV887" s="124">
        <v>1</v>
      </c>
      <c r="AW887" s="124">
        <v>1</v>
      </c>
      <c r="AX887" s="124">
        <v>1</v>
      </c>
      <c r="AY887" s="124">
        <v>1</v>
      </c>
      <c r="AZ887" s="124"/>
      <c r="BA887" s="124"/>
      <c r="BB887" s="125">
        <f t="shared" si="831"/>
        <v>0.6</v>
      </c>
      <c r="BD887" s="60">
        <v>-358.57</v>
      </c>
      <c r="BE887" s="60">
        <v>-2.5099999999999998</v>
      </c>
      <c r="BF887" s="60">
        <v>-8.25</v>
      </c>
      <c r="BG887" s="60"/>
      <c r="BH887" s="60"/>
      <c r="BI887" s="126">
        <f t="shared" si="917"/>
        <v>-369.33</v>
      </c>
      <c r="BJ887" s="115" t="s">
        <v>91</v>
      </c>
      <c r="BK887" s="126"/>
      <c r="BM887" s="70">
        <v>-11384500</v>
      </c>
      <c r="BN887" s="70">
        <v>-11384500</v>
      </c>
      <c r="BP887" s="70"/>
      <c r="BQ887" s="70"/>
      <c r="BR887" s="72"/>
      <c r="BS887" s="170">
        <f t="shared" ref="BS887:BX889" si="930">SUM(Y887)-SUM(BD887)</f>
        <v>0</v>
      </c>
      <c r="BT887" s="170">
        <f t="shared" si="930"/>
        <v>0</v>
      </c>
      <c r="BU887" s="170">
        <f t="shared" si="930"/>
        <v>0</v>
      </c>
      <c r="BV887" s="170">
        <f t="shared" si="930"/>
        <v>0</v>
      </c>
      <c r="BW887" s="170">
        <f t="shared" si="930"/>
        <v>0</v>
      </c>
      <c r="BX887" s="170">
        <f t="shared" si="930"/>
        <v>0</v>
      </c>
      <c r="BY887" s="170" t="s">
        <v>91</v>
      </c>
      <c r="BZ887" s="166"/>
      <c r="CA887" s="170">
        <f t="shared" si="922"/>
        <v>0</v>
      </c>
      <c r="CB887" s="170">
        <f t="shared" si="922"/>
        <v>0</v>
      </c>
      <c r="CC887" s="170">
        <f t="shared" si="922"/>
        <v>0</v>
      </c>
      <c r="CD887" s="170">
        <f t="shared" si="922"/>
        <v>0</v>
      </c>
      <c r="CE887" s="170">
        <f t="shared" si="922"/>
        <v>0</v>
      </c>
      <c r="CF887" s="170">
        <f t="shared" si="922"/>
        <v>0</v>
      </c>
      <c r="CG887" s="170">
        <f t="shared" si="922"/>
        <v>0</v>
      </c>
      <c r="CH887" s="170">
        <f t="shared" si="922"/>
        <v>0</v>
      </c>
      <c r="CI887" s="170">
        <f t="shared" si="923"/>
        <v>0</v>
      </c>
      <c r="CJ887" s="170"/>
      <c r="CK887" s="61">
        <f t="shared" si="906"/>
        <v>0</v>
      </c>
      <c r="CL887" s="61">
        <f t="shared" si="906"/>
        <v>0</v>
      </c>
      <c r="CM887" s="61">
        <f t="shared" si="906"/>
        <v>0</v>
      </c>
      <c r="CN887" s="61">
        <f t="shared" si="906"/>
        <v>0</v>
      </c>
      <c r="CO887" s="61">
        <f t="shared" si="906"/>
        <v>0</v>
      </c>
      <c r="CP887" s="61">
        <f t="shared" si="906"/>
        <v>0</v>
      </c>
      <c r="CQ887" s="61">
        <f t="shared" si="906"/>
        <v>0</v>
      </c>
      <c r="CR887" s="61">
        <f t="shared" si="898"/>
        <v>0</v>
      </c>
      <c r="CS887" s="170">
        <f t="shared" si="924"/>
        <v>0</v>
      </c>
      <c r="CT887" s="170">
        <f t="shared" si="925"/>
        <v>0</v>
      </c>
      <c r="CU887" s="166"/>
      <c r="CV887" s="170">
        <f t="shared" si="928"/>
        <v>-11384500</v>
      </c>
      <c r="CW887" s="170">
        <f t="shared" si="928"/>
        <v>0</v>
      </c>
      <c r="CX887" s="170"/>
      <c r="CY887" s="170">
        <f t="shared" si="929"/>
        <v>0</v>
      </c>
      <c r="CZ887" s="170">
        <f t="shared" si="929"/>
        <v>0</v>
      </c>
      <c r="DA887" s="170">
        <f t="shared" si="929"/>
        <v>0</v>
      </c>
      <c r="DB887" s="115" t="s">
        <v>102</v>
      </c>
      <c r="DC887" s="115" t="s">
        <v>134</v>
      </c>
      <c r="DD887" s="115" t="s">
        <v>142</v>
      </c>
      <c r="DE887" s="115" t="s">
        <v>1439</v>
      </c>
      <c r="DF887" s="123"/>
      <c r="DG887" s="128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123" t="e">
        <v>#N/A</v>
      </c>
      <c r="EC887" s="60" t="str">
        <f>VLOOKUP($M887,[1]Detail!$M:$BO,1,0)</f>
        <v>JD8B-17K819-BKW</v>
      </c>
      <c r="ED887" s="60">
        <f>VLOOKUP($M887,[1]Detail!$M:$BO,22,0)</f>
        <v>-369.33</v>
      </c>
      <c r="EE887" s="155">
        <f>VLOOKUP($M887,[1]Detail!$M:$BO,42,0)</f>
        <v>-11384500</v>
      </c>
      <c r="EF887" s="60">
        <f>VLOOKUP($M887,[1]Detail!$M:$BO,45,0)</f>
        <v>0</v>
      </c>
      <c r="EH887" s="60">
        <f>ED887-AD887</f>
        <v>0</v>
      </c>
      <c r="EI887" s="60">
        <f>EE887-AG887</f>
        <v>0</v>
      </c>
      <c r="EJ887" s="60">
        <f>EF887-AJ887</f>
        <v>0</v>
      </c>
    </row>
    <row r="888" spans="1:140" hidden="1">
      <c r="B888" s="99" t="s">
        <v>1435</v>
      </c>
      <c r="C888" s="2" t="s">
        <v>1358</v>
      </c>
      <c r="D888" s="87" t="s">
        <v>1359</v>
      </c>
      <c r="E888" s="2" t="s">
        <v>968</v>
      </c>
      <c r="F888" s="87" t="s">
        <v>969</v>
      </c>
      <c r="G888" s="87" t="s">
        <v>1087</v>
      </c>
      <c r="J888" s="1" t="s">
        <v>138</v>
      </c>
      <c r="K888" s="1" t="s">
        <v>1436</v>
      </c>
      <c r="L888" s="1" t="s">
        <v>1444</v>
      </c>
      <c r="M888" s="90" t="str">
        <f t="shared" si="820"/>
        <v>JD8B-17K819-CHW</v>
      </c>
      <c r="O888" s="171"/>
      <c r="P888" s="171"/>
      <c r="Q888" s="171"/>
      <c r="R888" s="171"/>
      <c r="S888" s="171"/>
      <c r="T888" s="171"/>
      <c r="U888" s="172">
        <v>1</v>
      </c>
      <c r="V888" s="172">
        <v>1</v>
      </c>
      <c r="W888" s="64">
        <f t="shared" si="829"/>
        <v>0.1</v>
      </c>
      <c r="Y888" s="95">
        <v>-438.33</v>
      </c>
      <c r="Z888" s="95">
        <v>-2.5099999999999998</v>
      </c>
      <c r="AA888" s="95">
        <v>-8.25</v>
      </c>
      <c r="AB888" s="95"/>
      <c r="AC888" s="95"/>
      <c r="AD888" s="8">
        <f>SUM(Y888:AC888)</f>
        <v>-449.09</v>
      </c>
      <c r="AE888" s="2" t="s">
        <v>91</v>
      </c>
      <c r="AG888" s="173"/>
      <c r="AH888" s="173"/>
      <c r="AJ888" s="173"/>
      <c r="AK888" s="173"/>
      <c r="AL888" s="174"/>
      <c r="AM888" s="22"/>
      <c r="AO888" s="1" t="s">
        <v>138</v>
      </c>
      <c r="AP888" s="1" t="s">
        <v>1436</v>
      </c>
      <c r="AQ888" s="1" t="s">
        <v>1445</v>
      </c>
      <c r="AR888" s="90" t="str">
        <f>TRIM(AO888)&amp;"-"&amp;TRIM(AP888)&amp;"-"&amp;TRIM(AQ888)</f>
        <v>JD8B-17K819-CFW</v>
      </c>
      <c r="AS888" s="88"/>
      <c r="AT888" s="175"/>
      <c r="AU888" s="175"/>
      <c r="AV888" s="175"/>
      <c r="AW888" s="175"/>
      <c r="AX888" s="175"/>
      <c r="AY888" s="175"/>
      <c r="AZ888" s="175">
        <v>1</v>
      </c>
      <c r="BA888" s="175">
        <v>1</v>
      </c>
      <c r="BB888" s="92">
        <f t="shared" si="831"/>
        <v>0.1</v>
      </c>
      <c r="BD888" s="95">
        <v>-436.78</v>
      </c>
      <c r="BE888" s="95">
        <v>-2.5099999999999998</v>
      </c>
      <c r="BF888" s="95">
        <v>-8.25</v>
      </c>
      <c r="BG888" s="95"/>
      <c r="BH888" s="95"/>
      <c r="BI888" s="8">
        <f>SUM(BD888:BH888)</f>
        <v>-447.53999999999996</v>
      </c>
      <c r="BJ888" s="2" t="s">
        <v>91</v>
      </c>
      <c r="BL888" s="173"/>
      <c r="BM888" s="173"/>
      <c r="BO888" s="173"/>
      <c r="BP888" s="173"/>
      <c r="BQ888" s="174"/>
      <c r="BS888" s="176">
        <f t="shared" si="930"/>
        <v>-1.5500000000000114</v>
      </c>
      <c r="BT888" s="176">
        <f t="shared" si="930"/>
        <v>0</v>
      </c>
      <c r="BU888" s="176">
        <f t="shared" si="930"/>
        <v>0</v>
      </c>
      <c r="BV888" s="176">
        <f t="shared" si="930"/>
        <v>0</v>
      </c>
      <c r="BW888" s="176">
        <f t="shared" si="930"/>
        <v>0</v>
      </c>
      <c r="BX888" s="176">
        <f t="shared" si="930"/>
        <v>-1.5500000000000114</v>
      </c>
      <c r="BY888" s="176" t="s">
        <v>91</v>
      </c>
      <c r="CA888" s="176">
        <f t="shared" si="922"/>
        <v>0</v>
      </c>
      <c r="CB888" s="176">
        <f t="shared" si="922"/>
        <v>0</v>
      </c>
      <c r="CC888" s="176">
        <f t="shared" si="922"/>
        <v>0</v>
      </c>
      <c r="CD888" s="176">
        <f t="shared" si="922"/>
        <v>0</v>
      </c>
      <c r="CE888" s="176">
        <f t="shared" si="922"/>
        <v>0</v>
      </c>
      <c r="CF888" s="176">
        <f t="shared" si="922"/>
        <v>0</v>
      </c>
      <c r="CG888" s="176">
        <f t="shared" si="922"/>
        <v>-0.23318790431773903</v>
      </c>
      <c r="CH888" s="176">
        <f t="shared" si="922"/>
        <v>-0.23318790431773903</v>
      </c>
      <c r="CI888" s="176">
        <f t="shared" si="923"/>
        <v>-2.3318790431773904E-2</v>
      </c>
      <c r="CJ888" s="176"/>
      <c r="CK888" s="176">
        <f t="shared" si="906"/>
        <v>0</v>
      </c>
      <c r="CL888" s="176">
        <f t="shared" si="906"/>
        <v>0</v>
      </c>
      <c r="CM888" s="176">
        <f t="shared" si="906"/>
        <v>0</v>
      </c>
      <c r="CN888" s="176">
        <f t="shared" si="906"/>
        <v>0</v>
      </c>
      <c r="CO888" s="176">
        <f t="shared" si="906"/>
        <v>0</v>
      </c>
      <c r="CP888" s="176">
        <f t="shared" si="906"/>
        <v>0</v>
      </c>
      <c r="CQ888" s="176">
        <f t="shared" si="906"/>
        <v>-0.23318790431773903</v>
      </c>
      <c r="CR888" s="176">
        <f t="shared" si="898"/>
        <v>-0.23318790431773903</v>
      </c>
      <c r="CS888" s="176">
        <f t="shared" si="924"/>
        <v>-2.3318790431773904E-2</v>
      </c>
      <c r="CT888" s="176">
        <f t="shared" si="925"/>
        <v>-0.15500000000000114</v>
      </c>
      <c r="CV888" s="176">
        <f t="shared" si="928"/>
        <v>0</v>
      </c>
      <c r="CW888" s="176">
        <f t="shared" si="928"/>
        <v>0</v>
      </c>
      <c r="CX888" s="176"/>
      <c r="CY888" s="176">
        <f t="shared" si="929"/>
        <v>0</v>
      </c>
      <c r="CZ888" s="176">
        <f t="shared" si="929"/>
        <v>0</v>
      </c>
      <c r="DA888" s="176">
        <f t="shared" si="929"/>
        <v>0</v>
      </c>
      <c r="DB888" s="2" t="s">
        <v>134</v>
      </c>
      <c r="DC888" s="2" t="s">
        <v>134</v>
      </c>
      <c r="DD888" s="2" t="s">
        <v>142</v>
      </c>
      <c r="DE888" s="2" t="s">
        <v>143</v>
      </c>
      <c r="DG888" s="62"/>
      <c r="DZ888" s="3" t="e">
        <v>#N/A</v>
      </c>
    </row>
    <row r="889" spans="1:140" s="115" customFormat="1" ht="12.75" hidden="1" customHeight="1">
      <c r="B889" s="99" t="s">
        <v>1438</v>
      </c>
      <c r="C889" s="115" t="s">
        <v>1358</v>
      </c>
      <c r="D889" s="115" t="s">
        <v>1359</v>
      </c>
      <c r="E889" s="115" t="s">
        <v>968</v>
      </c>
      <c r="F889" s="115" t="s">
        <v>969</v>
      </c>
      <c r="G889" s="115" t="s">
        <v>1087</v>
      </c>
      <c r="H889" s="2"/>
      <c r="J889" s="151" t="s">
        <v>138</v>
      </c>
      <c r="K889" s="122" t="s">
        <v>1436</v>
      </c>
      <c r="L889" s="151" t="s">
        <v>1446</v>
      </c>
      <c r="M889" s="51" t="str">
        <f t="shared" si="820"/>
        <v>JD8B-17K819-CKW</v>
      </c>
      <c r="N889" s="123"/>
      <c r="O889" s="124"/>
      <c r="P889" s="124"/>
      <c r="Q889" s="124"/>
      <c r="R889" s="124"/>
      <c r="S889" s="124"/>
      <c r="T889" s="124"/>
      <c r="U889" s="124">
        <v>1</v>
      </c>
      <c r="V889" s="124">
        <v>1</v>
      </c>
      <c r="W889" s="125">
        <f t="shared" si="829"/>
        <v>0.1</v>
      </c>
      <c r="Y889" s="60">
        <v>-438.33</v>
      </c>
      <c r="Z889" s="60">
        <v>-2.5099999999999998</v>
      </c>
      <c r="AA889" s="60">
        <v>-8.25</v>
      </c>
      <c r="AB889" s="60"/>
      <c r="AC889" s="60"/>
      <c r="AD889" s="126">
        <f>SUM(Y889:AC889)</f>
        <v>-449.09</v>
      </c>
      <c r="AE889" s="115" t="s">
        <v>91</v>
      </c>
      <c r="AG889" s="70"/>
      <c r="AH889" s="70"/>
      <c r="AJ889" s="70"/>
      <c r="AK889" s="70"/>
      <c r="AL889" s="72"/>
      <c r="AO889" s="151" t="s">
        <v>138</v>
      </c>
      <c r="AP889" s="122" t="s">
        <v>1436</v>
      </c>
      <c r="AQ889" s="151" t="s">
        <v>1444</v>
      </c>
      <c r="AR889" s="51" t="str">
        <f>TRIM(AO889)&amp;"-"&amp;TRIM(AP889)&amp;"-"&amp;TRIM(AQ889)</f>
        <v>JD8B-17K819-CHW</v>
      </c>
      <c r="AS889" s="123"/>
      <c r="AT889" s="124"/>
      <c r="AU889" s="124"/>
      <c r="AV889" s="124"/>
      <c r="AW889" s="124"/>
      <c r="AX889" s="124"/>
      <c r="AY889" s="124"/>
      <c r="AZ889" s="124">
        <v>1</v>
      </c>
      <c r="BA889" s="124">
        <v>1</v>
      </c>
      <c r="BB889" s="125">
        <f t="shared" si="831"/>
        <v>0.1</v>
      </c>
      <c r="BD889" s="60">
        <v>-438.33</v>
      </c>
      <c r="BE889" s="60">
        <v>-2.5099999999999998</v>
      </c>
      <c r="BF889" s="60">
        <v>-8.25</v>
      </c>
      <c r="BG889" s="60"/>
      <c r="BH889" s="60"/>
      <c r="BI889" s="126">
        <f>SUM(BD889:BH889)</f>
        <v>-449.09</v>
      </c>
      <c r="BJ889" s="115" t="s">
        <v>91</v>
      </c>
      <c r="BL889" s="70"/>
      <c r="BM889" s="70"/>
      <c r="BO889" s="70"/>
      <c r="BP889" s="70"/>
      <c r="BQ889" s="72"/>
      <c r="BS889" s="170">
        <f t="shared" si="930"/>
        <v>0</v>
      </c>
      <c r="BT889" s="170">
        <f t="shared" si="930"/>
        <v>0</v>
      </c>
      <c r="BU889" s="170">
        <f t="shared" si="930"/>
        <v>0</v>
      </c>
      <c r="BV889" s="170">
        <f t="shared" si="930"/>
        <v>0</v>
      </c>
      <c r="BW889" s="170">
        <f t="shared" si="930"/>
        <v>0</v>
      </c>
      <c r="BX889" s="170">
        <f t="shared" si="930"/>
        <v>0</v>
      </c>
      <c r="BY889" s="170" t="s">
        <v>91</v>
      </c>
      <c r="BZ889" s="166"/>
      <c r="CA889" s="170">
        <f t="shared" si="922"/>
        <v>0</v>
      </c>
      <c r="CB889" s="170">
        <f t="shared" si="922"/>
        <v>0</v>
      </c>
      <c r="CC889" s="170">
        <f t="shared" si="922"/>
        <v>0</v>
      </c>
      <c r="CD889" s="170">
        <f t="shared" si="922"/>
        <v>0</v>
      </c>
      <c r="CE889" s="170">
        <f t="shared" si="922"/>
        <v>0</v>
      </c>
      <c r="CF889" s="170">
        <f t="shared" si="922"/>
        <v>0</v>
      </c>
      <c r="CG889" s="170">
        <f t="shared" si="922"/>
        <v>0</v>
      </c>
      <c r="CH889" s="170">
        <f t="shared" si="922"/>
        <v>0</v>
      </c>
      <c r="CI889" s="170">
        <f t="shared" si="923"/>
        <v>0</v>
      </c>
      <c r="CJ889" s="170"/>
      <c r="CK889" s="61">
        <f t="shared" si="906"/>
        <v>0</v>
      </c>
      <c r="CL889" s="61">
        <f t="shared" si="906"/>
        <v>0</v>
      </c>
      <c r="CM889" s="61">
        <f t="shared" si="906"/>
        <v>0</v>
      </c>
      <c r="CN889" s="61">
        <f t="shared" si="906"/>
        <v>0</v>
      </c>
      <c r="CO889" s="61">
        <f t="shared" si="906"/>
        <v>0</v>
      </c>
      <c r="CP889" s="61">
        <f t="shared" si="906"/>
        <v>0</v>
      </c>
      <c r="CQ889" s="61">
        <f t="shared" si="906"/>
        <v>0</v>
      </c>
      <c r="CR889" s="61">
        <f t="shared" si="898"/>
        <v>0</v>
      </c>
      <c r="CS889" s="170">
        <f t="shared" si="924"/>
        <v>0</v>
      </c>
      <c r="CT889" s="170">
        <f t="shared" si="925"/>
        <v>0</v>
      </c>
      <c r="CU889" s="166"/>
      <c r="CV889" s="170">
        <f t="shared" si="928"/>
        <v>0</v>
      </c>
      <c r="CW889" s="170">
        <f t="shared" si="928"/>
        <v>0</v>
      </c>
      <c r="CX889" s="170"/>
      <c r="CY889" s="170">
        <f t="shared" si="929"/>
        <v>0</v>
      </c>
      <c r="CZ889" s="170">
        <f t="shared" si="929"/>
        <v>0</v>
      </c>
      <c r="DA889" s="170">
        <f t="shared" si="929"/>
        <v>0</v>
      </c>
      <c r="DB889" s="115" t="s">
        <v>102</v>
      </c>
      <c r="DC889" s="115" t="s">
        <v>134</v>
      </c>
      <c r="DD889" s="115" t="s">
        <v>142</v>
      </c>
      <c r="DE889" s="115" t="s">
        <v>1447</v>
      </c>
      <c r="DF889" s="123"/>
      <c r="DG889" s="128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123" t="e">
        <v>#N/A</v>
      </c>
      <c r="EC889" s="60"/>
      <c r="ED889" s="60"/>
      <c r="EE889" s="60"/>
      <c r="EF889" s="60"/>
    </row>
    <row r="890" spans="1:140" ht="12.75" hidden="1" customHeight="1">
      <c r="B890" s="99" t="s">
        <v>1448</v>
      </c>
      <c r="C890" s="22" t="s">
        <v>1358</v>
      </c>
      <c r="D890" s="22" t="s">
        <v>1359</v>
      </c>
      <c r="E890" s="2" t="s">
        <v>968</v>
      </c>
      <c r="F890" s="2" t="s">
        <v>969</v>
      </c>
      <c r="G890" s="2" t="s">
        <v>1087</v>
      </c>
      <c r="J890" s="149" t="s">
        <v>138</v>
      </c>
      <c r="K890" s="23" t="s">
        <v>1436</v>
      </c>
      <c r="L890" s="149" t="s">
        <v>1449</v>
      </c>
      <c r="M890" s="51" t="str">
        <f t="shared" si="820"/>
        <v>JD8B-17K819-CJW</v>
      </c>
      <c r="O890" s="94"/>
      <c r="P890" s="94"/>
      <c r="Q890" s="94"/>
      <c r="R890" s="94"/>
      <c r="S890" s="94"/>
      <c r="T890" s="94"/>
      <c r="U890" s="94">
        <v>1</v>
      </c>
      <c r="V890" s="94">
        <v>1</v>
      </c>
      <c r="W890" s="64">
        <f t="shared" si="829"/>
        <v>0.1</v>
      </c>
      <c r="Y890" s="60">
        <v>-438.33</v>
      </c>
      <c r="Z890" s="60">
        <v>-2.5099999999999998</v>
      </c>
      <c r="AA890" s="60">
        <v>-8.25</v>
      </c>
      <c r="AB890" s="60"/>
      <c r="AC890" s="60"/>
      <c r="AD890" s="8">
        <f t="shared" si="913"/>
        <v>-449.09</v>
      </c>
      <c r="AE890" s="2" t="s">
        <v>91</v>
      </c>
      <c r="AG890" s="70"/>
      <c r="AH890" s="70"/>
      <c r="AJ890" s="70"/>
      <c r="AK890" s="70"/>
      <c r="AL890" s="72"/>
      <c r="AM890" s="22"/>
      <c r="AO890" s="149" t="s">
        <v>138</v>
      </c>
      <c r="AP890" s="23" t="s">
        <v>1436</v>
      </c>
      <c r="AQ890" s="149" t="s">
        <v>1444</v>
      </c>
      <c r="AR890" s="51" t="str">
        <f t="shared" si="822"/>
        <v>JD8B-17K819-CHW</v>
      </c>
      <c r="AS890" s="3"/>
      <c r="AT890" s="94"/>
      <c r="AU890" s="94"/>
      <c r="AV890" s="94"/>
      <c r="AW890" s="94"/>
      <c r="AX890" s="94"/>
      <c r="AY890" s="94"/>
      <c r="AZ890" s="94">
        <v>1</v>
      </c>
      <c r="BA890" s="94">
        <v>1</v>
      </c>
      <c r="BB890" s="64">
        <f t="shared" si="831"/>
        <v>0.1</v>
      </c>
      <c r="BD890" s="60">
        <v>-438.33</v>
      </c>
      <c r="BE890" s="60">
        <v>-2.5099999999999998</v>
      </c>
      <c r="BF890" s="60">
        <v>-8.25</v>
      </c>
      <c r="BG890" s="60"/>
      <c r="BH890" s="60"/>
      <c r="BI890" s="8">
        <f t="shared" si="917"/>
        <v>-449.09</v>
      </c>
      <c r="BJ890" s="2" t="s">
        <v>91</v>
      </c>
      <c r="BL890" s="70"/>
      <c r="BM890" s="70"/>
      <c r="BO890" s="70"/>
      <c r="BP890" s="70"/>
      <c r="BQ890" s="72"/>
      <c r="BS890" s="61">
        <f t="shared" si="832"/>
        <v>0</v>
      </c>
      <c r="BT890" s="61">
        <f t="shared" si="833"/>
        <v>0</v>
      </c>
      <c r="BU890" s="61">
        <f t="shared" si="904"/>
        <v>0</v>
      </c>
      <c r="BV890" s="61">
        <f t="shared" si="904"/>
        <v>0</v>
      </c>
      <c r="BW890" s="61">
        <f t="shared" si="904"/>
        <v>0</v>
      </c>
      <c r="BX890" s="61">
        <f t="shared" si="904"/>
        <v>0</v>
      </c>
      <c r="BY890" s="61" t="s">
        <v>91</v>
      </c>
      <c r="CA890" s="61">
        <f t="shared" si="922"/>
        <v>0</v>
      </c>
      <c r="CB890" s="61">
        <f t="shared" si="922"/>
        <v>0</v>
      </c>
      <c r="CC890" s="61">
        <f t="shared" si="922"/>
        <v>0</v>
      </c>
      <c r="CD890" s="61">
        <f t="shared" si="922"/>
        <v>0</v>
      </c>
      <c r="CE890" s="61">
        <f t="shared" si="922"/>
        <v>0</v>
      </c>
      <c r="CF890" s="61">
        <f t="shared" si="922"/>
        <v>0</v>
      </c>
      <c r="CG890" s="61">
        <f t="shared" si="922"/>
        <v>0</v>
      </c>
      <c r="CH890" s="61">
        <f t="shared" si="922"/>
        <v>0</v>
      </c>
      <c r="CI890" s="61">
        <f t="shared" si="923"/>
        <v>0</v>
      </c>
      <c r="CJ890" s="61"/>
      <c r="CK890" s="61">
        <f t="shared" si="906"/>
        <v>0</v>
      </c>
      <c r="CL890" s="61">
        <f t="shared" si="906"/>
        <v>0</v>
      </c>
      <c r="CM890" s="61">
        <f t="shared" si="906"/>
        <v>0</v>
      </c>
      <c r="CN890" s="61">
        <f t="shared" si="906"/>
        <v>0</v>
      </c>
      <c r="CO890" s="61">
        <f t="shared" si="906"/>
        <v>0</v>
      </c>
      <c r="CP890" s="61">
        <f t="shared" si="906"/>
        <v>0</v>
      </c>
      <c r="CQ890" s="61">
        <f t="shared" si="906"/>
        <v>0</v>
      </c>
      <c r="CR890" s="61">
        <f t="shared" si="898"/>
        <v>0</v>
      </c>
      <c r="CS890" s="61">
        <f t="shared" si="924"/>
        <v>0</v>
      </c>
      <c r="CT890" s="61">
        <f t="shared" si="925"/>
        <v>0</v>
      </c>
      <c r="CV890" s="61">
        <f t="shared" ref="CV890" si="931">SUM(AG890)-SUM(BL890)</f>
        <v>0</v>
      </c>
      <c r="CW890" s="61">
        <f t="shared" ref="CW890" si="932">SUM(AH890)-SUM(BM890)</f>
        <v>0</v>
      </c>
      <c r="CX890" s="61"/>
      <c r="CY890" s="61">
        <f t="shared" si="929"/>
        <v>0</v>
      </c>
      <c r="CZ890" s="61">
        <f t="shared" si="929"/>
        <v>0</v>
      </c>
      <c r="DA890" s="61">
        <f t="shared" si="929"/>
        <v>0</v>
      </c>
      <c r="DB890" s="2" t="s">
        <v>85</v>
      </c>
      <c r="DC890" s="2" t="s">
        <v>134</v>
      </c>
      <c r="DD890" s="2" t="s">
        <v>142</v>
      </c>
      <c r="DE890" s="2" t="s">
        <v>143</v>
      </c>
      <c r="DG890" s="62"/>
      <c r="EC890" s="60"/>
      <c r="ED890" s="60"/>
      <c r="EE890" s="60"/>
      <c r="EF890" s="60"/>
      <c r="EH890" s="60"/>
      <c r="EI890" s="60"/>
      <c r="EJ890" s="60"/>
    </row>
    <row r="891" spans="1:140" ht="12.75" hidden="1" customHeight="1">
      <c r="B891" s="99" t="s">
        <v>1432</v>
      </c>
      <c r="C891" s="22" t="s">
        <v>1450</v>
      </c>
      <c r="D891" s="22" t="s">
        <v>1451</v>
      </c>
      <c r="E891" s="2" t="s">
        <v>968</v>
      </c>
      <c r="F891" s="2" t="s">
        <v>969</v>
      </c>
      <c r="G891" s="2" t="s">
        <v>1087</v>
      </c>
      <c r="J891" s="149" t="s">
        <v>126</v>
      </c>
      <c r="K891" s="23">
        <v>8200</v>
      </c>
      <c r="L891" s="149" t="s">
        <v>132</v>
      </c>
      <c r="M891" s="51" t="str">
        <f t="shared" si="820"/>
        <v>JD8B-8200-AB</v>
      </c>
      <c r="O891" s="94">
        <v>1</v>
      </c>
      <c r="P891" s="94">
        <v>1</v>
      </c>
      <c r="Q891" s="94">
        <v>1</v>
      </c>
      <c r="R891" s="94">
        <v>1</v>
      </c>
      <c r="S891" s="94">
        <v>1</v>
      </c>
      <c r="T891" s="94">
        <v>1</v>
      </c>
      <c r="U891" s="94">
        <v>0</v>
      </c>
      <c r="V891" s="94">
        <v>0</v>
      </c>
      <c r="W891" s="64">
        <f t="shared" si="829"/>
        <v>0.9</v>
      </c>
      <c r="Y891" s="8">
        <v>-155.83000000000001</v>
      </c>
      <c r="Z891" s="8">
        <v>-0.79</v>
      </c>
      <c r="AA891" s="8">
        <v>-2.08</v>
      </c>
      <c r="AB891" s="8">
        <v>0</v>
      </c>
      <c r="AC891" s="8">
        <v>0</v>
      </c>
      <c r="AD891" s="8">
        <f t="shared" ref="AD891:AD892" si="933">SUM(Y891:AC891)</f>
        <v>-158.70000000000002</v>
      </c>
      <c r="AE891" s="2" t="s">
        <v>91</v>
      </c>
      <c r="AG891" s="8">
        <v>-3305000</v>
      </c>
      <c r="AH891" s="8">
        <v>-3305000</v>
      </c>
      <c r="AJ891" s="70"/>
      <c r="AK891" s="70"/>
      <c r="AL891" s="72"/>
      <c r="AM891" s="22"/>
      <c r="AO891" s="149" t="s">
        <v>126</v>
      </c>
      <c r="AP891" s="23">
        <v>8200</v>
      </c>
      <c r="AQ891" s="22" t="s">
        <v>100</v>
      </c>
      <c r="AR891" s="51" t="str">
        <f t="shared" si="822"/>
        <v>JD8B-8200-AA</v>
      </c>
      <c r="AS891" s="3"/>
      <c r="AT891" s="94">
        <v>1</v>
      </c>
      <c r="AU891" s="94">
        <v>1</v>
      </c>
      <c r="AV891" s="94">
        <v>1</v>
      </c>
      <c r="AW891" s="94">
        <v>1</v>
      </c>
      <c r="AX891" s="94">
        <v>1</v>
      </c>
      <c r="AY891" s="94">
        <v>1</v>
      </c>
      <c r="AZ891" s="94">
        <v>0</v>
      </c>
      <c r="BA891" s="94">
        <v>0</v>
      </c>
      <c r="BB891" s="64">
        <f t="shared" si="831"/>
        <v>0.9</v>
      </c>
      <c r="BD891" s="8">
        <v>-155.83000000000001</v>
      </c>
      <c r="BE891" s="8">
        <v>-0.79</v>
      </c>
      <c r="BF891" s="8">
        <v>-2.08</v>
      </c>
      <c r="BG891" s="8">
        <v>0</v>
      </c>
      <c r="BH891" s="8">
        <v>0</v>
      </c>
      <c r="BI891" s="8">
        <f t="shared" si="917"/>
        <v>-158.70000000000002</v>
      </c>
      <c r="BJ891" s="2" t="s">
        <v>91</v>
      </c>
      <c r="BL891" s="8">
        <v>-3305000</v>
      </c>
      <c r="BM891" s="8">
        <v>-3305000</v>
      </c>
      <c r="BO891" s="70"/>
      <c r="BP891" s="70"/>
      <c r="BQ891" s="72"/>
      <c r="BS891" s="61">
        <f t="shared" si="832"/>
        <v>0</v>
      </c>
      <c r="BT891" s="61">
        <f t="shared" si="833"/>
        <v>0</v>
      </c>
      <c r="BU891" s="61">
        <f t="shared" si="904"/>
        <v>0</v>
      </c>
      <c r="BV891" s="61">
        <f t="shared" si="904"/>
        <v>0</v>
      </c>
      <c r="BW891" s="61">
        <f t="shared" si="904"/>
        <v>0</v>
      </c>
      <c r="BX891" s="61">
        <f t="shared" si="904"/>
        <v>0</v>
      </c>
      <c r="BY891" s="61" t="s">
        <v>91</v>
      </c>
      <c r="CA891" s="61">
        <f t="shared" si="922"/>
        <v>0</v>
      </c>
      <c r="CB891" s="61">
        <f t="shared" si="922"/>
        <v>0</v>
      </c>
      <c r="CC891" s="61">
        <f t="shared" si="922"/>
        <v>0</v>
      </c>
      <c r="CD891" s="61">
        <f t="shared" si="922"/>
        <v>0</v>
      </c>
      <c r="CE891" s="61">
        <f t="shared" si="922"/>
        <v>0</v>
      </c>
      <c r="CF891" s="61">
        <f t="shared" si="922"/>
        <v>0</v>
      </c>
      <c r="CG891" s="61">
        <f t="shared" si="922"/>
        <v>0</v>
      </c>
      <c r="CH891" s="61">
        <f t="shared" si="922"/>
        <v>0</v>
      </c>
      <c r="CI891" s="61">
        <f t="shared" si="923"/>
        <v>0</v>
      </c>
      <c r="CJ891" s="61"/>
      <c r="CK891" s="61">
        <f t="shared" si="906"/>
        <v>0</v>
      </c>
      <c r="CL891" s="61">
        <f t="shared" si="906"/>
        <v>0</v>
      </c>
      <c r="CM891" s="61">
        <f t="shared" si="906"/>
        <v>0</v>
      </c>
      <c r="CN891" s="61">
        <f t="shared" si="906"/>
        <v>0</v>
      </c>
      <c r="CO891" s="61">
        <f t="shared" si="906"/>
        <v>0</v>
      </c>
      <c r="CP891" s="61">
        <f t="shared" si="906"/>
        <v>0</v>
      </c>
      <c r="CQ891" s="61">
        <f t="shared" si="906"/>
        <v>0</v>
      </c>
      <c r="CR891" s="61">
        <f t="shared" si="898"/>
        <v>0</v>
      </c>
      <c r="CS891" s="61">
        <f t="shared" si="924"/>
        <v>0</v>
      </c>
      <c r="CT891" s="61">
        <f t="shared" si="925"/>
        <v>0</v>
      </c>
      <c r="CV891" s="61">
        <f t="shared" ref="CV891:CV894" si="934">SUM(AG891)-SUM(BL891)</f>
        <v>0</v>
      </c>
      <c r="CW891" s="61">
        <f t="shared" ref="CW891:CW894" si="935">SUM(AH891)-SUM(BM891)</f>
        <v>0</v>
      </c>
      <c r="CX891" s="61"/>
      <c r="CY891" s="61">
        <f t="shared" si="929"/>
        <v>0</v>
      </c>
      <c r="CZ891" s="61">
        <f t="shared" si="929"/>
        <v>0</v>
      </c>
      <c r="DA891" s="61">
        <f t="shared" si="929"/>
        <v>0</v>
      </c>
      <c r="DB891" s="2" t="s">
        <v>86</v>
      </c>
      <c r="DC891" s="2" t="s">
        <v>85</v>
      </c>
      <c r="DD891" s="2" t="s">
        <v>142</v>
      </c>
      <c r="DE891" s="2" t="s">
        <v>264</v>
      </c>
      <c r="DF891" s="3" t="s">
        <v>86</v>
      </c>
      <c r="DG891" s="62">
        <v>43034</v>
      </c>
      <c r="EC891" s="60" t="str">
        <f>VLOOKUP($M891,[1]Detail!$M:$BO,1,0)</f>
        <v>JD8B-8200-AB</v>
      </c>
      <c r="ED891" s="60">
        <f>VLOOKUP($M891,[1]Detail!$M:$BO,22,0)</f>
        <v>-158.70000000000002</v>
      </c>
      <c r="EE891" s="60">
        <f>VLOOKUP($M891,[1]Detail!$M:$BO,42,0)</f>
        <v>-3305000</v>
      </c>
      <c r="EF891" s="60">
        <f>VLOOKUP($M891,[1]Detail!$M:$BO,45,0)</f>
        <v>0</v>
      </c>
      <c r="EH891" s="60">
        <f t="shared" ref="EH891:EH892" si="936">ED891-AD891</f>
        <v>0</v>
      </c>
      <c r="EI891" s="60">
        <f t="shared" ref="EI891:EI892" si="937">EE891-AG891</f>
        <v>0</v>
      </c>
      <c r="EJ891" s="60">
        <f t="shared" ref="EJ891:EJ892" si="938">EF891-AJ891</f>
        <v>0</v>
      </c>
    </row>
    <row r="892" spans="1:140" ht="12.75" hidden="1" customHeight="1">
      <c r="B892" s="99" t="s">
        <v>1432</v>
      </c>
      <c r="C892" s="22" t="s">
        <v>1450</v>
      </c>
      <c r="D892" s="22" t="s">
        <v>1451</v>
      </c>
      <c r="E892" s="2" t="s">
        <v>968</v>
      </c>
      <c r="F892" s="2" t="s">
        <v>969</v>
      </c>
      <c r="G892" s="2" t="s">
        <v>1087</v>
      </c>
      <c r="J892" s="149" t="s">
        <v>126</v>
      </c>
      <c r="K892" s="23">
        <v>8200</v>
      </c>
      <c r="L892" s="149" t="s">
        <v>120</v>
      </c>
      <c r="M892" s="51" t="str">
        <f t="shared" si="820"/>
        <v>JD8B-8200-BB</v>
      </c>
      <c r="O892" s="94">
        <v>0</v>
      </c>
      <c r="P892" s="94">
        <v>0</v>
      </c>
      <c r="Q892" s="94">
        <v>0</v>
      </c>
      <c r="R892" s="94">
        <v>0</v>
      </c>
      <c r="S892" s="94">
        <v>0</v>
      </c>
      <c r="T892" s="94">
        <v>0</v>
      </c>
      <c r="U892" s="94">
        <v>1</v>
      </c>
      <c r="V892" s="94">
        <v>1</v>
      </c>
      <c r="W892" s="64">
        <f t="shared" si="829"/>
        <v>0.1</v>
      </c>
      <c r="Y892" s="8">
        <f>-187.05*0-174.13</f>
        <v>-174.13</v>
      </c>
      <c r="Z892" s="8">
        <v>-1.74</v>
      </c>
      <c r="AA892" s="8">
        <v>-2.08</v>
      </c>
      <c r="AB892" s="8">
        <v>0</v>
      </c>
      <c r="AC892" s="8">
        <v>0</v>
      </c>
      <c r="AD892" s="8">
        <f t="shared" si="933"/>
        <v>-177.95000000000002</v>
      </c>
      <c r="AE892" s="2" t="s">
        <v>91</v>
      </c>
      <c r="AG892" s="8">
        <v>-1155000</v>
      </c>
      <c r="AH892" s="8">
        <v>-1155000</v>
      </c>
      <c r="AJ892" s="70"/>
      <c r="AK892" s="70"/>
      <c r="AL892" s="72"/>
      <c r="AM892" s="22"/>
      <c r="AO892" s="149" t="s">
        <v>126</v>
      </c>
      <c r="AP892" s="23">
        <v>8200</v>
      </c>
      <c r="AQ892" s="22" t="s">
        <v>111</v>
      </c>
      <c r="AR892" s="51" t="str">
        <f t="shared" si="822"/>
        <v>JD8B-8200-BA</v>
      </c>
      <c r="AS892" s="3"/>
      <c r="AT892" s="94">
        <v>0</v>
      </c>
      <c r="AU892" s="94">
        <v>0</v>
      </c>
      <c r="AV892" s="94">
        <v>0</v>
      </c>
      <c r="AW892" s="94">
        <v>0</v>
      </c>
      <c r="AX892" s="94">
        <v>0</v>
      </c>
      <c r="AY892" s="94">
        <v>0</v>
      </c>
      <c r="AZ892" s="94">
        <v>1</v>
      </c>
      <c r="BA892" s="94">
        <v>1</v>
      </c>
      <c r="BB892" s="64">
        <f t="shared" si="831"/>
        <v>0.1</v>
      </c>
      <c r="BD892" s="8">
        <f>-187.05*0-174.13</f>
        <v>-174.13</v>
      </c>
      <c r="BE892" s="8">
        <v>-1.74</v>
      </c>
      <c r="BF892" s="8">
        <v>-2.08</v>
      </c>
      <c r="BG892" s="8">
        <v>0</v>
      </c>
      <c r="BH892" s="8">
        <v>0</v>
      </c>
      <c r="BI892" s="8">
        <f t="shared" si="917"/>
        <v>-177.95000000000002</v>
      </c>
      <c r="BJ892" s="2" t="s">
        <v>91</v>
      </c>
      <c r="BL892" s="8">
        <v>-1155000</v>
      </c>
      <c r="BM892" s="8">
        <v>-1155000</v>
      </c>
      <c r="BO892" s="70"/>
      <c r="BP892" s="70"/>
      <c r="BQ892" s="72"/>
      <c r="BS892" s="61">
        <f t="shared" si="832"/>
        <v>0</v>
      </c>
      <c r="BT892" s="61">
        <f t="shared" si="833"/>
        <v>0</v>
      </c>
      <c r="BU892" s="61">
        <f t="shared" si="904"/>
        <v>0</v>
      </c>
      <c r="BV892" s="61">
        <f t="shared" si="904"/>
        <v>0</v>
      </c>
      <c r="BW892" s="61">
        <f t="shared" si="904"/>
        <v>0</v>
      </c>
      <c r="BX892" s="61">
        <f t="shared" si="904"/>
        <v>0</v>
      </c>
      <c r="BY892" s="61" t="s">
        <v>91</v>
      </c>
      <c r="CA892" s="61">
        <f t="shared" si="922"/>
        <v>0</v>
      </c>
      <c r="CB892" s="61">
        <f t="shared" si="922"/>
        <v>0</v>
      </c>
      <c r="CC892" s="61">
        <f t="shared" si="922"/>
        <v>0</v>
      </c>
      <c r="CD892" s="61">
        <f t="shared" si="922"/>
        <v>0</v>
      </c>
      <c r="CE892" s="61">
        <f t="shared" si="922"/>
        <v>0</v>
      </c>
      <c r="CF892" s="61">
        <f t="shared" si="922"/>
        <v>0</v>
      </c>
      <c r="CG892" s="61">
        <f t="shared" si="922"/>
        <v>0</v>
      </c>
      <c r="CH892" s="61">
        <f t="shared" si="922"/>
        <v>0</v>
      </c>
      <c r="CI892" s="61">
        <f t="shared" si="923"/>
        <v>0</v>
      </c>
      <c r="CJ892" s="61"/>
      <c r="CK892" s="61">
        <f t="shared" si="906"/>
        <v>0</v>
      </c>
      <c r="CL892" s="61">
        <f t="shared" si="906"/>
        <v>0</v>
      </c>
      <c r="CM892" s="61">
        <f t="shared" si="906"/>
        <v>0</v>
      </c>
      <c r="CN892" s="61">
        <f t="shared" si="906"/>
        <v>0</v>
      </c>
      <c r="CO892" s="61">
        <f t="shared" si="906"/>
        <v>0</v>
      </c>
      <c r="CP892" s="61">
        <f t="shared" si="906"/>
        <v>0</v>
      </c>
      <c r="CQ892" s="61">
        <f t="shared" si="906"/>
        <v>0</v>
      </c>
      <c r="CR892" s="61">
        <f t="shared" si="898"/>
        <v>0</v>
      </c>
      <c r="CS892" s="61">
        <f t="shared" si="924"/>
        <v>0</v>
      </c>
      <c r="CT892" s="61">
        <f t="shared" si="925"/>
        <v>0</v>
      </c>
      <c r="CV892" s="61">
        <f t="shared" si="934"/>
        <v>0</v>
      </c>
      <c r="CW892" s="61">
        <f t="shared" si="935"/>
        <v>0</v>
      </c>
      <c r="CX892" s="61"/>
      <c r="CY892" s="61">
        <f t="shared" si="929"/>
        <v>0</v>
      </c>
      <c r="CZ892" s="61">
        <f t="shared" si="929"/>
        <v>0</v>
      </c>
      <c r="DA892" s="61">
        <f t="shared" si="929"/>
        <v>0</v>
      </c>
      <c r="DB892" s="2" t="s">
        <v>86</v>
      </c>
      <c r="DC892" s="2" t="s">
        <v>85</v>
      </c>
      <c r="DD892" s="2" t="s">
        <v>142</v>
      </c>
      <c r="DE892" s="2" t="s">
        <v>264</v>
      </c>
      <c r="DF892" s="3" t="s">
        <v>86</v>
      </c>
      <c r="DG892" s="62">
        <v>43034</v>
      </c>
      <c r="EC892" s="60" t="str">
        <f>VLOOKUP($M892,[1]Detail!$M:$BO,1,0)</f>
        <v>JD8B-8200-BB</v>
      </c>
      <c r="ED892" s="60">
        <f>VLOOKUP($M892,[1]Detail!$M:$BO,22,0)</f>
        <v>-177.95000000000002</v>
      </c>
      <c r="EE892" s="60">
        <f>VLOOKUP($M892,[1]Detail!$M:$BO,42,0)</f>
        <v>-1155000</v>
      </c>
      <c r="EF892" s="60">
        <f>VLOOKUP($M892,[1]Detail!$M:$BO,45,0)</f>
        <v>0</v>
      </c>
      <c r="EH892" s="60">
        <f t="shared" si="936"/>
        <v>0</v>
      </c>
      <c r="EI892" s="60">
        <f t="shared" si="937"/>
        <v>0</v>
      </c>
      <c r="EJ892" s="60">
        <f t="shared" si="938"/>
        <v>0</v>
      </c>
    </row>
    <row r="893" spans="1:140" ht="12.75" hidden="1" customHeight="1">
      <c r="B893" s="99" t="s">
        <v>1432</v>
      </c>
      <c r="C893" s="22" t="s">
        <v>450</v>
      </c>
      <c r="D893" s="22" t="s">
        <v>451</v>
      </c>
      <c r="E893" s="2" t="s">
        <v>968</v>
      </c>
      <c r="F893" s="2" t="s">
        <v>969</v>
      </c>
      <c r="G893" s="2" t="s">
        <v>331</v>
      </c>
      <c r="J893" s="22" t="s">
        <v>452</v>
      </c>
      <c r="K893" s="23">
        <v>15201</v>
      </c>
      <c r="L893" s="149" t="s">
        <v>132</v>
      </c>
      <c r="M893" s="51" t="str">
        <f t="shared" si="820"/>
        <v>JB3B-15201-AB</v>
      </c>
      <c r="O893" s="94">
        <v>0</v>
      </c>
      <c r="P893" s="94">
        <v>0</v>
      </c>
      <c r="Q893" s="94">
        <v>0</v>
      </c>
      <c r="R893" s="94">
        <v>0</v>
      </c>
      <c r="S893" s="94">
        <v>0</v>
      </c>
      <c r="T893" s="94">
        <v>0</v>
      </c>
      <c r="U893" s="94">
        <v>2</v>
      </c>
      <c r="V893" s="94">
        <v>2</v>
      </c>
      <c r="W893" s="64">
        <f t="shared" si="829"/>
        <v>0.2</v>
      </c>
      <c r="Y893" s="60">
        <f>-95.67</f>
        <v>-95.67</v>
      </c>
      <c r="Z893" s="60">
        <v>-0.4</v>
      </c>
      <c r="AA893" s="60">
        <v>-1.1000000000000001</v>
      </c>
      <c r="AB893" s="60"/>
      <c r="AC893" s="60"/>
      <c r="AD893" s="8">
        <f t="shared" ref="AD893:AD895" si="939">SUM(Y893:AC893)</f>
        <v>-97.17</v>
      </c>
      <c r="AE893" s="2" t="s">
        <v>84</v>
      </c>
      <c r="AG893" s="70"/>
      <c r="AH893" s="70"/>
      <c r="AJ893" s="70"/>
      <c r="AK893" s="70"/>
      <c r="AL893" s="72"/>
      <c r="AM893" s="22"/>
      <c r="AO893" s="22" t="s">
        <v>452</v>
      </c>
      <c r="AP893" s="23">
        <v>15201</v>
      </c>
      <c r="AQ893" s="22" t="s">
        <v>100</v>
      </c>
      <c r="AR893" s="51" t="str">
        <f t="shared" si="822"/>
        <v>JB3B-15201-AA</v>
      </c>
      <c r="AS893" s="3"/>
      <c r="AT893" s="94">
        <v>0</v>
      </c>
      <c r="AU893" s="94">
        <v>0</v>
      </c>
      <c r="AV893" s="94">
        <v>0</v>
      </c>
      <c r="AW893" s="94">
        <v>0</v>
      </c>
      <c r="AX893" s="94">
        <v>0</v>
      </c>
      <c r="AY893" s="94">
        <v>0</v>
      </c>
      <c r="AZ893" s="94">
        <v>2</v>
      </c>
      <c r="BA893" s="94">
        <v>2</v>
      </c>
      <c r="BB893" s="64">
        <f t="shared" si="831"/>
        <v>0.2</v>
      </c>
      <c r="BD893" s="95">
        <f>-191.34/2</f>
        <v>-95.67</v>
      </c>
      <c r="BE893" s="95">
        <f>-0.8/2</f>
        <v>-0.4</v>
      </c>
      <c r="BF893" s="95">
        <f>-2.2/2</f>
        <v>-1.1000000000000001</v>
      </c>
      <c r="BG893" s="95">
        <v>0</v>
      </c>
      <c r="BH893" s="95">
        <v>0</v>
      </c>
      <c r="BI893" s="8">
        <f t="shared" si="917"/>
        <v>-97.17</v>
      </c>
      <c r="BJ893" s="2" t="s">
        <v>84</v>
      </c>
      <c r="BL893" s="96">
        <v>0</v>
      </c>
      <c r="BM893" s="96">
        <v>0</v>
      </c>
      <c r="BO893" s="71">
        <v>0</v>
      </c>
      <c r="BP893" s="71">
        <v>0</v>
      </c>
      <c r="BQ893" s="72">
        <v>0</v>
      </c>
      <c r="BS893" s="61">
        <f t="shared" si="832"/>
        <v>0</v>
      </c>
      <c r="BT893" s="61">
        <f t="shared" si="833"/>
        <v>0</v>
      </c>
      <c r="BU893" s="61">
        <f t="shared" si="904"/>
        <v>0</v>
      </c>
      <c r="BV893" s="61">
        <f t="shared" si="904"/>
        <v>0</v>
      </c>
      <c r="BW893" s="61">
        <f t="shared" si="904"/>
        <v>0</v>
      </c>
      <c r="BX893" s="61">
        <f t="shared" si="904"/>
        <v>0</v>
      </c>
      <c r="BY893" s="61" t="s">
        <v>91</v>
      </c>
      <c r="CA893" s="61">
        <f t="shared" si="922"/>
        <v>0</v>
      </c>
      <c r="CB893" s="61">
        <f t="shared" si="922"/>
        <v>0</v>
      </c>
      <c r="CC893" s="61">
        <f t="shared" si="922"/>
        <v>0</v>
      </c>
      <c r="CD893" s="61">
        <f t="shared" si="922"/>
        <v>0</v>
      </c>
      <c r="CE893" s="61">
        <f t="shared" si="922"/>
        <v>0</v>
      </c>
      <c r="CF893" s="61">
        <f t="shared" si="922"/>
        <v>0</v>
      </c>
      <c r="CG893" s="61">
        <f t="shared" si="922"/>
        <v>0</v>
      </c>
      <c r="CH893" s="61">
        <f t="shared" si="922"/>
        <v>0</v>
      </c>
      <c r="CI893" s="61">
        <f t="shared" si="923"/>
        <v>0</v>
      </c>
      <c r="CJ893" s="61"/>
      <c r="CK893" s="61">
        <f t="shared" si="906"/>
        <v>0</v>
      </c>
      <c r="CL893" s="61">
        <f t="shared" si="906"/>
        <v>0</v>
      </c>
      <c r="CM893" s="61">
        <f t="shared" si="906"/>
        <v>0</v>
      </c>
      <c r="CN893" s="61">
        <f t="shared" si="906"/>
        <v>0</v>
      </c>
      <c r="CO893" s="61">
        <f t="shared" si="906"/>
        <v>0</v>
      </c>
      <c r="CP893" s="61">
        <f t="shared" si="906"/>
        <v>0</v>
      </c>
      <c r="CQ893" s="61">
        <f t="shared" si="906"/>
        <v>0</v>
      </c>
      <c r="CR893" s="61">
        <f t="shared" si="898"/>
        <v>0</v>
      </c>
      <c r="CS893" s="61">
        <f t="shared" si="924"/>
        <v>0</v>
      </c>
      <c r="CT893" s="61">
        <f t="shared" si="925"/>
        <v>0</v>
      </c>
      <c r="CV893" s="61">
        <f t="shared" si="934"/>
        <v>0</v>
      </c>
      <c r="CW893" s="61">
        <f t="shared" si="935"/>
        <v>0</v>
      </c>
      <c r="CX893" s="61"/>
      <c r="CY893" s="61">
        <f t="shared" si="929"/>
        <v>0</v>
      </c>
      <c r="CZ893" s="61">
        <f t="shared" si="929"/>
        <v>0</v>
      </c>
      <c r="DA893" s="61">
        <f t="shared" si="929"/>
        <v>0</v>
      </c>
      <c r="DB893" s="2" t="s">
        <v>85</v>
      </c>
      <c r="DC893" s="2" t="s">
        <v>85</v>
      </c>
      <c r="DD893" s="2" t="s">
        <v>142</v>
      </c>
      <c r="DE893" s="2" t="s">
        <v>264</v>
      </c>
      <c r="DF893" s="3" t="s">
        <v>86</v>
      </c>
      <c r="DG893" s="62">
        <v>43034</v>
      </c>
      <c r="EC893" s="60"/>
      <c r="ED893" s="60"/>
      <c r="EE893" s="60"/>
      <c r="EF893" s="60"/>
    </row>
    <row r="894" spans="1:140" ht="12.75" hidden="1" customHeight="1">
      <c r="B894" s="177" t="s">
        <v>1452</v>
      </c>
      <c r="C894" s="22" t="s">
        <v>450</v>
      </c>
      <c r="D894" s="22" t="s">
        <v>451</v>
      </c>
      <c r="E894" s="2" t="s">
        <v>968</v>
      </c>
      <c r="F894" s="2" t="s">
        <v>969</v>
      </c>
      <c r="G894" s="2" t="s">
        <v>331</v>
      </c>
      <c r="J894" s="22" t="s">
        <v>452</v>
      </c>
      <c r="K894" s="23">
        <v>15201</v>
      </c>
      <c r="L894" s="149" t="s">
        <v>234</v>
      </c>
      <c r="M894" s="51" t="str">
        <f t="shared" si="820"/>
        <v>JB3B-15201-AC</v>
      </c>
      <c r="O894" s="94">
        <v>0</v>
      </c>
      <c r="P894" s="94">
        <v>0</v>
      </c>
      <c r="Q894" s="94">
        <v>0</v>
      </c>
      <c r="R894" s="94">
        <v>0</v>
      </c>
      <c r="S894" s="94">
        <v>0</v>
      </c>
      <c r="T894" s="94">
        <v>0</v>
      </c>
      <c r="U894" s="94">
        <v>2</v>
      </c>
      <c r="V894" s="94">
        <v>2</v>
      </c>
      <c r="W894" s="64">
        <f t="shared" si="829"/>
        <v>0.2</v>
      </c>
      <c r="Y894" s="60">
        <f>-95.67+1</f>
        <v>-94.67</v>
      </c>
      <c r="Z894" s="60">
        <v>-0.4</v>
      </c>
      <c r="AA894" s="60">
        <v>-1.1000000000000001</v>
      </c>
      <c r="AB894" s="60"/>
      <c r="AC894" s="60"/>
      <c r="AD894" s="8">
        <f t="shared" ref="AD894" si="940">SUM(Y894:AC894)</f>
        <v>-96.17</v>
      </c>
      <c r="AE894" s="2" t="s">
        <v>84</v>
      </c>
      <c r="AG894" s="70"/>
      <c r="AH894" s="70"/>
      <c r="AJ894" s="70"/>
      <c r="AK894" s="70"/>
      <c r="AL894" s="72"/>
      <c r="AM894" s="22"/>
      <c r="AO894" s="22" t="s">
        <v>452</v>
      </c>
      <c r="AP894" s="23">
        <v>15201</v>
      </c>
      <c r="AQ894" s="22" t="s">
        <v>100</v>
      </c>
      <c r="AR894" s="51" t="str">
        <f t="shared" si="822"/>
        <v>JB3B-15201-AA</v>
      </c>
      <c r="AS894" s="3"/>
      <c r="AT894" s="94">
        <v>0</v>
      </c>
      <c r="AU894" s="94">
        <v>0</v>
      </c>
      <c r="AV894" s="94">
        <v>0</v>
      </c>
      <c r="AW894" s="94">
        <v>0</v>
      </c>
      <c r="AX894" s="94">
        <v>0</v>
      </c>
      <c r="AY894" s="94">
        <v>0</v>
      </c>
      <c r="AZ894" s="94">
        <v>2</v>
      </c>
      <c r="BA894" s="94">
        <v>2</v>
      </c>
      <c r="BB894" s="64">
        <f t="shared" si="831"/>
        <v>0.2</v>
      </c>
      <c r="BD894" s="95">
        <v>-95.67</v>
      </c>
      <c r="BE894" s="95">
        <v>-0.4</v>
      </c>
      <c r="BF894" s="95">
        <v>-1.1000000000000001</v>
      </c>
      <c r="BG894" s="95"/>
      <c r="BH894" s="95"/>
      <c r="BI894" s="8">
        <f t="shared" si="917"/>
        <v>-97.17</v>
      </c>
      <c r="BJ894" s="2" t="s">
        <v>84</v>
      </c>
      <c r="BL894" s="96">
        <v>0</v>
      </c>
      <c r="BM894" s="96">
        <v>0</v>
      </c>
      <c r="BO894" s="71">
        <v>0</v>
      </c>
      <c r="BP894" s="71">
        <v>0</v>
      </c>
      <c r="BQ894" s="72">
        <v>0</v>
      </c>
      <c r="BS894" s="61">
        <f t="shared" si="832"/>
        <v>1</v>
      </c>
      <c r="BT894" s="61">
        <f t="shared" si="833"/>
        <v>0</v>
      </c>
      <c r="BU894" s="61">
        <f t="shared" si="904"/>
        <v>0</v>
      </c>
      <c r="BV894" s="61">
        <f t="shared" si="904"/>
        <v>0</v>
      </c>
      <c r="BW894" s="61">
        <f t="shared" si="904"/>
        <v>0</v>
      </c>
      <c r="BX894" s="61">
        <f t="shared" si="904"/>
        <v>1</v>
      </c>
      <c r="BY894" s="61" t="s">
        <v>91</v>
      </c>
      <c r="CA894" s="61">
        <f t="shared" si="922"/>
        <v>0</v>
      </c>
      <c r="CB894" s="61">
        <f t="shared" si="922"/>
        <v>0</v>
      </c>
      <c r="CC894" s="61">
        <f t="shared" si="922"/>
        <v>0</v>
      </c>
      <c r="CD894" s="61">
        <f t="shared" si="922"/>
        <v>0</v>
      </c>
      <c r="CE894" s="61">
        <f t="shared" si="922"/>
        <v>0</v>
      </c>
      <c r="CF894" s="61">
        <f t="shared" si="922"/>
        <v>0</v>
      </c>
      <c r="CG894" s="61">
        <f t="shared" si="922"/>
        <v>0.30088761847449974</v>
      </c>
      <c r="CH894" s="61">
        <f t="shared" si="922"/>
        <v>0.30088761847449974</v>
      </c>
      <c r="CI894" s="61">
        <f t="shared" si="923"/>
        <v>3.0088761847449977E-2</v>
      </c>
      <c r="CJ894" s="61"/>
      <c r="CK894" s="61">
        <f t="shared" si="906"/>
        <v>0</v>
      </c>
      <c r="CL894" s="61">
        <f t="shared" si="906"/>
        <v>0</v>
      </c>
      <c r="CM894" s="61">
        <f t="shared" si="906"/>
        <v>0</v>
      </c>
      <c r="CN894" s="61">
        <f t="shared" si="906"/>
        <v>0</v>
      </c>
      <c r="CO894" s="61">
        <f t="shared" si="906"/>
        <v>0</v>
      </c>
      <c r="CP894" s="61">
        <f t="shared" si="906"/>
        <v>0</v>
      </c>
      <c r="CQ894" s="61">
        <f t="shared" si="906"/>
        <v>0.30088761847449974</v>
      </c>
      <c r="CR894" s="61">
        <f t="shared" si="898"/>
        <v>0.30088761847449974</v>
      </c>
      <c r="CS894" s="61">
        <f t="shared" si="924"/>
        <v>3.0088761847449977E-2</v>
      </c>
      <c r="CT894" s="67">
        <f t="shared" si="925"/>
        <v>0.2</v>
      </c>
      <c r="CV894" s="61">
        <f t="shared" si="934"/>
        <v>0</v>
      </c>
      <c r="CW894" s="61">
        <f t="shared" si="935"/>
        <v>0</v>
      </c>
      <c r="CX894" s="61"/>
      <c r="CY894" s="61">
        <f t="shared" si="929"/>
        <v>0</v>
      </c>
      <c r="CZ894" s="61">
        <f t="shared" si="929"/>
        <v>0</v>
      </c>
      <c r="DA894" s="61">
        <f t="shared" si="929"/>
        <v>0</v>
      </c>
      <c r="DB894" s="2" t="s">
        <v>86</v>
      </c>
      <c r="DC894" s="2" t="s">
        <v>85</v>
      </c>
      <c r="DD894" s="2" t="s">
        <v>142</v>
      </c>
      <c r="DE894" s="2" t="s">
        <v>169</v>
      </c>
      <c r="DG894" s="62"/>
      <c r="DZ894" s="3" t="e">
        <v>#N/A</v>
      </c>
      <c r="EC894" s="60" t="str">
        <f>VLOOKUP($M894,[1]Detail!$M:$BO,1,0)</f>
        <v>JB3B-15201-AC</v>
      </c>
      <c r="ED894" s="60">
        <f>VLOOKUP($M894,[1]Detail!$M:$BO,22,0)</f>
        <v>-96.17</v>
      </c>
      <c r="EE894" s="60">
        <f>VLOOKUP($M894,[1]Detail!$M:$BO,42,0)</f>
        <v>0</v>
      </c>
      <c r="EF894" s="60">
        <f>VLOOKUP($M894,[1]Detail!$M:$BO,45,0)</f>
        <v>0</v>
      </c>
      <c r="EH894" s="60">
        <f>ED894-AD894</f>
        <v>0</v>
      </c>
      <c r="EI894" s="60">
        <f>EE894-AG894</f>
        <v>0</v>
      </c>
      <c r="EJ894" s="60">
        <f>EF894-AJ894</f>
        <v>0</v>
      </c>
    </row>
    <row r="895" spans="1:140" ht="12.75" hidden="1" customHeight="1">
      <c r="B895" s="99" t="s">
        <v>1453</v>
      </c>
      <c r="C895" s="22" t="s">
        <v>1104</v>
      </c>
      <c r="D895" s="22" t="s">
        <v>1105</v>
      </c>
      <c r="E895" s="2" t="s">
        <v>1005</v>
      </c>
      <c r="F895" s="2" t="s">
        <v>330</v>
      </c>
      <c r="G895" s="2" t="s">
        <v>331</v>
      </c>
      <c r="J895" s="149" t="s">
        <v>286</v>
      </c>
      <c r="K895" s="23" t="s">
        <v>1106</v>
      </c>
      <c r="L895" s="149" t="s">
        <v>132</v>
      </c>
      <c r="M895" s="51" t="str">
        <f t="shared" si="820"/>
        <v>JD8G-5K254-AB</v>
      </c>
      <c r="O895" s="94">
        <v>1</v>
      </c>
      <c r="P895" s="94">
        <v>1</v>
      </c>
      <c r="Q895" s="94">
        <v>1</v>
      </c>
      <c r="R895" s="94">
        <v>1</v>
      </c>
      <c r="S895" s="94">
        <v>0</v>
      </c>
      <c r="T895" s="94">
        <v>0</v>
      </c>
      <c r="U895" s="94">
        <v>1</v>
      </c>
      <c r="V895" s="94">
        <v>0</v>
      </c>
      <c r="W895" s="64">
        <f t="shared" si="829"/>
        <v>0.72000000000000008</v>
      </c>
      <c r="Y895" s="60">
        <v>-417.42</v>
      </c>
      <c r="Z895" s="8">
        <v>-3.36</v>
      </c>
      <c r="AA895" s="8">
        <v>-11.59</v>
      </c>
      <c r="AB895" s="8">
        <v>0</v>
      </c>
      <c r="AC895" s="8">
        <v>-11.12</v>
      </c>
      <c r="AD895" s="8">
        <f t="shared" si="939"/>
        <v>-443.49</v>
      </c>
      <c r="AE895" s="2" t="s">
        <v>84</v>
      </c>
      <c r="AG895" s="70">
        <v>-4640000</v>
      </c>
      <c r="AH895" s="70">
        <v>-5460000</v>
      </c>
      <c r="AJ895" s="70">
        <v>-4151026</v>
      </c>
      <c r="AK895" s="70">
        <v>373134</v>
      </c>
      <c r="AL895" s="72"/>
      <c r="AM895" s="22"/>
      <c r="AO895" s="149" t="s">
        <v>286</v>
      </c>
      <c r="AP895" s="23" t="s">
        <v>1106</v>
      </c>
      <c r="AQ895" s="149" t="s">
        <v>100</v>
      </c>
      <c r="AR895" s="51" t="str">
        <f t="shared" si="822"/>
        <v>JD8G-5K254-AA</v>
      </c>
      <c r="AS895" s="3"/>
      <c r="AT895" s="94">
        <v>1</v>
      </c>
      <c r="AU895" s="94">
        <v>1</v>
      </c>
      <c r="AV895" s="94">
        <v>1</v>
      </c>
      <c r="AW895" s="94">
        <v>1</v>
      </c>
      <c r="AX895" s="94">
        <v>0</v>
      </c>
      <c r="AY895" s="94">
        <v>0</v>
      </c>
      <c r="AZ895" s="94">
        <v>1</v>
      </c>
      <c r="BA895" s="94">
        <v>0</v>
      </c>
      <c r="BB895" s="64">
        <f t="shared" si="831"/>
        <v>0.72000000000000008</v>
      </c>
      <c r="BD895" s="8">
        <v>-420.63</v>
      </c>
      <c r="BE895" s="8">
        <v>-3.36</v>
      </c>
      <c r="BF895" s="8">
        <v>-11.59</v>
      </c>
      <c r="BG895" s="8">
        <v>0</v>
      </c>
      <c r="BH895" s="8">
        <v>-11.12</v>
      </c>
      <c r="BI895" s="8">
        <f t="shared" si="917"/>
        <v>-446.7</v>
      </c>
      <c r="BJ895" s="2" t="s">
        <v>91</v>
      </c>
      <c r="BL895" s="8">
        <v>-4420000</v>
      </c>
      <c r="BM895" s="8">
        <v>-5240000</v>
      </c>
      <c r="BN895" s="6"/>
      <c r="BO895" s="70">
        <v>-4151026</v>
      </c>
      <c r="BP895" s="70">
        <v>373134</v>
      </c>
      <c r="BQ895" s="72"/>
      <c r="BS895" s="61">
        <f t="shared" si="832"/>
        <v>3.2099999999999795</v>
      </c>
      <c r="BT895" s="61">
        <f t="shared" si="833"/>
        <v>0</v>
      </c>
      <c r="BU895" s="61">
        <f t="shared" si="904"/>
        <v>0</v>
      </c>
      <c r="BV895" s="61">
        <f t="shared" si="904"/>
        <v>0</v>
      </c>
      <c r="BW895" s="61">
        <f t="shared" si="904"/>
        <v>0</v>
      </c>
      <c r="BX895" s="61">
        <f t="shared" si="904"/>
        <v>3.2099999999999795</v>
      </c>
      <c r="BY895" s="61" t="s">
        <v>91</v>
      </c>
      <c r="CA895" s="61">
        <f t="shared" si="922"/>
        <v>0.48292462765156902</v>
      </c>
      <c r="CB895" s="61">
        <f t="shared" si="922"/>
        <v>0.48292462765156902</v>
      </c>
      <c r="CC895" s="61">
        <f t="shared" si="922"/>
        <v>0.48292462765156902</v>
      </c>
      <c r="CD895" s="61">
        <f t="shared" si="922"/>
        <v>0.48292462765156902</v>
      </c>
      <c r="CE895" s="61">
        <f t="shared" si="922"/>
        <v>0</v>
      </c>
      <c r="CF895" s="61">
        <f t="shared" si="922"/>
        <v>0</v>
      </c>
      <c r="CG895" s="61">
        <f t="shared" si="922"/>
        <v>0.48292462765156902</v>
      </c>
      <c r="CH895" s="61">
        <f t="shared" si="922"/>
        <v>0</v>
      </c>
      <c r="CI895" s="61">
        <f t="shared" si="923"/>
        <v>0.34770573190912968</v>
      </c>
      <c r="CJ895" s="61"/>
      <c r="CK895" s="61">
        <f t="shared" si="906"/>
        <v>0.48292462765156902</v>
      </c>
      <c r="CL895" s="61">
        <f t="shared" si="906"/>
        <v>0.48292462765156902</v>
      </c>
      <c r="CM895" s="61">
        <f t="shared" si="906"/>
        <v>0.48292462765156902</v>
      </c>
      <c r="CN895" s="61">
        <f t="shared" si="906"/>
        <v>0.48292462765156902</v>
      </c>
      <c r="CO895" s="61">
        <f t="shared" si="906"/>
        <v>0</v>
      </c>
      <c r="CP895" s="61">
        <f t="shared" si="906"/>
        <v>0</v>
      </c>
      <c r="CQ895" s="61">
        <f t="shared" si="906"/>
        <v>0.48292462765156902</v>
      </c>
      <c r="CR895" s="61">
        <f t="shared" si="898"/>
        <v>0</v>
      </c>
      <c r="CS895" s="61">
        <f t="shared" si="924"/>
        <v>0.34770573190912968</v>
      </c>
      <c r="CT895" s="61">
        <f t="shared" si="925"/>
        <v>2.3111999999999853</v>
      </c>
      <c r="CV895" s="61">
        <f t="shared" ref="CV895:CV896" si="941">SUM(AG895)-SUM(BL895)</f>
        <v>-220000</v>
      </c>
      <c r="CW895" s="61">
        <f t="shared" ref="CW895:CW896" si="942">SUM(AH895)-SUM(BM895)</f>
        <v>-220000</v>
      </c>
      <c r="CX895" s="61"/>
      <c r="CY895" s="61">
        <f t="shared" si="929"/>
        <v>0</v>
      </c>
      <c r="CZ895" s="61">
        <f t="shared" si="929"/>
        <v>0</v>
      </c>
      <c r="DA895" s="61">
        <f t="shared" si="929"/>
        <v>0</v>
      </c>
      <c r="DB895" s="2" t="s">
        <v>85</v>
      </c>
      <c r="DC895" s="2" t="s">
        <v>85</v>
      </c>
      <c r="DD895" s="2" t="s">
        <v>142</v>
      </c>
      <c r="DE895" s="2" t="s">
        <v>264</v>
      </c>
      <c r="DF895" s="3" t="s">
        <v>86</v>
      </c>
      <c r="DG895" s="62">
        <v>43034</v>
      </c>
      <c r="EC895" s="60"/>
      <c r="ED895" s="60"/>
      <c r="EE895" s="60"/>
      <c r="EF895" s="60"/>
    </row>
    <row r="896" spans="1:140" ht="12.75" hidden="1" customHeight="1">
      <c r="B896" s="99" t="s">
        <v>1453</v>
      </c>
      <c r="C896" s="22" t="s">
        <v>1104</v>
      </c>
      <c r="D896" s="22" t="s">
        <v>1105</v>
      </c>
      <c r="E896" s="2" t="s">
        <v>1005</v>
      </c>
      <c r="F896" s="2" t="s">
        <v>330</v>
      </c>
      <c r="G896" s="2" t="s">
        <v>331</v>
      </c>
      <c r="J896" s="149" t="s">
        <v>286</v>
      </c>
      <c r="K896" s="23" t="s">
        <v>1106</v>
      </c>
      <c r="L896" s="149" t="s">
        <v>120</v>
      </c>
      <c r="M896" s="51" t="str">
        <f t="shared" si="820"/>
        <v>JD8G-5K254-BB</v>
      </c>
      <c r="O896" s="94">
        <v>0</v>
      </c>
      <c r="P896" s="94">
        <v>0</v>
      </c>
      <c r="Q896" s="94">
        <v>0</v>
      </c>
      <c r="R896" s="94">
        <v>0</v>
      </c>
      <c r="S896" s="94">
        <v>1</v>
      </c>
      <c r="T896" s="94">
        <v>1</v>
      </c>
      <c r="U896" s="94">
        <v>0</v>
      </c>
      <c r="V896" s="94">
        <v>1</v>
      </c>
      <c r="W896" s="64">
        <f t="shared" si="829"/>
        <v>0.28000000000000003</v>
      </c>
      <c r="Y896" s="60">
        <v>-426.35</v>
      </c>
      <c r="Z896" s="8">
        <v>-3.36</v>
      </c>
      <c r="AA896" s="8">
        <v>-11.59</v>
      </c>
      <c r="AB896" s="8">
        <v>0</v>
      </c>
      <c r="AC896" s="8">
        <v>-11.12</v>
      </c>
      <c r="AD896" s="8">
        <f t="shared" ref="AD896" si="943">SUM(Y896:AC896)</f>
        <v>-452.42</v>
      </c>
      <c r="AE896" s="2" t="s">
        <v>84</v>
      </c>
      <c r="AG896" s="70">
        <v>-1686000</v>
      </c>
      <c r="AH896" s="70">
        <v>-1686000</v>
      </c>
      <c r="AJ896" s="70">
        <v>-1790771</v>
      </c>
      <c r="AK896" s="70">
        <v>160972</v>
      </c>
      <c r="AL896" s="72"/>
      <c r="AM896" s="22"/>
      <c r="AO896" s="149" t="s">
        <v>286</v>
      </c>
      <c r="AP896" s="23" t="s">
        <v>1106</v>
      </c>
      <c r="AQ896" s="149" t="s">
        <v>111</v>
      </c>
      <c r="AR896" s="51" t="str">
        <f t="shared" si="822"/>
        <v>JD8G-5K254-BA</v>
      </c>
      <c r="AS896" s="3"/>
      <c r="AT896" s="94">
        <v>0</v>
      </c>
      <c r="AU896" s="94">
        <v>0</v>
      </c>
      <c r="AV896" s="94">
        <v>0</v>
      </c>
      <c r="AW896" s="94">
        <v>0</v>
      </c>
      <c r="AX896" s="94">
        <v>1</v>
      </c>
      <c r="AY896" s="94">
        <v>1</v>
      </c>
      <c r="AZ896" s="94">
        <v>0</v>
      </c>
      <c r="BA896" s="94">
        <v>1</v>
      </c>
      <c r="BB896" s="64">
        <f t="shared" si="831"/>
        <v>0.28000000000000003</v>
      </c>
      <c r="BD896" s="8">
        <v>-426.35</v>
      </c>
      <c r="BE896" s="8">
        <v>-3.36</v>
      </c>
      <c r="BF896" s="8">
        <v>-11.59</v>
      </c>
      <c r="BG896" s="8">
        <v>0</v>
      </c>
      <c r="BH896" s="8">
        <v>-11.12</v>
      </c>
      <c r="BI896" s="8">
        <f t="shared" si="917"/>
        <v>-452.42</v>
      </c>
      <c r="BJ896" s="2" t="s">
        <v>91</v>
      </c>
      <c r="BL896" s="8">
        <v>-1686000</v>
      </c>
      <c r="BM896" s="8">
        <v>-1686000</v>
      </c>
      <c r="BN896" s="6"/>
      <c r="BO896" s="70">
        <v>-1790771</v>
      </c>
      <c r="BP896" s="70">
        <v>160972</v>
      </c>
      <c r="BQ896" s="72"/>
      <c r="BS896" s="61">
        <f t="shared" si="832"/>
        <v>0</v>
      </c>
      <c r="BT896" s="61">
        <f t="shared" si="833"/>
        <v>0</v>
      </c>
      <c r="BU896" s="61">
        <f t="shared" si="904"/>
        <v>0</v>
      </c>
      <c r="BV896" s="61">
        <f t="shared" si="904"/>
        <v>0</v>
      </c>
      <c r="BW896" s="61">
        <f t="shared" si="904"/>
        <v>0</v>
      </c>
      <c r="BX896" s="61">
        <f t="shared" si="904"/>
        <v>0</v>
      </c>
      <c r="BY896" s="61" t="s">
        <v>91</v>
      </c>
      <c r="CA896" s="61">
        <f t="shared" si="922"/>
        <v>0</v>
      </c>
      <c r="CB896" s="61">
        <f t="shared" si="922"/>
        <v>0</v>
      </c>
      <c r="CC896" s="61">
        <f t="shared" si="922"/>
        <v>0</v>
      </c>
      <c r="CD896" s="61">
        <f t="shared" si="922"/>
        <v>0</v>
      </c>
      <c r="CE896" s="61">
        <f t="shared" si="922"/>
        <v>0</v>
      </c>
      <c r="CF896" s="61">
        <f t="shared" si="922"/>
        <v>0</v>
      </c>
      <c r="CG896" s="61">
        <f t="shared" si="922"/>
        <v>0</v>
      </c>
      <c r="CH896" s="61">
        <f t="shared" si="922"/>
        <v>0</v>
      </c>
      <c r="CI896" s="61">
        <f t="shared" si="923"/>
        <v>0</v>
      </c>
      <c r="CJ896" s="61"/>
      <c r="CK896" s="61">
        <f t="shared" si="906"/>
        <v>0</v>
      </c>
      <c r="CL896" s="61">
        <f t="shared" si="906"/>
        <v>0</v>
      </c>
      <c r="CM896" s="61">
        <f t="shared" si="906"/>
        <v>0</v>
      </c>
      <c r="CN896" s="61">
        <f t="shared" si="906"/>
        <v>0</v>
      </c>
      <c r="CO896" s="61">
        <f t="shared" si="906"/>
        <v>0</v>
      </c>
      <c r="CP896" s="61">
        <f t="shared" si="906"/>
        <v>0</v>
      </c>
      <c r="CQ896" s="61">
        <f t="shared" si="906"/>
        <v>0</v>
      </c>
      <c r="CR896" s="61">
        <f t="shared" si="898"/>
        <v>0</v>
      </c>
      <c r="CS896" s="61">
        <f t="shared" si="924"/>
        <v>0</v>
      </c>
      <c r="CT896" s="61">
        <f t="shared" si="925"/>
        <v>0</v>
      </c>
      <c r="CV896" s="61">
        <f t="shared" si="941"/>
        <v>0</v>
      </c>
      <c r="CW896" s="61">
        <f t="shared" si="942"/>
        <v>0</v>
      </c>
      <c r="CX896" s="61"/>
      <c r="CY896" s="61">
        <f t="shared" si="929"/>
        <v>0</v>
      </c>
      <c r="CZ896" s="61">
        <f t="shared" si="929"/>
        <v>0</v>
      </c>
      <c r="DA896" s="61">
        <f t="shared" si="929"/>
        <v>0</v>
      </c>
      <c r="DB896" s="2" t="s">
        <v>85</v>
      </c>
      <c r="DC896" s="2" t="s">
        <v>85</v>
      </c>
      <c r="DD896" s="2" t="s">
        <v>142</v>
      </c>
      <c r="DE896" s="2" t="s">
        <v>264</v>
      </c>
      <c r="DF896" s="3" t="s">
        <v>86</v>
      </c>
      <c r="DG896" s="62">
        <v>43034</v>
      </c>
      <c r="EC896" s="60"/>
      <c r="ED896" s="60"/>
      <c r="EE896" s="60"/>
      <c r="EF896" s="60"/>
    </row>
    <row r="897" spans="1:140" ht="12.75" hidden="1" customHeight="1">
      <c r="B897" s="99" t="s">
        <v>1454</v>
      </c>
      <c r="C897" s="22" t="s">
        <v>1104</v>
      </c>
      <c r="D897" s="22" t="s">
        <v>1105</v>
      </c>
      <c r="E897" s="2" t="s">
        <v>1005</v>
      </c>
      <c r="F897" s="2" t="s">
        <v>330</v>
      </c>
      <c r="G897" s="2" t="s">
        <v>331</v>
      </c>
      <c r="J897" s="149" t="s">
        <v>286</v>
      </c>
      <c r="K897" s="23" t="s">
        <v>1106</v>
      </c>
      <c r="L897" s="149" t="s">
        <v>599</v>
      </c>
      <c r="M897" s="51" t="str">
        <f t="shared" si="820"/>
        <v>JD8G-5K254-BC</v>
      </c>
      <c r="O897" s="94">
        <v>0</v>
      </c>
      <c r="P897" s="94">
        <v>0</v>
      </c>
      <c r="Q897" s="94">
        <v>0</v>
      </c>
      <c r="R897" s="94">
        <v>0</v>
      </c>
      <c r="S897" s="94">
        <v>1</v>
      </c>
      <c r="T897" s="94">
        <v>1</v>
      </c>
      <c r="U897" s="94">
        <v>0</v>
      </c>
      <c r="V897" s="94">
        <v>1</v>
      </c>
      <c r="W897" s="64">
        <f t="shared" si="829"/>
        <v>0.28000000000000003</v>
      </c>
      <c r="Y897" s="60">
        <v>-419.46</v>
      </c>
      <c r="Z897" s="8">
        <v>-3.36</v>
      </c>
      <c r="AA897" s="8">
        <v>-11.59</v>
      </c>
      <c r="AB897" s="8">
        <v>0</v>
      </c>
      <c r="AC897" s="8">
        <v>-11.12</v>
      </c>
      <c r="AD897" s="8">
        <f t="shared" si="759"/>
        <v>-445.53</v>
      </c>
      <c r="AE897" s="2" t="s">
        <v>84</v>
      </c>
      <c r="AG897" s="70">
        <v>-1773500</v>
      </c>
      <c r="AH897" s="70">
        <v>-1773500</v>
      </c>
      <c r="AJ897" s="70">
        <v>-1790771</v>
      </c>
      <c r="AK897" s="70">
        <v>160972</v>
      </c>
      <c r="AL897" s="72"/>
      <c r="AM897" s="22"/>
      <c r="AO897" s="149" t="s">
        <v>286</v>
      </c>
      <c r="AP897" s="23" t="s">
        <v>1106</v>
      </c>
      <c r="AQ897" s="149" t="s">
        <v>120</v>
      </c>
      <c r="AR897" s="51" t="str">
        <f t="shared" si="822"/>
        <v>JD8G-5K254-BB</v>
      </c>
      <c r="AS897" s="3"/>
      <c r="AT897" s="94">
        <v>0</v>
      </c>
      <c r="AU897" s="94">
        <v>0</v>
      </c>
      <c r="AV897" s="94">
        <v>0</v>
      </c>
      <c r="AW897" s="94">
        <v>0</v>
      </c>
      <c r="AX897" s="94">
        <v>1</v>
      </c>
      <c r="AY897" s="94">
        <v>1</v>
      </c>
      <c r="AZ897" s="94">
        <v>0</v>
      </c>
      <c r="BA897" s="94">
        <v>1</v>
      </c>
      <c r="BB897" s="64">
        <f t="shared" si="831"/>
        <v>0.28000000000000003</v>
      </c>
      <c r="BD897" s="60">
        <v>-426.35</v>
      </c>
      <c r="BE897" s="8">
        <v>-3.36</v>
      </c>
      <c r="BF897" s="8">
        <v>-11.59</v>
      </c>
      <c r="BG897" s="8">
        <v>0</v>
      </c>
      <c r="BH897" s="8">
        <v>-11.12</v>
      </c>
      <c r="BI897" s="8">
        <f t="shared" si="917"/>
        <v>-452.42</v>
      </c>
      <c r="BJ897" s="2" t="s">
        <v>84</v>
      </c>
      <c r="BL897" s="70">
        <v>-1686000</v>
      </c>
      <c r="BM897" s="70">
        <v>-1686000</v>
      </c>
      <c r="BO897" s="70">
        <v>-1790771</v>
      </c>
      <c r="BP897" s="70">
        <v>160972</v>
      </c>
      <c r="BQ897" s="72"/>
      <c r="BS897" s="61">
        <f t="shared" si="832"/>
        <v>6.8900000000000432</v>
      </c>
      <c r="BT897" s="61">
        <f t="shared" si="833"/>
        <v>0</v>
      </c>
      <c r="BU897" s="61">
        <f t="shared" si="904"/>
        <v>0</v>
      </c>
      <c r="BV897" s="61">
        <f t="shared" si="904"/>
        <v>0</v>
      </c>
      <c r="BW897" s="61">
        <f t="shared" si="904"/>
        <v>0</v>
      </c>
      <c r="BX897" s="61">
        <f t="shared" si="904"/>
        <v>6.8900000000000432</v>
      </c>
      <c r="BY897" s="61" t="s">
        <v>91</v>
      </c>
      <c r="CA897" s="61">
        <f t="shared" si="922"/>
        <v>0</v>
      </c>
      <c r="CB897" s="61">
        <f t="shared" si="922"/>
        <v>0</v>
      </c>
      <c r="CC897" s="61">
        <f t="shared" si="922"/>
        <v>0</v>
      </c>
      <c r="CD897" s="61">
        <f t="shared" si="922"/>
        <v>0</v>
      </c>
      <c r="CE897" s="61">
        <f t="shared" si="922"/>
        <v>1.0365578456446582</v>
      </c>
      <c r="CF897" s="61">
        <f t="shared" si="922"/>
        <v>1.0365578456446582</v>
      </c>
      <c r="CG897" s="61">
        <f t="shared" si="922"/>
        <v>0</v>
      </c>
      <c r="CH897" s="61">
        <f t="shared" si="922"/>
        <v>1.0365578456446582</v>
      </c>
      <c r="CI897" s="61">
        <f t="shared" si="923"/>
        <v>0.29023619678050427</v>
      </c>
      <c r="CJ897" s="61"/>
      <c r="CK897" s="61">
        <f t="shared" si="906"/>
        <v>0</v>
      </c>
      <c r="CL897" s="61">
        <f t="shared" si="906"/>
        <v>0</v>
      </c>
      <c r="CM897" s="61">
        <f t="shared" si="906"/>
        <v>0</v>
      </c>
      <c r="CN897" s="61">
        <f t="shared" si="906"/>
        <v>0</v>
      </c>
      <c r="CO897" s="61">
        <f t="shared" si="906"/>
        <v>1.0365578456446582</v>
      </c>
      <c r="CP897" s="61">
        <f t="shared" si="906"/>
        <v>1.0365578456446582</v>
      </c>
      <c r="CQ897" s="61">
        <f t="shared" si="906"/>
        <v>0</v>
      </c>
      <c r="CR897" s="61">
        <f t="shared" si="898"/>
        <v>1.0365578456446582</v>
      </c>
      <c r="CS897" s="61">
        <f t="shared" si="924"/>
        <v>0.29023619678050427</v>
      </c>
      <c r="CT897" s="63">
        <f t="shared" si="925"/>
        <v>1.929200000000012</v>
      </c>
      <c r="CV897" s="61">
        <f t="shared" si="775"/>
        <v>-87500</v>
      </c>
      <c r="CW897" s="61">
        <f t="shared" si="776"/>
        <v>-87500</v>
      </c>
      <c r="CX897" s="61"/>
      <c r="CY897" s="61">
        <f t="shared" si="777"/>
        <v>0</v>
      </c>
      <c r="CZ897" s="61">
        <f t="shared" si="777"/>
        <v>0</v>
      </c>
      <c r="DA897" s="61">
        <f t="shared" si="777"/>
        <v>0</v>
      </c>
      <c r="DB897" s="2" t="s">
        <v>86</v>
      </c>
      <c r="DC897" s="2" t="s">
        <v>85</v>
      </c>
      <c r="DD897" s="2" t="s">
        <v>142</v>
      </c>
      <c r="DE897" s="2" t="s">
        <v>264</v>
      </c>
      <c r="DF897" s="178" t="s">
        <v>1455</v>
      </c>
      <c r="DG897" s="62"/>
      <c r="DZ897" s="3" t="e">
        <v>#N/A</v>
      </c>
      <c r="EC897" s="60" t="str">
        <f>VLOOKUP($M897,[1]Detail!$M:$BO,1,0)</f>
        <v>JD8G-5K254-BC</v>
      </c>
      <c r="ED897" s="60">
        <f>VLOOKUP($M897,[1]Detail!$M:$BO,22,0)</f>
        <v>-445.53</v>
      </c>
      <c r="EE897" s="60">
        <f>VLOOKUP($M897,[1]Detail!$M:$BO,42,0)</f>
        <v>-1773500</v>
      </c>
      <c r="EF897" s="60">
        <f>VLOOKUP($M897,[1]Detail!$M:$BO,45,0)</f>
        <v>-1790771</v>
      </c>
      <c r="EH897" s="60">
        <f t="shared" ref="EH897:EH898" si="944">ED897-AD897</f>
        <v>0</v>
      </c>
      <c r="EI897" s="60">
        <f t="shared" ref="EI897:EI898" si="945">EE897-AG897</f>
        <v>0</v>
      </c>
      <c r="EJ897" s="60">
        <f t="shared" ref="EJ897:EJ898" si="946">EF897-AJ897</f>
        <v>0</v>
      </c>
    </row>
    <row r="898" spans="1:140" ht="12.75" hidden="1" customHeight="1">
      <c r="B898" s="99" t="s">
        <v>1456</v>
      </c>
      <c r="C898" s="22" t="s">
        <v>1104</v>
      </c>
      <c r="D898" s="22" t="s">
        <v>1105</v>
      </c>
      <c r="E898" s="2" t="s">
        <v>1005</v>
      </c>
      <c r="F898" s="2" t="s">
        <v>330</v>
      </c>
      <c r="G898" s="2" t="s">
        <v>331</v>
      </c>
      <c r="J898" s="149" t="s">
        <v>286</v>
      </c>
      <c r="K898" s="23" t="s">
        <v>1106</v>
      </c>
      <c r="L898" s="149" t="s">
        <v>234</v>
      </c>
      <c r="M898" s="51" t="str">
        <f t="shared" si="820"/>
        <v>JD8G-5K254-AC</v>
      </c>
      <c r="O898" s="94">
        <v>1</v>
      </c>
      <c r="P898" s="94">
        <v>1</v>
      </c>
      <c r="Q898" s="94">
        <v>1</v>
      </c>
      <c r="R898" s="94">
        <v>1</v>
      </c>
      <c r="S898" s="94">
        <v>0</v>
      </c>
      <c r="T898" s="94">
        <v>0</v>
      </c>
      <c r="U898" s="94">
        <v>1</v>
      </c>
      <c r="V898" s="94">
        <v>0</v>
      </c>
      <c r="W898" s="64">
        <f t="shared" si="829"/>
        <v>0.72000000000000008</v>
      </c>
      <c r="Y898" s="60">
        <v>-416.49</v>
      </c>
      <c r="Z898" s="8">
        <v>-3.36</v>
      </c>
      <c r="AA898" s="8">
        <v>-11.59</v>
      </c>
      <c r="AB898" s="8">
        <v>0</v>
      </c>
      <c r="AC898" s="8">
        <v>-11.12</v>
      </c>
      <c r="AD898" s="8">
        <f t="shared" ref="AD898:AD953" si="947">SUM(Y898:AC898)</f>
        <v>-442.56</v>
      </c>
      <c r="AE898" s="2" t="s">
        <v>84</v>
      </c>
      <c r="AG898" s="70">
        <v>-4677500</v>
      </c>
      <c r="AH898" s="70">
        <v>-5497500</v>
      </c>
      <c r="AJ898" s="70">
        <v>-4151026</v>
      </c>
      <c r="AK898" s="70">
        <v>373134</v>
      </c>
      <c r="AL898" s="72"/>
      <c r="AM898" s="22"/>
      <c r="AO898" s="149" t="s">
        <v>286</v>
      </c>
      <c r="AP898" s="23" t="s">
        <v>1106</v>
      </c>
      <c r="AQ898" s="149" t="s">
        <v>132</v>
      </c>
      <c r="AR898" s="51" t="str">
        <f t="shared" si="822"/>
        <v>JD8G-5K254-AB</v>
      </c>
      <c r="AS898" s="3"/>
      <c r="AT898" s="94">
        <v>1</v>
      </c>
      <c r="AU898" s="94">
        <v>1</v>
      </c>
      <c r="AV898" s="94">
        <v>1</v>
      </c>
      <c r="AW898" s="94">
        <v>1</v>
      </c>
      <c r="AX898" s="94">
        <v>0</v>
      </c>
      <c r="AY898" s="94">
        <v>0</v>
      </c>
      <c r="AZ898" s="94">
        <v>1</v>
      </c>
      <c r="BA898" s="94">
        <v>0</v>
      </c>
      <c r="BB898" s="64">
        <f t="shared" si="831"/>
        <v>0.72000000000000008</v>
      </c>
      <c r="BD898" s="60">
        <v>-417.42</v>
      </c>
      <c r="BE898" s="8">
        <v>-3.36</v>
      </c>
      <c r="BF898" s="8">
        <v>-11.59</v>
      </c>
      <c r="BG898" s="8">
        <v>0</v>
      </c>
      <c r="BH898" s="8">
        <v>-11.12</v>
      </c>
      <c r="BI898" s="8">
        <f t="shared" si="917"/>
        <v>-443.49</v>
      </c>
      <c r="BJ898" s="2" t="s">
        <v>84</v>
      </c>
      <c r="BL898" s="70">
        <v>-4640000</v>
      </c>
      <c r="BM898" s="70">
        <v>-5460000</v>
      </c>
      <c r="BO898" s="70">
        <v>-4151026</v>
      </c>
      <c r="BP898" s="70">
        <v>373134</v>
      </c>
      <c r="BQ898" s="72"/>
      <c r="BS898" s="61">
        <f t="shared" si="832"/>
        <v>0.93000000000000682</v>
      </c>
      <c r="BT898" s="61">
        <f t="shared" si="833"/>
        <v>0</v>
      </c>
      <c r="BU898" s="61">
        <f t="shared" si="904"/>
        <v>0</v>
      </c>
      <c r="BV898" s="61">
        <f t="shared" si="904"/>
        <v>0</v>
      </c>
      <c r="BW898" s="61">
        <f t="shared" si="904"/>
        <v>0</v>
      </c>
      <c r="BX898" s="61">
        <f t="shared" si="904"/>
        <v>0.93000000000000682</v>
      </c>
      <c r="BY898" s="61" t="s">
        <v>91</v>
      </c>
      <c r="CA898" s="61">
        <f t="shared" si="922"/>
        <v>0.13991274259064343</v>
      </c>
      <c r="CB898" s="61">
        <f t="shared" si="922"/>
        <v>0.13991274259064343</v>
      </c>
      <c r="CC898" s="61">
        <f t="shared" si="922"/>
        <v>0.13991274259064343</v>
      </c>
      <c r="CD898" s="61">
        <f t="shared" si="922"/>
        <v>0.13991274259064343</v>
      </c>
      <c r="CE898" s="61">
        <f t="shared" si="922"/>
        <v>0</v>
      </c>
      <c r="CF898" s="61">
        <f t="shared" si="922"/>
        <v>0</v>
      </c>
      <c r="CG898" s="61">
        <f t="shared" si="922"/>
        <v>0.13991274259064343</v>
      </c>
      <c r="CH898" s="61">
        <f t="shared" si="922"/>
        <v>0</v>
      </c>
      <c r="CI898" s="61">
        <f t="shared" si="923"/>
        <v>0.10073717466526326</v>
      </c>
      <c r="CJ898" s="61"/>
      <c r="CK898" s="61">
        <f t="shared" si="906"/>
        <v>0.13991274259064343</v>
      </c>
      <c r="CL898" s="61">
        <f t="shared" si="906"/>
        <v>0.13991274259064343</v>
      </c>
      <c r="CM898" s="61">
        <f t="shared" si="906"/>
        <v>0.13991274259064343</v>
      </c>
      <c r="CN898" s="61">
        <f t="shared" si="906"/>
        <v>0.13991274259064343</v>
      </c>
      <c r="CO898" s="61">
        <f t="shared" si="906"/>
        <v>0</v>
      </c>
      <c r="CP898" s="61">
        <f t="shared" si="906"/>
        <v>0</v>
      </c>
      <c r="CQ898" s="61">
        <f t="shared" si="906"/>
        <v>0.13991274259064343</v>
      </c>
      <c r="CR898" s="61">
        <f t="shared" si="898"/>
        <v>0</v>
      </c>
      <c r="CS898" s="61">
        <f t="shared" si="924"/>
        <v>0.10073717466526326</v>
      </c>
      <c r="CT898" s="61">
        <f t="shared" si="925"/>
        <v>0.66960000000000486</v>
      </c>
      <c r="CV898" s="61">
        <f t="shared" ref="CV898:CV952" si="948">SUM(AG898)-SUM(BL898)</f>
        <v>-37500</v>
      </c>
      <c r="CW898" s="61">
        <f t="shared" ref="CW898:CW952" si="949">SUM(AH898)-SUM(BM898)</f>
        <v>-37500</v>
      </c>
      <c r="CX898" s="61"/>
      <c r="CY898" s="61">
        <f t="shared" si="777"/>
        <v>0</v>
      </c>
      <c r="CZ898" s="61">
        <f t="shared" si="777"/>
        <v>0</v>
      </c>
      <c r="DA898" s="61">
        <f t="shared" si="777"/>
        <v>0</v>
      </c>
      <c r="DB898" s="2" t="s">
        <v>86</v>
      </c>
      <c r="DC898" s="2" t="s">
        <v>85</v>
      </c>
      <c r="DD898" s="2" t="s">
        <v>142</v>
      </c>
      <c r="DE898" s="2" t="s">
        <v>264</v>
      </c>
      <c r="DF898" s="3" t="s">
        <v>86</v>
      </c>
      <c r="DG898" s="62">
        <v>43035</v>
      </c>
      <c r="EC898" s="60" t="str">
        <f>VLOOKUP($M898,[1]Detail!$M:$BO,1,0)</f>
        <v>JD8G-5K254-AC</v>
      </c>
      <c r="ED898" s="60">
        <f>VLOOKUP($M898,[1]Detail!$M:$BO,22,0)</f>
        <v>-442.56</v>
      </c>
      <c r="EE898" s="60">
        <f>VLOOKUP($M898,[1]Detail!$M:$BO,42,0)</f>
        <v>-4677500</v>
      </c>
      <c r="EF898" s="60">
        <f>VLOOKUP($M898,[1]Detail!$M:$BO,45,0)</f>
        <v>-4151026</v>
      </c>
      <c r="EH898" s="60">
        <f t="shared" si="944"/>
        <v>0</v>
      </c>
      <c r="EI898" s="60">
        <f t="shared" si="945"/>
        <v>0</v>
      </c>
      <c r="EJ898" s="60">
        <f t="shared" si="946"/>
        <v>0</v>
      </c>
    </row>
    <row r="899" spans="1:140" ht="12.75" hidden="1" customHeight="1">
      <c r="B899" s="99" t="s">
        <v>1457</v>
      </c>
      <c r="C899" s="22" t="s">
        <v>1458</v>
      </c>
      <c r="D899" s="22" t="s">
        <v>1459</v>
      </c>
      <c r="E899" s="2" t="s">
        <v>1005</v>
      </c>
      <c r="F899" s="2" t="s">
        <v>330</v>
      </c>
      <c r="G899" s="2" t="s">
        <v>994</v>
      </c>
      <c r="J899" s="149" t="s">
        <v>286</v>
      </c>
      <c r="K899" s="23">
        <v>9032</v>
      </c>
      <c r="L899" s="149" t="s">
        <v>100</v>
      </c>
      <c r="M899" s="51" t="str">
        <f t="shared" si="820"/>
        <v>JD8G-9032-AA</v>
      </c>
      <c r="O899" s="94">
        <v>1</v>
      </c>
      <c r="P899" s="94">
        <v>1</v>
      </c>
      <c r="Q899" s="94">
        <v>1</v>
      </c>
      <c r="R899" s="94">
        <v>1</v>
      </c>
      <c r="S899" s="94">
        <v>1</v>
      </c>
      <c r="T899" s="94">
        <v>1</v>
      </c>
      <c r="U899" s="94">
        <v>1</v>
      </c>
      <c r="V899" s="94">
        <v>1</v>
      </c>
      <c r="W899" s="64">
        <f t="shared" si="829"/>
        <v>1</v>
      </c>
      <c r="Y899" s="60">
        <v>-141.82</v>
      </c>
      <c r="Z899" s="60">
        <v>-1.59</v>
      </c>
      <c r="AA899" s="60">
        <v>-1.59</v>
      </c>
      <c r="AB899" s="60">
        <v>-0.78</v>
      </c>
      <c r="AC899" s="60">
        <v>0</v>
      </c>
      <c r="AD899" s="8">
        <f t="shared" si="947"/>
        <v>-145.78</v>
      </c>
      <c r="AE899" s="2" t="s">
        <v>84</v>
      </c>
      <c r="AG899" s="70">
        <f t="shared" ref="AG899:AH902" si="950">-165000</f>
        <v>-165000</v>
      </c>
      <c r="AH899" s="70">
        <f t="shared" si="950"/>
        <v>-165000</v>
      </c>
      <c r="AJ899" s="154"/>
      <c r="AK899" s="154"/>
      <c r="AL899" s="72"/>
      <c r="AM899" s="179"/>
      <c r="AO899" s="149" t="s">
        <v>1460</v>
      </c>
      <c r="AP899" s="23">
        <v>9032</v>
      </c>
      <c r="AQ899" s="149" t="s">
        <v>100</v>
      </c>
      <c r="AR899" s="51" t="str">
        <f t="shared" si="822"/>
        <v>ED8G-9032-AA</v>
      </c>
      <c r="AS899" s="3"/>
      <c r="AT899" s="94">
        <v>1</v>
      </c>
      <c r="AU899" s="94">
        <v>1</v>
      </c>
      <c r="AV899" s="94">
        <v>1</v>
      </c>
      <c r="AW899" s="94">
        <v>1</v>
      </c>
      <c r="AX899" s="94">
        <v>1</v>
      </c>
      <c r="AY899" s="94">
        <v>1</v>
      </c>
      <c r="AZ899" s="94">
        <v>1</v>
      </c>
      <c r="BA899" s="94">
        <v>1</v>
      </c>
      <c r="BB899" s="64">
        <f t="shared" si="831"/>
        <v>1</v>
      </c>
      <c r="BD899" s="60">
        <f>-141.82-6.5</f>
        <v>-148.32</v>
      </c>
      <c r="BE899" s="60">
        <v>-1.59</v>
      </c>
      <c r="BF899" s="60">
        <v>-1.59</v>
      </c>
      <c r="BG899" s="60">
        <v>-0.78</v>
      </c>
      <c r="BH899" s="60">
        <v>0</v>
      </c>
      <c r="BI899" s="8">
        <f t="shared" ref="BI899:BI903" si="951">SUM(BD899:BH899)</f>
        <v>-152.28</v>
      </c>
      <c r="BJ899" s="2" t="s">
        <v>84</v>
      </c>
      <c r="BL899" s="70">
        <f t="shared" ref="BL899:BM902" si="952">-165000</f>
        <v>-165000</v>
      </c>
      <c r="BM899" s="70">
        <f t="shared" si="952"/>
        <v>-165000</v>
      </c>
      <c r="BO899" s="154"/>
      <c r="BP899" s="154"/>
      <c r="BQ899" s="72"/>
      <c r="BS899" s="61">
        <f t="shared" si="832"/>
        <v>6.5</v>
      </c>
      <c r="BT899" s="61">
        <f t="shared" si="833"/>
        <v>0</v>
      </c>
      <c r="BU899" s="61">
        <f t="shared" si="904"/>
        <v>0</v>
      </c>
      <c r="BV899" s="61">
        <f t="shared" si="904"/>
        <v>0</v>
      </c>
      <c r="BW899" s="61">
        <f t="shared" si="904"/>
        <v>0</v>
      </c>
      <c r="BX899" s="61">
        <f t="shared" si="904"/>
        <v>6.5</v>
      </c>
      <c r="BY899" s="61" t="s">
        <v>91</v>
      </c>
      <c r="CA899" s="61">
        <f t="shared" si="922"/>
        <v>0.97788476004212421</v>
      </c>
      <c r="CB899" s="61">
        <f t="shared" si="922"/>
        <v>0.97788476004212421</v>
      </c>
      <c r="CC899" s="61">
        <f t="shared" si="922"/>
        <v>0.97788476004212421</v>
      </c>
      <c r="CD899" s="61">
        <f t="shared" si="922"/>
        <v>0.97788476004212421</v>
      </c>
      <c r="CE899" s="61">
        <f t="shared" si="922"/>
        <v>0.97788476004212421</v>
      </c>
      <c r="CF899" s="61">
        <f t="shared" si="922"/>
        <v>0.97788476004212421</v>
      </c>
      <c r="CG899" s="61">
        <f t="shared" si="922"/>
        <v>0.97788476004212421</v>
      </c>
      <c r="CH899" s="61">
        <f t="shared" si="922"/>
        <v>0.97788476004212421</v>
      </c>
      <c r="CI899" s="61">
        <f t="shared" si="923"/>
        <v>0.97788476004212455</v>
      </c>
      <c r="CJ899" s="61"/>
      <c r="CK899" s="61">
        <f t="shared" si="906"/>
        <v>0.97788476004212421</v>
      </c>
      <c r="CL899" s="61">
        <f t="shared" si="906"/>
        <v>0.97788476004212421</v>
      </c>
      <c r="CM899" s="61">
        <f t="shared" si="906"/>
        <v>0.97788476004212421</v>
      </c>
      <c r="CN899" s="61">
        <f t="shared" si="906"/>
        <v>0.97788476004212421</v>
      </c>
      <c r="CO899" s="61">
        <f t="shared" si="906"/>
        <v>0.97788476004212421</v>
      </c>
      <c r="CP899" s="61">
        <f t="shared" si="906"/>
        <v>0.97788476004212421</v>
      </c>
      <c r="CQ899" s="61">
        <f t="shared" si="906"/>
        <v>0.97788476004212421</v>
      </c>
      <c r="CR899" s="61">
        <f t="shared" si="898"/>
        <v>0.97788476004212421</v>
      </c>
      <c r="CS899" s="61">
        <f t="shared" si="924"/>
        <v>0.97788476004212455</v>
      </c>
      <c r="CT899" s="61">
        <f t="shared" si="925"/>
        <v>6.5000000000000018</v>
      </c>
      <c r="CV899" s="61">
        <f t="shared" si="948"/>
        <v>0</v>
      </c>
      <c r="CW899" s="61">
        <f t="shared" si="949"/>
        <v>0</v>
      </c>
      <c r="CX899" s="61"/>
      <c r="CY899" s="61">
        <f t="shared" si="777"/>
        <v>0</v>
      </c>
      <c r="CZ899" s="61">
        <f t="shared" si="777"/>
        <v>0</v>
      </c>
      <c r="DA899" s="61">
        <f t="shared" si="777"/>
        <v>0</v>
      </c>
      <c r="DB899" s="2" t="s">
        <v>85</v>
      </c>
      <c r="DC899" s="2" t="s">
        <v>85</v>
      </c>
      <c r="DD899" s="2" t="s">
        <v>142</v>
      </c>
      <c r="DE899" s="2" t="s">
        <v>264</v>
      </c>
      <c r="DF899" s="3" t="s">
        <v>86</v>
      </c>
      <c r="DG899" s="62">
        <v>43076</v>
      </c>
      <c r="EC899" s="60"/>
      <c r="ED899" s="60"/>
      <c r="EE899" s="60"/>
      <c r="EF899" s="60"/>
    </row>
    <row r="900" spans="1:140" ht="12.75" hidden="1" customHeight="1">
      <c r="B900" s="99" t="s">
        <v>1461</v>
      </c>
      <c r="C900" s="22" t="s">
        <v>1458</v>
      </c>
      <c r="D900" s="22" t="s">
        <v>1459</v>
      </c>
      <c r="E900" s="2" t="s">
        <v>1005</v>
      </c>
      <c r="F900" s="2" t="s">
        <v>330</v>
      </c>
      <c r="G900" s="2" t="s">
        <v>994</v>
      </c>
      <c r="J900" s="149" t="s">
        <v>286</v>
      </c>
      <c r="K900" s="23">
        <v>9032</v>
      </c>
      <c r="L900" s="149" t="s">
        <v>132</v>
      </c>
      <c r="M900" s="51" t="str">
        <f t="shared" si="820"/>
        <v>JD8G-9032-AB</v>
      </c>
      <c r="O900" s="94">
        <v>1</v>
      </c>
      <c r="P900" s="94">
        <v>1</v>
      </c>
      <c r="Q900" s="94">
        <v>1</v>
      </c>
      <c r="R900" s="94">
        <v>1</v>
      </c>
      <c r="S900" s="94">
        <v>1</v>
      </c>
      <c r="T900" s="94">
        <v>1</v>
      </c>
      <c r="U900" s="94">
        <v>1</v>
      </c>
      <c r="V900" s="94">
        <v>1</v>
      </c>
      <c r="W900" s="64">
        <f t="shared" si="829"/>
        <v>1</v>
      </c>
      <c r="Y900" s="60">
        <v>-141.82</v>
      </c>
      <c r="Z900" s="60">
        <v>-1.59</v>
      </c>
      <c r="AA900" s="60">
        <v>-1.59</v>
      </c>
      <c r="AB900" s="60">
        <v>-0.78</v>
      </c>
      <c r="AC900" s="60">
        <v>0</v>
      </c>
      <c r="AD900" s="8">
        <f t="shared" ref="AD900" si="953">SUM(Y900:AC900)</f>
        <v>-145.78</v>
      </c>
      <c r="AE900" s="2" t="s">
        <v>84</v>
      </c>
      <c r="AG900" s="70">
        <f t="shared" si="950"/>
        <v>-165000</v>
      </c>
      <c r="AH900" s="70">
        <f t="shared" si="950"/>
        <v>-165000</v>
      </c>
      <c r="AJ900" s="70"/>
      <c r="AK900" s="70"/>
      <c r="AL900" s="72"/>
      <c r="AM900" s="179"/>
      <c r="AO900" s="149" t="s">
        <v>286</v>
      </c>
      <c r="AP900" s="23">
        <v>9032</v>
      </c>
      <c r="AQ900" s="149" t="s">
        <v>100</v>
      </c>
      <c r="AR900" s="51" t="str">
        <f t="shared" si="822"/>
        <v>JD8G-9032-AA</v>
      </c>
      <c r="AS900" s="3"/>
      <c r="AT900" s="94">
        <v>1</v>
      </c>
      <c r="AU900" s="94">
        <v>1</v>
      </c>
      <c r="AV900" s="94">
        <v>1</v>
      </c>
      <c r="AW900" s="94">
        <v>1</v>
      </c>
      <c r="AX900" s="94">
        <v>1</v>
      </c>
      <c r="AY900" s="94">
        <v>1</v>
      </c>
      <c r="AZ900" s="94">
        <v>1</v>
      </c>
      <c r="BA900" s="94">
        <v>1</v>
      </c>
      <c r="BB900" s="64">
        <f t="shared" si="831"/>
        <v>1</v>
      </c>
      <c r="BD900" s="60">
        <v>-141.82</v>
      </c>
      <c r="BE900" s="60">
        <v>-1.59</v>
      </c>
      <c r="BF900" s="60">
        <v>-1.59</v>
      </c>
      <c r="BG900" s="60">
        <v>-0.78</v>
      </c>
      <c r="BH900" s="60">
        <v>0</v>
      </c>
      <c r="BI900" s="8">
        <f t="shared" ref="BI900:BI901" si="954">SUM(BD900:BH900)</f>
        <v>-145.78</v>
      </c>
      <c r="BJ900" s="2" t="s">
        <v>84</v>
      </c>
      <c r="BL900" s="70">
        <f t="shared" si="952"/>
        <v>-165000</v>
      </c>
      <c r="BM900" s="70">
        <f t="shared" si="952"/>
        <v>-165000</v>
      </c>
      <c r="BO900" s="70"/>
      <c r="BP900" s="70"/>
      <c r="BQ900" s="72"/>
      <c r="BS900" s="61">
        <f t="shared" si="832"/>
        <v>0</v>
      </c>
      <c r="BT900" s="61">
        <f t="shared" si="833"/>
        <v>0</v>
      </c>
      <c r="BU900" s="61">
        <f t="shared" si="904"/>
        <v>0</v>
      </c>
      <c r="BV900" s="61">
        <f t="shared" si="904"/>
        <v>0</v>
      </c>
      <c r="BW900" s="61">
        <f t="shared" si="904"/>
        <v>0</v>
      </c>
      <c r="BX900" s="61">
        <f t="shared" si="904"/>
        <v>0</v>
      </c>
      <c r="BY900" s="61" t="s">
        <v>91</v>
      </c>
      <c r="CA900" s="61">
        <f t="shared" si="922"/>
        <v>0</v>
      </c>
      <c r="CB900" s="61">
        <f t="shared" si="922"/>
        <v>0</v>
      </c>
      <c r="CC900" s="61">
        <f t="shared" si="922"/>
        <v>0</v>
      </c>
      <c r="CD900" s="61">
        <f t="shared" si="922"/>
        <v>0</v>
      </c>
      <c r="CE900" s="61">
        <f t="shared" si="922"/>
        <v>0</v>
      </c>
      <c r="CF900" s="61">
        <f t="shared" si="922"/>
        <v>0</v>
      </c>
      <c r="CG900" s="61">
        <f t="shared" si="922"/>
        <v>0</v>
      </c>
      <c r="CH900" s="61">
        <f t="shared" si="922"/>
        <v>0</v>
      </c>
      <c r="CI900" s="61">
        <f t="shared" si="923"/>
        <v>0</v>
      </c>
      <c r="CJ900" s="61"/>
      <c r="CK900" s="61">
        <f t="shared" si="906"/>
        <v>0</v>
      </c>
      <c r="CL900" s="61">
        <f t="shared" si="906"/>
        <v>0</v>
      </c>
      <c r="CM900" s="61">
        <f t="shared" si="906"/>
        <v>0</v>
      </c>
      <c r="CN900" s="61">
        <f t="shared" si="906"/>
        <v>0</v>
      </c>
      <c r="CO900" s="61">
        <f t="shared" si="906"/>
        <v>0</v>
      </c>
      <c r="CP900" s="61">
        <f t="shared" si="906"/>
        <v>0</v>
      </c>
      <c r="CQ900" s="61">
        <f t="shared" si="906"/>
        <v>0</v>
      </c>
      <c r="CR900" s="61">
        <f t="shared" si="898"/>
        <v>0</v>
      </c>
      <c r="CS900" s="61">
        <f t="shared" si="924"/>
        <v>0</v>
      </c>
      <c r="CT900" s="61">
        <f t="shared" si="925"/>
        <v>0</v>
      </c>
      <c r="CV900" s="61">
        <f t="shared" ref="CV900" si="955">SUM(AG900)-SUM(BL900)</f>
        <v>0</v>
      </c>
      <c r="CW900" s="61">
        <f t="shared" si="949"/>
        <v>0</v>
      </c>
      <c r="CX900" s="61"/>
      <c r="CY900" s="61">
        <f t="shared" si="777"/>
        <v>0</v>
      </c>
      <c r="CZ900" s="61">
        <f t="shared" si="777"/>
        <v>0</v>
      </c>
      <c r="DA900" s="61">
        <f t="shared" si="777"/>
        <v>0</v>
      </c>
      <c r="DB900" s="2" t="s">
        <v>85</v>
      </c>
      <c r="DC900" s="2" t="s">
        <v>85</v>
      </c>
      <c r="DD900" s="2" t="s">
        <v>142</v>
      </c>
      <c r="DE900" s="2" t="s">
        <v>264</v>
      </c>
      <c r="DF900" s="3" t="s">
        <v>86</v>
      </c>
      <c r="DG900" s="62" t="s">
        <v>929</v>
      </c>
      <c r="EC900" s="60"/>
      <c r="ED900" s="60"/>
      <c r="EE900" s="60"/>
      <c r="EF900" s="60"/>
      <c r="EH900" s="60"/>
      <c r="EI900" s="60"/>
      <c r="EJ900" s="60"/>
    </row>
    <row r="901" spans="1:140" ht="12.75" hidden="1" customHeight="1">
      <c r="B901" s="99" t="s">
        <v>1462</v>
      </c>
      <c r="C901" s="22" t="s">
        <v>1458</v>
      </c>
      <c r="D901" s="22" t="s">
        <v>1459</v>
      </c>
      <c r="E901" s="2" t="s">
        <v>1005</v>
      </c>
      <c r="F901" s="2" t="s">
        <v>330</v>
      </c>
      <c r="G901" s="2" t="s">
        <v>994</v>
      </c>
      <c r="J901" s="149" t="s">
        <v>286</v>
      </c>
      <c r="K901" s="23">
        <v>9032</v>
      </c>
      <c r="L901" s="149" t="s">
        <v>234</v>
      </c>
      <c r="M901" s="51" t="str">
        <f t="shared" si="820"/>
        <v>JD8G-9032-AC</v>
      </c>
      <c r="O901" s="94">
        <v>1</v>
      </c>
      <c r="P901" s="94">
        <v>1</v>
      </c>
      <c r="Q901" s="94">
        <v>1</v>
      </c>
      <c r="R901" s="94">
        <v>1</v>
      </c>
      <c r="S901" s="94">
        <v>1</v>
      </c>
      <c r="T901" s="94">
        <v>1</v>
      </c>
      <c r="U901" s="94">
        <v>1</v>
      </c>
      <c r="V901" s="94">
        <v>1</v>
      </c>
      <c r="W901" s="64">
        <f t="shared" si="829"/>
        <v>1</v>
      </c>
      <c r="Y901" s="60">
        <f>-141.82+4.25</f>
        <v>-137.57</v>
      </c>
      <c r="Z901" s="60">
        <v>-1.59</v>
      </c>
      <c r="AA901" s="60">
        <v>-1.59</v>
      </c>
      <c r="AB901" s="60">
        <v>-0.78</v>
      </c>
      <c r="AC901" s="60">
        <v>0</v>
      </c>
      <c r="AD901" s="8">
        <f t="shared" ref="AD901:AD902" si="956">SUM(Y901:AC901)</f>
        <v>-141.53</v>
      </c>
      <c r="AE901" s="2" t="s">
        <v>84</v>
      </c>
      <c r="AG901" s="70">
        <f t="shared" si="950"/>
        <v>-165000</v>
      </c>
      <c r="AH901" s="70">
        <f t="shared" si="950"/>
        <v>-165000</v>
      </c>
      <c r="AJ901" s="70"/>
      <c r="AK901" s="70"/>
      <c r="AL901" s="72"/>
      <c r="AM901" s="179"/>
      <c r="AO901" s="149" t="s">
        <v>286</v>
      </c>
      <c r="AP901" s="23">
        <v>9032</v>
      </c>
      <c r="AQ901" s="149" t="s">
        <v>132</v>
      </c>
      <c r="AR901" s="51" t="str">
        <f t="shared" si="822"/>
        <v>JD8G-9032-AB</v>
      </c>
      <c r="AS901" s="3"/>
      <c r="AT901" s="94">
        <v>1</v>
      </c>
      <c r="AU901" s="94">
        <v>1</v>
      </c>
      <c r="AV901" s="94">
        <v>1</v>
      </c>
      <c r="AW901" s="94">
        <v>1</v>
      </c>
      <c r="AX901" s="94">
        <v>1</v>
      </c>
      <c r="AY901" s="94">
        <v>1</v>
      </c>
      <c r="AZ901" s="94">
        <v>1</v>
      </c>
      <c r="BA901" s="94">
        <v>1</v>
      </c>
      <c r="BB901" s="64">
        <f t="shared" si="831"/>
        <v>1</v>
      </c>
      <c r="BD901" s="60">
        <v>-141.82</v>
      </c>
      <c r="BE901" s="60">
        <v>-1.59</v>
      </c>
      <c r="BF901" s="60">
        <v>-1.59</v>
      </c>
      <c r="BG901" s="60">
        <v>-0.78</v>
      </c>
      <c r="BH901" s="60">
        <v>0</v>
      </c>
      <c r="BI901" s="8">
        <f t="shared" si="954"/>
        <v>-145.78</v>
      </c>
      <c r="BJ901" s="2" t="s">
        <v>84</v>
      </c>
      <c r="BL901" s="70">
        <f t="shared" si="952"/>
        <v>-165000</v>
      </c>
      <c r="BM901" s="70">
        <f t="shared" si="952"/>
        <v>-165000</v>
      </c>
      <c r="BO901" s="70"/>
      <c r="BP901" s="70"/>
      <c r="BQ901" s="72"/>
      <c r="BS901" s="61">
        <f t="shared" si="832"/>
        <v>4.25</v>
      </c>
      <c r="BT901" s="61">
        <f t="shared" si="833"/>
        <v>0</v>
      </c>
      <c r="BU901" s="61">
        <f t="shared" si="904"/>
        <v>0</v>
      </c>
      <c r="BV901" s="61">
        <f t="shared" si="904"/>
        <v>0</v>
      </c>
      <c r="BW901" s="61">
        <f t="shared" si="904"/>
        <v>0</v>
      </c>
      <c r="BX901" s="61">
        <f t="shared" si="904"/>
        <v>4.25</v>
      </c>
      <c r="BY901" s="61" t="s">
        <v>91</v>
      </c>
      <c r="CA901" s="61">
        <f t="shared" si="922"/>
        <v>0.63938618925831203</v>
      </c>
      <c r="CB901" s="61">
        <f t="shared" si="922"/>
        <v>0.63938618925831203</v>
      </c>
      <c r="CC901" s="61">
        <f t="shared" si="922"/>
        <v>0.63938618925831203</v>
      </c>
      <c r="CD901" s="61">
        <f t="shared" si="922"/>
        <v>0.63938618925831203</v>
      </c>
      <c r="CE901" s="61">
        <f t="shared" si="922"/>
        <v>0.63938618925831203</v>
      </c>
      <c r="CF901" s="61">
        <f t="shared" si="922"/>
        <v>0.63938618925831203</v>
      </c>
      <c r="CG901" s="61">
        <f t="shared" si="922"/>
        <v>0.63938618925831203</v>
      </c>
      <c r="CH901" s="61">
        <f t="shared" si="922"/>
        <v>0.63938618925831203</v>
      </c>
      <c r="CI901" s="61">
        <f t="shared" si="923"/>
        <v>0.63938618925831225</v>
      </c>
      <c r="CJ901" s="61"/>
      <c r="CK901" s="61">
        <f t="shared" si="906"/>
        <v>0.63938618925831203</v>
      </c>
      <c r="CL901" s="61">
        <f t="shared" si="906"/>
        <v>0.63938618925831203</v>
      </c>
      <c r="CM901" s="61">
        <f t="shared" si="906"/>
        <v>0.63938618925831203</v>
      </c>
      <c r="CN901" s="61">
        <f t="shared" si="906"/>
        <v>0.63938618925831203</v>
      </c>
      <c r="CO901" s="61">
        <f t="shared" si="906"/>
        <v>0.63938618925831203</v>
      </c>
      <c r="CP901" s="61">
        <f t="shared" si="906"/>
        <v>0.63938618925831203</v>
      </c>
      <c r="CQ901" s="61">
        <f t="shared" si="906"/>
        <v>0.63938618925831203</v>
      </c>
      <c r="CR901" s="61">
        <f t="shared" si="898"/>
        <v>0.63938618925831203</v>
      </c>
      <c r="CS901" s="61">
        <f t="shared" si="924"/>
        <v>0.63938618925831225</v>
      </c>
      <c r="CT901" s="61">
        <f t="shared" si="925"/>
        <v>4.2500000000000018</v>
      </c>
      <c r="CV901" s="61">
        <f t="shared" ref="CV901" si="957">SUM(AG901)-SUM(BL901)</f>
        <v>0</v>
      </c>
      <c r="CW901" s="61">
        <f t="shared" si="949"/>
        <v>0</v>
      </c>
      <c r="CX901" s="61"/>
      <c r="CY901" s="61">
        <f t="shared" si="777"/>
        <v>0</v>
      </c>
      <c r="CZ901" s="61">
        <f t="shared" si="777"/>
        <v>0</v>
      </c>
      <c r="DA901" s="61">
        <f t="shared" si="777"/>
        <v>0</v>
      </c>
      <c r="DB901" s="2" t="s">
        <v>85</v>
      </c>
      <c r="DC901" s="2" t="s">
        <v>85</v>
      </c>
      <c r="DD901" s="2" t="s">
        <v>142</v>
      </c>
      <c r="DE901" s="2" t="s">
        <v>264</v>
      </c>
      <c r="DF901" s="3" t="s">
        <v>86</v>
      </c>
      <c r="DG901" s="62">
        <v>43125</v>
      </c>
      <c r="EC901" s="60"/>
      <c r="ED901" s="60"/>
      <c r="EE901" s="60"/>
      <c r="EF901" s="60"/>
    </row>
    <row r="902" spans="1:140" ht="12.75" hidden="1" customHeight="1">
      <c r="B902" s="99" t="s">
        <v>1463</v>
      </c>
      <c r="C902" s="22" t="s">
        <v>1458</v>
      </c>
      <c r="D902" s="22" t="s">
        <v>1459</v>
      </c>
      <c r="E902" s="2" t="s">
        <v>1005</v>
      </c>
      <c r="F902" s="2" t="s">
        <v>330</v>
      </c>
      <c r="G902" s="2" t="s">
        <v>994</v>
      </c>
      <c r="J902" s="149" t="s">
        <v>286</v>
      </c>
      <c r="K902" s="23">
        <v>9032</v>
      </c>
      <c r="L902" s="149" t="s">
        <v>162</v>
      </c>
      <c r="M902" s="51" t="str">
        <f t="shared" si="820"/>
        <v>JD8G-9032-AD</v>
      </c>
      <c r="O902" s="94">
        <v>1</v>
      </c>
      <c r="P902" s="94">
        <v>1</v>
      </c>
      <c r="Q902" s="94">
        <v>1</v>
      </c>
      <c r="R902" s="94">
        <v>1</v>
      </c>
      <c r="S902" s="94">
        <v>1</v>
      </c>
      <c r="T902" s="94">
        <v>1</v>
      </c>
      <c r="U902" s="94">
        <v>1</v>
      </c>
      <c r="V902" s="94">
        <v>1</v>
      </c>
      <c r="W902" s="64">
        <f t="shared" si="829"/>
        <v>1</v>
      </c>
      <c r="Y902" s="60">
        <f>-141.82+4.25+1.48</f>
        <v>-136.09</v>
      </c>
      <c r="Z902" s="60">
        <v>-1.59</v>
      </c>
      <c r="AA902" s="60">
        <v>-1.59</v>
      </c>
      <c r="AB902" s="60">
        <v>-0.78</v>
      </c>
      <c r="AC902" s="60">
        <v>0</v>
      </c>
      <c r="AD902" s="8">
        <f t="shared" si="956"/>
        <v>-140.05000000000001</v>
      </c>
      <c r="AE902" s="2" t="s">
        <v>84</v>
      </c>
      <c r="AG902" s="70">
        <f t="shared" si="950"/>
        <v>-165000</v>
      </c>
      <c r="AH902" s="70">
        <f t="shared" si="950"/>
        <v>-165000</v>
      </c>
      <c r="AJ902" s="70"/>
      <c r="AK902" s="70"/>
      <c r="AL902" s="72"/>
      <c r="AM902" s="179"/>
      <c r="AO902" s="149" t="s">
        <v>286</v>
      </c>
      <c r="AP902" s="23">
        <v>9032</v>
      </c>
      <c r="AQ902" s="149" t="s">
        <v>234</v>
      </c>
      <c r="AR902" s="51" t="str">
        <f t="shared" si="822"/>
        <v>JD8G-9032-AC</v>
      </c>
      <c r="AS902" s="3"/>
      <c r="AT902" s="94">
        <v>1</v>
      </c>
      <c r="AU902" s="94">
        <v>1</v>
      </c>
      <c r="AV902" s="94">
        <v>1</v>
      </c>
      <c r="AW902" s="94">
        <v>1</v>
      </c>
      <c r="AX902" s="94">
        <v>1</v>
      </c>
      <c r="AY902" s="94">
        <v>1</v>
      </c>
      <c r="AZ902" s="94">
        <v>1</v>
      </c>
      <c r="BA902" s="94">
        <v>1</v>
      </c>
      <c r="BB902" s="64">
        <f t="shared" si="831"/>
        <v>1</v>
      </c>
      <c r="BD902" s="60">
        <f>-141.82+4.25</f>
        <v>-137.57</v>
      </c>
      <c r="BE902" s="60">
        <v>-1.59</v>
      </c>
      <c r="BF902" s="60">
        <v>-1.59</v>
      </c>
      <c r="BG902" s="60">
        <v>-0.78</v>
      </c>
      <c r="BH902" s="60">
        <v>0</v>
      </c>
      <c r="BI902" s="8">
        <f t="shared" ref="BI902" si="958">SUM(BD902:BH902)</f>
        <v>-141.53</v>
      </c>
      <c r="BJ902" s="2" t="s">
        <v>84</v>
      </c>
      <c r="BL902" s="70">
        <f t="shared" si="952"/>
        <v>-165000</v>
      </c>
      <c r="BM902" s="70">
        <f t="shared" si="952"/>
        <v>-165000</v>
      </c>
      <c r="BO902" s="70"/>
      <c r="BP902" s="70"/>
      <c r="BQ902" s="72"/>
      <c r="BS902" s="61">
        <f t="shared" si="832"/>
        <v>1.4799999999999898</v>
      </c>
      <c r="BT902" s="61">
        <f t="shared" si="833"/>
        <v>0</v>
      </c>
      <c r="BU902" s="61">
        <f t="shared" si="904"/>
        <v>0</v>
      </c>
      <c r="BV902" s="61">
        <f t="shared" si="904"/>
        <v>0</v>
      </c>
      <c r="BW902" s="61">
        <f t="shared" si="904"/>
        <v>0</v>
      </c>
      <c r="BX902" s="61">
        <f t="shared" si="904"/>
        <v>1.4799999999999898</v>
      </c>
      <c r="BY902" s="61" t="s">
        <v>91</v>
      </c>
      <c r="CA902" s="61">
        <f t="shared" si="922"/>
        <v>0.22265683767112829</v>
      </c>
      <c r="CB902" s="61">
        <f t="shared" si="922"/>
        <v>0.22265683767112829</v>
      </c>
      <c r="CC902" s="61">
        <f t="shared" si="922"/>
        <v>0.22265683767112829</v>
      </c>
      <c r="CD902" s="61">
        <f t="shared" si="922"/>
        <v>0.22265683767112829</v>
      </c>
      <c r="CE902" s="61">
        <f t="shared" si="922"/>
        <v>0.22265683767112829</v>
      </c>
      <c r="CF902" s="61">
        <f t="shared" si="922"/>
        <v>0.22265683767112829</v>
      </c>
      <c r="CG902" s="61">
        <f t="shared" si="922"/>
        <v>0.22265683767112829</v>
      </c>
      <c r="CH902" s="61">
        <f t="shared" si="922"/>
        <v>0.22265683767112829</v>
      </c>
      <c r="CI902" s="61">
        <f t="shared" si="923"/>
        <v>0.22265683767112834</v>
      </c>
      <c r="CJ902" s="61"/>
      <c r="CK902" s="61">
        <f t="shared" si="906"/>
        <v>0.22265683767112829</v>
      </c>
      <c r="CL902" s="61">
        <f t="shared" si="906"/>
        <v>0.22265683767112829</v>
      </c>
      <c r="CM902" s="61">
        <f t="shared" si="906"/>
        <v>0.22265683767112829</v>
      </c>
      <c r="CN902" s="61">
        <f t="shared" si="906"/>
        <v>0.22265683767112829</v>
      </c>
      <c r="CO902" s="61">
        <f t="shared" si="906"/>
        <v>0.22265683767112829</v>
      </c>
      <c r="CP902" s="61">
        <f t="shared" si="906"/>
        <v>0.22265683767112829</v>
      </c>
      <c r="CQ902" s="61">
        <f t="shared" si="906"/>
        <v>0.22265683767112829</v>
      </c>
      <c r="CR902" s="61">
        <f t="shared" si="898"/>
        <v>0.22265683767112829</v>
      </c>
      <c r="CS902" s="61">
        <f t="shared" si="924"/>
        <v>0.22265683767112834</v>
      </c>
      <c r="CT902" s="143">
        <f t="shared" si="925"/>
        <v>1.4799999999999902</v>
      </c>
      <c r="CV902" s="61">
        <f t="shared" ref="CV902" si="959">SUM(AG902)-SUM(BL902)</f>
        <v>0</v>
      </c>
      <c r="CW902" s="61">
        <f t="shared" si="949"/>
        <v>0</v>
      </c>
      <c r="CX902" s="61"/>
      <c r="CY902" s="61">
        <f t="shared" si="777"/>
        <v>0</v>
      </c>
      <c r="CZ902" s="61">
        <f t="shared" si="777"/>
        <v>0</v>
      </c>
      <c r="DA902" s="61">
        <f t="shared" si="777"/>
        <v>0</v>
      </c>
      <c r="DB902" s="2" t="s">
        <v>86</v>
      </c>
      <c r="DC902" s="2" t="s">
        <v>85</v>
      </c>
      <c r="DD902" s="2" t="s">
        <v>142</v>
      </c>
      <c r="DE902" s="2" t="s">
        <v>106</v>
      </c>
      <c r="DF902" s="3" t="s">
        <v>86</v>
      </c>
      <c r="DG902" s="62">
        <v>43125</v>
      </c>
      <c r="EC902" s="60" t="str">
        <f>VLOOKUP($M902,[1]Detail!$M:$BO,1,0)</f>
        <v>JD8G-9032-AD</v>
      </c>
      <c r="ED902" s="60">
        <f>VLOOKUP($M902,[1]Detail!$M:$BO,22,0)</f>
        <v>-140.05000000000001</v>
      </c>
      <c r="EE902" s="60">
        <f>VLOOKUP($M902,[1]Detail!$M:$BO,42,0)</f>
        <v>-165000</v>
      </c>
      <c r="EF902" s="60">
        <f>VLOOKUP($M902,[1]Detail!$M:$BO,45,0)</f>
        <v>0</v>
      </c>
      <c r="EH902" s="60">
        <f t="shared" ref="EH902:EH904" si="960">ED902-AD902</f>
        <v>0</v>
      </c>
      <c r="EI902" s="60">
        <f t="shared" ref="EI902:EI904" si="961">EE902-AG902</f>
        <v>0</v>
      </c>
      <c r="EJ902" s="180">
        <f t="shared" ref="EJ902:EJ904" si="962">EF902-AJ902</f>
        <v>0</v>
      </c>
    </row>
    <row r="903" spans="1:140" ht="12.75" hidden="1" customHeight="1">
      <c r="B903" s="99" t="s">
        <v>1464</v>
      </c>
      <c r="C903" s="22" t="s">
        <v>1465</v>
      </c>
      <c r="D903" s="22" t="s">
        <v>1466</v>
      </c>
      <c r="E903" s="2" t="s">
        <v>1005</v>
      </c>
      <c r="F903" s="2" t="s">
        <v>330</v>
      </c>
      <c r="G903" s="2" t="s">
        <v>994</v>
      </c>
      <c r="J903" s="149" t="s">
        <v>286</v>
      </c>
      <c r="K903" s="23" t="s">
        <v>1467</v>
      </c>
      <c r="L903" s="149" t="s">
        <v>100</v>
      </c>
      <c r="M903" s="51" t="str">
        <f t="shared" si="820"/>
        <v>JD8G-9G271-AA</v>
      </c>
      <c r="O903" s="94">
        <v>1</v>
      </c>
      <c r="P903" s="94">
        <v>1</v>
      </c>
      <c r="Q903" s="94">
        <v>1</v>
      </c>
      <c r="R903" s="94">
        <v>1</v>
      </c>
      <c r="S903" s="94">
        <v>1</v>
      </c>
      <c r="T903" s="94">
        <v>1</v>
      </c>
      <c r="U903" s="94">
        <v>1</v>
      </c>
      <c r="V903" s="94">
        <v>1</v>
      </c>
      <c r="W903" s="64">
        <f t="shared" si="829"/>
        <v>1</v>
      </c>
      <c r="Y903" s="60">
        <v>-13.98</v>
      </c>
      <c r="Z903" s="60">
        <v>-0.63</v>
      </c>
      <c r="AA903" s="60">
        <v>-0.35</v>
      </c>
      <c r="AB903" s="60">
        <v>-0.45</v>
      </c>
      <c r="AC903" s="60">
        <v>0</v>
      </c>
      <c r="AD903" s="8">
        <f t="shared" si="947"/>
        <v>-15.41</v>
      </c>
      <c r="AE903" s="2" t="s">
        <v>84</v>
      </c>
      <c r="AG903" s="70">
        <v>-158400</v>
      </c>
      <c r="AH903" s="70">
        <v>-158400</v>
      </c>
      <c r="AJ903" s="70"/>
      <c r="AK903" s="70"/>
      <c r="AL903" s="121"/>
      <c r="AM903" s="22"/>
      <c r="AO903" s="149" t="s">
        <v>1460</v>
      </c>
      <c r="AP903" s="85" t="s">
        <v>1467</v>
      </c>
      <c r="AQ903" s="149" t="s">
        <v>132</v>
      </c>
      <c r="AR903" s="51" t="str">
        <f t="shared" si="822"/>
        <v>ED8G-9G271-AB</v>
      </c>
      <c r="AS903" s="3"/>
      <c r="AT903" s="94">
        <v>1</v>
      </c>
      <c r="AU903" s="94">
        <v>1</v>
      </c>
      <c r="AV903" s="94">
        <v>1</v>
      </c>
      <c r="AW903" s="94">
        <v>1</v>
      </c>
      <c r="AX903" s="94">
        <v>1</v>
      </c>
      <c r="AY903" s="94">
        <v>1</v>
      </c>
      <c r="AZ903" s="94">
        <v>1</v>
      </c>
      <c r="BA903" s="94">
        <v>1</v>
      </c>
      <c r="BB903" s="64">
        <f t="shared" si="831"/>
        <v>1</v>
      </c>
      <c r="BD903" s="60">
        <f>-13.98-3.3</f>
        <v>-17.28</v>
      </c>
      <c r="BE903" s="60">
        <v>-0.63</v>
      </c>
      <c r="BF903" s="60">
        <v>-0.35</v>
      </c>
      <c r="BG903" s="60">
        <v>-0.45</v>
      </c>
      <c r="BH903" s="60">
        <v>0</v>
      </c>
      <c r="BI903" s="8">
        <f t="shared" si="951"/>
        <v>-18.71</v>
      </c>
      <c r="BJ903" s="2" t="s">
        <v>84</v>
      </c>
      <c r="BL903" s="70">
        <f>-103750*0</f>
        <v>0</v>
      </c>
      <c r="BM903" s="70"/>
      <c r="BO903" s="70">
        <v>-120600</v>
      </c>
      <c r="BP903" s="70">
        <v>266802</v>
      </c>
      <c r="BQ903" s="72"/>
      <c r="BS903" s="61">
        <f t="shared" si="832"/>
        <v>3.3000000000000007</v>
      </c>
      <c r="BT903" s="61">
        <f t="shared" si="833"/>
        <v>0</v>
      </c>
      <c r="BU903" s="61">
        <f t="shared" si="904"/>
        <v>0</v>
      </c>
      <c r="BV903" s="61">
        <f t="shared" si="904"/>
        <v>0</v>
      </c>
      <c r="BW903" s="61">
        <f t="shared" si="904"/>
        <v>0</v>
      </c>
      <c r="BX903" s="61">
        <f t="shared" si="904"/>
        <v>3.3000000000000007</v>
      </c>
      <c r="BY903" s="61" t="s">
        <v>91</v>
      </c>
      <c r="CA903" s="61">
        <f t="shared" si="922"/>
        <v>0.49646457048292469</v>
      </c>
      <c r="CB903" s="61">
        <f t="shared" si="922"/>
        <v>0.49646457048292469</v>
      </c>
      <c r="CC903" s="61">
        <f t="shared" si="922"/>
        <v>0.49646457048292469</v>
      </c>
      <c r="CD903" s="61">
        <f t="shared" si="922"/>
        <v>0.49646457048292469</v>
      </c>
      <c r="CE903" s="61">
        <f t="shared" si="922"/>
        <v>0.49646457048292469</v>
      </c>
      <c r="CF903" s="61">
        <f t="shared" si="922"/>
        <v>0.49646457048292469</v>
      </c>
      <c r="CG903" s="61">
        <f t="shared" si="922"/>
        <v>0.49646457048292469</v>
      </c>
      <c r="CH903" s="61">
        <f t="shared" si="922"/>
        <v>0.49646457048292469</v>
      </c>
      <c r="CI903" s="61">
        <f t="shared" si="923"/>
        <v>0.49646457048292481</v>
      </c>
      <c r="CJ903" s="61"/>
      <c r="CK903" s="61">
        <f t="shared" si="906"/>
        <v>0.49646457048292469</v>
      </c>
      <c r="CL903" s="61">
        <f t="shared" si="906"/>
        <v>0.49646457048292469</v>
      </c>
      <c r="CM903" s="61">
        <f t="shared" si="906"/>
        <v>0.49646457048292469</v>
      </c>
      <c r="CN903" s="61">
        <f t="shared" si="906"/>
        <v>0.49646457048292469</v>
      </c>
      <c r="CO903" s="61">
        <f t="shared" si="906"/>
        <v>0.49646457048292469</v>
      </c>
      <c r="CP903" s="61">
        <f t="shared" si="906"/>
        <v>0.49646457048292469</v>
      </c>
      <c r="CQ903" s="61">
        <f t="shared" si="906"/>
        <v>0.49646457048292469</v>
      </c>
      <c r="CR903" s="61">
        <f t="shared" si="898"/>
        <v>0.49646457048292469</v>
      </c>
      <c r="CS903" s="61">
        <f t="shared" si="924"/>
        <v>0.49646457048292481</v>
      </c>
      <c r="CT903" s="61">
        <f t="shared" si="925"/>
        <v>3.3000000000000012</v>
      </c>
      <c r="CV903" s="61">
        <f t="shared" si="948"/>
        <v>-158400</v>
      </c>
      <c r="CW903" s="61">
        <f t="shared" si="949"/>
        <v>-158400</v>
      </c>
      <c r="CX903" s="61"/>
      <c r="CY903" s="61">
        <f t="shared" si="777"/>
        <v>120600</v>
      </c>
      <c r="CZ903" s="61">
        <f t="shared" si="777"/>
        <v>-266802</v>
      </c>
      <c r="DA903" s="61">
        <f t="shared" si="777"/>
        <v>0</v>
      </c>
      <c r="DB903" s="2" t="s">
        <v>86</v>
      </c>
      <c r="DC903" s="2" t="s">
        <v>85</v>
      </c>
      <c r="DD903" s="2" t="s">
        <v>142</v>
      </c>
      <c r="DE903" s="2" t="s">
        <v>264</v>
      </c>
      <c r="DF903" s="3" t="s">
        <v>86</v>
      </c>
      <c r="DG903" s="62">
        <v>43076</v>
      </c>
      <c r="EC903" s="60" t="str">
        <f>VLOOKUP($M903,[1]Detail!$M:$BO,1,0)</f>
        <v>JD8G-9G271-AA</v>
      </c>
      <c r="ED903" s="60">
        <f>VLOOKUP($M903,[1]Detail!$M:$BO,22,0)</f>
        <v>-15.41</v>
      </c>
      <c r="EE903" s="60">
        <f>VLOOKUP($M903,[1]Detail!$M:$BO,42,0)</f>
        <v>-158400</v>
      </c>
      <c r="EF903" s="60">
        <f>VLOOKUP($M903,[1]Detail!$M:$BO,45,0)</f>
        <v>0</v>
      </c>
      <c r="EH903" s="60">
        <f t="shared" si="960"/>
        <v>0</v>
      </c>
      <c r="EI903" s="60">
        <f t="shared" si="961"/>
        <v>0</v>
      </c>
      <c r="EJ903" s="60">
        <f t="shared" si="962"/>
        <v>0</v>
      </c>
    </row>
    <row r="904" spans="1:140" ht="12.75" hidden="1" customHeight="1">
      <c r="A904" s="131"/>
      <c r="B904" s="129" t="s">
        <v>1468</v>
      </c>
      <c r="C904" s="130" t="s">
        <v>1469</v>
      </c>
      <c r="D904" s="130" t="s">
        <v>1470</v>
      </c>
      <c r="E904" s="131" t="s">
        <v>1005</v>
      </c>
      <c r="F904" s="131" t="s">
        <v>330</v>
      </c>
      <c r="G904" s="131" t="s">
        <v>994</v>
      </c>
      <c r="I904" s="131"/>
      <c r="J904" s="157" t="s">
        <v>286</v>
      </c>
      <c r="K904" s="132" t="s">
        <v>1471</v>
      </c>
      <c r="L904" s="157" t="s">
        <v>100</v>
      </c>
      <c r="M904" s="133" t="str">
        <f t="shared" ref="M904:M967" si="963">TRIM(J904)&amp;"-"&amp;TRIM(K904)&amp;"-"&amp;TRIM(L904)</f>
        <v>JD8G-9H307-AA</v>
      </c>
      <c r="N904" s="134"/>
      <c r="O904" s="158">
        <v>1</v>
      </c>
      <c r="P904" s="158">
        <v>1</v>
      </c>
      <c r="Q904" s="158">
        <v>1</v>
      </c>
      <c r="R904" s="158">
        <v>1</v>
      </c>
      <c r="S904" s="130"/>
      <c r="T904" s="130"/>
      <c r="U904" s="158">
        <v>1</v>
      </c>
      <c r="V904" s="130"/>
      <c r="W904" s="135">
        <f t="shared" si="829"/>
        <v>0.72000000000000008</v>
      </c>
      <c r="X904" s="131"/>
      <c r="Y904" s="139">
        <v>-205.01</v>
      </c>
      <c r="Z904" s="139">
        <v>-1</v>
      </c>
      <c r="AA904" s="139">
        <v>-5</v>
      </c>
      <c r="AB904" s="139">
        <v>-4.26</v>
      </c>
      <c r="AC904" s="139">
        <v>-5.49</v>
      </c>
      <c r="AD904" s="136">
        <f t="shared" ref="AD904" si="964">SUM(Y904:AC904)</f>
        <v>-220.76</v>
      </c>
      <c r="AE904" s="131" t="s">
        <v>84</v>
      </c>
      <c r="AF904" s="131"/>
      <c r="AG904" s="137">
        <v>-300000</v>
      </c>
      <c r="AH904" s="137">
        <v>-300000</v>
      </c>
      <c r="AI904" s="131"/>
      <c r="AJ904" s="137"/>
      <c r="AK904" s="137"/>
      <c r="AL904" s="138"/>
      <c r="AM904" s="130"/>
      <c r="AN904" s="131"/>
      <c r="AO904" s="157" t="s">
        <v>1460</v>
      </c>
      <c r="AP904" s="132" t="s">
        <v>1471</v>
      </c>
      <c r="AQ904" s="157" t="s">
        <v>234</v>
      </c>
      <c r="AR904" s="133" t="str">
        <f t="shared" ref="AR904:AR967" si="965">TRIM(AO904)&amp;"-"&amp;TRIM(AP904)&amp;"-"&amp;TRIM(AQ904)</f>
        <v>ED8G-9H307-AC</v>
      </c>
      <c r="AS904" s="134"/>
      <c r="AT904" s="158">
        <v>1</v>
      </c>
      <c r="AU904" s="158">
        <v>1</v>
      </c>
      <c r="AV904" s="158">
        <v>1</v>
      </c>
      <c r="AW904" s="158">
        <v>1</v>
      </c>
      <c r="AX904" s="130"/>
      <c r="AY904" s="130"/>
      <c r="AZ904" s="158">
        <v>1</v>
      </c>
      <c r="BA904" s="130"/>
      <c r="BB904" s="135">
        <f t="shared" si="831"/>
        <v>0.72000000000000008</v>
      </c>
      <c r="BC904" s="131"/>
      <c r="BD904" s="139">
        <v>-205.01</v>
      </c>
      <c r="BE904" s="139">
        <v>-1</v>
      </c>
      <c r="BF904" s="139">
        <v>-5</v>
      </c>
      <c r="BG904" s="139">
        <v>-4.26</v>
      </c>
      <c r="BH904" s="140">
        <v>0</v>
      </c>
      <c r="BI904" s="136">
        <f t="shared" ref="BI904" si="966">SUM(BD904:BH904)</f>
        <v>-215.26999999999998</v>
      </c>
      <c r="BJ904" s="131" t="s">
        <v>84</v>
      </c>
      <c r="BK904" s="131"/>
      <c r="BL904" s="137">
        <v>0</v>
      </c>
      <c r="BM904" s="137">
        <v>0</v>
      </c>
      <c r="BN904" s="131"/>
      <c r="BO904" s="137"/>
      <c r="BP904" s="137"/>
      <c r="BQ904" s="138"/>
      <c r="BR904" s="131"/>
      <c r="BS904" s="181">
        <f t="shared" si="832"/>
        <v>0</v>
      </c>
      <c r="BT904" s="181">
        <f t="shared" si="833"/>
        <v>0</v>
      </c>
      <c r="BU904" s="181">
        <f t="shared" si="904"/>
        <v>0</v>
      </c>
      <c r="BV904" s="181">
        <f t="shared" si="904"/>
        <v>0</v>
      </c>
      <c r="BW904" s="181">
        <f t="shared" si="904"/>
        <v>-5.49</v>
      </c>
      <c r="BX904" s="181">
        <f t="shared" si="904"/>
        <v>-5.4900000000000091</v>
      </c>
      <c r="BY904" s="181" t="s">
        <v>91</v>
      </c>
      <c r="BZ904" s="131"/>
      <c r="CA904" s="181">
        <f t="shared" si="922"/>
        <v>0</v>
      </c>
      <c r="CB904" s="181">
        <f t="shared" si="922"/>
        <v>0</v>
      </c>
      <c r="CC904" s="181">
        <f t="shared" si="922"/>
        <v>0</v>
      </c>
      <c r="CD904" s="181">
        <f t="shared" si="922"/>
        <v>0</v>
      </c>
      <c r="CE904" s="181">
        <f t="shared" si="922"/>
        <v>0</v>
      </c>
      <c r="CF904" s="181">
        <f t="shared" si="922"/>
        <v>0</v>
      </c>
      <c r="CG904" s="181">
        <f t="shared" si="922"/>
        <v>0</v>
      </c>
      <c r="CH904" s="181">
        <f t="shared" si="922"/>
        <v>0</v>
      </c>
      <c r="CI904" s="181">
        <f t="shared" si="923"/>
        <v>0</v>
      </c>
      <c r="CJ904" s="181"/>
      <c r="CK904" s="181">
        <f t="shared" si="906"/>
        <v>-0.82593651271250323</v>
      </c>
      <c r="CL904" s="181">
        <f t="shared" si="906"/>
        <v>-0.82593651271250323</v>
      </c>
      <c r="CM904" s="181">
        <f t="shared" si="906"/>
        <v>-0.82593651271250323</v>
      </c>
      <c r="CN904" s="181">
        <f t="shared" si="906"/>
        <v>-0.82593651271250323</v>
      </c>
      <c r="CO904" s="181">
        <f t="shared" si="906"/>
        <v>0</v>
      </c>
      <c r="CP904" s="181">
        <f t="shared" si="906"/>
        <v>0</v>
      </c>
      <c r="CQ904" s="181">
        <f t="shared" si="906"/>
        <v>-0.82593651271250323</v>
      </c>
      <c r="CR904" s="181">
        <f t="shared" si="898"/>
        <v>0</v>
      </c>
      <c r="CS904" s="181">
        <f t="shared" si="924"/>
        <v>-0.59467428915300247</v>
      </c>
      <c r="CT904" s="181">
        <f t="shared" si="925"/>
        <v>-3.9528000000000074</v>
      </c>
      <c r="CU904" s="131"/>
      <c r="CV904" s="181">
        <f t="shared" ref="CV904" si="967">SUM(AG904)-SUM(BL904)</f>
        <v>-300000</v>
      </c>
      <c r="CW904" s="181">
        <f t="shared" si="949"/>
        <v>-300000</v>
      </c>
      <c r="CX904" s="181"/>
      <c r="CY904" s="181">
        <f t="shared" ref="CY904" si="968">SUM(AJ904)-SUM(BO904)</f>
        <v>0</v>
      </c>
      <c r="CZ904" s="181">
        <f t="shared" si="777"/>
        <v>0</v>
      </c>
      <c r="DA904" s="181">
        <f t="shared" si="777"/>
        <v>0</v>
      </c>
      <c r="DB904" s="131" t="s">
        <v>86</v>
      </c>
      <c r="DC904" s="131" t="s">
        <v>86</v>
      </c>
      <c r="DD904" s="131" t="s">
        <v>142</v>
      </c>
      <c r="DE904" s="131" t="s">
        <v>264</v>
      </c>
      <c r="DF904" s="134"/>
      <c r="DG904" s="141"/>
      <c r="DH904" s="131"/>
      <c r="DZ904" s="3" t="e">
        <v>#N/A</v>
      </c>
      <c r="EC904" s="60" t="str">
        <f>VLOOKUP($M904,[1]Detail!$M:$BO,1,0)</f>
        <v>JD8G-9H307-AA</v>
      </c>
      <c r="ED904" s="60">
        <f>VLOOKUP($M904,[1]Detail!$M:$BO,22,0)</f>
        <v>0</v>
      </c>
      <c r="EE904" s="60">
        <f>VLOOKUP($M904,[1]Detail!$M:$BO,42,0)</f>
        <v>-300000</v>
      </c>
      <c r="EF904" s="60">
        <f>VLOOKUP($M904,[1]Detail!$M:$BO,45,0)</f>
        <v>0</v>
      </c>
      <c r="EH904" s="60">
        <f t="shared" si="960"/>
        <v>220.76</v>
      </c>
      <c r="EI904" s="60">
        <f t="shared" si="961"/>
        <v>0</v>
      </c>
      <c r="EJ904" s="60">
        <f t="shared" si="962"/>
        <v>0</v>
      </c>
    </row>
    <row r="905" spans="1:140" ht="12.75" hidden="1" customHeight="1">
      <c r="B905" s="99" t="s">
        <v>1468</v>
      </c>
      <c r="C905" s="22" t="s">
        <v>1469</v>
      </c>
      <c r="D905" s="22" t="s">
        <v>1470</v>
      </c>
      <c r="E905" s="2" t="s">
        <v>1005</v>
      </c>
      <c r="F905" s="2" t="s">
        <v>330</v>
      </c>
      <c r="G905" s="2" t="s">
        <v>994</v>
      </c>
      <c r="J905" s="149" t="s">
        <v>286</v>
      </c>
      <c r="K905" s="23" t="s">
        <v>1471</v>
      </c>
      <c r="L905" s="149" t="s">
        <v>111</v>
      </c>
      <c r="M905" s="51" t="str">
        <f t="shared" si="963"/>
        <v>JD8G-9H307-BA</v>
      </c>
      <c r="O905" s="22"/>
      <c r="P905" s="22"/>
      <c r="Q905" s="22"/>
      <c r="R905" s="22"/>
      <c r="S905" s="94">
        <v>1</v>
      </c>
      <c r="T905" s="94">
        <v>1</v>
      </c>
      <c r="U905" s="22"/>
      <c r="V905" s="94">
        <v>1</v>
      </c>
      <c r="W905" s="64">
        <f t="shared" si="829"/>
        <v>0.28000000000000003</v>
      </c>
      <c r="Y905" s="60">
        <v>-222.91</v>
      </c>
      <c r="Z905" s="60">
        <v>-1</v>
      </c>
      <c r="AA905" s="60">
        <v>-5</v>
      </c>
      <c r="AB905" s="60">
        <v>-4.26</v>
      </c>
      <c r="AC905" s="60">
        <v>-5.49</v>
      </c>
      <c r="AD905" s="8">
        <f t="shared" si="947"/>
        <v>-238.66</v>
      </c>
      <c r="AE905" s="2" t="s">
        <v>84</v>
      </c>
      <c r="AG905" s="70">
        <v>-600000</v>
      </c>
      <c r="AH905" s="70">
        <v>-600000</v>
      </c>
      <c r="AJ905" s="70"/>
      <c r="AK905" s="70"/>
      <c r="AL905" s="72"/>
      <c r="AM905" s="22"/>
      <c r="AO905" s="149" t="s">
        <v>1460</v>
      </c>
      <c r="AP905" s="23" t="s">
        <v>1471</v>
      </c>
      <c r="AQ905" s="149" t="s">
        <v>234</v>
      </c>
      <c r="AR905" s="51" t="str">
        <f t="shared" si="965"/>
        <v>ED8G-9H307-AC</v>
      </c>
      <c r="AS905" s="3"/>
      <c r="AT905" s="22"/>
      <c r="AU905" s="22"/>
      <c r="AV905" s="22"/>
      <c r="AW905" s="22"/>
      <c r="AX905" s="94">
        <v>1</v>
      </c>
      <c r="AY905" s="94">
        <v>1</v>
      </c>
      <c r="AZ905" s="22"/>
      <c r="BA905" s="94">
        <v>1</v>
      </c>
      <c r="BB905" s="64">
        <f t="shared" si="831"/>
        <v>0.28000000000000003</v>
      </c>
      <c r="BD905" s="60">
        <v>-222.91</v>
      </c>
      <c r="BE905" s="60">
        <v>-1</v>
      </c>
      <c r="BF905" s="60">
        <v>-5</v>
      </c>
      <c r="BG905" s="60">
        <v>-4.26</v>
      </c>
      <c r="BH905" s="95">
        <v>0</v>
      </c>
      <c r="BI905" s="8">
        <f t="shared" ref="BI905" si="969">SUM(BD905:BH905)</f>
        <v>-233.17</v>
      </c>
      <c r="BJ905" s="2" t="s">
        <v>84</v>
      </c>
      <c r="BL905" s="70">
        <v>0</v>
      </c>
      <c r="BM905" s="70">
        <v>0</v>
      </c>
      <c r="BO905" s="70"/>
      <c r="BP905" s="70"/>
      <c r="BQ905" s="72"/>
      <c r="BS905" s="61">
        <f t="shared" si="832"/>
        <v>0</v>
      </c>
      <c r="BT905" s="61">
        <f t="shared" si="833"/>
        <v>0</v>
      </c>
      <c r="BU905" s="61">
        <f t="shared" si="904"/>
        <v>0</v>
      </c>
      <c r="BV905" s="61">
        <f t="shared" si="904"/>
        <v>0</v>
      </c>
      <c r="BW905" s="61">
        <f t="shared" si="904"/>
        <v>-5.49</v>
      </c>
      <c r="BX905" s="61">
        <f t="shared" si="904"/>
        <v>-5.4900000000000091</v>
      </c>
      <c r="BY905" s="61" t="s">
        <v>91</v>
      </c>
      <c r="CA905" s="61">
        <f t="shared" si="922"/>
        <v>0</v>
      </c>
      <c r="CB905" s="61">
        <f t="shared" si="922"/>
        <v>0</v>
      </c>
      <c r="CC905" s="61">
        <f t="shared" si="922"/>
        <v>0</v>
      </c>
      <c r="CD905" s="61">
        <f t="shared" si="922"/>
        <v>0</v>
      </c>
      <c r="CE905" s="61">
        <f t="shared" si="922"/>
        <v>0</v>
      </c>
      <c r="CF905" s="61">
        <f t="shared" si="922"/>
        <v>0</v>
      </c>
      <c r="CG905" s="61">
        <f t="shared" si="922"/>
        <v>0</v>
      </c>
      <c r="CH905" s="61">
        <f t="shared" si="922"/>
        <v>0</v>
      </c>
      <c r="CI905" s="61">
        <f t="shared" si="923"/>
        <v>0</v>
      </c>
      <c r="CJ905" s="61"/>
      <c r="CK905" s="61">
        <f t="shared" si="906"/>
        <v>0</v>
      </c>
      <c r="CL905" s="61">
        <f t="shared" si="906"/>
        <v>0</v>
      </c>
      <c r="CM905" s="61">
        <f t="shared" si="906"/>
        <v>0</v>
      </c>
      <c r="CN905" s="61">
        <f t="shared" si="906"/>
        <v>0</v>
      </c>
      <c r="CO905" s="61">
        <f t="shared" si="906"/>
        <v>-0.82593651271250323</v>
      </c>
      <c r="CP905" s="61">
        <f t="shared" si="906"/>
        <v>-0.82593651271250323</v>
      </c>
      <c r="CQ905" s="61">
        <f t="shared" si="906"/>
        <v>0</v>
      </c>
      <c r="CR905" s="61">
        <f t="shared" si="898"/>
        <v>-0.82593651271250323</v>
      </c>
      <c r="CS905" s="61">
        <f t="shared" si="924"/>
        <v>-0.23126222355950093</v>
      </c>
      <c r="CT905" s="61">
        <f t="shared" si="925"/>
        <v>-1.5372000000000028</v>
      </c>
      <c r="CV905" s="61">
        <f t="shared" ref="CV905:CV909" si="970">SUM(AG905)-SUM(BL905)</f>
        <v>-600000</v>
      </c>
      <c r="CW905" s="61">
        <f t="shared" si="949"/>
        <v>-600000</v>
      </c>
      <c r="CX905" s="61"/>
      <c r="CY905" s="61">
        <f t="shared" si="777"/>
        <v>0</v>
      </c>
      <c r="CZ905" s="61">
        <f t="shared" si="777"/>
        <v>0</v>
      </c>
      <c r="DA905" s="61">
        <f t="shared" si="777"/>
        <v>0</v>
      </c>
      <c r="DB905" s="2" t="s">
        <v>85</v>
      </c>
      <c r="DC905" s="2" t="s">
        <v>86</v>
      </c>
      <c r="DD905" s="2" t="s">
        <v>142</v>
      </c>
      <c r="DE905" s="2" t="s">
        <v>264</v>
      </c>
      <c r="DG905" s="62"/>
      <c r="DZ905" s="3" t="e">
        <v>#N/A</v>
      </c>
      <c r="EC905" s="60"/>
      <c r="ED905" s="60"/>
      <c r="EE905" s="60"/>
      <c r="EF905" s="60"/>
    </row>
    <row r="906" spans="1:140" ht="12.75" hidden="1" customHeight="1">
      <c r="B906" s="99" t="s">
        <v>1472</v>
      </c>
      <c r="C906" s="22" t="s">
        <v>1469</v>
      </c>
      <c r="D906" s="22" t="s">
        <v>1470</v>
      </c>
      <c r="E906" s="2" t="s">
        <v>1005</v>
      </c>
      <c r="F906" s="2" t="s">
        <v>330</v>
      </c>
      <c r="G906" s="2" t="s">
        <v>994</v>
      </c>
      <c r="J906" s="149" t="s">
        <v>286</v>
      </c>
      <c r="K906" s="23" t="s">
        <v>1471</v>
      </c>
      <c r="L906" s="149" t="s">
        <v>120</v>
      </c>
      <c r="M906" s="51" t="str">
        <f t="shared" si="963"/>
        <v>JD8G-9H307-BB</v>
      </c>
      <c r="O906" s="22"/>
      <c r="P906" s="22"/>
      <c r="Q906" s="22"/>
      <c r="R906" s="22"/>
      <c r="S906" s="94">
        <v>1</v>
      </c>
      <c r="T906" s="94">
        <v>1</v>
      </c>
      <c r="U906" s="22"/>
      <c r="V906" s="94">
        <v>1</v>
      </c>
      <c r="W906" s="64">
        <f t="shared" ref="W906:W969" si="971">SUMPRODUCT(O906:V906,$O$6:$V$6)</f>
        <v>0.28000000000000003</v>
      </c>
      <c r="Y906" s="60">
        <f>-222.91+0.47</f>
        <v>-222.44</v>
      </c>
      <c r="Z906" s="60">
        <v>-1</v>
      </c>
      <c r="AA906" s="60">
        <v>-5</v>
      </c>
      <c r="AB906" s="60">
        <v>-4.26</v>
      </c>
      <c r="AC906" s="60">
        <v>-5.49</v>
      </c>
      <c r="AD906" s="8">
        <f t="shared" ref="AD906" si="972">SUM(Y906:AC906)</f>
        <v>-238.19</v>
      </c>
      <c r="AE906" s="2" t="s">
        <v>84</v>
      </c>
      <c r="AG906" s="70">
        <f>-600000-70000</f>
        <v>-670000</v>
      </c>
      <c r="AH906" s="70">
        <f>-600000-70000</f>
        <v>-670000</v>
      </c>
      <c r="AJ906" s="70"/>
      <c r="AK906" s="70"/>
      <c r="AL906" s="72"/>
      <c r="AM906" s="22"/>
      <c r="AO906" s="149" t="s">
        <v>286</v>
      </c>
      <c r="AP906" s="23" t="s">
        <v>1471</v>
      </c>
      <c r="AQ906" s="149" t="s">
        <v>111</v>
      </c>
      <c r="AR906" s="51" t="str">
        <f t="shared" si="965"/>
        <v>JD8G-9H307-BA</v>
      </c>
      <c r="AS906" s="3"/>
      <c r="AT906" s="22"/>
      <c r="AU906" s="22"/>
      <c r="AV906" s="22"/>
      <c r="AW906" s="22"/>
      <c r="AX906" s="94">
        <v>1</v>
      </c>
      <c r="AY906" s="94">
        <v>1</v>
      </c>
      <c r="AZ906" s="22"/>
      <c r="BA906" s="94">
        <v>1</v>
      </c>
      <c r="BB906" s="64">
        <f t="shared" si="831"/>
        <v>0.28000000000000003</v>
      </c>
      <c r="BD906" s="60">
        <v>-222.91</v>
      </c>
      <c r="BE906" s="60">
        <v>-1</v>
      </c>
      <c r="BF906" s="60">
        <v>-5</v>
      </c>
      <c r="BG906" s="60">
        <v>-4.26</v>
      </c>
      <c r="BH906" s="60">
        <v>-5.49</v>
      </c>
      <c r="BI906" s="8">
        <f t="shared" ref="BI906" si="973">SUM(BD906:BH906)</f>
        <v>-238.66</v>
      </c>
      <c r="BJ906" s="2" t="s">
        <v>84</v>
      </c>
      <c r="BL906" s="70">
        <v>-600000</v>
      </c>
      <c r="BM906" s="70">
        <v>-600000</v>
      </c>
      <c r="BO906" s="70"/>
      <c r="BP906" s="70"/>
      <c r="BQ906" s="72"/>
      <c r="BS906" s="61">
        <f t="shared" si="832"/>
        <v>0.46999999999999886</v>
      </c>
      <c r="BT906" s="61">
        <f t="shared" si="833"/>
        <v>0</v>
      </c>
      <c r="BU906" s="61">
        <f t="shared" si="904"/>
        <v>0</v>
      </c>
      <c r="BV906" s="61">
        <f t="shared" si="904"/>
        <v>0</v>
      </c>
      <c r="BW906" s="61">
        <f t="shared" si="904"/>
        <v>0</v>
      </c>
      <c r="BX906" s="61">
        <f t="shared" si="904"/>
        <v>0.46999999999999886</v>
      </c>
      <c r="BY906" s="61" t="s">
        <v>91</v>
      </c>
      <c r="CA906" s="61">
        <f t="shared" si="922"/>
        <v>0</v>
      </c>
      <c r="CB906" s="61">
        <f t="shared" si="922"/>
        <v>0</v>
      </c>
      <c r="CC906" s="61">
        <f t="shared" si="922"/>
        <v>0</v>
      </c>
      <c r="CD906" s="61">
        <f t="shared" si="922"/>
        <v>0</v>
      </c>
      <c r="CE906" s="61">
        <f t="shared" si="922"/>
        <v>7.0708590341507269E-2</v>
      </c>
      <c r="CF906" s="61">
        <f t="shared" si="922"/>
        <v>7.0708590341507269E-2</v>
      </c>
      <c r="CG906" s="61">
        <f t="shared" si="922"/>
        <v>0</v>
      </c>
      <c r="CH906" s="61">
        <f t="shared" si="922"/>
        <v>7.0708590341507269E-2</v>
      </c>
      <c r="CI906" s="61">
        <f t="shared" si="923"/>
        <v>1.9798405295622039E-2</v>
      </c>
      <c r="CJ906" s="61"/>
      <c r="CK906" s="61">
        <f t="shared" si="906"/>
        <v>0</v>
      </c>
      <c r="CL906" s="61">
        <f t="shared" si="906"/>
        <v>0</v>
      </c>
      <c r="CM906" s="61">
        <f t="shared" si="906"/>
        <v>0</v>
      </c>
      <c r="CN906" s="61">
        <f t="shared" si="906"/>
        <v>0</v>
      </c>
      <c r="CO906" s="61">
        <f t="shared" si="906"/>
        <v>7.0708590341507269E-2</v>
      </c>
      <c r="CP906" s="61">
        <f t="shared" si="906"/>
        <v>7.0708590341507269E-2</v>
      </c>
      <c r="CQ906" s="61">
        <f t="shared" si="906"/>
        <v>0</v>
      </c>
      <c r="CR906" s="61">
        <f t="shared" si="898"/>
        <v>7.0708590341507269E-2</v>
      </c>
      <c r="CS906" s="61">
        <f t="shared" si="924"/>
        <v>1.9798405295622039E-2</v>
      </c>
      <c r="CT906" s="63">
        <f t="shared" si="925"/>
        <v>0.13159999999999969</v>
      </c>
      <c r="CV906" s="61">
        <f t="shared" ref="CV906" si="974">SUM(AG906)-SUM(BL906)</f>
        <v>-70000</v>
      </c>
      <c r="CW906" s="61">
        <f t="shared" si="949"/>
        <v>-70000</v>
      </c>
      <c r="CX906" s="61"/>
      <c r="CY906" s="61">
        <f t="shared" si="777"/>
        <v>0</v>
      </c>
      <c r="CZ906" s="61">
        <f t="shared" si="777"/>
        <v>0</v>
      </c>
      <c r="DA906" s="61">
        <f t="shared" si="777"/>
        <v>0</v>
      </c>
      <c r="DB906" s="2" t="s">
        <v>86</v>
      </c>
      <c r="DC906" s="2" t="s">
        <v>85</v>
      </c>
      <c r="DD906" s="2" t="s">
        <v>142</v>
      </c>
      <c r="DE906" s="2" t="s">
        <v>106</v>
      </c>
      <c r="DG906" s="62"/>
      <c r="DZ906" s="3" t="e">
        <v>#N/A</v>
      </c>
      <c r="EC906" s="60" t="str">
        <f>VLOOKUP($M906,[1]Detail!$M:$BO,1,0)</f>
        <v>JD8G-9H307-BB</v>
      </c>
      <c r="ED906" s="60">
        <f>VLOOKUP($M906,[1]Detail!$M:$BO,22,0)</f>
        <v>-238.19</v>
      </c>
      <c r="EE906" s="60">
        <f>VLOOKUP($M906,[1]Detail!$M:$BO,42,0)</f>
        <v>-670000</v>
      </c>
      <c r="EF906" s="60">
        <f>VLOOKUP($M906,[1]Detail!$M:$BO,45,0)</f>
        <v>0</v>
      </c>
      <c r="EH906" s="60">
        <f t="shared" ref="EH906:EH909" si="975">ED906-AD906</f>
        <v>0</v>
      </c>
      <c r="EI906" s="60">
        <f t="shared" ref="EI906:EI909" si="976">EE906-AG906</f>
        <v>0</v>
      </c>
      <c r="EJ906" s="60">
        <f t="shared" ref="EJ906:EJ909" si="977">EF906-AJ906</f>
        <v>0</v>
      </c>
    </row>
    <row r="907" spans="1:140" ht="12.75" hidden="1" customHeight="1">
      <c r="B907" s="99" t="s">
        <v>1473</v>
      </c>
      <c r="C907" s="22" t="s">
        <v>504</v>
      </c>
      <c r="D907" s="22" t="s">
        <v>505</v>
      </c>
      <c r="E907" s="2" t="str">
        <f>VLOOKUP($C907,[1]Detail!$C:$AK,6,0)</f>
        <v>PMT1</v>
      </c>
      <c r="F907" s="2" t="str">
        <f>VLOOKUP($C907,[1]Detail!$C:$AK,7,0)</f>
        <v>TH</v>
      </c>
      <c r="G907" s="2" t="str">
        <f>VLOOKUP($C907,[1]Detail!$C:$AK,5,0)</f>
        <v>B</v>
      </c>
      <c r="I907" s="182"/>
      <c r="J907" s="183" t="s">
        <v>126</v>
      </c>
      <c r="K907" s="184" t="s">
        <v>1474</v>
      </c>
      <c r="L907" s="183" t="s">
        <v>132</v>
      </c>
      <c r="M907" s="185" t="str">
        <f t="shared" si="963"/>
        <v>JD8B-F22050-AB</v>
      </c>
      <c r="N907" s="186"/>
      <c r="O907" s="187">
        <v>1</v>
      </c>
      <c r="P907" s="187">
        <v>1</v>
      </c>
      <c r="Q907" s="187">
        <v>1</v>
      </c>
      <c r="R907" s="187">
        <v>1</v>
      </c>
      <c r="S907" s="187">
        <v>0</v>
      </c>
      <c r="T907" s="187">
        <v>0</v>
      </c>
      <c r="U907" s="187">
        <v>0</v>
      </c>
      <c r="V907" s="187">
        <v>0</v>
      </c>
      <c r="W907" s="188">
        <f t="shared" si="971"/>
        <v>0.67</v>
      </c>
      <c r="X907" s="182"/>
      <c r="Y907" s="189">
        <v>-72.73</v>
      </c>
      <c r="Z907" s="189">
        <v>-2.92</v>
      </c>
      <c r="AA907" s="189">
        <v>-0.88</v>
      </c>
      <c r="AB907" s="190">
        <v>-1.46</v>
      </c>
      <c r="AC907" s="190">
        <v>-0.35</v>
      </c>
      <c r="AD907" s="191">
        <f t="shared" ref="AD907:AD908" si="978">SUM(Y907:AC907)</f>
        <v>-78.339999999999989</v>
      </c>
      <c r="AE907" s="182" t="s">
        <v>84</v>
      </c>
      <c r="AF907" s="182"/>
      <c r="AG907" s="192"/>
      <c r="AH907" s="192"/>
      <c r="AI907" s="182"/>
      <c r="AJ907" s="193" t="s">
        <v>1475</v>
      </c>
      <c r="AK907" s="192"/>
      <c r="AL907" s="194"/>
      <c r="AM907" s="195"/>
      <c r="AN907" s="182"/>
      <c r="AO907" s="183" t="s">
        <v>126</v>
      </c>
      <c r="AP907" s="184" t="s">
        <v>1474</v>
      </c>
      <c r="AQ907" s="195" t="s">
        <v>100</v>
      </c>
      <c r="AR907" s="185" t="str">
        <f t="shared" si="965"/>
        <v>JD8B-F22050-AA</v>
      </c>
      <c r="AS907" s="186"/>
      <c r="AT907" s="187">
        <v>1</v>
      </c>
      <c r="AU907" s="187">
        <v>1</v>
      </c>
      <c r="AV907" s="187">
        <v>1</v>
      </c>
      <c r="AW907" s="187">
        <v>1</v>
      </c>
      <c r="AX907" s="187">
        <v>0</v>
      </c>
      <c r="AY907" s="187">
        <v>0</v>
      </c>
      <c r="AZ907" s="187">
        <v>0</v>
      </c>
      <c r="BA907" s="187">
        <v>0</v>
      </c>
      <c r="BB907" s="188">
        <f t="shared" ref="BB907:BB970" si="979">SUMPRODUCT(AT907:BA907,$O$6:$V$6)</f>
        <v>0.67</v>
      </c>
      <c r="BC907" s="182"/>
      <c r="BD907" s="190">
        <v>-71.680000000000007</v>
      </c>
      <c r="BE907" s="190">
        <v>-2.92</v>
      </c>
      <c r="BF907" s="190">
        <v>-0.88</v>
      </c>
      <c r="BG907" s="190">
        <v>-1.46</v>
      </c>
      <c r="BH907" s="190">
        <v>-0.35</v>
      </c>
      <c r="BI907" s="191">
        <f t="shared" ref="BI907:BI909" si="980">SUM(BD907:BH907)</f>
        <v>-77.289999999999992</v>
      </c>
      <c r="BJ907" s="182" t="s">
        <v>91</v>
      </c>
      <c r="BK907" s="182"/>
      <c r="BL907" s="196">
        <v>0</v>
      </c>
      <c r="BM907" s="196">
        <v>0</v>
      </c>
      <c r="BN907" s="182"/>
      <c r="BO907" s="193" t="s">
        <v>1475</v>
      </c>
      <c r="BP907" s="192"/>
      <c r="BQ907" s="194"/>
      <c r="BR907" s="182"/>
      <c r="BS907" s="197">
        <f t="shared" ref="BS907:BS939" si="981">SUM(Y907)-SUM(BD907)</f>
        <v>-1.0499999999999972</v>
      </c>
      <c r="BT907" s="197">
        <f t="shared" ref="BT907:BT939" si="982">SUM(Z907)-SUM(BE907)</f>
        <v>0</v>
      </c>
      <c r="BU907" s="197">
        <f t="shared" si="904"/>
        <v>0</v>
      </c>
      <c r="BV907" s="197">
        <f t="shared" si="904"/>
        <v>0</v>
      </c>
      <c r="BW907" s="197">
        <f t="shared" si="904"/>
        <v>0</v>
      </c>
      <c r="BX907" s="197">
        <f t="shared" si="904"/>
        <v>-1.0499999999999972</v>
      </c>
      <c r="BY907" s="197" t="s">
        <v>91</v>
      </c>
      <c r="BZ907" s="182"/>
      <c r="CA907" s="197">
        <f t="shared" si="922"/>
        <v>-0.15796599969911196</v>
      </c>
      <c r="CB907" s="197">
        <f t="shared" si="922"/>
        <v>-0.15796599969911196</v>
      </c>
      <c r="CC907" s="197">
        <f t="shared" si="922"/>
        <v>-0.15796599969911196</v>
      </c>
      <c r="CD907" s="197">
        <f t="shared" si="922"/>
        <v>-0.15796599969911196</v>
      </c>
      <c r="CE907" s="197">
        <f t="shared" si="922"/>
        <v>0</v>
      </c>
      <c r="CF907" s="197">
        <f t="shared" si="922"/>
        <v>0</v>
      </c>
      <c r="CG907" s="197">
        <f t="shared" si="922"/>
        <v>0</v>
      </c>
      <c r="CH907" s="197">
        <f t="shared" si="922"/>
        <v>0</v>
      </c>
      <c r="CI907" s="197">
        <f t="shared" si="923"/>
        <v>-0.10583721979840502</v>
      </c>
      <c r="CJ907" s="197"/>
      <c r="CK907" s="197">
        <f t="shared" ref="CK907:CR938" si="983">(O907*$AD907-AT907*$BI907)/$C$2</f>
        <v>-0.15796599969911196</v>
      </c>
      <c r="CL907" s="197">
        <f t="shared" si="983"/>
        <v>-0.15796599969911196</v>
      </c>
      <c r="CM907" s="197">
        <f t="shared" si="983"/>
        <v>-0.15796599969911196</v>
      </c>
      <c r="CN907" s="197">
        <f t="shared" si="983"/>
        <v>-0.15796599969911196</v>
      </c>
      <c r="CO907" s="197">
        <f t="shared" si="983"/>
        <v>0</v>
      </c>
      <c r="CP907" s="197">
        <f t="shared" si="983"/>
        <v>0</v>
      </c>
      <c r="CQ907" s="197">
        <f t="shared" si="983"/>
        <v>0</v>
      </c>
      <c r="CR907" s="197">
        <f t="shared" si="898"/>
        <v>0</v>
      </c>
      <c r="CS907" s="197">
        <f t="shared" si="924"/>
        <v>-0.10583721979840502</v>
      </c>
      <c r="CT907" s="197">
        <f t="shared" si="925"/>
        <v>-0.70349999999999824</v>
      </c>
      <c r="CU907" s="182"/>
      <c r="CV907" s="197">
        <f t="shared" ref="CV907:CV908" si="984">SUM(AG907)-SUM(BL907)</f>
        <v>0</v>
      </c>
      <c r="CW907" s="197">
        <f t="shared" ref="CW907:CW908" si="985">SUM(AH907)-SUM(BM907)</f>
        <v>0</v>
      </c>
      <c r="CX907" s="197"/>
      <c r="CY907" s="197">
        <f t="shared" si="777"/>
        <v>0</v>
      </c>
      <c r="CZ907" s="197">
        <f t="shared" si="777"/>
        <v>0</v>
      </c>
      <c r="DA907" s="197">
        <f t="shared" si="777"/>
        <v>0</v>
      </c>
      <c r="DB907" s="182" t="s">
        <v>86</v>
      </c>
      <c r="DC907" s="182" t="s">
        <v>85</v>
      </c>
      <c r="DD907" s="182" t="s">
        <v>142</v>
      </c>
      <c r="DE907" s="182" t="s">
        <v>264</v>
      </c>
      <c r="DF907" s="186" t="s">
        <v>86</v>
      </c>
      <c r="DG907" s="198">
        <v>43034</v>
      </c>
      <c r="DH907" s="182"/>
      <c r="EC907" s="60" t="str">
        <f>VLOOKUP($M907,[1]Detail!$M:$BO,1,0)</f>
        <v>JD8B-F22050-AB</v>
      </c>
      <c r="ED907" s="60">
        <f>VLOOKUP($M907,[1]Detail!$M:$BO,22,0)</f>
        <v>-78.339999999999989</v>
      </c>
      <c r="EE907" s="60">
        <f>VLOOKUP($M907,[1]Detail!$M:$BO,42,0)</f>
        <v>0</v>
      </c>
      <c r="EF907" s="60" t="str">
        <f>VLOOKUP($M907,[1]Detail!$M:$BO,45,0)</f>
        <v>incl. in JD8B-F22-5--BC</v>
      </c>
      <c r="EH907" s="60">
        <f t="shared" si="975"/>
        <v>0</v>
      </c>
      <c r="EI907" s="60">
        <f t="shared" si="976"/>
        <v>0</v>
      </c>
      <c r="EJ907" s="60" t="e">
        <f t="shared" si="977"/>
        <v>#VALUE!</v>
      </c>
    </row>
    <row r="908" spans="1:140" ht="12.75" hidden="1" customHeight="1">
      <c r="B908" s="99" t="s">
        <v>1473</v>
      </c>
      <c r="C908" s="22" t="s">
        <v>504</v>
      </c>
      <c r="D908" s="22" t="s">
        <v>505</v>
      </c>
      <c r="E908" s="2" t="str">
        <f>VLOOKUP($C908,[1]Detail!$C:$AK,6,0)</f>
        <v>PMT1</v>
      </c>
      <c r="F908" s="2" t="str">
        <f>VLOOKUP($C908,[1]Detail!$C:$AK,7,0)</f>
        <v>TH</v>
      </c>
      <c r="G908" s="2" t="str">
        <f>VLOOKUP($C908,[1]Detail!$C:$AK,5,0)</f>
        <v>B</v>
      </c>
      <c r="J908" s="149" t="s">
        <v>126</v>
      </c>
      <c r="K908" s="23" t="s">
        <v>1474</v>
      </c>
      <c r="L908" s="149" t="s">
        <v>599</v>
      </c>
      <c r="M908" s="51" t="str">
        <f t="shared" si="963"/>
        <v>JD8B-F22050-BC</v>
      </c>
      <c r="O908" s="94">
        <v>0</v>
      </c>
      <c r="P908" s="94">
        <v>0</v>
      </c>
      <c r="Q908" s="94">
        <v>0</v>
      </c>
      <c r="R908" s="94">
        <v>0</v>
      </c>
      <c r="S908" s="94">
        <v>0</v>
      </c>
      <c r="T908" s="94">
        <v>0</v>
      </c>
      <c r="U908" s="94">
        <v>1</v>
      </c>
      <c r="V908" s="94">
        <v>1</v>
      </c>
      <c r="W908" s="64">
        <f t="shared" si="971"/>
        <v>0.1</v>
      </c>
      <c r="Y908" s="60">
        <v>-86.09</v>
      </c>
      <c r="Z908" s="60">
        <v>-2.92</v>
      </c>
      <c r="AA908" s="60">
        <v>-0.88</v>
      </c>
      <c r="AB908" s="95">
        <v>-1.46</v>
      </c>
      <c r="AC908" s="95">
        <v>-0.35</v>
      </c>
      <c r="AD908" s="8">
        <f t="shared" si="978"/>
        <v>-91.699999999999989</v>
      </c>
      <c r="AE908" s="2" t="s">
        <v>84</v>
      </c>
      <c r="AG908" s="70">
        <v>-666800</v>
      </c>
      <c r="AH908" s="70">
        <v>-666800</v>
      </c>
      <c r="AJ908" s="71">
        <v>-201990</v>
      </c>
      <c r="AK908" s="71">
        <v>574899</v>
      </c>
      <c r="AL908" s="72"/>
      <c r="AM908" s="22"/>
      <c r="AO908" s="149" t="s">
        <v>126</v>
      </c>
      <c r="AP908" s="23" t="s">
        <v>1474</v>
      </c>
      <c r="AQ908" s="22" t="s">
        <v>120</v>
      </c>
      <c r="AR908" s="51" t="str">
        <f t="shared" si="965"/>
        <v>JD8B-F22050-BB</v>
      </c>
      <c r="AS908" s="3"/>
      <c r="AT908" s="94">
        <v>0</v>
      </c>
      <c r="AU908" s="94">
        <v>0</v>
      </c>
      <c r="AV908" s="94">
        <v>0</v>
      </c>
      <c r="AW908" s="94">
        <v>0</v>
      </c>
      <c r="AX908" s="94">
        <v>0</v>
      </c>
      <c r="AY908" s="94">
        <v>0</v>
      </c>
      <c r="AZ908" s="94">
        <v>1</v>
      </c>
      <c r="BA908" s="94">
        <v>1</v>
      </c>
      <c r="BB908" s="64">
        <f t="shared" si="979"/>
        <v>0.1</v>
      </c>
      <c r="BD908" s="95">
        <v>-85.04</v>
      </c>
      <c r="BE908" s="95">
        <f>-2.67*0-2.92</f>
        <v>-2.92</v>
      </c>
      <c r="BF908" s="95">
        <f>-0.72*0-0.88</f>
        <v>-0.88</v>
      </c>
      <c r="BG908" s="95">
        <v>-1.46</v>
      </c>
      <c r="BH908" s="95">
        <v>-0.35</v>
      </c>
      <c r="BI908" s="8">
        <f t="shared" si="980"/>
        <v>-90.649999999999991</v>
      </c>
      <c r="BJ908" s="2" t="s">
        <v>91</v>
      </c>
      <c r="BL908" s="96">
        <f>-172000*0-666800</f>
        <v>-666800</v>
      </c>
      <c r="BM908" s="96">
        <f>-172000*0-666800</f>
        <v>-666800</v>
      </c>
      <c r="BN908" s="6"/>
      <c r="BO908" s="71">
        <v>-201990</v>
      </c>
      <c r="BP908" s="71">
        <v>574899</v>
      </c>
      <c r="BQ908" s="72"/>
      <c r="BS908" s="61">
        <f t="shared" ref="BS908:BS939" si="986">SUM(Y908)-SUM(BD908)</f>
        <v>-1.0499999999999972</v>
      </c>
      <c r="BT908" s="61">
        <f t="shared" ref="BT908:BT939" si="987">SUM(Z908)-SUM(BE908)</f>
        <v>0</v>
      </c>
      <c r="BU908" s="61">
        <f t="shared" ref="BU908:BX939" si="988">SUM(AA908)-SUM(BF908)</f>
        <v>0</v>
      </c>
      <c r="BV908" s="61">
        <f t="shared" si="988"/>
        <v>0</v>
      </c>
      <c r="BW908" s="61">
        <f t="shared" si="988"/>
        <v>0</v>
      </c>
      <c r="BX908" s="61">
        <f t="shared" si="988"/>
        <v>-1.0499999999999972</v>
      </c>
      <c r="BY908" s="61" t="s">
        <v>91</v>
      </c>
      <c r="CA908" s="61">
        <f t="shared" si="922"/>
        <v>0</v>
      </c>
      <c r="CB908" s="61">
        <f t="shared" si="922"/>
        <v>0</v>
      </c>
      <c r="CC908" s="61">
        <f t="shared" si="922"/>
        <v>0</v>
      </c>
      <c r="CD908" s="61">
        <f t="shared" si="922"/>
        <v>0</v>
      </c>
      <c r="CE908" s="61">
        <f t="shared" si="922"/>
        <v>0</v>
      </c>
      <c r="CF908" s="61">
        <f t="shared" si="922"/>
        <v>0</v>
      </c>
      <c r="CG908" s="61">
        <f t="shared" si="922"/>
        <v>-0.15796599969911196</v>
      </c>
      <c r="CH908" s="61">
        <f t="shared" si="922"/>
        <v>-0.15796599969911196</v>
      </c>
      <c r="CI908" s="61">
        <f t="shared" si="923"/>
        <v>-1.5796599969911198E-2</v>
      </c>
      <c r="CJ908" s="61"/>
      <c r="CK908" s="61">
        <f t="shared" si="983"/>
        <v>0</v>
      </c>
      <c r="CL908" s="61">
        <f t="shared" si="983"/>
        <v>0</v>
      </c>
      <c r="CM908" s="61">
        <f t="shared" si="983"/>
        <v>0</v>
      </c>
      <c r="CN908" s="61">
        <f t="shared" si="983"/>
        <v>0</v>
      </c>
      <c r="CO908" s="61">
        <f t="shared" si="983"/>
        <v>0</v>
      </c>
      <c r="CP908" s="61">
        <f t="shared" si="983"/>
        <v>0</v>
      </c>
      <c r="CQ908" s="61">
        <f t="shared" si="983"/>
        <v>-0.15796599969911196</v>
      </c>
      <c r="CR908" s="61">
        <f t="shared" si="898"/>
        <v>-0.15796599969911196</v>
      </c>
      <c r="CS908" s="61">
        <f t="shared" si="924"/>
        <v>-1.5796599969911198E-2</v>
      </c>
      <c r="CT908" s="61">
        <f t="shared" si="925"/>
        <v>-0.10499999999999973</v>
      </c>
      <c r="CV908" s="61">
        <f t="shared" si="984"/>
        <v>0</v>
      </c>
      <c r="CW908" s="61">
        <f t="shared" si="985"/>
        <v>0</v>
      </c>
      <c r="CX908" s="61"/>
      <c r="CY908" s="61">
        <f t="shared" si="777"/>
        <v>0</v>
      </c>
      <c r="CZ908" s="61">
        <f t="shared" si="777"/>
        <v>0</v>
      </c>
      <c r="DA908" s="61">
        <f t="shared" si="777"/>
        <v>0</v>
      </c>
      <c r="DB908" s="2" t="s">
        <v>86</v>
      </c>
      <c r="DC908" s="2" t="s">
        <v>85</v>
      </c>
      <c r="DD908" s="2" t="s">
        <v>142</v>
      </c>
      <c r="DE908" s="2" t="s">
        <v>264</v>
      </c>
      <c r="DF908" s="3" t="s">
        <v>86</v>
      </c>
      <c r="DG908" s="62">
        <v>43034</v>
      </c>
      <c r="EC908" s="60" t="str">
        <f>VLOOKUP($M908,[1]Detail!$M:$BO,1,0)</f>
        <v>JD8B-F22050-BC</v>
      </c>
      <c r="ED908" s="60">
        <f>VLOOKUP($M908,[1]Detail!$M:$BO,22,0)</f>
        <v>-91.699999999999989</v>
      </c>
      <c r="EE908" s="60">
        <f>VLOOKUP($M908,[1]Detail!$M:$BO,42,0)</f>
        <v>-666800</v>
      </c>
      <c r="EF908" s="60">
        <f>VLOOKUP($M908,[1]Detail!$M:$BO,45,0)</f>
        <v>-201990</v>
      </c>
      <c r="EH908" s="60">
        <f t="shared" si="975"/>
        <v>0</v>
      </c>
      <c r="EI908" s="60">
        <f t="shared" si="976"/>
        <v>0</v>
      </c>
      <c r="EJ908" s="60">
        <f t="shared" si="977"/>
        <v>0</v>
      </c>
    </row>
    <row r="909" spans="1:140" ht="14.25" hidden="1" customHeight="1">
      <c r="B909" s="99" t="s">
        <v>1473</v>
      </c>
      <c r="C909" s="22" t="s">
        <v>504</v>
      </c>
      <c r="D909" s="22" t="s">
        <v>505</v>
      </c>
      <c r="E909" s="2" t="str">
        <f>VLOOKUP($C909,[1]Detail!$C:$AK,6,0)</f>
        <v>PMT1</v>
      </c>
      <c r="F909" s="2" t="str">
        <f>VLOOKUP($C909,[1]Detail!$C:$AK,7,0)</f>
        <v>TH</v>
      </c>
      <c r="G909" s="2" t="str">
        <f>VLOOKUP($C909,[1]Detail!$C:$AK,5,0)</f>
        <v>B</v>
      </c>
      <c r="J909" s="149" t="s">
        <v>126</v>
      </c>
      <c r="K909" s="23" t="s">
        <v>1474</v>
      </c>
      <c r="L909" s="149" t="s">
        <v>924</v>
      </c>
      <c r="M909" s="51" t="str">
        <f t="shared" si="963"/>
        <v>JD8B-F22050-CC</v>
      </c>
      <c r="O909" s="94">
        <v>0</v>
      </c>
      <c r="P909" s="94">
        <v>0</v>
      </c>
      <c r="Q909" s="94">
        <v>0</v>
      </c>
      <c r="R909" s="94">
        <v>0</v>
      </c>
      <c r="S909" s="94">
        <v>1</v>
      </c>
      <c r="T909" s="94">
        <v>1</v>
      </c>
      <c r="U909" s="94">
        <v>0</v>
      </c>
      <c r="V909" s="94">
        <v>0</v>
      </c>
      <c r="W909" s="64">
        <f t="shared" si="971"/>
        <v>0.23</v>
      </c>
      <c r="Y909" s="60">
        <v>-86.09</v>
      </c>
      <c r="Z909" s="60">
        <v>-2.92</v>
      </c>
      <c r="AA909" s="60">
        <v>-0.88</v>
      </c>
      <c r="AB909" s="95">
        <v>-1.46</v>
      </c>
      <c r="AC909" s="95">
        <v>-0.35</v>
      </c>
      <c r="AD909" s="8">
        <f t="shared" si="947"/>
        <v>-91.699999999999989</v>
      </c>
      <c r="AE909" s="2" t="s">
        <v>84</v>
      </c>
      <c r="AG909" s="70"/>
      <c r="AH909" s="70"/>
      <c r="AJ909" s="71" t="s">
        <v>1475</v>
      </c>
      <c r="AK909" s="71"/>
      <c r="AL909" s="72"/>
      <c r="AM909" s="22"/>
      <c r="AO909" s="149" t="s">
        <v>126</v>
      </c>
      <c r="AP909" s="23" t="s">
        <v>1474</v>
      </c>
      <c r="AQ909" s="22" t="s">
        <v>122</v>
      </c>
      <c r="AR909" s="51" t="str">
        <f t="shared" si="965"/>
        <v>JD8B-F22050-CB</v>
      </c>
      <c r="AS909" s="3"/>
      <c r="AT909" s="94">
        <v>0</v>
      </c>
      <c r="AU909" s="94">
        <v>0</v>
      </c>
      <c r="AV909" s="94">
        <v>0</v>
      </c>
      <c r="AW909" s="94">
        <v>0</v>
      </c>
      <c r="AX909" s="94">
        <v>1</v>
      </c>
      <c r="AY909" s="94">
        <v>1</v>
      </c>
      <c r="AZ909" s="94">
        <v>0</v>
      </c>
      <c r="BA909" s="94">
        <v>0</v>
      </c>
      <c r="BB909" s="64">
        <f t="shared" si="979"/>
        <v>0.23</v>
      </c>
      <c r="BD909" s="95">
        <v>-85.04</v>
      </c>
      <c r="BE909" s="95">
        <f>-2.67*0-2.92</f>
        <v>-2.92</v>
      </c>
      <c r="BF909" s="95">
        <f>-0.72*0-0.88</f>
        <v>-0.88</v>
      </c>
      <c r="BG909" s="95">
        <v>-1.46</v>
      </c>
      <c r="BH909" s="95">
        <v>-0.35</v>
      </c>
      <c r="BI909" s="8">
        <f t="shared" si="980"/>
        <v>-90.649999999999991</v>
      </c>
      <c r="BJ909" s="2" t="s">
        <v>91</v>
      </c>
      <c r="BL909" s="96">
        <v>0</v>
      </c>
      <c r="BM909" s="96">
        <v>0</v>
      </c>
      <c r="BO909" s="71" t="s">
        <v>1475</v>
      </c>
      <c r="BP909" s="71">
        <v>0</v>
      </c>
      <c r="BQ909" s="72"/>
      <c r="BS909" s="61">
        <f t="shared" si="986"/>
        <v>-1.0499999999999972</v>
      </c>
      <c r="BT909" s="61">
        <f t="shared" si="987"/>
        <v>0</v>
      </c>
      <c r="BU909" s="61">
        <f t="shared" si="988"/>
        <v>0</v>
      </c>
      <c r="BV909" s="61">
        <f t="shared" si="988"/>
        <v>0</v>
      </c>
      <c r="BW909" s="61">
        <f t="shared" si="988"/>
        <v>0</v>
      </c>
      <c r="BX909" s="61">
        <f t="shared" si="988"/>
        <v>-1.0499999999999972</v>
      </c>
      <c r="BY909" s="61" t="s">
        <v>91</v>
      </c>
      <c r="CA909" s="61">
        <f t="shared" si="922"/>
        <v>0</v>
      </c>
      <c r="CB909" s="61">
        <f t="shared" si="922"/>
        <v>0</v>
      </c>
      <c r="CC909" s="61">
        <f t="shared" si="922"/>
        <v>0</v>
      </c>
      <c r="CD909" s="61">
        <f t="shared" si="922"/>
        <v>0</v>
      </c>
      <c r="CE909" s="61">
        <f t="shared" si="922"/>
        <v>-0.15796599969911196</v>
      </c>
      <c r="CF909" s="61">
        <f t="shared" si="922"/>
        <v>-0.15796599969911196</v>
      </c>
      <c r="CG909" s="61">
        <f t="shared" si="922"/>
        <v>0</v>
      </c>
      <c r="CH909" s="61">
        <f t="shared" si="922"/>
        <v>0</v>
      </c>
      <c r="CI909" s="61">
        <f t="shared" si="923"/>
        <v>-3.6332179930795752E-2</v>
      </c>
      <c r="CJ909" s="61"/>
      <c r="CK909" s="61">
        <f t="shared" si="983"/>
        <v>0</v>
      </c>
      <c r="CL909" s="61">
        <f t="shared" si="983"/>
        <v>0</v>
      </c>
      <c r="CM909" s="61">
        <f t="shared" si="983"/>
        <v>0</v>
      </c>
      <c r="CN909" s="61">
        <f t="shared" si="983"/>
        <v>0</v>
      </c>
      <c r="CO909" s="61">
        <f t="shared" si="983"/>
        <v>-0.15796599969911196</v>
      </c>
      <c r="CP909" s="61">
        <f t="shared" si="983"/>
        <v>-0.15796599969911196</v>
      </c>
      <c r="CQ909" s="61">
        <f t="shared" si="983"/>
        <v>0</v>
      </c>
      <c r="CR909" s="61">
        <f t="shared" si="898"/>
        <v>0</v>
      </c>
      <c r="CS909" s="61">
        <f t="shared" si="924"/>
        <v>-3.6332179930795752E-2</v>
      </c>
      <c r="CT909" s="61">
        <f t="shared" si="925"/>
        <v>-0.24149999999999938</v>
      </c>
      <c r="CV909" s="61">
        <f t="shared" si="970"/>
        <v>0</v>
      </c>
      <c r="CW909" s="61">
        <f t="shared" si="949"/>
        <v>0</v>
      </c>
      <c r="CX909" s="61"/>
      <c r="CY909" s="61">
        <f t="shared" si="777"/>
        <v>0</v>
      </c>
      <c r="CZ909" s="61">
        <f t="shared" si="777"/>
        <v>0</v>
      </c>
      <c r="DA909" s="61">
        <f t="shared" si="777"/>
        <v>0</v>
      </c>
      <c r="DB909" s="2" t="s">
        <v>86</v>
      </c>
      <c r="DC909" s="2" t="s">
        <v>85</v>
      </c>
      <c r="DD909" s="2" t="s">
        <v>142</v>
      </c>
      <c r="DE909" s="2" t="s">
        <v>264</v>
      </c>
      <c r="DF909" s="3" t="s">
        <v>86</v>
      </c>
      <c r="DG909" s="62">
        <v>43034</v>
      </c>
      <c r="EC909" s="60" t="str">
        <f>VLOOKUP($M909,[1]Detail!$M:$BO,1,0)</f>
        <v>JD8B-F22050-CC</v>
      </c>
      <c r="ED909" s="60">
        <f>VLOOKUP($M909,[1]Detail!$M:$BO,22,0)</f>
        <v>-91.699999999999989</v>
      </c>
      <c r="EE909" s="60">
        <f>VLOOKUP($M909,[1]Detail!$M:$BO,42,0)</f>
        <v>0</v>
      </c>
      <c r="EF909" s="60" t="str">
        <f>VLOOKUP($M909,[1]Detail!$M:$BO,45,0)</f>
        <v>incl. in JD8B-F22-5--BC</v>
      </c>
      <c r="EH909" s="60">
        <f t="shared" si="975"/>
        <v>0</v>
      </c>
      <c r="EI909" s="60">
        <f t="shared" si="976"/>
        <v>0</v>
      </c>
      <c r="EJ909" s="60" t="e">
        <f t="shared" si="977"/>
        <v>#VALUE!</v>
      </c>
    </row>
    <row r="910" spans="1:140" s="131" customFormat="1" ht="12.75" hidden="1" customHeight="1">
      <c r="A910" s="2"/>
      <c r="B910" s="99" t="s">
        <v>1476</v>
      </c>
      <c r="C910" s="22" t="s">
        <v>653</v>
      </c>
      <c r="D910" s="22" t="s">
        <v>654</v>
      </c>
      <c r="E910" s="2" t="s">
        <v>993</v>
      </c>
      <c r="F910" s="2" t="s">
        <v>969</v>
      </c>
      <c r="G910" s="2"/>
      <c r="H910" s="2"/>
      <c r="J910" s="157" t="s">
        <v>126</v>
      </c>
      <c r="K910" s="132" t="s">
        <v>779</v>
      </c>
      <c r="L910" s="157" t="s">
        <v>196</v>
      </c>
      <c r="M910" s="133" t="str">
        <f t="shared" si="963"/>
        <v>JD8B-F23943-AAW</v>
      </c>
      <c r="N910" s="134"/>
      <c r="O910" s="158">
        <v>1</v>
      </c>
      <c r="P910" s="158">
        <v>1</v>
      </c>
      <c r="Q910" s="158">
        <v>0</v>
      </c>
      <c r="R910" s="158">
        <v>0</v>
      </c>
      <c r="S910" s="158">
        <v>0</v>
      </c>
      <c r="T910" s="158">
        <v>0</v>
      </c>
      <c r="U910" s="158">
        <v>0</v>
      </c>
      <c r="V910" s="158">
        <v>0</v>
      </c>
      <c r="W910" s="135">
        <f t="shared" si="971"/>
        <v>0.30000000000000004</v>
      </c>
      <c r="Y910" s="139">
        <v>-106.71</v>
      </c>
      <c r="Z910" s="139">
        <v>-0.19</v>
      </c>
      <c r="AA910" s="139">
        <v>-1.67</v>
      </c>
      <c r="AB910" s="139">
        <v>0</v>
      </c>
      <c r="AC910" s="139">
        <v>0</v>
      </c>
      <c r="AD910" s="136">
        <f t="shared" si="947"/>
        <v>-108.57</v>
      </c>
      <c r="AE910" s="131" t="s">
        <v>84</v>
      </c>
      <c r="AG910" s="137">
        <v>-831600</v>
      </c>
      <c r="AH910" s="137">
        <v>-831600</v>
      </c>
      <c r="AJ910" s="137">
        <v>0</v>
      </c>
      <c r="AK910" s="137">
        <v>0</v>
      </c>
      <c r="AL910" s="138"/>
      <c r="AM910" s="130"/>
      <c r="AO910" s="157" t="s">
        <v>126</v>
      </c>
      <c r="AP910" s="132" t="s">
        <v>781</v>
      </c>
      <c r="AQ910" s="157" t="s">
        <v>196</v>
      </c>
      <c r="AR910" s="133" t="str">
        <f t="shared" si="965"/>
        <v>JD8B-F23943 -AAW</v>
      </c>
      <c r="AS910" s="134"/>
      <c r="AT910" s="130">
        <v>1</v>
      </c>
      <c r="AU910" s="130">
        <v>1</v>
      </c>
      <c r="AV910" s="130">
        <v>0</v>
      </c>
      <c r="AW910" s="130">
        <v>0</v>
      </c>
      <c r="AX910" s="130">
        <v>0</v>
      </c>
      <c r="AY910" s="130">
        <v>0</v>
      </c>
      <c r="AZ910" s="130">
        <v>0</v>
      </c>
      <c r="BA910" s="130">
        <v>0</v>
      </c>
      <c r="BB910" s="135">
        <f t="shared" si="979"/>
        <v>0.30000000000000004</v>
      </c>
      <c r="BD910" s="136">
        <f>-106.38*0-105.85</f>
        <v>-105.85</v>
      </c>
      <c r="BE910" s="136">
        <v>-0.19</v>
      </c>
      <c r="BF910" s="136">
        <v>-1.67</v>
      </c>
      <c r="BG910" s="136">
        <v>0</v>
      </c>
      <c r="BH910" s="136">
        <v>0</v>
      </c>
      <c r="BI910" s="136">
        <f t="shared" ref="BI910:BI912" si="989">SUM(BD910:BH910)</f>
        <v>-107.71</v>
      </c>
      <c r="BJ910" s="131" t="s">
        <v>91</v>
      </c>
      <c r="BL910" s="136">
        <v>-831600</v>
      </c>
      <c r="BM910" s="136">
        <v>-831600</v>
      </c>
      <c r="BN910" s="199"/>
      <c r="BO910" s="137">
        <v>0</v>
      </c>
      <c r="BP910" s="137">
        <v>0</v>
      </c>
      <c r="BQ910" s="138"/>
      <c r="BS910" s="181">
        <f t="shared" si="986"/>
        <v>-0.85999999999999943</v>
      </c>
      <c r="BT910" s="181">
        <f t="shared" si="987"/>
        <v>0</v>
      </c>
      <c r="BU910" s="181">
        <f t="shared" si="988"/>
        <v>0</v>
      </c>
      <c r="BV910" s="181">
        <f t="shared" si="988"/>
        <v>0</v>
      </c>
      <c r="BW910" s="181">
        <f t="shared" si="988"/>
        <v>0</v>
      </c>
      <c r="BX910" s="181">
        <f t="shared" si="988"/>
        <v>-0.85999999999999943</v>
      </c>
      <c r="BY910" s="181" t="s">
        <v>91</v>
      </c>
      <c r="CA910" s="181">
        <f t="shared" si="922"/>
        <v>-0.12938167594403482</v>
      </c>
      <c r="CB910" s="181">
        <f t="shared" si="922"/>
        <v>-0.12938167594403482</v>
      </c>
      <c r="CC910" s="181">
        <f t="shared" si="922"/>
        <v>0</v>
      </c>
      <c r="CD910" s="181">
        <f t="shared" si="922"/>
        <v>0</v>
      </c>
      <c r="CE910" s="181">
        <f t="shared" si="922"/>
        <v>0</v>
      </c>
      <c r="CF910" s="181">
        <f t="shared" si="922"/>
        <v>0</v>
      </c>
      <c r="CG910" s="181">
        <f t="shared" si="922"/>
        <v>0</v>
      </c>
      <c r="CH910" s="181">
        <f t="shared" si="922"/>
        <v>0</v>
      </c>
      <c r="CI910" s="181">
        <f t="shared" si="923"/>
        <v>-3.8814502783210449E-2</v>
      </c>
      <c r="CJ910" s="181"/>
      <c r="CK910" s="181">
        <f t="shared" si="983"/>
        <v>-0.12938167594403482</v>
      </c>
      <c r="CL910" s="181">
        <f t="shared" si="983"/>
        <v>-0.12938167594403482</v>
      </c>
      <c r="CM910" s="181">
        <f t="shared" si="983"/>
        <v>0</v>
      </c>
      <c r="CN910" s="181">
        <f t="shared" si="983"/>
        <v>0</v>
      </c>
      <c r="CO910" s="181">
        <f t="shared" si="983"/>
        <v>0</v>
      </c>
      <c r="CP910" s="181">
        <f t="shared" si="983"/>
        <v>0</v>
      </c>
      <c r="CQ910" s="181">
        <f t="shared" si="983"/>
        <v>0</v>
      </c>
      <c r="CR910" s="181">
        <f t="shared" si="898"/>
        <v>0</v>
      </c>
      <c r="CS910" s="181">
        <f t="shared" si="924"/>
        <v>-3.8814502783210449E-2</v>
      </c>
      <c r="CT910" s="181">
        <f t="shared" si="925"/>
        <v>-0.25799999999999984</v>
      </c>
      <c r="CV910" s="181">
        <f t="shared" ref="CV910:CV911" si="990">SUM(AG910)-SUM(BL910)</f>
        <v>0</v>
      </c>
      <c r="CW910" s="181">
        <f t="shared" si="949"/>
        <v>0</v>
      </c>
      <c r="CX910" s="181"/>
      <c r="CY910" s="181">
        <f t="shared" si="777"/>
        <v>0</v>
      </c>
      <c r="CZ910" s="181">
        <f t="shared" si="777"/>
        <v>0</v>
      </c>
      <c r="DA910" s="181">
        <f t="shared" si="777"/>
        <v>0</v>
      </c>
      <c r="DB910" s="131" t="s">
        <v>134</v>
      </c>
      <c r="DC910" s="131" t="s">
        <v>134</v>
      </c>
      <c r="DD910" s="131" t="s">
        <v>142</v>
      </c>
      <c r="DE910" s="131" t="s">
        <v>264</v>
      </c>
      <c r="DF910" s="134"/>
      <c r="DG910" s="141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134" t="e">
        <v>#N/A</v>
      </c>
      <c r="EC910" s="139"/>
      <c r="ED910" s="139"/>
      <c r="EE910" s="139"/>
      <c r="EF910" s="139"/>
    </row>
    <row r="911" spans="1:140" s="200" customFormat="1" ht="12.75" hidden="1" customHeight="1">
      <c r="B911" s="201" t="s">
        <v>1476</v>
      </c>
      <c r="C911" s="202" t="s">
        <v>653</v>
      </c>
      <c r="D911" s="202" t="s">
        <v>654</v>
      </c>
      <c r="E911" s="200" t="s">
        <v>993</v>
      </c>
      <c r="F911" s="200" t="s">
        <v>969</v>
      </c>
      <c r="H911" s="2"/>
      <c r="J911" s="203" t="s">
        <v>126</v>
      </c>
      <c r="K911" s="204" t="s">
        <v>779</v>
      </c>
      <c r="L911" s="203" t="s">
        <v>198</v>
      </c>
      <c r="M911" s="205" t="str">
        <f t="shared" si="963"/>
        <v>JD8B-F23943-BAW</v>
      </c>
      <c r="N911" s="206"/>
      <c r="O911" s="207">
        <v>0</v>
      </c>
      <c r="P911" s="207">
        <v>0</v>
      </c>
      <c r="Q911" s="207">
        <v>1</v>
      </c>
      <c r="R911" s="207">
        <v>1</v>
      </c>
      <c r="S911" s="207">
        <v>1</v>
      </c>
      <c r="T911" s="207">
        <v>1</v>
      </c>
      <c r="U911" s="207">
        <v>0</v>
      </c>
      <c r="V911" s="207">
        <v>0</v>
      </c>
      <c r="W911" s="208">
        <f t="shared" si="971"/>
        <v>0.6</v>
      </c>
      <c r="Y911" s="209">
        <v>-121.46</v>
      </c>
      <c r="Z911" s="209">
        <v>-0.19</v>
      </c>
      <c r="AA911" s="209">
        <v>-1.67</v>
      </c>
      <c r="AB911" s="209">
        <v>0</v>
      </c>
      <c r="AC911" s="209">
        <v>0</v>
      </c>
      <c r="AD911" s="210">
        <f t="shared" si="947"/>
        <v>-123.32</v>
      </c>
      <c r="AE911" s="200" t="s">
        <v>84</v>
      </c>
      <c r="AG911" s="211"/>
      <c r="AH911" s="211"/>
      <c r="AJ911" s="211"/>
      <c r="AK911" s="211"/>
      <c r="AL911" s="212"/>
      <c r="AM911" s="202"/>
      <c r="AO911" s="203" t="s">
        <v>126</v>
      </c>
      <c r="AP911" s="204" t="s">
        <v>781</v>
      </c>
      <c r="AQ911" s="203" t="s">
        <v>198</v>
      </c>
      <c r="AR911" s="205" t="str">
        <f t="shared" si="965"/>
        <v>JD8B-F23943 -BAW</v>
      </c>
      <c r="AS911" s="206"/>
      <c r="AT911" s="202">
        <v>0</v>
      </c>
      <c r="AU911" s="202">
        <v>0</v>
      </c>
      <c r="AV911" s="202">
        <v>1</v>
      </c>
      <c r="AW911" s="202">
        <v>1</v>
      </c>
      <c r="AX911" s="202">
        <v>1</v>
      </c>
      <c r="AY911" s="202">
        <v>1</v>
      </c>
      <c r="AZ911" s="202">
        <v>0</v>
      </c>
      <c r="BA911" s="202">
        <v>0</v>
      </c>
      <c r="BB911" s="208">
        <f t="shared" si="979"/>
        <v>0.6</v>
      </c>
      <c r="BD911" s="210">
        <f>-121.13*0-120.6</f>
        <v>-120.6</v>
      </c>
      <c r="BE911" s="210">
        <v>-0.19</v>
      </c>
      <c r="BF911" s="210">
        <v>-1.67</v>
      </c>
      <c r="BG911" s="210">
        <v>0</v>
      </c>
      <c r="BH911" s="210">
        <v>0</v>
      </c>
      <c r="BI911" s="210">
        <f t="shared" si="989"/>
        <v>-122.46</v>
      </c>
      <c r="BJ911" s="200" t="s">
        <v>91</v>
      </c>
      <c r="BL911" s="210">
        <v>0</v>
      </c>
      <c r="BM911" s="210">
        <v>0</v>
      </c>
      <c r="BO911" s="211">
        <v>0</v>
      </c>
      <c r="BP911" s="211">
        <v>0</v>
      </c>
      <c r="BQ911" s="212"/>
      <c r="BS911" s="213">
        <f t="shared" si="986"/>
        <v>-0.85999999999999943</v>
      </c>
      <c r="BT911" s="213">
        <f t="shared" si="987"/>
        <v>0</v>
      </c>
      <c r="BU911" s="213">
        <f t="shared" si="988"/>
        <v>0</v>
      </c>
      <c r="BV911" s="213">
        <f t="shared" si="988"/>
        <v>0</v>
      </c>
      <c r="BW911" s="213">
        <f t="shared" si="988"/>
        <v>0</v>
      </c>
      <c r="BX911" s="213">
        <f t="shared" si="988"/>
        <v>-0.85999999999999943</v>
      </c>
      <c r="BY911" s="213" t="s">
        <v>91</v>
      </c>
      <c r="CA911" s="213">
        <f t="shared" si="922"/>
        <v>0</v>
      </c>
      <c r="CB911" s="213">
        <f t="shared" si="922"/>
        <v>0</v>
      </c>
      <c r="CC911" s="213">
        <f t="shared" si="922"/>
        <v>-0.12938167594403482</v>
      </c>
      <c r="CD911" s="213">
        <f t="shared" si="922"/>
        <v>-0.12938167594403482</v>
      </c>
      <c r="CE911" s="213">
        <f t="shared" si="922"/>
        <v>-0.12938167594403482</v>
      </c>
      <c r="CF911" s="213">
        <f t="shared" si="922"/>
        <v>-0.12938167594403482</v>
      </c>
      <c r="CG911" s="213">
        <f t="shared" si="922"/>
        <v>0</v>
      </c>
      <c r="CH911" s="213">
        <f t="shared" si="922"/>
        <v>0</v>
      </c>
      <c r="CI911" s="213">
        <f t="shared" si="923"/>
        <v>-7.7629005566420897E-2</v>
      </c>
      <c r="CJ911" s="213"/>
      <c r="CK911" s="213">
        <f t="shared" si="983"/>
        <v>0</v>
      </c>
      <c r="CL911" s="213">
        <f t="shared" si="983"/>
        <v>0</v>
      </c>
      <c r="CM911" s="213">
        <f t="shared" si="983"/>
        <v>-0.12938167594403482</v>
      </c>
      <c r="CN911" s="213">
        <f t="shared" si="983"/>
        <v>-0.12938167594403482</v>
      </c>
      <c r="CO911" s="213">
        <f t="shared" si="983"/>
        <v>-0.12938167594403482</v>
      </c>
      <c r="CP911" s="213">
        <f t="shared" si="983"/>
        <v>-0.12938167594403482</v>
      </c>
      <c r="CQ911" s="213">
        <f t="shared" si="983"/>
        <v>0</v>
      </c>
      <c r="CR911" s="213">
        <f t="shared" si="898"/>
        <v>0</v>
      </c>
      <c r="CS911" s="213">
        <f t="shared" si="924"/>
        <v>-7.7629005566420897E-2</v>
      </c>
      <c r="CT911" s="213">
        <f t="shared" si="925"/>
        <v>-0.51599999999999968</v>
      </c>
      <c r="CV911" s="213">
        <f t="shared" si="990"/>
        <v>0</v>
      </c>
      <c r="CW911" s="213">
        <f t="shared" si="949"/>
        <v>0</v>
      </c>
      <c r="CX911" s="213"/>
      <c r="CY911" s="213">
        <f t="shared" si="777"/>
        <v>0</v>
      </c>
      <c r="CZ911" s="213">
        <f t="shared" si="777"/>
        <v>0</v>
      </c>
      <c r="DA911" s="213">
        <f t="shared" si="777"/>
        <v>0</v>
      </c>
      <c r="DB911" s="200" t="s">
        <v>134</v>
      </c>
      <c r="DC911" s="200" t="s">
        <v>134</v>
      </c>
      <c r="DD911" s="200" t="s">
        <v>142</v>
      </c>
      <c r="DE911" s="200" t="s">
        <v>264</v>
      </c>
      <c r="DF911" s="206"/>
      <c r="DG911" s="214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06" t="e">
        <v>#N/A</v>
      </c>
      <c r="EC911" s="209"/>
      <c r="ED911" s="209"/>
      <c r="EE911" s="209"/>
      <c r="EF911" s="209"/>
    </row>
    <row r="912" spans="1:140" ht="12.75" hidden="1" customHeight="1">
      <c r="B912" s="99" t="s">
        <v>1476</v>
      </c>
      <c r="C912" s="22" t="s">
        <v>653</v>
      </c>
      <c r="D912" s="22" t="s">
        <v>654</v>
      </c>
      <c r="E912" s="2" t="s">
        <v>993</v>
      </c>
      <c r="F912" s="2" t="s">
        <v>969</v>
      </c>
      <c r="G912" s="2"/>
      <c r="J912" s="149" t="s">
        <v>126</v>
      </c>
      <c r="K912" s="23" t="s">
        <v>779</v>
      </c>
      <c r="L912" s="149" t="s">
        <v>269</v>
      </c>
      <c r="M912" s="51" t="str">
        <f t="shared" si="963"/>
        <v>JD8B-F23943-CAW</v>
      </c>
      <c r="O912" s="94">
        <v>0</v>
      </c>
      <c r="P912" s="94">
        <v>0</v>
      </c>
      <c r="Q912" s="94">
        <v>0</v>
      </c>
      <c r="R912" s="94">
        <v>0</v>
      </c>
      <c r="S912" s="94">
        <v>0</v>
      </c>
      <c r="T912" s="94">
        <v>0</v>
      </c>
      <c r="U912" s="94">
        <v>1</v>
      </c>
      <c r="V912" s="94">
        <v>1</v>
      </c>
      <c r="W912" s="64">
        <f t="shared" si="971"/>
        <v>0.1</v>
      </c>
      <c r="Y912" s="60">
        <v>-121.46</v>
      </c>
      <c r="Z912" s="60">
        <v>-0.19</v>
      </c>
      <c r="AA912" s="60">
        <v>-1.67</v>
      </c>
      <c r="AB912" s="60">
        <v>0</v>
      </c>
      <c r="AC912" s="60">
        <v>0</v>
      </c>
      <c r="AD912" s="8">
        <f t="shared" si="947"/>
        <v>-123.32</v>
      </c>
      <c r="AE912" s="2" t="s">
        <v>84</v>
      </c>
      <c r="AG912" s="70"/>
      <c r="AH912" s="70"/>
      <c r="AJ912" s="70"/>
      <c r="AK912" s="70"/>
      <c r="AL912" s="72"/>
      <c r="AM912" s="22"/>
      <c r="AO912" s="149" t="s">
        <v>126</v>
      </c>
      <c r="AP912" s="23" t="s">
        <v>781</v>
      </c>
      <c r="AQ912" s="149" t="s">
        <v>269</v>
      </c>
      <c r="AR912" s="51" t="str">
        <f t="shared" si="965"/>
        <v>JD8B-F23943 -CAW</v>
      </c>
      <c r="AS912" s="3"/>
      <c r="AT912" s="22">
        <v>0</v>
      </c>
      <c r="AU912" s="22">
        <v>0</v>
      </c>
      <c r="AV912" s="22">
        <v>0</v>
      </c>
      <c r="AW912" s="22">
        <v>0</v>
      </c>
      <c r="AX912" s="22">
        <v>0</v>
      </c>
      <c r="AY912" s="22">
        <v>0</v>
      </c>
      <c r="AZ912" s="22">
        <v>1</v>
      </c>
      <c r="BA912" s="22">
        <v>1</v>
      </c>
      <c r="BB912" s="64">
        <f t="shared" si="979"/>
        <v>0.1</v>
      </c>
      <c r="BD912" s="8">
        <f>-121.13*0-120.6</f>
        <v>-120.6</v>
      </c>
      <c r="BE912" s="8">
        <v>-0.19</v>
      </c>
      <c r="BF912" s="8">
        <v>-1.67</v>
      </c>
      <c r="BG912" s="8">
        <v>0</v>
      </c>
      <c r="BH912" s="8">
        <v>0</v>
      </c>
      <c r="BI912" s="8">
        <f t="shared" si="989"/>
        <v>-122.46</v>
      </c>
      <c r="BJ912" s="2" t="s">
        <v>91</v>
      </c>
      <c r="BL912" s="8">
        <v>0</v>
      </c>
      <c r="BM912" s="8">
        <v>0</v>
      </c>
      <c r="BO912" s="70">
        <v>0</v>
      </c>
      <c r="BP912" s="70">
        <v>0</v>
      </c>
      <c r="BQ912" s="72"/>
      <c r="BS912" s="61">
        <f t="shared" si="986"/>
        <v>-0.85999999999999943</v>
      </c>
      <c r="BT912" s="61">
        <f t="shared" si="987"/>
        <v>0</v>
      </c>
      <c r="BU912" s="61">
        <f t="shared" si="988"/>
        <v>0</v>
      </c>
      <c r="BV912" s="61">
        <f t="shared" si="988"/>
        <v>0</v>
      </c>
      <c r="BW912" s="61">
        <f t="shared" si="988"/>
        <v>0</v>
      </c>
      <c r="BX912" s="61">
        <f t="shared" si="988"/>
        <v>-0.85999999999999943</v>
      </c>
      <c r="BY912" s="61" t="s">
        <v>91</v>
      </c>
      <c r="CA912" s="61">
        <f t="shared" si="922"/>
        <v>0</v>
      </c>
      <c r="CB912" s="61">
        <f t="shared" si="922"/>
        <v>0</v>
      </c>
      <c r="CC912" s="61">
        <f t="shared" si="922"/>
        <v>0</v>
      </c>
      <c r="CD912" s="61">
        <f t="shared" si="922"/>
        <v>0</v>
      </c>
      <c r="CE912" s="61">
        <f t="shared" si="922"/>
        <v>0</v>
      </c>
      <c r="CF912" s="61">
        <f t="shared" si="922"/>
        <v>0</v>
      </c>
      <c r="CG912" s="61">
        <f t="shared" si="922"/>
        <v>-0.12938167594403482</v>
      </c>
      <c r="CH912" s="61">
        <f t="shared" si="922"/>
        <v>-0.12938167594403482</v>
      </c>
      <c r="CI912" s="61">
        <f t="shared" si="923"/>
        <v>-1.2938167594403483E-2</v>
      </c>
      <c r="CJ912" s="61"/>
      <c r="CK912" s="61">
        <f t="shared" si="983"/>
        <v>0</v>
      </c>
      <c r="CL912" s="61">
        <f t="shared" si="983"/>
        <v>0</v>
      </c>
      <c r="CM912" s="61">
        <f t="shared" si="983"/>
        <v>0</v>
      </c>
      <c r="CN912" s="61">
        <f t="shared" si="983"/>
        <v>0</v>
      </c>
      <c r="CO912" s="61">
        <f t="shared" si="983"/>
        <v>0</v>
      </c>
      <c r="CP912" s="61">
        <f t="shared" si="983"/>
        <v>0</v>
      </c>
      <c r="CQ912" s="61">
        <f t="shared" si="983"/>
        <v>-0.12938167594403482</v>
      </c>
      <c r="CR912" s="61">
        <f t="shared" si="898"/>
        <v>-0.12938167594403482</v>
      </c>
      <c r="CS912" s="61">
        <f t="shared" si="924"/>
        <v>-1.2938167594403483E-2</v>
      </c>
      <c r="CT912" s="61">
        <f t="shared" si="925"/>
        <v>-8.5999999999999951E-2</v>
      </c>
      <c r="CV912" s="61">
        <f t="shared" ref="CV912" si="991">SUM(AG912)-SUM(BL912)</f>
        <v>0</v>
      </c>
      <c r="CW912" s="61">
        <f t="shared" si="949"/>
        <v>0</v>
      </c>
      <c r="CX912" s="61"/>
      <c r="CY912" s="61">
        <f t="shared" si="777"/>
        <v>0</v>
      </c>
      <c r="CZ912" s="61">
        <f t="shared" si="777"/>
        <v>0</v>
      </c>
      <c r="DA912" s="61">
        <f t="shared" si="777"/>
        <v>0</v>
      </c>
      <c r="DB912" s="2" t="s">
        <v>134</v>
      </c>
      <c r="DC912" s="2" t="s">
        <v>134</v>
      </c>
      <c r="DD912" s="2" t="s">
        <v>142</v>
      </c>
      <c r="DE912" s="2" t="s">
        <v>264</v>
      </c>
      <c r="DG912" s="62"/>
      <c r="DZ912" s="3" t="e">
        <v>#N/A</v>
      </c>
      <c r="EC912" s="60"/>
      <c r="ED912" s="60"/>
      <c r="EE912" s="60"/>
      <c r="EF912" s="60"/>
    </row>
    <row r="913" spans="1:140" ht="12.75" hidden="1" customHeight="1">
      <c r="B913" s="99" t="s">
        <v>1477</v>
      </c>
      <c r="C913" s="22" t="s">
        <v>653</v>
      </c>
      <c r="D913" s="22" t="s">
        <v>654</v>
      </c>
      <c r="E913" s="2" t="s">
        <v>993</v>
      </c>
      <c r="F913" s="2" t="s">
        <v>969</v>
      </c>
      <c r="G913" s="2"/>
      <c r="J913" s="149" t="s">
        <v>126</v>
      </c>
      <c r="K913" s="23" t="s">
        <v>779</v>
      </c>
      <c r="L913" s="149" t="s">
        <v>93</v>
      </c>
      <c r="M913" s="51" t="str">
        <f t="shared" si="963"/>
        <v>JD8B-F23943-ABW</v>
      </c>
      <c r="O913" s="94">
        <v>1</v>
      </c>
      <c r="P913" s="94">
        <v>1</v>
      </c>
      <c r="Q913" s="94">
        <v>0</v>
      </c>
      <c r="R913" s="94">
        <v>0</v>
      </c>
      <c r="S913" s="94">
        <v>0</v>
      </c>
      <c r="T913" s="94">
        <v>0</v>
      </c>
      <c r="U913" s="94">
        <v>0</v>
      </c>
      <c r="V913" s="94">
        <v>0</v>
      </c>
      <c r="W913" s="64">
        <f t="shared" si="971"/>
        <v>0.30000000000000004</v>
      </c>
      <c r="Y913" s="60">
        <v>-106.71</v>
      </c>
      <c r="Z913" s="60">
        <v>-0.19</v>
      </c>
      <c r="AA913" s="60">
        <v>-1.67</v>
      </c>
      <c r="AB913" s="60">
        <v>0</v>
      </c>
      <c r="AC913" s="60">
        <v>0</v>
      </c>
      <c r="AD913" s="8">
        <f t="shared" ref="AD913:AD915" si="992">SUM(Y913:AC913)</f>
        <v>-108.57</v>
      </c>
      <c r="AE913" s="2" t="s">
        <v>84</v>
      </c>
      <c r="AG913" s="70">
        <f>-831600-94000</f>
        <v>-925600</v>
      </c>
      <c r="AH913" s="70">
        <f>-831600-94000</f>
        <v>-925600</v>
      </c>
      <c r="AJ913" s="70">
        <v>0</v>
      </c>
      <c r="AK913" s="70">
        <v>0</v>
      </c>
      <c r="AL913" s="72"/>
      <c r="AM913" s="22"/>
      <c r="AO913" s="149" t="s">
        <v>126</v>
      </c>
      <c r="AP913" s="23" t="s">
        <v>779</v>
      </c>
      <c r="AQ913" s="149" t="s">
        <v>196</v>
      </c>
      <c r="AR913" s="51" t="str">
        <f t="shared" si="965"/>
        <v>JD8B-F23943-AAW</v>
      </c>
      <c r="AS913" s="3"/>
      <c r="AT913" s="22">
        <v>1</v>
      </c>
      <c r="AU913" s="22">
        <v>1</v>
      </c>
      <c r="AV913" s="22">
        <v>0</v>
      </c>
      <c r="AW913" s="22">
        <v>0</v>
      </c>
      <c r="AX913" s="22">
        <v>0</v>
      </c>
      <c r="AY913" s="22">
        <v>0</v>
      </c>
      <c r="AZ913" s="22">
        <v>0</v>
      </c>
      <c r="BA913" s="22">
        <v>0</v>
      </c>
      <c r="BB913" s="64">
        <f t="shared" si="979"/>
        <v>0.30000000000000004</v>
      </c>
      <c r="BD913" s="60">
        <v>-106.71</v>
      </c>
      <c r="BE913" s="60">
        <v>-0.19</v>
      </c>
      <c r="BF913" s="60">
        <v>-1.67</v>
      </c>
      <c r="BG913" s="60">
        <v>0</v>
      </c>
      <c r="BH913" s="60">
        <v>0</v>
      </c>
      <c r="BI913" s="8">
        <f t="shared" ref="BI913:BI917" si="993">SUM(BD913:BH913)</f>
        <v>-108.57</v>
      </c>
      <c r="BJ913" s="2" t="s">
        <v>91</v>
      </c>
      <c r="BL913" s="8">
        <v>-831600</v>
      </c>
      <c r="BM913" s="8">
        <v>-831600</v>
      </c>
      <c r="BN913" s="6"/>
      <c r="BO913" s="70">
        <v>0</v>
      </c>
      <c r="BP913" s="70">
        <v>0</v>
      </c>
      <c r="BQ913" s="72"/>
      <c r="BS913" s="61">
        <f t="shared" si="986"/>
        <v>0</v>
      </c>
      <c r="BT913" s="61">
        <f t="shared" si="987"/>
        <v>0</v>
      </c>
      <c r="BU913" s="61">
        <f t="shared" si="988"/>
        <v>0</v>
      </c>
      <c r="BV913" s="61">
        <f t="shared" si="988"/>
        <v>0</v>
      </c>
      <c r="BW913" s="61">
        <f t="shared" si="988"/>
        <v>0</v>
      </c>
      <c r="BX913" s="61">
        <f t="shared" si="988"/>
        <v>0</v>
      </c>
      <c r="BY913" s="61" t="s">
        <v>91</v>
      </c>
      <c r="CA913" s="61">
        <f t="shared" si="922"/>
        <v>0</v>
      </c>
      <c r="CB913" s="61">
        <f t="shared" si="922"/>
        <v>0</v>
      </c>
      <c r="CC913" s="61">
        <f t="shared" si="922"/>
        <v>0</v>
      </c>
      <c r="CD913" s="61">
        <f t="shared" si="922"/>
        <v>0</v>
      </c>
      <c r="CE913" s="61">
        <f t="shared" si="922"/>
        <v>0</v>
      </c>
      <c r="CF913" s="61">
        <f t="shared" si="922"/>
        <v>0</v>
      </c>
      <c r="CG913" s="61">
        <f t="shared" si="922"/>
        <v>0</v>
      </c>
      <c r="CH913" s="61">
        <f t="shared" si="922"/>
        <v>0</v>
      </c>
      <c r="CI913" s="61">
        <f t="shared" si="923"/>
        <v>0</v>
      </c>
      <c r="CJ913" s="61"/>
      <c r="CK913" s="61">
        <f t="shared" si="983"/>
        <v>0</v>
      </c>
      <c r="CL913" s="61">
        <f t="shared" si="983"/>
        <v>0</v>
      </c>
      <c r="CM913" s="61">
        <f t="shared" si="983"/>
        <v>0</v>
      </c>
      <c r="CN913" s="61">
        <f t="shared" si="983"/>
        <v>0</v>
      </c>
      <c r="CO913" s="61">
        <f t="shared" si="983"/>
        <v>0</v>
      </c>
      <c r="CP913" s="61">
        <f t="shared" si="983"/>
        <v>0</v>
      </c>
      <c r="CQ913" s="61">
        <f t="shared" si="983"/>
        <v>0</v>
      </c>
      <c r="CR913" s="61">
        <f t="shared" si="898"/>
        <v>0</v>
      </c>
      <c r="CS913" s="61">
        <f t="shared" si="924"/>
        <v>0</v>
      </c>
      <c r="CT913" s="61">
        <f t="shared" si="925"/>
        <v>0</v>
      </c>
      <c r="CV913" s="61">
        <f t="shared" ref="CV913:CV914" si="994">SUM(AG913)-SUM(BL913)</f>
        <v>-94000</v>
      </c>
      <c r="CW913" s="61">
        <f t="shared" si="949"/>
        <v>-94000</v>
      </c>
      <c r="CX913" s="61"/>
      <c r="CY913" s="61">
        <f t="shared" si="777"/>
        <v>0</v>
      </c>
      <c r="CZ913" s="61">
        <f t="shared" si="777"/>
        <v>0</v>
      </c>
      <c r="DA913" s="61">
        <f t="shared" si="777"/>
        <v>0</v>
      </c>
      <c r="DB913" s="2" t="s">
        <v>85</v>
      </c>
      <c r="DC913" s="2" t="s">
        <v>134</v>
      </c>
      <c r="DD913" s="2" t="s">
        <v>142</v>
      </c>
      <c r="DE913" s="2" t="s">
        <v>106</v>
      </c>
      <c r="DG913" s="62"/>
      <c r="DZ913" s="3" t="e">
        <v>#N/A</v>
      </c>
      <c r="EC913" s="60"/>
      <c r="ED913" s="60"/>
      <c r="EE913" s="60"/>
      <c r="EF913" s="60"/>
    </row>
    <row r="914" spans="1:140" ht="12.75" hidden="1" customHeight="1">
      <c r="B914" s="99" t="s">
        <v>1477</v>
      </c>
      <c r="C914" s="22" t="s">
        <v>653</v>
      </c>
      <c r="D914" s="22" t="s">
        <v>654</v>
      </c>
      <c r="E914" s="2" t="s">
        <v>993</v>
      </c>
      <c r="F914" s="2" t="s">
        <v>969</v>
      </c>
      <c r="G914" s="2"/>
      <c r="J914" s="149" t="s">
        <v>126</v>
      </c>
      <c r="K914" s="23" t="s">
        <v>779</v>
      </c>
      <c r="L914" s="149" t="s">
        <v>210</v>
      </c>
      <c r="M914" s="51" t="str">
        <f t="shared" si="963"/>
        <v>JD8B-F23943-BBW</v>
      </c>
      <c r="O914" s="94">
        <v>0</v>
      </c>
      <c r="P914" s="94">
        <v>0</v>
      </c>
      <c r="Q914" s="94">
        <v>1</v>
      </c>
      <c r="R914" s="94">
        <v>1</v>
      </c>
      <c r="S914" s="94">
        <v>1</v>
      </c>
      <c r="T914" s="94">
        <v>1</v>
      </c>
      <c r="U914" s="94">
        <v>0</v>
      </c>
      <c r="V914" s="94">
        <v>0</v>
      </c>
      <c r="W914" s="64">
        <f t="shared" si="971"/>
        <v>0.6</v>
      </c>
      <c r="Y914" s="60">
        <v>-121.46</v>
      </c>
      <c r="Z914" s="60">
        <v>-0.19</v>
      </c>
      <c r="AA914" s="60">
        <v>-1.67</v>
      </c>
      <c r="AB914" s="60">
        <v>0</v>
      </c>
      <c r="AC914" s="60">
        <v>0</v>
      </c>
      <c r="AD914" s="8">
        <f t="shared" si="992"/>
        <v>-123.32</v>
      </c>
      <c r="AE914" s="2" t="s">
        <v>84</v>
      </c>
      <c r="AG914" s="70"/>
      <c r="AH914" s="70"/>
      <c r="AJ914" s="70"/>
      <c r="AK914" s="70"/>
      <c r="AL914" s="72"/>
      <c r="AM914" s="22"/>
      <c r="AO914" s="149" t="s">
        <v>126</v>
      </c>
      <c r="AP914" s="23" t="s">
        <v>779</v>
      </c>
      <c r="AQ914" s="149" t="s">
        <v>198</v>
      </c>
      <c r="AR914" s="51" t="str">
        <f t="shared" si="965"/>
        <v>JD8B-F23943-BAW</v>
      </c>
      <c r="AS914" s="3"/>
      <c r="AT914" s="22">
        <v>0</v>
      </c>
      <c r="AU914" s="22">
        <v>0</v>
      </c>
      <c r="AV914" s="22">
        <v>1</v>
      </c>
      <c r="AW914" s="22">
        <v>1</v>
      </c>
      <c r="AX914" s="22">
        <v>1</v>
      </c>
      <c r="AY914" s="22">
        <v>1</v>
      </c>
      <c r="AZ914" s="22">
        <v>0</v>
      </c>
      <c r="BA914" s="22">
        <v>0</v>
      </c>
      <c r="BB914" s="64">
        <f t="shared" si="979"/>
        <v>0.6</v>
      </c>
      <c r="BD914" s="60">
        <v>-121.46</v>
      </c>
      <c r="BE914" s="60">
        <v>-0.19</v>
      </c>
      <c r="BF914" s="60">
        <v>-1.67</v>
      </c>
      <c r="BG914" s="60">
        <v>0</v>
      </c>
      <c r="BH914" s="60">
        <v>0</v>
      </c>
      <c r="BI914" s="8">
        <f t="shared" si="993"/>
        <v>-123.32</v>
      </c>
      <c r="BJ914" s="2" t="s">
        <v>91</v>
      </c>
      <c r="BL914" s="8">
        <v>0</v>
      </c>
      <c r="BM914" s="8">
        <v>0</v>
      </c>
      <c r="BO914" s="70">
        <v>0</v>
      </c>
      <c r="BP914" s="70">
        <v>0</v>
      </c>
      <c r="BQ914" s="72"/>
      <c r="BS914" s="61">
        <f t="shared" si="986"/>
        <v>0</v>
      </c>
      <c r="BT914" s="61">
        <f t="shared" si="987"/>
        <v>0</v>
      </c>
      <c r="BU914" s="61">
        <f t="shared" si="988"/>
        <v>0</v>
      </c>
      <c r="BV914" s="61">
        <f t="shared" si="988"/>
        <v>0</v>
      </c>
      <c r="BW914" s="61">
        <f t="shared" si="988"/>
        <v>0</v>
      </c>
      <c r="BX914" s="61">
        <f t="shared" si="988"/>
        <v>0</v>
      </c>
      <c r="BY914" s="61" t="s">
        <v>91</v>
      </c>
      <c r="CA914" s="61">
        <f t="shared" si="922"/>
        <v>0</v>
      </c>
      <c r="CB914" s="61">
        <f t="shared" si="922"/>
        <v>0</v>
      </c>
      <c r="CC914" s="61">
        <f t="shared" si="922"/>
        <v>0</v>
      </c>
      <c r="CD914" s="61">
        <f t="shared" si="922"/>
        <v>0</v>
      </c>
      <c r="CE914" s="61">
        <f t="shared" si="922"/>
        <v>0</v>
      </c>
      <c r="CF914" s="61">
        <f t="shared" si="922"/>
        <v>0</v>
      </c>
      <c r="CG914" s="61">
        <f t="shared" si="922"/>
        <v>0</v>
      </c>
      <c r="CH914" s="61">
        <f t="shared" si="922"/>
        <v>0</v>
      </c>
      <c r="CI914" s="61">
        <f t="shared" si="923"/>
        <v>0</v>
      </c>
      <c r="CJ914" s="61"/>
      <c r="CK914" s="61">
        <f t="shared" si="983"/>
        <v>0</v>
      </c>
      <c r="CL914" s="61">
        <f t="shared" si="983"/>
        <v>0</v>
      </c>
      <c r="CM914" s="61">
        <f t="shared" si="983"/>
        <v>0</v>
      </c>
      <c r="CN914" s="61">
        <f t="shared" si="983"/>
        <v>0</v>
      </c>
      <c r="CO914" s="61">
        <f t="shared" si="983"/>
        <v>0</v>
      </c>
      <c r="CP914" s="61">
        <f t="shared" si="983"/>
        <v>0</v>
      </c>
      <c r="CQ914" s="61">
        <f t="shared" si="983"/>
        <v>0</v>
      </c>
      <c r="CR914" s="61">
        <f t="shared" si="898"/>
        <v>0</v>
      </c>
      <c r="CS914" s="61">
        <f t="shared" si="924"/>
        <v>0</v>
      </c>
      <c r="CT914" s="61">
        <f t="shared" si="925"/>
        <v>0</v>
      </c>
      <c r="CV914" s="61">
        <f t="shared" si="994"/>
        <v>0</v>
      </c>
      <c r="CW914" s="61">
        <f t="shared" si="949"/>
        <v>0</v>
      </c>
      <c r="CX914" s="61"/>
      <c r="CY914" s="61">
        <f t="shared" si="777"/>
        <v>0</v>
      </c>
      <c r="CZ914" s="61">
        <f t="shared" si="777"/>
        <v>0</v>
      </c>
      <c r="DA914" s="61">
        <f t="shared" si="777"/>
        <v>0</v>
      </c>
      <c r="DB914" s="2" t="s">
        <v>85</v>
      </c>
      <c r="DC914" s="2" t="s">
        <v>134</v>
      </c>
      <c r="DD914" s="2" t="s">
        <v>142</v>
      </c>
      <c r="DE914" s="2" t="s">
        <v>106</v>
      </c>
      <c r="DG914" s="62"/>
      <c r="DZ914" s="3" t="e">
        <v>#N/A</v>
      </c>
      <c r="EC914" s="60"/>
      <c r="ED914" s="60"/>
      <c r="EE914" s="60"/>
      <c r="EF914" s="60"/>
    </row>
    <row r="915" spans="1:140" ht="12.75" hidden="1" customHeight="1">
      <c r="B915" s="99" t="s">
        <v>1477</v>
      </c>
      <c r="C915" s="22" t="s">
        <v>653</v>
      </c>
      <c r="D915" s="22" t="s">
        <v>654</v>
      </c>
      <c r="E915" s="2" t="s">
        <v>993</v>
      </c>
      <c r="F915" s="2" t="s">
        <v>969</v>
      </c>
      <c r="G915" s="2"/>
      <c r="J915" s="149" t="s">
        <v>126</v>
      </c>
      <c r="K915" s="23" t="s">
        <v>779</v>
      </c>
      <c r="L915" s="149" t="s">
        <v>211</v>
      </c>
      <c r="M915" s="51" t="str">
        <f t="shared" si="963"/>
        <v>JD8B-F23943-CBW</v>
      </c>
      <c r="O915" s="94">
        <v>0</v>
      </c>
      <c r="P915" s="94">
        <v>0</v>
      </c>
      <c r="Q915" s="94">
        <v>0</v>
      </c>
      <c r="R915" s="94">
        <v>0</v>
      </c>
      <c r="S915" s="94">
        <v>0</v>
      </c>
      <c r="T915" s="94">
        <v>0</v>
      </c>
      <c r="U915" s="94">
        <v>1</v>
      </c>
      <c r="V915" s="94">
        <v>1</v>
      </c>
      <c r="W915" s="64">
        <f t="shared" si="971"/>
        <v>0.1</v>
      </c>
      <c r="Y915" s="60">
        <v>-121.46</v>
      </c>
      <c r="Z915" s="60">
        <v>-0.19</v>
      </c>
      <c r="AA915" s="60">
        <v>-1.67</v>
      </c>
      <c r="AB915" s="60">
        <v>0</v>
      </c>
      <c r="AC915" s="60">
        <v>0</v>
      </c>
      <c r="AD915" s="8">
        <f t="shared" si="992"/>
        <v>-123.32</v>
      </c>
      <c r="AE915" s="2" t="s">
        <v>84</v>
      </c>
      <c r="AG915" s="70"/>
      <c r="AH915" s="70"/>
      <c r="AJ915" s="70"/>
      <c r="AK915" s="70"/>
      <c r="AL915" s="72"/>
      <c r="AM915" s="22"/>
      <c r="AO915" s="149" t="s">
        <v>126</v>
      </c>
      <c r="AP915" s="23" t="s">
        <v>779</v>
      </c>
      <c r="AQ915" s="149" t="s">
        <v>269</v>
      </c>
      <c r="AR915" s="51" t="str">
        <f t="shared" si="965"/>
        <v>JD8B-F23943-CAW</v>
      </c>
      <c r="AS915" s="3"/>
      <c r="AT915" s="22">
        <v>0</v>
      </c>
      <c r="AU915" s="22">
        <v>0</v>
      </c>
      <c r="AV915" s="22">
        <v>0</v>
      </c>
      <c r="AW915" s="22">
        <v>0</v>
      </c>
      <c r="AX915" s="22">
        <v>0</v>
      </c>
      <c r="AY915" s="22">
        <v>0</v>
      </c>
      <c r="AZ915" s="22">
        <v>1</v>
      </c>
      <c r="BA915" s="22">
        <v>1</v>
      </c>
      <c r="BB915" s="64">
        <f t="shared" si="979"/>
        <v>0.1</v>
      </c>
      <c r="BD915" s="60">
        <v>-121.46</v>
      </c>
      <c r="BE915" s="60">
        <v>-0.19</v>
      </c>
      <c r="BF915" s="60">
        <v>-1.67</v>
      </c>
      <c r="BG915" s="60">
        <v>0</v>
      </c>
      <c r="BH915" s="60">
        <v>0</v>
      </c>
      <c r="BI915" s="8">
        <f t="shared" si="993"/>
        <v>-123.32</v>
      </c>
      <c r="BJ915" s="2" t="s">
        <v>91</v>
      </c>
      <c r="BL915" s="8">
        <v>0</v>
      </c>
      <c r="BM915" s="8">
        <v>0</v>
      </c>
      <c r="BO915" s="70">
        <v>0</v>
      </c>
      <c r="BP915" s="70">
        <v>0</v>
      </c>
      <c r="BQ915" s="72"/>
      <c r="BS915" s="61">
        <f t="shared" si="986"/>
        <v>0</v>
      </c>
      <c r="BT915" s="61">
        <f t="shared" si="987"/>
        <v>0</v>
      </c>
      <c r="BU915" s="61">
        <f t="shared" si="988"/>
        <v>0</v>
      </c>
      <c r="BV915" s="61">
        <f t="shared" si="988"/>
        <v>0</v>
      </c>
      <c r="BW915" s="61">
        <f t="shared" si="988"/>
        <v>0</v>
      </c>
      <c r="BX915" s="61">
        <f t="shared" si="988"/>
        <v>0</v>
      </c>
      <c r="BY915" s="61" t="s">
        <v>91</v>
      </c>
      <c r="CA915" s="61">
        <f t="shared" si="922"/>
        <v>0</v>
      </c>
      <c r="CB915" s="61">
        <f t="shared" si="922"/>
        <v>0</v>
      </c>
      <c r="CC915" s="61">
        <f t="shared" si="922"/>
        <v>0</v>
      </c>
      <c r="CD915" s="61">
        <f t="shared" si="922"/>
        <v>0</v>
      </c>
      <c r="CE915" s="61">
        <f t="shared" si="922"/>
        <v>0</v>
      </c>
      <c r="CF915" s="61">
        <f t="shared" si="922"/>
        <v>0</v>
      </c>
      <c r="CG915" s="61">
        <f t="shared" si="922"/>
        <v>0</v>
      </c>
      <c r="CH915" s="61">
        <f t="shared" si="922"/>
        <v>0</v>
      </c>
      <c r="CI915" s="61">
        <f t="shared" si="923"/>
        <v>0</v>
      </c>
      <c r="CJ915" s="61"/>
      <c r="CK915" s="61">
        <f t="shared" si="983"/>
        <v>0</v>
      </c>
      <c r="CL915" s="61">
        <f t="shared" si="983"/>
        <v>0</v>
      </c>
      <c r="CM915" s="61">
        <f t="shared" si="983"/>
        <v>0</v>
      </c>
      <c r="CN915" s="61">
        <f t="shared" si="983"/>
        <v>0</v>
      </c>
      <c r="CO915" s="61">
        <f t="shared" si="983"/>
        <v>0</v>
      </c>
      <c r="CP915" s="61">
        <f t="shared" si="983"/>
        <v>0</v>
      </c>
      <c r="CQ915" s="61">
        <f t="shared" si="983"/>
        <v>0</v>
      </c>
      <c r="CR915" s="61">
        <f t="shared" si="898"/>
        <v>0</v>
      </c>
      <c r="CS915" s="61">
        <f t="shared" si="924"/>
        <v>0</v>
      </c>
      <c r="CT915" s="61">
        <f t="shared" si="925"/>
        <v>0</v>
      </c>
      <c r="CV915" s="61">
        <f t="shared" ref="CV915" si="995">SUM(AG915)-SUM(BL915)</f>
        <v>0</v>
      </c>
      <c r="CW915" s="61">
        <f t="shared" si="949"/>
        <v>0</v>
      </c>
      <c r="CX915" s="61"/>
      <c r="CY915" s="61">
        <f t="shared" si="777"/>
        <v>0</v>
      </c>
      <c r="CZ915" s="61">
        <f t="shared" si="777"/>
        <v>0</v>
      </c>
      <c r="DA915" s="61">
        <f t="shared" si="777"/>
        <v>0</v>
      </c>
      <c r="DB915" s="2" t="s">
        <v>86</v>
      </c>
      <c r="DC915" s="2" t="s">
        <v>134</v>
      </c>
      <c r="DD915" s="2" t="s">
        <v>142</v>
      </c>
      <c r="DE915" s="2" t="s">
        <v>106</v>
      </c>
      <c r="DG915" s="62"/>
      <c r="DZ915" s="3" t="e">
        <v>#N/A</v>
      </c>
      <c r="EC915" s="60" t="str">
        <f>VLOOKUP($M915,[1]Detail!$M:$BO,1,0)</f>
        <v>JD8B-F23943-CBW</v>
      </c>
      <c r="ED915" s="60">
        <f>VLOOKUP($M915,[1]Detail!$M:$BO,22,0)</f>
        <v>-123.32</v>
      </c>
      <c r="EE915" s="60">
        <f>VLOOKUP($M915,[1]Detail!$M:$BO,42,0)</f>
        <v>0</v>
      </c>
      <c r="EF915" s="60">
        <f>VLOOKUP($M915,[1]Detail!$M:$BO,45,0)</f>
        <v>0</v>
      </c>
      <c r="EH915" s="60">
        <f t="shared" ref="EH915:EH925" si="996">ED915-AD915</f>
        <v>0</v>
      </c>
      <c r="EI915" s="60">
        <f t="shared" ref="EI915:EI925" si="997">EE915-AG915</f>
        <v>0</v>
      </c>
      <c r="EJ915" s="60">
        <f t="shared" ref="EJ915:EJ925" si="998">EF915-AJ915</f>
        <v>0</v>
      </c>
    </row>
    <row r="916" spans="1:140" ht="12.75" hidden="1" customHeight="1">
      <c r="A916" s="182"/>
      <c r="B916" s="215" t="s">
        <v>1478</v>
      </c>
      <c r="C916" s="195" t="s">
        <v>653</v>
      </c>
      <c r="D916" s="195" t="s">
        <v>654</v>
      </c>
      <c r="E916" s="182" t="s">
        <v>993</v>
      </c>
      <c r="F916" s="182" t="s">
        <v>969</v>
      </c>
      <c r="G916" s="182"/>
      <c r="J916" s="149" t="s">
        <v>126</v>
      </c>
      <c r="K916" s="23" t="s">
        <v>779</v>
      </c>
      <c r="L916" s="149" t="s">
        <v>565</v>
      </c>
      <c r="M916" s="51" t="str">
        <f t="shared" si="963"/>
        <v>JD8B-F23943-ACW</v>
      </c>
      <c r="O916" s="94">
        <v>1</v>
      </c>
      <c r="P916" s="94">
        <v>1</v>
      </c>
      <c r="Q916" s="94">
        <v>0</v>
      </c>
      <c r="R916" s="94">
        <v>0</v>
      </c>
      <c r="S916" s="94">
        <v>0</v>
      </c>
      <c r="T916" s="94">
        <v>0</v>
      </c>
      <c r="U916" s="94">
        <v>0</v>
      </c>
      <c r="V916" s="94">
        <v>0</v>
      </c>
      <c r="W916" s="64">
        <f t="shared" si="971"/>
        <v>0.30000000000000004</v>
      </c>
      <c r="Y916" s="60">
        <v>-106.71</v>
      </c>
      <c r="Z916" s="60">
        <v>-0.19</v>
      </c>
      <c r="AA916" s="60">
        <v>-1.67</v>
      </c>
      <c r="AB916" s="60">
        <v>0</v>
      </c>
      <c r="AC916" s="60">
        <v>0</v>
      </c>
      <c r="AD916" s="8">
        <f t="shared" ref="AD916:AD926" si="999">SUM(Y916:AC916)</f>
        <v>-108.57</v>
      </c>
      <c r="AE916" s="2" t="s">
        <v>84</v>
      </c>
      <c r="AG916" s="70">
        <f>-831600-94000</f>
        <v>-925600</v>
      </c>
      <c r="AH916" s="70">
        <f>-831600-94000</f>
        <v>-925600</v>
      </c>
      <c r="AJ916" s="70">
        <v>0</v>
      </c>
      <c r="AK916" s="70">
        <v>0</v>
      </c>
      <c r="AL916" s="72"/>
      <c r="AM916" s="22"/>
      <c r="AO916" s="149" t="s">
        <v>126</v>
      </c>
      <c r="AP916" s="23" t="s">
        <v>779</v>
      </c>
      <c r="AQ916" s="149" t="s">
        <v>93</v>
      </c>
      <c r="AR916" s="51" t="str">
        <f t="shared" si="965"/>
        <v>JD8B-F23943-ABW</v>
      </c>
      <c r="AS916" s="3"/>
      <c r="AT916" s="94">
        <v>1</v>
      </c>
      <c r="AU916" s="94">
        <v>1</v>
      </c>
      <c r="AV916" s="94">
        <v>0</v>
      </c>
      <c r="AW916" s="94">
        <v>0</v>
      </c>
      <c r="AX916" s="94">
        <v>0</v>
      </c>
      <c r="AY916" s="94">
        <v>0</v>
      </c>
      <c r="AZ916" s="94">
        <v>0</v>
      </c>
      <c r="BA916" s="94">
        <v>0</v>
      </c>
      <c r="BB916" s="64">
        <f t="shared" si="979"/>
        <v>0.30000000000000004</v>
      </c>
      <c r="BD916" s="60">
        <v>-106.71</v>
      </c>
      <c r="BE916" s="60">
        <v>-0.19</v>
      </c>
      <c r="BF916" s="60">
        <v>-1.67</v>
      </c>
      <c r="BG916" s="60">
        <v>0</v>
      </c>
      <c r="BH916" s="60">
        <v>0</v>
      </c>
      <c r="BI916" s="8">
        <f t="shared" si="993"/>
        <v>-108.57</v>
      </c>
      <c r="BJ916" s="2" t="s">
        <v>84</v>
      </c>
      <c r="BL916" s="70">
        <f>-831600-94000</f>
        <v>-925600</v>
      </c>
      <c r="BM916" s="70">
        <f>-831600-94000</f>
        <v>-925600</v>
      </c>
      <c r="BN916" s="6"/>
      <c r="BO916" s="70">
        <v>0</v>
      </c>
      <c r="BP916" s="70">
        <v>0</v>
      </c>
      <c r="BQ916" s="72"/>
      <c r="BS916" s="61">
        <f t="shared" si="986"/>
        <v>0</v>
      </c>
      <c r="BT916" s="61">
        <f t="shared" si="987"/>
        <v>0</v>
      </c>
      <c r="BU916" s="61">
        <f t="shared" si="988"/>
        <v>0</v>
      </c>
      <c r="BV916" s="61">
        <f t="shared" si="988"/>
        <v>0</v>
      </c>
      <c r="BW916" s="61">
        <f t="shared" si="988"/>
        <v>0</v>
      </c>
      <c r="BX916" s="61">
        <f t="shared" si="988"/>
        <v>0</v>
      </c>
      <c r="BY916" s="61" t="s">
        <v>91</v>
      </c>
      <c r="CA916" s="61">
        <f t="shared" si="922"/>
        <v>0</v>
      </c>
      <c r="CB916" s="61">
        <f t="shared" si="922"/>
        <v>0</v>
      </c>
      <c r="CC916" s="61">
        <f t="shared" si="922"/>
        <v>0</v>
      </c>
      <c r="CD916" s="61">
        <f t="shared" si="922"/>
        <v>0</v>
      </c>
      <c r="CE916" s="61">
        <f t="shared" si="922"/>
        <v>0</v>
      </c>
      <c r="CF916" s="61">
        <f t="shared" si="922"/>
        <v>0</v>
      </c>
      <c r="CG916" s="61">
        <f t="shared" si="922"/>
        <v>0</v>
      </c>
      <c r="CH916" s="61">
        <f t="shared" ref="CH916:CH969" si="1000">($Y916*V916-BA916*$BD916)/$C$2</f>
        <v>0</v>
      </c>
      <c r="CI916" s="61">
        <f t="shared" si="923"/>
        <v>0</v>
      </c>
      <c r="CJ916" s="61"/>
      <c r="CK916" s="61">
        <f t="shared" si="983"/>
        <v>0</v>
      </c>
      <c r="CL916" s="61">
        <f t="shared" si="983"/>
        <v>0</v>
      </c>
      <c r="CM916" s="61">
        <f t="shared" si="983"/>
        <v>0</v>
      </c>
      <c r="CN916" s="61">
        <f t="shared" si="983"/>
        <v>0</v>
      </c>
      <c r="CO916" s="61">
        <f t="shared" si="983"/>
        <v>0</v>
      </c>
      <c r="CP916" s="61">
        <f t="shared" si="983"/>
        <v>0</v>
      </c>
      <c r="CQ916" s="61">
        <f t="shared" si="983"/>
        <v>0</v>
      </c>
      <c r="CR916" s="61">
        <f t="shared" si="898"/>
        <v>0</v>
      </c>
      <c r="CS916" s="61">
        <f t="shared" si="924"/>
        <v>0</v>
      </c>
      <c r="CT916" s="61">
        <f t="shared" si="925"/>
        <v>0</v>
      </c>
      <c r="CV916" s="61">
        <f t="shared" ref="CV916:CV917" si="1001">SUM(AG916)-SUM(BL916)</f>
        <v>0</v>
      </c>
      <c r="CW916" s="61">
        <f t="shared" ref="CW916:CW917" si="1002">SUM(AH916)-SUM(BM916)</f>
        <v>0</v>
      </c>
      <c r="CX916" s="61"/>
      <c r="CY916" s="61">
        <f t="shared" si="777"/>
        <v>0</v>
      </c>
      <c r="CZ916" s="61">
        <f t="shared" si="777"/>
        <v>0</v>
      </c>
      <c r="DA916" s="61">
        <f t="shared" si="777"/>
        <v>0</v>
      </c>
      <c r="DB916" s="2" t="s">
        <v>86</v>
      </c>
      <c r="DC916" s="2" t="s">
        <v>134</v>
      </c>
      <c r="DD916" s="2" t="s">
        <v>142</v>
      </c>
      <c r="DE916" s="2" t="s">
        <v>106</v>
      </c>
      <c r="DG916" s="62"/>
      <c r="DZ916" s="3" t="e">
        <v>#N/A</v>
      </c>
      <c r="EC916" s="60" t="str">
        <f>VLOOKUP($M916,[1]Detail!$M:$BO,1,0)</f>
        <v>JD8B-F23943-ACW</v>
      </c>
      <c r="ED916" s="60">
        <f>VLOOKUP($M916,[1]Detail!$M:$BO,22,0)</f>
        <v>-108.57</v>
      </c>
      <c r="EE916" s="60">
        <f>VLOOKUP($M916,[1]Detail!$M:$BO,42,0)</f>
        <v>-925600</v>
      </c>
      <c r="EF916" s="60">
        <f>VLOOKUP($M916,[1]Detail!$M:$BO,45,0)</f>
        <v>0</v>
      </c>
      <c r="EH916" s="60">
        <f t="shared" si="996"/>
        <v>0</v>
      </c>
      <c r="EI916" s="60">
        <f t="shared" si="997"/>
        <v>0</v>
      </c>
      <c r="EJ916" s="60">
        <f t="shared" si="998"/>
        <v>0</v>
      </c>
    </row>
    <row r="917" spans="1:140" ht="12.75" hidden="1" customHeight="1">
      <c r="B917" s="99" t="s">
        <v>1478</v>
      </c>
      <c r="C917" s="22" t="s">
        <v>653</v>
      </c>
      <c r="D917" s="22" t="s">
        <v>654</v>
      </c>
      <c r="E917" s="2" t="s">
        <v>993</v>
      </c>
      <c r="F917" s="2" t="s">
        <v>969</v>
      </c>
      <c r="G917" s="2"/>
      <c r="J917" s="149" t="s">
        <v>126</v>
      </c>
      <c r="K917" s="23" t="s">
        <v>779</v>
      </c>
      <c r="L917" s="149" t="s">
        <v>215</v>
      </c>
      <c r="M917" s="51" t="str">
        <f t="shared" si="963"/>
        <v>JD8B-F23943-BCW</v>
      </c>
      <c r="O917" s="94">
        <v>0</v>
      </c>
      <c r="P917" s="94">
        <v>0</v>
      </c>
      <c r="Q917" s="94">
        <v>1</v>
      </c>
      <c r="R917" s="94">
        <v>1</v>
      </c>
      <c r="S917" s="94">
        <v>1</v>
      </c>
      <c r="T917" s="94">
        <v>1</v>
      </c>
      <c r="U917" s="94">
        <v>0</v>
      </c>
      <c r="V917" s="94">
        <v>0</v>
      </c>
      <c r="W917" s="64">
        <f t="shared" si="971"/>
        <v>0.6</v>
      </c>
      <c r="Y917" s="60">
        <v>-121.46</v>
      </c>
      <c r="Z917" s="60">
        <v>-0.19</v>
      </c>
      <c r="AA917" s="60">
        <v>-1.67</v>
      </c>
      <c r="AB917" s="60">
        <v>0</v>
      </c>
      <c r="AC917" s="60">
        <v>0</v>
      </c>
      <c r="AD917" s="8">
        <f t="shared" si="999"/>
        <v>-123.32</v>
      </c>
      <c r="AE917" s="2" t="s">
        <v>84</v>
      </c>
      <c r="AG917" s="70"/>
      <c r="AH917" s="70"/>
      <c r="AJ917" s="70"/>
      <c r="AK917" s="70"/>
      <c r="AL917" s="72"/>
      <c r="AM917" s="22"/>
      <c r="AO917" s="149" t="s">
        <v>126</v>
      </c>
      <c r="AP917" s="23" t="s">
        <v>779</v>
      </c>
      <c r="AQ917" s="149" t="s">
        <v>210</v>
      </c>
      <c r="AR917" s="51" t="str">
        <f t="shared" si="965"/>
        <v>JD8B-F23943-BBW</v>
      </c>
      <c r="AS917" s="3"/>
      <c r="AT917" s="94">
        <v>0</v>
      </c>
      <c r="AU917" s="94">
        <v>0</v>
      </c>
      <c r="AV917" s="94">
        <v>1</v>
      </c>
      <c r="AW917" s="94">
        <v>1</v>
      </c>
      <c r="AX917" s="94">
        <v>1</v>
      </c>
      <c r="AY917" s="94">
        <v>1</v>
      </c>
      <c r="AZ917" s="94">
        <v>0</v>
      </c>
      <c r="BA917" s="94">
        <v>0</v>
      </c>
      <c r="BB917" s="64">
        <f t="shared" si="979"/>
        <v>0.6</v>
      </c>
      <c r="BD917" s="60">
        <v>-121.46</v>
      </c>
      <c r="BE917" s="60">
        <v>-0.19</v>
      </c>
      <c r="BF917" s="60">
        <v>-1.67</v>
      </c>
      <c r="BG917" s="60">
        <v>0</v>
      </c>
      <c r="BH917" s="60">
        <v>0</v>
      </c>
      <c r="BI917" s="8">
        <f t="shared" si="993"/>
        <v>-123.32</v>
      </c>
      <c r="BJ917" s="2" t="s">
        <v>84</v>
      </c>
      <c r="BL917" s="70"/>
      <c r="BM917" s="70"/>
      <c r="BO917" s="70">
        <v>0</v>
      </c>
      <c r="BP917" s="70">
        <v>0</v>
      </c>
      <c r="BQ917" s="72"/>
      <c r="BS917" s="61">
        <f t="shared" si="986"/>
        <v>0</v>
      </c>
      <c r="BT917" s="61">
        <f t="shared" si="987"/>
        <v>0</v>
      </c>
      <c r="BU917" s="61">
        <f t="shared" si="988"/>
        <v>0</v>
      </c>
      <c r="BV917" s="61">
        <f t="shared" si="988"/>
        <v>0</v>
      </c>
      <c r="BW917" s="61">
        <f t="shared" si="988"/>
        <v>0</v>
      </c>
      <c r="BX917" s="61">
        <f t="shared" si="988"/>
        <v>0</v>
      </c>
      <c r="BY917" s="61" t="s">
        <v>91</v>
      </c>
      <c r="CA917" s="61">
        <f t="shared" ref="CA917:CG948" si="1003">($Y917*O917-AT917*$BD917)/$C$2</f>
        <v>0</v>
      </c>
      <c r="CB917" s="61">
        <f t="shared" si="1003"/>
        <v>0</v>
      </c>
      <c r="CC917" s="61">
        <f t="shared" si="1003"/>
        <v>0</v>
      </c>
      <c r="CD917" s="61">
        <f t="shared" si="1003"/>
        <v>0</v>
      </c>
      <c r="CE917" s="61">
        <f t="shared" si="1003"/>
        <v>0</v>
      </c>
      <c r="CF917" s="61">
        <f t="shared" si="1003"/>
        <v>0</v>
      </c>
      <c r="CG917" s="61">
        <f t="shared" si="1003"/>
        <v>0</v>
      </c>
      <c r="CH917" s="61">
        <f t="shared" si="1000"/>
        <v>0</v>
      </c>
      <c r="CI917" s="61">
        <f t="shared" si="923"/>
        <v>0</v>
      </c>
      <c r="CJ917" s="61"/>
      <c r="CK917" s="61">
        <f t="shared" si="983"/>
        <v>0</v>
      </c>
      <c r="CL917" s="61">
        <f t="shared" si="983"/>
        <v>0</v>
      </c>
      <c r="CM917" s="61">
        <f t="shared" si="983"/>
        <v>0</v>
      </c>
      <c r="CN917" s="61">
        <f t="shared" si="983"/>
        <v>0</v>
      </c>
      <c r="CO917" s="61">
        <f t="shared" si="983"/>
        <v>0</v>
      </c>
      <c r="CP917" s="61">
        <f t="shared" si="983"/>
        <v>0</v>
      </c>
      <c r="CQ917" s="61">
        <f t="shared" si="983"/>
        <v>0</v>
      </c>
      <c r="CR917" s="61">
        <f t="shared" si="898"/>
        <v>0</v>
      </c>
      <c r="CS917" s="61">
        <f t="shared" si="924"/>
        <v>0</v>
      </c>
      <c r="CT917" s="61">
        <f t="shared" si="925"/>
        <v>0</v>
      </c>
      <c r="CV917" s="61">
        <f t="shared" si="1001"/>
        <v>0</v>
      </c>
      <c r="CW917" s="61">
        <f t="shared" si="1002"/>
        <v>0</v>
      </c>
      <c r="CX917" s="61"/>
      <c r="CY917" s="61">
        <f t="shared" si="777"/>
        <v>0</v>
      </c>
      <c r="CZ917" s="61">
        <f t="shared" si="777"/>
        <v>0</v>
      </c>
      <c r="DA917" s="61">
        <f t="shared" si="777"/>
        <v>0</v>
      </c>
      <c r="DB917" s="2" t="s">
        <v>86</v>
      </c>
      <c r="DC917" s="2" t="s">
        <v>134</v>
      </c>
      <c r="DD917" s="2" t="s">
        <v>142</v>
      </c>
      <c r="DE917" s="2" t="s">
        <v>106</v>
      </c>
      <c r="DG917" s="62"/>
      <c r="DZ917" s="3" t="e">
        <v>#N/A</v>
      </c>
      <c r="EC917" s="60" t="str">
        <f>VLOOKUP($M917,[1]Detail!$M:$BO,1,0)</f>
        <v>JD8B-F23943-BCW</v>
      </c>
      <c r="ED917" s="60">
        <f>VLOOKUP($M917,[1]Detail!$M:$BO,22,0)</f>
        <v>-123.32</v>
      </c>
      <c r="EE917" s="60">
        <f>VLOOKUP($M917,[1]Detail!$M:$BO,42,0)</f>
        <v>0</v>
      </c>
      <c r="EF917" s="60">
        <f>VLOOKUP($M917,[1]Detail!$M:$BO,45,0)</f>
        <v>0</v>
      </c>
      <c r="EH917" s="60">
        <f t="shared" si="996"/>
        <v>0</v>
      </c>
      <c r="EI917" s="60">
        <f t="shared" si="997"/>
        <v>0</v>
      </c>
      <c r="EJ917" s="60">
        <f t="shared" si="998"/>
        <v>0</v>
      </c>
    </row>
    <row r="918" spans="1:140" ht="12.75" hidden="1" customHeight="1">
      <c r="B918" s="99" t="s">
        <v>1476</v>
      </c>
      <c r="C918" s="22" t="s">
        <v>258</v>
      </c>
      <c r="D918" s="22" t="s">
        <v>259</v>
      </c>
      <c r="E918" s="2" t="s">
        <v>993</v>
      </c>
      <c r="F918" s="2" t="s">
        <v>969</v>
      </c>
      <c r="G918" s="2"/>
      <c r="J918" s="149" t="s">
        <v>126</v>
      </c>
      <c r="K918" s="23" t="s">
        <v>268</v>
      </c>
      <c r="L918" s="149" t="s">
        <v>196</v>
      </c>
      <c r="M918" s="51" t="str">
        <f t="shared" si="963"/>
        <v>JD8B-F240A41-AAW</v>
      </c>
      <c r="O918" s="94"/>
      <c r="P918" s="94"/>
      <c r="Q918" s="94">
        <v>1</v>
      </c>
      <c r="R918" s="94">
        <v>1</v>
      </c>
      <c r="S918" s="94">
        <v>1</v>
      </c>
      <c r="T918" s="94">
        <v>1</v>
      </c>
      <c r="U918" s="94"/>
      <c r="V918" s="94"/>
      <c r="W918" s="64">
        <f t="shared" si="971"/>
        <v>0.6</v>
      </c>
      <c r="Y918" s="60">
        <v>-9.01</v>
      </c>
      <c r="Z918" s="60">
        <v>-0.14000000000000001</v>
      </c>
      <c r="AA918" s="60">
        <v>0</v>
      </c>
      <c r="AB918" s="60">
        <v>0</v>
      </c>
      <c r="AC918" s="60">
        <v>0</v>
      </c>
      <c r="AD918" s="8">
        <f t="shared" si="999"/>
        <v>-9.15</v>
      </c>
      <c r="AE918" s="2" t="s">
        <v>84</v>
      </c>
      <c r="AG918" s="70"/>
      <c r="AH918" s="70"/>
      <c r="AJ918" s="70"/>
      <c r="AK918" s="70"/>
      <c r="AL918" s="72"/>
      <c r="AM918" s="22"/>
      <c r="AO918" s="149" t="s">
        <v>126</v>
      </c>
      <c r="AP918" s="23" t="s">
        <v>784</v>
      </c>
      <c r="AQ918" s="149" t="s">
        <v>196</v>
      </c>
      <c r="AR918" s="51" t="str">
        <f t="shared" si="965"/>
        <v>JD8B-F240A41 -AAW</v>
      </c>
      <c r="AS918" s="3"/>
      <c r="AT918" s="22"/>
      <c r="AU918" s="22"/>
      <c r="AV918" s="22">
        <v>1</v>
      </c>
      <c r="AW918" s="22">
        <v>1</v>
      </c>
      <c r="AX918" s="22">
        <v>1</v>
      </c>
      <c r="AY918" s="22">
        <v>1</v>
      </c>
      <c r="AZ918" s="22"/>
      <c r="BA918" s="22"/>
      <c r="BB918" s="64">
        <f t="shared" si="979"/>
        <v>0.6</v>
      </c>
      <c r="BD918" s="60">
        <v>-8.1499999999999986</v>
      </c>
      <c r="BE918" s="60">
        <v>-0.14000000000000001</v>
      </c>
      <c r="BF918" s="60">
        <v>0</v>
      </c>
      <c r="BG918" s="60">
        <v>0</v>
      </c>
      <c r="BH918" s="60">
        <v>0</v>
      </c>
      <c r="BI918" s="8">
        <f t="shared" ref="BI918" si="1004">SUM(BD918:BH918)</f>
        <v>-8.2899999999999991</v>
      </c>
      <c r="BJ918" s="2" t="s">
        <v>91</v>
      </c>
      <c r="BL918" s="71">
        <v>0</v>
      </c>
      <c r="BM918" s="71">
        <v>0</v>
      </c>
      <c r="BO918" s="70"/>
      <c r="BP918" s="70"/>
      <c r="BQ918" s="72"/>
      <c r="BS918" s="61">
        <f t="shared" si="986"/>
        <v>-0.86000000000000121</v>
      </c>
      <c r="BT918" s="61">
        <f t="shared" si="987"/>
        <v>0</v>
      </c>
      <c r="BU918" s="61">
        <f t="shared" si="988"/>
        <v>0</v>
      </c>
      <c r="BV918" s="61">
        <f t="shared" si="988"/>
        <v>0</v>
      </c>
      <c r="BW918" s="61">
        <f t="shared" si="988"/>
        <v>0</v>
      </c>
      <c r="BX918" s="61">
        <f t="shared" si="988"/>
        <v>-0.86000000000000121</v>
      </c>
      <c r="BY918" s="61" t="s">
        <v>91</v>
      </c>
      <c r="CA918" s="61">
        <f t="shared" si="1003"/>
        <v>0</v>
      </c>
      <c r="CB918" s="61">
        <f t="shared" si="1003"/>
        <v>0</v>
      </c>
      <c r="CC918" s="61">
        <f t="shared" si="1003"/>
        <v>-0.12938167594403507</v>
      </c>
      <c r="CD918" s="61">
        <f t="shared" si="1003"/>
        <v>-0.12938167594403507</v>
      </c>
      <c r="CE918" s="61">
        <f t="shared" si="1003"/>
        <v>-0.12938167594403507</v>
      </c>
      <c r="CF918" s="61">
        <f t="shared" si="1003"/>
        <v>-0.12938167594403507</v>
      </c>
      <c r="CG918" s="61">
        <f t="shared" si="1003"/>
        <v>0</v>
      </c>
      <c r="CH918" s="61">
        <f t="shared" si="1000"/>
        <v>0</v>
      </c>
      <c r="CI918" s="61">
        <f t="shared" si="923"/>
        <v>-7.762900556642105E-2</v>
      </c>
      <c r="CJ918" s="61"/>
      <c r="CK918" s="61">
        <f t="shared" si="983"/>
        <v>0</v>
      </c>
      <c r="CL918" s="61">
        <f t="shared" si="983"/>
        <v>0</v>
      </c>
      <c r="CM918" s="61">
        <f t="shared" si="983"/>
        <v>-0.12938167594403507</v>
      </c>
      <c r="CN918" s="61">
        <f t="shared" si="983"/>
        <v>-0.12938167594403507</v>
      </c>
      <c r="CO918" s="61">
        <f t="shared" si="983"/>
        <v>-0.12938167594403507</v>
      </c>
      <c r="CP918" s="61">
        <f t="shared" si="983"/>
        <v>-0.12938167594403507</v>
      </c>
      <c r="CQ918" s="61">
        <f t="shared" si="983"/>
        <v>0</v>
      </c>
      <c r="CR918" s="61">
        <f t="shared" si="898"/>
        <v>0</v>
      </c>
      <c r="CS918" s="61">
        <f t="shared" si="924"/>
        <v>-7.762900556642105E-2</v>
      </c>
      <c r="CT918" s="61">
        <f t="shared" si="925"/>
        <v>-0.51600000000000079</v>
      </c>
      <c r="CV918" s="61">
        <f t="shared" ref="CV918" si="1005">SUM(AG918)-SUM(BL918)</f>
        <v>0</v>
      </c>
      <c r="CW918" s="61">
        <f t="shared" ref="CW918:CW921" si="1006">SUM(AH918)-SUM(BM918)</f>
        <v>0</v>
      </c>
      <c r="CX918" s="61"/>
      <c r="CY918" s="61">
        <f t="shared" si="777"/>
        <v>0</v>
      </c>
      <c r="CZ918" s="61">
        <f t="shared" si="777"/>
        <v>0</v>
      </c>
      <c r="DA918" s="61">
        <f t="shared" si="777"/>
        <v>0</v>
      </c>
      <c r="DB918" s="2" t="s">
        <v>86</v>
      </c>
      <c r="DC918" s="2" t="s">
        <v>134</v>
      </c>
      <c r="DD918" s="2" t="s">
        <v>142</v>
      </c>
      <c r="DE918" s="2" t="s">
        <v>264</v>
      </c>
      <c r="DG918" s="62"/>
      <c r="DZ918" s="3" t="e">
        <v>#N/A</v>
      </c>
      <c r="EC918" s="60" t="str">
        <f>VLOOKUP($M918,[1]Detail!$M:$BO,1,0)</f>
        <v>JD8B-F240A41-AAW</v>
      </c>
      <c r="ED918" s="60">
        <f>VLOOKUP($M918,[1]Detail!$M:$BO,22,0)</f>
        <v>-9.15</v>
      </c>
      <c r="EE918" s="60">
        <f>VLOOKUP($M918,[1]Detail!$M:$BO,42,0)</f>
        <v>0</v>
      </c>
      <c r="EF918" s="60">
        <f>VLOOKUP($M918,[1]Detail!$M:$BO,45,0)</f>
        <v>0</v>
      </c>
      <c r="EH918" s="60">
        <f t="shared" si="996"/>
        <v>0</v>
      </c>
      <c r="EI918" s="60">
        <f t="shared" si="997"/>
        <v>0</v>
      </c>
      <c r="EJ918" s="60">
        <f t="shared" si="998"/>
        <v>0</v>
      </c>
    </row>
    <row r="919" spans="1:140" ht="12.75" hidden="1" customHeight="1">
      <c r="B919" s="99" t="s">
        <v>1476</v>
      </c>
      <c r="C919" s="22" t="s">
        <v>258</v>
      </c>
      <c r="D919" s="22" t="s">
        <v>259</v>
      </c>
      <c r="E919" s="2" t="s">
        <v>993</v>
      </c>
      <c r="F919" s="2" t="s">
        <v>969</v>
      </c>
      <c r="G919" s="2"/>
      <c r="J919" s="149" t="s">
        <v>126</v>
      </c>
      <c r="K919" s="23" t="s">
        <v>268</v>
      </c>
      <c r="L919" s="149" t="s">
        <v>198</v>
      </c>
      <c r="M919" s="51" t="str">
        <f t="shared" si="963"/>
        <v>JD8B-F240A41-BAW</v>
      </c>
      <c r="O919" s="94">
        <v>0</v>
      </c>
      <c r="P919" s="94">
        <v>0</v>
      </c>
      <c r="Q919" s="94">
        <v>0</v>
      </c>
      <c r="R919" s="94">
        <v>0</v>
      </c>
      <c r="S919" s="94">
        <v>0</v>
      </c>
      <c r="T919" s="94">
        <v>0</v>
      </c>
      <c r="U919" s="94">
        <v>1</v>
      </c>
      <c r="V919" s="94">
        <v>1</v>
      </c>
      <c r="W919" s="64">
        <f t="shared" si="971"/>
        <v>0.1</v>
      </c>
      <c r="Y919" s="60">
        <v>-9.01</v>
      </c>
      <c r="Z919" s="60">
        <v>-0.14000000000000001</v>
      </c>
      <c r="AA919" s="60">
        <v>0</v>
      </c>
      <c r="AB919" s="60">
        <v>0</v>
      </c>
      <c r="AC919" s="60">
        <v>0</v>
      </c>
      <c r="AD919" s="8">
        <f t="shared" si="999"/>
        <v>-9.15</v>
      </c>
      <c r="AE919" s="2" t="s">
        <v>84</v>
      </c>
      <c r="AG919" s="70"/>
      <c r="AH919" s="70"/>
      <c r="AJ919" s="70"/>
      <c r="AK919" s="70"/>
      <c r="AL919" s="72"/>
      <c r="AM919" s="22"/>
      <c r="AO919" s="149" t="s">
        <v>126</v>
      </c>
      <c r="AP919" s="23" t="s">
        <v>784</v>
      </c>
      <c r="AQ919" s="149" t="s">
        <v>198</v>
      </c>
      <c r="AR919" s="51" t="str">
        <f t="shared" si="965"/>
        <v>JD8B-F240A41 -BAW</v>
      </c>
      <c r="AS919" s="3"/>
      <c r="AT919" s="22">
        <v>0</v>
      </c>
      <c r="AU919" s="22">
        <v>0</v>
      </c>
      <c r="AV919" s="22">
        <v>0</v>
      </c>
      <c r="AW919" s="22">
        <v>0</v>
      </c>
      <c r="AX919" s="22">
        <v>0</v>
      </c>
      <c r="AY919" s="22">
        <v>0</v>
      </c>
      <c r="AZ919" s="22">
        <v>1</v>
      </c>
      <c r="BA919" s="22">
        <v>1</v>
      </c>
      <c r="BB919" s="64">
        <f t="shared" si="979"/>
        <v>0.1</v>
      </c>
      <c r="BD919" s="8">
        <v>-8.15</v>
      </c>
      <c r="BE919" s="8">
        <v>-0.14000000000000001</v>
      </c>
      <c r="BF919" s="8">
        <v>0</v>
      </c>
      <c r="BG919" s="8">
        <v>0</v>
      </c>
      <c r="BH919" s="8">
        <v>0</v>
      </c>
      <c r="BI919" s="8">
        <f t="shared" ref="BI919" si="1007">SUM(BD919:BH919)</f>
        <v>-8.2900000000000009</v>
      </c>
      <c r="BJ919" s="2" t="s">
        <v>91</v>
      </c>
      <c r="BL919" s="8">
        <v>0</v>
      </c>
      <c r="BM919" s="8">
        <v>0</v>
      </c>
      <c r="BO919" s="70"/>
      <c r="BP919" s="70"/>
      <c r="BQ919" s="72"/>
      <c r="BS919" s="61">
        <f t="shared" si="986"/>
        <v>-0.85999999999999943</v>
      </c>
      <c r="BT919" s="61">
        <f t="shared" si="987"/>
        <v>0</v>
      </c>
      <c r="BU919" s="61">
        <f t="shared" si="988"/>
        <v>0</v>
      </c>
      <c r="BV919" s="61">
        <f t="shared" si="988"/>
        <v>0</v>
      </c>
      <c r="BW919" s="61">
        <f t="shared" si="988"/>
        <v>0</v>
      </c>
      <c r="BX919" s="61">
        <f t="shared" si="988"/>
        <v>-0.85999999999999943</v>
      </c>
      <c r="BY919" s="61" t="s">
        <v>91</v>
      </c>
      <c r="CA919" s="61">
        <f t="shared" si="1003"/>
        <v>0</v>
      </c>
      <c r="CB919" s="61">
        <f t="shared" si="1003"/>
        <v>0</v>
      </c>
      <c r="CC919" s="61">
        <f t="shared" si="1003"/>
        <v>0</v>
      </c>
      <c r="CD919" s="61">
        <f t="shared" si="1003"/>
        <v>0</v>
      </c>
      <c r="CE919" s="61">
        <f t="shared" si="1003"/>
        <v>0</v>
      </c>
      <c r="CF919" s="61">
        <f t="shared" si="1003"/>
        <v>0</v>
      </c>
      <c r="CG919" s="61">
        <f t="shared" si="1003"/>
        <v>-0.12938167594403482</v>
      </c>
      <c r="CH919" s="61">
        <f t="shared" si="1000"/>
        <v>-0.12938167594403482</v>
      </c>
      <c r="CI919" s="61">
        <f t="shared" si="923"/>
        <v>-1.2938167594403483E-2</v>
      </c>
      <c r="CJ919" s="61"/>
      <c r="CK919" s="61">
        <f t="shared" si="983"/>
        <v>0</v>
      </c>
      <c r="CL919" s="61">
        <f t="shared" si="983"/>
        <v>0</v>
      </c>
      <c r="CM919" s="61">
        <f t="shared" si="983"/>
        <v>0</v>
      </c>
      <c r="CN919" s="61">
        <f t="shared" si="983"/>
        <v>0</v>
      </c>
      <c r="CO919" s="61">
        <f t="shared" si="983"/>
        <v>0</v>
      </c>
      <c r="CP919" s="61">
        <f t="shared" si="983"/>
        <v>0</v>
      </c>
      <c r="CQ919" s="61">
        <f t="shared" si="983"/>
        <v>-0.12938167594403482</v>
      </c>
      <c r="CR919" s="61">
        <f t="shared" si="898"/>
        <v>-0.12938167594403482</v>
      </c>
      <c r="CS919" s="61">
        <f t="shared" si="924"/>
        <v>-1.2938167594403483E-2</v>
      </c>
      <c r="CT919" s="61">
        <f t="shared" si="925"/>
        <v>-8.5999999999999951E-2</v>
      </c>
      <c r="CV919" s="61">
        <f t="shared" ref="CV919:CV921" si="1008">SUM(AG919)-SUM(BL919)</f>
        <v>0</v>
      </c>
      <c r="CW919" s="61">
        <f t="shared" si="1006"/>
        <v>0</v>
      </c>
      <c r="CX919" s="61"/>
      <c r="CY919" s="61">
        <f t="shared" si="777"/>
        <v>0</v>
      </c>
      <c r="CZ919" s="61">
        <f t="shared" si="777"/>
        <v>0</v>
      </c>
      <c r="DA919" s="61">
        <f t="shared" si="777"/>
        <v>0</v>
      </c>
      <c r="DB919" s="2" t="s">
        <v>86</v>
      </c>
      <c r="DC919" s="2" t="s">
        <v>134</v>
      </c>
      <c r="DD919" s="2" t="s">
        <v>142</v>
      </c>
      <c r="DE919" s="2" t="s">
        <v>264</v>
      </c>
      <c r="DG919" s="62"/>
      <c r="DZ919" s="3" t="e">
        <v>#N/A</v>
      </c>
      <c r="EC919" s="60" t="str">
        <f>VLOOKUP($M919,[1]Detail!$M:$BO,1,0)</f>
        <v>JD8B-F240A41-BAW</v>
      </c>
      <c r="ED919" s="60">
        <f>VLOOKUP($M919,[1]Detail!$M:$BO,22,0)</f>
        <v>-9.15</v>
      </c>
      <c r="EE919" s="60">
        <f>VLOOKUP($M919,[1]Detail!$M:$BO,42,0)</f>
        <v>0</v>
      </c>
      <c r="EF919" s="60">
        <f>VLOOKUP($M919,[1]Detail!$M:$BO,45,0)</f>
        <v>0</v>
      </c>
      <c r="EH919" s="60">
        <f t="shared" si="996"/>
        <v>0</v>
      </c>
      <c r="EI919" s="60">
        <f t="shared" si="997"/>
        <v>0</v>
      </c>
      <c r="EJ919" s="60">
        <f t="shared" si="998"/>
        <v>0</v>
      </c>
    </row>
    <row r="920" spans="1:140" ht="12.75" hidden="1" customHeight="1">
      <c r="B920" s="99" t="s">
        <v>1476</v>
      </c>
      <c r="C920" s="22" t="s">
        <v>258</v>
      </c>
      <c r="D920" s="22" t="s">
        <v>259</v>
      </c>
      <c r="E920" s="2" t="s">
        <v>993</v>
      </c>
      <c r="F920" s="2" t="s">
        <v>969</v>
      </c>
      <c r="G920" s="2"/>
      <c r="J920" s="149" t="s">
        <v>126</v>
      </c>
      <c r="K920" s="23" t="s">
        <v>268</v>
      </c>
      <c r="L920" s="149" t="s">
        <v>269</v>
      </c>
      <c r="M920" s="51" t="str">
        <f t="shared" si="963"/>
        <v>JD8B-F240A41-CAW</v>
      </c>
      <c r="O920" s="94">
        <v>1</v>
      </c>
      <c r="P920" s="94">
        <v>1</v>
      </c>
      <c r="Q920" s="94"/>
      <c r="R920" s="94"/>
      <c r="S920" s="94"/>
      <c r="T920" s="94"/>
      <c r="U920" s="94"/>
      <c r="V920" s="94"/>
      <c r="W920" s="64">
        <f t="shared" si="971"/>
        <v>0.30000000000000004</v>
      </c>
      <c r="Y920" s="60">
        <v>-9.01</v>
      </c>
      <c r="Z920" s="60">
        <v>-0.14000000000000001</v>
      </c>
      <c r="AA920" s="60">
        <v>0</v>
      </c>
      <c r="AB920" s="60">
        <v>0</v>
      </c>
      <c r="AC920" s="60">
        <v>0</v>
      </c>
      <c r="AD920" s="8">
        <f t="shared" si="999"/>
        <v>-9.15</v>
      </c>
      <c r="AE920" s="2" t="s">
        <v>84</v>
      </c>
      <c r="AG920" s="70"/>
      <c r="AH920" s="70"/>
      <c r="AJ920" s="70"/>
      <c r="AK920" s="70"/>
      <c r="AL920" s="72"/>
      <c r="AM920" s="22"/>
      <c r="AO920" s="149" t="s">
        <v>126</v>
      </c>
      <c r="AP920" s="23" t="s">
        <v>784</v>
      </c>
      <c r="AQ920" s="149" t="s">
        <v>269</v>
      </c>
      <c r="AR920" s="51" t="str">
        <f t="shared" si="965"/>
        <v>JD8B-F240A41 -CAW</v>
      </c>
      <c r="AS920" s="3"/>
      <c r="AT920" s="22">
        <v>1</v>
      </c>
      <c r="AU920" s="22">
        <v>1</v>
      </c>
      <c r="AV920" s="22"/>
      <c r="AW920" s="22"/>
      <c r="AX920" s="22"/>
      <c r="AY920" s="22"/>
      <c r="AZ920" s="22"/>
      <c r="BA920" s="22"/>
      <c r="BB920" s="64">
        <f t="shared" si="979"/>
        <v>0.30000000000000004</v>
      </c>
      <c r="BD920" s="60">
        <v>-8.1499999999999986</v>
      </c>
      <c r="BE920" s="60">
        <v>-0.14000000000000001</v>
      </c>
      <c r="BF920" s="60">
        <v>0</v>
      </c>
      <c r="BG920" s="60">
        <v>0</v>
      </c>
      <c r="BH920" s="60">
        <v>0</v>
      </c>
      <c r="BI920" s="8">
        <f t="shared" ref="BI920" si="1009">SUM(BD920:BH920)</f>
        <v>-8.2899999999999991</v>
      </c>
      <c r="BJ920" s="2" t="s">
        <v>91</v>
      </c>
      <c r="BL920" s="70"/>
      <c r="BM920" s="70"/>
      <c r="BO920" s="70"/>
      <c r="BP920" s="70"/>
      <c r="BQ920" s="72"/>
      <c r="BS920" s="61">
        <f t="shared" si="986"/>
        <v>-0.86000000000000121</v>
      </c>
      <c r="BT920" s="61">
        <f t="shared" si="987"/>
        <v>0</v>
      </c>
      <c r="BU920" s="61">
        <f t="shared" si="988"/>
        <v>0</v>
      </c>
      <c r="BV920" s="61">
        <f t="shared" si="988"/>
        <v>0</v>
      </c>
      <c r="BW920" s="61">
        <f t="shared" si="988"/>
        <v>0</v>
      </c>
      <c r="BX920" s="61">
        <f t="shared" si="988"/>
        <v>-0.86000000000000121</v>
      </c>
      <c r="BY920" s="61" t="s">
        <v>91</v>
      </c>
      <c r="CA920" s="61">
        <f t="shared" si="1003"/>
        <v>-0.12938167594403507</v>
      </c>
      <c r="CB920" s="61">
        <f t="shared" si="1003"/>
        <v>-0.12938167594403507</v>
      </c>
      <c r="CC920" s="61">
        <f t="shared" si="1003"/>
        <v>0</v>
      </c>
      <c r="CD920" s="61">
        <f t="shared" si="1003"/>
        <v>0</v>
      </c>
      <c r="CE920" s="61">
        <f t="shared" si="1003"/>
        <v>0</v>
      </c>
      <c r="CF920" s="61">
        <f t="shared" si="1003"/>
        <v>0</v>
      </c>
      <c r="CG920" s="61">
        <f t="shared" si="1003"/>
        <v>0</v>
      </c>
      <c r="CH920" s="61">
        <f t="shared" si="1000"/>
        <v>0</v>
      </c>
      <c r="CI920" s="61">
        <f t="shared" si="923"/>
        <v>-3.8814502783210525E-2</v>
      </c>
      <c r="CJ920" s="61"/>
      <c r="CK920" s="61">
        <f t="shared" si="983"/>
        <v>-0.12938167594403507</v>
      </c>
      <c r="CL920" s="61">
        <f t="shared" si="983"/>
        <v>-0.12938167594403507</v>
      </c>
      <c r="CM920" s="61">
        <f t="shared" si="983"/>
        <v>0</v>
      </c>
      <c r="CN920" s="61">
        <f t="shared" si="983"/>
        <v>0</v>
      </c>
      <c r="CO920" s="61">
        <f t="shared" si="983"/>
        <v>0</v>
      </c>
      <c r="CP920" s="61">
        <f t="shared" si="983"/>
        <v>0</v>
      </c>
      <c r="CQ920" s="61">
        <f t="shared" si="983"/>
        <v>0</v>
      </c>
      <c r="CR920" s="61">
        <f t="shared" si="898"/>
        <v>0</v>
      </c>
      <c r="CS920" s="61">
        <f t="shared" si="924"/>
        <v>-3.8814502783210525E-2</v>
      </c>
      <c r="CT920" s="61">
        <f t="shared" si="925"/>
        <v>-0.2580000000000004</v>
      </c>
      <c r="CV920" s="61">
        <f t="shared" si="1008"/>
        <v>0</v>
      </c>
      <c r="CW920" s="61">
        <f t="shared" si="1006"/>
        <v>0</v>
      </c>
      <c r="CX920" s="61"/>
      <c r="CY920" s="61">
        <f t="shared" si="777"/>
        <v>0</v>
      </c>
      <c r="CZ920" s="61">
        <f t="shared" si="777"/>
        <v>0</v>
      </c>
      <c r="DA920" s="61">
        <f t="shared" si="777"/>
        <v>0</v>
      </c>
      <c r="DB920" s="2" t="s">
        <v>86</v>
      </c>
      <c r="DC920" s="2" t="s">
        <v>134</v>
      </c>
      <c r="DD920" s="2" t="s">
        <v>142</v>
      </c>
      <c r="DE920" s="2" t="s">
        <v>264</v>
      </c>
      <c r="DG920" s="62"/>
      <c r="DZ920" s="3" t="e">
        <v>#N/A</v>
      </c>
      <c r="EC920" s="60" t="str">
        <f>VLOOKUP($M920,[1]Detail!$M:$BO,1,0)</f>
        <v>JD8B-F240A41-CAW</v>
      </c>
      <c r="ED920" s="60">
        <f>VLOOKUP($M920,[1]Detail!$M:$BO,22,0)</f>
        <v>-9.15</v>
      </c>
      <c r="EE920" s="60">
        <f>VLOOKUP($M920,[1]Detail!$M:$BO,42,0)</f>
        <v>0</v>
      </c>
      <c r="EF920" s="60">
        <f>VLOOKUP($M920,[1]Detail!$M:$BO,45,0)</f>
        <v>0</v>
      </c>
      <c r="EH920" s="60">
        <f t="shared" si="996"/>
        <v>0</v>
      </c>
      <c r="EI920" s="60">
        <f t="shared" si="997"/>
        <v>0</v>
      </c>
      <c r="EJ920" s="60">
        <f t="shared" si="998"/>
        <v>0</v>
      </c>
    </row>
    <row r="921" spans="1:140" s="131" customFormat="1" ht="12.75" hidden="1" customHeight="1">
      <c r="A921" s="2"/>
      <c r="B921" s="99" t="s">
        <v>1479</v>
      </c>
      <c r="C921" s="22" t="s">
        <v>405</v>
      </c>
      <c r="D921" s="22" t="s">
        <v>407</v>
      </c>
      <c r="E921" s="2" t="s">
        <v>968</v>
      </c>
      <c r="F921" s="2" t="s">
        <v>969</v>
      </c>
      <c r="G921" s="2" t="s">
        <v>1087</v>
      </c>
      <c r="H921" s="2"/>
      <c r="I921" s="2"/>
      <c r="J921" s="149" t="s">
        <v>126</v>
      </c>
      <c r="K921" s="23" t="s">
        <v>1480</v>
      </c>
      <c r="L921" s="149" t="s">
        <v>132</v>
      </c>
      <c r="M921" s="51" t="str">
        <f t="shared" si="963"/>
        <v>JD8B-132K14-AB</v>
      </c>
      <c r="N921" s="3"/>
      <c r="O921" s="94">
        <v>0</v>
      </c>
      <c r="P921" s="94">
        <v>0</v>
      </c>
      <c r="Q921" s="94">
        <v>0</v>
      </c>
      <c r="R921" s="94">
        <v>0</v>
      </c>
      <c r="S921" s="94">
        <v>0</v>
      </c>
      <c r="T921" s="94">
        <v>0</v>
      </c>
      <c r="U921" s="94">
        <v>1</v>
      </c>
      <c r="V921" s="94">
        <v>1</v>
      </c>
      <c r="W921" s="64">
        <f t="shared" si="971"/>
        <v>0.1</v>
      </c>
      <c r="X921" s="2"/>
      <c r="Y921" s="60">
        <v>-11.88</v>
      </c>
      <c r="Z921" s="60">
        <v>-0.32</v>
      </c>
      <c r="AA921" s="60">
        <v>-0.3</v>
      </c>
      <c r="AB921" s="60">
        <v>0</v>
      </c>
      <c r="AC921" s="60">
        <v>0</v>
      </c>
      <c r="AD921" s="8">
        <f t="shared" si="999"/>
        <v>-12.500000000000002</v>
      </c>
      <c r="AE921" s="2" t="s">
        <v>84</v>
      </c>
      <c r="AF921" s="2"/>
      <c r="AG921" s="70">
        <v>-211000</v>
      </c>
      <c r="AH921" s="70">
        <v>-211000</v>
      </c>
      <c r="AI921" s="2"/>
      <c r="AJ921" s="70">
        <v>0</v>
      </c>
      <c r="AK921" s="70">
        <v>0</v>
      </c>
      <c r="AL921" s="72">
        <v>0</v>
      </c>
      <c r="AM921" s="22"/>
      <c r="AN921" s="2"/>
      <c r="AO921" s="22" t="s">
        <v>126</v>
      </c>
      <c r="AP921" s="23" t="s">
        <v>404</v>
      </c>
      <c r="AQ921" s="22" t="s">
        <v>100</v>
      </c>
      <c r="AR921" s="51" t="str">
        <f t="shared" si="965"/>
        <v>JD8B-132K14-AA</v>
      </c>
      <c r="AS921" s="3"/>
      <c r="AT921" s="22">
        <v>0</v>
      </c>
      <c r="AU921" s="22">
        <v>0</v>
      </c>
      <c r="AV921" s="22">
        <v>0</v>
      </c>
      <c r="AW921" s="22">
        <v>0</v>
      </c>
      <c r="AX921" s="22">
        <v>0</v>
      </c>
      <c r="AY921" s="22">
        <v>0</v>
      </c>
      <c r="AZ921" s="22">
        <v>1</v>
      </c>
      <c r="BA921" s="22">
        <v>1</v>
      </c>
      <c r="BB921" s="64">
        <f t="shared" si="979"/>
        <v>0.1</v>
      </c>
      <c r="BC921" s="2"/>
      <c r="BD921" s="60">
        <v>-9.7799999999999994</v>
      </c>
      <c r="BE921" s="60">
        <v>-0.32</v>
      </c>
      <c r="BF921" s="60">
        <v>-0.3</v>
      </c>
      <c r="BG921" s="60">
        <v>0</v>
      </c>
      <c r="BH921" s="60">
        <v>0</v>
      </c>
      <c r="BI921" s="8">
        <f t="shared" ref="BI921:BI923" si="1010">SUM(BD921:BH921)</f>
        <v>-10.4</v>
      </c>
      <c r="BJ921" s="2" t="s">
        <v>91</v>
      </c>
      <c r="BK921" s="2"/>
      <c r="BL921" s="71">
        <v>-91000</v>
      </c>
      <c r="BM921" s="71">
        <v>-91000</v>
      </c>
      <c r="BN921" s="6"/>
      <c r="BO921" s="71">
        <v>0</v>
      </c>
      <c r="BP921" s="71">
        <v>0</v>
      </c>
      <c r="BQ921" s="72"/>
      <c r="BR921" s="2"/>
      <c r="BS921" s="61">
        <f t="shared" si="986"/>
        <v>-2.1000000000000014</v>
      </c>
      <c r="BT921" s="61">
        <f t="shared" si="987"/>
        <v>0</v>
      </c>
      <c r="BU921" s="61">
        <f t="shared" si="988"/>
        <v>0</v>
      </c>
      <c r="BV921" s="61">
        <f t="shared" si="988"/>
        <v>0</v>
      </c>
      <c r="BW921" s="61">
        <f t="shared" si="988"/>
        <v>0</v>
      </c>
      <c r="BX921" s="61">
        <f t="shared" si="988"/>
        <v>-2.1000000000000014</v>
      </c>
      <c r="BY921" s="61" t="s">
        <v>91</v>
      </c>
      <c r="BZ921" s="2"/>
      <c r="CA921" s="61">
        <f t="shared" si="1003"/>
        <v>0</v>
      </c>
      <c r="CB921" s="61">
        <f t="shared" si="1003"/>
        <v>0</v>
      </c>
      <c r="CC921" s="61">
        <f t="shared" si="1003"/>
        <v>0</v>
      </c>
      <c r="CD921" s="61">
        <f t="shared" si="1003"/>
        <v>0</v>
      </c>
      <c r="CE921" s="61">
        <f t="shared" si="1003"/>
        <v>0</v>
      </c>
      <c r="CF921" s="61">
        <f t="shared" si="1003"/>
        <v>0</v>
      </c>
      <c r="CG921" s="61">
        <f t="shared" si="1003"/>
        <v>-0.31593199939822497</v>
      </c>
      <c r="CH921" s="61">
        <f t="shared" si="1000"/>
        <v>-0.31593199939822497</v>
      </c>
      <c r="CI921" s="61">
        <f t="shared" si="923"/>
        <v>-3.15931999398225E-2</v>
      </c>
      <c r="CJ921" s="61"/>
      <c r="CK921" s="61">
        <f t="shared" si="983"/>
        <v>0</v>
      </c>
      <c r="CL921" s="61">
        <f t="shared" si="983"/>
        <v>0</v>
      </c>
      <c r="CM921" s="61">
        <f t="shared" si="983"/>
        <v>0</v>
      </c>
      <c r="CN921" s="61">
        <f t="shared" si="983"/>
        <v>0</v>
      </c>
      <c r="CO921" s="61">
        <f t="shared" si="983"/>
        <v>0</v>
      </c>
      <c r="CP921" s="61">
        <f t="shared" si="983"/>
        <v>0</v>
      </c>
      <c r="CQ921" s="61">
        <f t="shared" si="983"/>
        <v>-0.31593199939822497</v>
      </c>
      <c r="CR921" s="61">
        <f t="shared" si="898"/>
        <v>-0.31593199939822497</v>
      </c>
      <c r="CS921" s="61">
        <f t="shared" si="924"/>
        <v>-3.15931999398225E-2</v>
      </c>
      <c r="CT921" s="61">
        <f t="shared" si="925"/>
        <v>-0.21000000000000016</v>
      </c>
      <c r="CU921" s="2"/>
      <c r="CV921" s="61">
        <f t="shared" si="1008"/>
        <v>-120000</v>
      </c>
      <c r="CW921" s="61">
        <f t="shared" si="1006"/>
        <v>-120000</v>
      </c>
      <c r="CX921" s="61"/>
      <c r="CY921" s="61">
        <f t="shared" ref="CY921" si="1011">SUM(AJ921)-SUM(BO921)</f>
        <v>0</v>
      </c>
      <c r="CZ921" s="61">
        <f t="shared" ref="CZ921" si="1012">SUM(AK921)-SUM(BP921)</f>
        <v>0</v>
      </c>
      <c r="DA921" s="61">
        <f t="shared" si="777"/>
        <v>0</v>
      </c>
      <c r="DB921" s="2" t="s">
        <v>86</v>
      </c>
      <c r="DC921" s="2" t="s">
        <v>85</v>
      </c>
      <c r="DD921" s="2" t="s">
        <v>142</v>
      </c>
      <c r="DE921" s="2" t="s">
        <v>264</v>
      </c>
      <c r="DF921" s="3"/>
      <c r="DG921" s="6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134" t="e">
        <v>#N/A</v>
      </c>
      <c r="EC921" s="139" t="str">
        <f>VLOOKUP($M921,[1]Detail!$M:$BO,1,0)</f>
        <v>JD8B-132K14-AB</v>
      </c>
      <c r="ED921" s="139">
        <f>VLOOKUP($M921,[1]Detail!$M:$BO,22,0)</f>
        <v>-12.500000000000002</v>
      </c>
      <c r="EE921" s="139">
        <f>VLOOKUP($M921,[1]Detail!$M:$BO,42,0)</f>
        <v>-211000</v>
      </c>
      <c r="EF921" s="139">
        <f>VLOOKUP($M921,[1]Detail!$M:$BO,45,0)</f>
        <v>0</v>
      </c>
      <c r="EH921" s="139">
        <f t="shared" si="996"/>
        <v>0</v>
      </c>
      <c r="EI921" s="139">
        <f t="shared" si="997"/>
        <v>0</v>
      </c>
      <c r="EJ921" s="139">
        <f t="shared" si="998"/>
        <v>0</v>
      </c>
    </row>
    <row r="922" spans="1:140" s="200" customFormat="1" ht="12.75" hidden="1" customHeight="1">
      <c r="B922" s="201" t="s">
        <v>1479</v>
      </c>
      <c r="C922" s="202" t="s">
        <v>405</v>
      </c>
      <c r="D922" s="202" t="s">
        <v>407</v>
      </c>
      <c r="E922" s="200" t="s">
        <v>968</v>
      </c>
      <c r="F922" s="200" t="s">
        <v>969</v>
      </c>
      <c r="G922" s="200" t="s">
        <v>1087</v>
      </c>
      <c r="H922" s="2"/>
      <c r="J922" s="203" t="s">
        <v>126</v>
      </c>
      <c r="K922" s="204" t="s">
        <v>1481</v>
      </c>
      <c r="L922" s="203" t="s">
        <v>132</v>
      </c>
      <c r="M922" s="205" t="str">
        <f t="shared" si="963"/>
        <v>JD8B-132K15-AB</v>
      </c>
      <c r="N922" s="206"/>
      <c r="O922" s="207">
        <v>0</v>
      </c>
      <c r="P922" s="207">
        <v>0</v>
      </c>
      <c r="Q922" s="207">
        <v>0</v>
      </c>
      <c r="R922" s="207">
        <v>0</v>
      </c>
      <c r="S922" s="207">
        <v>0</v>
      </c>
      <c r="T922" s="207">
        <v>0</v>
      </c>
      <c r="U922" s="207">
        <v>1</v>
      </c>
      <c r="V922" s="207">
        <v>1</v>
      </c>
      <c r="W922" s="208">
        <f t="shared" si="971"/>
        <v>0.1</v>
      </c>
      <c r="Y922" s="209">
        <v>-11.88</v>
      </c>
      <c r="Z922" s="209">
        <v>-0.32</v>
      </c>
      <c r="AA922" s="209">
        <v>-0.3</v>
      </c>
      <c r="AB922" s="209">
        <v>0</v>
      </c>
      <c r="AC922" s="209">
        <v>0</v>
      </c>
      <c r="AD922" s="210">
        <f t="shared" si="999"/>
        <v>-12.500000000000002</v>
      </c>
      <c r="AE922" s="200" t="s">
        <v>84</v>
      </c>
      <c r="AG922" s="211">
        <v>0</v>
      </c>
      <c r="AH922" s="211">
        <v>0</v>
      </c>
      <c r="AJ922" s="211">
        <v>0</v>
      </c>
      <c r="AK922" s="211">
        <v>0</v>
      </c>
      <c r="AL922" s="212">
        <v>0</v>
      </c>
      <c r="AM922" s="202"/>
      <c r="AO922" s="202" t="s">
        <v>126</v>
      </c>
      <c r="AP922" s="204" t="s">
        <v>406</v>
      </c>
      <c r="AQ922" s="202" t="s">
        <v>100</v>
      </c>
      <c r="AR922" s="205" t="str">
        <f t="shared" si="965"/>
        <v>JD8B-132K15-AA</v>
      </c>
      <c r="AS922" s="206"/>
      <c r="AT922" s="202">
        <v>0</v>
      </c>
      <c r="AU922" s="202">
        <v>0</v>
      </c>
      <c r="AV922" s="202">
        <v>0</v>
      </c>
      <c r="AW922" s="202">
        <v>0</v>
      </c>
      <c r="AX922" s="202">
        <v>0</v>
      </c>
      <c r="AY922" s="202">
        <v>0</v>
      </c>
      <c r="AZ922" s="202">
        <v>1</v>
      </c>
      <c r="BA922" s="202">
        <v>1</v>
      </c>
      <c r="BB922" s="208">
        <f t="shared" si="979"/>
        <v>0.1</v>
      </c>
      <c r="BD922" s="209">
        <v>-9.7799999999999994</v>
      </c>
      <c r="BE922" s="209">
        <v>-0.32</v>
      </c>
      <c r="BF922" s="209">
        <v>-0.3</v>
      </c>
      <c r="BG922" s="209">
        <v>0</v>
      </c>
      <c r="BH922" s="209">
        <v>0</v>
      </c>
      <c r="BI922" s="210">
        <f t="shared" si="1010"/>
        <v>-10.4</v>
      </c>
      <c r="BJ922" s="200" t="s">
        <v>91</v>
      </c>
      <c r="BL922" s="216">
        <v>0</v>
      </c>
      <c r="BM922" s="216">
        <v>0</v>
      </c>
      <c r="BO922" s="216">
        <v>0</v>
      </c>
      <c r="BP922" s="216">
        <v>0</v>
      </c>
      <c r="BQ922" s="212"/>
      <c r="BS922" s="213">
        <f t="shared" si="986"/>
        <v>-2.1000000000000014</v>
      </c>
      <c r="BT922" s="213">
        <f t="shared" si="987"/>
        <v>0</v>
      </c>
      <c r="BU922" s="213">
        <f t="shared" si="988"/>
        <v>0</v>
      </c>
      <c r="BV922" s="213">
        <f t="shared" si="988"/>
        <v>0</v>
      </c>
      <c r="BW922" s="213">
        <f t="shared" si="988"/>
        <v>0</v>
      </c>
      <c r="BX922" s="213">
        <f t="shared" si="988"/>
        <v>-2.1000000000000014</v>
      </c>
      <c r="BY922" s="213" t="s">
        <v>91</v>
      </c>
      <c r="CA922" s="213">
        <f t="shared" si="1003"/>
        <v>0</v>
      </c>
      <c r="CB922" s="213">
        <f t="shared" si="1003"/>
        <v>0</v>
      </c>
      <c r="CC922" s="213">
        <f t="shared" si="1003"/>
        <v>0</v>
      </c>
      <c r="CD922" s="213">
        <f t="shared" si="1003"/>
        <v>0</v>
      </c>
      <c r="CE922" s="213">
        <f t="shared" si="1003"/>
        <v>0</v>
      </c>
      <c r="CF922" s="213">
        <f t="shared" si="1003"/>
        <v>0</v>
      </c>
      <c r="CG922" s="213">
        <f t="shared" si="1003"/>
        <v>-0.31593199939822497</v>
      </c>
      <c r="CH922" s="213">
        <f t="shared" si="1000"/>
        <v>-0.31593199939822497</v>
      </c>
      <c r="CI922" s="213">
        <f t="shared" si="923"/>
        <v>-3.15931999398225E-2</v>
      </c>
      <c r="CJ922" s="213"/>
      <c r="CK922" s="213">
        <f t="shared" si="983"/>
        <v>0</v>
      </c>
      <c r="CL922" s="213">
        <f t="shared" si="983"/>
        <v>0</v>
      </c>
      <c r="CM922" s="213">
        <f t="shared" si="983"/>
        <v>0</v>
      </c>
      <c r="CN922" s="213">
        <f t="shared" si="983"/>
        <v>0</v>
      </c>
      <c r="CO922" s="213">
        <f t="shared" si="983"/>
        <v>0</v>
      </c>
      <c r="CP922" s="213">
        <f t="shared" si="983"/>
        <v>0</v>
      </c>
      <c r="CQ922" s="213">
        <f t="shared" si="983"/>
        <v>-0.31593199939822497</v>
      </c>
      <c r="CR922" s="213">
        <f t="shared" si="898"/>
        <v>-0.31593199939822497</v>
      </c>
      <c r="CS922" s="213">
        <f t="shared" si="924"/>
        <v>-3.15931999398225E-2</v>
      </c>
      <c r="CT922" s="213">
        <f t="shared" si="925"/>
        <v>-0.21000000000000016</v>
      </c>
      <c r="CV922" s="213">
        <f t="shared" ref="CV922:CV923" si="1013">SUM(AG922)-SUM(BL922)</f>
        <v>0</v>
      </c>
      <c r="CW922" s="213">
        <f t="shared" ref="CW922:CW929" si="1014">SUM(AH922)-SUM(BM922)</f>
        <v>0</v>
      </c>
      <c r="CX922" s="213"/>
      <c r="CY922" s="213">
        <f t="shared" si="777"/>
        <v>0</v>
      </c>
      <c r="CZ922" s="213">
        <f t="shared" si="777"/>
        <v>0</v>
      </c>
      <c r="DA922" s="213">
        <f t="shared" ref="DA922:DA947" si="1015">SUM(AL922)-SUM(BQ922)</f>
        <v>0</v>
      </c>
      <c r="DB922" s="200" t="s">
        <v>86</v>
      </c>
      <c r="DC922" s="200" t="s">
        <v>85</v>
      </c>
      <c r="DD922" s="200" t="s">
        <v>142</v>
      </c>
      <c r="DE922" s="200" t="s">
        <v>264</v>
      </c>
      <c r="DF922" s="206"/>
      <c r="DG922" s="214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06" t="e">
        <v>#N/A</v>
      </c>
      <c r="EC922" s="209" t="str">
        <f>VLOOKUP($M922,[1]Detail!$M:$BO,1,0)</f>
        <v>JD8B-132K15-AB</v>
      </c>
      <c r="ED922" s="209">
        <f>VLOOKUP($M922,[1]Detail!$M:$BO,22,0)</f>
        <v>-12.500000000000002</v>
      </c>
      <c r="EE922" s="209">
        <f>VLOOKUP($M922,[1]Detail!$M:$BO,42,0)</f>
        <v>0</v>
      </c>
      <c r="EF922" s="209">
        <f>VLOOKUP($M922,[1]Detail!$M:$BO,45,0)</f>
        <v>0</v>
      </c>
      <c r="EH922" s="209">
        <f t="shared" si="996"/>
        <v>0</v>
      </c>
      <c r="EI922" s="209">
        <f t="shared" si="997"/>
        <v>0</v>
      </c>
      <c r="EJ922" s="209">
        <f t="shared" si="998"/>
        <v>0</v>
      </c>
    </row>
    <row r="923" spans="1:140" ht="12.75" hidden="1" customHeight="1">
      <c r="B923" s="99" t="s">
        <v>1482</v>
      </c>
      <c r="C923" s="22" t="s">
        <v>1283</v>
      </c>
      <c r="D923" s="22" t="s">
        <v>1284</v>
      </c>
      <c r="E923" s="2" t="s">
        <v>968</v>
      </c>
      <c r="F923" s="2" t="s">
        <v>969</v>
      </c>
      <c r="G923" s="2" t="s">
        <v>1087</v>
      </c>
      <c r="J923" s="149" t="s">
        <v>126</v>
      </c>
      <c r="K923" s="23" t="s">
        <v>1285</v>
      </c>
      <c r="L923" s="149" t="s">
        <v>132</v>
      </c>
      <c r="M923" s="51" t="str">
        <f t="shared" si="963"/>
        <v>JD8B-8B041-AB</v>
      </c>
      <c r="O923" s="22">
        <v>1</v>
      </c>
      <c r="P923" s="22">
        <v>1</v>
      </c>
      <c r="Q923" s="22">
        <v>1</v>
      </c>
      <c r="R923" s="22">
        <v>1</v>
      </c>
      <c r="S923" s="22">
        <v>1</v>
      </c>
      <c r="T923" s="22">
        <v>1</v>
      </c>
      <c r="U923" s="22">
        <v>1</v>
      </c>
      <c r="V923" s="22">
        <v>1</v>
      </c>
      <c r="W923" s="64">
        <f t="shared" si="971"/>
        <v>1</v>
      </c>
      <c r="Y923" s="60">
        <v>-109.49</v>
      </c>
      <c r="Z923" s="60">
        <v>0</v>
      </c>
      <c r="AA923" s="60">
        <v>-1.51</v>
      </c>
      <c r="AB923" s="60">
        <v>-2.4875999999999999E-2</v>
      </c>
      <c r="AC923" s="60"/>
      <c r="AD923" s="8">
        <f t="shared" si="999"/>
        <v>-111.02487600000001</v>
      </c>
      <c r="AE923" s="2" t="s">
        <v>84</v>
      </c>
      <c r="AG923" s="70">
        <v>-8054384</v>
      </c>
      <c r="AH923" s="70">
        <v>-8854384</v>
      </c>
      <c r="AJ923" s="70">
        <v>-38514.199999999997</v>
      </c>
      <c r="AK923" s="70">
        <v>1548196</v>
      </c>
      <c r="AL923" s="72"/>
      <c r="AM923" s="22"/>
      <c r="AO923" s="149" t="s">
        <v>126</v>
      </c>
      <c r="AP923" s="23" t="s">
        <v>1285</v>
      </c>
      <c r="AQ923" s="149" t="s">
        <v>100</v>
      </c>
      <c r="AR923" s="51" t="str">
        <f t="shared" si="965"/>
        <v>JD8B-8B041-AA</v>
      </c>
      <c r="AS923" s="3"/>
      <c r="AT923" s="22">
        <v>1</v>
      </c>
      <c r="AU923" s="22">
        <v>1</v>
      </c>
      <c r="AV923" s="22">
        <v>1</v>
      </c>
      <c r="AW923" s="22">
        <v>1</v>
      </c>
      <c r="AX923" s="22">
        <v>1</v>
      </c>
      <c r="AY923" s="22">
        <v>1</v>
      </c>
      <c r="AZ923" s="22">
        <v>1</v>
      </c>
      <c r="BA923" s="22">
        <v>1</v>
      </c>
      <c r="BB923" s="64">
        <f t="shared" si="979"/>
        <v>1</v>
      </c>
      <c r="BD923" s="60">
        <v>-109.49</v>
      </c>
      <c r="BE923" s="60">
        <v>0</v>
      </c>
      <c r="BF923" s="60">
        <v>-1.51</v>
      </c>
      <c r="BG923" s="60">
        <v>-2.4875999999999999E-2</v>
      </c>
      <c r="BH923" s="60"/>
      <c r="BI923" s="8">
        <f t="shared" si="1010"/>
        <v>-111.02487600000001</v>
      </c>
      <c r="BJ923" s="2" t="s">
        <v>84</v>
      </c>
      <c r="BL923" s="70">
        <v>-7957384</v>
      </c>
      <c r="BM923" s="70">
        <v>-8757384</v>
      </c>
      <c r="BO923" s="70">
        <v>-38514.199999999997</v>
      </c>
      <c r="BP923" s="70">
        <v>1548196</v>
      </c>
      <c r="BQ923" s="72"/>
      <c r="BR923" s="22"/>
      <c r="BS923" s="61">
        <f t="shared" si="986"/>
        <v>0</v>
      </c>
      <c r="BT923" s="61">
        <f t="shared" si="987"/>
        <v>0</v>
      </c>
      <c r="BU923" s="61">
        <f t="shared" si="988"/>
        <v>0</v>
      </c>
      <c r="BV923" s="61">
        <f t="shared" si="988"/>
        <v>0</v>
      </c>
      <c r="BW923" s="61">
        <f t="shared" si="988"/>
        <v>0</v>
      </c>
      <c r="BX923" s="61">
        <f t="shared" si="988"/>
        <v>0</v>
      </c>
      <c r="BY923" s="61" t="s">
        <v>91</v>
      </c>
      <c r="CA923" s="61">
        <f t="shared" si="1003"/>
        <v>0</v>
      </c>
      <c r="CB923" s="61">
        <f t="shared" si="1003"/>
        <v>0</v>
      </c>
      <c r="CC923" s="61">
        <f t="shared" si="1003"/>
        <v>0</v>
      </c>
      <c r="CD923" s="61">
        <f t="shared" si="1003"/>
        <v>0</v>
      </c>
      <c r="CE923" s="61">
        <f t="shared" si="1003"/>
        <v>0</v>
      </c>
      <c r="CF923" s="61">
        <f t="shared" si="1003"/>
        <v>0</v>
      </c>
      <c r="CG923" s="61">
        <f t="shared" si="1003"/>
        <v>0</v>
      </c>
      <c r="CH923" s="61">
        <f t="shared" si="1000"/>
        <v>0</v>
      </c>
      <c r="CI923" s="61">
        <f t="shared" si="923"/>
        <v>0</v>
      </c>
      <c r="CJ923" s="61"/>
      <c r="CK923" s="61">
        <f t="shared" si="983"/>
        <v>0</v>
      </c>
      <c r="CL923" s="61">
        <f t="shared" si="983"/>
        <v>0</v>
      </c>
      <c r="CM923" s="61">
        <f t="shared" si="983"/>
        <v>0</v>
      </c>
      <c r="CN923" s="61">
        <f t="shared" si="983"/>
        <v>0</v>
      </c>
      <c r="CO923" s="61">
        <f t="shared" si="983"/>
        <v>0</v>
      </c>
      <c r="CP923" s="61">
        <f t="shared" si="983"/>
        <v>0</v>
      </c>
      <c r="CQ923" s="61">
        <f t="shared" si="983"/>
        <v>0</v>
      </c>
      <c r="CR923" s="61">
        <f t="shared" si="898"/>
        <v>0</v>
      </c>
      <c r="CS923" s="61">
        <f t="shared" si="924"/>
        <v>0</v>
      </c>
      <c r="CT923" s="61">
        <f t="shared" si="925"/>
        <v>0</v>
      </c>
      <c r="CV923" s="61">
        <f t="shared" si="1013"/>
        <v>-97000</v>
      </c>
      <c r="CW923" s="61">
        <f t="shared" si="1014"/>
        <v>-97000</v>
      </c>
      <c r="CX923" s="61"/>
      <c r="CY923" s="61">
        <f t="shared" ref="CY923:CZ938" si="1016">SUM(AJ923)-SUM(BO923)</f>
        <v>0</v>
      </c>
      <c r="CZ923" s="61">
        <f t="shared" si="1016"/>
        <v>0</v>
      </c>
      <c r="DA923" s="61">
        <f t="shared" si="1015"/>
        <v>0</v>
      </c>
      <c r="DB923" s="2" t="s">
        <v>86</v>
      </c>
      <c r="DC923" s="2" t="s">
        <v>85</v>
      </c>
      <c r="DD923" s="2" t="s">
        <v>87</v>
      </c>
      <c r="DE923" s="2" t="s">
        <v>264</v>
      </c>
      <c r="DF923" s="3" t="s">
        <v>86</v>
      </c>
      <c r="DG923" s="62" t="s">
        <v>1483</v>
      </c>
      <c r="EC923" s="60" t="str">
        <f>VLOOKUP($M923,[1]Detail!$M:$BO,1,0)</f>
        <v>JD8B-8B041-AB</v>
      </c>
      <c r="ED923" s="60">
        <f>VLOOKUP($M923,[1]Detail!$M:$BO,22,0)</f>
        <v>-111.02487600000001</v>
      </c>
      <c r="EE923" s="60">
        <f>VLOOKUP($M923,[1]Detail!$M:$BO,42,0)</f>
        <v>-8054384</v>
      </c>
      <c r="EF923" s="60">
        <f>VLOOKUP($M923,[1]Detail!$M:$BO,45,0)</f>
        <v>0</v>
      </c>
      <c r="EH923" s="60">
        <f t="shared" si="996"/>
        <v>0</v>
      </c>
      <c r="EI923" s="60">
        <f t="shared" si="997"/>
        <v>0</v>
      </c>
      <c r="EJ923" s="60">
        <f t="shared" si="998"/>
        <v>38514.199999999997</v>
      </c>
    </row>
    <row r="924" spans="1:140" ht="12.75" hidden="1" customHeight="1">
      <c r="B924" s="99" t="s">
        <v>1484</v>
      </c>
      <c r="C924" s="22" t="s">
        <v>1485</v>
      </c>
      <c r="D924" s="22" t="s">
        <v>238</v>
      </c>
      <c r="E924" s="2" t="s">
        <v>968</v>
      </c>
      <c r="F924" s="2" t="s">
        <v>969</v>
      </c>
      <c r="G924" s="2" t="s">
        <v>331</v>
      </c>
      <c r="J924" s="149" t="s">
        <v>126</v>
      </c>
      <c r="K924" s="23" t="s">
        <v>1486</v>
      </c>
      <c r="L924" s="149" t="s">
        <v>132</v>
      </c>
      <c r="M924" s="51" t="str">
        <f t="shared" si="963"/>
        <v>JD8B-A27206-AB</v>
      </c>
      <c r="O924" s="22">
        <v>1</v>
      </c>
      <c r="P924" s="22">
        <v>1</v>
      </c>
      <c r="Q924" s="22">
        <v>1</v>
      </c>
      <c r="R924" s="22">
        <v>1</v>
      </c>
      <c r="S924" s="22">
        <v>1</v>
      </c>
      <c r="T924" s="22">
        <v>1</v>
      </c>
      <c r="U924" s="22">
        <v>1</v>
      </c>
      <c r="V924" s="22">
        <v>1</v>
      </c>
      <c r="W924" s="64">
        <f t="shared" si="971"/>
        <v>1</v>
      </c>
      <c r="Y924" s="60">
        <v>-2.4</v>
      </c>
      <c r="Z924" s="60">
        <v>-0.08</v>
      </c>
      <c r="AA924" s="60">
        <v>-0.03</v>
      </c>
      <c r="AB924" s="60">
        <v>0</v>
      </c>
      <c r="AC924" s="60">
        <v>0</v>
      </c>
      <c r="AD924" s="8">
        <f t="shared" si="999"/>
        <v>-2.5099999999999998</v>
      </c>
      <c r="AE924" s="2" t="s">
        <v>84</v>
      </c>
      <c r="AG924" s="71">
        <f>-410000/2</f>
        <v>-205000</v>
      </c>
      <c r="AH924" s="71">
        <f t="shared" ref="AH924:AH925" si="1017">AG924</f>
        <v>-205000</v>
      </c>
      <c r="AJ924" s="70"/>
      <c r="AK924" s="70"/>
      <c r="AL924" s="72"/>
      <c r="AM924" s="22"/>
      <c r="AO924" s="22" t="s">
        <v>126</v>
      </c>
      <c r="AP924" s="23" t="s">
        <v>239</v>
      </c>
      <c r="AQ924" s="22" t="s">
        <v>100</v>
      </c>
      <c r="AR924" s="51" t="str">
        <f t="shared" si="965"/>
        <v>JD8B-A27206-AA</v>
      </c>
      <c r="AS924" s="3"/>
      <c r="AT924" s="22">
        <v>1</v>
      </c>
      <c r="AU924" s="22">
        <v>1</v>
      </c>
      <c r="AV924" s="22">
        <v>1</v>
      </c>
      <c r="AW924" s="22">
        <v>1</v>
      </c>
      <c r="AX924" s="22">
        <v>1</v>
      </c>
      <c r="AY924" s="22">
        <v>1</v>
      </c>
      <c r="AZ924" s="22">
        <v>1</v>
      </c>
      <c r="BA924" s="22">
        <v>1</v>
      </c>
      <c r="BB924" s="64">
        <f t="shared" si="979"/>
        <v>1</v>
      </c>
      <c r="BD924" s="60">
        <v>-2.4</v>
      </c>
      <c r="BE924" s="60">
        <v>-0.08</v>
      </c>
      <c r="BF924" s="60">
        <v>-0.03</v>
      </c>
      <c r="BG924" s="60">
        <v>0</v>
      </c>
      <c r="BH924" s="60">
        <v>0</v>
      </c>
      <c r="BI924" s="8">
        <f t="shared" ref="BI924:BI925" si="1018">SUM(BD924:BH924)</f>
        <v>-2.5099999999999998</v>
      </c>
      <c r="BJ924" s="2" t="s">
        <v>91</v>
      </c>
      <c r="BL924" s="71">
        <f>-410000/2</f>
        <v>-205000</v>
      </c>
      <c r="BM924" s="71">
        <f t="shared" ref="BM924:BM925" si="1019">BL924</f>
        <v>-205000</v>
      </c>
      <c r="BN924" s="6"/>
      <c r="BO924" s="71">
        <v>0</v>
      </c>
      <c r="BP924" s="71">
        <v>0</v>
      </c>
      <c r="BQ924" s="72">
        <v>0</v>
      </c>
      <c r="BS924" s="61">
        <f t="shared" si="986"/>
        <v>0</v>
      </c>
      <c r="BT924" s="61">
        <f t="shared" si="987"/>
        <v>0</v>
      </c>
      <c r="BU924" s="61">
        <f t="shared" si="988"/>
        <v>0</v>
      </c>
      <c r="BV924" s="61">
        <f t="shared" si="988"/>
        <v>0</v>
      </c>
      <c r="BW924" s="61">
        <f t="shared" si="988"/>
        <v>0</v>
      </c>
      <c r="BX924" s="61">
        <f t="shared" si="988"/>
        <v>0</v>
      </c>
      <c r="BY924" s="61" t="s">
        <v>91</v>
      </c>
      <c r="CA924" s="61">
        <f t="shared" si="1003"/>
        <v>0</v>
      </c>
      <c r="CB924" s="61">
        <f t="shared" si="1003"/>
        <v>0</v>
      </c>
      <c r="CC924" s="61">
        <f t="shared" si="1003"/>
        <v>0</v>
      </c>
      <c r="CD924" s="61">
        <f t="shared" si="1003"/>
        <v>0</v>
      </c>
      <c r="CE924" s="61">
        <f t="shared" si="1003"/>
        <v>0</v>
      </c>
      <c r="CF924" s="61">
        <f t="shared" si="1003"/>
        <v>0</v>
      </c>
      <c r="CG924" s="61">
        <f t="shared" si="1003"/>
        <v>0</v>
      </c>
      <c r="CH924" s="61">
        <f t="shared" si="1000"/>
        <v>0</v>
      </c>
      <c r="CI924" s="61">
        <f t="shared" si="923"/>
        <v>0</v>
      </c>
      <c r="CJ924" s="61"/>
      <c r="CK924" s="61">
        <f t="shared" si="983"/>
        <v>0</v>
      </c>
      <c r="CL924" s="61">
        <f t="shared" si="983"/>
        <v>0</v>
      </c>
      <c r="CM924" s="61">
        <f t="shared" si="983"/>
        <v>0</v>
      </c>
      <c r="CN924" s="61">
        <f t="shared" si="983"/>
        <v>0</v>
      </c>
      <c r="CO924" s="61">
        <f t="shared" si="983"/>
        <v>0</v>
      </c>
      <c r="CP924" s="61">
        <f t="shared" si="983"/>
        <v>0</v>
      </c>
      <c r="CQ924" s="61">
        <f t="shared" si="983"/>
        <v>0</v>
      </c>
      <c r="CR924" s="61">
        <f t="shared" si="898"/>
        <v>0</v>
      </c>
      <c r="CS924" s="61">
        <f t="shared" si="924"/>
        <v>0</v>
      </c>
      <c r="CT924" s="61">
        <f t="shared" si="925"/>
        <v>0</v>
      </c>
      <c r="CV924" s="61">
        <f t="shared" ref="CV924:CV929" si="1020">SUM(AG924)-SUM(BL924)</f>
        <v>0</v>
      </c>
      <c r="CW924" s="61">
        <f t="shared" si="1014"/>
        <v>0</v>
      </c>
      <c r="CX924" s="61"/>
      <c r="CY924" s="61">
        <f t="shared" si="1016"/>
        <v>0</v>
      </c>
      <c r="CZ924" s="61">
        <f t="shared" si="1016"/>
        <v>0</v>
      </c>
      <c r="DA924" s="61">
        <f t="shared" si="1015"/>
        <v>0</v>
      </c>
      <c r="DB924" s="2" t="s">
        <v>86</v>
      </c>
      <c r="DC924" s="2" t="s">
        <v>85</v>
      </c>
      <c r="DD924" s="2" t="s">
        <v>142</v>
      </c>
      <c r="DE924" s="2" t="s">
        <v>264</v>
      </c>
      <c r="DF924" s="3" t="s">
        <v>86</v>
      </c>
      <c r="DG924" s="62">
        <v>43034</v>
      </c>
      <c r="EC924" s="60" t="str">
        <f>VLOOKUP($M924,[1]Detail!$M:$BO,1,0)</f>
        <v>JD8B-A27206-AB</v>
      </c>
      <c r="ED924" s="60">
        <f>VLOOKUP($M924,[1]Detail!$M:$BO,22,0)</f>
        <v>-2.5099999999999998</v>
      </c>
      <c r="EE924" s="60">
        <f>VLOOKUP($M924,[1]Detail!$M:$BO,42,0)</f>
        <v>-205000</v>
      </c>
      <c r="EF924" s="60">
        <f>VLOOKUP($M924,[1]Detail!$M:$BO,45,0)</f>
        <v>0</v>
      </c>
      <c r="EH924" s="60">
        <f t="shared" si="996"/>
        <v>0</v>
      </c>
      <c r="EI924" s="60">
        <f t="shared" si="997"/>
        <v>0</v>
      </c>
      <c r="EJ924" s="60">
        <f t="shared" si="998"/>
        <v>0</v>
      </c>
    </row>
    <row r="925" spans="1:140" s="182" customFormat="1" ht="12.75" hidden="1" customHeight="1">
      <c r="A925" s="2"/>
      <c r="B925" s="99" t="s">
        <v>1484</v>
      </c>
      <c r="C925" s="22" t="s">
        <v>1485</v>
      </c>
      <c r="D925" s="22" t="s">
        <v>238</v>
      </c>
      <c r="E925" s="2" t="s">
        <v>968</v>
      </c>
      <c r="F925" s="2" t="s">
        <v>969</v>
      </c>
      <c r="G925" s="2" t="s">
        <v>331</v>
      </c>
      <c r="H925" s="2"/>
      <c r="I925" s="2"/>
      <c r="J925" s="149" t="s">
        <v>126</v>
      </c>
      <c r="K925" s="23" t="s">
        <v>1487</v>
      </c>
      <c r="L925" s="149" t="s">
        <v>132</v>
      </c>
      <c r="M925" s="51" t="str">
        <f t="shared" si="963"/>
        <v>JD8B-A27207-AB</v>
      </c>
      <c r="N925" s="3"/>
      <c r="O925" s="22">
        <v>1</v>
      </c>
      <c r="P925" s="22">
        <v>1</v>
      </c>
      <c r="Q925" s="22">
        <v>1</v>
      </c>
      <c r="R925" s="22">
        <v>1</v>
      </c>
      <c r="S925" s="22">
        <v>1</v>
      </c>
      <c r="T925" s="22">
        <v>1</v>
      </c>
      <c r="U925" s="22">
        <v>1</v>
      </c>
      <c r="V925" s="22">
        <v>1</v>
      </c>
      <c r="W925" s="64">
        <f t="shared" si="971"/>
        <v>1</v>
      </c>
      <c r="X925" s="2"/>
      <c r="Y925" s="60">
        <v>-2.4</v>
      </c>
      <c r="Z925" s="60">
        <v>-0.08</v>
      </c>
      <c r="AA925" s="60">
        <v>-0.03</v>
      </c>
      <c r="AB925" s="60">
        <v>0</v>
      </c>
      <c r="AC925" s="60">
        <v>0</v>
      </c>
      <c r="AD925" s="8">
        <f t="shared" si="999"/>
        <v>-2.5099999999999998</v>
      </c>
      <c r="AE925" s="2" t="s">
        <v>84</v>
      </c>
      <c r="AF925" s="2"/>
      <c r="AG925" s="71">
        <f>-410000/2</f>
        <v>-205000</v>
      </c>
      <c r="AH925" s="71">
        <f t="shared" si="1017"/>
        <v>-205000</v>
      </c>
      <c r="AI925" s="2"/>
      <c r="AJ925" s="70"/>
      <c r="AK925" s="70"/>
      <c r="AL925" s="72"/>
      <c r="AM925" s="22"/>
      <c r="AN925" s="2"/>
      <c r="AO925" s="22" t="s">
        <v>126</v>
      </c>
      <c r="AP925" s="23" t="s">
        <v>241</v>
      </c>
      <c r="AQ925" s="22" t="s">
        <v>100</v>
      </c>
      <c r="AR925" s="51" t="str">
        <f t="shared" si="965"/>
        <v>JD8B-A27207-AA</v>
      </c>
      <c r="AS925" s="3"/>
      <c r="AT925" s="22">
        <v>1</v>
      </c>
      <c r="AU925" s="22">
        <v>1</v>
      </c>
      <c r="AV925" s="22">
        <v>1</v>
      </c>
      <c r="AW925" s="22">
        <v>1</v>
      </c>
      <c r="AX925" s="22">
        <v>1</v>
      </c>
      <c r="AY925" s="22">
        <v>1</v>
      </c>
      <c r="AZ925" s="22">
        <v>1</v>
      </c>
      <c r="BA925" s="22">
        <v>1</v>
      </c>
      <c r="BB925" s="64">
        <f t="shared" si="979"/>
        <v>1</v>
      </c>
      <c r="BC925" s="2"/>
      <c r="BD925" s="60">
        <v>-2.4</v>
      </c>
      <c r="BE925" s="60">
        <v>-0.08</v>
      </c>
      <c r="BF925" s="60">
        <v>-0.03</v>
      </c>
      <c r="BG925" s="60">
        <v>0</v>
      </c>
      <c r="BH925" s="60">
        <v>0</v>
      </c>
      <c r="BI925" s="8">
        <f t="shared" si="1018"/>
        <v>-2.5099999999999998</v>
      </c>
      <c r="BJ925" s="2" t="s">
        <v>91</v>
      </c>
      <c r="BK925" s="2"/>
      <c r="BL925" s="71">
        <f>-410000/2</f>
        <v>-205000</v>
      </c>
      <c r="BM925" s="71">
        <f t="shared" si="1019"/>
        <v>-205000</v>
      </c>
      <c r="BN925" s="6"/>
      <c r="BO925" s="71">
        <v>0</v>
      </c>
      <c r="BP925" s="71">
        <v>0</v>
      </c>
      <c r="BQ925" s="72">
        <v>0</v>
      </c>
      <c r="BR925" s="2"/>
      <c r="BS925" s="61">
        <f t="shared" si="986"/>
        <v>0</v>
      </c>
      <c r="BT925" s="61">
        <f t="shared" si="987"/>
        <v>0</v>
      </c>
      <c r="BU925" s="61">
        <f t="shared" si="988"/>
        <v>0</v>
      </c>
      <c r="BV925" s="61">
        <f t="shared" si="988"/>
        <v>0</v>
      </c>
      <c r="BW925" s="61">
        <f t="shared" si="988"/>
        <v>0</v>
      </c>
      <c r="BX925" s="61">
        <f t="shared" si="988"/>
        <v>0</v>
      </c>
      <c r="BY925" s="61" t="s">
        <v>91</v>
      </c>
      <c r="BZ925" s="2"/>
      <c r="CA925" s="61">
        <f t="shared" si="1003"/>
        <v>0</v>
      </c>
      <c r="CB925" s="61">
        <f t="shared" si="1003"/>
        <v>0</v>
      </c>
      <c r="CC925" s="61">
        <f t="shared" si="1003"/>
        <v>0</v>
      </c>
      <c r="CD925" s="61">
        <f t="shared" si="1003"/>
        <v>0</v>
      </c>
      <c r="CE925" s="61">
        <f t="shared" si="1003"/>
        <v>0</v>
      </c>
      <c r="CF925" s="61">
        <f t="shared" si="1003"/>
        <v>0</v>
      </c>
      <c r="CG925" s="61">
        <f t="shared" si="1003"/>
        <v>0</v>
      </c>
      <c r="CH925" s="61">
        <f t="shared" si="1000"/>
        <v>0</v>
      </c>
      <c r="CI925" s="61">
        <f t="shared" si="923"/>
        <v>0</v>
      </c>
      <c r="CJ925" s="61"/>
      <c r="CK925" s="61">
        <f t="shared" si="983"/>
        <v>0</v>
      </c>
      <c r="CL925" s="61">
        <f t="shared" si="983"/>
        <v>0</v>
      </c>
      <c r="CM925" s="61">
        <f t="shared" si="983"/>
        <v>0</v>
      </c>
      <c r="CN925" s="61">
        <f t="shared" si="983"/>
        <v>0</v>
      </c>
      <c r="CO925" s="61">
        <f t="shared" si="983"/>
        <v>0</v>
      </c>
      <c r="CP925" s="61">
        <f t="shared" si="983"/>
        <v>0</v>
      </c>
      <c r="CQ925" s="61">
        <f t="shared" si="983"/>
        <v>0</v>
      </c>
      <c r="CR925" s="61">
        <f t="shared" si="898"/>
        <v>0</v>
      </c>
      <c r="CS925" s="61">
        <f t="shared" si="924"/>
        <v>0</v>
      </c>
      <c r="CT925" s="61">
        <f t="shared" si="925"/>
        <v>0</v>
      </c>
      <c r="CU925" s="2"/>
      <c r="CV925" s="61">
        <f t="shared" si="1020"/>
        <v>0</v>
      </c>
      <c r="CW925" s="61">
        <f t="shared" si="1014"/>
        <v>0</v>
      </c>
      <c r="CX925" s="61"/>
      <c r="CY925" s="61">
        <f t="shared" si="1016"/>
        <v>0</v>
      </c>
      <c r="CZ925" s="61">
        <f t="shared" si="1016"/>
        <v>0</v>
      </c>
      <c r="DA925" s="61">
        <f t="shared" si="1015"/>
        <v>0</v>
      </c>
      <c r="DB925" s="2" t="s">
        <v>86</v>
      </c>
      <c r="DC925" s="2" t="s">
        <v>85</v>
      </c>
      <c r="DD925" s="2" t="s">
        <v>142</v>
      </c>
      <c r="DE925" s="2" t="s">
        <v>264</v>
      </c>
      <c r="DF925" s="3" t="s">
        <v>86</v>
      </c>
      <c r="DG925" s="62">
        <v>43034</v>
      </c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186"/>
      <c r="EC925" s="189" t="str">
        <f>VLOOKUP($M925,[1]Detail!$M:$BO,1,0)</f>
        <v>JD8B-A27207-AB</v>
      </c>
      <c r="ED925" s="189">
        <f>VLOOKUP($M925,[1]Detail!$M:$BO,22,0)</f>
        <v>-2.5099999999999998</v>
      </c>
      <c r="EE925" s="189">
        <f>VLOOKUP($M925,[1]Detail!$M:$BO,42,0)</f>
        <v>-205000</v>
      </c>
      <c r="EF925" s="189">
        <f>VLOOKUP($M925,[1]Detail!$M:$BO,45,0)</f>
        <v>0</v>
      </c>
      <c r="EH925" s="189">
        <f t="shared" si="996"/>
        <v>0</v>
      </c>
      <c r="EI925" s="189">
        <f t="shared" si="997"/>
        <v>0</v>
      </c>
      <c r="EJ925" s="189">
        <f t="shared" si="998"/>
        <v>0</v>
      </c>
    </row>
    <row r="926" spans="1:140" s="131" customFormat="1" ht="12.75" hidden="1" customHeight="1">
      <c r="B926" s="129" t="s">
        <v>1488</v>
      </c>
      <c r="C926" s="130" t="s">
        <v>1489</v>
      </c>
      <c r="D926" s="130" t="s">
        <v>1490</v>
      </c>
      <c r="E926" s="131" t="s">
        <v>968</v>
      </c>
      <c r="F926" s="131" t="s">
        <v>969</v>
      </c>
      <c r="G926" s="131" t="s">
        <v>331</v>
      </c>
      <c r="H926" s="2"/>
      <c r="J926" s="157" t="s">
        <v>126</v>
      </c>
      <c r="K926" s="132" t="s">
        <v>1491</v>
      </c>
      <c r="L926" s="157" t="s">
        <v>234</v>
      </c>
      <c r="M926" s="133" t="str">
        <f t="shared" si="963"/>
        <v>JD8B-13A602-AC</v>
      </c>
      <c r="N926" s="134"/>
      <c r="O926" s="130">
        <v>1</v>
      </c>
      <c r="P926" s="130">
        <v>1</v>
      </c>
      <c r="Q926" s="130">
        <v>1</v>
      </c>
      <c r="R926" s="130">
        <v>1</v>
      </c>
      <c r="S926" s="130">
        <v>1</v>
      </c>
      <c r="T926" s="130">
        <v>1</v>
      </c>
      <c r="U926" s="130">
        <v>1</v>
      </c>
      <c r="V926" s="130">
        <v>1</v>
      </c>
      <c r="W926" s="135">
        <f t="shared" si="971"/>
        <v>1</v>
      </c>
      <c r="Y926" s="139">
        <v>-83.67</v>
      </c>
      <c r="Z926" s="136">
        <v>-1.04</v>
      </c>
      <c r="AA926" s="136">
        <v>-1.32</v>
      </c>
      <c r="AB926" s="136">
        <v>0</v>
      </c>
      <c r="AC926" s="136">
        <v>-1.8</v>
      </c>
      <c r="AD926" s="136">
        <f t="shared" si="999"/>
        <v>-87.83</v>
      </c>
      <c r="AE926" s="131" t="s">
        <v>84</v>
      </c>
      <c r="AG926" s="137">
        <v>-5344241</v>
      </c>
      <c r="AH926" s="137">
        <v>-5344241</v>
      </c>
      <c r="AJ926" s="137">
        <v>-2066882</v>
      </c>
      <c r="AK926" s="137">
        <v>1149798</v>
      </c>
      <c r="AL926" s="138"/>
      <c r="AM926" s="130"/>
      <c r="AO926" s="130" t="s">
        <v>126</v>
      </c>
      <c r="AP926" s="132" t="s">
        <v>632</v>
      </c>
      <c r="AQ926" s="130" t="s">
        <v>132</v>
      </c>
      <c r="AR926" s="133" t="str">
        <f t="shared" si="965"/>
        <v>JD8B-13A602-AB</v>
      </c>
      <c r="AS926" s="134"/>
      <c r="AT926" s="130">
        <v>1</v>
      </c>
      <c r="AU926" s="130">
        <v>1</v>
      </c>
      <c r="AV926" s="130">
        <v>1</v>
      </c>
      <c r="AW926" s="130">
        <v>1</v>
      </c>
      <c r="AX926" s="130">
        <v>1</v>
      </c>
      <c r="AY926" s="130">
        <v>1</v>
      </c>
      <c r="AZ926" s="130">
        <v>1</v>
      </c>
      <c r="BA926" s="130">
        <v>1</v>
      </c>
      <c r="BB926" s="135">
        <f t="shared" si="979"/>
        <v>1</v>
      </c>
      <c r="BD926" s="136">
        <f>-82.01*0-83.67</f>
        <v>-83.67</v>
      </c>
      <c r="BE926" s="136">
        <v>-1.04</v>
      </c>
      <c r="BF926" s="136">
        <v>-1.32</v>
      </c>
      <c r="BG926" s="136">
        <v>0</v>
      </c>
      <c r="BH926" s="136">
        <v>-1.8</v>
      </c>
      <c r="BI926" s="136">
        <f t="shared" ref="BI926" si="1021">SUM(BD926:BH926)</f>
        <v>-87.83</v>
      </c>
      <c r="BJ926" s="131" t="s">
        <v>91</v>
      </c>
      <c r="BL926" s="136">
        <v>-5250000</v>
      </c>
      <c r="BM926" s="136">
        <v>-5250000</v>
      </c>
      <c r="BN926" s="199"/>
      <c r="BO926" s="217">
        <v>-2066772</v>
      </c>
      <c r="BP926" s="217">
        <f>574899*2</f>
        <v>1149798</v>
      </c>
      <c r="BQ926" s="138"/>
      <c r="BS926" s="181">
        <f t="shared" si="986"/>
        <v>0</v>
      </c>
      <c r="BT926" s="181">
        <f t="shared" si="987"/>
        <v>0</v>
      </c>
      <c r="BU926" s="181">
        <f t="shared" si="988"/>
        <v>0</v>
      </c>
      <c r="BV926" s="181">
        <f t="shared" si="988"/>
        <v>0</v>
      </c>
      <c r="BW926" s="181">
        <f t="shared" si="988"/>
        <v>0</v>
      </c>
      <c r="BX926" s="181">
        <f t="shared" si="988"/>
        <v>0</v>
      </c>
      <c r="BY926" s="181" t="s">
        <v>91</v>
      </c>
      <c r="CA926" s="181">
        <f t="shared" si="1003"/>
        <v>0</v>
      </c>
      <c r="CB926" s="181">
        <f t="shared" si="1003"/>
        <v>0</v>
      </c>
      <c r="CC926" s="181">
        <f t="shared" si="1003"/>
        <v>0</v>
      </c>
      <c r="CD926" s="181">
        <f t="shared" si="1003"/>
        <v>0</v>
      </c>
      <c r="CE926" s="181">
        <f t="shared" si="1003"/>
        <v>0</v>
      </c>
      <c r="CF926" s="181">
        <f t="shared" si="1003"/>
        <v>0</v>
      </c>
      <c r="CG926" s="181">
        <f t="shared" si="1003"/>
        <v>0</v>
      </c>
      <c r="CH926" s="181">
        <f t="shared" si="1000"/>
        <v>0</v>
      </c>
      <c r="CI926" s="181">
        <f t="shared" si="923"/>
        <v>0</v>
      </c>
      <c r="CJ926" s="181"/>
      <c r="CK926" s="181">
        <f t="shared" si="983"/>
        <v>0</v>
      </c>
      <c r="CL926" s="181">
        <f t="shared" si="983"/>
        <v>0</v>
      </c>
      <c r="CM926" s="181">
        <f t="shared" si="983"/>
        <v>0</v>
      </c>
      <c r="CN926" s="181">
        <f t="shared" si="983"/>
        <v>0</v>
      </c>
      <c r="CO926" s="181">
        <f t="shared" si="983"/>
        <v>0</v>
      </c>
      <c r="CP926" s="181">
        <f t="shared" si="983"/>
        <v>0</v>
      </c>
      <c r="CQ926" s="181">
        <f t="shared" si="983"/>
        <v>0</v>
      </c>
      <c r="CR926" s="181">
        <f t="shared" si="898"/>
        <v>0</v>
      </c>
      <c r="CS926" s="181">
        <f t="shared" si="924"/>
        <v>0</v>
      </c>
      <c r="CT926" s="181">
        <f t="shared" si="925"/>
        <v>0</v>
      </c>
      <c r="CV926" s="181">
        <f t="shared" ref="CV926" si="1022">SUM(AG926)-SUM(BL926)</f>
        <v>-94241</v>
      </c>
      <c r="CW926" s="181">
        <f t="shared" si="1014"/>
        <v>-94241</v>
      </c>
      <c r="CX926" s="181"/>
      <c r="CY926" s="181">
        <f t="shared" si="1016"/>
        <v>-110</v>
      </c>
      <c r="CZ926" s="181">
        <f t="shared" si="1016"/>
        <v>0</v>
      </c>
      <c r="DA926" s="181">
        <f t="shared" si="1015"/>
        <v>0</v>
      </c>
      <c r="DB926" s="131" t="s">
        <v>85</v>
      </c>
      <c r="DC926" s="131" t="s">
        <v>85</v>
      </c>
      <c r="DD926" s="131" t="s">
        <v>142</v>
      </c>
      <c r="DE926" s="131" t="s">
        <v>264</v>
      </c>
      <c r="DF926" s="134" t="s">
        <v>86</v>
      </c>
      <c r="DG926" s="141">
        <v>43033</v>
      </c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134"/>
      <c r="EC926" s="139"/>
      <c r="ED926" s="139"/>
      <c r="EE926" s="139"/>
      <c r="EF926" s="139"/>
    </row>
    <row r="927" spans="1:140" ht="12.75" hidden="1" customHeight="1">
      <c r="B927" s="99" t="s">
        <v>1492</v>
      </c>
      <c r="C927" s="22" t="s">
        <v>1493</v>
      </c>
      <c r="D927" s="22" t="s">
        <v>1494</v>
      </c>
      <c r="E927" s="2" t="s">
        <v>260</v>
      </c>
      <c r="F927" s="2" t="s">
        <v>969</v>
      </c>
      <c r="G927" s="2" t="s">
        <v>1087</v>
      </c>
      <c r="J927" s="149" t="s">
        <v>126</v>
      </c>
      <c r="K927" s="23" t="s">
        <v>1495</v>
      </c>
      <c r="L927" s="149" t="s">
        <v>93</v>
      </c>
      <c r="M927" s="51" t="str">
        <f t="shared" si="963"/>
        <v>JD8B-17D550-ABW</v>
      </c>
      <c r="O927" s="94">
        <v>0</v>
      </c>
      <c r="P927" s="94">
        <v>0</v>
      </c>
      <c r="Q927" s="94">
        <v>0</v>
      </c>
      <c r="R927" s="94">
        <v>0</v>
      </c>
      <c r="S927" s="94">
        <v>0</v>
      </c>
      <c r="T927" s="94">
        <v>0</v>
      </c>
      <c r="U927" s="94">
        <v>1</v>
      </c>
      <c r="V927" s="94">
        <v>1</v>
      </c>
      <c r="W927" s="64">
        <f t="shared" si="971"/>
        <v>0.1</v>
      </c>
      <c r="Y927" s="60">
        <v>-3.7</v>
      </c>
      <c r="Z927" s="60">
        <v>-0.25</v>
      </c>
      <c r="AA927" s="60">
        <v>-0.2</v>
      </c>
      <c r="AB927" s="60">
        <v>0</v>
      </c>
      <c r="AC927" s="60">
        <v>0</v>
      </c>
      <c r="AD927" s="8">
        <f t="shared" ref="AD927:AD931" si="1023">SUM(Y927:AC927)</f>
        <v>-4.1500000000000004</v>
      </c>
      <c r="AE927" s="2" t="s">
        <v>84</v>
      </c>
      <c r="AG927" s="70">
        <v>-230000</v>
      </c>
      <c r="AH927" s="70">
        <v>-230000</v>
      </c>
      <c r="AJ927" s="70">
        <v>0</v>
      </c>
      <c r="AK927" s="70">
        <v>0</v>
      </c>
      <c r="AL927" s="72">
        <v>0</v>
      </c>
      <c r="AM927" s="22"/>
      <c r="AO927" s="22" t="s">
        <v>138</v>
      </c>
      <c r="AP927" s="23" t="s">
        <v>1495</v>
      </c>
      <c r="AQ927" s="22" t="s">
        <v>196</v>
      </c>
      <c r="AR927" s="51" t="str">
        <f t="shared" si="965"/>
        <v>JD8B-17D550-AAW</v>
      </c>
      <c r="AS927" s="3"/>
      <c r="AT927" s="22">
        <v>0</v>
      </c>
      <c r="AU927" s="22">
        <v>0</v>
      </c>
      <c r="AV927" s="22">
        <v>0</v>
      </c>
      <c r="AW927" s="22">
        <v>0</v>
      </c>
      <c r="AX927" s="22">
        <v>0</v>
      </c>
      <c r="AY927" s="22">
        <v>0</v>
      </c>
      <c r="AZ927" s="22">
        <v>1</v>
      </c>
      <c r="BA927" s="22">
        <v>1</v>
      </c>
      <c r="BB927" s="64">
        <f t="shared" si="979"/>
        <v>0.1</v>
      </c>
      <c r="BD927" s="60">
        <v>-3.1</v>
      </c>
      <c r="BE927" s="60">
        <v>-0.25</v>
      </c>
      <c r="BF927" s="60">
        <v>-0.2</v>
      </c>
      <c r="BG927" s="60">
        <v>0</v>
      </c>
      <c r="BH927" s="60">
        <v>0</v>
      </c>
      <c r="BI927" s="8">
        <f t="shared" ref="BI927:BI929" si="1024">SUM(BD927:BH927)</f>
        <v>-3.5500000000000003</v>
      </c>
      <c r="BJ927" s="2" t="s">
        <v>91</v>
      </c>
      <c r="BL927" s="71">
        <v>-115000</v>
      </c>
      <c r="BM927" s="71">
        <v>-115000</v>
      </c>
      <c r="BN927" s="6"/>
      <c r="BO927" s="71">
        <v>0</v>
      </c>
      <c r="BP927" s="71">
        <v>0</v>
      </c>
      <c r="BQ927" s="72">
        <v>0</v>
      </c>
      <c r="BS927" s="61">
        <f t="shared" si="986"/>
        <v>-0.60000000000000009</v>
      </c>
      <c r="BT927" s="61">
        <f t="shared" si="987"/>
        <v>0</v>
      </c>
      <c r="BU927" s="61">
        <f t="shared" si="988"/>
        <v>0</v>
      </c>
      <c r="BV927" s="61">
        <f t="shared" si="988"/>
        <v>0</v>
      </c>
      <c r="BW927" s="61">
        <f t="shared" si="988"/>
        <v>0</v>
      </c>
      <c r="BX927" s="61">
        <f t="shared" si="988"/>
        <v>-0.60000000000000009</v>
      </c>
      <c r="BY927" s="61" t="s">
        <v>91</v>
      </c>
      <c r="CA927" s="61">
        <f t="shared" si="1003"/>
        <v>0</v>
      </c>
      <c r="CB927" s="61">
        <f t="shared" si="1003"/>
        <v>0</v>
      </c>
      <c r="CC927" s="61">
        <f t="shared" si="1003"/>
        <v>0</v>
      </c>
      <c r="CD927" s="61">
        <f t="shared" si="1003"/>
        <v>0</v>
      </c>
      <c r="CE927" s="61">
        <f t="shared" si="1003"/>
        <v>0</v>
      </c>
      <c r="CF927" s="61">
        <f t="shared" si="1003"/>
        <v>0</v>
      </c>
      <c r="CG927" s="61">
        <f t="shared" si="1003"/>
        <v>-9.0266285542349944E-2</v>
      </c>
      <c r="CH927" s="61">
        <f t="shared" si="1000"/>
        <v>-9.0266285542349944E-2</v>
      </c>
      <c r="CI927" s="61">
        <f t="shared" si="923"/>
        <v>-9.0266285542349948E-3</v>
      </c>
      <c r="CJ927" s="61"/>
      <c r="CK927" s="61">
        <f t="shared" si="983"/>
        <v>0</v>
      </c>
      <c r="CL927" s="61">
        <f t="shared" si="983"/>
        <v>0</v>
      </c>
      <c r="CM927" s="61">
        <f t="shared" si="983"/>
        <v>0</v>
      </c>
      <c r="CN927" s="61">
        <f t="shared" si="983"/>
        <v>0</v>
      </c>
      <c r="CO927" s="61">
        <f t="shared" si="983"/>
        <v>0</v>
      </c>
      <c r="CP927" s="61">
        <f t="shared" si="983"/>
        <v>0</v>
      </c>
      <c r="CQ927" s="61">
        <f t="shared" si="983"/>
        <v>-9.0266285542349944E-2</v>
      </c>
      <c r="CR927" s="61">
        <f t="shared" si="898"/>
        <v>-9.0266285542349944E-2</v>
      </c>
      <c r="CS927" s="61">
        <f t="shared" si="924"/>
        <v>-9.0266285542349948E-3</v>
      </c>
      <c r="CT927" s="61">
        <f t="shared" si="925"/>
        <v>-6.0000000000000012E-2</v>
      </c>
      <c r="CV927" s="61">
        <f t="shared" si="1020"/>
        <v>-115000</v>
      </c>
      <c r="CW927" s="61">
        <f t="shared" si="1014"/>
        <v>-115000</v>
      </c>
      <c r="CX927" s="61"/>
      <c r="CY927" s="61">
        <f t="shared" si="1016"/>
        <v>0</v>
      </c>
      <c r="CZ927" s="61">
        <f t="shared" si="1016"/>
        <v>0</v>
      </c>
      <c r="DA927" s="61">
        <f t="shared" si="1015"/>
        <v>0</v>
      </c>
      <c r="DB927" s="2" t="s">
        <v>86</v>
      </c>
      <c r="DC927" s="2" t="s">
        <v>85</v>
      </c>
      <c r="DD927" s="2" t="s">
        <v>142</v>
      </c>
      <c r="DE927" s="2" t="s">
        <v>264</v>
      </c>
      <c r="DF927" s="3" t="s">
        <v>86</v>
      </c>
      <c r="DG927" s="62">
        <v>43084</v>
      </c>
      <c r="EC927" s="60" t="str">
        <f>VLOOKUP($M927,[1]Detail!$M:$BO,1,0)</f>
        <v>JD8B-17D550-ABW</v>
      </c>
      <c r="ED927" s="60">
        <f>VLOOKUP($M927,[1]Detail!$M:$BO,22,0)</f>
        <v>-4.1500000000000004</v>
      </c>
      <c r="EE927" s="60">
        <f>VLOOKUP($M927,[1]Detail!$M:$BO,42,0)</f>
        <v>-230000</v>
      </c>
      <c r="EF927" s="60">
        <f>VLOOKUP($M927,[1]Detail!$M:$BO,45,0)</f>
        <v>0</v>
      </c>
      <c r="EH927" s="60">
        <f t="shared" ref="EH927:EH929" si="1025">ED927-AD927</f>
        <v>0</v>
      </c>
      <c r="EI927" s="60">
        <f t="shared" ref="EI927:EI929" si="1026">EE927-AG927</f>
        <v>0</v>
      </c>
      <c r="EJ927" s="60">
        <f t="shared" ref="EJ927:EJ929" si="1027">EF927-AJ927</f>
        <v>0</v>
      </c>
    </row>
    <row r="928" spans="1:140" ht="12.75" hidden="1" customHeight="1">
      <c r="B928" s="99" t="s">
        <v>1496</v>
      </c>
      <c r="C928" s="22" t="s">
        <v>1099</v>
      </c>
      <c r="D928" s="22" t="s">
        <v>1100</v>
      </c>
      <c r="E928" s="2" t="s">
        <v>1005</v>
      </c>
      <c r="F928" s="2" t="s">
        <v>330</v>
      </c>
      <c r="G928" s="2" t="s">
        <v>1087</v>
      </c>
      <c r="J928" s="149" t="s">
        <v>126</v>
      </c>
      <c r="K928" s="23" t="s">
        <v>1102</v>
      </c>
      <c r="L928" s="149" t="s">
        <v>234</v>
      </c>
      <c r="M928" s="51" t="str">
        <f t="shared" si="963"/>
        <v>JD8B-9C662-AC</v>
      </c>
      <c r="O928" s="94"/>
      <c r="P928" s="94">
        <v>1</v>
      </c>
      <c r="Q928" s="94"/>
      <c r="R928" s="94">
        <v>1</v>
      </c>
      <c r="S928" s="94"/>
      <c r="T928" s="94"/>
      <c r="U928" s="94">
        <v>1</v>
      </c>
      <c r="V928" s="94"/>
      <c r="W928" s="64">
        <f t="shared" si="971"/>
        <v>0.44</v>
      </c>
      <c r="Y928" s="60">
        <v>-93.16</v>
      </c>
      <c r="Z928" s="60">
        <v>-9.11</v>
      </c>
      <c r="AA928" s="60">
        <v>-5.0599999999999996</v>
      </c>
      <c r="AB928" s="60">
        <v>0</v>
      </c>
      <c r="AC928" s="60">
        <v>0</v>
      </c>
      <c r="AD928" s="8">
        <f t="shared" ref="AD928" si="1028">SUM(Y928:AC928)</f>
        <v>-107.33</v>
      </c>
      <c r="AE928" s="2" t="s">
        <v>84</v>
      </c>
      <c r="AG928" s="70">
        <v>-830000</v>
      </c>
      <c r="AH928" s="70">
        <v>-830000</v>
      </c>
      <c r="AJ928" s="70"/>
      <c r="AK928" s="70"/>
      <c r="AL928" s="72"/>
      <c r="AM928" s="22"/>
      <c r="AO928" s="22" t="s">
        <v>286</v>
      </c>
      <c r="AP928" s="85" t="s">
        <v>1102</v>
      </c>
      <c r="AQ928" s="85" t="s">
        <v>234</v>
      </c>
      <c r="AR928" s="51" t="str">
        <f t="shared" si="965"/>
        <v>JD8G-9C662-AC</v>
      </c>
      <c r="AS928" s="3"/>
      <c r="AT928" s="94"/>
      <c r="AU928" s="94">
        <v>1</v>
      </c>
      <c r="AV928" s="94"/>
      <c r="AW928" s="94">
        <v>1</v>
      </c>
      <c r="AX928" s="94"/>
      <c r="AY928" s="94"/>
      <c r="AZ928" s="94">
        <v>1</v>
      </c>
      <c r="BA928" s="94"/>
      <c r="BB928" s="64">
        <f t="shared" si="979"/>
        <v>0.44</v>
      </c>
      <c r="BD928" s="8">
        <v>-93.16</v>
      </c>
      <c r="BE928" s="8">
        <v>-9.11</v>
      </c>
      <c r="BF928" s="8">
        <v>-5.0599999999999996</v>
      </c>
      <c r="BG928" s="8">
        <v>0</v>
      </c>
      <c r="BH928" s="8">
        <v>0</v>
      </c>
      <c r="BI928" s="8">
        <f t="shared" si="1024"/>
        <v>-107.33</v>
      </c>
      <c r="BJ928" s="2" t="s">
        <v>91</v>
      </c>
      <c r="BL928" s="8">
        <v>-830000</v>
      </c>
      <c r="BM928" s="8">
        <v>-830000</v>
      </c>
      <c r="BO928" s="70"/>
      <c r="BP928" s="70"/>
      <c r="BQ928" s="72"/>
      <c r="BS928" s="61">
        <f t="shared" si="986"/>
        <v>0</v>
      </c>
      <c r="BT928" s="61">
        <f t="shared" si="987"/>
        <v>0</v>
      </c>
      <c r="BU928" s="61">
        <f t="shared" si="988"/>
        <v>0</v>
      </c>
      <c r="BV928" s="61">
        <f t="shared" si="988"/>
        <v>0</v>
      </c>
      <c r="BW928" s="61">
        <f t="shared" si="988"/>
        <v>0</v>
      </c>
      <c r="BX928" s="61">
        <f t="shared" si="988"/>
        <v>0</v>
      </c>
      <c r="BY928" s="61" t="s">
        <v>91</v>
      </c>
      <c r="CA928" s="61">
        <f t="shared" si="1003"/>
        <v>0</v>
      </c>
      <c r="CB928" s="61">
        <f t="shared" si="1003"/>
        <v>0</v>
      </c>
      <c r="CC928" s="61">
        <f t="shared" si="1003"/>
        <v>0</v>
      </c>
      <c r="CD928" s="61">
        <f t="shared" si="1003"/>
        <v>0</v>
      </c>
      <c r="CE928" s="61">
        <f t="shared" si="1003"/>
        <v>0</v>
      </c>
      <c r="CF928" s="61">
        <f t="shared" si="1003"/>
        <v>0</v>
      </c>
      <c r="CG928" s="61">
        <f t="shared" si="1003"/>
        <v>0</v>
      </c>
      <c r="CH928" s="61">
        <f t="shared" si="1000"/>
        <v>0</v>
      </c>
      <c r="CI928" s="61">
        <f t="shared" si="923"/>
        <v>0</v>
      </c>
      <c r="CJ928" s="61"/>
      <c r="CK928" s="61">
        <f t="shared" si="983"/>
        <v>0</v>
      </c>
      <c r="CL928" s="61">
        <f t="shared" si="983"/>
        <v>0</v>
      </c>
      <c r="CM928" s="61">
        <f t="shared" si="983"/>
        <v>0</v>
      </c>
      <c r="CN928" s="61">
        <f t="shared" si="983"/>
        <v>0</v>
      </c>
      <c r="CO928" s="61">
        <f t="shared" si="983"/>
        <v>0</v>
      </c>
      <c r="CP928" s="61">
        <f t="shared" si="983"/>
        <v>0</v>
      </c>
      <c r="CQ928" s="61">
        <f t="shared" si="983"/>
        <v>0</v>
      </c>
      <c r="CR928" s="61">
        <f t="shared" si="898"/>
        <v>0</v>
      </c>
      <c r="CS928" s="61">
        <f t="shared" si="924"/>
        <v>0</v>
      </c>
      <c r="CT928" s="61">
        <f t="shared" si="925"/>
        <v>0</v>
      </c>
      <c r="CV928" s="61">
        <f t="shared" ref="CV928" si="1029">SUM(AG928)-SUM(BL928)</f>
        <v>0</v>
      </c>
      <c r="CW928" s="61">
        <f t="shared" ref="CW928" si="1030">SUM(AH928)-SUM(BM928)</f>
        <v>0</v>
      </c>
      <c r="CX928" s="61"/>
      <c r="CY928" s="61">
        <f t="shared" si="1016"/>
        <v>0</v>
      </c>
      <c r="CZ928" s="61">
        <f t="shared" si="1016"/>
        <v>0</v>
      </c>
      <c r="DA928" s="61">
        <f t="shared" si="1015"/>
        <v>0</v>
      </c>
      <c r="DB928" s="2" t="s">
        <v>86</v>
      </c>
      <c r="DC928" s="2" t="s">
        <v>85</v>
      </c>
      <c r="DD928" s="2" t="s">
        <v>142</v>
      </c>
      <c r="DE928" s="2" t="s">
        <v>264</v>
      </c>
      <c r="DG928" s="62">
        <v>43084</v>
      </c>
      <c r="DZ928" s="3" t="e">
        <v>#N/A</v>
      </c>
      <c r="EC928" s="60" t="str">
        <f>VLOOKUP($M928,[1]Detail!$M:$BO,1,0)</f>
        <v>JD8B-9C662-AC</v>
      </c>
      <c r="ED928" s="60">
        <f>VLOOKUP($M928,[1]Detail!$M:$BO,22,0)</f>
        <v>-107.33</v>
      </c>
      <c r="EE928" s="155">
        <f>VLOOKUP($M928,[1]Detail!$M:$BO,42,0)</f>
        <v>-830000</v>
      </c>
      <c r="EF928" s="60">
        <f>VLOOKUP($M928,[1]Detail!$M:$BO,45,0)</f>
        <v>0</v>
      </c>
      <c r="EH928" s="60">
        <f t="shared" si="1025"/>
        <v>0</v>
      </c>
      <c r="EI928" s="60">
        <f t="shared" si="1026"/>
        <v>0</v>
      </c>
      <c r="EJ928" s="60">
        <f t="shared" si="1027"/>
        <v>0</v>
      </c>
    </row>
    <row r="929" spans="2:140" ht="12.75" hidden="1" customHeight="1">
      <c r="B929" s="99" t="s">
        <v>1496</v>
      </c>
      <c r="C929" s="22" t="s">
        <v>1099</v>
      </c>
      <c r="D929" s="22" t="s">
        <v>1100</v>
      </c>
      <c r="E929" s="2" t="s">
        <v>1005</v>
      </c>
      <c r="F929" s="2" t="s">
        <v>330</v>
      </c>
      <c r="G929" s="2" t="s">
        <v>1087</v>
      </c>
      <c r="J929" s="149" t="s">
        <v>126</v>
      </c>
      <c r="K929" s="23" t="s">
        <v>1102</v>
      </c>
      <c r="L929" s="149" t="s">
        <v>924</v>
      </c>
      <c r="M929" s="51" t="str">
        <f t="shared" si="963"/>
        <v>JD8B-9C662-CC</v>
      </c>
      <c r="O929" s="94">
        <v>1</v>
      </c>
      <c r="P929" s="94"/>
      <c r="Q929" s="94">
        <v>1</v>
      </c>
      <c r="R929" s="94"/>
      <c r="S929" s="94"/>
      <c r="T929" s="94"/>
      <c r="U929" s="94"/>
      <c r="V929" s="94"/>
      <c r="W929" s="64">
        <f t="shared" si="971"/>
        <v>0.28000000000000003</v>
      </c>
      <c r="Y929" s="60">
        <v>-91.92</v>
      </c>
      <c r="Z929" s="60">
        <v>-9.11</v>
      </c>
      <c r="AA929" s="60">
        <v>-5.0599999999999996</v>
      </c>
      <c r="AB929" s="60">
        <v>0</v>
      </c>
      <c r="AC929" s="60">
        <v>0</v>
      </c>
      <c r="AD929" s="8">
        <f t="shared" si="1023"/>
        <v>-106.09</v>
      </c>
      <c r="AE929" s="2" t="s">
        <v>84</v>
      </c>
      <c r="AG929" s="70">
        <v>-451250</v>
      </c>
      <c r="AH929" s="70">
        <v>-451250</v>
      </c>
      <c r="AJ929" s="70"/>
      <c r="AK929" s="70"/>
      <c r="AL929" s="72"/>
      <c r="AM929" s="22"/>
      <c r="AO929" s="22" t="s">
        <v>286</v>
      </c>
      <c r="AP929" s="85" t="s">
        <v>1102</v>
      </c>
      <c r="AQ929" s="85" t="s">
        <v>924</v>
      </c>
      <c r="AR929" s="51" t="str">
        <f t="shared" si="965"/>
        <v>JD8G-9C662-CC</v>
      </c>
      <c r="AS929" s="3"/>
      <c r="AT929" s="94">
        <v>1</v>
      </c>
      <c r="AU929" s="94"/>
      <c r="AV929" s="94">
        <v>1</v>
      </c>
      <c r="AW929" s="94"/>
      <c r="AX929" s="94"/>
      <c r="AY929" s="94"/>
      <c r="AZ929" s="94"/>
      <c r="BA929" s="94"/>
      <c r="BB929" s="64">
        <f t="shared" si="979"/>
        <v>0.28000000000000003</v>
      </c>
      <c r="BD929" s="8">
        <v>-91.92</v>
      </c>
      <c r="BE929" s="8">
        <v>-9.11</v>
      </c>
      <c r="BF929" s="8">
        <v>-5.0599999999999996</v>
      </c>
      <c r="BG929" s="8">
        <v>0</v>
      </c>
      <c r="BH929" s="8">
        <v>0</v>
      </c>
      <c r="BI929" s="8">
        <f t="shared" si="1024"/>
        <v>-106.09</v>
      </c>
      <c r="BJ929" s="2" t="s">
        <v>91</v>
      </c>
      <c r="BL929" s="8">
        <v>-451250</v>
      </c>
      <c r="BM929" s="8">
        <v>-451250</v>
      </c>
      <c r="BO929" s="70"/>
      <c r="BP929" s="70"/>
      <c r="BQ929" s="72"/>
      <c r="BS929" s="61">
        <f t="shared" si="986"/>
        <v>0</v>
      </c>
      <c r="BT929" s="61">
        <f t="shared" si="987"/>
        <v>0</v>
      </c>
      <c r="BU929" s="61">
        <f t="shared" si="988"/>
        <v>0</v>
      </c>
      <c r="BV929" s="61">
        <f t="shared" si="988"/>
        <v>0</v>
      </c>
      <c r="BW929" s="61">
        <f t="shared" si="988"/>
        <v>0</v>
      </c>
      <c r="BX929" s="61">
        <f t="shared" si="988"/>
        <v>0</v>
      </c>
      <c r="BY929" s="61" t="s">
        <v>91</v>
      </c>
      <c r="CA929" s="61">
        <f t="shared" si="1003"/>
        <v>0</v>
      </c>
      <c r="CB929" s="61">
        <f t="shared" si="1003"/>
        <v>0</v>
      </c>
      <c r="CC929" s="61">
        <f t="shared" si="1003"/>
        <v>0</v>
      </c>
      <c r="CD929" s="61">
        <f t="shared" si="1003"/>
        <v>0</v>
      </c>
      <c r="CE929" s="61">
        <f t="shared" si="1003"/>
        <v>0</v>
      </c>
      <c r="CF929" s="61">
        <f t="shared" si="1003"/>
        <v>0</v>
      </c>
      <c r="CG929" s="61">
        <f t="shared" si="1003"/>
        <v>0</v>
      </c>
      <c r="CH929" s="61">
        <f t="shared" si="1000"/>
        <v>0</v>
      </c>
      <c r="CI929" s="61">
        <f t="shared" si="923"/>
        <v>0</v>
      </c>
      <c r="CJ929" s="61"/>
      <c r="CK929" s="61">
        <f t="shared" si="983"/>
        <v>0</v>
      </c>
      <c r="CL929" s="61">
        <f t="shared" si="983"/>
        <v>0</v>
      </c>
      <c r="CM929" s="61">
        <f t="shared" si="983"/>
        <v>0</v>
      </c>
      <c r="CN929" s="61">
        <f t="shared" si="983"/>
        <v>0</v>
      </c>
      <c r="CO929" s="61">
        <f t="shared" si="983"/>
        <v>0</v>
      </c>
      <c r="CP929" s="61">
        <f t="shared" si="983"/>
        <v>0</v>
      </c>
      <c r="CQ929" s="61">
        <f t="shared" si="983"/>
        <v>0</v>
      </c>
      <c r="CR929" s="61">
        <f t="shared" si="898"/>
        <v>0</v>
      </c>
      <c r="CS929" s="61">
        <f t="shared" si="924"/>
        <v>0</v>
      </c>
      <c r="CT929" s="61">
        <f t="shared" si="925"/>
        <v>0</v>
      </c>
      <c r="CV929" s="61">
        <f t="shared" si="1020"/>
        <v>0</v>
      </c>
      <c r="CW929" s="61">
        <f t="shared" si="1014"/>
        <v>0</v>
      </c>
      <c r="CX929" s="61"/>
      <c r="CY929" s="61">
        <f t="shared" si="1016"/>
        <v>0</v>
      </c>
      <c r="CZ929" s="61">
        <f t="shared" si="1016"/>
        <v>0</v>
      </c>
      <c r="DA929" s="61">
        <f t="shared" si="1015"/>
        <v>0</v>
      </c>
      <c r="DB929" s="2" t="s">
        <v>86</v>
      </c>
      <c r="DC929" s="2" t="s">
        <v>85</v>
      </c>
      <c r="DD929" s="2" t="s">
        <v>142</v>
      </c>
      <c r="DE929" s="2" t="s">
        <v>264</v>
      </c>
      <c r="DG929" s="62">
        <v>43084</v>
      </c>
      <c r="DZ929" s="3" t="e">
        <v>#N/A</v>
      </c>
      <c r="EC929" s="60" t="str">
        <f>VLOOKUP($M929,[1]Detail!$M:$BO,1,0)</f>
        <v>JD8B-9C662-CC</v>
      </c>
      <c r="ED929" s="60">
        <f>VLOOKUP($M929,[1]Detail!$M:$BO,22,0)</f>
        <v>-106.09</v>
      </c>
      <c r="EE929" s="155">
        <f>VLOOKUP($M929,[1]Detail!$M:$BO,42,0)</f>
        <v>-451250</v>
      </c>
      <c r="EF929" s="60">
        <f>VLOOKUP($M929,[1]Detail!$M:$BO,45,0)</f>
        <v>0</v>
      </c>
      <c r="EH929" s="60">
        <f t="shared" si="1025"/>
        <v>0</v>
      </c>
      <c r="EI929" s="60">
        <f t="shared" si="1026"/>
        <v>0</v>
      </c>
      <c r="EJ929" s="60">
        <f t="shared" si="1027"/>
        <v>0</v>
      </c>
    </row>
    <row r="930" spans="2:140" ht="12.75" hidden="1" customHeight="1">
      <c r="B930" s="99" t="s">
        <v>1497</v>
      </c>
      <c r="C930" s="22" t="s">
        <v>1180</v>
      </c>
      <c r="D930" s="22" t="s">
        <v>1181</v>
      </c>
      <c r="E930" s="2" t="s">
        <v>968</v>
      </c>
      <c r="F930" s="2" t="s">
        <v>969</v>
      </c>
      <c r="G930" s="2" t="s">
        <v>983</v>
      </c>
      <c r="J930" s="149"/>
      <c r="K930" s="23" t="s">
        <v>1184</v>
      </c>
      <c r="L930" s="149" t="s">
        <v>1185</v>
      </c>
      <c r="M930" s="51" t="str">
        <f t="shared" si="963"/>
        <v>-W700121-S403</v>
      </c>
      <c r="O930" s="22">
        <v>1</v>
      </c>
      <c r="P930" s="22">
        <v>1</v>
      </c>
      <c r="Q930" s="22">
        <v>1</v>
      </c>
      <c r="R930" s="22">
        <v>1</v>
      </c>
      <c r="S930" s="22">
        <v>1</v>
      </c>
      <c r="T930" s="22">
        <v>1</v>
      </c>
      <c r="U930" s="22">
        <v>1</v>
      </c>
      <c r="V930" s="22">
        <v>1</v>
      </c>
      <c r="W930" s="64">
        <f t="shared" si="971"/>
        <v>1</v>
      </c>
      <c r="Y930" s="8">
        <v>-3.6799999999999999E-2</v>
      </c>
      <c r="Z930" s="8">
        <v>-1E-3</v>
      </c>
      <c r="AA930" s="8">
        <v>-2.3999999999999998E-3</v>
      </c>
      <c r="AB930" s="8">
        <v>-1.38E-2</v>
      </c>
      <c r="AC930" s="60"/>
      <c r="AD930" s="8">
        <f t="shared" si="1023"/>
        <v>-5.3999999999999999E-2</v>
      </c>
      <c r="AE930" s="2" t="s">
        <v>84</v>
      </c>
      <c r="AG930" s="70"/>
      <c r="AH930" s="70"/>
      <c r="AJ930" s="70"/>
      <c r="AK930" s="70"/>
      <c r="AL930" s="72"/>
      <c r="AM930" s="22"/>
      <c r="AO930" s="22"/>
      <c r="AP930" s="22" t="s">
        <v>1184</v>
      </c>
      <c r="AQ930" s="23" t="s">
        <v>1185</v>
      </c>
      <c r="AR930" s="51" t="str">
        <f t="shared" si="965"/>
        <v>-W700121-S403</v>
      </c>
      <c r="AS930" s="3"/>
      <c r="AT930" s="22">
        <v>2</v>
      </c>
      <c r="AU930" s="22">
        <v>2</v>
      </c>
      <c r="AV930" s="22">
        <v>2</v>
      </c>
      <c r="AW930" s="22">
        <v>2</v>
      </c>
      <c r="AX930" s="22">
        <v>2</v>
      </c>
      <c r="AY930" s="22">
        <v>2</v>
      </c>
      <c r="AZ930" s="22">
        <v>2</v>
      </c>
      <c r="BA930" s="22">
        <v>2</v>
      </c>
      <c r="BB930" s="64">
        <f t="shared" si="979"/>
        <v>2</v>
      </c>
      <c r="BD930" s="8">
        <v>-3.6799999999999999E-2</v>
      </c>
      <c r="BE930" s="8">
        <v>-1E-3</v>
      </c>
      <c r="BF930" s="8">
        <v>-2.3999999999999998E-3</v>
      </c>
      <c r="BG930" s="8">
        <v>-1.38E-2</v>
      </c>
      <c r="BH930" s="95"/>
      <c r="BI930" s="8">
        <f t="shared" ref="BI930" si="1031">SUM(BD930:BH930)</f>
        <v>-5.3999999999999999E-2</v>
      </c>
      <c r="BJ930" s="2" t="s">
        <v>84</v>
      </c>
      <c r="BL930" s="70"/>
      <c r="BM930" s="70"/>
      <c r="BO930" s="70"/>
      <c r="BP930" s="70"/>
      <c r="BQ930" s="72"/>
      <c r="BS930" s="61">
        <f t="shared" si="986"/>
        <v>0</v>
      </c>
      <c r="BT930" s="61">
        <f t="shared" si="987"/>
        <v>0</v>
      </c>
      <c r="BU930" s="61">
        <f t="shared" si="988"/>
        <v>0</v>
      </c>
      <c r="BV930" s="61">
        <f t="shared" si="988"/>
        <v>0</v>
      </c>
      <c r="BW930" s="61">
        <f t="shared" si="988"/>
        <v>0</v>
      </c>
      <c r="BX930" s="61">
        <f t="shared" si="988"/>
        <v>0</v>
      </c>
      <c r="BY930" s="61" t="s">
        <v>91</v>
      </c>
      <c r="CA930" s="61">
        <f t="shared" si="1003"/>
        <v>5.5363321799307957E-3</v>
      </c>
      <c r="CB930" s="61">
        <f t="shared" si="1003"/>
        <v>5.5363321799307957E-3</v>
      </c>
      <c r="CC930" s="61">
        <f t="shared" si="1003"/>
        <v>5.5363321799307957E-3</v>
      </c>
      <c r="CD930" s="61">
        <f t="shared" si="1003"/>
        <v>5.5363321799307957E-3</v>
      </c>
      <c r="CE930" s="61">
        <f t="shared" si="1003"/>
        <v>5.5363321799307957E-3</v>
      </c>
      <c r="CF930" s="61">
        <f t="shared" si="1003"/>
        <v>5.5363321799307957E-3</v>
      </c>
      <c r="CG930" s="61">
        <f t="shared" si="1003"/>
        <v>5.5363321799307957E-3</v>
      </c>
      <c r="CH930" s="61">
        <f t="shared" si="1000"/>
        <v>5.5363321799307957E-3</v>
      </c>
      <c r="CI930" s="61">
        <f t="shared" si="923"/>
        <v>5.5363321799307965E-3</v>
      </c>
      <c r="CJ930" s="61"/>
      <c r="CK930" s="61">
        <f t="shared" si="983"/>
        <v>8.1239656988114934E-3</v>
      </c>
      <c r="CL930" s="61">
        <f t="shared" si="983"/>
        <v>8.1239656988114934E-3</v>
      </c>
      <c r="CM930" s="61">
        <f t="shared" si="983"/>
        <v>8.1239656988114934E-3</v>
      </c>
      <c r="CN930" s="61">
        <f t="shared" si="983"/>
        <v>8.1239656988114934E-3</v>
      </c>
      <c r="CO930" s="61">
        <f t="shared" si="983"/>
        <v>8.1239656988114934E-3</v>
      </c>
      <c r="CP930" s="61">
        <f t="shared" si="983"/>
        <v>8.1239656988114934E-3</v>
      </c>
      <c r="CQ930" s="61">
        <f t="shared" si="983"/>
        <v>8.1239656988114934E-3</v>
      </c>
      <c r="CR930" s="61">
        <f t="shared" si="898"/>
        <v>8.1239656988114934E-3</v>
      </c>
      <c r="CS930" s="61">
        <f t="shared" si="924"/>
        <v>8.1239656988114951E-3</v>
      </c>
      <c r="CT930" s="143">
        <f t="shared" si="925"/>
        <v>5.4000000000000013E-2</v>
      </c>
      <c r="CV930" s="61">
        <f t="shared" ref="CV930" si="1032">SUM(AG930)-SUM(BL930)</f>
        <v>0</v>
      </c>
      <c r="CW930" s="61">
        <f t="shared" ref="CW930:CW938" si="1033">SUM(AH930)-SUM(BM930)</f>
        <v>0</v>
      </c>
      <c r="CX930" s="61"/>
      <c r="CY930" s="61">
        <f t="shared" si="1016"/>
        <v>0</v>
      </c>
      <c r="CZ930" s="61">
        <f t="shared" si="1016"/>
        <v>0</v>
      </c>
      <c r="DA930" s="61">
        <f t="shared" si="1015"/>
        <v>0</v>
      </c>
      <c r="DB930" s="2" t="s">
        <v>85</v>
      </c>
      <c r="DC930" s="2" t="s">
        <v>85</v>
      </c>
      <c r="DD930" s="2" t="s">
        <v>142</v>
      </c>
      <c r="DE930" s="2" t="s">
        <v>264</v>
      </c>
      <c r="DF930" s="3" t="s">
        <v>86</v>
      </c>
      <c r="DG930" s="62">
        <v>43084</v>
      </c>
      <c r="EC930" s="60"/>
      <c r="ED930" s="60"/>
      <c r="EE930" s="60"/>
      <c r="EF930" s="60"/>
    </row>
    <row r="931" spans="2:140" ht="12.75" hidden="1" customHeight="1">
      <c r="B931" s="99" t="s">
        <v>1498</v>
      </c>
      <c r="C931" s="22" t="s">
        <v>1180</v>
      </c>
      <c r="D931" s="22" t="s">
        <v>1181</v>
      </c>
      <c r="E931" s="2" t="s">
        <v>968</v>
      </c>
      <c r="F931" s="2" t="s">
        <v>969</v>
      </c>
      <c r="G931" s="2" t="s">
        <v>983</v>
      </c>
      <c r="J931" s="149"/>
      <c r="K931" s="23" t="s">
        <v>1184</v>
      </c>
      <c r="L931" s="149" t="s">
        <v>1185</v>
      </c>
      <c r="M931" s="51" t="str">
        <f t="shared" si="963"/>
        <v>-W700121-S403</v>
      </c>
      <c r="O931" s="22">
        <v>1</v>
      </c>
      <c r="P931" s="22">
        <v>1</v>
      </c>
      <c r="Q931" s="22">
        <v>1</v>
      </c>
      <c r="R931" s="22">
        <v>1</v>
      </c>
      <c r="S931" s="22">
        <v>1</v>
      </c>
      <c r="T931" s="22">
        <v>1</v>
      </c>
      <c r="U931" s="22">
        <v>1</v>
      </c>
      <c r="V931" s="22">
        <v>1</v>
      </c>
      <c r="W931" s="64">
        <f t="shared" si="971"/>
        <v>1</v>
      </c>
      <c r="Y931" s="8">
        <v>-3.6799999999999999E-2</v>
      </c>
      <c r="Z931" s="8">
        <v>-1E-3</v>
      </c>
      <c r="AA931" s="8">
        <v>-2.3999999999999998E-3</v>
      </c>
      <c r="AB931" s="8">
        <v>-1.38E-2</v>
      </c>
      <c r="AC931" s="60"/>
      <c r="AD931" s="8">
        <f t="shared" si="1023"/>
        <v>-5.3999999999999999E-2</v>
      </c>
      <c r="AE931" s="2" t="s">
        <v>84</v>
      </c>
      <c r="AG931" s="70"/>
      <c r="AH931" s="70"/>
      <c r="AJ931" s="70"/>
      <c r="AK931" s="70"/>
      <c r="AL931" s="72"/>
      <c r="AM931" s="22"/>
      <c r="AO931" s="22"/>
      <c r="AP931" s="22" t="s">
        <v>1184</v>
      </c>
      <c r="AQ931" s="23" t="s">
        <v>1185</v>
      </c>
      <c r="AR931" s="51" t="str">
        <f t="shared" si="965"/>
        <v>-W700121-S403</v>
      </c>
      <c r="AS931" s="3"/>
      <c r="AT931" s="22">
        <v>2</v>
      </c>
      <c r="AU931" s="22">
        <v>2</v>
      </c>
      <c r="AV931" s="22">
        <v>2</v>
      </c>
      <c r="AW931" s="22">
        <v>2</v>
      </c>
      <c r="AX931" s="22">
        <v>2</v>
      </c>
      <c r="AY931" s="22">
        <v>2</v>
      </c>
      <c r="AZ931" s="22">
        <v>2</v>
      </c>
      <c r="BA931" s="22">
        <v>2</v>
      </c>
      <c r="BB931" s="64">
        <f t="shared" si="979"/>
        <v>2</v>
      </c>
      <c r="BD931" s="8">
        <v>-3.6799999999999999E-2</v>
      </c>
      <c r="BE931" s="8">
        <v>-1E-3</v>
      </c>
      <c r="BF931" s="8">
        <v>-2.3999999999999998E-3</v>
      </c>
      <c r="BG931" s="8">
        <v>-1.38E-2</v>
      </c>
      <c r="BH931" s="95"/>
      <c r="BI931" s="8">
        <f t="shared" ref="BI931:BI934" si="1034">SUM(BD931:BH931)</f>
        <v>-5.3999999999999999E-2</v>
      </c>
      <c r="BJ931" s="2" t="s">
        <v>84</v>
      </c>
      <c r="BL931" s="70"/>
      <c r="BM931" s="70"/>
      <c r="BO931" s="70"/>
      <c r="BP931" s="70"/>
      <c r="BQ931" s="72"/>
      <c r="BS931" s="61">
        <f t="shared" si="986"/>
        <v>0</v>
      </c>
      <c r="BT931" s="61">
        <f t="shared" si="987"/>
        <v>0</v>
      </c>
      <c r="BU931" s="61">
        <f t="shared" si="988"/>
        <v>0</v>
      </c>
      <c r="BV931" s="61">
        <f t="shared" si="988"/>
        <v>0</v>
      </c>
      <c r="BW931" s="61">
        <f t="shared" si="988"/>
        <v>0</v>
      </c>
      <c r="BX931" s="61">
        <f t="shared" si="988"/>
        <v>0</v>
      </c>
      <c r="BY931" s="61" t="s">
        <v>91</v>
      </c>
      <c r="CA931" s="61">
        <f t="shared" si="1003"/>
        <v>5.5363321799307957E-3</v>
      </c>
      <c r="CB931" s="61">
        <f t="shared" si="1003"/>
        <v>5.5363321799307957E-3</v>
      </c>
      <c r="CC931" s="61">
        <f t="shared" si="1003"/>
        <v>5.5363321799307957E-3</v>
      </c>
      <c r="CD931" s="61">
        <f t="shared" si="1003"/>
        <v>5.5363321799307957E-3</v>
      </c>
      <c r="CE931" s="61">
        <f t="shared" si="1003"/>
        <v>5.5363321799307957E-3</v>
      </c>
      <c r="CF931" s="61">
        <f t="shared" si="1003"/>
        <v>5.5363321799307957E-3</v>
      </c>
      <c r="CG931" s="61">
        <f t="shared" si="1003"/>
        <v>5.5363321799307957E-3</v>
      </c>
      <c r="CH931" s="61">
        <f t="shared" si="1000"/>
        <v>5.5363321799307957E-3</v>
      </c>
      <c r="CI931" s="61">
        <f t="shared" si="923"/>
        <v>5.5363321799307965E-3</v>
      </c>
      <c r="CJ931" s="61"/>
      <c r="CK931" s="61">
        <f t="shared" si="983"/>
        <v>8.1239656988114934E-3</v>
      </c>
      <c r="CL931" s="61">
        <f t="shared" si="983"/>
        <v>8.1239656988114934E-3</v>
      </c>
      <c r="CM931" s="61">
        <f t="shared" si="983"/>
        <v>8.1239656988114934E-3</v>
      </c>
      <c r="CN931" s="61">
        <f t="shared" si="983"/>
        <v>8.1239656988114934E-3</v>
      </c>
      <c r="CO931" s="61">
        <f t="shared" si="983"/>
        <v>8.1239656988114934E-3</v>
      </c>
      <c r="CP931" s="61">
        <f t="shared" si="983"/>
        <v>8.1239656988114934E-3</v>
      </c>
      <c r="CQ931" s="61">
        <f t="shared" si="983"/>
        <v>8.1239656988114934E-3</v>
      </c>
      <c r="CR931" s="61">
        <f t="shared" si="898"/>
        <v>8.1239656988114934E-3</v>
      </c>
      <c r="CS931" s="61">
        <f t="shared" si="924"/>
        <v>8.1239656988114951E-3</v>
      </c>
      <c r="CT931" s="63">
        <f t="shared" si="925"/>
        <v>5.4000000000000013E-2</v>
      </c>
      <c r="CV931" s="61">
        <f t="shared" ref="CV931:CV932" si="1035">SUM(AG931)-SUM(BL931)</f>
        <v>0</v>
      </c>
      <c r="CW931" s="61">
        <f t="shared" si="1033"/>
        <v>0</v>
      </c>
      <c r="CX931" s="61"/>
      <c r="CY931" s="61">
        <f t="shared" si="1016"/>
        <v>0</v>
      </c>
      <c r="CZ931" s="61">
        <f t="shared" si="1016"/>
        <v>0</v>
      </c>
      <c r="DA931" s="61">
        <f t="shared" si="1015"/>
        <v>0</v>
      </c>
      <c r="DB931" s="2" t="s">
        <v>86</v>
      </c>
      <c r="DC931" s="2" t="s">
        <v>85</v>
      </c>
      <c r="DD931" s="2" t="s">
        <v>142</v>
      </c>
      <c r="DE931" s="2" t="s">
        <v>264</v>
      </c>
      <c r="DF931" s="3" t="s">
        <v>86</v>
      </c>
      <c r="DG931" s="62">
        <v>43084</v>
      </c>
      <c r="EC931" s="60" t="str">
        <f>VLOOKUP($M931,[1]Detail!$M:$BO,1,0)</f>
        <v>-W700121-S403</v>
      </c>
      <c r="ED931" s="60">
        <f>VLOOKUP($M931,[1]Detail!$M:$BO,22,0)</f>
        <v>-5.3999999999999999E-2</v>
      </c>
      <c r="EE931" s="60">
        <f>VLOOKUP($M931,[1]Detail!$M:$BO,42,0)</f>
        <v>0</v>
      </c>
      <c r="EF931" s="60">
        <f>VLOOKUP($M931,[1]Detail!$M:$BO,45,0)</f>
        <v>0</v>
      </c>
      <c r="EH931" s="60">
        <f t="shared" ref="EH931:EH936" si="1036">ED931-AD931</f>
        <v>0</v>
      </c>
      <c r="EI931" s="60">
        <f t="shared" ref="EI931:EI936" si="1037">EE931-AG931</f>
        <v>0</v>
      </c>
      <c r="EJ931" s="60">
        <f t="shared" ref="EJ931:EJ936" si="1038">EF931-AJ931</f>
        <v>0</v>
      </c>
    </row>
    <row r="932" spans="2:140" ht="12.75" hidden="1" customHeight="1">
      <c r="B932" s="99" t="s">
        <v>1499</v>
      </c>
      <c r="C932" s="22" t="s">
        <v>1180</v>
      </c>
      <c r="D932" s="22" t="s">
        <v>1181</v>
      </c>
      <c r="E932" s="2" t="s">
        <v>968</v>
      </c>
      <c r="F932" s="2" t="s">
        <v>969</v>
      </c>
      <c r="G932" s="2" t="s">
        <v>983</v>
      </c>
      <c r="J932" s="149"/>
      <c r="K932" s="23" t="s">
        <v>1184</v>
      </c>
      <c r="L932" s="149" t="s">
        <v>1185</v>
      </c>
      <c r="M932" s="51" t="str">
        <f t="shared" si="963"/>
        <v>-W700121-S403</v>
      </c>
      <c r="O932" s="22">
        <v>24</v>
      </c>
      <c r="P932" s="22">
        <v>24</v>
      </c>
      <c r="Q932" s="22">
        <v>24</v>
      </c>
      <c r="R932" s="22">
        <v>24</v>
      </c>
      <c r="S932" s="22">
        <v>24</v>
      </c>
      <c r="T932" s="22">
        <v>24</v>
      </c>
      <c r="U932" s="22">
        <v>24</v>
      </c>
      <c r="V932" s="22">
        <v>24</v>
      </c>
      <c r="W932" s="64">
        <f t="shared" si="971"/>
        <v>24</v>
      </c>
      <c r="Y932" s="8">
        <v>-3.6799999999999999E-2</v>
      </c>
      <c r="Z932" s="8">
        <v>-1E-3</v>
      </c>
      <c r="AA932" s="8">
        <v>-2.3999999999999998E-3</v>
      </c>
      <c r="AB932" s="8">
        <v>-1.38E-2</v>
      </c>
      <c r="AC932" s="60"/>
      <c r="AD932" s="218">
        <f t="shared" ref="AD932:AD938" si="1039">SUM(Y932:AC932)</f>
        <v>-5.3999999999999999E-2</v>
      </c>
      <c r="AE932" s="2" t="s">
        <v>84</v>
      </c>
      <c r="AG932" s="70"/>
      <c r="AH932" s="70"/>
      <c r="AJ932" s="70"/>
      <c r="AK932" s="70"/>
      <c r="AL932" s="72"/>
      <c r="AM932" s="22"/>
      <c r="AO932" s="22"/>
      <c r="AP932" s="22" t="s">
        <v>1184</v>
      </c>
      <c r="AQ932" s="23" t="s">
        <v>1185</v>
      </c>
      <c r="AR932" s="51" t="str">
        <f t="shared" si="965"/>
        <v>-W700121-S403</v>
      </c>
      <c r="AS932" s="3"/>
      <c r="AT932" s="22">
        <v>34</v>
      </c>
      <c r="AU932" s="22">
        <v>34</v>
      </c>
      <c r="AV932" s="22">
        <v>34</v>
      </c>
      <c r="AW932" s="22">
        <v>34</v>
      </c>
      <c r="AX932" s="22">
        <v>34</v>
      </c>
      <c r="AY932" s="22">
        <v>34</v>
      </c>
      <c r="AZ932" s="22">
        <v>34</v>
      </c>
      <c r="BA932" s="22">
        <v>34</v>
      </c>
      <c r="BB932" s="64">
        <f t="shared" si="979"/>
        <v>34.000000000000007</v>
      </c>
      <c r="BD932" s="8">
        <v>-3.6799999999999999E-2</v>
      </c>
      <c r="BE932" s="8">
        <v>-1E-3</v>
      </c>
      <c r="BF932" s="8">
        <v>-2.3999999999999998E-3</v>
      </c>
      <c r="BG932" s="8">
        <v>-1.38E-2</v>
      </c>
      <c r="BH932" s="95"/>
      <c r="BI932" s="8">
        <f t="shared" si="1034"/>
        <v>-5.3999999999999999E-2</v>
      </c>
      <c r="BJ932" s="2" t="s">
        <v>84</v>
      </c>
      <c r="BL932" s="70"/>
      <c r="BM932" s="70"/>
      <c r="BO932" s="70"/>
      <c r="BP932" s="70"/>
      <c r="BQ932" s="72"/>
      <c r="BS932" s="61">
        <f t="shared" si="986"/>
        <v>0</v>
      </c>
      <c r="BT932" s="61">
        <f t="shared" si="987"/>
        <v>0</v>
      </c>
      <c r="BU932" s="61">
        <f t="shared" si="988"/>
        <v>0</v>
      </c>
      <c r="BV932" s="61">
        <f t="shared" si="988"/>
        <v>0</v>
      </c>
      <c r="BW932" s="61">
        <f t="shared" si="988"/>
        <v>0</v>
      </c>
      <c r="BX932" s="61">
        <f t="shared" si="988"/>
        <v>0</v>
      </c>
      <c r="BY932" s="61" t="s">
        <v>91</v>
      </c>
      <c r="CA932" s="61">
        <f t="shared" si="1003"/>
        <v>5.5363321799307939E-2</v>
      </c>
      <c r="CB932" s="61">
        <f t="shared" si="1003"/>
        <v>5.5363321799307939E-2</v>
      </c>
      <c r="CC932" s="61">
        <f t="shared" si="1003"/>
        <v>5.5363321799307939E-2</v>
      </c>
      <c r="CD932" s="61">
        <f t="shared" si="1003"/>
        <v>5.5363321799307939E-2</v>
      </c>
      <c r="CE932" s="61">
        <f t="shared" si="1003"/>
        <v>5.5363321799307939E-2</v>
      </c>
      <c r="CF932" s="61">
        <f t="shared" si="1003"/>
        <v>5.5363321799307939E-2</v>
      </c>
      <c r="CG932" s="61">
        <f t="shared" si="1003"/>
        <v>5.5363321799307939E-2</v>
      </c>
      <c r="CH932" s="61">
        <f t="shared" si="1000"/>
        <v>5.5363321799307939E-2</v>
      </c>
      <c r="CI932" s="61">
        <f t="shared" si="923"/>
        <v>5.5363321799307939E-2</v>
      </c>
      <c r="CJ932" s="61"/>
      <c r="CK932" s="61">
        <f t="shared" si="983"/>
        <v>8.1239656988114944E-2</v>
      </c>
      <c r="CL932" s="61">
        <f t="shared" si="983"/>
        <v>8.1239656988114944E-2</v>
      </c>
      <c r="CM932" s="61">
        <f t="shared" si="983"/>
        <v>8.1239656988114944E-2</v>
      </c>
      <c r="CN932" s="61">
        <f t="shared" si="983"/>
        <v>8.1239656988114944E-2</v>
      </c>
      <c r="CO932" s="61">
        <f t="shared" si="983"/>
        <v>8.1239656988114944E-2</v>
      </c>
      <c r="CP932" s="61">
        <f t="shared" si="983"/>
        <v>8.1239656988114944E-2</v>
      </c>
      <c r="CQ932" s="61">
        <f t="shared" si="983"/>
        <v>8.1239656988114944E-2</v>
      </c>
      <c r="CR932" s="61">
        <f t="shared" si="898"/>
        <v>8.1239656988114944E-2</v>
      </c>
      <c r="CS932" s="61">
        <f t="shared" si="924"/>
        <v>8.1239656988114944E-2</v>
      </c>
      <c r="CT932" s="63">
        <f t="shared" si="925"/>
        <v>0.54</v>
      </c>
      <c r="CV932" s="61">
        <f t="shared" si="1035"/>
        <v>0</v>
      </c>
      <c r="CW932" s="61">
        <f t="shared" si="1033"/>
        <v>0</v>
      </c>
      <c r="CX932" s="61"/>
      <c r="CY932" s="61">
        <f t="shared" si="1016"/>
        <v>0</v>
      </c>
      <c r="CZ932" s="61">
        <f t="shared" si="1016"/>
        <v>0</v>
      </c>
      <c r="DA932" s="61">
        <f t="shared" si="1015"/>
        <v>0</v>
      </c>
      <c r="DB932" s="2" t="s">
        <v>86</v>
      </c>
      <c r="DC932" s="2" t="s">
        <v>85</v>
      </c>
      <c r="DD932" s="2" t="s">
        <v>142</v>
      </c>
      <c r="DE932" s="2" t="s">
        <v>264</v>
      </c>
      <c r="DF932" s="3" t="s">
        <v>86</v>
      </c>
      <c r="DG932" s="62">
        <v>43160</v>
      </c>
      <c r="EC932" s="60" t="str">
        <f>VLOOKUP($M932,[1]Detail!$M:$BO,1,0)</f>
        <v>-W700121-S403</v>
      </c>
      <c r="ED932" s="60">
        <f>VLOOKUP($M932,[1]Detail!$M:$BO,22,0)</f>
        <v>-5.3999999999999999E-2</v>
      </c>
      <c r="EE932" s="60">
        <f>VLOOKUP($M932,[1]Detail!$M:$BO,42,0)</f>
        <v>0</v>
      </c>
      <c r="EF932" s="60">
        <f>VLOOKUP($M932,[1]Detail!$M:$BO,45,0)</f>
        <v>0</v>
      </c>
      <c r="EH932" s="60">
        <f t="shared" si="1036"/>
        <v>0</v>
      </c>
      <c r="EI932" s="60">
        <f t="shared" si="1037"/>
        <v>0</v>
      </c>
      <c r="EJ932" s="60">
        <f t="shared" si="1038"/>
        <v>0</v>
      </c>
    </row>
    <row r="933" spans="2:140" ht="12.75" hidden="1" customHeight="1">
      <c r="B933" s="99" t="s">
        <v>1500</v>
      </c>
      <c r="C933" s="22" t="s">
        <v>966</v>
      </c>
      <c r="D933" s="22" t="s">
        <v>967</v>
      </c>
      <c r="E933" s="2" t="s">
        <v>968</v>
      </c>
      <c r="F933" s="2" t="s">
        <v>969</v>
      </c>
      <c r="G933" s="2" t="s">
        <v>331</v>
      </c>
      <c r="J933" s="149" t="s">
        <v>126</v>
      </c>
      <c r="K933" s="23">
        <v>25824</v>
      </c>
      <c r="L933" s="149" t="s">
        <v>599</v>
      </c>
      <c r="M933" s="51" t="str">
        <f t="shared" si="963"/>
        <v>JD8B-25824-BC</v>
      </c>
      <c r="O933" s="94"/>
      <c r="P933" s="94"/>
      <c r="Q933" s="94"/>
      <c r="R933" s="94"/>
      <c r="S933" s="94"/>
      <c r="T933" s="94"/>
      <c r="U933" s="94">
        <v>1</v>
      </c>
      <c r="V933" s="94">
        <v>1</v>
      </c>
      <c r="W933" s="64">
        <f t="shared" si="971"/>
        <v>0.1</v>
      </c>
      <c r="Y933" s="8">
        <v>-54.928380679964633</v>
      </c>
      <c r="Z933" s="8">
        <v>-5.27</v>
      </c>
      <c r="AA933" s="8">
        <v>-1.38</v>
      </c>
      <c r="AB933" s="8">
        <v>0</v>
      </c>
      <c r="AC933" s="8">
        <v>-2.98</v>
      </c>
      <c r="AD933" s="8">
        <f t="shared" si="1039"/>
        <v>-64.558380679964628</v>
      </c>
      <c r="AE933" s="2" t="s">
        <v>84</v>
      </c>
      <c r="AG933" s="70">
        <v>-2512362</v>
      </c>
      <c r="AH933" s="70">
        <v>-2512362</v>
      </c>
      <c r="AJ933" s="70">
        <v>-1262942</v>
      </c>
      <c r="AK933" s="70">
        <v>423806.04026845639</v>
      </c>
      <c r="AL933" s="72"/>
      <c r="AM933" s="22"/>
      <c r="AO933" s="22" t="s">
        <v>138</v>
      </c>
      <c r="AP933" s="23">
        <v>25824</v>
      </c>
      <c r="AQ933" s="22" t="s">
        <v>970</v>
      </c>
      <c r="AR933" s="51" t="str">
        <f t="shared" si="965"/>
        <v>JD8B-25824-BB</v>
      </c>
      <c r="AS933" s="3"/>
      <c r="AT933" s="22"/>
      <c r="AU933" s="22"/>
      <c r="AV933" s="22"/>
      <c r="AW933" s="22"/>
      <c r="AX933" s="22"/>
      <c r="AY933" s="22"/>
      <c r="AZ933" s="22">
        <v>1</v>
      </c>
      <c r="BA933" s="22">
        <v>1</v>
      </c>
      <c r="BB933" s="64">
        <f t="shared" si="979"/>
        <v>0.1</v>
      </c>
      <c r="BD933" s="8">
        <v>-54.928380679964633</v>
      </c>
      <c r="BE933" s="8">
        <v>-5.27</v>
      </c>
      <c r="BF933" s="8">
        <v>-1.38</v>
      </c>
      <c r="BG933" s="8">
        <v>0</v>
      </c>
      <c r="BH933" s="8">
        <v>-2.98</v>
      </c>
      <c r="BI933" s="8">
        <f t="shared" si="1034"/>
        <v>-64.558380679964628</v>
      </c>
      <c r="BJ933" s="2" t="s">
        <v>91</v>
      </c>
      <c r="BL933" s="8">
        <v>-2472362</v>
      </c>
      <c r="BM933" s="8">
        <v>-2472362</v>
      </c>
      <c r="BN933" s="6"/>
      <c r="BO933" s="70">
        <v>-1262942</v>
      </c>
      <c r="BP933" s="70">
        <v>423806.04026845639</v>
      </c>
      <c r="BQ933" s="72"/>
      <c r="BS933" s="61">
        <f t="shared" si="986"/>
        <v>0</v>
      </c>
      <c r="BT933" s="61">
        <f t="shared" si="987"/>
        <v>0</v>
      </c>
      <c r="BU933" s="61">
        <f t="shared" si="988"/>
        <v>0</v>
      </c>
      <c r="BV933" s="61">
        <f t="shared" si="988"/>
        <v>0</v>
      </c>
      <c r="BW933" s="61">
        <f t="shared" si="988"/>
        <v>0</v>
      </c>
      <c r="BX933" s="61">
        <f t="shared" si="988"/>
        <v>0</v>
      </c>
      <c r="BY933" s="61" t="s">
        <v>91</v>
      </c>
      <c r="CA933" s="61">
        <f t="shared" si="1003"/>
        <v>0</v>
      </c>
      <c r="CB933" s="61">
        <f t="shared" si="1003"/>
        <v>0</v>
      </c>
      <c r="CC933" s="61">
        <f t="shared" si="1003"/>
        <v>0</v>
      </c>
      <c r="CD933" s="61">
        <f t="shared" si="1003"/>
        <v>0</v>
      </c>
      <c r="CE933" s="61">
        <f t="shared" si="1003"/>
        <v>0</v>
      </c>
      <c r="CF933" s="61">
        <f t="shared" si="1003"/>
        <v>0</v>
      </c>
      <c r="CG933" s="61">
        <f t="shared" si="1003"/>
        <v>0</v>
      </c>
      <c r="CH933" s="61">
        <f t="shared" si="1000"/>
        <v>0</v>
      </c>
      <c r="CI933" s="61">
        <f t="shared" si="923"/>
        <v>0</v>
      </c>
      <c r="CJ933" s="61"/>
      <c r="CK933" s="61">
        <f t="shared" si="983"/>
        <v>0</v>
      </c>
      <c r="CL933" s="61">
        <f t="shared" si="983"/>
        <v>0</v>
      </c>
      <c r="CM933" s="61">
        <f t="shared" si="983"/>
        <v>0</v>
      </c>
      <c r="CN933" s="61">
        <f t="shared" si="983"/>
        <v>0</v>
      </c>
      <c r="CO933" s="61">
        <f t="shared" si="983"/>
        <v>0</v>
      </c>
      <c r="CP933" s="61">
        <f t="shared" si="983"/>
        <v>0</v>
      </c>
      <c r="CQ933" s="61">
        <f t="shared" si="983"/>
        <v>0</v>
      </c>
      <c r="CR933" s="61">
        <f t="shared" si="898"/>
        <v>0</v>
      </c>
      <c r="CS933" s="61">
        <f t="shared" si="924"/>
        <v>0</v>
      </c>
      <c r="CT933" s="61">
        <f t="shared" si="925"/>
        <v>0</v>
      </c>
      <c r="CV933" s="61">
        <f t="shared" ref="CV933:CV938" si="1040">SUM(AG933)-SUM(BL933)</f>
        <v>-40000</v>
      </c>
      <c r="CW933" s="61">
        <f t="shared" si="1033"/>
        <v>-40000</v>
      </c>
      <c r="CX933" s="61"/>
      <c r="CY933" s="61">
        <f t="shared" si="1016"/>
        <v>0</v>
      </c>
      <c r="CZ933" s="61">
        <f t="shared" si="1016"/>
        <v>0</v>
      </c>
      <c r="DA933" s="61">
        <f t="shared" si="1015"/>
        <v>0</v>
      </c>
      <c r="DB933" s="2" t="s">
        <v>86</v>
      </c>
      <c r="DC933" s="2" t="s">
        <v>85</v>
      </c>
      <c r="DD933" s="2" t="s">
        <v>142</v>
      </c>
      <c r="DE933" s="2" t="s">
        <v>264</v>
      </c>
      <c r="DF933" s="3" t="s">
        <v>86</v>
      </c>
      <c r="DG933" s="62">
        <v>43084</v>
      </c>
      <c r="EC933" s="60" t="str">
        <f>VLOOKUP($M933,[1]Detail!$M:$BO,1,0)</f>
        <v>JD8B-25824-BC</v>
      </c>
      <c r="ED933" s="60">
        <f>VLOOKUP($M933,[1]Detail!$M:$BO,22,0)</f>
        <v>-64.558380679964628</v>
      </c>
      <c r="EE933" s="60">
        <f>VLOOKUP($M933,[1]Detail!$M:$BO,42,0)</f>
        <v>-2512362</v>
      </c>
      <c r="EF933" s="60">
        <f>VLOOKUP($M933,[1]Detail!$M:$BO,45,0)</f>
        <v>-1262942</v>
      </c>
      <c r="EH933" s="60">
        <f t="shared" si="1036"/>
        <v>0</v>
      </c>
      <c r="EI933" s="60">
        <f t="shared" si="1037"/>
        <v>0</v>
      </c>
      <c r="EJ933" s="60">
        <f t="shared" si="1038"/>
        <v>0</v>
      </c>
    </row>
    <row r="934" spans="2:140" ht="12.75" hidden="1" customHeight="1">
      <c r="B934" s="99" t="s">
        <v>1500</v>
      </c>
      <c r="C934" s="22" t="s">
        <v>966</v>
      </c>
      <c r="D934" s="22" t="s">
        <v>967</v>
      </c>
      <c r="E934" s="2" t="s">
        <v>968</v>
      </c>
      <c r="F934" s="2" t="s">
        <v>969</v>
      </c>
      <c r="G934" s="2" t="s">
        <v>331</v>
      </c>
      <c r="J934" s="149" t="s">
        <v>126</v>
      </c>
      <c r="K934" s="23">
        <v>25825</v>
      </c>
      <c r="L934" s="149" t="s">
        <v>599</v>
      </c>
      <c r="M934" s="51" t="str">
        <f t="shared" si="963"/>
        <v>JD8B-25825-BC</v>
      </c>
      <c r="O934" s="94"/>
      <c r="P934" s="94"/>
      <c r="Q934" s="94"/>
      <c r="R934" s="94"/>
      <c r="S934" s="94"/>
      <c r="T934" s="94"/>
      <c r="U934" s="94">
        <v>1</v>
      </c>
      <c r="V934" s="94">
        <v>1</v>
      </c>
      <c r="W934" s="64">
        <f t="shared" si="971"/>
        <v>0.1</v>
      </c>
      <c r="Y934" s="8">
        <v>-54.928380679964633</v>
      </c>
      <c r="Z934" s="8">
        <v>-5.27</v>
      </c>
      <c r="AA934" s="8">
        <v>-1.38</v>
      </c>
      <c r="AB934" s="8">
        <v>0</v>
      </c>
      <c r="AC934" s="8">
        <v>-2.98</v>
      </c>
      <c r="AD934" s="8">
        <f t="shared" si="1039"/>
        <v>-64.558380679964628</v>
      </c>
      <c r="AE934" s="2" t="s">
        <v>84</v>
      </c>
      <c r="AG934" s="8" t="s">
        <v>940</v>
      </c>
      <c r="AH934" s="8" t="s">
        <v>940</v>
      </c>
      <c r="AJ934" s="70" t="s">
        <v>940</v>
      </c>
      <c r="AK934" s="70" t="s">
        <v>940</v>
      </c>
      <c r="AL934" s="72"/>
      <c r="AM934" s="22"/>
      <c r="AO934" s="22" t="s">
        <v>138</v>
      </c>
      <c r="AP934" s="23">
        <v>25825</v>
      </c>
      <c r="AQ934" s="22" t="s">
        <v>970</v>
      </c>
      <c r="AR934" s="51" t="str">
        <f t="shared" si="965"/>
        <v>JD8B-25825-BB</v>
      </c>
      <c r="AS934" s="3"/>
      <c r="AT934" s="22"/>
      <c r="AU934" s="22"/>
      <c r="AV934" s="22"/>
      <c r="AW934" s="22"/>
      <c r="AX934" s="22"/>
      <c r="AY934" s="22"/>
      <c r="AZ934" s="22">
        <v>1</v>
      </c>
      <c r="BA934" s="22">
        <v>1</v>
      </c>
      <c r="BB934" s="64">
        <f t="shared" si="979"/>
        <v>0.1</v>
      </c>
      <c r="BD934" s="8">
        <v>-54.928380679964633</v>
      </c>
      <c r="BE934" s="8">
        <v>-5.27</v>
      </c>
      <c r="BF934" s="8">
        <v>-1.38</v>
      </c>
      <c r="BG934" s="8">
        <v>0</v>
      </c>
      <c r="BH934" s="8">
        <v>-2.98</v>
      </c>
      <c r="BI934" s="8">
        <f t="shared" si="1034"/>
        <v>-64.558380679964628</v>
      </c>
      <c r="BJ934" s="2" t="s">
        <v>91</v>
      </c>
      <c r="BL934" s="8" t="s">
        <v>940</v>
      </c>
      <c r="BM934" s="8" t="s">
        <v>940</v>
      </c>
      <c r="BO934" s="70" t="s">
        <v>940</v>
      </c>
      <c r="BP934" s="70" t="s">
        <v>940</v>
      </c>
      <c r="BQ934" s="72"/>
      <c r="BS934" s="61">
        <f t="shared" si="986"/>
        <v>0</v>
      </c>
      <c r="BT934" s="61">
        <f t="shared" si="987"/>
        <v>0</v>
      </c>
      <c r="BU934" s="61">
        <f t="shared" si="988"/>
        <v>0</v>
      </c>
      <c r="BV934" s="61">
        <f t="shared" si="988"/>
        <v>0</v>
      </c>
      <c r="BW934" s="61">
        <f t="shared" si="988"/>
        <v>0</v>
      </c>
      <c r="BX934" s="61">
        <f t="shared" si="988"/>
        <v>0</v>
      </c>
      <c r="BY934" s="61" t="s">
        <v>91</v>
      </c>
      <c r="CA934" s="61">
        <f t="shared" si="1003"/>
        <v>0</v>
      </c>
      <c r="CB934" s="61">
        <f t="shared" si="1003"/>
        <v>0</v>
      </c>
      <c r="CC934" s="61">
        <f t="shared" si="1003"/>
        <v>0</v>
      </c>
      <c r="CD934" s="61">
        <f t="shared" si="1003"/>
        <v>0</v>
      </c>
      <c r="CE934" s="61">
        <f t="shared" si="1003"/>
        <v>0</v>
      </c>
      <c r="CF934" s="61">
        <f t="shared" si="1003"/>
        <v>0</v>
      </c>
      <c r="CG934" s="61">
        <f t="shared" si="1003"/>
        <v>0</v>
      </c>
      <c r="CH934" s="61">
        <f t="shared" si="1000"/>
        <v>0</v>
      </c>
      <c r="CI934" s="61">
        <f t="shared" si="923"/>
        <v>0</v>
      </c>
      <c r="CJ934" s="61"/>
      <c r="CK934" s="61">
        <f t="shared" si="983"/>
        <v>0</v>
      </c>
      <c r="CL934" s="61">
        <f t="shared" si="983"/>
        <v>0</v>
      </c>
      <c r="CM934" s="61">
        <f t="shared" si="983"/>
        <v>0</v>
      </c>
      <c r="CN934" s="61">
        <f t="shared" si="983"/>
        <v>0</v>
      </c>
      <c r="CO934" s="61">
        <f t="shared" si="983"/>
        <v>0</v>
      </c>
      <c r="CP934" s="61">
        <f t="shared" si="983"/>
        <v>0</v>
      </c>
      <c r="CQ934" s="61">
        <f t="shared" si="983"/>
        <v>0</v>
      </c>
      <c r="CR934" s="61">
        <f t="shared" si="898"/>
        <v>0</v>
      </c>
      <c r="CS934" s="61">
        <f t="shared" si="924"/>
        <v>0</v>
      </c>
      <c r="CT934" s="61">
        <f t="shared" si="925"/>
        <v>0</v>
      </c>
      <c r="CV934" s="61">
        <f t="shared" si="1040"/>
        <v>0</v>
      </c>
      <c r="CW934" s="61">
        <f t="shared" si="1033"/>
        <v>0</v>
      </c>
      <c r="CX934" s="61"/>
      <c r="CY934" s="61">
        <f t="shared" si="1016"/>
        <v>0</v>
      </c>
      <c r="CZ934" s="61">
        <f t="shared" si="1016"/>
        <v>0</v>
      </c>
      <c r="DA934" s="61">
        <f t="shared" si="1015"/>
        <v>0</v>
      </c>
      <c r="DB934" s="2" t="s">
        <v>86</v>
      </c>
      <c r="DC934" s="2" t="s">
        <v>85</v>
      </c>
      <c r="DD934" s="2" t="s">
        <v>142</v>
      </c>
      <c r="DE934" s="2" t="s">
        <v>264</v>
      </c>
      <c r="DF934" s="3" t="s">
        <v>86</v>
      </c>
      <c r="DG934" s="62">
        <v>43084</v>
      </c>
      <c r="EC934" s="60" t="str">
        <f>VLOOKUP($M934,[1]Detail!$M:$BO,1,0)</f>
        <v>JD8B-25825-BC</v>
      </c>
      <c r="ED934" s="60">
        <f>VLOOKUP($M934,[1]Detail!$M:$BO,22,0)</f>
        <v>-64.558380679964628</v>
      </c>
      <c r="EE934" s="60" t="str">
        <f>VLOOKUP($M934,[1]Detail!$M:$BO,42,0)</f>
        <v>incl.above</v>
      </c>
      <c r="EF934" s="60" t="str">
        <f>VLOOKUP($M934,[1]Detail!$M:$BO,45,0)</f>
        <v>incl.above</v>
      </c>
      <c r="EH934" s="60">
        <f t="shared" si="1036"/>
        <v>0</v>
      </c>
      <c r="EI934" s="60" t="e">
        <f t="shared" si="1037"/>
        <v>#VALUE!</v>
      </c>
      <c r="EJ934" s="60" t="e">
        <f t="shared" si="1038"/>
        <v>#VALUE!</v>
      </c>
    </row>
    <row r="935" spans="2:140" ht="12.75" hidden="1" customHeight="1">
      <c r="B935" s="99" t="s">
        <v>1501</v>
      </c>
      <c r="C935" s="22" t="s">
        <v>1502</v>
      </c>
      <c r="D935" s="22" t="s">
        <v>1503</v>
      </c>
      <c r="E935" s="2" t="s">
        <v>968</v>
      </c>
      <c r="F935" s="2" t="s">
        <v>969</v>
      </c>
      <c r="G935" s="2" t="s">
        <v>1087</v>
      </c>
      <c r="J935" s="149" t="s">
        <v>126</v>
      </c>
      <c r="K935" s="23" t="s">
        <v>712</v>
      </c>
      <c r="L935" s="149" t="s">
        <v>132</v>
      </c>
      <c r="M935" s="51" t="str">
        <f t="shared" si="963"/>
        <v>JD8B-17A881-AB</v>
      </c>
      <c r="O935" s="94">
        <v>1</v>
      </c>
      <c r="P935" s="94">
        <v>1</v>
      </c>
      <c r="Q935" s="94">
        <v>1</v>
      </c>
      <c r="R935" s="94">
        <v>1</v>
      </c>
      <c r="S935" s="94">
        <v>1</v>
      </c>
      <c r="T935" s="94">
        <v>1</v>
      </c>
      <c r="U935" s="94">
        <v>1</v>
      </c>
      <c r="V935" s="94">
        <v>1</v>
      </c>
      <c r="W935" s="64">
        <f t="shared" si="971"/>
        <v>1</v>
      </c>
      <c r="Y935" s="60">
        <v>-14.32</v>
      </c>
      <c r="Z935" s="60">
        <v>-0.14000000000000001</v>
      </c>
      <c r="AA935" s="60">
        <v>-0.1</v>
      </c>
      <c r="AB935" s="60">
        <v>0</v>
      </c>
      <c r="AC935" s="60">
        <v>0</v>
      </c>
      <c r="AD935" s="8">
        <f t="shared" si="1039"/>
        <v>-14.56</v>
      </c>
      <c r="AE935" s="2" t="s">
        <v>84</v>
      </c>
      <c r="AG935" s="70">
        <v>-374750</v>
      </c>
      <c r="AH935" s="70">
        <v>-374750</v>
      </c>
      <c r="AJ935" s="70">
        <v>0</v>
      </c>
      <c r="AK935" s="70">
        <v>0</v>
      </c>
      <c r="AL935" s="72">
        <v>0</v>
      </c>
      <c r="AM935" s="22"/>
      <c r="AO935" s="22" t="s">
        <v>126</v>
      </c>
      <c r="AP935" s="23" t="s">
        <v>712</v>
      </c>
      <c r="AQ935" s="22" t="s">
        <v>100</v>
      </c>
      <c r="AR935" s="51" t="str">
        <f t="shared" si="965"/>
        <v>JD8B-17A881-AA</v>
      </c>
      <c r="AS935" s="3"/>
      <c r="AT935" s="22">
        <v>1</v>
      </c>
      <c r="AU935" s="22">
        <v>1</v>
      </c>
      <c r="AV935" s="22">
        <v>1</v>
      </c>
      <c r="AW935" s="22">
        <v>1</v>
      </c>
      <c r="AX935" s="22">
        <v>1</v>
      </c>
      <c r="AY935" s="22">
        <v>1</v>
      </c>
      <c r="AZ935" s="22">
        <v>1</v>
      </c>
      <c r="BA935" s="22">
        <v>1</v>
      </c>
      <c r="BB935" s="64">
        <f t="shared" si="979"/>
        <v>1</v>
      </c>
      <c r="BD935" s="8">
        <f>-10.82*0-14.32</f>
        <v>-14.32</v>
      </c>
      <c r="BE935" s="8">
        <v>-0.14000000000000001</v>
      </c>
      <c r="BF935" s="8">
        <v>-0.1</v>
      </c>
      <c r="BG935" s="8">
        <v>0</v>
      </c>
      <c r="BH935" s="8">
        <v>0</v>
      </c>
      <c r="BI935" s="8">
        <f t="shared" ref="BI935:BI938" si="1041">SUM(BD935:BH935)</f>
        <v>-14.56</v>
      </c>
      <c r="BJ935" s="2" t="s">
        <v>91</v>
      </c>
      <c r="BL935" s="8">
        <f>-292500*0-360750</f>
        <v>-360750</v>
      </c>
      <c r="BM935" s="8">
        <f>-292500*0-360750</f>
        <v>-360750</v>
      </c>
      <c r="BO935" s="70"/>
      <c r="BP935" s="70"/>
      <c r="BQ935" s="72"/>
      <c r="BS935" s="61">
        <f t="shared" si="986"/>
        <v>0</v>
      </c>
      <c r="BT935" s="61">
        <f t="shared" si="987"/>
        <v>0</v>
      </c>
      <c r="BU935" s="61">
        <f t="shared" si="988"/>
        <v>0</v>
      </c>
      <c r="BV935" s="61">
        <f t="shared" si="988"/>
        <v>0</v>
      </c>
      <c r="BW935" s="61">
        <f t="shared" si="988"/>
        <v>0</v>
      </c>
      <c r="BX935" s="61">
        <f t="shared" si="988"/>
        <v>0</v>
      </c>
      <c r="BY935" s="61" t="s">
        <v>91</v>
      </c>
      <c r="CA935" s="61">
        <f t="shared" si="1003"/>
        <v>0</v>
      </c>
      <c r="CB935" s="61">
        <f t="shared" si="1003"/>
        <v>0</v>
      </c>
      <c r="CC935" s="61">
        <f t="shared" si="1003"/>
        <v>0</v>
      </c>
      <c r="CD935" s="61">
        <f t="shared" si="1003"/>
        <v>0</v>
      </c>
      <c r="CE935" s="61">
        <f t="shared" si="1003"/>
        <v>0</v>
      </c>
      <c r="CF935" s="61">
        <f t="shared" si="1003"/>
        <v>0</v>
      </c>
      <c r="CG935" s="61">
        <f t="shared" si="1003"/>
        <v>0</v>
      </c>
      <c r="CH935" s="61">
        <f t="shared" si="1000"/>
        <v>0</v>
      </c>
      <c r="CI935" s="61">
        <f t="shared" si="923"/>
        <v>0</v>
      </c>
      <c r="CJ935" s="61"/>
      <c r="CK935" s="61">
        <f t="shared" si="983"/>
        <v>0</v>
      </c>
      <c r="CL935" s="61">
        <f t="shared" si="983"/>
        <v>0</v>
      </c>
      <c r="CM935" s="61">
        <f t="shared" si="983"/>
        <v>0</v>
      </c>
      <c r="CN935" s="61">
        <f t="shared" si="983"/>
        <v>0</v>
      </c>
      <c r="CO935" s="61">
        <f t="shared" si="983"/>
        <v>0</v>
      </c>
      <c r="CP935" s="61">
        <f t="shared" si="983"/>
        <v>0</v>
      </c>
      <c r="CQ935" s="61">
        <f t="shared" si="983"/>
        <v>0</v>
      </c>
      <c r="CR935" s="61">
        <f t="shared" si="898"/>
        <v>0</v>
      </c>
      <c r="CS935" s="61">
        <f t="shared" si="924"/>
        <v>0</v>
      </c>
      <c r="CT935" s="61">
        <f t="shared" si="925"/>
        <v>0</v>
      </c>
      <c r="CV935" s="61">
        <f t="shared" si="1040"/>
        <v>-14000</v>
      </c>
      <c r="CW935" s="61">
        <f t="shared" si="1033"/>
        <v>-14000</v>
      </c>
      <c r="CX935" s="61"/>
      <c r="CY935" s="61">
        <f t="shared" si="1016"/>
        <v>0</v>
      </c>
      <c r="CZ935" s="61">
        <f t="shared" si="1016"/>
        <v>0</v>
      </c>
      <c r="DA935" s="61">
        <f t="shared" si="1015"/>
        <v>0</v>
      </c>
      <c r="DB935" s="2" t="s">
        <v>86</v>
      </c>
      <c r="DC935" s="2" t="s">
        <v>85</v>
      </c>
      <c r="DD935" s="2" t="s">
        <v>142</v>
      </c>
      <c r="DE935" s="2" t="s">
        <v>264</v>
      </c>
      <c r="DG935" s="62"/>
      <c r="DZ935" s="3" t="e">
        <v>#N/A</v>
      </c>
      <c r="EC935" s="60" t="str">
        <f>VLOOKUP($M935,[1]Detail!$M:$BO,1,0)</f>
        <v>JD8B-17A881-AB</v>
      </c>
      <c r="ED935" s="60">
        <f>VLOOKUP($M935,[1]Detail!$M:$BO,22,0)</f>
        <v>-14.56</v>
      </c>
      <c r="EE935" s="60">
        <f>VLOOKUP($M935,[1]Detail!$M:$BO,42,0)</f>
        <v>-374750</v>
      </c>
      <c r="EF935" s="60">
        <f>VLOOKUP($M935,[1]Detail!$M:$BO,45,0)</f>
        <v>0</v>
      </c>
      <c r="EH935" s="60">
        <f t="shared" si="1036"/>
        <v>0</v>
      </c>
      <c r="EI935" s="60">
        <f t="shared" si="1037"/>
        <v>0</v>
      </c>
      <c r="EJ935" s="60">
        <f t="shared" si="1038"/>
        <v>0</v>
      </c>
    </row>
    <row r="936" spans="2:140" ht="12.75" hidden="1" customHeight="1">
      <c r="B936" s="99" t="s">
        <v>1501</v>
      </c>
      <c r="C936" s="22" t="s">
        <v>1502</v>
      </c>
      <c r="D936" s="22" t="s">
        <v>1503</v>
      </c>
      <c r="E936" s="2" t="s">
        <v>968</v>
      </c>
      <c r="F936" s="2" t="s">
        <v>969</v>
      </c>
      <c r="G936" s="2" t="s">
        <v>1087</v>
      </c>
      <c r="J936" s="149" t="s">
        <v>126</v>
      </c>
      <c r="K936" s="23" t="s">
        <v>713</v>
      </c>
      <c r="L936" s="149" t="s">
        <v>132</v>
      </c>
      <c r="M936" s="51" t="str">
        <f t="shared" si="963"/>
        <v>JD8B-17A882-AB</v>
      </c>
      <c r="O936" s="94">
        <v>1</v>
      </c>
      <c r="P936" s="94">
        <v>1</v>
      </c>
      <c r="Q936" s="94">
        <v>1</v>
      </c>
      <c r="R936" s="94">
        <v>1</v>
      </c>
      <c r="S936" s="94">
        <v>1</v>
      </c>
      <c r="T936" s="94">
        <v>1</v>
      </c>
      <c r="U936" s="94">
        <v>1</v>
      </c>
      <c r="V936" s="94">
        <v>1</v>
      </c>
      <c r="W936" s="64">
        <f t="shared" si="971"/>
        <v>1</v>
      </c>
      <c r="Y936" s="60">
        <v>-14.32</v>
      </c>
      <c r="Z936" s="60">
        <v>-0.14000000000000001</v>
      </c>
      <c r="AA936" s="60">
        <v>-0.1</v>
      </c>
      <c r="AB936" s="60">
        <v>0</v>
      </c>
      <c r="AC936" s="60">
        <v>0</v>
      </c>
      <c r="AD936" s="8">
        <f t="shared" si="1039"/>
        <v>-14.56</v>
      </c>
      <c r="AE936" s="2" t="s">
        <v>84</v>
      </c>
      <c r="AG936" s="70">
        <v>-374750</v>
      </c>
      <c r="AH936" s="70">
        <v>-374750</v>
      </c>
      <c r="AJ936" s="70">
        <v>0</v>
      </c>
      <c r="AK936" s="70">
        <v>0</v>
      </c>
      <c r="AL936" s="72">
        <v>0</v>
      </c>
      <c r="AM936" s="22"/>
      <c r="AO936" s="22" t="s">
        <v>126</v>
      </c>
      <c r="AP936" s="23" t="s">
        <v>713</v>
      </c>
      <c r="AQ936" s="22" t="s">
        <v>100</v>
      </c>
      <c r="AR936" s="51" t="str">
        <f t="shared" si="965"/>
        <v>JD8B-17A882-AA</v>
      </c>
      <c r="AS936" s="3"/>
      <c r="AT936" s="22">
        <v>1</v>
      </c>
      <c r="AU936" s="22">
        <v>1</v>
      </c>
      <c r="AV936" s="22">
        <v>1</v>
      </c>
      <c r="AW936" s="22">
        <v>1</v>
      </c>
      <c r="AX936" s="22">
        <v>1</v>
      </c>
      <c r="AY936" s="22">
        <v>1</v>
      </c>
      <c r="AZ936" s="22">
        <v>1</v>
      </c>
      <c r="BA936" s="22">
        <v>1</v>
      </c>
      <c r="BB936" s="64">
        <f t="shared" si="979"/>
        <v>1</v>
      </c>
      <c r="BD936" s="8">
        <f>-10.82*0-14.32</f>
        <v>-14.32</v>
      </c>
      <c r="BE936" s="8">
        <v>-0.14000000000000001</v>
      </c>
      <c r="BF936" s="8">
        <v>-0.1</v>
      </c>
      <c r="BG936" s="8">
        <v>0</v>
      </c>
      <c r="BH936" s="8">
        <v>0</v>
      </c>
      <c r="BI936" s="8">
        <f t="shared" si="1041"/>
        <v>-14.56</v>
      </c>
      <c r="BJ936" s="2" t="s">
        <v>91</v>
      </c>
      <c r="BL936" s="8">
        <f>-292500*0-360750</f>
        <v>-360750</v>
      </c>
      <c r="BM936" s="8">
        <f>-292500*0-360750</f>
        <v>-360750</v>
      </c>
      <c r="BO936" s="70"/>
      <c r="BP936" s="70"/>
      <c r="BQ936" s="72"/>
      <c r="BS936" s="61">
        <f t="shared" si="986"/>
        <v>0</v>
      </c>
      <c r="BT936" s="61">
        <f t="shared" si="987"/>
        <v>0</v>
      </c>
      <c r="BU936" s="61">
        <f t="shared" si="988"/>
        <v>0</v>
      </c>
      <c r="BV936" s="61">
        <f t="shared" si="988"/>
        <v>0</v>
      </c>
      <c r="BW936" s="61">
        <f t="shared" si="988"/>
        <v>0</v>
      </c>
      <c r="BX936" s="61">
        <f t="shared" si="988"/>
        <v>0</v>
      </c>
      <c r="BY936" s="61" t="s">
        <v>91</v>
      </c>
      <c r="CA936" s="61">
        <f t="shared" si="1003"/>
        <v>0</v>
      </c>
      <c r="CB936" s="61">
        <f t="shared" si="1003"/>
        <v>0</v>
      </c>
      <c r="CC936" s="61">
        <f t="shared" si="1003"/>
        <v>0</v>
      </c>
      <c r="CD936" s="61">
        <f t="shared" si="1003"/>
        <v>0</v>
      </c>
      <c r="CE936" s="61">
        <f t="shared" si="1003"/>
        <v>0</v>
      </c>
      <c r="CF936" s="61">
        <f t="shared" si="1003"/>
        <v>0</v>
      </c>
      <c r="CG936" s="61">
        <f t="shared" si="1003"/>
        <v>0</v>
      </c>
      <c r="CH936" s="61">
        <f t="shared" si="1000"/>
        <v>0</v>
      </c>
      <c r="CI936" s="61">
        <f t="shared" si="923"/>
        <v>0</v>
      </c>
      <c r="CJ936" s="61"/>
      <c r="CK936" s="61">
        <f t="shared" si="983"/>
        <v>0</v>
      </c>
      <c r="CL936" s="61">
        <f t="shared" si="983"/>
        <v>0</v>
      </c>
      <c r="CM936" s="61">
        <f t="shared" si="983"/>
        <v>0</v>
      </c>
      <c r="CN936" s="61">
        <f t="shared" si="983"/>
        <v>0</v>
      </c>
      <c r="CO936" s="61">
        <f t="shared" si="983"/>
        <v>0</v>
      </c>
      <c r="CP936" s="61">
        <f t="shared" si="983"/>
        <v>0</v>
      </c>
      <c r="CQ936" s="61">
        <f t="shared" si="983"/>
        <v>0</v>
      </c>
      <c r="CR936" s="61">
        <f t="shared" si="898"/>
        <v>0</v>
      </c>
      <c r="CS936" s="61">
        <f t="shared" si="924"/>
        <v>0</v>
      </c>
      <c r="CT936" s="61">
        <f t="shared" si="925"/>
        <v>0</v>
      </c>
      <c r="CV936" s="61">
        <f t="shared" ref="CV936:CV937" si="1042">SUM(AG936)-SUM(BL936)</f>
        <v>-14000</v>
      </c>
      <c r="CW936" s="61">
        <f t="shared" ref="CW936:CW937" si="1043">SUM(AH936)-SUM(BM936)</f>
        <v>-14000</v>
      </c>
      <c r="CX936" s="61"/>
      <c r="CY936" s="61">
        <f t="shared" si="1016"/>
        <v>0</v>
      </c>
      <c r="CZ936" s="61">
        <f t="shared" si="1016"/>
        <v>0</v>
      </c>
      <c r="DA936" s="61">
        <f t="shared" si="1015"/>
        <v>0</v>
      </c>
      <c r="DB936" s="2" t="s">
        <v>86</v>
      </c>
      <c r="DC936" s="2" t="s">
        <v>85</v>
      </c>
      <c r="DD936" s="2" t="s">
        <v>142</v>
      </c>
      <c r="DE936" s="2" t="s">
        <v>264</v>
      </c>
      <c r="DG936" s="62"/>
      <c r="DZ936" s="3" t="e">
        <v>#N/A</v>
      </c>
      <c r="EC936" s="60" t="str">
        <f>VLOOKUP($M936,[1]Detail!$M:$BO,1,0)</f>
        <v>JD8B-17A882-AB</v>
      </c>
      <c r="ED936" s="60">
        <f>VLOOKUP($M936,[1]Detail!$M:$BO,22,0)</f>
        <v>-14.56</v>
      </c>
      <c r="EE936" s="60">
        <f>VLOOKUP($M936,[1]Detail!$M:$BO,42,0)</f>
        <v>-374750</v>
      </c>
      <c r="EF936" s="60">
        <f>VLOOKUP($M936,[1]Detail!$M:$BO,45,0)</f>
        <v>0</v>
      </c>
      <c r="EH936" s="60">
        <f t="shared" si="1036"/>
        <v>0</v>
      </c>
      <c r="EI936" s="60">
        <f t="shared" si="1037"/>
        <v>0</v>
      </c>
      <c r="EJ936" s="60">
        <f t="shared" si="1038"/>
        <v>0</v>
      </c>
    </row>
    <row r="937" spans="2:140" ht="12.75" hidden="1" customHeight="1">
      <c r="B937" s="99" t="s">
        <v>1501</v>
      </c>
      <c r="C937" s="22" t="s">
        <v>1502</v>
      </c>
      <c r="D937" s="22" t="s">
        <v>1503</v>
      </c>
      <c r="E937" s="2" t="s">
        <v>968</v>
      </c>
      <c r="F937" s="2" t="s">
        <v>969</v>
      </c>
      <c r="G937" s="2" t="s">
        <v>1087</v>
      </c>
      <c r="J937" s="149" t="s">
        <v>126</v>
      </c>
      <c r="K937" s="23" t="s">
        <v>711</v>
      </c>
      <c r="L937" s="149" t="s">
        <v>267</v>
      </c>
      <c r="M937" s="51" t="str">
        <f t="shared" si="963"/>
        <v>JD8B-17K823-ADW</v>
      </c>
      <c r="O937" s="94">
        <v>1</v>
      </c>
      <c r="P937" s="94">
        <v>1</v>
      </c>
      <c r="Q937" s="94">
        <v>1</v>
      </c>
      <c r="R937" s="94">
        <v>1</v>
      </c>
      <c r="S937" s="94">
        <v>1</v>
      </c>
      <c r="T937" s="94">
        <v>1</v>
      </c>
      <c r="U937" s="94">
        <v>0</v>
      </c>
      <c r="V937" s="94">
        <v>0</v>
      </c>
      <c r="W937" s="64">
        <f t="shared" si="971"/>
        <v>0.9</v>
      </c>
      <c r="Y937" s="60">
        <v>-246.39</v>
      </c>
      <c r="Z937" s="60">
        <v>-2.5499999999999998</v>
      </c>
      <c r="AA937" s="60">
        <v>-5.71</v>
      </c>
      <c r="AB937" s="60">
        <v>0</v>
      </c>
      <c r="AC937" s="60">
        <v>0</v>
      </c>
      <c r="AD937" s="8">
        <f t="shared" si="1039"/>
        <v>-254.65</v>
      </c>
      <c r="AE937" s="2" t="s">
        <v>84</v>
      </c>
      <c r="AG937" s="70">
        <v>-7777500</v>
      </c>
      <c r="AH937" s="70">
        <v>-7777500</v>
      </c>
      <c r="AJ937" s="70">
        <v>0</v>
      </c>
      <c r="AK937" s="70">
        <v>0</v>
      </c>
      <c r="AL937" s="72">
        <v>0</v>
      </c>
      <c r="AM937" s="22"/>
      <c r="AO937" s="22" t="s">
        <v>126</v>
      </c>
      <c r="AP937" s="23" t="s">
        <v>711</v>
      </c>
      <c r="AQ937" s="22" t="s">
        <v>565</v>
      </c>
      <c r="AR937" s="51" t="str">
        <f t="shared" si="965"/>
        <v>JD8B-17K823-ACW</v>
      </c>
      <c r="AS937" s="3"/>
      <c r="AT937" s="22">
        <v>1</v>
      </c>
      <c r="AU937" s="22">
        <v>1</v>
      </c>
      <c r="AV937" s="22">
        <v>1</v>
      </c>
      <c r="AW937" s="22">
        <v>1</v>
      </c>
      <c r="AX937" s="22">
        <v>1</v>
      </c>
      <c r="AY937" s="22">
        <v>1</v>
      </c>
      <c r="AZ937" s="22">
        <v>0</v>
      </c>
      <c r="BA937" s="22">
        <v>0</v>
      </c>
      <c r="BB937" s="64">
        <f t="shared" si="979"/>
        <v>0.9</v>
      </c>
      <c r="BD937" s="8">
        <f>-251.56*0-246.39</f>
        <v>-246.39</v>
      </c>
      <c r="BE937" s="8">
        <v>-2.5499999999999998</v>
      </c>
      <c r="BF937" s="8">
        <v>-5.71</v>
      </c>
      <c r="BG937" s="8">
        <v>0</v>
      </c>
      <c r="BH937" s="8">
        <v>0</v>
      </c>
      <c r="BI937" s="8">
        <f t="shared" si="1041"/>
        <v>-254.65</v>
      </c>
      <c r="BJ937" s="2" t="s">
        <v>91</v>
      </c>
      <c r="BL937" s="8">
        <f>-7873500*0-7737000</f>
        <v>-7737000</v>
      </c>
      <c r="BM937" s="8">
        <f>-7873500*0-7737000</f>
        <v>-7737000</v>
      </c>
      <c r="BN937" s="6"/>
      <c r="BO937" s="70">
        <v>0</v>
      </c>
      <c r="BP937" s="70">
        <v>0</v>
      </c>
      <c r="BQ937" s="72"/>
      <c r="BS937" s="61">
        <f t="shared" si="986"/>
        <v>0</v>
      </c>
      <c r="BT937" s="61">
        <f t="shared" si="987"/>
        <v>0</v>
      </c>
      <c r="BU937" s="61">
        <f t="shared" si="988"/>
        <v>0</v>
      </c>
      <c r="BV937" s="61">
        <f t="shared" si="988"/>
        <v>0</v>
      </c>
      <c r="BW937" s="61">
        <f t="shared" si="988"/>
        <v>0</v>
      </c>
      <c r="BX937" s="61">
        <f t="shared" si="988"/>
        <v>0</v>
      </c>
      <c r="BY937" s="61" t="s">
        <v>91</v>
      </c>
      <c r="CA937" s="61">
        <f t="shared" si="1003"/>
        <v>0</v>
      </c>
      <c r="CB937" s="61">
        <f t="shared" si="1003"/>
        <v>0</v>
      </c>
      <c r="CC937" s="61">
        <f t="shared" si="1003"/>
        <v>0</v>
      </c>
      <c r="CD937" s="61">
        <f t="shared" si="1003"/>
        <v>0</v>
      </c>
      <c r="CE937" s="61">
        <f t="shared" si="1003"/>
        <v>0</v>
      </c>
      <c r="CF937" s="61">
        <f t="shared" si="1003"/>
        <v>0</v>
      </c>
      <c r="CG937" s="61">
        <f t="shared" si="1003"/>
        <v>0</v>
      </c>
      <c r="CH937" s="61">
        <f t="shared" si="1000"/>
        <v>0</v>
      </c>
      <c r="CI937" s="61">
        <f t="shared" si="923"/>
        <v>0</v>
      </c>
      <c r="CJ937" s="61"/>
      <c r="CK937" s="61">
        <f t="shared" si="983"/>
        <v>0</v>
      </c>
      <c r="CL937" s="61">
        <f t="shared" si="983"/>
        <v>0</v>
      </c>
      <c r="CM937" s="61">
        <f t="shared" si="983"/>
        <v>0</v>
      </c>
      <c r="CN937" s="61">
        <f t="shared" si="983"/>
        <v>0</v>
      </c>
      <c r="CO937" s="61">
        <f t="shared" si="983"/>
        <v>0</v>
      </c>
      <c r="CP937" s="61">
        <f t="shared" si="983"/>
        <v>0</v>
      </c>
      <c r="CQ937" s="61">
        <f t="shared" si="983"/>
        <v>0</v>
      </c>
      <c r="CR937" s="61">
        <f t="shared" si="898"/>
        <v>0</v>
      </c>
      <c r="CS937" s="61">
        <f t="shared" si="924"/>
        <v>0</v>
      </c>
      <c r="CT937" s="61">
        <f t="shared" si="925"/>
        <v>0</v>
      </c>
      <c r="CV937" s="61">
        <f t="shared" si="1042"/>
        <v>-40500</v>
      </c>
      <c r="CW937" s="61">
        <f t="shared" si="1043"/>
        <v>-40500</v>
      </c>
      <c r="CX937" s="61"/>
      <c r="CY937" s="61">
        <f t="shared" si="1016"/>
        <v>0</v>
      </c>
      <c r="CZ937" s="61">
        <f t="shared" si="1016"/>
        <v>0</v>
      </c>
      <c r="DA937" s="61">
        <f t="shared" si="1015"/>
        <v>0</v>
      </c>
      <c r="DB937" s="2" t="s">
        <v>85</v>
      </c>
      <c r="DC937" s="2" t="s">
        <v>85</v>
      </c>
      <c r="DD937" s="2" t="s">
        <v>142</v>
      </c>
      <c r="DE937" s="2" t="s">
        <v>264</v>
      </c>
      <c r="DG937" s="62"/>
      <c r="DZ937" s="3" t="e">
        <v>#N/A</v>
      </c>
      <c r="EC937" s="60"/>
      <c r="ED937" s="60"/>
      <c r="EE937" s="60"/>
      <c r="EF937" s="60"/>
    </row>
    <row r="938" spans="2:140" ht="12.75" hidden="1" customHeight="1">
      <c r="B938" s="99" t="s">
        <v>1501</v>
      </c>
      <c r="C938" s="22" t="s">
        <v>1502</v>
      </c>
      <c r="D938" s="22" t="s">
        <v>1503</v>
      </c>
      <c r="E938" s="2" t="s">
        <v>968</v>
      </c>
      <c r="F938" s="2" t="s">
        <v>969</v>
      </c>
      <c r="G938" s="2" t="s">
        <v>1087</v>
      </c>
      <c r="J938" s="149" t="s">
        <v>126</v>
      </c>
      <c r="K938" s="23" t="s">
        <v>711</v>
      </c>
      <c r="L938" s="149" t="s">
        <v>670</v>
      </c>
      <c r="M938" s="51" t="str">
        <f t="shared" si="963"/>
        <v>JD8B-17K823-BDW</v>
      </c>
      <c r="O938" s="94">
        <v>0</v>
      </c>
      <c r="P938" s="94">
        <v>0</v>
      </c>
      <c r="Q938" s="94">
        <v>0</v>
      </c>
      <c r="R938" s="94">
        <v>0</v>
      </c>
      <c r="S938" s="94">
        <v>0</v>
      </c>
      <c r="T938" s="94">
        <v>0</v>
      </c>
      <c r="U938" s="94">
        <v>1</v>
      </c>
      <c r="V938" s="94">
        <v>1</v>
      </c>
      <c r="W938" s="64">
        <f t="shared" si="971"/>
        <v>0.1</v>
      </c>
      <c r="Y938" s="60">
        <v>-326.98</v>
      </c>
      <c r="Z938" s="60">
        <v>-2.5499999999999998</v>
      </c>
      <c r="AA938" s="60">
        <v>-5.71</v>
      </c>
      <c r="AB938" s="60">
        <v>0</v>
      </c>
      <c r="AC938" s="60">
        <v>0</v>
      </c>
      <c r="AD938" s="8">
        <f t="shared" si="1039"/>
        <v>-335.24</v>
      </c>
      <c r="AE938" s="2" t="s">
        <v>84</v>
      </c>
      <c r="AG938" s="70"/>
      <c r="AH938" s="70"/>
      <c r="AJ938" s="70">
        <v>0</v>
      </c>
      <c r="AK938" s="70">
        <v>0</v>
      </c>
      <c r="AL938" s="72">
        <v>0</v>
      </c>
      <c r="AM938" s="22"/>
      <c r="AO938" s="22" t="s">
        <v>126</v>
      </c>
      <c r="AP938" s="23" t="s">
        <v>711</v>
      </c>
      <c r="AQ938" s="22" t="s">
        <v>215</v>
      </c>
      <c r="AR938" s="51" t="str">
        <f t="shared" si="965"/>
        <v>JD8B-17K823-BCW</v>
      </c>
      <c r="AS938" s="3"/>
      <c r="AT938" s="22">
        <v>0</v>
      </c>
      <c r="AU938" s="22">
        <v>0</v>
      </c>
      <c r="AV938" s="22">
        <v>0</v>
      </c>
      <c r="AW938" s="22">
        <v>0</v>
      </c>
      <c r="AX938" s="22">
        <v>0</v>
      </c>
      <c r="AY938" s="22">
        <v>0</v>
      </c>
      <c r="AZ938" s="22">
        <v>1</v>
      </c>
      <c r="BA938" s="22">
        <v>1</v>
      </c>
      <c r="BB938" s="64">
        <f t="shared" si="979"/>
        <v>0.1</v>
      </c>
      <c r="BD938" s="8">
        <f>-333.31*0-326.98</f>
        <v>-326.98</v>
      </c>
      <c r="BE938" s="8">
        <v>-2.5499999999999998</v>
      </c>
      <c r="BF938" s="8">
        <v>-5.71</v>
      </c>
      <c r="BG938" s="8">
        <v>0</v>
      </c>
      <c r="BH938" s="8">
        <v>0</v>
      </c>
      <c r="BI938" s="8">
        <f t="shared" si="1041"/>
        <v>-335.24</v>
      </c>
      <c r="BJ938" s="2" t="s">
        <v>91</v>
      </c>
      <c r="BL938" s="8">
        <v>0</v>
      </c>
      <c r="BM938" s="8">
        <v>0</v>
      </c>
      <c r="BO938" s="70">
        <v>0</v>
      </c>
      <c r="BP938" s="70">
        <v>0</v>
      </c>
      <c r="BQ938" s="72"/>
      <c r="BS938" s="61">
        <f t="shared" si="986"/>
        <v>0</v>
      </c>
      <c r="BT938" s="61">
        <f t="shared" si="987"/>
        <v>0</v>
      </c>
      <c r="BU938" s="61">
        <f t="shared" si="988"/>
        <v>0</v>
      </c>
      <c r="BV938" s="61">
        <f t="shared" si="988"/>
        <v>0</v>
      </c>
      <c r="BW938" s="61">
        <f t="shared" si="988"/>
        <v>0</v>
      </c>
      <c r="BX938" s="61">
        <f t="shared" si="988"/>
        <v>0</v>
      </c>
      <c r="BY938" s="61" t="s">
        <v>91</v>
      </c>
      <c r="CA938" s="61">
        <f t="shared" si="1003"/>
        <v>0</v>
      </c>
      <c r="CB938" s="61">
        <f t="shared" si="1003"/>
        <v>0</v>
      </c>
      <c r="CC938" s="61">
        <f t="shared" si="1003"/>
        <v>0</v>
      </c>
      <c r="CD938" s="61">
        <f t="shared" si="1003"/>
        <v>0</v>
      </c>
      <c r="CE938" s="61">
        <f t="shared" si="1003"/>
        <v>0</v>
      </c>
      <c r="CF938" s="61">
        <f t="shared" si="1003"/>
        <v>0</v>
      </c>
      <c r="CG938" s="61">
        <f t="shared" si="1003"/>
        <v>0</v>
      </c>
      <c r="CH938" s="61">
        <f t="shared" si="1000"/>
        <v>0</v>
      </c>
      <c r="CI938" s="61">
        <f t="shared" si="923"/>
        <v>0</v>
      </c>
      <c r="CJ938" s="61"/>
      <c r="CK938" s="61">
        <f t="shared" si="983"/>
        <v>0</v>
      </c>
      <c r="CL938" s="61">
        <f t="shared" si="983"/>
        <v>0</v>
      </c>
      <c r="CM938" s="61">
        <f t="shared" si="983"/>
        <v>0</v>
      </c>
      <c r="CN938" s="61">
        <f t="shared" si="983"/>
        <v>0</v>
      </c>
      <c r="CO938" s="61">
        <f t="shared" si="983"/>
        <v>0</v>
      </c>
      <c r="CP938" s="61">
        <f t="shared" si="983"/>
        <v>0</v>
      </c>
      <c r="CQ938" s="61">
        <f t="shared" si="983"/>
        <v>0</v>
      </c>
      <c r="CR938" s="61">
        <f t="shared" si="983"/>
        <v>0</v>
      </c>
      <c r="CS938" s="61">
        <f t="shared" si="924"/>
        <v>0</v>
      </c>
      <c r="CT938" s="61">
        <f t="shared" si="925"/>
        <v>0</v>
      </c>
      <c r="CV938" s="61">
        <f t="shared" si="1040"/>
        <v>0</v>
      </c>
      <c r="CW938" s="61">
        <f t="shared" si="1033"/>
        <v>0</v>
      </c>
      <c r="CX938" s="61"/>
      <c r="CY938" s="61">
        <f t="shared" si="1016"/>
        <v>0</v>
      </c>
      <c r="CZ938" s="61">
        <f t="shared" si="1016"/>
        <v>0</v>
      </c>
      <c r="DA938" s="61">
        <f t="shared" si="1015"/>
        <v>0</v>
      </c>
      <c r="DB938" s="2" t="s">
        <v>85</v>
      </c>
      <c r="DC938" s="2" t="s">
        <v>85</v>
      </c>
      <c r="DD938" s="2" t="s">
        <v>142</v>
      </c>
      <c r="DE938" s="2" t="s">
        <v>264</v>
      </c>
      <c r="DG938" s="62"/>
      <c r="DZ938" s="3" t="e">
        <v>#N/A</v>
      </c>
      <c r="EC938" s="60"/>
      <c r="ED938" s="60"/>
      <c r="EE938" s="60"/>
      <c r="EF938" s="60"/>
    </row>
    <row r="939" spans="2:140" ht="12.75" hidden="1" customHeight="1">
      <c r="B939" s="99" t="s">
        <v>1504</v>
      </c>
      <c r="C939" s="22" t="s">
        <v>1502</v>
      </c>
      <c r="D939" s="22" t="s">
        <v>1503</v>
      </c>
      <c r="E939" s="2" t="s">
        <v>968</v>
      </c>
      <c r="F939" s="2" t="s">
        <v>969</v>
      </c>
      <c r="G939" s="2" t="s">
        <v>1087</v>
      </c>
      <c r="J939" s="149" t="s">
        <v>126</v>
      </c>
      <c r="K939" s="23" t="s">
        <v>711</v>
      </c>
      <c r="L939" s="149" t="s">
        <v>785</v>
      </c>
      <c r="M939" s="51" t="str">
        <f t="shared" si="963"/>
        <v>JD8B-17K823-AEW</v>
      </c>
      <c r="O939" s="94">
        <v>1</v>
      </c>
      <c r="P939" s="94">
        <v>1</v>
      </c>
      <c r="Q939" s="94">
        <v>1</v>
      </c>
      <c r="R939" s="94">
        <v>1</v>
      </c>
      <c r="S939" s="94">
        <v>1</v>
      </c>
      <c r="T939" s="94">
        <v>1</v>
      </c>
      <c r="U939" s="94">
        <v>0</v>
      </c>
      <c r="V939" s="94">
        <v>0</v>
      </c>
      <c r="W939" s="64">
        <f t="shared" si="971"/>
        <v>0.9</v>
      </c>
      <c r="Y939" s="60">
        <v>-246.39</v>
      </c>
      <c r="Z939" s="60">
        <v>-2.5499999999999998</v>
      </c>
      <c r="AA939" s="60">
        <v>-5.71</v>
      </c>
      <c r="AB939" s="60">
        <v>0</v>
      </c>
      <c r="AC939" s="60">
        <v>0</v>
      </c>
      <c r="AD939" s="8">
        <f t="shared" ref="AD939:AD943" si="1044">SUM(Y939:AC939)</f>
        <v>-254.65</v>
      </c>
      <c r="AE939" s="2" t="s">
        <v>84</v>
      </c>
      <c r="AG939" s="70">
        <v>-7812500</v>
      </c>
      <c r="AH939" s="70">
        <v>-7812500</v>
      </c>
      <c r="AJ939" s="70"/>
      <c r="AK939" s="70"/>
      <c r="AL939" s="72"/>
      <c r="AM939" s="22"/>
      <c r="AO939" s="149" t="s">
        <v>126</v>
      </c>
      <c r="AP939" s="23" t="s">
        <v>711</v>
      </c>
      <c r="AQ939" s="149" t="s">
        <v>267</v>
      </c>
      <c r="AR939" s="51" t="str">
        <f t="shared" si="965"/>
        <v>JD8B-17K823-ADW</v>
      </c>
      <c r="AS939" s="3"/>
      <c r="AT939" s="94">
        <v>1</v>
      </c>
      <c r="AU939" s="94">
        <v>1</v>
      </c>
      <c r="AV939" s="94">
        <v>1</v>
      </c>
      <c r="AW939" s="94">
        <v>1</v>
      </c>
      <c r="AX939" s="94">
        <v>1</v>
      </c>
      <c r="AY939" s="94">
        <v>1</v>
      </c>
      <c r="AZ939" s="94">
        <v>0</v>
      </c>
      <c r="BA939" s="94">
        <v>0</v>
      </c>
      <c r="BB939" s="64">
        <f t="shared" si="979"/>
        <v>0.9</v>
      </c>
      <c r="BD939" s="60">
        <v>-246.39</v>
      </c>
      <c r="BE939" s="60">
        <v>-2.5499999999999998</v>
      </c>
      <c r="BF939" s="60">
        <v>-5.71</v>
      </c>
      <c r="BG939" s="60">
        <v>0</v>
      </c>
      <c r="BH939" s="60">
        <v>0</v>
      </c>
      <c r="BI939" s="8">
        <f t="shared" ref="BI939:BI943" si="1045">SUM(BD939:BH939)</f>
        <v>-254.65</v>
      </c>
      <c r="BJ939" s="2" t="s">
        <v>84</v>
      </c>
      <c r="BL939" s="70">
        <v>-7777500</v>
      </c>
      <c r="BM939" s="70">
        <v>-7777500</v>
      </c>
      <c r="BO939" s="70"/>
      <c r="BP939" s="70"/>
      <c r="BQ939" s="72"/>
      <c r="BS939" s="61">
        <f t="shared" si="986"/>
        <v>0</v>
      </c>
      <c r="BT939" s="61">
        <f t="shared" si="987"/>
        <v>0</v>
      </c>
      <c r="BU939" s="61">
        <f t="shared" si="988"/>
        <v>0</v>
      </c>
      <c r="BV939" s="61">
        <f t="shared" si="988"/>
        <v>0</v>
      </c>
      <c r="BW939" s="61">
        <f t="shared" si="988"/>
        <v>0</v>
      </c>
      <c r="BX939" s="61">
        <f t="shared" si="988"/>
        <v>0</v>
      </c>
      <c r="BY939" s="61" t="s">
        <v>91</v>
      </c>
      <c r="CA939" s="61">
        <f t="shared" si="1003"/>
        <v>0</v>
      </c>
      <c r="CB939" s="61">
        <f t="shared" si="1003"/>
        <v>0</v>
      </c>
      <c r="CC939" s="61">
        <f t="shared" si="1003"/>
        <v>0</v>
      </c>
      <c r="CD939" s="61">
        <f t="shared" si="1003"/>
        <v>0</v>
      </c>
      <c r="CE939" s="61">
        <f t="shared" si="1003"/>
        <v>0</v>
      </c>
      <c r="CF939" s="61">
        <f t="shared" si="1003"/>
        <v>0</v>
      </c>
      <c r="CG939" s="61">
        <f t="shared" si="1003"/>
        <v>0</v>
      </c>
      <c r="CH939" s="61">
        <f t="shared" si="1000"/>
        <v>0</v>
      </c>
      <c r="CI939" s="61">
        <f t="shared" si="923"/>
        <v>0</v>
      </c>
      <c r="CJ939" s="61"/>
      <c r="CK939" s="61">
        <f t="shared" ref="CK939:CR969" si="1046">(O939*$AD939-AT939*$BI939)/$C$2</f>
        <v>0</v>
      </c>
      <c r="CL939" s="61">
        <f t="shared" si="1046"/>
        <v>0</v>
      </c>
      <c r="CM939" s="61">
        <f t="shared" si="1046"/>
        <v>0</v>
      </c>
      <c r="CN939" s="61">
        <f t="shared" si="1046"/>
        <v>0</v>
      </c>
      <c r="CO939" s="61">
        <f t="shared" si="1046"/>
        <v>0</v>
      </c>
      <c r="CP939" s="61">
        <f t="shared" si="1046"/>
        <v>0</v>
      </c>
      <c r="CQ939" s="61">
        <f t="shared" si="1046"/>
        <v>0</v>
      </c>
      <c r="CR939" s="61">
        <f t="shared" si="1046"/>
        <v>0</v>
      </c>
      <c r="CS939" s="61">
        <f t="shared" si="924"/>
        <v>0</v>
      </c>
      <c r="CT939" s="61">
        <f t="shared" si="925"/>
        <v>0</v>
      </c>
      <c r="CV939" s="61">
        <f t="shared" ref="CV939:CV943" si="1047">SUM(AG939)-SUM(BL939)</f>
        <v>-35000</v>
      </c>
      <c r="CW939" s="61">
        <f t="shared" ref="CW939:CW943" si="1048">SUM(AH939)-SUM(BM939)</f>
        <v>-35000</v>
      </c>
      <c r="CX939" s="61"/>
      <c r="CY939" s="61">
        <f t="shared" ref="CY939:DA954" si="1049">SUM(AJ939)-SUM(BO939)</f>
        <v>0</v>
      </c>
      <c r="CZ939" s="61">
        <f t="shared" si="1049"/>
        <v>0</v>
      </c>
      <c r="DA939" s="61">
        <f t="shared" si="1015"/>
        <v>0</v>
      </c>
      <c r="DB939" s="2" t="s">
        <v>85</v>
      </c>
      <c r="DC939" s="2" t="s">
        <v>85</v>
      </c>
      <c r="DD939" s="2" t="s">
        <v>142</v>
      </c>
      <c r="DE939" s="2" t="s">
        <v>264</v>
      </c>
      <c r="DG939" s="62"/>
      <c r="DZ939" s="3" t="e">
        <v>#N/A</v>
      </c>
      <c r="EC939" s="60"/>
      <c r="ED939" s="60"/>
      <c r="EE939" s="60"/>
      <c r="EF939" s="60"/>
    </row>
    <row r="940" spans="2:140" ht="12.75" hidden="1" customHeight="1">
      <c r="B940" s="99" t="s">
        <v>636</v>
      </c>
      <c r="C940" s="22" t="s">
        <v>1502</v>
      </c>
      <c r="D940" s="22" t="s">
        <v>1503</v>
      </c>
      <c r="E940" s="2" t="s">
        <v>968</v>
      </c>
      <c r="F940" s="2" t="s">
        <v>969</v>
      </c>
      <c r="G940" s="2" t="s">
        <v>1087</v>
      </c>
      <c r="J940" s="149" t="s">
        <v>126</v>
      </c>
      <c r="K940" s="23" t="s">
        <v>711</v>
      </c>
      <c r="L940" s="149" t="s">
        <v>1334</v>
      </c>
      <c r="M940" s="51" t="str">
        <f t="shared" si="963"/>
        <v>JD8B-17K823-AFW</v>
      </c>
      <c r="O940" s="94">
        <v>1</v>
      </c>
      <c r="P940" s="94">
        <v>1</v>
      </c>
      <c r="Q940" s="94">
        <v>1</v>
      </c>
      <c r="R940" s="94">
        <v>1</v>
      </c>
      <c r="S940" s="94">
        <v>1</v>
      </c>
      <c r="T940" s="94">
        <v>1</v>
      </c>
      <c r="U940" s="94">
        <v>0</v>
      </c>
      <c r="V940" s="94">
        <v>0</v>
      </c>
      <c r="W940" s="64">
        <f t="shared" si="971"/>
        <v>0.9</v>
      </c>
      <c r="Y940" s="60">
        <v>-246.39</v>
      </c>
      <c r="Z940" s="60">
        <v>-2.5499999999999998</v>
      </c>
      <c r="AA940" s="60">
        <v>-5.71</v>
      </c>
      <c r="AB940" s="60">
        <v>0</v>
      </c>
      <c r="AC940" s="60">
        <v>0</v>
      </c>
      <c r="AD940" s="8">
        <f t="shared" ref="AD940:AD941" si="1050">SUM(Y940:AC940)</f>
        <v>-254.65</v>
      </c>
      <c r="AE940" s="2" t="s">
        <v>84</v>
      </c>
      <c r="AG940" s="70">
        <f>-7812500-80000</f>
        <v>-7892500</v>
      </c>
      <c r="AH940" s="70">
        <f>-7812500-80000</f>
        <v>-7892500</v>
      </c>
      <c r="AJ940" s="70"/>
      <c r="AK940" s="70"/>
      <c r="AL940" s="72"/>
      <c r="AM940" s="22"/>
      <c r="AO940" s="149" t="s">
        <v>126</v>
      </c>
      <c r="AP940" s="23" t="s">
        <v>711</v>
      </c>
      <c r="AQ940" s="149" t="s">
        <v>785</v>
      </c>
      <c r="AR940" s="51" t="str">
        <f t="shared" si="965"/>
        <v>JD8B-17K823-AEW</v>
      </c>
      <c r="AS940" s="3"/>
      <c r="AT940" s="94">
        <v>1</v>
      </c>
      <c r="AU940" s="94">
        <v>1</v>
      </c>
      <c r="AV940" s="94">
        <v>1</v>
      </c>
      <c r="AW940" s="94">
        <v>1</v>
      </c>
      <c r="AX940" s="94">
        <v>1</v>
      </c>
      <c r="AY940" s="94">
        <v>1</v>
      </c>
      <c r="AZ940" s="94">
        <v>0</v>
      </c>
      <c r="BA940" s="94">
        <v>0</v>
      </c>
      <c r="BB940" s="64">
        <f t="shared" si="979"/>
        <v>0.9</v>
      </c>
      <c r="BD940" s="60">
        <v>-246.39</v>
      </c>
      <c r="BE940" s="60">
        <v>-2.5499999999999998</v>
      </c>
      <c r="BF940" s="60">
        <v>-5.71</v>
      </c>
      <c r="BG940" s="60">
        <v>0</v>
      </c>
      <c r="BH940" s="60">
        <v>0</v>
      </c>
      <c r="BI940" s="8">
        <f t="shared" ref="BI940:BI941" si="1051">SUM(BD940:BH940)</f>
        <v>-254.65</v>
      </c>
      <c r="BJ940" s="2" t="s">
        <v>84</v>
      </c>
      <c r="BL940" s="70">
        <v>-7812500</v>
      </c>
      <c r="BM940" s="70">
        <v>-7812500</v>
      </c>
      <c r="BO940" s="70"/>
      <c r="BP940" s="70"/>
      <c r="BQ940" s="72"/>
      <c r="BS940" s="61">
        <f t="shared" ref="BS940:BS969" si="1052">SUM(Y940)-SUM(BD940)</f>
        <v>0</v>
      </c>
      <c r="BT940" s="61">
        <f t="shared" ref="BT940:BT969" si="1053">SUM(Z940)-SUM(BE940)</f>
        <v>0</v>
      </c>
      <c r="BU940" s="61">
        <f t="shared" ref="BU940:BX969" si="1054">SUM(AA940)-SUM(BF940)</f>
        <v>0</v>
      </c>
      <c r="BV940" s="61">
        <f t="shared" si="1054"/>
        <v>0</v>
      </c>
      <c r="BW940" s="61">
        <f t="shared" si="1054"/>
        <v>0</v>
      </c>
      <c r="BX940" s="61">
        <f t="shared" si="1054"/>
        <v>0</v>
      </c>
      <c r="BY940" s="61" t="s">
        <v>91</v>
      </c>
      <c r="CA940" s="61">
        <f t="shared" si="1003"/>
        <v>0</v>
      </c>
      <c r="CB940" s="61">
        <f t="shared" si="1003"/>
        <v>0</v>
      </c>
      <c r="CC940" s="61">
        <f t="shared" si="1003"/>
        <v>0</v>
      </c>
      <c r="CD940" s="61">
        <f t="shared" si="1003"/>
        <v>0</v>
      </c>
      <c r="CE940" s="61">
        <f t="shared" si="1003"/>
        <v>0</v>
      </c>
      <c r="CF940" s="61">
        <f t="shared" si="1003"/>
        <v>0</v>
      </c>
      <c r="CG940" s="61">
        <f t="shared" si="1003"/>
        <v>0</v>
      </c>
      <c r="CH940" s="61">
        <f t="shared" si="1000"/>
        <v>0</v>
      </c>
      <c r="CI940" s="61">
        <f t="shared" si="923"/>
        <v>0</v>
      </c>
      <c r="CJ940" s="61"/>
      <c r="CK940" s="61">
        <f t="shared" si="1046"/>
        <v>0</v>
      </c>
      <c r="CL940" s="61">
        <f t="shared" si="1046"/>
        <v>0</v>
      </c>
      <c r="CM940" s="61">
        <f t="shared" si="1046"/>
        <v>0</v>
      </c>
      <c r="CN940" s="61">
        <f t="shared" si="1046"/>
        <v>0</v>
      </c>
      <c r="CO940" s="61">
        <f t="shared" si="1046"/>
        <v>0</v>
      </c>
      <c r="CP940" s="61">
        <f t="shared" si="1046"/>
        <v>0</v>
      </c>
      <c r="CQ940" s="61">
        <f t="shared" si="1046"/>
        <v>0</v>
      </c>
      <c r="CR940" s="61">
        <f t="shared" si="1046"/>
        <v>0</v>
      </c>
      <c r="CS940" s="61">
        <f t="shared" si="924"/>
        <v>0</v>
      </c>
      <c r="CT940" s="61">
        <f t="shared" si="925"/>
        <v>0</v>
      </c>
      <c r="CV940" s="61">
        <f t="shared" ref="CV940:CW941" si="1055">SUM(AG940)-SUM(BL940)</f>
        <v>-80000</v>
      </c>
      <c r="CW940" s="61">
        <f t="shared" si="1055"/>
        <v>-80000</v>
      </c>
      <c r="CX940" s="61"/>
      <c r="CY940" s="61">
        <f t="shared" si="1049"/>
        <v>0</v>
      </c>
      <c r="CZ940" s="61">
        <f t="shared" si="1049"/>
        <v>0</v>
      </c>
      <c r="DA940" s="61">
        <f t="shared" si="1015"/>
        <v>0</v>
      </c>
      <c r="DB940" s="2" t="s">
        <v>85</v>
      </c>
      <c r="DC940" s="2" t="s">
        <v>85</v>
      </c>
      <c r="DD940" s="2" t="s">
        <v>142</v>
      </c>
      <c r="DE940" s="2" t="s">
        <v>106</v>
      </c>
      <c r="DF940" s="3" t="s">
        <v>86</v>
      </c>
      <c r="DG940" s="62">
        <v>43097</v>
      </c>
      <c r="EC940" s="60"/>
      <c r="ED940" s="60"/>
      <c r="EE940" s="60"/>
      <c r="EF940" s="60"/>
    </row>
    <row r="941" spans="2:140" ht="12.75" hidden="1" customHeight="1">
      <c r="B941" s="99" t="s">
        <v>1504</v>
      </c>
      <c r="C941" s="22" t="s">
        <v>1502</v>
      </c>
      <c r="D941" s="22" t="s">
        <v>1503</v>
      </c>
      <c r="E941" s="2" t="s">
        <v>968</v>
      </c>
      <c r="F941" s="2" t="s">
        <v>969</v>
      </c>
      <c r="G941" s="2" t="s">
        <v>1087</v>
      </c>
      <c r="J941" s="149" t="s">
        <v>126</v>
      </c>
      <c r="K941" s="23" t="s">
        <v>711</v>
      </c>
      <c r="L941" s="149" t="s">
        <v>1505</v>
      </c>
      <c r="M941" s="51" t="str">
        <f t="shared" si="963"/>
        <v>JD8B-17K823-BEW</v>
      </c>
      <c r="O941" s="94">
        <v>0</v>
      </c>
      <c r="P941" s="94">
        <v>0</v>
      </c>
      <c r="Q941" s="94">
        <v>0</v>
      </c>
      <c r="R941" s="94">
        <v>0</v>
      </c>
      <c r="S941" s="94">
        <v>0</v>
      </c>
      <c r="T941" s="94">
        <v>0</v>
      </c>
      <c r="U941" s="94">
        <v>1</v>
      </c>
      <c r="V941" s="94">
        <v>1</v>
      </c>
      <c r="W941" s="64">
        <f t="shared" si="971"/>
        <v>0.1</v>
      </c>
      <c r="Y941" s="60">
        <v>-326.98</v>
      </c>
      <c r="Z941" s="60">
        <v>-2.5499999999999998</v>
      </c>
      <c r="AA941" s="60">
        <v>-5.71</v>
      </c>
      <c r="AB941" s="60">
        <v>0</v>
      </c>
      <c r="AC941" s="60">
        <v>0</v>
      </c>
      <c r="AD941" s="8">
        <f t="shared" si="1050"/>
        <v>-335.24</v>
      </c>
      <c r="AE941" s="2" t="s">
        <v>84</v>
      </c>
      <c r="AG941" s="70"/>
      <c r="AH941" s="70"/>
      <c r="AJ941" s="70"/>
      <c r="AK941" s="70"/>
      <c r="AL941" s="72"/>
      <c r="AM941" s="22"/>
      <c r="AO941" s="149" t="s">
        <v>126</v>
      </c>
      <c r="AP941" s="23" t="s">
        <v>711</v>
      </c>
      <c r="AQ941" s="149" t="s">
        <v>670</v>
      </c>
      <c r="AR941" s="51" t="str">
        <f t="shared" si="965"/>
        <v>JD8B-17K823-BDW</v>
      </c>
      <c r="AS941" s="3"/>
      <c r="AT941" s="94">
        <v>0</v>
      </c>
      <c r="AU941" s="94">
        <v>0</v>
      </c>
      <c r="AV941" s="94">
        <v>0</v>
      </c>
      <c r="AW941" s="94">
        <v>0</v>
      </c>
      <c r="AX941" s="94">
        <v>0</v>
      </c>
      <c r="AY941" s="94">
        <v>0</v>
      </c>
      <c r="AZ941" s="94">
        <v>1</v>
      </c>
      <c r="BA941" s="94">
        <v>1</v>
      </c>
      <c r="BB941" s="64">
        <f t="shared" si="979"/>
        <v>0.1</v>
      </c>
      <c r="BD941" s="60">
        <v>-326.98</v>
      </c>
      <c r="BE941" s="60">
        <v>-2.5499999999999998</v>
      </c>
      <c r="BF941" s="60">
        <v>-5.71</v>
      </c>
      <c r="BG941" s="60">
        <v>0</v>
      </c>
      <c r="BH941" s="60">
        <v>0</v>
      </c>
      <c r="BI941" s="8">
        <f t="shared" si="1051"/>
        <v>-335.24</v>
      </c>
      <c r="BJ941" s="2" t="s">
        <v>84</v>
      </c>
      <c r="BL941" s="70"/>
      <c r="BM941" s="70"/>
      <c r="BO941" s="70"/>
      <c r="BP941" s="70"/>
      <c r="BQ941" s="72"/>
      <c r="BS941" s="61">
        <f t="shared" si="1052"/>
        <v>0</v>
      </c>
      <c r="BT941" s="61">
        <f t="shared" si="1053"/>
        <v>0</v>
      </c>
      <c r="BU941" s="61">
        <f t="shared" si="1054"/>
        <v>0</v>
      </c>
      <c r="BV941" s="61">
        <f t="shared" si="1054"/>
        <v>0</v>
      </c>
      <c r="BW941" s="61">
        <f t="shared" si="1054"/>
        <v>0</v>
      </c>
      <c r="BX941" s="61">
        <f t="shared" si="1054"/>
        <v>0</v>
      </c>
      <c r="BY941" s="61" t="s">
        <v>91</v>
      </c>
      <c r="CA941" s="61">
        <f t="shared" si="1003"/>
        <v>0</v>
      </c>
      <c r="CB941" s="61">
        <f t="shared" si="1003"/>
        <v>0</v>
      </c>
      <c r="CC941" s="61">
        <f t="shared" si="1003"/>
        <v>0</v>
      </c>
      <c r="CD941" s="61">
        <f t="shared" si="1003"/>
        <v>0</v>
      </c>
      <c r="CE941" s="61">
        <f t="shared" si="1003"/>
        <v>0</v>
      </c>
      <c r="CF941" s="61">
        <f t="shared" si="1003"/>
        <v>0</v>
      </c>
      <c r="CG941" s="61">
        <f t="shared" si="1003"/>
        <v>0</v>
      </c>
      <c r="CH941" s="61">
        <f t="shared" si="1000"/>
        <v>0</v>
      </c>
      <c r="CI941" s="61">
        <f t="shared" si="923"/>
        <v>0</v>
      </c>
      <c r="CJ941" s="61"/>
      <c r="CK941" s="61">
        <f t="shared" si="1046"/>
        <v>0</v>
      </c>
      <c r="CL941" s="61">
        <f t="shared" si="1046"/>
        <v>0</v>
      </c>
      <c r="CM941" s="61">
        <f t="shared" si="1046"/>
        <v>0</v>
      </c>
      <c r="CN941" s="61">
        <f t="shared" si="1046"/>
        <v>0</v>
      </c>
      <c r="CO941" s="61">
        <f t="shared" si="1046"/>
        <v>0</v>
      </c>
      <c r="CP941" s="61">
        <f t="shared" si="1046"/>
        <v>0</v>
      </c>
      <c r="CQ941" s="61">
        <f t="shared" si="1046"/>
        <v>0</v>
      </c>
      <c r="CR941" s="61">
        <f t="shared" si="1046"/>
        <v>0</v>
      </c>
      <c r="CS941" s="61">
        <f t="shared" si="924"/>
        <v>0</v>
      </c>
      <c r="CT941" s="61">
        <f t="shared" si="925"/>
        <v>0</v>
      </c>
      <c r="CV941" s="61">
        <f t="shared" si="1055"/>
        <v>0</v>
      </c>
      <c r="CW941" s="61">
        <f t="shared" si="1055"/>
        <v>0</v>
      </c>
      <c r="CX941" s="61"/>
      <c r="CY941" s="61">
        <f t="shared" si="1049"/>
        <v>0</v>
      </c>
      <c r="CZ941" s="61">
        <f t="shared" si="1049"/>
        <v>0</v>
      </c>
      <c r="DA941" s="61">
        <f t="shared" si="1015"/>
        <v>0</v>
      </c>
      <c r="DB941" s="2" t="s">
        <v>85</v>
      </c>
      <c r="DC941" s="2" t="s">
        <v>85</v>
      </c>
      <c r="DD941" s="2" t="s">
        <v>142</v>
      </c>
      <c r="DE941" s="2" t="s">
        <v>264</v>
      </c>
      <c r="DF941" s="3" t="s">
        <v>86</v>
      </c>
      <c r="DG941" s="62">
        <v>43042</v>
      </c>
      <c r="EC941" s="60"/>
      <c r="ED941" s="60"/>
      <c r="EE941" s="60"/>
      <c r="EF941" s="60"/>
    </row>
    <row r="942" spans="2:140" ht="12.75" hidden="1" customHeight="1">
      <c r="B942" s="99" t="s">
        <v>636</v>
      </c>
      <c r="C942" s="22" t="s">
        <v>1502</v>
      </c>
      <c r="D942" s="22" t="s">
        <v>1503</v>
      </c>
      <c r="E942" s="2" t="s">
        <v>968</v>
      </c>
      <c r="F942" s="2" t="s">
        <v>969</v>
      </c>
      <c r="G942" s="2" t="s">
        <v>1087</v>
      </c>
      <c r="J942" s="149" t="s">
        <v>126</v>
      </c>
      <c r="K942" s="23" t="s">
        <v>711</v>
      </c>
      <c r="L942" s="149" t="s">
        <v>1335</v>
      </c>
      <c r="M942" s="51" t="str">
        <f t="shared" si="963"/>
        <v>JD8B-17K823-BFW</v>
      </c>
      <c r="O942" s="94">
        <v>0</v>
      </c>
      <c r="P942" s="94">
        <v>0</v>
      </c>
      <c r="Q942" s="94">
        <v>0</v>
      </c>
      <c r="R942" s="94">
        <v>0</v>
      </c>
      <c r="S942" s="94">
        <v>0</v>
      </c>
      <c r="T942" s="94">
        <v>0</v>
      </c>
      <c r="U942" s="94">
        <v>1</v>
      </c>
      <c r="V942" s="94">
        <v>1</v>
      </c>
      <c r="W942" s="64">
        <f t="shared" si="971"/>
        <v>0.1</v>
      </c>
      <c r="Y942" s="60">
        <v>-326.98</v>
      </c>
      <c r="Z942" s="60">
        <v>-2.5499999999999998</v>
      </c>
      <c r="AA942" s="60">
        <v>-5.71</v>
      </c>
      <c r="AB942" s="60">
        <v>0</v>
      </c>
      <c r="AC942" s="60">
        <v>0</v>
      </c>
      <c r="AD942" s="8">
        <f t="shared" si="1044"/>
        <v>-335.24</v>
      </c>
      <c r="AE942" s="2" t="s">
        <v>84</v>
      </c>
      <c r="AG942" s="70"/>
      <c r="AH942" s="70"/>
      <c r="AJ942" s="70"/>
      <c r="AK942" s="70"/>
      <c r="AL942" s="72"/>
      <c r="AM942" s="22"/>
      <c r="AO942" s="149" t="s">
        <v>126</v>
      </c>
      <c r="AP942" s="23" t="s">
        <v>711</v>
      </c>
      <c r="AQ942" s="149" t="s">
        <v>1505</v>
      </c>
      <c r="AR942" s="51" t="str">
        <f t="shared" si="965"/>
        <v>JD8B-17K823-BEW</v>
      </c>
      <c r="AS942" s="3"/>
      <c r="AT942" s="94">
        <v>0</v>
      </c>
      <c r="AU942" s="94">
        <v>0</v>
      </c>
      <c r="AV942" s="94">
        <v>0</v>
      </c>
      <c r="AW942" s="94">
        <v>0</v>
      </c>
      <c r="AX942" s="94">
        <v>0</v>
      </c>
      <c r="AY942" s="94">
        <v>0</v>
      </c>
      <c r="AZ942" s="94">
        <v>1</v>
      </c>
      <c r="BA942" s="94">
        <v>1</v>
      </c>
      <c r="BB942" s="64">
        <f t="shared" si="979"/>
        <v>0.1</v>
      </c>
      <c r="BD942" s="60">
        <v>-326.98</v>
      </c>
      <c r="BE942" s="60">
        <v>-2.5499999999999998</v>
      </c>
      <c r="BF942" s="60">
        <v>-5.71</v>
      </c>
      <c r="BG942" s="60">
        <v>0</v>
      </c>
      <c r="BH942" s="60">
        <v>0</v>
      </c>
      <c r="BI942" s="8">
        <f t="shared" si="1045"/>
        <v>-335.24</v>
      </c>
      <c r="BJ942" s="2" t="s">
        <v>84</v>
      </c>
      <c r="BL942" s="70"/>
      <c r="BM942" s="70"/>
      <c r="BO942" s="70"/>
      <c r="BP942" s="70"/>
      <c r="BQ942" s="72"/>
      <c r="BS942" s="61">
        <f t="shared" si="1052"/>
        <v>0</v>
      </c>
      <c r="BT942" s="61">
        <f t="shared" si="1053"/>
        <v>0</v>
      </c>
      <c r="BU942" s="61">
        <f t="shared" si="1054"/>
        <v>0</v>
      </c>
      <c r="BV942" s="61">
        <f t="shared" si="1054"/>
        <v>0</v>
      </c>
      <c r="BW942" s="61">
        <f t="shared" si="1054"/>
        <v>0</v>
      </c>
      <c r="BX942" s="61">
        <f t="shared" si="1054"/>
        <v>0</v>
      </c>
      <c r="BY942" s="61" t="s">
        <v>91</v>
      </c>
      <c r="CA942" s="61">
        <f t="shared" si="1003"/>
        <v>0</v>
      </c>
      <c r="CB942" s="61">
        <f t="shared" si="1003"/>
        <v>0</v>
      </c>
      <c r="CC942" s="61">
        <f t="shared" si="1003"/>
        <v>0</v>
      </c>
      <c r="CD942" s="61">
        <f t="shared" si="1003"/>
        <v>0</v>
      </c>
      <c r="CE942" s="61">
        <f t="shared" si="1003"/>
        <v>0</v>
      </c>
      <c r="CF942" s="61">
        <f t="shared" si="1003"/>
        <v>0</v>
      </c>
      <c r="CG942" s="61">
        <f t="shared" si="1003"/>
        <v>0</v>
      </c>
      <c r="CH942" s="61">
        <f t="shared" si="1000"/>
        <v>0</v>
      </c>
      <c r="CI942" s="61">
        <f t="shared" si="923"/>
        <v>0</v>
      </c>
      <c r="CJ942" s="61"/>
      <c r="CK942" s="61">
        <f t="shared" si="1046"/>
        <v>0</v>
      </c>
      <c r="CL942" s="61">
        <f t="shared" si="1046"/>
        <v>0</v>
      </c>
      <c r="CM942" s="61">
        <f t="shared" si="1046"/>
        <v>0</v>
      </c>
      <c r="CN942" s="61">
        <f t="shared" si="1046"/>
        <v>0</v>
      </c>
      <c r="CO942" s="61">
        <f t="shared" si="1046"/>
        <v>0</v>
      </c>
      <c r="CP942" s="61">
        <f t="shared" si="1046"/>
        <v>0</v>
      </c>
      <c r="CQ942" s="61">
        <f t="shared" si="1046"/>
        <v>0</v>
      </c>
      <c r="CR942" s="61">
        <f t="shared" si="1046"/>
        <v>0</v>
      </c>
      <c r="CS942" s="61">
        <f t="shared" si="924"/>
        <v>0</v>
      </c>
      <c r="CT942" s="61">
        <f t="shared" si="925"/>
        <v>0</v>
      </c>
      <c r="CV942" s="61">
        <f t="shared" si="1047"/>
        <v>0</v>
      </c>
      <c r="CW942" s="61">
        <f t="shared" si="1048"/>
        <v>0</v>
      </c>
      <c r="CX942" s="61"/>
      <c r="CY942" s="61">
        <f t="shared" si="1049"/>
        <v>0</v>
      </c>
      <c r="CZ942" s="61">
        <f t="shared" si="1049"/>
        <v>0</v>
      </c>
      <c r="DA942" s="61">
        <f t="shared" si="1015"/>
        <v>0</v>
      </c>
      <c r="DB942" s="2" t="s">
        <v>85</v>
      </c>
      <c r="DC942" s="2" t="s">
        <v>85</v>
      </c>
      <c r="DD942" s="2" t="s">
        <v>142</v>
      </c>
      <c r="DE942" s="2" t="s">
        <v>106</v>
      </c>
      <c r="DF942" s="3" t="s">
        <v>86</v>
      </c>
      <c r="DG942" s="62">
        <v>43097</v>
      </c>
      <c r="EC942" s="60"/>
      <c r="ED942" s="60"/>
      <c r="EE942" s="60"/>
      <c r="EF942" s="60"/>
    </row>
    <row r="943" spans="2:140" ht="12.75" hidden="1" customHeight="1">
      <c r="B943" s="99" t="s">
        <v>1506</v>
      </c>
      <c r="C943" s="22" t="s">
        <v>1502</v>
      </c>
      <c r="D943" s="22" t="s">
        <v>1503</v>
      </c>
      <c r="E943" s="2" t="s">
        <v>968</v>
      </c>
      <c r="F943" s="2" t="s">
        <v>969</v>
      </c>
      <c r="G943" s="2" t="s">
        <v>1087</v>
      </c>
      <c r="J943" s="149" t="s">
        <v>126</v>
      </c>
      <c r="K943" s="23" t="s">
        <v>711</v>
      </c>
      <c r="L943" s="149" t="s">
        <v>1338</v>
      </c>
      <c r="M943" s="51" t="str">
        <f t="shared" si="963"/>
        <v>JD8B-17K823-AGW</v>
      </c>
      <c r="O943" s="94">
        <v>1</v>
      </c>
      <c r="P943" s="94">
        <v>1</v>
      </c>
      <c r="Q943" s="94">
        <v>1</v>
      </c>
      <c r="R943" s="94">
        <v>1</v>
      </c>
      <c r="S943" s="94">
        <v>1</v>
      </c>
      <c r="T943" s="94">
        <v>1</v>
      </c>
      <c r="U943" s="94">
        <v>0</v>
      </c>
      <c r="V943" s="94">
        <v>0</v>
      </c>
      <c r="W943" s="64">
        <f t="shared" si="971"/>
        <v>0.9</v>
      </c>
      <c r="Y943" s="60">
        <v>-246.39</v>
      </c>
      <c r="Z943" s="60">
        <v>-2.5499999999999998</v>
      </c>
      <c r="AA943" s="60">
        <v>-5.71</v>
      </c>
      <c r="AB943" s="60">
        <v>0</v>
      </c>
      <c r="AC943" s="60">
        <v>0</v>
      </c>
      <c r="AD943" s="8">
        <f t="shared" si="1044"/>
        <v>-254.65</v>
      </c>
      <c r="AE943" s="2" t="s">
        <v>84</v>
      </c>
      <c r="AG943" s="70">
        <f>-7812500-80000-36000</f>
        <v>-7928500</v>
      </c>
      <c r="AH943" s="70">
        <f>-7812500-80000-36000</f>
        <v>-7928500</v>
      </c>
      <c r="AJ943" s="70"/>
      <c r="AK943" s="70"/>
      <c r="AL943" s="72"/>
      <c r="AM943" s="22"/>
      <c r="AO943" s="149" t="s">
        <v>126</v>
      </c>
      <c r="AP943" s="23" t="s">
        <v>711</v>
      </c>
      <c r="AQ943" s="149" t="s">
        <v>1334</v>
      </c>
      <c r="AR943" s="51" t="str">
        <f t="shared" si="965"/>
        <v>JD8B-17K823-AFW</v>
      </c>
      <c r="AS943" s="3"/>
      <c r="AT943" s="94">
        <v>1</v>
      </c>
      <c r="AU943" s="94">
        <v>1</v>
      </c>
      <c r="AV943" s="94">
        <v>1</v>
      </c>
      <c r="AW943" s="94">
        <v>1</v>
      </c>
      <c r="AX943" s="94">
        <v>1</v>
      </c>
      <c r="AY943" s="94">
        <v>1</v>
      </c>
      <c r="AZ943" s="94">
        <v>0</v>
      </c>
      <c r="BA943" s="94">
        <v>0</v>
      </c>
      <c r="BB943" s="64">
        <f t="shared" si="979"/>
        <v>0.9</v>
      </c>
      <c r="BD943" s="60">
        <v>-246.39</v>
      </c>
      <c r="BE943" s="60">
        <v>-2.5499999999999998</v>
      </c>
      <c r="BF943" s="60">
        <v>-5.71</v>
      </c>
      <c r="BG943" s="60">
        <v>0</v>
      </c>
      <c r="BH943" s="60">
        <v>0</v>
      </c>
      <c r="BI943" s="8">
        <f t="shared" si="1045"/>
        <v>-254.65</v>
      </c>
      <c r="BJ943" s="2" t="s">
        <v>84</v>
      </c>
      <c r="BL943" s="70">
        <f>-7812500-80000</f>
        <v>-7892500</v>
      </c>
      <c r="BM943" s="70">
        <f>-7812500-80000</f>
        <v>-7892500</v>
      </c>
      <c r="BO943" s="70"/>
      <c r="BP943" s="70"/>
      <c r="BQ943" s="72"/>
      <c r="BS943" s="61">
        <f t="shared" si="1052"/>
        <v>0</v>
      </c>
      <c r="BT943" s="61">
        <f t="shared" si="1053"/>
        <v>0</v>
      </c>
      <c r="BU943" s="61">
        <f t="shared" si="1054"/>
        <v>0</v>
      </c>
      <c r="BV943" s="61">
        <f t="shared" si="1054"/>
        <v>0</v>
      </c>
      <c r="BW943" s="61">
        <f t="shared" si="1054"/>
        <v>0</v>
      </c>
      <c r="BX943" s="61">
        <f t="shared" si="1054"/>
        <v>0</v>
      </c>
      <c r="BY943" s="61" t="s">
        <v>91</v>
      </c>
      <c r="CA943" s="61">
        <f t="shared" si="1003"/>
        <v>0</v>
      </c>
      <c r="CB943" s="61">
        <f t="shared" si="1003"/>
        <v>0</v>
      </c>
      <c r="CC943" s="61">
        <f t="shared" si="1003"/>
        <v>0</v>
      </c>
      <c r="CD943" s="61">
        <f t="shared" si="1003"/>
        <v>0</v>
      </c>
      <c r="CE943" s="61">
        <f t="shared" si="1003"/>
        <v>0</v>
      </c>
      <c r="CF943" s="61">
        <f t="shared" si="1003"/>
        <v>0</v>
      </c>
      <c r="CG943" s="61">
        <f t="shared" si="1003"/>
        <v>0</v>
      </c>
      <c r="CH943" s="61">
        <f t="shared" si="1000"/>
        <v>0</v>
      </c>
      <c r="CI943" s="61">
        <f t="shared" si="923"/>
        <v>0</v>
      </c>
      <c r="CJ943" s="61"/>
      <c r="CK943" s="61">
        <f t="shared" si="1046"/>
        <v>0</v>
      </c>
      <c r="CL943" s="61">
        <f t="shared" si="1046"/>
        <v>0</v>
      </c>
      <c r="CM943" s="61">
        <f t="shared" si="1046"/>
        <v>0</v>
      </c>
      <c r="CN943" s="61">
        <f t="shared" si="1046"/>
        <v>0</v>
      </c>
      <c r="CO943" s="61">
        <f t="shared" si="1046"/>
        <v>0</v>
      </c>
      <c r="CP943" s="61">
        <f t="shared" si="1046"/>
        <v>0</v>
      </c>
      <c r="CQ943" s="61">
        <f t="shared" si="1046"/>
        <v>0</v>
      </c>
      <c r="CR943" s="61">
        <f t="shared" si="1046"/>
        <v>0</v>
      </c>
      <c r="CS943" s="61">
        <f t="shared" si="924"/>
        <v>0</v>
      </c>
      <c r="CT943" s="61">
        <f t="shared" si="925"/>
        <v>0</v>
      </c>
      <c r="CV943" s="61">
        <f t="shared" si="1047"/>
        <v>-36000</v>
      </c>
      <c r="CW943" s="61">
        <f t="shared" si="1048"/>
        <v>-36000</v>
      </c>
      <c r="CX943" s="61"/>
      <c r="CY943" s="61">
        <f t="shared" si="1049"/>
        <v>0</v>
      </c>
      <c r="CZ943" s="61">
        <f t="shared" si="1049"/>
        <v>0</v>
      </c>
      <c r="DA943" s="61">
        <f t="shared" si="1015"/>
        <v>0</v>
      </c>
      <c r="DB943" s="2" t="s">
        <v>85</v>
      </c>
      <c r="DC943" s="2" t="s">
        <v>85</v>
      </c>
      <c r="DD943" s="2" t="s">
        <v>142</v>
      </c>
      <c r="DE943" s="2" t="s">
        <v>106</v>
      </c>
      <c r="DF943" s="3" t="s">
        <v>86</v>
      </c>
      <c r="DG943" s="62">
        <v>43158</v>
      </c>
      <c r="EC943" s="60"/>
      <c r="ED943" s="60"/>
      <c r="EE943" s="60"/>
      <c r="EF943" s="60"/>
    </row>
    <row r="944" spans="2:140" ht="12.75" hidden="1" customHeight="1">
      <c r="B944" s="99" t="s">
        <v>1506</v>
      </c>
      <c r="C944" s="22" t="s">
        <v>1502</v>
      </c>
      <c r="D944" s="22" t="s">
        <v>1503</v>
      </c>
      <c r="E944" s="2" t="s">
        <v>968</v>
      </c>
      <c r="F944" s="2" t="s">
        <v>969</v>
      </c>
      <c r="G944" s="2" t="s">
        <v>1087</v>
      </c>
      <c r="J944" s="149" t="s">
        <v>126</v>
      </c>
      <c r="K944" s="23" t="s">
        <v>711</v>
      </c>
      <c r="L944" s="149" t="s">
        <v>656</v>
      </c>
      <c r="M944" s="51" t="str">
        <f t="shared" si="963"/>
        <v>JD8B-17K823-BGW</v>
      </c>
      <c r="O944" s="94">
        <v>0</v>
      </c>
      <c r="P944" s="94">
        <v>0</v>
      </c>
      <c r="Q944" s="94">
        <v>0</v>
      </c>
      <c r="R944" s="94">
        <v>0</v>
      </c>
      <c r="S944" s="94">
        <v>0</v>
      </c>
      <c r="T944" s="94">
        <v>0</v>
      </c>
      <c r="U944" s="94">
        <v>1</v>
      </c>
      <c r="V944" s="94">
        <v>1</v>
      </c>
      <c r="W944" s="64">
        <f t="shared" si="971"/>
        <v>0.1</v>
      </c>
      <c r="Y944" s="60">
        <v>-326.98</v>
      </c>
      <c r="Z944" s="60">
        <v>-2.5499999999999998</v>
      </c>
      <c r="AA944" s="60">
        <v>-5.71</v>
      </c>
      <c r="AB944" s="60">
        <v>0</v>
      </c>
      <c r="AC944" s="60">
        <v>0</v>
      </c>
      <c r="AD944" s="8">
        <f t="shared" ref="AD944:AD947" si="1056">SUM(Y944:AC944)</f>
        <v>-335.24</v>
      </c>
      <c r="AE944" s="2" t="s">
        <v>84</v>
      </c>
      <c r="AG944" s="70" t="s">
        <v>1507</v>
      </c>
      <c r="AH944" s="70" t="s">
        <v>1507</v>
      </c>
      <c r="AJ944" s="70"/>
      <c r="AK944" s="70"/>
      <c r="AL944" s="72"/>
      <c r="AM944" s="22"/>
      <c r="AO944" s="149" t="s">
        <v>126</v>
      </c>
      <c r="AP944" s="23" t="s">
        <v>711</v>
      </c>
      <c r="AQ944" s="149" t="s">
        <v>1335</v>
      </c>
      <c r="AR944" s="51" t="str">
        <f t="shared" si="965"/>
        <v>JD8B-17K823-BFW</v>
      </c>
      <c r="AS944" s="3"/>
      <c r="AT944" s="94">
        <v>0</v>
      </c>
      <c r="AU944" s="94">
        <v>0</v>
      </c>
      <c r="AV944" s="94">
        <v>0</v>
      </c>
      <c r="AW944" s="94">
        <v>0</v>
      </c>
      <c r="AX944" s="94">
        <v>0</v>
      </c>
      <c r="AY944" s="94">
        <v>0</v>
      </c>
      <c r="AZ944" s="94">
        <v>1</v>
      </c>
      <c r="BA944" s="94">
        <v>1</v>
      </c>
      <c r="BB944" s="64">
        <f t="shared" si="979"/>
        <v>0.1</v>
      </c>
      <c r="BD944" s="60">
        <v>-326.98</v>
      </c>
      <c r="BE944" s="60">
        <v>-2.5499999999999998</v>
      </c>
      <c r="BF944" s="60">
        <v>-5.71</v>
      </c>
      <c r="BG944" s="60">
        <v>0</v>
      </c>
      <c r="BH944" s="60">
        <v>0</v>
      </c>
      <c r="BI944" s="8">
        <f t="shared" ref="BI944:BI947" si="1057">SUM(BD944:BH944)</f>
        <v>-335.24</v>
      </c>
      <c r="BJ944" s="2" t="s">
        <v>84</v>
      </c>
      <c r="BL944" s="70"/>
      <c r="BM944" s="70"/>
      <c r="BO944" s="70"/>
      <c r="BP944" s="70"/>
      <c r="BQ944" s="72"/>
      <c r="BS944" s="61">
        <f t="shared" si="1052"/>
        <v>0</v>
      </c>
      <c r="BT944" s="61">
        <f t="shared" si="1053"/>
        <v>0</v>
      </c>
      <c r="BU944" s="61">
        <f t="shared" si="1054"/>
        <v>0</v>
      </c>
      <c r="BV944" s="61">
        <f t="shared" si="1054"/>
        <v>0</v>
      </c>
      <c r="BW944" s="61">
        <f t="shared" si="1054"/>
        <v>0</v>
      </c>
      <c r="BX944" s="61">
        <f t="shared" si="1054"/>
        <v>0</v>
      </c>
      <c r="BY944" s="61" t="s">
        <v>91</v>
      </c>
      <c r="CA944" s="61">
        <f t="shared" si="1003"/>
        <v>0</v>
      </c>
      <c r="CB944" s="61">
        <f t="shared" si="1003"/>
        <v>0</v>
      </c>
      <c r="CC944" s="61">
        <f t="shared" si="1003"/>
        <v>0</v>
      </c>
      <c r="CD944" s="61">
        <f t="shared" si="1003"/>
        <v>0</v>
      </c>
      <c r="CE944" s="61">
        <f t="shared" si="1003"/>
        <v>0</v>
      </c>
      <c r="CF944" s="61">
        <f t="shared" si="1003"/>
        <v>0</v>
      </c>
      <c r="CG944" s="61">
        <f t="shared" si="1003"/>
        <v>0</v>
      </c>
      <c r="CH944" s="61">
        <f t="shared" si="1000"/>
        <v>0</v>
      </c>
      <c r="CI944" s="61">
        <f t="shared" si="923"/>
        <v>0</v>
      </c>
      <c r="CJ944" s="61"/>
      <c r="CK944" s="61">
        <f t="shared" si="1046"/>
        <v>0</v>
      </c>
      <c r="CL944" s="61">
        <f t="shared" si="1046"/>
        <v>0</v>
      </c>
      <c r="CM944" s="61">
        <f t="shared" si="1046"/>
        <v>0</v>
      </c>
      <c r="CN944" s="61">
        <f t="shared" si="1046"/>
        <v>0</v>
      </c>
      <c r="CO944" s="61">
        <f t="shared" si="1046"/>
        <v>0</v>
      </c>
      <c r="CP944" s="61">
        <f t="shared" si="1046"/>
        <v>0</v>
      </c>
      <c r="CQ944" s="61">
        <f t="shared" si="1046"/>
        <v>0</v>
      </c>
      <c r="CR944" s="61">
        <f t="shared" si="1046"/>
        <v>0</v>
      </c>
      <c r="CS944" s="61">
        <f t="shared" si="924"/>
        <v>0</v>
      </c>
      <c r="CT944" s="61">
        <f t="shared" si="925"/>
        <v>0</v>
      </c>
      <c r="CV944" s="61">
        <f t="shared" ref="CV944:CV945" si="1058">SUM(AG944)-SUM(BL944)</f>
        <v>0</v>
      </c>
      <c r="CW944" s="61">
        <f t="shared" ref="CW944:CW947" si="1059">SUM(AH944)-SUM(BM944)</f>
        <v>0</v>
      </c>
      <c r="CX944" s="61"/>
      <c r="CY944" s="61">
        <f t="shared" si="1049"/>
        <v>0</v>
      </c>
      <c r="CZ944" s="61">
        <f t="shared" si="1049"/>
        <v>0</v>
      </c>
      <c r="DA944" s="61">
        <f t="shared" si="1015"/>
        <v>0</v>
      </c>
      <c r="DB944" s="2" t="s">
        <v>85</v>
      </c>
      <c r="DC944" s="2" t="s">
        <v>85</v>
      </c>
      <c r="DD944" s="2" t="s">
        <v>142</v>
      </c>
      <c r="DE944" s="2" t="s">
        <v>106</v>
      </c>
      <c r="DF944" s="3" t="s">
        <v>86</v>
      </c>
      <c r="DG944" s="62">
        <v>43158</v>
      </c>
      <c r="EC944" s="60"/>
      <c r="ED944" s="60"/>
      <c r="EE944" s="60"/>
      <c r="EF944" s="60"/>
    </row>
    <row r="945" spans="1:140" ht="12.75" hidden="1" customHeight="1">
      <c r="B945" s="99" t="s">
        <v>1508</v>
      </c>
      <c r="C945" s="22" t="s">
        <v>1502</v>
      </c>
      <c r="D945" s="22" t="s">
        <v>1503</v>
      </c>
      <c r="E945" s="2" t="s">
        <v>968</v>
      </c>
      <c r="F945" s="2" t="s">
        <v>969</v>
      </c>
      <c r="G945" s="2" t="s">
        <v>1087</v>
      </c>
      <c r="J945" s="149" t="s">
        <v>126</v>
      </c>
      <c r="K945" s="23" t="s">
        <v>711</v>
      </c>
      <c r="L945" s="149" t="s">
        <v>782</v>
      </c>
      <c r="M945" s="51" t="str">
        <f t="shared" si="963"/>
        <v>JD8B-17K823-AHW</v>
      </c>
      <c r="O945" s="94">
        <v>1</v>
      </c>
      <c r="P945" s="94">
        <v>1</v>
      </c>
      <c r="Q945" s="94">
        <v>1</v>
      </c>
      <c r="R945" s="94">
        <v>1</v>
      </c>
      <c r="S945" s="94">
        <v>1</v>
      </c>
      <c r="T945" s="94">
        <v>1</v>
      </c>
      <c r="U945" s="94">
        <v>0</v>
      </c>
      <c r="V945" s="94">
        <v>0</v>
      </c>
      <c r="W945" s="64">
        <f t="shared" si="971"/>
        <v>0.9</v>
      </c>
      <c r="Y945" s="60">
        <v>-246.39</v>
      </c>
      <c r="Z945" s="60">
        <v>-2.5499999999999998</v>
      </c>
      <c r="AA945" s="60">
        <v>-5.71</v>
      </c>
      <c r="AB945" s="60">
        <v>0</v>
      </c>
      <c r="AC945" s="60">
        <v>0</v>
      </c>
      <c r="AD945" s="8">
        <f t="shared" si="1056"/>
        <v>-254.65</v>
      </c>
      <c r="AE945" s="2" t="s">
        <v>84</v>
      </c>
      <c r="AG945" s="70">
        <f>-7812500-80000-50000</f>
        <v>-7942500</v>
      </c>
      <c r="AH945" s="70">
        <f>-7812500-80000-50000</f>
        <v>-7942500</v>
      </c>
      <c r="AJ945" s="70"/>
      <c r="AK945" s="70"/>
      <c r="AL945" s="72"/>
      <c r="AM945" s="22"/>
      <c r="AO945" s="149" t="s">
        <v>126</v>
      </c>
      <c r="AP945" s="23" t="s">
        <v>711</v>
      </c>
      <c r="AQ945" s="149" t="s">
        <v>1338</v>
      </c>
      <c r="AR945" s="51" t="str">
        <f t="shared" si="965"/>
        <v>JD8B-17K823-AGW</v>
      </c>
      <c r="AS945" s="3"/>
      <c r="AT945" s="94">
        <v>1</v>
      </c>
      <c r="AU945" s="94">
        <v>1</v>
      </c>
      <c r="AV945" s="94">
        <v>1</v>
      </c>
      <c r="AW945" s="94">
        <v>1</v>
      </c>
      <c r="AX945" s="94">
        <v>1</v>
      </c>
      <c r="AY945" s="94">
        <v>1</v>
      </c>
      <c r="AZ945" s="94">
        <v>0</v>
      </c>
      <c r="BA945" s="94">
        <v>0</v>
      </c>
      <c r="BB945" s="64">
        <f t="shared" si="979"/>
        <v>0.9</v>
      </c>
      <c r="BD945" s="60">
        <v>-246.39</v>
      </c>
      <c r="BE945" s="60">
        <v>-2.5499999999999998</v>
      </c>
      <c r="BF945" s="60">
        <v>-5.71</v>
      </c>
      <c r="BG945" s="60">
        <v>0</v>
      </c>
      <c r="BH945" s="60">
        <v>0</v>
      </c>
      <c r="BI945" s="8">
        <f t="shared" si="1057"/>
        <v>-254.65</v>
      </c>
      <c r="BJ945" s="2" t="s">
        <v>84</v>
      </c>
      <c r="BL945" s="70">
        <f>-7812500-80000-50000</f>
        <v>-7942500</v>
      </c>
      <c r="BM945" s="70">
        <f>-7812500-80000-50000</f>
        <v>-7942500</v>
      </c>
      <c r="BO945" s="70"/>
      <c r="BP945" s="70"/>
      <c r="BQ945" s="72"/>
      <c r="BS945" s="61">
        <f t="shared" si="1052"/>
        <v>0</v>
      </c>
      <c r="BT945" s="61">
        <f t="shared" si="1053"/>
        <v>0</v>
      </c>
      <c r="BU945" s="61">
        <f t="shared" si="1054"/>
        <v>0</v>
      </c>
      <c r="BV945" s="61">
        <f t="shared" si="1054"/>
        <v>0</v>
      </c>
      <c r="BW945" s="61">
        <f t="shared" si="1054"/>
        <v>0</v>
      </c>
      <c r="BX945" s="61">
        <f t="shared" si="1054"/>
        <v>0</v>
      </c>
      <c r="BY945" s="61" t="s">
        <v>91</v>
      </c>
      <c r="CA945" s="61">
        <f t="shared" si="1003"/>
        <v>0</v>
      </c>
      <c r="CB945" s="61">
        <f t="shared" si="1003"/>
        <v>0</v>
      </c>
      <c r="CC945" s="61">
        <f t="shared" si="1003"/>
        <v>0</v>
      </c>
      <c r="CD945" s="61">
        <f t="shared" si="1003"/>
        <v>0</v>
      </c>
      <c r="CE945" s="61">
        <f t="shared" si="1003"/>
        <v>0</v>
      </c>
      <c r="CF945" s="61">
        <f t="shared" si="1003"/>
        <v>0</v>
      </c>
      <c r="CG945" s="61">
        <f t="shared" si="1003"/>
        <v>0</v>
      </c>
      <c r="CH945" s="61">
        <f t="shared" si="1000"/>
        <v>0</v>
      </c>
      <c r="CI945" s="61">
        <f t="shared" si="923"/>
        <v>0</v>
      </c>
      <c r="CJ945" s="61"/>
      <c r="CK945" s="61">
        <f t="shared" si="1046"/>
        <v>0</v>
      </c>
      <c r="CL945" s="61">
        <f t="shared" si="1046"/>
        <v>0</v>
      </c>
      <c r="CM945" s="61">
        <f t="shared" si="1046"/>
        <v>0</v>
      </c>
      <c r="CN945" s="61">
        <f t="shared" si="1046"/>
        <v>0</v>
      </c>
      <c r="CO945" s="61">
        <f t="shared" si="1046"/>
        <v>0</v>
      </c>
      <c r="CP945" s="61">
        <f t="shared" si="1046"/>
        <v>0</v>
      </c>
      <c r="CQ945" s="61">
        <f t="shared" si="1046"/>
        <v>0</v>
      </c>
      <c r="CR945" s="61">
        <f t="shared" si="1046"/>
        <v>0</v>
      </c>
      <c r="CS945" s="61">
        <f t="shared" si="924"/>
        <v>0</v>
      </c>
      <c r="CT945" s="61">
        <f t="shared" si="925"/>
        <v>0</v>
      </c>
      <c r="CV945" s="61">
        <f t="shared" si="1058"/>
        <v>0</v>
      </c>
      <c r="CW945" s="61">
        <f t="shared" si="1059"/>
        <v>0</v>
      </c>
      <c r="CX945" s="61"/>
      <c r="CY945" s="61">
        <f t="shared" si="1049"/>
        <v>0</v>
      </c>
      <c r="CZ945" s="61">
        <f t="shared" si="1049"/>
        <v>0</v>
      </c>
      <c r="DA945" s="61">
        <f t="shared" si="1015"/>
        <v>0</v>
      </c>
      <c r="DB945" s="2" t="s">
        <v>85</v>
      </c>
      <c r="DC945" s="2" t="s">
        <v>85</v>
      </c>
      <c r="DD945" s="2" t="s">
        <v>142</v>
      </c>
      <c r="DE945" s="2" t="s">
        <v>106</v>
      </c>
      <c r="DF945" s="3" t="s">
        <v>102</v>
      </c>
      <c r="DG945" s="62">
        <v>43087</v>
      </c>
      <c r="EC945" s="60"/>
      <c r="ED945" s="60"/>
      <c r="EE945" s="60"/>
      <c r="EF945" s="60"/>
    </row>
    <row r="946" spans="1:140" ht="12.75" hidden="1" customHeight="1">
      <c r="B946" s="99" t="s">
        <v>1508</v>
      </c>
      <c r="C946" s="22" t="s">
        <v>1502</v>
      </c>
      <c r="D946" s="22" t="s">
        <v>1503</v>
      </c>
      <c r="E946" s="2" t="s">
        <v>968</v>
      </c>
      <c r="F946" s="2" t="s">
        <v>969</v>
      </c>
      <c r="G946" s="2" t="s">
        <v>1087</v>
      </c>
      <c r="J946" s="149" t="s">
        <v>126</v>
      </c>
      <c r="K946" s="23" t="s">
        <v>711</v>
      </c>
      <c r="L946" s="149" t="s">
        <v>1509</v>
      </c>
      <c r="M946" s="51" t="str">
        <f t="shared" si="963"/>
        <v>JD8B-17K823-BHW</v>
      </c>
      <c r="O946" s="94">
        <v>0</v>
      </c>
      <c r="P946" s="94">
        <v>0</v>
      </c>
      <c r="Q946" s="94">
        <v>0</v>
      </c>
      <c r="R946" s="94">
        <v>0</v>
      </c>
      <c r="S946" s="94">
        <v>0</v>
      </c>
      <c r="T946" s="94">
        <v>0</v>
      </c>
      <c r="U946" s="94">
        <v>1</v>
      </c>
      <c r="V946" s="94">
        <v>1</v>
      </c>
      <c r="W946" s="64">
        <f t="shared" si="971"/>
        <v>0.1</v>
      </c>
      <c r="Y946" s="60">
        <v>-326.98</v>
      </c>
      <c r="Z946" s="60">
        <v>-2.5499999999999998</v>
      </c>
      <c r="AA946" s="60">
        <v>-5.71</v>
      </c>
      <c r="AB946" s="60">
        <v>0</v>
      </c>
      <c r="AC946" s="60">
        <v>0</v>
      </c>
      <c r="AD946" s="8">
        <f t="shared" si="1056"/>
        <v>-335.24</v>
      </c>
      <c r="AE946" s="2" t="s">
        <v>84</v>
      </c>
      <c r="AG946" s="70" t="s">
        <v>1507</v>
      </c>
      <c r="AH946" s="70" t="s">
        <v>1507</v>
      </c>
      <c r="AJ946" s="70"/>
      <c r="AK946" s="70"/>
      <c r="AL946" s="72"/>
      <c r="AM946" s="22"/>
      <c r="AO946" s="149" t="s">
        <v>126</v>
      </c>
      <c r="AP946" s="23" t="s">
        <v>711</v>
      </c>
      <c r="AQ946" s="149" t="s">
        <v>656</v>
      </c>
      <c r="AR946" s="51" t="str">
        <f t="shared" si="965"/>
        <v>JD8B-17K823-BGW</v>
      </c>
      <c r="AS946" s="3"/>
      <c r="AT946" s="94">
        <v>0</v>
      </c>
      <c r="AU946" s="94">
        <v>0</v>
      </c>
      <c r="AV946" s="94">
        <v>0</v>
      </c>
      <c r="AW946" s="94">
        <v>0</v>
      </c>
      <c r="AX946" s="94">
        <v>0</v>
      </c>
      <c r="AY946" s="94">
        <v>0</v>
      </c>
      <c r="AZ946" s="94">
        <v>1</v>
      </c>
      <c r="BA946" s="94">
        <v>1</v>
      </c>
      <c r="BB946" s="64">
        <f t="shared" si="979"/>
        <v>0.1</v>
      </c>
      <c r="BD946" s="60">
        <v>-326.98</v>
      </c>
      <c r="BE946" s="60">
        <v>-2.5499999999999998</v>
      </c>
      <c r="BF946" s="60">
        <v>-5.71</v>
      </c>
      <c r="BG946" s="60">
        <v>0</v>
      </c>
      <c r="BH946" s="60">
        <v>0</v>
      </c>
      <c r="BI946" s="8">
        <f t="shared" si="1057"/>
        <v>-335.24</v>
      </c>
      <c r="BJ946" s="2" t="s">
        <v>84</v>
      </c>
      <c r="BL946" s="70" t="s">
        <v>1507</v>
      </c>
      <c r="BM946" s="70" t="s">
        <v>1507</v>
      </c>
      <c r="BO946" s="70"/>
      <c r="BP946" s="70"/>
      <c r="BQ946" s="72"/>
      <c r="BS946" s="61">
        <f t="shared" si="1052"/>
        <v>0</v>
      </c>
      <c r="BT946" s="61">
        <f t="shared" si="1053"/>
        <v>0</v>
      </c>
      <c r="BU946" s="61">
        <f t="shared" si="1054"/>
        <v>0</v>
      </c>
      <c r="BV946" s="61">
        <f t="shared" si="1054"/>
        <v>0</v>
      </c>
      <c r="BW946" s="61">
        <f t="shared" si="1054"/>
        <v>0</v>
      </c>
      <c r="BX946" s="61">
        <f t="shared" si="1054"/>
        <v>0</v>
      </c>
      <c r="BY946" s="61" t="s">
        <v>91</v>
      </c>
      <c r="CA946" s="61">
        <f t="shared" si="1003"/>
        <v>0</v>
      </c>
      <c r="CB946" s="61">
        <f t="shared" si="1003"/>
        <v>0</v>
      </c>
      <c r="CC946" s="61">
        <f t="shared" si="1003"/>
        <v>0</v>
      </c>
      <c r="CD946" s="61">
        <f t="shared" si="1003"/>
        <v>0</v>
      </c>
      <c r="CE946" s="61">
        <f t="shared" si="1003"/>
        <v>0</v>
      </c>
      <c r="CF946" s="61">
        <f t="shared" si="1003"/>
        <v>0</v>
      </c>
      <c r="CG946" s="61">
        <f t="shared" si="1003"/>
        <v>0</v>
      </c>
      <c r="CH946" s="61">
        <f t="shared" si="1000"/>
        <v>0</v>
      </c>
      <c r="CI946" s="61">
        <f t="shared" si="923"/>
        <v>0</v>
      </c>
      <c r="CJ946" s="61"/>
      <c r="CK946" s="61">
        <f t="shared" si="1046"/>
        <v>0</v>
      </c>
      <c r="CL946" s="61">
        <f t="shared" si="1046"/>
        <v>0</v>
      </c>
      <c r="CM946" s="61">
        <f t="shared" si="1046"/>
        <v>0</v>
      </c>
      <c r="CN946" s="61">
        <f t="shared" si="1046"/>
        <v>0</v>
      </c>
      <c r="CO946" s="61">
        <f t="shared" si="1046"/>
        <v>0</v>
      </c>
      <c r="CP946" s="61">
        <f t="shared" si="1046"/>
        <v>0</v>
      </c>
      <c r="CQ946" s="61">
        <f t="shared" si="1046"/>
        <v>0</v>
      </c>
      <c r="CR946" s="61">
        <f t="shared" si="1046"/>
        <v>0</v>
      </c>
      <c r="CS946" s="61">
        <f t="shared" si="924"/>
        <v>0</v>
      </c>
      <c r="CT946" s="61">
        <f t="shared" si="925"/>
        <v>0</v>
      </c>
      <c r="CV946" s="61">
        <f t="shared" ref="CV946:CV947" si="1060">SUM(AG946)-SUM(BL946)</f>
        <v>0</v>
      </c>
      <c r="CW946" s="61">
        <f t="shared" si="1059"/>
        <v>0</v>
      </c>
      <c r="CX946" s="61"/>
      <c r="CY946" s="61">
        <f t="shared" si="1049"/>
        <v>0</v>
      </c>
      <c r="CZ946" s="61">
        <f t="shared" si="1049"/>
        <v>0</v>
      </c>
      <c r="DA946" s="61">
        <f t="shared" si="1015"/>
        <v>0</v>
      </c>
      <c r="DB946" s="2" t="s">
        <v>85</v>
      </c>
      <c r="DC946" s="2" t="s">
        <v>85</v>
      </c>
      <c r="DD946" s="2" t="s">
        <v>142</v>
      </c>
      <c r="DE946" s="2" t="s">
        <v>106</v>
      </c>
      <c r="DF946" s="3" t="s">
        <v>102</v>
      </c>
      <c r="DG946" s="62">
        <v>43087</v>
      </c>
      <c r="EC946" s="60"/>
      <c r="ED946" s="60"/>
      <c r="EE946" s="60"/>
      <c r="EF946" s="60"/>
    </row>
    <row r="947" spans="1:140" ht="12.75" hidden="1" customHeight="1">
      <c r="B947" s="99" t="s">
        <v>1510</v>
      </c>
      <c r="C947" s="22" t="s">
        <v>1502</v>
      </c>
      <c r="D947" s="22" t="s">
        <v>1503</v>
      </c>
      <c r="E947" s="2" t="s">
        <v>968</v>
      </c>
      <c r="F947" s="2" t="s">
        <v>969</v>
      </c>
      <c r="G947" s="2" t="s">
        <v>1087</v>
      </c>
      <c r="J947" s="149" t="s">
        <v>126</v>
      </c>
      <c r="K947" s="23" t="s">
        <v>711</v>
      </c>
      <c r="L947" s="149" t="s">
        <v>197</v>
      </c>
      <c r="M947" s="51" t="str">
        <f t="shared" si="963"/>
        <v>JD8B-17K823-AJW</v>
      </c>
      <c r="O947" s="94">
        <v>1</v>
      </c>
      <c r="P947" s="94">
        <v>1</v>
      </c>
      <c r="Q947" s="94">
        <v>1</v>
      </c>
      <c r="R947" s="94">
        <v>1</v>
      </c>
      <c r="S947" s="94">
        <v>1</v>
      </c>
      <c r="T947" s="94">
        <v>1</v>
      </c>
      <c r="U947" s="94">
        <v>0</v>
      </c>
      <c r="V947" s="94">
        <v>0</v>
      </c>
      <c r="W947" s="64">
        <f t="shared" si="971"/>
        <v>0.9</v>
      </c>
      <c r="Y947" s="60">
        <f>-246.39-0.67</f>
        <v>-247.05999999999997</v>
      </c>
      <c r="Z947" s="60">
        <v>-2.5499999999999998</v>
      </c>
      <c r="AA947" s="60">
        <v>-5.71</v>
      </c>
      <c r="AB947" s="60">
        <v>0</v>
      </c>
      <c r="AC947" s="60">
        <v>0</v>
      </c>
      <c r="AD947" s="8">
        <f t="shared" si="1056"/>
        <v>-255.32</v>
      </c>
      <c r="AE947" s="2" t="s">
        <v>84</v>
      </c>
      <c r="AG947" s="70">
        <f>-7812500-80000-50000-119800</f>
        <v>-8062300</v>
      </c>
      <c r="AH947" s="70">
        <f>-7812500-80000-50000-119800</f>
        <v>-8062300</v>
      </c>
      <c r="AJ947" s="70"/>
      <c r="AK947" s="70"/>
      <c r="AL947" s="72"/>
      <c r="AM947" s="22"/>
      <c r="AO947" s="149" t="s">
        <v>126</v>
      </c>
      <c r="AP947" s="23" t="s">
        <v>711</v>
      </c>
      <c r="AQ947" s="149" t="s">
        <v>782</v>
      </c>
      <c r="AR947" s="51" t="str">
        <f t="shared" si="965"/>
        <v>JD8B-17K823-AHW</v>
      </c>
      <c r="AS947" s="3"/>
      <c r="AT947" s="94">
        <v>1</v>
      </c>
      <c r="AU947" s="94">
        <v>1</v>
      </c>
      <c r="AV947" s="94">
        <v>1</v>
      </c>
      <c r="AW947" s="94">
        <v>1</v>
      </c>
      <c r="AX947" s="94">
        <v>1</v>
      </c>
      <c r="AY947" s="94">
        <v>1</v>
      </c>
      <c r="AZ947" s="94">
        <v>0</v>
      </c>
      <c r="BA947" s="94">
        <v>0</v>
      </c>
      <c r="BB947" s="64">
        <f t="shared" si="979"/>
        <v>0.9</v>
      </c>
      <c r="BD947" s="60">
        <v>-246.39</v>
      </c>
      <c r="BE947" s="60">
        <v>-2.5499999999999998</v>
      </c>
      <c r="BF947" s="60">
        <v>-5.71</v>
      </c>
      <c r="BG947" s="60">
        <v>0</v>
      </c>
      <c r="BH947" s="60">
        <v>0</v>
      </c>
      <c r="BI947" s="8">
        <f t="shared" si="1057"/>
        <v>-254.65</v>
      </c>
      <c r="BJ947" s="2" t="s">
        <v>84</v>
      </c>
      <c r="BL947" s="70">
        <f>-7812500-80000-50000</f>
        <v>-7942500</v>
      </c>
      <c r="BM947" s="70">
        <f>-7812500-80000-50000</f>
        <v>-7942500</v>
      </c>
      <c r="BO947" s="70"/>
      <c r="BP947" s="70"/>
      <c r="BQ947" s="72"/>
      <c r="BS947" s="61">
        <f t="shared" si="1052"/>
        <v>-0.66999999999998749</v>
      </c>
      <c r="BT947" s="61">
        <f t="shared" si="1053"/>
        <v>0</v>
      </c>
      <c r="BU947" s="61">
        <f t="shared" si="1054"/>
        <v>0</v>
      </c>
      <c r="BV947" s="61">
        <f t="shared" si="1054"/>
        <v>0</v>
      </c>
      <c r="BW947" s="61">
        <f t="shared" si="1054"/>
        <v>0</v>
      </c>
      <c r="BX947" s="61">
        <f t="shared" si="1054"/>
        <v>-0.66999999999998749</v>
      </c>
      <c r="BY947" s="61" t="s">
        <v>91</v>
      </c>
      <c r="CA947" s="61">
        <f t="shared" si="1003"/>
        <v>-0.10079735218895554</v>
      </c>
      <c r="CB947" s="61">
        <f t="shared" si="1003"/>
        <v>-0.10079735218895554</v>
      </c>
      <c r="CC947" s="61">
        <f t="shared" si="1003"/>
        <v>-0.10079735218895554</v>
      </c>
      <c r="CD947" s="61">
        <f t="shared" si="1003"/>
        <v>-0.10079735218895554</v>
      </c>
      <c r="CE947" s="61">
        <f t="shared" si="1003"/>
        <v>-0.10079735218895554</v>
      </c>
      <c r="CF947" s="61">
        <f t="shared" si="1003"/>
        <v>-0.10079735218895554</v>
      </c>
      <c r="CG947" s="61">
        <f t="shared" si="1003"/>
        <v>0</v>
      </c>
      <c r="CH947" s="61">
        <f t="shared" si="1000"/>
        <v>0</v>
      </c>
      <c r="CI947" s="61">
        <f t="shared" si="923"/>
        <v>-9.0717616970059978E-2</v>
      </c>
      <c r="CJ947" s="61"/>
      <c r="CK947" s="61">
        <f t="shared" si="1046"/>
        <v>-0.10079735218895554</v>
      </c>
      <c r="CL947" s="61">
        <f t="shared" si="1046"/>
        <v>-0.10079735218895554</v>
      </c>
      <c r="CM947" s="61">
        <f t="shared" si="1046"/>
        <v>-0.10079735218895554</v>
      </c>
      <c r="CN947" s="61">
        <f t="shared" si="1046"/>
        <v>-0.10079735218895554</v>
      </c>
      <c r="CO947" s="61">
        <f t="shared" si="1046"/>
        <v>-0.10079735218895554</v>
      </c>
      <c r="CP947" s="61">
        <f t="shared" si="1046"/>
        <v>-0.10079735218895554</v>
      </c>
      <c r="CQ947" s="61">
        <f t="shared" si="1046"/>
        <v>0</v>
      </c>
      <c r="CR947" s="61">
        <f t="shared" si="1046"/>
        <v>0</v>
      </c>
      <c r="CS947" s="61">
        <f t="shared" si="924"/>
        <v>-9.0717616970059978E-2</v>
      </c>
      <c r="CT947" s="143">
        <f t="shared" si="925"/>
        <v>-0.60299999999998866</v>
      </c>
      <c r="CV947" s="61">
        <f t="shared" si="1060"/>
        <v>-119800</v>
      </c>
      <c r="CW947" s="61">
        <f t="shared" si="1059"/>
        <v>-119800</v>
      </c>
      <c r="CX947" s="61"/>
      <c r="CY947" s="61">
        <f t="shared" si="1049"/>
        <v>0</v>
      </c>
      <c r="CZ947" s="61">
        <f t="shared" si="1049"/>
        <v>0</v>
      </c>
      <c r="DA947" s="61">
        <f t="shared" si="1015"/>
        <v>0</v>
      </c>
      <c r="DB947" s="2" t="s">
        <v>134</v>
      </c>
      <c r="DC947" s="2" t="s">
        <v>85</v>
      </c>
      <c r="DD947" s="2" t="s">
        <v>142</v>
      </c>
      <c r="DE947" s="2" t="s">
        <v>106</v>
      </c>
      <c r="DF947" s="3" t="s">
        <v>86</v>
      </c>
      <c r="DG947" s="62">
        <v>43129</v>
      </c>
      <c r="EC947" s="60" t="e">
        <f>VLOOKUP($M947,[1]Detail!$M:$BO,1,0)</f>
        <v>#N/A</v>
      </c>
      <c r="ED947" s="60" t="e">
        <f>VLOOKUP($M947,[1]Detail!$M:$BO,22,0)</f>
        <v>#N/A</v>
      </c>
      <c r="EE947" s="60" t="e">
        <f>VLOOKUP($M947,[1]Detail!$M:$BO,42,0)</f>
        <v>#N/A</v>
      </c>
      <c r="EF947" s="60" t="e">
        <f>VLOOKUP($M947,[1]Detail!$M:$BO,45,0)</f>
        <v>#N/A</v>
      </c>
      <c r="EH947" s="60" t="e">
        <f t="shared" ref="EH947:EH952" si="1061">ED947-AD947</f>
        <v>#N/A</v>
      </c>
      <c r="EI947" s="60" t="e">
        <f t="shared" ref="EI947:EI952" si="1062">EE947-AG947</f>
        <v>#N/A</v>
      </c>
      <c r="EJ947" s="60" t="e">
        <f t="shared" ref="EJ947:EJ952" si="1063">EF947-AJ947</f>
        <v>#N/A</v>
      </c>
    </row>
    <row r="948" spans="1:140" s="131" customFormat="1" ht="12.75" hidden="1" customHeight="1">
      <c r="B948" s="219" t="s">
        <v>1511</v>
      </c>
      <c r="C948" s="130" t="s">
        <v>1502</v>
      </c>
      <c r="D948" s="130" t="s">
        <v>1503</v>
      </c>
      <c r="E948" s="131" t="s">
        <v>968</v>
      </c>
      <c r="F948" s="131" t="s">
        <v>969</v>
      </c>
      <c r="G948" s="131" t="s">
        <v>1087</v>
      </c>
      <c r="J948" s="157" t="s">
        <v>138</v>
      </c>
      <c r="K948" s="132" t="s">
        <v>1512</v>
      </c>
      <c r="L948" s="157" t="s">
        <v>1043</v>
      </c>
      <c r="M948" s="133" t="str">
        <f t="shared" si="963"/>
        <v>JD8B-17K823-AKW</v>
      </c>
      <c r="N948" s="134"/>
      <c r="O948" s="158">
        <v>1</v>
      </c>
      <c r="P948" s="158">
        <v>1</v>
      </c>
      <c r="Q948" s="158">
        <v>1</v>
      </c>
      <c r="R948" s="158">
        <v>1</v>
      </c>
      <c r="S948" s="158">
        <v>1</v>
      </c>
      <c r="T948" s="158">
        <v>1</v>
      </c>
      <c r="U948" s="158">
        <v>0</v>
      </c>
      <c r="V948" s="158">
        <v>0</v>
      </c>
      <c r="W948" s="135">
        <f t="shared" si="971"/>
        <v>0.9</v>
      </c>
      <c r="Y948" s="139">
        <f>-246.39-0.67</f>
        <v>-247.05999999999997</v>
      </c>
      <c r="Z948" s="139">
        <v>-2.5499999999999998</v>
      </c>
      <c r="AA948" s="139">
        <v>-5.71</v>
      </c>
      <c r="AB948" s="139">
        <v>0</v>
      </c>
      <c r="AC948" s="139">
        <v>0</v>
      </c>
      <c r="AD948" s="136">
        <f>SUM(Y948:AC948)</f>
        <v>-255.32</v>
      </c>
      <c r="AE948" s="131" t="s">
        <v>91</v>
      </c>
      <c r="AG948" s="137">
        <f>-7812500-80000-50000-119800</f>
        <v>-8062300</v>
      </c>
      <c r="AH948" s="137">
        <f>-7812500-80000-50000-119800</f>
        <v>-8062300</v>
      </c>
      <c r="AJ948" s="137"/>
      <c r="AK948" s="137"/>
      <c r="AL948" s="138"/>
      <c r="AM948" s="130"/>
      <c r="AO948" s="157" t="s">
        <v>138</v>
      </c>
      <c r="AP948" s="132" t="s">
        <v>1512</v>
      </c>
      <c r="AQ948" s="157" t="s">
        <v>1513</v>
      </c>
      <c r="AR948" s="133" t="str">
        <f>TRIM(AO948)&amp;"-"&amp;TRIM(AP948)&amp;"-"&amp;TRIM(AQ948)</f>
        <v>JD8B-17K823-AJW</v>
      </c>
      <c r="AS948" s="134"/>
      <c r="AT948" s="158">
        <v>1</v>
      </c>
      <c r="AU948" s="158">
        <v>1</v>
      </c>
      <c r="AV948" s="158">
        <v>1</v>
      </c>
      <c r="AW948" s="158">
        <v>1</v>
      </c>
      <c r="AX948" s="158">
        <v>1</v>
      </c>
      <c r="AY948" s="158">
        <v>1</v>
      </c>
      <c r="AZ948" s="158">
        <v>0</v>
      </c>
      <c r="BA948" s="158">
        <v>0</v>
      </c>
      <c r="BB948" s="135">
        <f t="shared" si="979"/>
        <v>0.9</v>
      </c>
      <c r="BD948" s="139">
        <f>-246.39-0.67</f>
        <v>-247.05999999999997</v>
      </c>
      <c r="BE948" s="139">
        <v>-2.5499999999999998</v>
      </c>
      <c r="BF948" s="139">
        <v>-5.71</v>
      </c>
      <c r="BG948" s="139">
        <v>0</v>
      </c>
      <c r="BH948" s="139">
        <v>0</v>
      </c>
      <c r="BI948" s="136">
        <f>SUM(BD948:BH948)</f>
        <v>-255.32</v>
      </c>
      <c r="BJ948" s="131" t="s">
        <v>91</v>
      </c>
      <c r="BL948" s="137">
        <f>-7812500-80000-50000-119800</f>
        <v>-8062300</v>
      </c>
      <c r="BM948" s="137">
        <f>-7812500-80000-50000-119800</f>
        <v>-8062300</v>
      </c>
      <c r="BO948" s="137"/>
      <c r="BP948" s="137"/>
      <c r="BQ948" s="138"/>
      <c r="BS948" s="181">
        <f t="shared" ref="BS948:BX950" si="1064">SUM(Y948)-SUM(BD948)</f>
        <v>0</v>
      </c>
      <c r="BT948" s="181">
        <f t="shared" si="1064"/>
        <v>0</v>
      </c>
      <c r="BU948" s="181">
        <f t="shared" si="1064"/>
        <v>0</v>
      </c>
      <c r="BV948" s="181">
        <f t="shared" si="1064"/>
        <v>0</v>
      </c>
      <c r="BW948" s="181">
        <f t="shared" si="1064"/>
        <v>0</v>
      </c>
      <c r="BX948" s="181">
        <f t="shared" si="1064"/>
        <v>0</v>
      </c>
      <c r="BY948" s="181" t="s">
        <v>91</v>
      </c>
      <c r="CA948" s="181">
        <f t="shared" si="1003"/>
        <v>0</v>
      </c>
      <c r="CB948" s="181">
        <f t="shared" si="1003"/>
        <v>0</v>
      </c>
      <c r="CC948" s="181">
        <f t="shared" si="1003"/>
        <v>0</v>
      </c>
      <c r="CD948" s="181">
        <f t="shared" si="1003"/>
        <v>0</v>
      </c>
      <c r="CE948" s="181">
        <f t="shared" si="1003"/>
        <v>0</v>
      </c>
      <c r="CF948" s="181">
        <f t="shared" si="1003"/>
        <v>0</v>
      </c>
      <c r="CG948" s="181">
        <f t="shared" si="1003"/>
        <v>0</v>
      </c>
      <c r="CH948" s="181">
        <f t="shared" si="1000"/>
        <v>0</v>
      </c>
      <c r="CI948" s="181">
        <f t="shared" si="923"/>
        <v>0</v>
      </c>
      <c r="CJ948" s="181"/>
      <c r="CK948" s="181">
        <f t="shared" si="1046"/>
        <v>0</v>
      </c>
      <c r="CL948" s="181">
        <f t="shared" si="1046"/>
        <v>0</v>
      </c>
      <c r="CM948" s="181">
        <f t="shared" si="1046"/>
        <v>0</v>
      </c>
      <c r="CN948" s="181">
        <f t="shared" si="1046"/>
        <v>0</v>
      </c>
      <c r="CO948" s="181">
        <f t="shared" si="1046"/>
        <v>0</v>
      </c>
      <c r="CP948" s="181">
        <f t="shared" si="1046"/>
        <v>0</v>
      </c>
      <c r="CQ948" s="181">
        <f t="shared" si="1046"/>
        <v>0</v>
      </c>
      <c r="CR948" s="181">
        <f t="shared" si="1046"/>
        <v>0</v>
      </c>
      <c r="CS948" s="181">
        <f t="shared" si="924"/>
        <v>0</v>
      </c>
      <c r="CT948" s="220">
        <f t="shared" si="925"/>
        <v>0</v>
      </c>
      <c r="CV948" s="181">
        <f t="shared" ref="CV948:CW950" si="1065">SUM(AG948)-SUM(BL948)</f>
        <v>0</v>
      </c>
      <c r="CW948" s="181">
        <f t="shared" si="1065"/>
        <v>0</v>
      </c>
      <c r="CX948" s="181"/>
      <c r="CY948" s="181">
        <f t="shared" si="1049"/>
        <v>0</v>
      </c>
      <c r="CZ948" s="181">
        <f t="shared" si="1049"/>
        <v>0</v>
      </c>
      <c r="DA948" s="181">
        <f t="shared" si="1049"/>
        <v>0</v>
      </c>
      <c r="DB948" s="131" t="s">
        <v>102</v>
      </c>
      <c r="DC948" s="131" t="s">
        <v>134</v>
      </c>
      <c r="DD948" s="131" t="s">
        <v>142</v>
      </c>
      <c r="DE948" s="131" t="s">
        <v>1447</v>
      </c>
      <c r="DF948" s="134"/>
      <c r="DG948" s="141"/>
      <c r="DZ948" s="134"/>
      <c r="EC948" s="139" t="str">
        <f>VLOOKUP($M948,[1]Detail!$M:$BO,1,0)</f>
        <v>JD8B-17K823-AKW</v>
      </c>
      <c r="ED948" s="139">
        <f>VLOOKUP($M948,[1]Detail!$M:$BO,22,0)</f>
        <v>-255.32</v>
      </c>
      <c r="EE948" s="139">
        <f>VLOOKUP($M948,[1]Detail!$M:$BO,42,0)</f>
        <v>-8062300</v>
      </c>
      <c r="EF948" s="139">
        <f>VLOOKUP($M948,[1]Detail!$M:$BO,45,0)</f>
        <v>0</v>
      </c>
      <c r="EH948" s="139">
        <f>ED948-AD948</f>
        <v>0</v>
      </c>
      <c r="EI948" s="139">
        <f>EE948-AG948</f>
        <v>0</v>
      </c>
      <c r="EJ948" s="139">
        <f>EF948-AJ948</f>
        <v>0</v>
      </c>
    </row>
    <row r="949" spans="1:140" s="221" customFormat="1" ht="12.75" hidden="1" customHeight="1">
      <c r="B949" s="222" t="s">
        <v>1510</v>
      </c>
      <c r="C949" s="223" t="s">
        <v>1502</v>
      </c>
      <c r="D949" s="223" t="s">
        <v>1503</v>
      </c>
      <c r="E949" s="221" t="s">
        <v>968</v>
      </c>
      <c r="F949" s="221" t="s">
        <v>969</v>
      </c>
      <c r="G949" s="221" t="s">
        <v>1087</v>
      </c>
      <c r="J949" s="224" t="s">
        <v>138</v>
      </c>
      <c r="K949" s="225" t="s">
        <v>1512</v>
      </c>
      <c r="L949" s="224" t="s">
        <v>1514</v>
      </c>
      <c r="M949" s="226" t="str">
        <f t="shared" si="963"/>
        <v>JD8B-17K823-BJW</v>
      </c>
      <c r="N949" s="227"/>
      <c r="O949" s="228">
        <v>0</v>
      </c>
      <c r="P949" s="228">
        <v>0</v>
      </c>
      <c r="Q949" s="228">
        <v>0</v>
      </c>
      <c r="R949" s="228">
        <v>0</v>
      </c>
      <c r="S949" s="228">
        <v>0</v>
      </c>
      <c r="T949" s="228">
        <v>0</v>
      </c>
      <c r="U949" s="228">
        <v>1</v>
      </c>
      <c r="V949" s="228">
        <v>1</v>
      </c>
      <c r="W949" s="229">
        <f t="shared" si="971"/>
        <v>0.1</v>
      </c>
      <c r="Y949" s="230">
        <f>-326.98-0.67</f>
        <v>-327.65000000000003</v>
      </c>
      <c r="Z949" s="230">
        <v>-2.5499999999999998</v>
      </c>
      <c r="AA949" s="230">
        <v>-5.71</v>
      </c>
      <c r="AB949" s="230">
        <v>0</v>
      </c>
      <c r="AC949" s="230">
        <v>0</v>
      </c>
      <c r="AD949" s="231">
        <f>SUM(Y949:AC949)</f>
        <v>-335.91</v>
      </c>
      <c r="AE949" s="221" t="s">
        <v>91</v>
      </c>
      <c r="AG949" s="232" t="s">
        <v>1515</v>
      </c>
      <c r="AH949" s="232" t="s">
        <v>1515</v>
      </c>
      <c r="AJ949" s="232"/>
      <c r="AK949" s="232"/>
      <c r="AL949" s="233"/>
      <c r="AM949" s="223"/>
      <c r="AO949" s="224" t="s">
        <v>138</v>
      </c>
      <c r="AP949" s="225" t="s">
        <v>1512</v>
      </c>
      <c r="AQ949" s="224" t="s">
        <v>797</v>
      </c>
      <c r="AR949" s="226" t="str">
        <f>TRIM(AO949)&amp;"-"&amp;TRIM(AP949)&amp;"-"&amp;TRIM(AQ949)</f>
        <v>JD8B-17K823-BHW</v>
      </c>
      <c r="AS949" s="227"/>
      <c r="AT949" s="228">
        <v>0</v>
      </c>
      <c r="AU949" s="228">
        <v>0</v>
      </c>
      <c r="AV949" s="228">
        <v>0</v>
      </c>
      <c r="AW949" s="228">
        <v>0</v>
      </c>
      <c r="AX949" s="228">
        <v>0</v>
      </c>
      <c r="AY949" s="228">
        <v>0</v>
      </c>
      <c r="AZ949" s="228">
        <v>1</v>
      </c>
      <c r="BA949" s="228">
        <v>1</v>
      </c>
      <c r="BB949" s="229">
        <f t="shared" si="979"/>
        <v>0.1</v>
      </c>
      <c r="BD949" s="230">
        <v>-326.98</v>
      </c>
      <c r="BE949" s="230">
        <v>-2.5499999999999998</v>
      </c>
      <c r="BF949" s="230">
        <v>-5.71</v>
      </c>
      <c r="BG949" s="230">
        <v>0</v>
      </c>
      <c r="BH949" s="230">
        <v>0</v>
      </c>
      <c r="BI949" s="231">
        <f>SUM(BD949:BH949)</f>
        <v>-335.24</v>
      </c>
      <c r="BJ949" s="221" t="s">
        <v>91</v>
      </c>
      <c r="BL949" s="232" t="s">
        <v>1516</v>
      </c>
      <c r="BM949" s="232" t="s">
        <v>1516</v>
      </c>
      <c r="BO949" s="232"/>
      <c r="BP949" s="232"/>
      <c r="BQ949" s="233"/>
      <c r="BS949" s="234">
        <f t="shared" si="1064"/>
        <v>-0.67000000000001592</v>
      </c>
      <c r="BT949" s="234">
        <f t="shared" si="1064"/>
        <v>0</v>
      </c>
      <c r="BU949" s="234">
        <f t="shared" si="1064"/>
        <v>0</v>
      </c>
      <c r="BV949" s="234">
        <f t="shared" si="1064"/>
        <v>0</v>
      </c>
      <c r="BW949" s="234">
        <f t="shared" si="1064"/>
        <v>0</v>
      </c>
      <c r="BX949" s="234">
        <f t="shared" si="1064"/>
        <v>-0.67000000000001592</v>
      </c>
      <c r="BY949" s="234" t="s">
        <v>91</v>
      </c>
      <c r="CA949" s="234">
        <f t="shared" ref="CA949:CG969" si="1066">($Y949*O949-AT949*$BD949)/$C$2</f>
        <v>0</v>
      </c>
      <c r="CB949" s="234">
        <f t="shared" si="1066"/>
        <v>0</v>
      </c>
      <c r="CC949" s="234">
        <f t="shared" si="1066"/>
        <v>0</v>
      </c>
      <c r="CD949" s="234">
        <f t="shared" si="1066"/>
        <v>0</v>
      </c>
      <c r="CE949" s="234">
        <f t="shared" si="1066"/>
        <v>0</v>
      </c>
      <c r="CF949" s="234">
        <f t="shared" si="1066"/>
        <v>0</v>
      </c>
      <c r="CG949" s="234">
        <f t="shared" si="1066"/>
        <v>-0.10079735218895981</v>
      </c>
      <c r="CH949" s="234">
        <f t="shared" si="1000"/>
        <v>-0.10079735218895981</v>
      </c>
      <c r="CI949" s="234">
        <f t="shared" ref="CI949:CI970" si="1067">SUMPRODUCT(CA949:CH949,$O$6:$V$6)</f>
        <v>-1.0079735218895982E-2</v>
      </c>
      <c r="CJ949" s="234"/>
      <c r="CK949" s="234">
        <f t="shared" si="1046"/>
        <v>0</v>
      </c>
      <c r="CL949" s="234">
        <f t="shared" si="1046"/>
        <v>0</v>
      </c>
      <c r="CM949" s="234">
        <f t="shared" si="1046"/>
        <v>0</v>
      </c>
      <c r="CN949" s="234">
        <f t="shared" si="1046"/>
        <v>0</v>
      </c>
      <c r="CO949" s="234">
        <f t="shared" si="1046"/>
        <v>0</v>
      </c>
      <c r="CP949" s="234">
        <f t="shared" si="1046"/>
        <v>0</v>
      </c>
      <c r="CQ949" s="234">
        <f t="shared" si="1046"/>
        <v>-0.10079735218895981</v>
      </c>
      <c r="CR949" s="234">
        <f t="shared" si="1046"/>
        <v>-0.10079735218895981</v>
      </c>
      <c r="CS949" s="234">
        <f t="shared" ref="CS949:CS970" si="1068">SUMPRODUCT(CK949:CR949,$O$6:$V$6)</f>
        <v>-1.0079735218895982E-2</v>
      </c>
      <c r="CT949" s="235">
        <f t="shared" ref="CT949:CT1012" si="1069">CS949*$C$2</f>
        <v>-6.70000000000016E-2</v>
      </c>
      <c r="CV949" s="234">
        <f t="shared" si="1065"/>
        <v>0</v>
      </c>
      <c r="CW949" s="234">
        <f t="shared" si="1065"/>
        <v>0</v>
      </c>
      <c r="CX949" s="234"/>
      <c r="CY949" s="234">
        <f t="shared" si="1049"/>
        <v>0</v>
      </c>
      <c r="CZ949" s="234">
        <f t="shared" si="1049"/>
        <v>0</v>
      </c>
      <c r="DA949" s="234">
        <f t="shared" si="1049"/>
        <v>0</v>
      </c>
      <c r="DB949" s="221" t="s">
        <v>134</v>
      </c>
      <c r="DC949" s="221" t="s">
        <v>134</v>
      </c>
      <c r="DD949" s="221" t="s">
        <v>142</v>
      </c>
      <c r="DE949" s="221" t="s">
        <v>143</v>
      </c>
      <c r="DF949" s="227" t="s">
        <v>102</v>
      </c>
      <c r="DG949" s="236">
        <v>43129</v>
      </c>
      <c r="DZ949" s="227"/>
      <c r="EC949" s="230" t="e">
        <f>VLOOKUP($M949,[1]Detail!$M:$BO,1,0)</f>
        <v>#N/A</v>
      </c>
      <c r="ED949" s="230" t="e">
        <f>VLOOKUP($M949,[1]Detail!$M:$BO,22,0)</f>
        <v>#N/A</v>
      </c>
      <c r="EE949" s="230" t="e">
        <f>VLOOKUP($M949,[1]Detail!$M:$BO,42,0)</f>
        <v>#N/A</v>
      </c>
      <c r="EF949" s="230" t="e">
        <f>VLOOKUP($M949,[1]Detail!$M:$BO,45,0)</f>
        <v>#N/A</v>
      </c>
      <c r="EH949" s="230" t="e">
        <f>ED949-AD949</f>
        <v>#N/A</v>
      </c>
      <c r="EI949" s="230" t="e">
        <f>EE949-AG949</f>
        <v>#N/A</v>
      </c>
      <c r="EJ949" s="230" t="e">
        <f>EF949-AJ949</f>
        <v>#N/A</v>
      </c>
    </row>
    <row r="950" spans="1:140" s="131" customFormat="1" ht="12.75" hidden="1" customHeight="1">
      <c r="B950" s="129" t="s">
        <v>1511</v>
      </c>
      <c r="C950" s="130" t="s">
        <v>1502</v>
      </c>
      <c r="D950" s="130" t="s">
        <v>1503</v>
      </c>
      <c r="E950" s="131" t="s">
        <v>968</v>
      </c>
      <c r="F950" s="131" t="s">
        <v>969</v>
      </c>
      <c r="G950" s="131" t="s">
        <v>1087</v>
      </c>
      <c r="J950" s="157" t="s">
        <v>126</v>
      </c>
      <c r="K950" s="132" t="s">
        <v>711</v>
      </c>
      <c r="L950" s="157" t="s">
        <v>1517</v>
      </c>
      <c r="M950" s="133" t="str">
        <f t="shared" si="963"/>
        <v>JD8B-17K823-BKW</v>
      </c>
      <c r="N950" s="134"/>
      <c r="O950" s="158">
        <v>0</v>
      </c>
      <c r="P950" s="158">
        <v>0</v>
      </c>
      <c r="Q950" s="158">
        <v>0</v>
      </c>
      <c r="R950" s="158">
        <v>0</v>
      </c>
      <c r="S950" s="158">
        <v>0</v>
      </c>
      <c r="T950" s="158">
        <v>0</v>
      </c>
      <c r="U950" s="158">
        <v>1</v>
      </c>
      <c r="V950" s="158">
        <v>1</v>
      </c>
      <c r="W950" s="135">
        <f t="shared" si="971"/>
        <v>0.1</v>
      </c>
      <c r="Y950" s="139">
        <f>-326.98-0.67</f>
        <v>-327.65000000000003</v>
      </c>
      <c r="Z950" s="139">
        <v>-2.5499999999999998</v>
      </c>
      <c r="AA950" s="139">
        <v>-5.71</v>
      </c>
      <c r="AB950" s="139">
        <v>0</v>
      </c>
      <c r="AC950" s="139">
        <v>0</v>
      </c>
      <c r="AD950" s="136">
        <f t="shared" ref="AD950" si="1070">SUM(Y950:AC950)</f>
        <v>-335.91</v>
      </c>
      <c r="AE950" s="131" t="s">
        <v>84</v>
      </c>
      <c r="AG950" s="137" t="s">
        <v>1518</v>
      </c>
      <c r="AH950" s="137" t="s">
        <v>1518</v>
      </c>
      <c r="AJ950" s="137"/>
      <c r="AK950" s="137"/>
      <c r="AL950" s="138"/>
      <c r="AM950" s="130"/>
      <c r="AO950" s="157" t="s">
        <v>126</v>
      </c>
      <c r="AP950" s="132" t="s">
        <v>711</v>
      </c>
      <c r="AQ950" s="157" t="s">
        <v>1514</v>
      </c>
      <c r="AR950" s="133" t="str">
        <f>TRIM(AO950)&amp;"-"&amp;TRIM(AP950)&amp;"-"&amp;TRIM(AQ950)</f>
        <v>JD8B-17K823-BJW</v>
      </c>
      <c r="AS950" s="134"/>
      <c r="AT950" s="158">
        <v>0</v>
      </c>
      <c r="AU950" s="158">
        <v>0</v>
      </c>
      <c r="AV950" s="158">
        <v>0</v>
      </c>
      <c r="AW950" s="158">
        <v>0</v>
      </c>
      <c r="AX950" s="158">
        <v>0</v>
      </c>
      <c r="AY950" s="158">
        <v>0</v>
      </c>
      <c r="AZ950" s="158">
        <v>1</v>
      </c>
      <c r="BA950" s="158">
        <v>1</v>
      </c>
      <c r="BB950" s="135">
        <f t="shared" si="979"/>
        <v>0.1</v>
      </c>
      <c r="BD950" s="139">
        <f>-326.98-0.67</f>
        <v>-327.65000000000003</v>
      </c>
      <c r="BE950" s="139">
        <v>-2.5499999999999998</v>
      </c>
      <c r="BF950" s="139">
        <v>-5.71</v>
      </c>
      <c r="BG950" s="139">
        <v>0</v>
      </c>
      <c r="BH950" s="139">
        <v>0</v>
      </c>
      <c r="BI950" s="136">
        <f>SUM(BD950:BH950)</f>
        <v>-335.91</v>
      </c>
      <c r="BJ950" s="131" t="s">
        <v>84</v>
      </c>
      <c r="BL950" s="137" t="s">
        <v>1515</v>
      </c>
      <c r="BM950" s="137" t="s">
        <v>1515</v>
      </c>
      <c r="BO950" s="137"/>
      <c r="BP950" s="137"/>
      <c r="BQ950" s="138"/>
      <c r="BS950" s="181">
        <f t="shared" si="1064"/>
        <v>0</v>
      </c>
      <c r="BT950" s="181">
        <f t="shared" si="1064"/>
        <v>0</v>
      </c>
      <c r="BU950" s="181">
        <f t="shared" si="1064"/>
        <v>0</v>
      </c>
      <c r="BV950" s="181">
        <f t="shared" si="1064"/>
        <v>0</v>
      </c>
      <c r="BW950" s="181">
        <f t="shared" si="1064"/>
        <v>0</v>
      </c>
      <c r="BX950" s="181">
        <f t="shared" si="1064"/>
        <v>0</v>
      </c>
      <c r="BY950" s="181" t="s">
        <v>91</v>
      </c>
      <c r="CA950" s="181">
        <f t="shared" si="1066"/>
        <v>0</v>
      </c>
      <c r="CB950" s="181">
        <f t="shared" si="1066"/>
        <v>0</v>
      </c>
      <c r="CC950" s="181">
        <f t="shared" si="1066"/>
        <v>0</v>
      </c>
      <c r="CD950" s="181">
        <f t="shared" si="1066"/>
        <v>0</v>
      </c>
      <c r="CE950" s="181">
        <f t="shared" si="1066"/>
        <v>0</v>
      </c>
      <c r="CF950" s="181">
        <f t="shared" si="1066"/>
        <v>0</v>
      </c>
      <c r="CG950" s="181">
        <f t="shared" si="1066"/>
        <v>0</v>
      </c>
      <c r="CH950" s="181">
        <f t="shared" si="1000"/>
        <v>0</v>
      </c>
      <c r="CI950" s="181">
        <f t="shared" si="1067"/>
        <v>0</v>
      </c>
      <c r="CJ950" s="181"/>
      <c r="CK950" s="181">
        <f t="shared" si="1046"/>
        <v>0</v>
      </c>
      <c r="CL950" s="181">
        <f t="shared" si="1046"/>
        <v>0</v>
      </c>
      <c r="CM950" s="181">
        <f t="shared" si="1046"/>
        <v>0</v>
      </c>
      <c r="CN950" s="181">
        <f t="shared" si="1046"/>
        <v>0</v>
      </c>
      <c r="CO950" s="181">
        <f t="shared" si="1046"/>
        <v>0</v>
      </c>
      <c r="CP950" s="181">
        <f t="shared" si="1046"/>
        <v>0</v>
      </c>
      <c r="CQ950" s="181">
        <f t="shared" si="1046"/>
        <v>0</v>
      </c>
      <c r="CR950" s="181">
        <f t="shared" si="1046"/>
        <v>0</v>
      </c>
      <c r="CS950" s="181">
        <f t="shared" si="1068"/>
        <v>0</v>
      </c>
      <c r="CT950" s="237">
        <f t="shared" si="1069"/>
        <v>0</v>
      </c>
      <c r="CV950" s="181">
        <f t="shared" si="1065"/>
        <v>0</v>
      </c>
      <c r="CW950" s="181">
        <f t="shared" si="1065"/>
        <v>0</v>
      </c>
      <c r="CX950" s="181"/>
      <c r="CY950" s="181">
        <f t="shared" si="1049"/>
        <v>0</v>
      </c>
      <c r="CZ950" s="181">
        <f t="shared" si="1049"/>
        <v>0</v>
      </c>
      <c r="DA950" s="181">
        <f t="shared" si="1049"/>
        <v>0</v>
      </c>
      <c r="DB950" s="131" t="s">
        <v>86</v>
      </c>
      <c r="DC950" s="131" t="s">
        <v>85</v>
      </c>
      <c r="DD950" s="131" t="s">
        <v>142</v>
      </c>
      <c r="DE950" s="131" t="s">
        <v>1447</v>
      </c>
      <c r="DF950" s="134"/>
      <c r="DG950" s="141"/>
      <c r="DZ950" s="134"/>
      <c r="EC950" s="139" t="str">
        <f>VLOOKUP($M950,[1]Detail!$M:$BO,1,0)</f>
        <v>JD8B-17K823-BKW</v>
      </c>
      <c r="ED950" s="139">
        <f>VLOOKUP($M950,[1]Detail!$M:$BO,22,0)</f>
        <v>-335.91</v>
      </c>
      <c r="EE950" s="139">
        <f>VLOOKUP($M950,[1]Detail!$M:$BO,42,0)</f>
        <v>0</v>
      </c>
      <c r="EF950" s="139">
        <f>VLOOKUP($M950,[1]Detail!$M:$BO,45,0)</f>
        <v>0</v>
      </c>
      <c r="EH950" s="139">
        <f t="shared" si="1061"/>
        <v>0</v>
      </c>
      <c r="EI950" s="139" t="e">
        <f t="shared" si="1062"/>
        <v>#VALUE!</v>
      </c>
      <c r="EJ950" s="139">
        <f t="shared" si="1063"/>
        <v>0</v>
      </c>
    </row>
    <row r="951" spans="1:140" ht="12.75" hidden="1" customHeight="1">
      <c r="B951" s="99" t="s">
        <v>1519</v>
      </c>
      <c r="C951" s="22" t="s">
        <v>660</v>
      </c>
      <c r="D951" s="22" t="s">
        <v>661</v>
      </c>
      <c r="E951" s="2" t="s">
        <v>968</v>
      </c>
      <c r="F951" s="2" t="s">
        <v>969</v>
      </c>
      <c r="G951" s="2" t="s">
        <v>331</v>
      </c>
      <c r="J951" s="149" t="s">
        <v>126</v>
      </c>
      <c r="K951" s="23" t="s">
        <v>1520</v>
      </c>
      <c r="L951" s="149" t="s">
        <v>132</v>
      </c>
      <c r="M951" s="51" t="str">
        <f t="shared" si="963"/>
        <v>JD8B-17B589-AB</v>
      </c>
      <c r="O951" s="22">
        <v>1</v>
      </c>
      <c r="P951" s="22">
        <v>1</v>
      </c>
      <c r="Q951" s="22">
        <v>1</v>
      </c>
      <c r="R951" s="22">
        <v>1</v>
      </c>
      <c r="S951" s="22">
        <v>1</v>
      </c>
      <c r="T951" s="22">
        <v>1</v>
      </c>
      <c r="U951" s="22">
        <v>1</v>
      </c>
      <c r="V951" s="22">
        <v>1</v>
      </c>
      <c r="W951" s="64">
        <f t="shared" si="971"/>
        <v>1</v>
      </c>
      <c r="Y951" s="60">
        <v>-39.9</v>
      </c>
      <c r="Z951" s="8">
        <v>-0.6</v>
      </c>
      <c r="AA951" s="8">
        <v>-1.5</v>
      </c>
      <c r="AB951" s="8">
        <v>0</v>
      </c>
      <c r="AC951" s="8">
        <v>0</v>
      </c>
      <c r="AD951" s="8">
        <f t="shared" si="947"/>
        <v>-42</v>
      </c>
      <c r="AE951" s="2" t="s">
        <v>84</v>
      </c>
      <c r="AG951" s="8">
        <v>-225000</v>
      </c>
      <c r="AH951" s="8">
        <v>-450000</v>
      </c>
      <c r="AJ951" s="70"/>
      <c r="AK951" s="70"/>
      <c r="AL951" s="72"/>
      <c r="AM951" s="22"/>
      <c r="AO951" s="22" t="s">
        <v>126</v>
      </c>
      <c r="AP951" s="23" t="s">
        <v>663</v>
      </c>
      <c r="AQ951" s="22" t="s">
        <v>100</v>
      </c>
      <c r="AR951" s="51" t="str">
        <f t="shared" si="965"/>
        <v>JD8B-17B589-AA</v>
      </c>
      <c r="AS951" s="3"/>
      <c r="AT951" s="22">
        <v>1</v>
      </c>
      <c r="AU951" s="22">
        <v>1</v>
      </c>
      <c r="AV951" s="22">
        <v>1</v>
      </c>
      <c r="AW951" s="22">
        <v>1</v>
      </c>
      <c r="AX951" s="22">
        <v>1</v>
      </c>
      <c r="AY951" s="22">
        <v>1</v>
      </c>
      <c r="AZ951" s="22">
        <v>1</v>
      </c>
      <c r="BA951" s="22">
        <v>1</v>
      </c>
      <c r="BB951" s="64">
        <f t="shared" si="979"/>
        <v>1</v>
      </c>
      <c r="BD951" s="8">
        <v>-39.9</v>
      </c>
      <c r="BE951" s="8">
        <v>-0.6</v>
      </c>
      <c r="BF951" s="8">
        <v>-1.5</v>
      </c>
      <c r="BG951" s="8">
        <v>0</v>
      </c>
      <c r="BH951" s="8">
        <v>0</v>
      </c>
      <c r="BI951" s="8">
        <f t="shared" ref="BI951:BI952" si="1071">SUM(BD951:BH951)</f>
        <v>-42</v>
      </c>
      <c r="BJ951" s="2" t="s">
        <v>91</v>
      </c>
      <c r="BL951" s="8">
        <v>-225000</v>
      </c>
      <c r="BM951" s="8">
        <v>-225000</v>
      </c>
      <c r="BN951" s="6"/>
      <c r="BO951" s="70">
        <v>0</v>
      </c>
      <c r="BP951" s="70">
        <v>0</v>
      </c>
      <c r="BQ951" s="72"/>
      <c r="BS951" s="61">
        <f t="shared" si="1052"/>
        <v>0</v>
      </c>
      <c r="BT951" s="61">
        <f t="shared" si="1053"/>
        <v>0</v>
      </c>
      <c r="BU951" s="61">
        <f t="shared" si="1054"/>
        <v>0</v>
      </c>
      <c r="BV951" s="61">
        <f t="shared" si="1054"/>
        <v>0</v>
      </c>
      <c r="BW951" s="61">
        <f t="shared" si="1054"/>
        <v>0</v>
      </c>
      <c r="BX951" s="61">
        <f t="shared" si="1054"/>
        <v>0</v>
      </c>
      <c r="BY951" s="61" t="s">
        <v>91</v>
      </c>
      <c r="CA951" s="61">
        <f t="shared" si="1066"/>
        <v>0</v>
      </c>
      <c r="CB951" s="61">
        <f t="shared" si="1066"/>
        <v>0</v>
      </c>
      <c r="CC951" s="61">
        <f t="shared" si="1066"/>
        <v>0</v>
      </c>
      <c r="CD951" s="61">
        <f t="shared" si="1066"/>
        <v>0</v>
      </c>
      <c r="CE951" s="61">
        <f t="shared" si="1066"/>
        <v>0</v>
      </c>
      <c r="CF951" s="61">
        <f t="shared" si="1066"/>
        <v>0</v>
      </c>
      <c r="CG951" s="61">
        <f t="shared" si="1066"/>
        <v>0</v>
      </c>
      <c r="CH951" s="61">
        <f t="shared" si="1000"/>
        <v>0</v>
      </c>
      <c r="CI951" s="61">
        <f t="shared" si="1067"/>
        <v>0</v>
      </c>
      <c r="CJ951" s="61"/>
      <c r="CK951" s="61">
        <f t="shared" si="1046"/>
        <v>0</v>
      </c>
      <c r="CL951" s="61">
        <f t="shared" si="1046"/>
        <v>0</v>
      </c>
      <c r="CM951" s="61">
        <f t="shared" si="1046"/>
        <v>0</v>
      </c>
      <c r="CN951" s="61">
        <f t="shared" si="1046"/>
        <v>0</v>
      </c>
      <c r="CO951" s="61">
        <f t="shared" si="1046"/>
        <v>0</v>
      </c>
      <c r="CP951" s="61">
        <f t="shared" si="1046"/>
        <v>0</v>
      </c>
      <c r="CQ951" s="61">
        <f t="shared" si="1046"/>
        <v>0</v>
      </c>
      <c r="CR951" s="61">
        <f t="shared" si="1046"/>
        <v>0</v>
      </c>
      <c r="CS951" s="61">
        <f t="shared" si="1068"/>
        <v>0</v>
      </c>
      <c r="CT951" s="61">
        <f t="shared" si="1069"/>
        <v>0</v>
      </c>
      <c r="CV951" s="61">
        <f t="shared" si="948"/>
        <v>0</v>
      </c>
      <c r="CW951" s="61">
        <f t="shared" si="949"/>
        <v>-225000</v>
      </c>
      <c r="CX951" s="61"/>
      <c r="CY951" s="61">
        <f t="shared" si="1049"/>
        <v>0</v>
      </c>
      <c r="CZ951" s="61">
        <f t="shared" si="1049"/>
        <v>0</v>
      </c>
      <c r="DA951" s="61">
        <f t="shared" si="1049"/>
        <v>0</v>
      </c>
      <c r="DB951" s="2" t="s">
        <v>86</v>
      </c>
      <c r="DC951" s="2" t="s">
        <v>85</v>
      </c>
      <c r="DD951" s="2" t="s">
        <v>142</v>
      </c>
      <c r="DE951" s="2" t="s">
        <v>264</v>
      </c>
      <c r="DF951" s="3" t="s">
        <v>86</v>
      </c>
      <c r="DG951" s="62">
        <v>43034</v>
      </c>
      <c r="EC951" s="60" t="str">
        <f>VLOOKUP($M951,[1]Detail!$M:$BO,1,0)</f>
        <v>JD8B-17B589-AB</v>
      </c>
      <c r="ED951" s="60">
        <f>VLOOKUP($M951,[1]Detail!$M:$BO,22,0)</f>
        <v>-42</v>
      </c>
      <c r="EE951" s="60">
        <f>VLOOKUP($M951,[1]Detail!$M:$BO,42,0)</f>
        <v>-225000</v>
      </c>
      <c r="EF951" s="60">
        <f>VLOOKUP($M951,[1]Detail!$M:$BO,45,0)</f>
        <v>0</v>
      </c>
      <c r="EH951" s="60">
        <f t="shared" si="1061"/>
        <v>0</v>
      </c>
      <c r="EI951" s="60">
        <f t="shared" si="1062"/>
        <v>0</v>
      </c>
      <c r="EJ951" s="60">
        <f t="shared" si="1063"/>
        <v>0</v>
      </c>
    </row>
    <row r="952" spans="1:140" ht="12.75" hidden="1" customHeight="1">
      <c r="B952" s="99" t="s">
        <v>1519</v>
      </c>
      <c r="C952" s="22" t="s">
        <v>660</v>
      </c>
      <c r="D952" s="22" t="s">
        <v>661</v>
      </c>
      <c r="E952" s="2" t="s">
        <v>968</v>
      </c>
      <c r="F952" s="2" t="s">
        <v>969</v>
      </c>
      <c r="G952" s="2" t="s">
        <v>331</v>
      </c>
      <c r="J952" s="149" t="s">
        <v>126</v>
      </c>
      <c r="K952" s="23" t="s">
        <v>1521</v>
      </c>
      <c r="L952" s="149" t="s">
        <v>132</v>
      </c>
      <c r="M952" s="51" t="str">
        <f t="shared" si="963"/>
        <v>JD8B-17C495-AB</v>
      </c>
      <c r="O952" s="22">
        <v>1</v>
      </c>
      <c r="P952" s="22">
        <v>1</v>
      </c>
      <c r="Q952" s="22">
        <v>1</v>
      </c>
      <c r="R952" s="22">
        <v>1</v>
      </c>
      <c r="S952" s="22">
        <v>1</v>
      </c>
      <c r="T952" s="22">
        <v>1</v>
      </c>
      <c r="U952" s="22">
        <v>1</v>
      </c>
      <c r="V952" s="22">
        <v>1</v>
      </c>
      <c r="W952" s="64">
        <f t="shared" si="971"/>
        <v>1</v>
      </c>
      <c r="Y952" s="60">
        <v>-39.9</v>
      </c>
      <c r="Z952" s="8">
        <v>-0.6</v>
      </c>
      <c r="AA952" s="8">
        <v>-1.5</v>
      </c>
      <c r="AB952" s="8">
        <v>0</v>
      </c>
      <c r="AC952" s="8">
        <v>0</v>
      </c>
      <c r="AD952" s="8">
        <f t="shared" si="947"/>
        <v>-42</v>
      </c>
      <c r="AE952" s="2" t="s">
        <v>84</v>
      </c>
      <c r="AG952" s="8">
        <v>-225000</v>
      </c>
      <c r="AH952" s="8">
        <v>-450000</v>
      </c>
      <c r="AJ952" s="70"/>
      <c r="AK952" s="70"/>
      <c r="AL952" s="72"/>
      <c r="AM952" s="22"/>
      <c r="AO952" s="22" t="s">
        <v>126</v>
      </c>
      <c r="AP952" s="23" t="s">
        <v>664</v>
      </c>
      <c r="AQ952" s="22" t="s">
        <v>100</v>
      </c>
      <c r="AR952" s="51" t="str">
        <f t="shared" si="965"/>
        <v>JD8B-17C495-AA</v>
      </c>
      <c r="AS952" s="3"/>
      <c r="AT952" s="22">
        <v>1</v>
      </c>
      <c r="AU952" s="22">
        <v>1</v>
      </c>
      <c r="AV952" s="22">
        <v>1</v>
      </c>
      <c r="AW952" s="22">
        <v>1</v>
      </c>
      <c r="AX952" s="22">
        <v>1</v>
      </c>
      <c r="AY952" s="22">
        <v>1</v>
      </c>
      <c r="AZ952" s="22">
        <v>1</v>
      </c>
      <c r="BA952" s="22">
        <v>1</v>
      </c>
      <c r="BB952" s="64">
        <f t="shared" si="979"/>
        <v>1</v>
      </c>
      <c r="BD952" s="8">
        <v>-39.9</v>
      </c>
      <c r="BE952" s="8">
        <v>-0.6</v>
      </c>
      <c r="BF952" s="8">
        <v>-1.5</v>
      </c>
      <c r="BG952" s="8">
        <v>0</v>
      </c>
      <c r="BH952" s="8">
        <v>0</v>
      </c>
      <c r="BI952" s="8">
        <f t="shared" si="1071"/>
        <v>-42</v>
      </c>
      <c r="BJ952" s="2" t="s">
        <v>91</v>
      </c>
      <c r="BL952" s="8">
        <v>-225000</v>
      </c>
      <c r="BM952" s="8">
        <v>-225000</v>
      </c>
      <c r="BN952" s="6"/>
      <c r="BO952" s="70">
        <v>0</v>
      </c>
      <c r="BP952" s="70">
        <v>0</v>
      </c>
      <c r="BQ952" s="72"/>
      <c r="BS952" s="61">
        <f t="shared" si="1052"/>
        <v>0</v>
      </c>
      <c r="BT952" s="61">
        <f t="shared" si="1053"/>
        <v>0</v>
      </c>
      <c r="BU952" s="61">
        <f t="shared" si="1054"/>
        <v>0</v>
      </c>
      <c r="BV952" s="61">
        <f t="shared" si="1054"/>
        <v>0</v>
      </c>
      <c r="BW952" s="61">
        <f t="shared" si="1054"/>
        <v>0</v>
      </c>
      <c r="BX952" s="61">
        <f t="shared" si="1054"/>
        <v>0</v>
      </c>
      <c r="BY952" s="61" t="s">
        <v>91</v>
      </c>
      <c r="CA952" s="61">
        <f t="shared" si="1066"/>
        <v>0</v>
      </c>
      <c r="CB952" s="61">
        <f t="shared" si="1066"/>
        <v>0</v>
      </c>
      <c r="CC952" s="61">
        <f t="shared" si="1066"/>
        <v>0</v>
      </c>
      <c r="CD952" s="61">
        <f t="shared" si="1066"/>
        <v>0</v>
      </c>
      <c r="CE952" s="61">
        <f t="shared" si="1066"/>
        <v>0</v>
      </c>
      <c r="CF952" s="61">
        <f t="shared" si="1066"/>
        <v>0</v>
      </c>
      <c r="CG952" s="61">
        <f t="shared" si="1066"/>
        <v>0</v>
      </c>
      <c r="CH952" s="61">
        <f t="shared" si="1000"/>
        <v>0</v>
      </c>
      <c r="CI952" s="61">
        <f t="shared" si="1067"/>
        <v>0</v>
      </c>
      <c r="CJ952" s="61"/>
      <c r="CK952" s="61">
        <f t="shared" si="1046"/>
        <v>0</v>
      </c>
      <c r="CL952" s="61">
        <f t="shared" si="1046"/>
        <v>0</v>
      </c>
      <c r="CM952" s="61">
        <f t="shared" si="1046"/>
        <v>0</v>
      </c>
      <c r="CN952" s="61">
        <f t="shared" si="1046"/>
        <v>0</v>
      </c>
      <c r="CO952" s="61">
        <f t="shared" si="1046"/>
        <v>0</v>
      </c>
      <c r="CP952" s="61">
        <f t="shared" si="1046"/>
        <v>0</v>
      </c>
      <c r="CQ952" s="61">
        <f t="shared" si="1046"/>
        <v>0</v>
      </c>
      <c r="CR952" s="61">
        <f t="shared" si="1046"/>
        <v>0</v>
      </c>
      <c r="CS952" s="61">
        <f t="shared" si="1068"/>
        <v>0</v>
      </c>
      <c r="CT952" s="61">
        <f t="shared" si="1069"/>
        <v>0</v>
      </c>
      <c r="CV952" s="61">
        <f t="shared" si="948"/>
        <v>0</v>
      </c>
      <c r="CW952" s="61">
        <f t="shared" si="949"/>
        <v>-225000</v>
      </c>
      <c r="CX952" s="61"/>
      <c r="CY952" s="61">
        <f t="shared" si="1049"/>
        <v>0</v>
      </c>
      <c r="CZ952" s="61">
        <f t="shared" si="1049"/>
        <v>0</v>
      </c>
      <c r="DA952" s="61">
        <f t="shared" si="1049"/>
        <v>0</v>
      </c>
      <c r="DB952" s="2" t="s">
        <v>86</v>
      </c>
      <c r="DC952" s="2" t="s">
        <v>85</v>
      </c>
      <c r="DD952" s="2" t="s">
        <v>142</v>
      </c>
      <c r="DE952" s="2" t="s">
        <v>264</v>
      </c>
      <c r="DF952" s="3" t="s">
        <v>86</v>
      </c>
      <c r="DG952" s="62">
        <v>43034</v>
      </c>
      <c r="EC952" s="60" t="str">
        <f>VLOOKUP($M952,[1]Detail!$M:$BO,1,0)</f>
        <v>JD8B-17C495-AB</v>
      </c>
      <c r="ED952" s="60">
        <f>VLOOKUP($M952,[1]Detail!$M:$BO,22,0)</f>
        <v>-42</v>
      </c>
      <c r="EE952" s="60">
        <f>VLOOKUP($M952,[1]Detail!$M:$BO,42,0)</f>
        <v>-225000</v>
      </c>
      <c r="EF952" s="60">
        <f>VLOOKUP($M952,[1]Detail!$M:$BO,45,0)</f>
        <v>0</v>
      </c>
      <c r="EH952" s="60">
        <f t="shared" si="1061"/>
        <v>0</v>
      </c>
      <c r="EI952" s="60">
        <f t="shared" si="1062"/>
        <v>0</v>
      </c>
      <c r="EJ952" s="60">
        <f t="shared" si="1063"/>
        <v>0</v>
      </c>
    </row>
    <row r="953" spans="1:140" ht="12.75" hidden="1" customHeight="1">
      <c r="B953" s="99" t="s">
        <v>1522</v>
      </c>
      <c r="C953" s="22" t="s">
        <v>1523</v>
      </c>
      <c r="D953" s="22" t="s">
        <v>1524</v>
      </c>
      <c r="E953" s="2" t="s">
        <v>968</v>
      </c>
      <c r="F953" s="2" t="s">
        <v>969</v>
      </c>
      <c r="G953" s="2" t="s">
        <v>1087</v>
      </c>
      <c r="J953" s="149" t="s">
        <v>126</v>
      </c>
      <c r="K953" s="23" t="s">
        <v>776</v>
      </c>
      <c r="L953" s="149" t="s">
        <v>234</v>
      </c>
      <c r="M953" s="51" t="str">
        <f t="shared" si="963"/>
        <v>JD8B-F42509-AC</v>
      </c>
      <c r="O953" s="22">
        <v>1</v>
      </c>
      <c r="P953" s="22">
        <v>1</v>
      </c>
      <c r="Q953" s="22">
        <v>1</v>
      </c>
      <c r="R953" s="22">
        <v>1</v>
      </c>
      <c r="S953" s="22">
        <v>1</v>
      </c>
      <c r="T953" s="22">
        <v>1</v>
      </c>
      <c r="U953" s="22">
        <v>1</v>
      </c>
      <c r="V953" s="22">
        <v>1</v>
      </c>
      <c r="W953" s="64">
        <f t="shared" si="971"/>
        <v>1</v>
      </c>
      <c r="Y953" s="60">
        <v>-47.57</v>
      </c>
      <c r="Z953" s="8">
        <v>-0.82</v>
      </c>
      <c r="AA953" s="8">
        <v>-1.1299999999999999</v>
      </c>
      <c r="AB953" s="8">
        <v>0</v>
      </c>
      <c r="AC953" s="8">
        <v>0</v>
      </c>
      <c r="AD953" s="8">
        <f t="shared" si="947"/>
        <v>-49.52</v>
      </c>
      <c r="AE953" s="2" t="s">
        <v>84</v>
      </c>
      <c r="AG953" s="70">
        <v>-1140000</v>
      </c>
      <c r="AH953" s="70">
        <v>-1140000</v>
      </c>
      <c r="AJ953" s="70"/>
      <c r="AK953" s="70"/>
      <c r="AL953" s="72"/>
      <c r="AM953" s="22"/>
      <c r="AO953" s="22" t="s">
        <v>126</v>
      </c>
      <c r="AP953" s="23" t="s">
        <v>775</v>
      </c>
      <c r="AQ953" s="22" t="s">
        <v>132</v>
      </c>
      <c r="AR953" s="51" t="str">
        <f t="shared" si="965"/>
        <v>JD8B-F42509-AB</v>
      </c>
      <c r="AS953" s="3"/>
      <c r="AT953" s="22">
        <v>1</v>
      </c>
      <c r="AU953" s="22">
        <v>1</v>
      </c>
      <c r="AV953" s="22">
        <v>1</v>
      </c>
      <c r="AW953" s="22">
        <v>1</v>
      </c>
      <c r="AX953" s="22">
        <v>1</v>
      </c>
      <c r="AY953" s="22">
        <v>1</v>
      </c>
      <c r="AZ953" s="22">
        <v>1</v>
      </c>
      <c r="BA953" s="22">
        <v>1</v>
      </c>
      <c r="BB953" s="64">
        <f t="shared" si="979"/>
        <v>1</v>
      </c>
      <c r="BD953" s="8">
        <f>-42.39*0-43.66*0-47.93</f>
        <v>-47.93</v>
      </c>
      <c r="BE953" s="8">
        <v>-0.82</v>
      </c>
      <c r="BF953" s="8">
        <v>-1.1299999999999999</v>
      </c>
      <c r="BG953" s="8">
        <v>0</v>
      </c>
      <c r="BH953" s="8">
        <v>0</v>
      </c>
      <c r="BI953" s="8">
        <f t="shared" ref="BI953" si="1072">SUM(BD953:BH953)</f>
        <v>-49.88</v>
      </c>
      <c r="BJ953" s="2" t="s">
        <v>91</v>
      </c>
      <c r="BL953" s="8">
        <f>-970000*0-1090000</f>
        <v>-1090000</v>
      </c>
      <c r="BM953" s="8">
        <f>-970000*0-1090000</f>
        <v>-1090000</v>
      </c>
      <c r="BN953" s="6"/>
      <c r="BO953" s="70">
        <v>0</v>
      </c>
      <c r="BP953" s="70">
        <v>0</v>
      </c>
      <c r="BQ953" s="72">
        <v>0</v>
      </c>
      <c r="BS953" s="61">
        <f t="shared" si="1052"/>
        <v>0.35999999999999943</v>
      </c>
      <c r="BT953" s="61">
        <f t="shared" si="1053"/>
        <v>0</v>
      </c>
      <c r="BU953" s="61">
        <f t="shared" si="1054"/>
        <v>0</v>
      </c>
      <c r="BV953" s="61">
        <f t="shared" si="1054"/>
        <v>0</v>
      </c>
      <c r="BW953" s="61">
        <f t="shared" si="1054"/>
        <v>0</v>
      </c>
      <c r="BX953" s="61">
        <f t="shared" si="1054"/>
        <v>0.35999999999999943</v>
      </c>
      <c r="BY953" s="61" t="s">
        <v>91</v>
      </c>
      <c r="CA953" s="61">
        <f t="shared" si="1066"/>
        <v>5.4159771325409875E-2</v>
      </c>
      <c r="CB953" s="61">
        <f t="shared" si="1066"/>
        <v>5.4159771325409875E-2</v>
      </c>
      <c r="CC953" s="61">
        <f t="shared" si="1066"/>
        <v>5.4159771325409875E-2</v>
      </c>
      <c r="CD953" s="61">
        <f t="shared" si="1066"/>
        <v>5.4159771325409875E-2</v>
      </c>
      <c r="CE953" s="61">
        <f t="shared" si="1066"/>
        <v>5.4159771325409875E-2</v>
      </c>
      <c r="CF953" s="61">
        <f t="shared" si="1066"/>
        <v>5.4159771325409875E-2</v>
      </c>
      <c r="CG953" s="61">
        <f t="shared" si="1066"/>
        <v>5.4159771325409875E-2</v>
      </c>
      <c r="CH953" s="61">
        <f t="shared" si="1000"/>
        <v>5.4159771325409875E-2</v>
      </c>
      <c r="CI953" s="61">
        <f t="shared" si="1067"/>
        <v>5.4159771325409889E-2</v>
      </c>
      <c r="CJ953" s="61"/>
      <c r="CK953" s="61">
        <f t="shared" si="1046"/>
        <v>5.4159771325409875E-2</v>
      </c>
      <c r="CL953" s="61">
        <f t="shared" si="1046"/>
        <v>5.4159771325409875E-2</v>
      </c>
      <c r="CM953" s="61">
        <f t="shared" si="1046"/>
        <v>5.4159771325409875E-2</v>
      </c>
      <c r="CN953" s="61">
        <f t="shared" si="1046"/>
        <v>5.4159771325409875E-2</v>
      </c>
      <c r="CO953" s="61">
        <f t="shared" si="1046"/>
        <v>5.4159771325409875E-2</v>
      </c>
      <c r="CP953" s="61">
        <f t="shared" si="1046"/>
        <v>5.4159771325409875E-2</v>
      </c>
      <c r="CQ953" s="61">
        <f t="shared" si="1046"/>
        <v>5.4159771325409875E-2</v>
      </c>
      <c r="CR953" s="61">
        <f t="shared" si="1046"/>
        <v>5.4159771325409875E-2</v>
      </c>
      <c r="CS953" s="61">
        <f t="shared" si="1068"/>
        <v>5.4159771325409889E-2</v>
      </c>
      <c r="CT953" s="61">
        <f t="shared" si="1069"/>
        <v>0.35999999999999954</v>
      </c>
      <c r="CV953" s="61">
        <f t="shared" ref="CV953" si="1073">SUM(AG953)-SUM(BL953)</f>
        <v>-50000</v>
      </c>
      <c r="CW953" s="61">
        <f t="shared" ref="CW953" si="1074">SUM(AH953)-SUM(BM953)</f>
        <v>-50000</v>
      </c>
      <c r="CX953" s="61"/>
      <c r="CY953" s="61">
        <f t="shared" si="1049"/>
        <v>0</v>
      </c>
      <c r="CZ953" s="61">
        <f t="shared" si="1049"/>
        <v>0</v>
      </c>
      <c r="DA953" s="61">
        <f t="shared" si="1049"/>
        <v>0</v>
      </c>
      <c r="DB953" s="2" t="s">
        <v>85</v>
      </c>
      <c r="DC953" s="2" t="s">
        <v>85</v>
      </c>
      <c r="DD953" s="2" t="s">
        <v>142</v>
      </c>
      <c r="DE953" s="2" t="s">
        <v>264</v>
      </c>
      <c r="DF953" s="3" t="s">
        <v>86</v>
      </c>
      <c r="DG953" s="62">
        <v>43034</v>
      </c>
      <c r="EC953" s="60"/>
      <c r="ED953" s="60"/>
      <c r="EE953" s="60"/>
      <c r="EF953" s="60"/>
    </row>
    <row r="954" spans="1:140" ht="12.75" hidden="1" customHeight="1">
      <c r="B954" s="99" t="s">
        <v>1525</v>
      </c>
      <c r="C954" s="22" t="s">
        <v>1523</v>
      </c>
      <c r="D954" s="22" t="s">
        <v>1524</v>
      </c>
      <c r="E954" s="2" t="s">
        <v>968</v>
      </c>
      <c r="F954" s="2" t="s">
        <v>969</v>
      </c>
      <c r="G954" s="2" t="s">
        <v>1087</v>
      </c>
      <c r="J954" s="149" t="s">
        <v>126</v>
      </c>
      <c r="K954" s="23" t="s">
        <v>776</v>
      </c>
      <c r="L954" s="149" t="s">
        <v>162</v>
      </c>
      <c r="M954" s="51" t="str">
        <f t="shared" si="963"/>
        <v>JD8B-F42509-AD</v>
      </c>
      <c r="O954" s="22">
        <v>1</v>
      </c>
      <c r="P954" s="22">
        <v>1</v>
      </c>
      <c r="Q954" s="22">
        <v>1</v>
      </c>
      <c r="R954" s="22">
        <v>1</v>
      </c>
      <c r="S954" s="22">
        <v>1</v>
      </c>
      <c r="T954" s="22">
        <v>1</v>
      </c>
      <c r="U954" s="22">
        <v>1</v>
      </c>
      <c r="V954" s="22">
        <v>1</v>
      </c>
      <c r="W954" s="64">
        <f t="shared" si="971"/>
        <v>1</v>
      </c>
      <c r="Y954" s="60">
        <v>-47.57</v>
      </c>
      <c r="Z954" s="8">
        <v>-0.82</v>
      </c>
      <c r="AA954" s="8">
        <v>-1.1299999999999999</v>
      </c>
      <c r="AB954" s="8">
        <v>0</v>
      </c>
      <c r="AC954" s="8">
        <v>0</v>
      </c>
      <c r="AD954" s="8">
        <f t="shared" ref="AD954" si="1075">SUM(Y954:AC954)</f>
        <v>-49.52</v>
      </c>
      <c r="AE954" s="2" t="s">
        <v>84</v>
      </c>
      <c r="AG954" s="70">
        <v>-1140000</v>
      </c>
      <c r="AH954" s="70">
        <v>-1140000</v>
      </c>
      <c r="AJ954" s="70"/>
      <c r="AK954" s="70"/>
      <c r="AL954" s="72"/>
      <c r="AM954" s="22"/>
      <c r="AO954" s="149" t="s">
        <v>126</v>
      </c>
      <c r="AP954" s="23" t="s">
        <v>776</v>
      </c>
      <c r="AQ954" s="149" t="s">
        <v>234</v>
      </c>
      <c r="AR954" s="51" t="str">
        <f t="shared" si="965"/>
        <v>JD8B-F42509-AC</v>
      </c>
      <c r="AS954" s="3"/>
      <c r="AT954" s="22">
        <v>1</v>
      </c>
      <c r="AU954" s="22">
        <v>1</v>
      </c>
      <c r="AV954" s="22">
        <v>1</v>
      </c>
      <c r="AW954" s="22">
        <v>1</v>
      </c>
      <c r="AX954" s="22">
        <v>1</v>
      </c>
      <c r="AY954" s="22">
        <v>1</v>
      </c>
      <c r="AZ954" s="22">
        <v>1</v>
      </c>
      <c r="BA954" s="22">
        <v>1</v>
      </c>
      <c r="BB954" s="64">
        <f t="shared" si="979"/>
        <v>1</v>
      </c>
      <c r="BD954" s="60">
        <v>-47.57</v>
      </c>
      <c r="BE954" s="8">
        <v>-0.82</v>
      </c>
      <c r="BF954" s="8">
        <v>-1.1299999999999999</v>
      </c>
      <c r="BG954" s="8">
        <v>0</v>
      </c>
      <c r="BH954" s="8">
        <v>0</v>
      </c>
      <c r="BI954" s="8">
        <f t="shared" ref="BI954" si="1076">SUM(BD954:BH954)</f>
        <v>-49.52</v>
      </c>
      <c r="BJ954" s="2" t="s">
        <v>84</v>
      </c>
      <c r="BL954" s="70">
        <v>-1140000</v>
      </c>
      <c r="BM954" s="70">
        <v>-1140000</v>
      </c>
      <c r="BN954" s="6"/>
      <c r="BO954" s="70">
        <v>0</v>
      </c>
      <c r="BP954" s="70">
        <v>0</v>
      </c>
      <c r="BQ954" s="72">
        <v>0</v>
      </c>
      <c r="BS954" s="61">
        <f t="shared" si="1052"/>
        <v>0</v>
      </c>
      <c r="BT954" s="61">
        <f t="shared" si="1053"/>
        <v>0</v>
      </c>
      <c r="BU954" s="61">
        <f t="shared" si="1054"/>
        <v>0</v>
      </c>
      <c r="BV954" s="61">
        <f t="shared" si="1054"/>
        <v>0</v>
      </c>
      <c r="BW954" s="61">
        <f t="shared" si="1054"/>
        <v>0</v>
      </c>
      <c r="BX954" s="61">
        <f t="shared" si="1054"/>
        <v>0</v>
      </c>
      <c r="BY954" s="61" t="s">
        <v>91</v>
      </c>
      <c r="CA954" s="61">
        <f t="shared" si="1066"/>
        <v>0</v>
      </c>
      <c r="CB954" s="61">
        <f t="shared" si="1066"/>
        <v>0</v>
      </c>
      <c r="CC954" s="61">
        <f t="shared" si="1066"/>
        <v>0</v>
      </c>
      <c r="CD954" s="61">
        <f t="shared" si="1066"/>
        <v>0</v>
      </c>
      <c r="CE954" s="61">
        <f t="shared" si="1066"/>
        <v>0</v>
      </c>
      <c r="CF954" s="61">
        <f t="shared" si="1066"/>
        <v>0</v>
      </c>
      <c r="CG954" s="61">
        <f t="shared" si="1066"/>
        <v>0</v>
      </c>
      <c r="CH954" s="61">
        <f t="shared" si="1000"/>
        <v>0</v>
      </c>
      <c r="CI954" s="61">
        <f t="shared" si="1067"/>
        <v>0</v>
      </c>
      <c r="CJ954" s="61"/>
      <c r="CK954" s="61">
        <f t="shared" si="1046"/>
        <v>0</v>
      </c>
      <c r="CL954" s="61">
        <f t="shared" si="1046"/>
        <v>0</v>
      </c>
      <c r="CM954" s="61">
        <f t="shared" si="1046"/>
        <v>0</v>
      </c>
      <c r="CN954" s="61">
        <f t="shared" si="1046"/>
        <v>0</v>
      </c>
      <c r="CO954" s="61">
        <f t="shared" si="1046"/>
        <v>0</v>
      </c>
      <c r="CP954" s="61">
        <f t="shared" si="1046"/>
        <v>0</v>
      </c>
      <c r="CQ954" s="61">
        <f t="shared" si="1046"/>
        <v>0</v>
      </c>
      <c r="CR954" s="61">
        <f t="shared" si="1046"/>
        <v>0</v>
      </c>
      <c r="CS954" s="61">
        <f t="shared" si="1068"/>
        <v>0</v>
      </c>
      <c r="CT954" s="61">
        <f t="shared" si="1069"/>
        <v>0</v>
      </c>
      <c r="CV954" s="61">
        <f t="shared" ref="CV954" si="1077">SUM(AG954)-SUM(BL954)</f>
        <v>0</v>
      </c>
      <c r="CW954" s="61">
        <f t="shared" ref="CW954" si="1078">SUM(AH954)-SUM(BM954)</f>
        <v>0</v>
      </c>
      <c r="CX954" s="61"/>
      <c r="CY954" s="61">
        <f t="shared" si="1049"/>
        <v>0</v>
      </c>
      <c r="CZ954" s="61">
        <f t="shared" si="1049"/>
        <v>0</v>
      </c>
      <c r="DA954" s="61">
        <f t="shared" si="1049"/>
        <v>0</v>
      </c>
      <c r="DB954" s="2" t="s">
        <v>86</v>
      </c>
      <c r="DC954" s="2" t="s">
        <v>85</v>
      </c>
      <c r="DD954" s="2" t="s">
        <v>142</v>
      </c>
      <c r="DE954" s="2" t="s">
        <v>106</v>
      </c>
      <c r="DF954" s="3" t="s">
        <v>86</v>
      </c>
      <c r="DG954" s="62">
        <v>43105</v>
      </c>
      <c r="EC954" s="60" t="str">
        <f>VLOOKUP($M954,[1]Detail!$M:$BO,1,0)</f>
        <v>JD8B-F42509-AD</v>
      </c>
      <c r="ED954" s="60">
        <f>VLOOKUP($M954,[1]Detail!$M:$BO,22,0)</f>
        <v>-49.52</v>
      </c>
      <c r="EE954" s="60">
        <f>VLOOKUP($M954,[1]Detail!$M:$BO,42,0)</f>
        <v>-1140000</v>
      </c>
      <c r="EF954" s="60">
        <f>VLOOKUP($M954,[1]Detail!$M:$BO,45,0)</f>
        <v>0</v>
      </c>
      <c r="EH954" s="60">
        <f>ED954-AD954</f>
        <v>0</v>
      </c>
      <c r="EI954" s="60">
        <f>EE954-AG954</f>
        <v>0</v>
      </c>
      <c r="EJ954" s="60">
        <f>EF954-AJ954</f>
        <v>0</v>
      </c>
    </row>
    <row r="955" spans="1:140" ht="12.75" hidden="1" customHeight="1">
      <c r="B955" s="99" t="s">
        <v>1526</v>
      </c>
      <c r="C955" s="22" t="s">
        <v>726</v>
      </c>
      <c r="D955" s="22" t="s">
        <v>727</v>
      </c>
      <c r="E955" s="2" t="s">
        <v>260</v>
      </c>
      <c r="F955" s="2" t="s">
        <v>1025</v>
      </c>
      <c r="G955" s="2" t="s">
        <v>994</v>
      </c>
      <c r="J955" s="149" t="s">
        <v>728</v>
      </c>
      <c r="K955" s="23" t="s">
        <v>729</v>
      </c>
      <c r="L955" s="149" t="s">
        <v>1527</v>
      </c>
      <c r="M955" s="51" t="str">
        <f t="shared" si="963"/>
        <v>MJD8B -LBBA-ABW </v>
      </c>
      <c r="O955" s="22">
        <v>1</v>
      </c>
      <c r="P955" s="22">
        <v>0</v>
      </c>
      <c r="Q955" s="22">
        <v>0</v>
      </c>
      <c r="R955" s="22">
        <v>0</v>
      </c>
      <c r="S955" s="22">
        <v>0</v>
      </c>
      <c r="T955" s="22">
        <v>0</v>
      </c>
      <c r="U955" s="22">
        <v>0</v>
      </c>
      <c r="V955" s="22">
        <v>0</v>
      </c>
      <c r="W955" s="64">
        <f t="shared" si="971"/>
        <v>0.14000000000000001</v>
      </c>
      <c r="Y955" s="60">
        <v>-750.76</v>
      </c>
      <c r="Z955" s="8"/>
      <c r="AA955" s="8">
        <v>-8.44</v>
      </c>
      <c r="AB955" s="8">
        <v>-2.12</v>
      </c>
      <c r="AC955" s="8"/>
      <c r="AD955" s="8">
        <f t="shared" si="759"/>
        <v>-761.32</v>
      </c>
      <c r="AE955" s="2" t="s">
        <v>84</v>
      </c>
      <c r="AG955" s="8">
        <v>-7009600</v>
      </c>
      <c r="AH955" s="8">
        <v>-7009600</v>
      </c>
      <c r="AJ955" s="70"/>
      <c r="AK955" s="70"/>
      <c r="AL955" s="72"/>
      <c r="AM955" s="22"/>
      <c r="AO955" s="22" t="s">
        <v>728</v>
      </c>
      <c r="AP955" s="23" t="s">
        <v>1001</v>
      </c>
      <c r="AQ955" s="22" t="s">
        <v>93</v>
      </c>
      <c r="AR955" s="51" t="str">
        <f t="shared" si="965"/>
        <v>MJD8B -LBBA-ABW</v>
      </c>
      <c r="AS955" s="3"/>
      <c r="AT955" s="22">
        <v>1</v>
      </c>
      <c r="AU955" s="22">
        <v>0</v>
      </c>
      <c r="AV955" s="22">
        <v>0</v>
      </c>
      <c r="AW955" s="22">
        <v>0</v>
      </c>
      <c r="AX955" s="22">
        <v>0</v>
      </c>
      <c r="AY955" s="22">
        <v>0</v>
      </c>
      <c r="AZ955" s="22">
        <v>0</v>
      </c>
      <c r="BA955" s="22">
        <v>0</v>
      </c>
      <c r="BB955" s="64">
        <f t="shared" si="979"/>
        <v>0.14000000000000001</v>
      </c>
      <c r="BD955" s="8">
        <f>-746.42*0-748.68</f>
        <v>-748.68</v>
      </c>
      <c r="BE955" s="8">
        <v>0</v>
      </c>
      <c r="BF955" s="8">
        <v>-8.44</v>
      </c>
      <c r="BG955" s="8">
        <v>-2.12</v>
      </c>
      <c r="BH955" s="8">
        <v>0</v>
      </c>
      <c r="BI955" s="8">
        <f t="shared" ref="BI955:BI966" si="1079">SUM(BD955:BH955)</f>
        <v>-759.24</v>
      </c>
      <c r="BJ955" s="2" t="s">
        <v>84</v>
      </c>
      <c r="BL955" s="8">
        <f>-6643600*0-6669600*0-7009600</f>
        <v>-7009600</v>
      </c>
      <c r="BM955" s="8">
        <f>-6643600*0-6669600*0-7009600</f>
        <v>-7009600</v>
      </c>
      <c r="BN955" s="6"/>
      <c r="BO955" s="70">
        <v>0</v>
      </c>
      <c r="BP955" s="70">
        <v>0</v>
      </c>
      <c r="BQ955" s="72"/>
      <c r="BS955" s="61">
        <f t="shared" si="1052"/>
        <v>-2.0800000000000409</v>
      </c>
      <c r="BT955" s="61">
        <f t="shared" si="1053"/>
        <v>0</v>
      </c>
      <c r="BU955" s="61">
        <f t="shared" si="1054"/>
        <v>0</v>
      </c>
      <c r="BV955" s="61">
        <f t="shared" si="1054"/>
        <v>0</v>
      </c>
      <c r="BW955" s="61">
        <f t="shared" si="1054"/>
        <v>0</v>
      </c>
      <c r="BX955" s="61">
        <f t="shared" si="1054"/>
        <v>-2.0800000000000409</v>
      </c>
      <c r="BY955" s="61" t="s">
        <v>91</v>
      </c>
      <c r="CA955" s="61">
        <f t="shared" si="1066"/>
        <v>-0.31292312321348592</v>
      </c>
      <c r="CB955" s="61">
        <f t="shared" si="1066"/>
        <v>0</v>
      </c>
      <c r="CC955" s="61">
        <f t="shared" si="1066"/>
        <v>0</v>
      </c>
      <c r="CD955" s="61">
        <f t="shared" si="1066"/>
        <v>0</v>
      </c>
      <c r="CE955" s="61">
        <f t="shared" si="1066"/>
        <v>0</v>
      </c>
      <c r="CF955" s="61">
        <f t="shared" si="1066"/>
        <v>0</v>
      </c>
      <c r="CG955" s="61">
        <f t="shared" si="1066"/>
        <v>0</v>
      </c>
      <c r="CH955" s="61">
        <f t="shared" si="1000"/>
        <v>0</v>
      </c>
      <c r="CI955" s="61">
        <f t="shared" si="1067"/>
        <v>-4.3809237249888035E-2</v>
      </c>
      <c r="CJ955" s="61"/>
      <c r="CK955" s="61">
        <f t="shared" si="1046"/>
        <v>-0.31292312321348592</v>
      </c>
      <c r="CL955" s="61">
        <f t="shared" si="1046"/>
        <v>0</v>
      </c>
      <c r="CM955" s="61">
        <f t="shared" si="1046"/>
        <v>0</v>
      </c>
      <c r="CN955" s="61">
        <f t="shared" si="1046"/>
        <v>0</v>
      </c>
      <c r="CO955" s="61">
        <f t="shared" si="1046"/>
        <v>0</v>
      </c>
      <c r="CP955" s="61">
        <f t="shared" si="1046"/>
        <v>0</v>
      </c>
      <c r="CQ955" s="61">
        <f t="shared" si="1046"/>
        <v>0</v>
      </c>
      <c r="CR955" s="61">
        <f t="shared" si="1046"/>
        <v>0</v>
      </c>
      <c r="CS955" s="61">
        <f t="shared" si="1068"/>
        <v>-4.3809237249888035E-2</v>
      </c>
      <c r="CT955" s="67">
        <f t="shared" si="1069"/>
        <v>-0.29120000000000579</v>
      </c>
      <c r="CV955" s="61">
        <f t="shared" si="775"/>
        <v>0</v>
      </c>
      <c r="CW955" s="61">
        <f t="shared" si="776"/>
        <v>0</v>
      </c>
      <c r="CX955" s="61"/>
      <c r="CY955" s="61">
        <f t="shared" ref="CY955:DA1095" si="1080">SUM(AJ955)-SUM(BO955)</f>
        <v>0</v>
      </c>
      <c r="CZ955" s="61">
        <f t="shared" si="1080"/>
        <v>0</v>
      </c>
      <c r="DA955" s="61">
        <f t="shared" si="1080"/>
        <v>0</v>
      </c>
      <c r="DB955" s="2" t="s">
        <v>85</v>
      </c>
      <c r="DC955" s="2" t="s">
        <v>85</v>
      </c>
      <c r="DD955" s="2" t="s">
        <v>142</v>
      </c>
      <c r="DE955" s="2" t="s">
        <v>106</v>
      </c>
      <c r="DF955" s="3" t="s">
        <v>86</v>
      </c>
      <c r="DG955" s="62">
        <v>43082</v>
      </c>
      <c r="EC955" s="60"/>
      <c r="ED955" s="60"/>
      <c r="EE955" s="60"/>
      <c r="EF955" s="60"/>
    </row>
    <row r="956" spans="1:140" ht="12.75" hidden="1" customHeight="1">
      <c r="B956" s="99" t="s">
        <v>1526</v>
      </c>
      <c r="C956" s="22" t="s">
        <v>726</v>
      </c>
      <c r="D956" s="22" t="s">
        <v>727</v>
      </c>
      <c r="E956" s="2" t="s">
        <v>260</v>
      </c>
      <c r="F956" s="2" t="s">
        <v>1025</v>
      </c>
      <c r="G956" s="2" t="s">
        <v>994</v>
      </c>
      <c r="J956" s="149" t="s">
        <v>728</v>
      </c>
      <c r="K956" s="23" t="s">
        <v>729</v>
      </c>
      <c r="L956" s="149" t="s">
        <v>210</v>
      </c>
      <c r="M956" s="51" t="str">
        <f t="shared" si="963"/>
        <v>MJD8B -LBBA-BBW</v>
      </c>
      <c r="O956" s="22">
        <v>0</v>
      </c>
      <c r="P956" s="22">
        <v>1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64">
        <f t="shared" si="971"/>
        <v>0.16</v>
      </c>
      <c r="Y956" s="60">
        <v>-750.76</v>
      </c>
      <c r="Z956" s="8"/>
      <c r="AA956" s="8">
        <v>-8.44</v>
      </c>
      <c r="AB956" s="8">
        <v>-2.12</v>
      </c>
      <c r="AC956" s="8"/>
      <c r="AD956" s="8">
        <f t="shared" ref="AD956:AD960" si="1081">SUM(Y956:AC956)</f>
        <v>-761.32</v>
      </c>
      <c r="AE956" s="2" t="s">
        <v>84</v>
      </c>
      <c r="AG956" s="8"/>
      <c r="AH956" s="8"/>
      <c r="AJ956" s="70"/>
      <c r="AK956" s="70"/>
      <c r="AL956" s="72"/>
      <c r="AM956" s="22"/>
      <c r="AO956" s="22" t="s">
        <v>728</v>
      </c>
      <c r="AP956" s="23" t="s">
        <v>1001</v>
      </c>
      <c r="AQ956" s="22" t="s">
        <v>210</v>
      </c>
      <c r="AR956" s="51" t="str">
        <f t="shared" si="965"/>
        <v>MJD8B -LBBA-BBW</v>
      </c>
      <c r="AS956" s="3"/>
      <c r="AT956" s="22">
        <v>0</v>
      </c>
      <c r="AU956" s="22">
        <v>1</v>
      </c>
      <c r="AV956" s="22">
        <v>0</v>
      </c>
      <c r="AW956" s="22">
        <v>0</v>
      </c>
      <c r="AX956" s="22">
        <v>0</v>
      </c>
      <c r="AY956" s="22">
        <v>0</v>
      </c>
      <c r="AZ956" s="22">
        <v>0</v>
      </c>
      <c r="BA956" s="22">
        <v>0</v>
      </c>
      <c r="BB956" s="64">
        <f t="shared" si="979"/>
        <v>0.16</v>
      </c>
      <c r="BD956" s="8">
        <f>-746.42*0-748.68</f>
        <v>-748.68</v>
      </c>
      <c r="BE956" s="8"/>
      <c r="BF956" s="8">
        <v>-8.44</v>
      </c>
      <c r="BG956" s="8">
        <v>-2.12</v>
      </c>
      <c r="BH956" s="8">
        <v>0</v>
      </c>
      <c r="BI956" s="8">
        <f t="shared" si="1079"/>
        <v>-759.24</v>
      </c>
      <c r="BJ956" s="2" t="s">
        <v>84</v>
      </c>
      <c r="BL956" s="8">
        <v>0</v>
      </c>
      <c r="BM956" s="8">
        <v>0</v>
      </c>
      <c r="BN956" s="6"/>
      <c r="BO956" s="70">
        <v>0</v>
      </c>
      <c r="BP956" s="70">
        <v>0</v>
      </c>
      <c r="BQ956" s="72"/>
      <c r="BS956" s="61">
        <f t="shared" si="1052"/>
        <v>-2.0800000000000409</v>
      </c>
      <c r="BT956" s="61">
        <f t="shared" si="1053"/>
        <v>0</v>
      </c>
      <c r="BU956" s="61">
        <f t="shared" si="1054"/>
        <v>0</v>
      </c>
      <c r="BV956" s="61">
        <f t="shared" si="1054"/>
        <v>0</v>
      </c>
      <c r="BW956" s="61">
        <f t="shared" si="1054"/>
        <v>0</v>
      </c>
      <c r="BX956" s="61">
        <f t="shared" si="1054"/>
        <v>-2.0800000000000409</v>
      </c>
      <c r="BY956" s="61" t="s">
        <v>91</v>
      </c>
      <c r="CA956" s="61">
        <f t="shared" si="1066"/>
        <v>0</v>
      </c>
      <c r="CB956" s="61">
        <f t="shared" si="1066"/>
        <v>-0.31292312321348592</v>
      </c>
      <c r="CC956" s="61">
        <f t="shared" si="1066"/>
        <v>0</v>
      </c>
      <c r="CD956" s="61">
        <f t="shared" si="1066"/>
        <v>0</v>
      </c>
      <c r="CE956" s="61">
        <f t="shared" si="1066"/>
        <v>0</v>
      </c>
      <c r="CF956" s="61">
        <f t="shared" si="1066"/>
        <v>0</v>
      </c>
      <c r="CG956" s="61">
        <f t="shared" si="1066"/>
        <v>0</v>
      </c>
      <c r="CH956" s="61">
        <f t="shared" si="1000"/>
        <v>0</v>
      </c>
      <c r="CI956" s="61">
        <f t="shared" si="1067"/>
        <v>-5.0067699714157747E-2</v>
      </c>
      <c r="CJ956" s="61"/>
      <c r="CK956" s="61">
        <f t="shared" si="1046"/>
        <v>0</v>
      </c>
      <c r="CL956" s="61">
        <f t="shared" si="1046"/>
        <v>-0.31292312321348592</v>
      </c>
      <c r="CM956" s="61">
        <f t="shared" si="1046"/>
        <v>0</v>
      </c>
      <c r="CN956" s="61">
        <f t="shared" si="1046"/>
        <v>0</v>
      </c>
      <c r="CO956" s="61">
        <f t="shared" si="1046"/>
        <v>0</v>
      </c>
      <c r="CP956" s="61">
        <f t="shared" si="1046"/>
        <v>0</v>
      </c>
      <c r="CQ956" s="61">
        <f t="shared" si="1046"/>
        <v>0</v>
      </c>
      <c r="CR956" s="61">
        <f t="shared" si="1046"/>
        <v>0</v>
      </c>
      <c r="CS956" s="61">
        <f t="shared" si="1068"/>
        <v>-5.0067699714157747E-2</v>
      </c>
      <c r="CT956" s="67">
        <f t="shared" si="1069"/>
        <v>-0.33280000000000654</v>
      </c>
      <c r="CV956" s="61">
        <f t="shared" si="775"/>
        <v>0</v>
      </c>
      <c r="CW956" s="61">
        <f t="shared" si="776"/>
        <v>0</v>
      </c>
      <c r="CX956" s="61"/>
      <c r="CY956" s="61">
        <f t="shared" si="1080"/>
        <v>0</v>
      </c>
      <c r="CZ956" s="61">
        <f t="shared" si="1080"/>
        <v>0</v>
      </c>
      <c r="DA956" s="61">
        <f t="shared" si="1080"/>
        <v>0</v>
      </c>
      <c r="DB956" s="2" t="s">
        <v>85</v>
      </c>
      <c r="DC956" s="2" t="s">
        <v>85</v>
      </c>
      <c r="DD956" s="2" t="s">
        <v>142</v>
      </c>
      <c r="DE956" s="2" t="s">
        <v>106</v>
      </c>
      <c r="DF956" s="3" t="s">
        <v>86</v>
      </c>
      <c r="DG956" s="62">
        <v>43082</v>
      </c>
      <c r="EC956" s="60"/>
      <c r="ED956" s="60"/>
      <c r="EE956" s="60"/>
      <c r="EF956" s="60"/>
    </row>
    <row r="957" spans="1:140" ht="12.75" hidden="1" customHeight="1">
      <c r="B957" s="99" t="s">
        <v>1526</v>
      </c>
      <c r="C957" s="22" t="s">
        <v>726</v>
      </c>
      <c r="D957" s="22" t="s">
        <v>727</v>
      </c>
      <c r="E957" s="2" t="s">
        <v>260</v>
      </c>
      <c r="F957" s="2" t="s">
        <v>1025</v>
      </c>
      <c r="G957" s="2" t="s">
        <v>994</v>
      </c>
      <c r="J957" s="149" t="s">
        <v>728</v>
      </c>
      <c r="K957" s="23" t="s">
        <v>729</v>
      </c>
      <c r="L957" s="149" t="s">
        <v>211</v>
      </c>
      <c r="M957" s="51" t="str">
        <f t="shared" si="963"/>
        <v>MJD8B -LBBA-CBW</v>
      </c>
      <c r="O957" s="22"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64">
        <f t="shared" si="971"/>
        <v>0</v>
      </c>
      <c r="Y957" s="60">
        <v>-735.22</v>
      </c>
      <c r="Z957" s="8"/>
      <c r="AA957" s="8">
        <v>-8.44</v>
      </c>
      <c r="AB957" s="8">
        <v>-2.12</v>
      </c>
      <c r="AC957" s="8"/>
      <c r="AD957" s="8">
        <f t="shared" si="1081"/>
        <v>-745.78000000000009</v>
      </c>
      <c r="AE957" s="2" t="s">
        <v>84</v>
      </c>
      <c r="AG957" s="8"/>
      <c r="AH957" s="8"/>
      <c r="AJ957" s="70"/>
      <c r="AK957" s="70"/>
      <c r="AL957" s="72"/>
      <c r="AM957" s="22"/>
      <c r="AO957" s="22" t="s">
        <v>728</v>
      </c>
      <c r="AP957" s="23" t="s">
        <v>1001</v>
      </c>
      <c r="AQ957" s="22" t="s">
        <v>211</v>
      </c>
      <c r="AR957" s="51" t="str">
        <f t="shared" si="965"/>
        <v>MJD8B -LBBA-CBW</v>
      </c>
      <c r="AS957" s="3"/>
      <c r="AT957" s="22">
        <v>0</v>
      </c>
      <c r="AU957" s="22">
        <v>0</v>
      </c>
      <c r="AV957" s="22">
        <v>0</v>
      </c>
      <c r="AW957" s="22">
        <v>0</v>
      </c>
      <c r="AX957" s="22">
        <v>0</v>
      </c>
      <c r="AY957" s="22">
        <v>0</v>
      </c>
      <c r="AZ957" s="22">
        <v>0</v>
      </c>
      <c r="BA957" s="22">
        <v>0</v>
      </c>
      <c r="BB957" s="64">
        <f t="shared" si="979"/>
        <v>0</v>
      </c>
      <c r="BD957" s="8">
        <f>-730.88*0-733.14</f>
        <v>-733.14</v>
      </c>
      <c r="BE957" s="8"/>
      <c r="BF957" s="8">
        <v>-8.44</v>
      </c>
      <c r="BG957" s="8">
        <v>-2.12</v>
      </c>
      <c r="BH957" s="8">
        <v>0</v>
      </c>
      <c r="BI957" s="8">
        <f t="shared" si="1079"/>
        <v>-743.7</v>
      </c>
      <c r="BJ957" s="2" t="s">
        <v>84</v>
      </c>
      <c r="BL957" s="8">
        <v>0</v>
      </c>
      <c r="BM957" s="8">
        <v>0</v>
      </c>
      <c r="BN957" s="6"/>
      <c r="BO957" s="70">
        <v>0</v>
      </c>
      <c r="BP957" s="70">
        <v>0</v>
      </c>
      <c r="BQ957" s="72"/>
      <c r="BS957" s="61">
        <f t="shared" si="1052"/>
        <v>-2.0800000000000409</v>
      </c>
      <c r="BT957" s="61">
        <f t="shared" si="1053"/>
        <v>0</v>
      </c>
      <c r="BU957" s="61">
        <f t="shared" si="1054"/>
        <v>0</v>
      </c>
      <c r="BV957" s="61">
        <f t="shared" si="1054"/>
        <v>0</v>
      </c>
      <c r="BW957" s="61">
        <f t="shared" si="1054"/>
        <v>0</v>
      </c>
      <c r="BX957" s="61">
        <f t="shared" si="1054"/>
        <v>-2.0800000000000409</v>
      </c>
      <c r="BY957" s="61" t="s">
        <v>91</v>
      </c>
      <c r="CA957" s="61">
        <f t="shared" si="1066"/>
        <v>0</v>
      </c>
      <c r="CB957" s="61">
        <f t="shared" si="1066"/>
        <v>0</v>
      </c>
      <c r="CC957" s="61">
        <f t="shared" si="1066"/>
        <v>0</v>
      </c>
      <c r="CD957" s="61">
        <f t="shared" si="1066"/>
        <v>0</v>
      </c>
      <c r="CE957" s="61">
        <f t="shared" si="1066"/>
        <v>0</v>
      </c>
      <c r="CF957" s="61">
        <f t="shared" si="1066"/>
        <v>0</v>
      </c>
      <c r="CG957" s="61">
        <f t="shared" si="1066"/>
        <v>0</v>
      </c>
      <c r="CH957" s="61">
        <f t="shared" si="1000"/>
        <v>0</v>
      </c>
      <c r="CI957" s="61">
        <f t="shared" si="1067"/>
        <v>0</v>
      </c>
      <c r="CJ957" s="61"/>
      <c r="CK957" s="61">
        <f t="shared" si="1046"/>
        <v>0</v>
      </c>
      <c r="CL957" s="61">
        <f t="shared" si="1046"/>
        <v>0</v>
      </c>
      <c r="CM957" s="61">
        <f t="shared" si="1046"/>
        <v>0</v>
      </c>
      <c r="CN957" s="61">
        <f t="shared" si="1046"/>
        <v>0</v>
      </c>
      <c r="CO957" s="61">
        <f t="shared" si="1046"/>
        <v>0</v>
      </c>
      <c r="CP957" s="61">
        <f t="shared" si="1046"/>
        <v>0</v>
      </c>
      <c r="CQ957" s="61">
        <f t="shared" si="1046"/>
        <v>0</v>
      </c>
      <c r="CR957" s="61">
        <f t="shared" si="1046"/>
        <v>0</v>
      </c>
      <c r="CS957" s="61">
        <f t="shared" si="1068"/>
        <v>0</v>
      </c>
      <c r="CT957" s="67">
        <f t="shared" si="1069"/>
        <v>0</v>
      </c>
      <c r="CV957" s="61">
        <f t="shared" si="775"/>
        <v>0</v>
      </c>
      <c r="CW957" s="61">
        <f t="shared" si="776"/>
        <v>0</v>
      </c>
      <c r="CX957" s="61"/>
      <c r="CY957" s="61">
        <f t="shared" si="1080"/>
        <v>0</v>
      </c>
      <c r="CZ957" s="61">
        <f t="shared" si="1080"/>
        <v>0</v>
      </c>
      <c r="DA957" s="61">
        <f t="shared" si="1080"/>
        <v>0</v>
      </c>
      <c r="DB957" s="2" t="s">
        <v>85</v>
      </c>
      <c r="DC957" s="2" t="s">
        <v>85</v>
      </c>
      <c r="DD957" s="2" t="s">
        <v>142</v>
      </c>
      <c r="DE957" s="2" t="s">
        <v>106</v>
      </c>
      <c r="DF957" s="3" t="s">
        <v>86</v>
      </c>
      <c r="DG957" s="62">
        <v>43082</v>
      </c>
      <c r="EC957" s="60"/>
      <c r="ED957" s="60"/>
      <c r="EE957" s="60"/>
      <c r="EF957" s="60"/>
    </row>
    <row r="958" spans="1:140" ht="12.75" hidden="1" customHeight="1">
      <c r="B958" s="99" t="s">
        <v>1526</v>
      </c>
      <c r="C958" s="22" t="s">
        <v>726</v>
      </c>
      <c r="D958" s="22" t="s">
        <v>727</v>
      </c>
      <c r="E958" s="2" t="s">
        <v>260</v>
      </c>
      <c r="F958" s="2" t="s">
        <v>1025</v>
      </c>
      <c r="G958" s="2" t="s">
        <v>994</v>
      </c>
      <c r="J958" s="149" t="s">
        <v>728</v>
      </c>
      <c r="K958" s="23" t="s">
        <v>729</v>
      </c>
      <c r="L958" s="149" t="s">
        <v>212</v>
      </c>
      <c r="M958" s="51" t="str">
        <f t="shared" si="963"/>
        <v>MJD8B -LBBA-DBW</v>
      </c>
      <c r="O958" s="22">
        <v>0</v>
      </c>
      <c r="P958" s="22">
        <v>0</v>
      </c>
      <c r="Q958" s="22">
        <v>0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64">
        <f t="shared" si="971"/>
        <v>0</v>
      </c>
      <c r="Y958" s="60">
        <v>-735.22</v>
      </c>
      <c r="Z958" s="8"/>
      <c r="AA958" s="8">
        <v>-8.44</v>
      </c>
      <c r="AB958" s="8">
        <v>-2.12</v>
      </c>
      <c r="AC958" s="8"/>
      <c r="AD958" s="8">
        <f t="shared" si="1081"/>
        <v>-745.78000000000009</v>
      </c>
      <c r="AE958" s="2" t="s">
        <v>84</v>
      </c>
      <c r="AG958" s="8"/>
      <c r="AH958" s="8"/>
      <c r="AJ958" s="70"/>
      <c r="AK958" s="70"/>
      <c r="AL958" s="72"/>
      <c r="AM958" s="22"/>
      <c r="AO958" s="22" t="s">
        <v>728</v>
      </c>
      <c r="AP958" s="23" t="s">
        <v>1001</v>
      </c>
      <c r="AQ958" s="22" t="s">
        <v>212</v>
      </c>
      <c r="AR958" s="51" t="str">
        <f t="shared" si="965"/>
        <v>MJD8B -LBBA-DBW</v>
      </c>
      <c r="AS958" s="3"/>
      <c r="AT958" s="22">
        <v>0</v>
      </c>
      <c r="AU958" s="22">
        <v>0</v>
      </c>
      <c r="AV958" s="22">
        <v>0</v>
      </c>
      <c r="AW958" s="22">
        <v>0</v>
      </c>
      <c r="AX958" s="22">
        <v>0</v>
      </c>
      <c r="AY958" s="22">
        <v>0</v>
      </c>
      <c r="AZ958" s="22">
        <v>0</v>
      </c>
      <c r="BA958" s="22">
        <v>0</v>
      </c>
      <c r="BB958" s="64">
        <f t="shared" si="979"/>
        <v>0</v>
      </c>
      <c r="BD958" s="8">
        <f>-730.88*0-733.14</f>
        <v>-733.14</v>
      </c>
      <c r="BE958" s="8"/>
      <c r="BF958" s="8">
        <v>-8.44</v>
      </c>
      <c r="BG958" s="8">
        <v>-2.12</v>
      </c>
      <c r="BH958" s="8">
        <v>0</v>
      </c>
      <c r="BI958" s="8">
        <f t="shared" si="1079"/>
        <v>-743.7</v>
      </c>
      <c r="BJ958" s="2" t="s">
        <v>84</v>
      </c>
      <c r="BL958" s="8">
        <v>0</v>
      </c>
      <c r="BM958" s="8">
        <v>0</v>
      </c>
      <c r="BN958" s="6"/>
      <c r="BO958" s="70">
        <v>0</v>
      </c>
      <c r="BP958" s="70">
        <v>0</v>
      </c>
      <c r="BQ958" s="72"/>
      <c r="BS958" s="61">
        <f t="shared" si="1052"/>
        <v>-2.0800000000000409</v>
      </c>
      <c r="BT958" s="61">
        <f t="shared" si="1053"/>
        <v>0</v>
      </c>
      <c r="BU958" s="61">
        <f t="shared" si="1054"/>
        <v>0</v>
      </c>
      <c r="BV958" s="61">
        <f t="shared" si="1054"/>
        <v>0</v>
      </c>
      <c r="BW958" s="61">
        <f t="shared" si="1054"/>
        <v>0</v>
      </c>
      <c r="BX958" s="61">
        <f t="shared" si="1054"/>
        <v>-2.0800000000000409</v>
      </c>
      <c r="BY958" s="61" t="s">
        <v>91</v>
      </c>
      <c r="CA958" s="61">
        <f t="shared" si="1066"/>
        <v>0</v>
      </c>
      <c r="CB958" s="61">
        <f t="shared" si="1066"/>
        <v>0</v>
      </c>
      <c r="CC958" s="61">
        <f t="shared" si="1066"/>
        <v>0</v>
      </c>
      <c r="CD958" s="61">
        <f t="shared" si="1066"/>
        <v>0</v>
      </c>
      <c r="CE958" s="61">
        <f t="shared" si="1066"/>
        <v>0</v>
      </c>
      <c r="CF958" s="61">
        <f t="shared" si="1066"/>
        <v>0</v>
      </c>
      <c r="CG958" s="61">
        <f t="shared" si="1066"/>
        <v>0</v>
      </c>
      <c r="CH958" s="61">
        <f t="shared" si="1000"/>
        <v>0</v>
      </c>
      <c r="CI958" s="61">
        <f t="shared" si="1067"/>
        <v>0</v>
      </c>
      <c r="CJ958" s="61"/>
      <c r="CK958" s="61">
        <f t="shared" si="1046"/>
        <v>0</v>
      </c>
      <c r="CL958" s="61">
        <f t="shared" si="1046"/>
        <v>0</v>
      </c>
      <c r="CM958" s="61">
        <f t="shared" si="1046"/>
        <v>0</v>
      </c>
      <c r="CN958" s="61">
        <f t="shared" si="1046"/>
        <v>0</v>
      </c>
      <c r="CO958" s="61">
        <f t="shared" si="1046"/>
        <v>0</v>
      </c>
      <c r="CP958" s="61">
        <f t="shared" si="1046"/>
        <v>0</v>
      </c>
      <c r="CQ958" s="61">
        <f t="shared" si="1046"/>
        <v>0</v>
      </c>
      <c r="CR958" s="61">
        <f t="shared" si="1046"/>
        <v>0</v>
      </c>
      <c r="CS958" s="61">
        <f t="shared" si="1068"/>
        <v>0</v>
      </c>
      <c r="CT958" s="67">
        <f t="shared" si="1069"/>
        <v>0</v>
      </c>
      <c r="CV958" s="61">
        <f t="shared" si="775"/>
        <v>0</v>
      </c>
      <c r="CW958" s="61">
        <f t="shared" si="776"/>
        <v>0</v>
      </c>
      <c r="CX958" s="61"/>
      <c r="CY958" s="61">
        <f t="shared" si="1080"/>
        <v>0</v>
      </c>
      <c r="CZ958" s="61">
        <f t="shared" si="1080"/>
        <v>0</v>
      </c>
      <c r="DA958" s="61">
        <f t="shared" si="1080"/>
        <v>0</v>
      </c>
      <c r="DB958" s="2" t="s">
        <v>85</v>
      </c>
      <c r="DC958" s="2" t="s">
        <v>85</v>
      </c>
      <c r="DD958" s="2" t="s">
        <v>142</v>
      </c>
      <c r="DE958" s="2" t="s">
        <v>106</v>
      </c>
      <c r="DF958" s="3" t="s">
        <v>86</v>
      </c>
      <c r="DG958" s="62">
        <v>43082</v>
      </c>
      <c r="EC958" s="60"/>
      <c r="ED958" s="60"/>
      <c r="EE958" s="60"/>
      <c r="EF958" s="60"/>
    </row>
    <row r="959" spans="1:140" ht="12.75" hidden="1" customHeight="1">
      <c r="A959" s="2">
        <v>-1040.83</v>
      </c>
      <c r="B959" s="99" t="s">
        <v>1526</v>
      </c>
      <c r="C959" s="22" t="s">
        <v>726</v>
      </c>
      <c r="D959" s="22" t="s">
        <v>727</v>
      </c>
      <c r="E959" s="2" t="s">
        <v>260</v>
      </c>
      <c r="F959" s="2" t="s">
        <v>1025</v>
      </c>
      <c r="G959" s="2" t="s">
        <v>994</v>
      </c>
      <c r="J959" s="149" t="s">
        <v>728</v>
      </c>
      <c r="K959" s="23" t="s">
        <v>729</v>
      </c>
      <c r="L959" s="149" t="s">
        <v>740</v>
      </c>
      <c r="M959" s="51" t="str">
        <f t="shared" si="963"/>
        <v>MJD8B -LBBA-EBW</v>
      </c>
      <c r="O959" s="22">
        <v>0</v>
      </c>
      <c r="P959" s="22">
        <v>0</v>
      </c>
      <c r="Q959" s="22">
        <v>1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64">
        <f t="shared" si="971"/>
        <v>0.14000000000000001</v>
      </c>
      <c r="Y959" s="60">
        <v>-1040.83</v>
      </c>
      <c r="Z959" s="8"/>
      <c r="AA959" s="8">
        <v>-8.4600000000000009</v>
      </c>
      <c r="AB959" s="8">
        <v>-2.12</v>
      </c>
      <c r="AC959" s="8"/>
      <c r="AD959" s="8">
        <f t="shared" si="1081"/>
        <v>-1051.4099999999999</v>
      </c>
      <c r="AE959" s="2" t="s">
        <v>84</v>
      </c>
      <c r="AG959" s="8"/>
      <c r="AH959" s="8"/>
      <c r="AJ959" s="70"/>
      <c r="AK959" s="70"/>
      <c r="AL959" s="72"/>
      <c r="AM959" s="22"/>
      <c r="AO959" s="22" t="s">
        <v>728</v>
      </c>
      <c r="AP959" s="23" t="s">
        <v>1001</v>
      </c>
      <c r="AQ959" s="22" t="s">
        <v>740</v>
      </c>
      <c r="AR959" s="51" t="str">
        <f t="shared" si="965"/>
        <v>MJD8B -LBBA-EBW</v>
      </c>
      <c r="AS959" s="3"/>
      <c r="AT959" s="22">
        <v>0</v>
      </c>
      <c r="AU959" s="22">
        <v>0</v>
      </c>
      <c r="AV959" s="22">
        <v>1</v>
      </c>
      <c r="AW959" s="22">
        <v>0</v>
      </c>
      <c r="AX959" s="22">
        <v>0</v>
      </c>
      <c r="AY959" s="22">
        <v>0</v>
      </c>
      <c r="AZ959" s="22">
        <v>0</v>
      </c>
      <c r="BA959" s="22">
        <v>0</v>
      </c>
      <c r="BB959" s="64">
        <f t="shared" si="979"/>
        <v>0.14000000000000001</v>
      </c>
      <c r="BD959" s="8">
        <f>-1036.49*0-1038.75</f>
        <v>-1038.75</v>
      </c>
      <c r="BE959" s="8"/>
      <c r="BF959" s="8">
        <v>-8.4600000000000009</v>
      </c>
      <c r="BG959" s="8">
        <v>-2.12</v>
      </c>
      <c r="BH959" s="8">
        <v>0</v>
      </c>
      <c r="BI959" s="8">
        <f t="shared" si="1079"/>
        <v>-1049.33</v>
      </c>
      <c r="BJ959" s="2" t="s">
        <v>84</v>
      </c>
      <c r="BL959" s="8">
        <v>0</v>
      </c>
      <c r="BM959" s="8">
        <v>0</v>
      </c>
      <c r="BN959" s="6"/>
      <c r="BO959" s="70">
        <v>0</v>
      </c>
      <c r="BP959" s="70">
        <v>0</v>
      </c>
      <c r="BQ959" s="72"/>
      <c r="BS959" s="61">
        <f t="shared" si="1052"/>
        <v>-2.0799999999999272</v>
      </c>
      <c r="BT959" s="61">
        <f t="shared" si="1053"/>
        <v>0</v>
      </c>
      <c r="BU959" s="61">
        <f t="shared" si="1054"/>
        <v>0</v>
      </c>
      <c r="BV959" s="61">
        <f t="shared" si="1054"/>
        <v>0</v>
      </c>
      <c r="BW959" s="61">
        <f t="shared" si="1054"/>
        <v>0</v>
      </c>
      <c r="BX959" s="61">
        <f t="shared" si="1054"/>
        <v>-2.0799999999999272</v>
      </c>
      <c r="BY959" s="61" t="s">
        <v>91</v>
      </c>
      <c r="CA959" s="61">
        <f t="shared" si="1066"/>
        <v>0</v>
      </c>
      <c r="CB959" s="61">
        <f t="shared" si="1066"/>
        <v>0</v>
      </c>
      <c r="CC959" s="61">
        <f t="shared" si="1066"/>
        <v>-0.31292312321346882</v>
      </c>
      <c r="CD959" s="61">
        <f t="shared" si="1066"/>
        <v>0</v>
      </c>
      <c r="CE959" s="61">
        <f t="shared" si="1066"/>
        <v>0</v>
      </c>
      <c r="CF959" s="61">
        <f t="shared" si="1066"/>
        <v>0</v>
      </c>
      <c r="CG959" s="61">
        <f t="shared" si="1066"/>
        <v>0</v>
      </c>
      <c r="CH959" s="61">
        <f t="shared" si="1000"/>
        <v>0</v>
      </c>
      <c r="CI959" s="61">
        <f t="shared" si="1067"/>
        <v>-4.3809237249885641E-2</v>
      </c>
      <c r="CJ959" s="61"/>
      <c r="CK959" s="61">
        <f t="shared" si="1046"/>
        <v>0</v>
      </c>
      <c r="CL959" s="61">
        <f t="shared" si="1046"/>
        <v>0</v>
      </c>
      <c r="CM959" s="61">
        <f t="shared" si="1046"/>
        <v>-0.31292312321346882</v>
      </c>
      <c r="CN959" s="61">
        <f t="shared" si="1046"/>
        <v>0</v>
      </c>
      <c r="CO959" s="61">
        <f t="shared" si="1046"/>
        <v>0</v>
      </c>
      <c r="CP959" s="61">
        <f t="shared" si="1046"/>
        <v>0</v>
      </c>
      <c r="CQ959" s="61">
        <f t="shared" si="1046"/>
        <v>0</v>
      </c>
      <c r="CR959" s="61">
        <f t="shared" si="1046"/>
        <v>0</v>
      </c>
      <c r="CS959" s="61">
        <f t="shared" si="1068"/>
        <v>-4.3809237249885641E-2</v>
      </c>
      <c r="CT959" s="67">
        <f t="shared" si="1069"/>
        <v>-0.29119999999998986</v>
      </c>
      <c r="CV959" s="61">
        <f t="shared" si="775"/>
        <v>0</v>
      </c>
      <c r="CW959" s="61">
        <f t="shared" si="776"/>
        <v>0</v>
      </c>
      <c r="CX959" s="61"/>
      <c r="CY959" s="61">
        <f t="shared" si="1080"/>
        <v>0</v>
      </c>
      <c r="CZ959" s="61">
        <f t="shared" si="1080"/>
        <v>0</v>
      </c>
      <c r="DA959" s="61">
        <f t="shared" si="1080"/>
        <v>0</v>
      </c>
      <c r="DB959" s="2" t="s">
        <v>85</v>
      </c>
      <c r="DC959" s="2" t="s">
        <v>85</v>
      </c>
      <c r="DD959" s="2" t="s">
        <v>142</v>
      </c>
      <c r="DE959" s="2" t="s">
        <v>106</v>
      </c>
      <c r="DF959" s="3" t="s">
        <v>86</v>
      </c>
      <c r="DG959" s="62">
        <v>43082</v>
      </c>
      <c r="EC959" s="60"/>
      <c r="ED959" s="60"/>
      <c r="EE959" s="60"/>
      <c r="EF959" s="60"/>
    </row>
    <row r="960" spans="1:140" ht="12.75" hidden="1" customHeight="1">
      <c r="B960" s="99" t="s">
        <v>1526</v>
      </c>
      <c r="C960" s="22" t="s">
        <v>726</v>
      </c>
      <c r="D960" s="22" t="s">
        <v>727</v>
      </c>
      <c r="E960" s="2" t="s">
        <v>260</v>
      </c>
      <c r="F960" s="2" t="s">
        <v>1025</v>
      </c>
      <c r="G960" s="2" t="s">
        <v>994</v>
      </c>
      <c r="J960" s="149" t="s">
        <v>728</v>
      </c>
      <c r="K960" s="23" t="s">
        <v>729</v>
      </c>
      <c r="L960" s="149" t="s">
        <v>741</v>
      </c>
      <c r="M960" s="51" t="str">
        <f t="shared" si="963"/>
        <v>MJD8B -LBBA-FBW</v>
      </c>
      <c r="O960" s="22">
        <v>0</v>
      </c>
      <c r="P960" s="22">
        <v>0</v>
      </c>
      <c r="Q960" s="22">
        <v>0</v>
      </c>
      <c r="R960" s="22">
        <v>1</v>
      </c>
      <c r="S960" s="22">
        <v>0</v>
      </c>
      <c r="T960" s="22">
        <v>0</v>
      </c>
      <c r="U960" s="22">
        <v>0</v>
      </c>
      <c r="V960" s="22">
        <v>0</v>
      </c>
      <c r="W960" s="64">
        <f t="shared" si="971"/>
        <v>0.23</v>
      </c>
      <c r="Y960" s="60">
        <v>-1040.83</v>
      </c>
      <c r="Z960" s="8"/>
      <c r="AA960" s="8">
        <v>-8.4600000000000009</v>
      </c>
      <c r="AB960" s="8">
        <v>-2.12</v>
      </c>
      <c r="AC960" s="8"/>
      <c r="AD960" s="8">
        <f t="shared" si="1081"/>
        <v>-1051.4099999999999</v>
      </c>
      <c r="AE960" s="2" t="s">
        <v>84</v>
      </c>
      <c r="AG960" s="8"/>
      <c r="AH960" s="8"/>
      <c r="AJ960" s="70"/>
      <c r="AK960" s="70"/>
      <c r="AL960" s="72"/>
      <c r="AM960" s="22"/>
      <c r="AO960" s="22" t="s">
        <v>728</v>
      </c>
      <c r="AP960" s="23" t="s">
        <v>1001</v>
      </c>
      <c r="AQ960" s="22" t="s">
        <v>741</v>
      </c>
      <c r="AR960" s="51" t="str">
        <f t="shared" si="965"/>
        <v>MJD8B -LBBA-FBW</v>
      </c>
      <c r="AS960" s="3"/>
      <c r="AT960" s="22">
        <v>0</v>
      </c>
      <c r="AU960" s="22">
        <v>0</v>
      </c>
      <c r="AV960" s="22">
        <v>0</v>
      </c>
      <c r="AW960" s="22">
        <v>1</v>
      </c>
      <c r="AX960" s="22">
        <v>0</v>
      </c>
      <c r="AY960" s="22">
        <v>0</v>
      </c>
      <c r="AZ960" s="22">
        <v>0</v>
      </c>
      <c r="BA960" s="22">
        <v>0</v>
      </c>
      <c r="BB960" s="64">
        <f t="shared" si="979"/>
        <v>0.23</v>
      </c>
      <c r="BD960" s="8">
        <f>-1036.49*0-1038.75</f>
        <v>-1038.75</v>
      </c>
      <c r="BE960" s="8"/>
      <c r="BF960" s="8">
        <v>-8.4600000000000009</v>
      </c>
      <c r="BG960" s="8">
        <v>-2.12</v>
      </c>
      <c r="BH960" s="8">
        <v>0</v>
      </c>
      <c r="BI960" s="8">
        <f t="shared" si="1079"/>
        <v>-1049.33</v>
      </c>
      <c r="BJ960" s="2" t="s">
        <v>84</v>
      </c>
      <c r="BL960" s="8">
        <v>0</v>
      </c>
      <c r="BM960" s="8">
        <v>0</v>
      </c>
      <c r="BN960" s="6"/>
      <c r="BO960" s="70">
        <v>0</v>
      </c>
      <c r="BP960" s="70">
        <v>0</v>
      </c>
      <c r="BQ960" s="72"/>
      <c r="BS960" s="61">
        <f t="shared" si="1052"/>
        <v>-2.0799999999999272</v>
      </c>
      <c r="BT960" s="61">
        <f t="shared" si="1053"/>
        <v>0</v>
      </c>
      <c r="BU960" s="61">
        <f t="shared" si="1054"/>
        <v>0</v>
      </c>
      <c r="BV960" s="61">
        <f t="shared" si="1054"/>
        <v>0</v>
      </c>
      <c r="BW960" s="61">
        <f t="shared" si="1054"/>
        <v>0</v>
      </c>
      <c r="BX960" s="61">
        <f t="shared" si="1054"/>
        <v>-2.0799999999999272</v>
      </c>
      <c r="BY960" s="61" t="s">
        <v>91</v>
      </c>
      <c r="CA960" s="61">
        <f t="shared" si="1066"/>
        <v>0</v>
      </c>
      <c r="CB960" s="61">
        <f t="shared" si="1066"/>
        <v>0</v>
      </c>
      <c r="CC960" s="61">
        <f t="shared" si="1066"/>
        <v>0</v>
      </c>
      <c r="CD960" s="61">
        <f t="shared" si="1066"/>
        <v>-0.31292312321346882</v>
      </c>
      <c r="CE960" s="61">
        <f t="shared" si="1066"/>
        <v>0</v>
      </c>
      <c r="CF960" s="61">
        <f t="shared" si="1066"/>
        <v>0</v>
      </c>
      <c r="CG960" s="61">
        <f t="shared" si="1066"/>
        <v>0</v>
      </c>
      <c r="CH960" s="61">
        <f t="shared" si="1000"/>
        <v>0</v>
      </c>
      <c r="CI960" s="61">
        <f t="shared" si="1067"/>
        <v>-7.1972318339097827E-2</v>
      </c>
      <c r="CJ960" s="61"/>
      <c r="CK960" s="61">
        <f t="shared" si="1046"/>
        <v>0</v>
      </c>
      <c r="CL960" s="61">
        <f t="shared" si="1046"/>
        <v>0</v>
      </c>
      <c r="CM960" s="61">
        <f t="shared" si="1046"/>
        <v>0</v>
      </c>
      <c r="CN960" s="61">
        <f t="shared" si="1046"/>
        <v>-0.31292312321346882</v>
      </c>
      <c r="CO960" s="61">
        <f t="shared" si="1046"/>
        <v>0</v>
      </c>
      <c r="CP960" s="61">
        <f t="shared" si="1046"/>
        <v>0</v>
      </c>
      <c r="CQ960" s="61">
        <f t="shared" si="1046"/>
        <v>0</v>
      </c>
      <c r="CR960" s="61">
        <f t="shared" si="1046"/>
        <v>0</v>
      </c>
      <c r="CS960" s="61">
        <f t="shared" si="1068"/>
        <v>-7.1972318339097827E-2</v>
      </c>
      <c r="CT960" s="67">
        <f t="shared" si="1069"/>
        <v>-0.47839999999998328</v>
      </c>
      <c r="CV960" s="61">
        <f t="shared" ref="CV960" si="1082">SUM(AG960)-SUM(BL960)</f>
        <v>0</v>
      </c>
      <c r="CW960" s="61">
        <f t="shared" ref="CW960" si="1083">SUM(AH960)-SUM(BM960)</f>
        <v>0</v>
      </c>
      <c r="CX960" s="61"/>
      <c r="CY960" s="61">
        <f t="shared" si="1080"/>
        <v>0</v>
      </c>
      <c r="CZ960" s="61">
        <f t="shared" si="1080"/>
        <v>0</v>
      </c>
      <c r="DA960" s="61">
        <f t="shared" si="1080"/>
        <v>0</v>
      </c>
      <c r="DB960" s="2" t="s">
        <v>85</v>
      </c>
      <c r="DC960" s="2" t="s">
        <v>85</v>
      </c>
      <c r="DD960" s="2" t="s">
        <v>142</v>
      </c>
      <c r="DE960" s="2" t="s">
        <v>106</v>
      </c>
      <c r="DF960" s="3" t="s">
        <v>86</v>
      </c>
      <c r="DG960" s="62">
        <v>43082</v>
      </c>
      <c r="EC960" s="60"/>
      <c r="ED960" s="60"/>
      <c r="EE960" s="60"/>
      <c r="EF960" s="60"/>
    </row>
    <row r="961" spans="2:136" ht="12.75" hidden="1" customHeight="1">
      <c r="B961" s="99" t="s">
        <v>1526</v>
      </c>
      <c r="C961" s="22" t="s">
        <v>726</v>
      </c>
      <c r="D961" s="22" t="s">
        <v>727</v>
      </c>
      <c r="E961" s="2" t="s">
        <v>260</v>
      </c>
      <c r="F961" s="2" t="s">
        <v>1025</v>
      </c>
      <c r="G961" s="2" t="s">
        <v>994</v>
      </c>
      <c r="J961" s="149" t="s">
        <v>728</v>
      </c>
      <c r="K961" s="23" t="s">
        <v>729</v>
      </c>
      <c r="L961" s="149" t="s">
        <v>742</v>
      </c>
      <c r="M961" s="51" t="str">
        <f t="shared" si="963"/>
        <v>MJD8B -LBBA-GBW</v>
      </c>
      <c r="O961" s="22">
        <v>0</v>
      </c>
      <c r="P961" s="22">
        <v>0</v>
      </c>
      <c r="Q961" s="22">
        <v>0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64">
        <f t="shared" si="971"/>
        <v>0</v>
      </c>
      <c r="Y961" s="60">
        <f>-942.08</f>
        <v>-942.08</v>
      </c>
      <c r="Z961" s="8"/>
      <c r="AA961" s="8">
        <v>-8.4600000000000009</v>
      </c>
      <c r="AB961" s="8">
        <v>-2.12</v>
      </c>
      <c r="AC961" s="8"/>
      <c r="AD961" s="8">
        <f t="shared" ref="AD961:AD975" si="1084">SUM(Y961:AC961)</f>
        <v>-952.66000000000008</v>
      </c>
      <c r="AE961" s="2" t="s">
        <v>84</v>
      </c>
      <c r="AG961" s="8"/>
      <c r="AH961" s="8"/>
      <c r="AJ961" s="70"/>
      <c r="AK961" s="70"/>
      <c r="AL961" s="72"/>
      <c r="AM961" s="22"/>
      <c r="AO961" s="22" t="s">
        <v>728</v>
      </c>
      <c r="AP961" s="23" t="s">
        <v>1001</v>
      </c>
      <c r="AQ961" s="22" t="s">
        <v>742</v>
      </c>
      <c r="AR961" s="51" t="str">
        <f t="shared" si="965"/>
        <v>MJD8B -LBBA-GBW</v>
      </c>
      <c r="AS961" s="3"/>
      <c r="AT961" s="22">
        <v>0</v>
      </c>
      <c r="AU961" s="22">
        <v>0</v>
      </c>
      <c r="AV961" s="22">
        <v>0</v>
      </c>
      <c r="AW961" s="22">
        <v>0</v>
      </c>
      <c r="AX961" s="22">
        <v>0</v>
      </c>
      <c r="AY961" s="22">
        <v>0</v>
      </c>
      <c r="AZ961" s="22">
        <v>0</v>
      </c>
      <c r="BA961" s="22">
        <v>0</v>
      </c>
      <c r="BB961" s="64">
        <f t="shared" si="979"/>
        <v>0</v>
      </c>
      <c r="BD961" s="8">
        <v>-940</v>
      </c>
      <c r="BE961" s="8"/>
      <c r="BF961" s="8">
        <v>-8.4600000000000009</v>
      </c>
      <c r="BG961" s="8">
        <v>-2.12</v>
      </c>
      <c r="BH961" s="8">
        <v>0</v>
      </c>
      <c r="BI961" s="8">
        <f t="shared" si="1079"/>
        <v>-950.58</v>
      </c>
      <c r="BJ961" s="2" t="s">
        <v>84</v>
      </c>
      <c r="BL961" s="8">
        <v>0</v>
      </c>
      <c r="BM961" s="8">
        <v>0</v>
      </c>
      <c r="BN961" s="6"/>
      <c r="BO961" s="70">
        <v>0</v>
      </c>
      <c r="BP961" s="70">
        <v>0</v>
      </c>
      <c r="BQ961" s="72"/>
      <c r="BS961" s="61">
        <f t="shared" si="1052"/>
        <v>-2.0800000000000409</v>
      </c>
      <c r="BT961" s="61">
        <f t="shared" si="1053"/>
        <v>0</v>
      </c>
      <c r="BU961" s="61">
        <f t="shared" si="1054"/>
        <v>0</v>
      </c>
      <c r="BV961" s="61">
        <f t="shared" si="1054"/>
        <v>0</v>
      </c>
      <c r="BW961" s="61">
        <f t="shared" si="1054"/>
        <v>0</v>
      </c>
      <c r="BX961" s="61">
        <f t="shared" si="1054"/>
        <v>-2.0800000000000409</v>
      </c>
      <c r="BY961" s="61" t="s">
        <v>91</v>
      </c>
      <c r="CA961" s="61">
        <f t="shared" si="1066"/>
        <v>0</v>
      </c>
      <c r="CB961" s="61">
        <f t="shared" si="1066"/>
        <v>0</v>
      </c>
      <c r="CC961" s="61">
        <f t="shared" si="1066"/>
        <v>0</v>
      </c>
      <c r="CD961" s="61">
        <f t="shared" si="1066"/>
        <v>0</v>
      </c>
      <c r="CE961" s="61">
        <f t="shared" si="1066"/>
        <v>0</v>
      </c>
      <c r="CF961" s="61">
        <f t="shared" si="1066"/>
        <v>0</v>
      </c>
      <c r="CG961" s="61">
        <f t="shared" si="1066"/>
        <v>0</v>
      </c>
      <c r="CH961" s="61">
        <f t="shared" si="1000"/>
        <v>0</v>
      </c>
      <c r="CI961" s="61">
        <f t="shared" si="1067"/>
        <v>0</v>
      </c>
      <c r="CJ961" s="61"/>
      <c r="CK961" s="61">
        <f t="shared" si="1046"/>
        <v>0</v>
      </c>
      <c r="CL961" s="61">
        <f t="shared" si="1046"/>
        <v>0</v>
      </c>
      <c r="CM961" s="61">
        <f t="shared" si="1046"/>
        <v>0</v>
      </c>
      <c r="CN961" s="61">
        <f t="shared" si="1046"/>
        <v>0</v>
      </c>
      <c r="CO961" s="61">
        <f t="shared" si="1046"/>
        <v>0</v>
      </c>
      <c r="CP961" s="61">
        <f t="shared" si="1046"/>
        <v>0</v>
      </c>
      <c r="CQ961" s="61">
        <f t="shared" si="1046"/>
        <v>0</v>
      </c>
      <c r="CR961" s="61">
        <f t="shared" si="1046"/>
        <v>0</v>
      </c>
      <c r="CS961" s="61">
        <f t="shared" si="1068"/>
        <v>0</v>
      </c>
      <c r="CT961" s="67">
        <f t="shared" si="1069"/>
        <v>0</v>
      </c>
      <c r="CV961" s="61">
        <f t="shared" ref="CV961:CV975" si="1085">SUM(AG961)-SUM(BL961)</f>
        <v>0</v>
      </c>
      <c r="CW961" s="61">
        <f t="shared" ref="CW961:CW975" si="1086">SUM(AH961)-SUM(BM961)</f>
        <v>0</v>
      </c>
      <c r="CX961" s="61"/>
      <c r="CY961" s="61">
        <f t="shared" si="1080"/>
        <v>0</v>
      </c>
      <c r="CZ961" s="61">
        <f t="shared" si="1080"/>
        <v>0</v>
      </c>
      <c r="DA961" s="61">
        <f t="shared" si="1080"/>
        <v>0</v>
      </c>
      <c r="DB961" s="2" t="s">
        <v>85</v>
      </c>
      <c r="DC961" s="2" t="s">
        <v>85</v>
      </c>
      <c r="DD961" s="2" t="s">
        <v>142</v>
      </c>
      <c r="DE961" s="2" t="s">
        <v>106</v>
      </c>
      <c r="DF961" s="3" t="s">
        <v>86</v>
      </c>
      <c r="DG961" s="62">
        <v>43082</v>
      </c>
      <c r="EC961" s="60"/>
      <c r="ED961" s="60"/>
      <c r="EE961" s="60"/>
      <c r="EF961" s="60"/>
    </row>
    <row r="962" spans="2:136" ht="12.75" hidden="1" customHeight="1">
      <c r="B962" s="99" t="s">
        <v>1526</v>
      </c>
      <c r="C962" s="22" t="s">
        <v>726</v>
      </c>
      <c r="D962" s="22" t="s">
        <v>727</v>
      </c>
      <c r="E962" s="2" t="s">
        <v>260</v>
      </c>
      <c r="F962" s="2" t="s">
        <v>1025</v>
      </c>
      <c r="G962" s="2" t="s">
        <v>994</v>
      </c>
      <c r="J962" s="149" t="s">
        <v>728</v>
      </c>
      <c r="K962" s="23" t="s">
        <v>729</v>
      </c>
      <c r="L962" s="149" t="s">
        <v>743</v>
      </c>
      <c r="M962" s="51" t="str">
        <f t="shared" si="963"/>
        <v>MJD8B -LBBA-HBW</v>
      </c>
      <c r="O962" s="22">
        <v>0</v>
      </c>
      <c r="P962" s="22">
        <v>0</v>
      </c>
      <c r="Q962" s="22">
        <v>0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64">
        <f t="shared" si="971"/>
        <v>0</v>
      </c>
      <c r="Y962" s="60">
        <f>-942.08</f>
        <v>-942.08</v>
      </c>
      <c r="Z962" s="8"/>
      <c r="AA962" s="8">
        <v>-8.4600000000000009</v>
      </c>
      <c r="AB962" s="8">
        <v>-2.12</v>
      </c>
      <c r="AC962" s="8"/>
      <c r="AD962" s="8">
        <f t="shared" si="1084"/>
        <v>-952.66000000000008</v>
      </c>
      <c r="AE962" s="2" t="s">
        <v>84</v>
      </c>
      <c r="AG962" s="8"/>
      <c r="AH962" s="8"/>
      <c r="AJ962" s="70"/>
      <c r="AK962" s="70"/>
      <c r="AL962" s="72"/>
      <c r="AM962" s="22"/>
      <c r="AO962" s="22" t="s">
        <v>728</v>
      </c>
      <c r="AP962" s="23" t="s">
        <v>1001</v>
      </c>
      <c r="AQ962" s="22" t="s">
        <v>743</v>
      </c>
      <c r="AR962" s="51" t="str">
        <f t="shared" si="965"/>
        <v>MJD8B -LBBA-HBW</v>
      </c>
      <c r="AS962" s="3"/>
      <c r="AT962" s="22">
        <v>0</v>
      </c>
      <c r="AU962" s="22">
        <v>0</v>
      </c>
      <c r="AV962" s="22">
        <v>0</v>
      </c>
      <c r="AW962" s="22">
        <v>0</v>
      </c>
      <c r="AX962" s="22">
        <v>0</v>
      </c>
      <c r="AY962" s="22">
        <v>0</v>
      </c>
      <c r="AZ962" s="22">
        <v>0</v>
      </c>
      <c r="BA962" s="22">
        <v>0</v>
      </c>
      <c r="BB962" s="64">
        <f t="shared" si="979"/>
        <v>0</v>
      </c>
      <c r="BD962" s="8">
        <v>-940</v>
      </c>
      <c r="BE962" s="8"/>
      <c r="BF962" s="8">
        <v>-8.4600000000000009</v>
      </c>
      <c r="BG962" s="8">
        <v>-2.12</v>
      </c>
      <c r="BH962" s="8">
        <v>0</v>
      </c>
      <c r="BI962" s="8">
        <f t="shared" si="1079"/>
        <v>-950.58</v>
      </c>
      <c r="BJ962" s="2" t="s">
        <v>84</v>
      </c>
      <c r="BL962" s="8">
        <v>0</v>
      </c>
      <c r="BM962" s="8">
        <v>0</v>
      </c>
      <c r="BN962" s="6"/>
      <c r="BO962" s="70">
        <v>0</v>
      </c>
      <c r="BP962" s="70">
        <v>0</v>
      </c>
      <c r="BQ962" s="72"/>
      <c r="BS962" s="61">
        <f t="shared" si="1052"/>
        <v>-2.0800000000000409</v>
      </c>
      <c r="BT962" s="61">
        <f t="shared" si="1053"/>
        <v>0</v>
      </c>
      <c r="BU962" s="61">
        <f t="shared" si="1054"/>
        <v>0</v>
      </c>
      <c r="BV962" s="61">
        <f t="shared" si="1054"/>
        <v>0</v>
      </c>
      <c r="BW962" s="61">
        <f t="shared" si="1054"/>
        <v>0</v>
      </c>
      <c r="BX962" s="61">
        <f t="shared" si="1054"/>
        <v>-2.0800000000000409</v>
      </c>
      <c r="BY962" s="61" t="s">
        <v>91</v>
      </c>
      <c r="CA962" s="61">
        <f t="shared" si="1066"/>
        <v>0</v>
      </c>
      <c r="CB962" s="61">
        <f t="shared" si="1066"/>
        <v>0</v>
      </c>
      <c r="CC962" s="61">
        <f t="shared" si="1066"/>
        <v>0</v>
      </c>
      <c r="CD962" s="61">
        <f t="shared" si="1066"/>
        <v>0</v>
      </c>
      <c r="CE962" s="61">
        <f t="shared" si="1066"/>
        <v>0</v>
      </c>
      <c r="CF962" s="61">
        <f t="shared" si="1066"/>
        <v>0</v>
      </c>
      <c r="CG962" s="61">
        <f t="shared" si="1066"/>
        <v>0</v>
      </c>
      <c r="CH962" s="61">
        <f t="shared" si="1000"/>
        <v>0</v>
      </c>
      <c r="CI962" s="61">
        <f t="shared" si="1067"/>
        <v>0</v>
      </c>
      <c r="CJ962" s="61"/>
      <c r="CK962" s="61">
        <f t="shared" si="1046"/>
        <v>0</v>
      </c>
      <c r="CL962" s="61">
        <f t="shared" si="1046"/>
        <v>0</v>
      </c>
      <c r="CM962" s="61">
        <f t="shared" si="1046"/>
        <v>0</v>
      </c>
      <c r="CN962" s="61">
        <f t="shared" si="1046"/>
        <v>0</v>
      </c>
      <c r="CO962" s="61">
        <f t="shared" si="1046"/>
        <v>0</v>
      </c>
      <c r="CP962" s="61">
        <f t="shared" si="1046"/>
        <v>0</v>
      </c>
      <c r="CQ962" s="61">
        <f t="shared" si="1046"/>
        <v>0</v>
      </c>
      <c r="CR962" s="61">
        <f t="shared" si="1046"/>
        <v>0</v>
      </c>
      <c r="CS962" s="61">
        <f t="shared" si="1068"/>
        <v>0</v>
      </c>
      <c r="CT962" s="67">
        <f t="shared" si="1069"/>
        <v>0</v>
      </c>
      <c r="CV962" s="61">
        <f t="shared" si="1085"/>
        <v>0</v>
      </c>
      <c r="CW962" s="61">
        <f t="shared" si="1086"/>
        <v>0</v>
      </c>
      <c r="CX962" s="61"/>
      <c r="CY962" s="61">
        <f t="shared" si="1080"/>
        <v>0</v>
      </c>
      <c r="CZ962" s="61">
        <f t="shared" si="1080"/>
        <v>0</v>
      </c>
      <c r="DA962" s="61">
        <f t="shared" si="1080"/>
        <v>0</v>
      </c>
      <c r="DB962" s="2" t="s">
        <v>85</v>
      </c>
      <c r="DC962" s="2" t="s">
        <v>85</v>
      </c>
      <c r="DD962" s="2" t="s">
        <v>142</v>
      </c>
      <c r="DE962" s="2" t="s">
        <v>106</v>
      </c>
      <c r="DF962" s="3" t="s">
        <v>86</v>
      </c>
      <c r="DG962" s="62">
        <v>43082</v>
      </c>
      <c r="EC962" s="60"/>
      <c r="ED962" s="60"/>
      <c r="EE962" s="60"/>
      <c r="EF962" s="60"/>
    </row>
    <row r="963" spans="2:136" ht="12.75" hidden="1" customHeight="1">
      <c r="B963" s="99" t="s">
        <v>1526</v>
      </c>
      <c r="C963" s="22" t="s">
        <v>726</v>
      </c>
      <c r="D963" s="22" t="s">
        <v>727</v>
      </c>
      <c r="E963" s="2" t="s">
        <v>260</v>
      </c>
      <c r="F963" s="2" t="s">
        <v>1025</v>
      </c>
      <c r="G963" s="2" t="s">
        <v>994</v>
      </c>
      <c r="J963" s="149" t="s">
        <v>728</v>
      </c>
      <c r="K963" s="23" t="s">
        <v>729</v>
      </c>
      <c r="L963" s="149" t="s">
        <v>744</v>
      </c>
      <c r="M963" s="51" t="str">
        <f t="shared" si="963"/>
        <v>MJD8B -LBBA-JBW</v>
      </c>
      <c r="O963" s="22">
        <v>0</v>
      </c>
      <c r="P963" s="22">
        <v>0</v>
      </c>
      <c r="Q963" s="22">
        <v>0</v>
      </c>
      <c r="R963" s="22">
        <v>0</v>
      </c>
      <c r="S963" s="22">
        <v>1</v>
      </c>
      <c r="T963" s="22">
        <v>0</v>
      </c>
      <c r="U963" s="22">
        <v>0</v>
      </c>
      <c r="V963" s="22">
        <v>0</v>
      </c>
      <c r="W963" s="64">
        <f t="shared" si="971"/>
        <v>0.09</v>
      </c>
      <c r="Y963" s="60">
        <v>-943.43</v>
      </c>
      <c r="Z963" s="8"/>
      <c r="AA963" s="8">
        <v>-8.4600000000000009</v>
      </c>
      <c r="AB963" s="8">
        <v>-2.12</v>
      </c>
      <c r="AC963" s="8"/>
      <c r="AD963" s="8">
        <f t="shared" si="1084"/>
        <v>-954.01</v>
      </c>
      <c r="AE963" s="2" t="s">
        <v>84</v>
      </c>
      <c r="AG963" s="8"/>
      <c r="AH963" s="8"/>
      <c r="AJ963" s="70"/>
      <c r="AK963" s="70"/>
      <c r="AL963" s="72"/>
      <c r="AM963" s="22"/>
      <c r="AO963" s="22" t="s">
        <v>728</v>
      </c>
      <c r="AP963" s="23" t="s">
        <v>1001</v>
      </c>
      <c r="AQ963" s="22" t="s">
        <v>744</v>
      </c>
      <c r="AR963" s="51" t="str">
        <f t="shared" si="965"/>
        <v>MJD8B -LBBA-JBW</v>
      </c>
      <c r="AS963" s="3"/>
      <c r="AT963" s="22">
        <v>0</v>
      </c>
      <c r="AU963" s="22">
        <v>0</v>
      </c>
      <c r="AV963" s="22">
        <v>0</v>
      </c>
      <c r="AW963" s="22">
        <v>0</v>
      </c>
      <c r="AX963" s="22">
        <v>1</v>
      </c>
      <c r="AY963" s="22">
        <v>0</v>
      </c>
      <c r="AZ963" s="22">
        <v>0</v>
      </c>
      <c r="BA963" s="22">
        <v>0</v>
      </c>
      <c r="BB963" s="64">
        <f t="shared" si="979"/>
        <v>0.09</v>
      </c>
      <c r="BD963" s="8">
        <v>-941.35</v>
      </c>
      <c r="BE963" s="8"/>
      <c r="BF963" s="8">
        <v>-8.4600000000000009</v>
      </c>
      <c r="BG963" s="8">
        <v>-2.12</v>
      </c>
      <c r="BH963" s="8">
        <v>0</v>
      </c>
      <c r="BI963" s="8">
        <f t="shared" si="1079"/>
        <v>-951.93000000000006</v>
      </c>
      <c r="BJ963" s="2" t="s">
        <v>84</v>
      </c>
      <c r="BL963" s="8">
        <v>0</v>
      </c>
      <c r="BM963" s="8">
        <v>0</v>
      </c>
      <c r="BN963" s="6"/>
      <c r="BO963" s="70">
        <v>0</v>
      </c>
      <c r="BP963" s="70">
        <v>0</v>
      </c>
      <c r="BQ963" s="72"/>
      <c r="BS963" s="61">
        <f t="shared" si="1052"/>
        <v>-2.0799999999999272</v>
      </c>
      <c r="BT963" s="61">
        <f t="shared" si="1053"/>
        <v>0</v>
      </c>
      <c r="BU963" s="61">
        <f t="shared" si="1054"/>
        <v>0</v>
      </c>
      <c r="BV963" s="61">
        <f t="shared" si="1054"/>
        <v>0</v>
      </c>
      <c r="BW963" s="61">
        <f t="shared" si="1054"/>
        <v>0</v>
      </c>
      <c r="BX963" s="61">
        <f t="shared" si="1054"/>
        <v>-2.0799999999999272</v>
      </c>
      <c r="BY963" s="61" t="s">
        <v>91</v>
      </c>
      <c r="CA963" s="61">
        <f t="shared" si="1066"/>
        <v>0</v>
      </c>
      <c r="CB963" s="61">
        <f t="shared" si="1066"/>
        <v>0</v>
      </c>
      <c r="CC963" s="61">
        <f t="shared" si="1066"/>
        <v>0</v>
      </c>
      <c r="CD963" s="61">
        <f t="shared" si="1066"/>
        <v>0</v>
      </c>
      <c r="CE963" s="61">
        <f t="shared" si="1066"/>
        <v>-0.31292312321346882</v>
      </c>
      <c r="CF963" s="61">
        <f t="shared" si="1066"/>
        <v>0</v>
      </c>
      <c r="CG963" s="61">
        <f t="shared" si="1066"/>
        <v>0</v>
      </c>
      <c r="CH963" s="61">
        <f t="shared" si="1000"/>
        <v>0</v>
      </c>
      <c r="CI963" s="61">
        <f t="shared" si="1067"/>
        <v>-2.8163081089212193E-2</v>
      </c>
      <c r="CJ963" s="61"/>
      <c r="CK963" s="61">
        <f t="shared" si="1046"/>
        <v>0</v>
      </c>
      <c r="CL963" s="61">
        <f t="shared" si="1046"/>
        <v>0</v>
      </c>
      <c r="CM963" s="61">
        <f t="shared" si="1046"/>
        <v>0</v>
      </c>
      <c r="CN963" s="61">
        <f t="shared" si="1046"/>
        <v>0</v>
      </c>
      <c r="CO963" s="61">
        <f t="shared" si="1046"/>
        <v>-0.31292312321346882</v>
      </c>
      <c r="CP963" s="61">
        <f t="shared" si="1046"/>
        <v>0</v>
      </c>
      <c r="CQ963" s="61">
        <f t="shared" si="1046"/>
        <v>0</v>
      </c>
      <c r="CR963" s="61">
        <f t="shared" si="1046"/>
        <v>0</v>
      </c>
      <c r="CS963" s="61">
        <f t="shared" si="1068"/>
        <v>-2.8163081089212193E-2</v>
      </c>
      <c r="CT963" s="67">
        <f t="shared" si="1069"/>
        <v>-0.18719999999999345</v>
      </c>
      <c r="CV963" s="61">
        <f t="shared" si="1085"/>
        <v>0</v>
      </c>
      <c r="CW963" s="61">
        <f t="shared" si="1086"/>
        <v>0</v>
      </c>
      <c r="CX963" s="61"/>
      <c r="CY963" s="61">
        <f t="shared" si="1080"/>
        <v>0</v>
      </c>
      <c r="CZ963" s="61">
        <f t="shared" si="1080"/>
        <v>0</v>
      </c>
      <c r="DA963" s="61">
        <f t="shared" si="1080"/>
        <v>0</v>
      </c>
      <c r="DB963" s="2" t="s">
        <v>85</v>
      </c>
      <c r="DC963" s="2" t="s">
        <v>85</v>
      </c>
      <c r="DD963" s="2" t="s">
        <v>142</v>
      </c>
      <c r="DE963" s="2" t="s">
        <v>106</v>
      </c>
      <c r="DF963" s="3" t="s">
        <v>86</v>
      </c>
      <c r="DG963" s="62">
        <v>43082</v>
      </c>
      <c r="EC963" s="60"/>
      <c r="ED963" s="60"/>
      <c r="EE963" s="60"/>
      <c r="EF963" s="60"/>
    </row>
    <row r="964" spans="2:136" ht="12.75" hidden="1" customHeight="1">
      <c r="B964" s="99" t="s">
        <v>1526</v>
      </c>
      <c r="C964" s="22" t="s">
        <v>726</v>
      </c>
      <c r="D964" s="22" t="s">
        <v>727</v>
      </c>
      <c r="E964" s="2" t="s">
        <v>260</v>
      </c>
      <c r="F964" s="2" t="s">
        <v>1025</v>
      </c>
      <c r="G964" s="2" t="s">
        <v>994</v>
      </c>
      <c r="J964" s="149" t="s">
        <v>728</v>
      </c>
      <c r="K964" s="23" t="s">
        <v>729</v>
      </c>
      <c r="L964" s="149" t="s">
        <v>745</v>
      </c>
      <c r="M964" s="51" t="str">
        <f t="shared" si="963"/>
        <v>MJD8B -LBBA-KBW</v>
      </c>
      <c r="O964" s="22">
        <v>0</v>
      </c>
      <c r="P964" s="22">
        <v>0</v>
      </c>
      <c r="Q964" s="22">
        <v>0</v>
      </c>
      <c r="R964" s="22">
        <v>0</v>
      </c>
      <c r="S964" s="22">
        <v>0</v>
      </c>
      <c r="T964" s="22">
        <v>1</v>
      </c>
      <c r="U964" s="22">
        <v>0</v>
      </c>
      <c r="V964" s="22">
        <v>0</v>
      </c>
      <c r="W964" s="64">
        <f t="shared" si="971"/>
        <v>0.14000000000000001</v>
      </c>
      <c r="Y964" s="60">
        <v>-943.43</v>
      </c>
      <c r="Z964" s="8"/>
      <c r="AA964" s="8">
        <v>-8.4600000000000009</v>
      </c>
      <c r="AB964" s="8">
        <v>-2.12</v>
      </c>
      <c r="AC964" s="8"/>
      <c r="AD964" s="8">
        <f t="shared" si="1084"/>
        <v>-954.01</v>
      </c>
      <c r="AE964" s="2" t="s">
        <v>84</v>
      </c>
      <c r="AG964" s="8"/>
      <c r="AH964" s="8"/>
      <c r="AJ964" s="70"/>
      <c r="AK964" s="70"/>
      <c r="AL964" s="72"/>
      <c r="AM964" s="22"/>
      <c r="AO964" s="22" t="s">
        <v>728</v>
      </c>
      <c r="AP964" s="23" t="s">
        <v>1001</v>
      </c>
      <c r="AQ964" s="22" t="s">
        <v>745</v>
      </c>
      <c r="AR964" s="51" t="str">
        <f t="shared" si="965"/>
        <v>MJD8B -LBBA-KBW</v>
      </c>
      <c r="AS964" s="3"/>
      <c r="AT964" s="22">
        <v>0</v>
      </c>
      <c r="AU964" s="22">
        <v>0</v>
      </c>
      <c r="AV964" s="22">
        <v>0</v>
      </c>
      <c r="AW964" s="22">
        <v>0</v>
      </c>
      <c r="AX964" s="22">
        <v>0</v>
      </c>
      <c r="AY964" s="22">
        <v>1</v>
      </c>
      <c r="AZ964" s="22">
        <v>0</v>
      </c>
      <c r="BA964" s="22">
        <v>0</v>
      </c>
      <c r="BB964" s="64">
        <f t="shared" si="979"/>
        <v>0.14000000000000001</v>
      </c>
      <c r="BD964" s="8">
        <v>-941.35</v>
      </c>
      <c r="BE964" s="8"/>
      <c r="BF964" s="8">
        <v>-8.4600000000000009</v>
      </c>
      <c r="BG964" s="8">
        <v>-2.12</v>
      </c>
      <c r="BH964" s="8">
        <v>0</v>
      </c>
      <c r="BI964" s="8">
        <f t="shared" si="1079"/>
        <v>-951.93000000000006</v>
      </c>
      <c r="BJ964" s="2" t="s">
        <v>84</v>
      </c>
      <c r="BL964" s="8">
        <v>0</v>
      </c>
      <c r="BM964" s="8">
        <v>0</v>
      </c>
      <c r="BN964" s="6"/>
      <c r="BO964" s="70">
        <v>0</v>
      </c>
      <c r="BP964" s="70">
        <v>0</v>
      </c>
      <c r="BQ964" s="72"/>
      <c r="BS964" s="61">
        <f t="shared" si="1052"/>
        <v>-2.0799999999999272</v>
      </c>
      <c r="BT964" s="61">
        <f t="shared" si="1053"/>
        <v>0</v>
      </c>
      <c r="BU964" s="61">
        <f t="shared" si="1054"/>
        <v>0</v>
      </c>
      <c r="BV964" s="61">
        <f t="shared" si="1054"/>
        <v>0</v>
      </c>
      <c r="BW964" s="61">
        <f t="shared" si="1054"/>
        <v>0</v>
      </c>
      <c r="BX964" s="61">
        <f t="shared" si="1054"/>
        <v>-2.0799999999999272</v>
      </c>
      <c r="BY964" s="61" t="s">
        <v>91</v>
      </c>
      <c r="CA964" s="61">
        <f t="shared" si="1066"/>
        <v>0</v>
      </c>
      <c r="CB964" s="61">
        <f t="shared" si="1066"/>
        <v>0</v>
      </c>
      <c r="CC964" s="61">
        <f t="shared" si="1066"/>
        <v>0</v>
      </c>
      <c r="CD964" s="61">
        <f t="shared" si="1066"/>
        <v>0</v>
      </c>
      <c r="CE964" s="61">
        <f t="shared" si="1066"/>
        <v>0</v>
      </c>
      <c r="CF964" s="61">
        <f t="shared" si="1066"/>
        <v>-0.31292312321346882</v>
      </c>
      <c r="CG964" s="61">
        <f t="shared" si="1066"/>
        <v>0</v>
      </c>
      <c r="CH964" s="61">
        <f t="shared" si="1000"/>
        <v>0</v>
      </c>
      <c r="CI964" s="61">
        <f t="shared" si="1067"/>
        <v>-4.3809237249885641E-2</v>
      </c>
      <c r="CJ964" s="61"/>
      <c r="CK964" s="61">
        <f t="shared" si="1046"/>
        <v>0</v>
      </c>
      <c r="CL964" s="61">
        <f t="shared" si="1046"/>
        <v>0</v>
      </c>
      <c r="CM964" s="61">
        <f t="shared" si="1046"/>
        <v>0</v>
      </c>
      <c r="CN964" s="61">
        <f t="shared" si="1046"/>
        <v>0</v>
      </c>
      <c r="CO964" s="61">
        <f t="shared" si="1046"/>
        <v>0</v>
      </c>
      <c r="CP964" s="61">
        <f t="shared" si="1046"/>
        <v>-0.31292312321346882</v>
      </c>
      <c r="CQ964" s="61">
        <f t="shared" si="1046"/>
        <v>0</v>
      </c>
      <c r="CR964" s="61">
        <f t="shared" si="1046"/>
        <v>0</v>
      </c>
      <c r="CS964" s="61">
        <f t="shared" si="1068"/>
        <v>-4.3809237249885641E-2</v>
      </c>
      <c r="CT964" s="67">
        <f t="shared" si="1069"/>
        <v>-0.29119999999998986</v>
      </c>
      <c r="CV964" s="61">
        <f t="shared" si="1085"/>
        <v>0</v>
      </c>
      <c r="CW964" s="61">
        <f t="shared" si="1086"/>
        <v>0</v>
      </c>
      <c r="CX964" s="61"/>
      <c r="CY964" s="61">
        <f t="shared" si="1080"/>
        <v>0</v>
      </c>
      <c r="CZ964" s="61">
        <f t="shared" si="1080"/>
        <v>0</v>
      </c>
      <c r="DA964" s="61">
        <f t="shared" si="1080"/>
        <v>0</v>
      </c>
      <c r="DB964" s="2" t="s">
        <v>85</v>
      </c>
      <c r="DC964" s="2" t="s">
        <v>85</v>
      </c>
      <c r="DD964" s="2" t="s">
        <v>142</v>
      </c>
      <c r="DE964" s="2" t="s">
        <v>106</v>
      </c>
      <c r="DF964" s="3" t="s">
        <v>86</v>
      </c>
      <c r="DG964" s="62">
        <v>43082</v>
      </c>
      <c r="EC964" s="60"/>
      <c r="ED964" s="60"/>
      <c r="EE964" s="60"/>
      <c r="EF964" s="60"/>
    </row>
    <row r="965" spans="2:136" ht="12.75" hidden="1" customHeight="1">
      <c r="B965" s="99" t="s">
        <v>1526</v>
      </c>
      <c r="C965" s="22" t="s">
        <v>726</v>
      </c>
      <c r="D965" s="22" t="s">
        <v>727</v>
      </c>
      <c r="E965" s="2" t="s">
        <v>260</v>
      </c>
      <c r="F965" s="2" t="s">
        <v>1025</v>
      </c>
      <c r="G965" s="2" t="s">
        <v>994</v>
      </c>
      <c r="J965" s="149" t="s">
        <v>728</v>
      </c>
      <c r="K965" s="23" t="s">
        <v>729</v>
      </c>
      <c r="L965" s="149" t="s">
        <v>1002</v>
      </c>
      <c r="M965" s="51" t="str">
        <f t="shared" si="963"/>
        <v>MJD8B -LBBA-LCW</v>
      </c>
      <c r="O965" s="22">
        <v>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1</v>
      </c>
      <c r="V965" s="22">
        <v>0</v>
      </c>
      <c r="W965" s="64">
        <f t="shared" si="971"/>
        <v>0.05</v>
      </c>
      <c r="Y965" s="60">
        <v>-985.43</v>
      </c>
      <c r="Z965" s="8"/>
      <c r="AA965" s="8">
        <v>-8.4600000000000009</v>
      </c>
      <c r="AB965" s="8">
        <v>-2.12</v>
      </c>
      <c r="AC965" s="8"/>
      <c r="AD965" s="8">
        <f t="shared" si="1084"/>
        <v>-996.01</v>
      </c>
      <c r="AE965" s="2" t="s">
        <v>84</v>
      </c>
      <c r="AG965" s="8">
        <v>-36000</v>
      </c>
      <c r="AH965" s="8">
        <v>-36000</v>
      </c>
      <c r="AJ965" s="70"/>
      <c r="AK965" s="70"/>
      <c r="AL965" s="72"/>
      <c r="AM965" s="22"/>
      <c r="AO965" s="22" t="s">
        <v>728</v>
      </c>
      <c r="AP965" s="23" t="s">
        <v>1001</v>
      </c>
      <c r="AQ965" s="22" t="s">
        <v>1002</v>
      </c>
      <c r="AR965" s="51" t="str">
        <f t="shared" si="965"/>
        <v>MJD8B -LBBA-LCW</v>
      </c>
      <c r="AS965" s="3"/>
      <c r="AT965" s="22">
        <v>0</v>
      </c>
      <c r="AU965" s="22">
        <v>0</v>
      </c>
      <c r="AV965" s="22">
        <v>0</v>
      </c>
      <c r="AW965" s="22">
        <v>0</v>
      </c>
      <c r="AX965" s="22">
        <v>0</v>
      </c>
      <c r="AY965" s="22">
        <v>0</v>
      </c>
      <c r="AZ965" s="22">
        <v>1</v>
      </c>
      <c r="BA965" s="22">
        <v>0</v>
      </c>
      <c r="BB965" s="64">
        <f t="shared" si="979"/>
        <v>0.05</v>
      </c>
      <c r="BD965" s="8">
        <v>-983.35</v>
      </c>
      <c r="BE965" s="8"/>
      <c r="BF965" s="8">
        <v>-8.4600000000000009</v>
      </c>
      <c r="BG965" s="8">
        <v>-2.12</v>
      </c>
      <c r="BH965" s="8">
        <v>0</v>
      </c>
      <c r="BI965" s="8">
        <f t="shared" si="1079"/>
        <v>-993.93000000000006</v>
      </c>
      <c r="BJ965" s="2" t="s">
        <v>84</v>
      </c>
      <c r="BL965" s="8">
        <v>-36000</v>
      </c>
      <c r="BM965" s="8">
        <v>-36000</v>
      </c>
      <c r="BN965" s="6"/>
      <c r="BO965" s="70">
        <v>0</v>
      </c>
      <c r="BP965" s="70">
        <v>0</v>
      </c>
      <c r="BQ965" s="72"/>
      <c r="BS965" s="61">
        <f t="shared" si="1052"/>
        <v>-2.0799999999999272</v>
      </c>
      <c r="BT965" s="61">
        <f t="shared" si="1053"/>
        <v>0</v>
      </c>
      <c r="BU965" s="61">
        <f t="shared" si="1054"/>
        <v>0</v>
      </c>
      <c r="BV965" s="61">
        <f t="shared" si="1054"/>
        <v>0</v>
      </c>
      <c r="BW965" s="61">
        <f t="shared" si="1054"/>
        <v>0</v>
      </c>
      <c r="BX965" s="61">
        <f t="shared" si="1054"/>
        <v>-2.0799999999999272</v>
      </c>
      <c r="BY965" s="61" t="s">
        <v>91</v>
      </c>
      <c r="CA965" s="61">
        <f t="shared" si="1066"/>
        <v>0</v>
      </c>
      <c r="CB965" s="61">
        <f t="shared" si="1066"/>
        <v>0</v>
      </c>
      <c r="CC965" s="61">
        <f t="shared" si="1066"/>
        <v>0</v>
      </c>
      <c r="CD965" s="61">
        <f t="shared" si="1066"/>
        <v>0</v>
      </c>
      <c r="CE965" s="61">
        <f t="shared" si="1066"/>
        <v>0</v>
      </c>
      <c r="CF965" s="61">
        <f t="shared" si="1066"/>
        <v>0</v>
      </c>
      <c r="CG965" s="61">
        <f t="shared" si="1066"/>
        <v>-0.31292312321346882</v>
      </c>
      <c r="CH965" s="61">
        <f t="shared" si="1000"/>
        <v>0</v>
      </c>
      <c r="CI965" s="61">
        <f t="shared" si="1067"/>
        <v>-1.5646156160673441E-2</v>
      </c>
      <c r="CJ965" s="61"/>
      <c r="CK965" s="61">
        <f t="shared" si="1046"/>
        <v>0</v>
      </c>
      <c r="CL965" s="61">
        <f t="shared" si="1046"/>
        <v>0</v>
      </c>
      <c r="CM965" s="61">
        <f t="shared" si="1046"/>
        <v>0</v>
      </c>
      <c r="CN965" s="61">
        <f t="shared" si="1046"/>
        <v>0</v>
      </c>
      <c r="CO965" s="61">
        <f t="shared" si="1046"/>
        <v>0</v>
      </c>
      <c r="CP965" s="61">
        <f t="shared" si="1046"/>
        <v>0</v>
      </c>
      <c r="CQ965" s="61">
        <f t="shared" si="1046"/>
        <v>-0.31292312321346882</v>
      </c>
      <c r="CR965" s="61">
        <f t="shared" si="1046"/>
        <v>0</v>
      </c>
      <c r="CS965" s="61">
        <f t="shared" si="1068"/>
        <v>-1.5646156160673441E-2</v>
      </c>
      <c r="CT965" s="67">
        <f t="shared" si="1069"/>
        <v>-0.10399999999999637</v>
      </c>
      <c r="CV965" s="61">
        <f t="shared" si="1085"/>
        <v>0</v>
      </c>
      <c r="CW965" s="61">
        <f t="shared" si="1086"/>
        <v>0</v>
      </c>
      <c r="CX965" s="61"/>
      <c r="CY965" s="61">
        <f t="shared" si="1080"/>
        <v>0</v>
      </c>
      <c r="CZ965" s="61">
        <f t="shared" si="1080"/>
        <v>0</v>
      </c>
      <c r="DA965" s="61">
        <f t="shared" si="1080"/>
        <v>0</v>
      </c>
      <c r="DB965" s="2" t="s">
        <v>85</v>
      </c>
      <c r="DC965" s="2" t="s">
        <v>85</v>
      </c>
      <c r="DD965" s="2" t="s">
        <v>142</v>
      </c>
      <c r="DE965" s="2" t="s">
        <v>106</v>
      </c>
      <c r="DF965" s="3" t="s">
        <v>86</v>
      </c>
      <c r="DG965" s="62">
        <v>43082</v>
      </c>
      <c r="EC965" s="60"/>
      <c r="ED965" s="60"/>
      <c r="EE965" s="60"/>
      <c r="EF965" s="60"/>
    </row>
    <row r="966" spans="2:136" ht="12.75" hidden="1" customHeight="1">
      <c r="B966" s="99" t="s">
        <v>1526</v>
      </c>
      <c r="C966" s="22" t="s">
        <v>726</v>
      </c>
      <c r="D966" s="22" t="s">
        <v>727</v>
      </c>
      <c r="E966" s="2" t="s">
        <v>260</v>
      </c>
      <c r="F966" s="2" t="s">
        <v>1025</v>
      </c>
      <c r="G966" s="2" t="s">
        <v>994</v>
      </c>
      <c r="J966" s="149" t="s">
        <v>728</v>
      </c>
      <c r="K966" s="23" t="s">
        <v>729</v>
      </c>
      <c r="L966" s="149" t="s">
        <v>1003</v>
      </c>
      <c r="M966" s="51" t="str">
        <f t="shared" si="963"/>
        <v>MJD8B -LBBA-MCW</v>
      </c>
      <c r="O966" s="22">
        <v>0</v>
      </c>
      <c r="P966" s="22">
        <v>0</v>
      </c>
      <c r="Q966" s="22">
        <v>0</v>
      </c>
      <c r="R966" s="22">
        <v>0</v>
      </c>
      <c r="S966" s="22">
        <v>0</v>
      </c>
      <c r="T966" s="22">
        <v>0</v>
      </c>
      <c r="U966" s="22">
        <v>0</v>
      </c>
      <c r="V966" s="22">
        <v>1</v>
      </c>
      <c r="W966" s="64">
        <f t="shared" si="971"/>
        <v>0.05</v>
      </c>
      <c r="Y966" s="60">
        <v>-985.89</v>
      </c>
      <c r="Z966" s="8"/>
      <c r="AA966" s="8">
        <v>-8.4600000000000009</v>
      </c>
      <c r="AB966" s="8">
        <v>-2.12</v>
      </c>
      <c r="AC966" s="8"/>
      <c r="AD966" s="8">
        <f t="shared" si="1084"/>
        <v>-996.47</v>
      </c>
      <c r="AE966" s="2" t="s">
        <v>84</v>
      </c>
      <c r="AG966" s="8"/>
      <c r="AH966" s="8"/>
      <c r="AJ966" s="70"/>
      <c r="AK966" s="70"/>
      <c r="AL966" s="72"/>
      <c r="AM966" s="22"/>
      <c r="AO966" s="22" t="s">
        <v>728</v>
      </c>
      <c r="AP966" s="23" t="s">
        <v>1001</v>
      </c>
      <c r="AQ966" s="22" t="s">
        <v>1003</v>
      </c>
      <c r="AR966" s="51" t="str">
        <f t="shared" si="965"/>
        <v>MJD8B -LBBA-MCW</v>
      </c>
      <c r="AS966" s="3"/>
      <c r="AT966" s="22">
        <v>0</v>
      </c>
      <c r="AU966" s="22">
        <v>0</v>
      </c>
      <c r="AV966" s="22">
        <v>0</v>
      </c>
      <c r="AW966" s="22">
        <v>0</v>
      </c>
      <c r="AX966" s="22">
        <v>0</v>
      </c>
      <c r="AY966" s="22">
        <v>0</v>
      </c>
      <c r="AZ966" s="22">
        <v>0</v>
      </c>
      <c r="BA966" s="22">
        <v>1</v>
      </c>
      <c r="BB966" s="64">
        <f t="shared" si="979"/>
        <v>0.05</v>
      </c>
      <c r="BD966" s="8">
        <v>-983.81</v>
      </c>
      <c r="BE966" s="8"/>
      <c r="BF966" s="8">
        <v>-8.4600000000000009</v>
      </c>
      <c r="BG966" s="8">
        <v>-2.12</v>
      </c>
      <c r="BH966" s="8">
        <v>0</v>
      </c>
      <c r="BI966" s="8">
        <f t="shared" si="1079"/>
        <v>-994.39</v>
      </c>
      <c r="BJ966" s="2" t="s">
        <v>84</v>
      </c>
      <c r="BL966" s="8">
        <v>0</v>
      </c>
      <c r="BM966" s="8">
        <v>0</v>
      </c>
      <c r="BN966" s="6"/>
      <c r="BO966" s="70">
        <v>0</v>
      </c>
      <c r="BP966" s="70">
        <v>0</v>
      </c>
      <c r="BQ966" s="72"/>
      <c r="BS966" s="61">
        <f t="shared" si="1052"/>
        <v>-2.0800000000000409</v>
      </c>
      <c r="BT966" s="61">
        <f t="shared" si="1053"/>
        <v>0</v>
      </c>
      <c r="BU966" s="61">
        <f t="shared" si="1054"/>
        <v>0</v>
      </c>
      <c r="BV966" s="61">
        <f t="shared" si="1054"/>
        <v>0</v>
      </c>
      <c r="BW966" s="61">
        <f t="shared" si="1054"/>
        <v>0</v>
      </c>
      <c r="BX966" s="61">
        <f t="shared" si="1054"/>
        <v>-2.0800000000000409</v>
      </c>
      <c r="BY966" s="61" t="s">
        <v>91</v>
      </c>
      <c r="CA966" s="61">
        <f t="shared" si="1066"/>
        <v>0</v>
      </c>
      <c r="CB966" s="61">
        <f t="shared" si="1066"/>
        <v>0</v>
      </c>
      <c r="CC966" s="61">
        <f t="shared" si="1066"/>
        <v>0</v>
      </c>
      <c r="CD966" s="61">
        <f t="shared" si="1066"/>
        <v>0</v>
      </c>
      <c r="CE966" s="61">
        <f t="shared" si="1066"/>
        <v>0</v>
      </c>
      <c r="CF966" s="61">
        <f t="shared" si="1066"/>
        <v>0</v>
      </c>
      <c r="CG966" s="61">
        <f t="shared" si="1066"/>
        <v>0</v>
      </c>
      <c r="CH966" s="61">
        <f t="shared" si="1000"/>
        <v>-0.31292312321348592</v>
      </c>
      <c r="CI966" s="61">
        <f t="shared" si="1067"/>
        <v>-1.5646156160674298E-2</v>
      </c>
      <c r="CJ966" s="61"/>
      <c r="CK966" s="61">
        <f t="shared" si="1046"/>
        <v>0</v>
      </c>
      <c r="CL966" s="61">
        <f t="shared" si="1046"/>
        <v>0</v>
      </c>
      <c r="CM966" s="61">
        <f t="shared" si="1046"/>
        <v>0</v>
      </c>
      <c r="CN966" s="61">
        <f t="shared" si="1046"/>
        <v>0</v>
      </c>
      <c r="CO966" s="61">
        <f t="shared" si="1046"/>
        <v>0</v>
      </c>
      <c r="CP966" s="61">
        <f t="shared" si="1046"/>
        <v>0</v>
      </c>
      <c r="CQ966" s="61">
        <f t="shared" si="1046"/>
        <v>0</v>
      </c>
      <c r="CR966" s="61">
        <f t="shared" si="1046"/>
        <v>-0.31292312321348592</v>
      </c>
      <c r="CS966" s="61">
        <f t="shared" si="1068"/>
        <v>-1.5646156160674298E-2</v>
      </c>
      <c r="CT966" s="67">
        <f t="shared" si="1069"/>
        <v>-0.10400000000000206</v>
      </c>
      <c r="CV966" s="61">
        <f t="shared" si="1085"/>
        <v>0</v>
      </c>
      <c r="CW966" s="61">
        <f t="shared" si="1086"/>
        <v>0</v>
      </c>
      <c r="CX966" s="61"/>
      <c r="CY966" s="61">
        <f t="shared" si="1080"/>
        <v>0</v>
      </c>
      <c r="CZ966" s="61">
        <f t="shared" si="1080"/>
        <v>0</v>
      </c>
      <c r="DA966" s="61">
        <f t="shared" si="1080"/>
        <v>0</v>
      </c>
      <c r="DB966" s="2" t="s">
        <v>85</v>
      </c>
      <c r="DC966" s="2" t="s">
        <v>85</v>
      </c>
      <c r="DD966" s="2" t="s">
        <v>142</v>
      </c>
      <c r="DE966" s="2" t="s">
        <v>106</v>
      </c>
      <c r="DF966" s="3" t="s">
        <v>86</v>
      </c>
      <c r="DG966" s="62">
        <v>43082</v>
      </c>
      <c r="EC966" s="60"/>
      <c r="ED966" s="60"/>
      <c r="EE966" s="60"/>
      <c r="EF966" s="60"/>
    </row>
    <row r="967" spans="2:136" ht="12.75" hidden="1" customHeight="1">
      <c r="B967" s="99" t="s">
        <v>1528</v>
      </c>
      <c r="C967" s="22" t="s">
        <v>726</v>
      </c>
      <c r="D967" s="22" t="s">
        <v>727</v>
      </c>
      <c r="E967" s="2" t="s">
        <v>260</v>
      </c>
      <c r="F967" s="2" t="s">
        <v>1025</v>
      </c>
      <c r="G967" s="2" t="s">
        <v>994</v>
      </c>
      <c r="J967" s="149" t="s">
        <v>728</v>
      </c>
      <c r="K967" s="23" t="s">
        <v>729</v>
      </c>
      <c r="L967" s="149" t="s">
        <v>267</v>
      </c>
      <c r="M967" s="51" t="str">
        <f t="shared" si="963"/>
        <v>MJD8B -LBBA-ADW</v>
      </c>
      <c r="O967" s="22">
        <v>1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64">
        <f t="shared" si="971"/>
        <v>0.14000000000000001</v>
      </c>
      <c r="Y967" s="60">
        <v>-750.76</v>
      </c>
      <c r="Z967" s="8"/>
      <c r="AA967" s="8">
        <v>-8.44</v>
      </c>
      <c r="AB967" s="8">
        <v>-2.12</v>
      </c>
      <c r="AC967" s="8"/>
      <c r="AD967" s="8">
        <f t="shared" si="1084"/>
        <v>-761.32</v>
      </c>
      <c r="AE967" s="2" t="s">
        <v>84</v>
      </c>
      <c r="AG967" s="8">
        <v>-7323400</v>
      </c>
      <c r="AH967" s="8">
        <v>-7323400</v>
      </c>
      <c r="AJ967" s="70"/>
      <c r="AK967" s="70"/>
      <c r="AL967" s="72"/>
      <c r="AM967" s="22"/>
      <c r="AO967" s="22" t="s">
        <v>728</v>
      </c>
      <c r="AP967" s="23" t="s">
        <v>1001</v>
      </c>
      <c r="AQ967" s="22" t="s">
        <v>1527</v>
      </c>
      <c r="AR967" s="51" t="str">
        <f t="shared" si="965"/>
        <v>MJD8B -LBBA-ABW </v>
      </c>
      <c r="AS967" s="3"/>
      <c r="AT967" s="22">
        <v>1</v>
      </c>
      <c r="AU967" s="22">
        <v>0</v>
      </c>
      <c r="AV967" s="22">
        <v>0</v>
      </c>
      <c r="AW967" s="22">
        <v>0</v>
      </c>
      <c r="AX967" s="22">
        <v>0</v>
      </c>
      <c r="AY967" s="22">
        <v>0</v>
      </c>
      <c r="AZ967" s="22">
        <v>0</v>
      </c>
      <c r="BA967" s="22">
        <v>0</v>
      </c>
      <c r="BB967" s="64">
        <f t="shared" si="979"/>
        <v>0.14000000000000001</v>
      </c>
      <c r="BD967" s="8">
        <v>-750.76</v>
      </c>
      <c r="BE967" s="8"/>
      <c r="BF967" s="8">
        <v>-8.44</v>
      </c>
      <c r="BG967" s="8">
        <v>-2.12</v>
      </c>
      <c r="BH967" s="8"/>
      <c r="BI967" s="8">
        <f t="shared" ref="BI967:BI990" si="1087">SUM(BD967:BH967)</f>
        <v>-761.32</v>
      </c>
      <c r="BJ967" s="2" t="s">
        <v>84</v>
      </c>
      <c r="BL967" s="8">
        <v>-7039600</v>
      </c>
      <c r="BM967" s="8">
        <v>-7039600</v>
      </c>
      <c r="BN967" s="6"/>
      <c r="BO967" s="70"/>
      <c r="BP967" s="70"/>
      <c r="BQ967" s="72"/>
      <c r="BS967" s="61">
        <f t="shared" si="1052"/>
        <v>0</v>
      </c>
      <c r="BT967" s="61">
        <f t="shared" si="1053"/>
        <v>0</v>
      </c>
      <c r="BU967" s="61">
        <f t="shared" si="1054"/>
        <v>0</v>
      </c>
      <c r="BV967" s="61">
        <f t="shared" si="1054"/>
        <v>0</v>
      </c>
      <c r="BW967" s="61">
        <f t="shared" si="1054"/>
        <v>0</v>
      </c>
      <c r="BX967" s="61">
        <f t="shared" si="1054"/>
        <v>0</v>
      </c>
      <c r="BY967" s="61" t="s">
        <v>91</v>
      </c>
      <c r="CA967" s="61">
        <f t="shared" si="1066"/>
        <v>0</v>
      </c>
      <c r="CB967" s="61">
        <f t="shared" si="1066"/>
        <v>0</v>
      </c>
      <c r="CC967" s="61">
        <f t="shared" si="1066"/>
        <v>0</v>
      </c>
      <c r="CD967" s="61">
        <f t="shared" si="1066"/>
        <v>0</v>
      </c>
      <c r="CE967" s="61">
        <f t="shared" si="1066"/>
        <v>0</v>
      </c>
      <c r="CF967" s="61">
        <f t="shared" si="1066"/>
        <v>0</v>
      </c>
      <c r="CG967" s="61">
        <f t="shared" si="1066"/>
        <v>0</v>
      </c>
      <c r="CH967" s="61">
        <f t="shared" si="1000"/>
        <v>0</v>
      </c>
      <c r="CI967" s="61">
        <f t="shared" si="1067"/>
        <v>0</v>
      </c>
      <c r="CJ967" s="61"/>
      <c r="CK967" s="61">
        <f t="shared" si="1046"/>
        <v>0</v>
      </c>
      <c r="CL967" s="61">
        <f t="shared" si="1046"/>
        <v>0</v>
      </c>
      <c r="CM967" s="61">
        <f t="shared" si="1046"/>
        <v>0</v>
      </c>
      <c r="CN967" s="61">
        <f t="shared" si="1046"/>
        <v>0</v>
      </c>
      <c r="CO967" s="61">
        <f t="shared" si="1046"/>
        <v>0</v>
      </c>
      <c r="CP967" s="61">
        <f t="shared" si="1046"/>
        <v>0</v>
      </c>
      <c r="CQ967" s="61">
        <f t="shared" si="1046"/>
        <v>0</v>
      </c>
      <c r="CR967" s="61">
        <f t="shared" si="1046"/>
        <v>0</v>
      </c>
      <c r="CS967" s="61">
        <f t="shared" si="1068"/>
        <v>0</v>
      </c>
      <c r="CT967" s="67">
        <f t="shared" si="1069"/>
        <v>0</v>
      </c>
      <c r="CV967" s="61">
        <f t="shared" ref="CV967:CV973" si="1088">SUM(AG967)-SUM(BL967)</f>
        <v>-283800</v>
      </c>
      <c r="CW967" s="61">
        <f t="shared" si="1086"/>
        <v>-283800</v>
      </c>
      <c r="CX967" s="61"/>
      <c r="CY967" s="61">
        <f t="shared" si="1080"/>
        <v>0</v>
      </c>
      <c r="CZ967" s="61">
        <f t="shared" si="1080"/>
        <v>0</v>
      </c>
      <c r="DA967" s="61">
        <f t="shared" si="1080"/>
        <v>0</v>
      </c>
      <c r="DB967" s="2" t="s">
        <v>85</v>
      </c>
      <c r="DC967" s="2" t="s">
        <v>85</v>
      </c>
      <c r="DD967" s="2" t="s">
        <v>142</v>
      </c>
      <c r="DE967" s="2" t="s">
        <v>106</v>
      </c>
      <c r="DF967" s="3" t="s">
        <v>86</v>
      </c>
      <c r="DG967" s="62">
        <v>43077</v>
      </c>
      <c r="EC967" s="60"/>
      <c r="ED967" s="60"/>
      <c r="EE967" s="60"/>
      <c r="EF967" s="60"/>
    </row>
    <row r="968" spans="2:136" ht="12.75" hidden="1" customHeight="1">
      <c r="B968" s="99" t="s">
        <v>1528</v>
      </c>
      <c r="C968" s="22" t="s">
        <v>726</v>
      </c>
      <c r="D968" s="22" t="s">
        <v>727</v>
      </c>
      <c r="E968" s="2" t="s">
        <v>260</v>
      </c>
      <c r="F968" s="2" t="s">
        <v>1025</v>
      </c>
      <c r="G968" s="2" t="s">
        <v>994</v>
      </c>
      <c r="J968" s="149" t="s">
        <v>728</v>
      </c>
      <c r="K968" s="23" t="s">
        <v>729</v>
      </c>
      <c r="L968" s="149" t="s">
        <v>670</v>
      </c>
      <c r="M968" s="51" t="str">
        <f t="shared" ref="M968:M1017" si="1089">TRIM(J968)&amp;"-"&amp;TRIM(K968)&amp;"-"&amp;TRIM(L968)</f>
        <v>MJD8B -LBBA-BDW</v>
      </c>
      <c r="O968" s="22">
        <v>0</v>
      </c>
      <c r="P968" s="22">
        <v>1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64">
        <f t="shared" si="971"/>
        <v>0.16</v>
      </c>
      <c r="Y968" s="60">
        <v>-750.76</v>
      </c>
      <c r="Z968" s="8"/>
      <c r="AA968" s="8">
        <v>-8.44</v>
      </c>
      <c r="AB968" s="8">
        <v>-2.12</v>
      </c>
      <c r="AC968" s="8"/>
      <c r="AD968" s="8">
        <f t="shared" si="1084"/>
        <v>-761.32</v>
      </c>
      <c r="AE968" s="2" t="s">
        <v>84</v>
      </c>
      <c r="AG968" s="8"/>
      <c r="AH968" s="8"/>
      <c r="AJ968" s="70"/>
      <c r="AK968" s="70"/>
      <c r="AL968" s="72"/>
      <c r="AM968" s="22"/>
      <c r="AO968" s="22" t="s">
        <v>728</v>
      </c>
      <c r="AP968" s="23" t="s">
        <v>1001</v>
      </c>
      <c r="AQ968" s="22" t="s">
        <v>210</v>
      </c>
      <c r="AR968" s="51" t="str">
        <f t="shared" ref="AR968:AR1031" si="1090">TRIM(AO968)&amp;"-"&amp;TRIM(AP968)&amp;"-"&amp;TRIM(AQ968)</f>
        <v>MJD8B -LBBA-BBW</v>
      </c>
      <c r="AS968" s="3"/>
      <c r="AT968" s="22">
        <v>0</v>
      </c>
      <c r="AU968" s="22">
        <v>1</v>
      </c>
      <c r="AV968" s="22">
        <v>0</v>
      </c>
      <c r="AW968" s="22">
        <v>0</v>
      </c>
      <c r="AX968" s="22">
        <v>0</v>
      </c>
      <c r="AY968" s="22">
        <v>0</v>
      </c>
      <c r="AZ968" s="22">
        <v>0</v>
      </c>
      <c r="BA968" s="22">
        <v>0</v>
      </c>
      <c r="BB968" s="64">
        <f t="shared" si="979"/>
        <v>0.16</v>
      </c>
      <c r="BD968" s="8">
        <v>-750.76</v>
      </c>
      <c r="BE968" s="8"/>
      <c r="BF968" s="8">
        <v>-8.44</v>
      </c>
      <c r="BG968" s="8">
        <v>-2.12</v>
      </c>
      <c r="BH968" s="8"/>
      <c r="BI968" s="8">
        <f t="shared" si="1087"/>
        <v>-761.32</v>
      </c>
      <c r="BJ968" s="2" t="s">
        <v>84</v>
      </c>
      <c r="BL968" s="8"/>
      <c r="BM968" s="8"/>
      <c r="BN968" s="6"/>
      <c r="BO968" s="70"/>
      <c r="BP968" s="70"/>
      <c r="BQ968" s="72"/>
      <c r="BS968" s="61">
        <f t="shared" si="1052"/>
        <v>0</v>
      </c>
      <c r="BT968" s="61">
        <f t="shared" si="1053"/>
        <v>0</v>
      </c>
      <c r="BU968" s="61">
        <f t="shared" si="1054"/>
        <v>0</v>
      </c>
      <c r="BV968" s="61">
        <f t="shared" si="1054"/>
        <v>0</v>
      </c>
      <c r="BW968" s="61">
        <f t="shared" si="1054"/>
        <v>0</v>
      </c>
      <c r="BX968" s="61">
        <f t="shared" si="1054"/>
        <v>0</v>
      </c>
      <c r="BY968" s="61" t="s">
        <v>91</v>
      </c>
      <c r="CA968" s="61">
        <f t="shared" si="1066"/>
        <v>0</v>
      </c>
      <c r="CB968" s="61">
        <f t="shared" si="1066"/>
        <v>0</v>
      </c>
      <c r="CC968" s="61">
        <f t="shared" si="1066"/>
        <v>0</v>
      </c>
      <c r="CD968" s="61">
        <f t="shared" si="1066"/>
        <v>0</v>
      </c>
      <c r="CE968" s="61">
        <f t="shared" si="1066"/>
        <v>0</v>
      </c>
      <c r="CF968" s="61">
        <f t="shared" si="1066"/>
        <v>0</v>
      </c>
      <c r="CG968" s="61">
        <f t="shared" si="1066"/>
        <v>0</v>
      </c>
      <c r="CH968" s="61">
        <f t="shared" si="1000"/>
        <v>0</v>
      </c>
      <c r="CI968" s="61">
        <f t="shared" si="1067"/>
        <v>0</v>
      </c>
      <c r="CJ968" s="61"/>
      <c r="CK968" s="61">
        <f t="shared" si="1046"/>
        <v>0</v>
      </c>
      <c r="CL968" s="61">
        <f t="shared" si="1046"/>
        <v>0</v>
      </c>
      <c r="CM968" s="61">
        <f t="shared" si="1046"/>
        <v>0</v>
      </c>
      <c r="CN968" s="61">
        <f t="shared" si="1046"/>
        <v>0</v>
      </c>
      <c r="CO968" s="61">
        <f t="shared" si="1046"/>
        <v>0</v>
      </c>
      <c r="CP968" s="61">
        <f t="shared" si="1046"/>
        <v>0</v>
      </c>
      <c r="CQ968" s="61">
        <f t="shared" si="1046"/>
        <v>0</v>
      </c>
      <c r="CR968" s="61">
        <f t="shared" si="1046"/>
        <v>0</v>
      </c>
      <c r="CS968" s="61">
        <f t="shared" si="1068"/>
        <v>0</v>
      </c>
      <c r="CT968" s="67">
        <f t="shared" si="1069"/>
        <v>0</v>
      </c>
      <c r="CV968" s="61">
        <f t="shared" si="1088"/>
        <v>0</v>
      </c>
      <c r="CW968" s="61">
        <f t="shared" si="1086"/>
        <v>0</v>
      </c>
      <c r="CX968" s="61"/>
      <c r="CY968" s="61">
        <f t="shared" si="1080"/>
        <v>0</v>
      </c>
      <c r="CZ968" s="61">
        <f t="shared" si="1080"/>
        <v>0</v>
      </c>
      <c r="DA968" s="61">
        <f t="shared" si="1080"/>
        <v>0</v>
      </c>
      <c r="DB968" s="2" t="s">
        <v>85</v>
      </c>
      <c r="DC968" s="2" t="s">
        <v>85</v>
      </c>
      <c r="DD968" s="2" t="s">
        <v>142</v>
      </c>
      <c r="DE968" s="2" t="s">
        <v>106</v>
      </c>
      <c r="DF968" s="3" t="s">
        <v>86</v>
      </c>
      <c r="DG968" s="62">
        <v>43077</v>
      </c>
      <c r="EC968" s="60"/>
      <c r="ED968" s="60"/>
      <c r="EE968" s="60"/>
      <c r="EF968" s="60"/>
    </row>
    <row r="969" spans="2:136" ht="12.75" hidden="1" customHeight="1">
      <c r="B969" s="99" t="s">
        <v>1528</v>
      </c>
      <c r="C969" s="22" t="s">
        <v>726</v>
      </c>
      <c r="D969" s="22" t="s">
        <v>727</v>
      </c>
      <c r="E969" s="2" t="s">
        <v>260</v>
      </c>
      <c r="F969" s="2" t="s">
        <v>1025</v>
      </c>
      <c r="G969" s="2" t="s">
        <v>994</v>
      </c>
      <c r="J969" s="149" t="s">
        <v>728</v>
      </c>
      <c r="K969" s="23" t="s">
        <v>729</v>
      </c>
      <c r="L969" s="149" t="s">
        <v>1191</v>
      </c>
      <c r="M969" s="51" t="str">
        <f t="shared" si="1089"/>
        <v>MJD8B -LBBA-CDW</v>
      </c>
      <c r="O969" s="22">
        <v>0</v>
      </c>
      <c r="P969" s="22">
        <v>0</v>
      </c>
      <c r="Q969" s="22">
        <v>0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64">
        <f t="shared" si="971"/>
        <v>0</v>
      </c>
      <c r="Y969" s="60">
        <v>-735.22</v>
      </c>
      <c r="Z969" s="8"/>
      <c r="AA969" s="8">
        <v>-8.44</v>
      </c>
      <c r="AB969" s="8">
        <v>-2.12</v>
      </c>
      <c r="AC969" s="8"/>
      <c r="AD969" s="8">
        <f t="shared" si="1084"/>
        <v>-745.78000000000009</v>
      </c>
      <c r="AE969" s="2" t="s">
        <v>84</v>
      </c>
      <c r="AG969" s="8"/>
      <c r="AH969" s="8"/>
      <c r="AJ969" s="70"/>
      <c r="AK969" s="70"/>
      <c r="AL969" s="72"/>
      <c r="AM969" s="22"/>
      <c r="AO969" s="22" t="s">
        <v>728</v>
      </c>
      <c r="AP969" s="23" t="s">
        <v>1001</v>
      </c>
      <c r="AQ969" s="22" t="s">
        <v>211</v>
      </c>
      <c r="AR969" s="51" t="str">
        <f t="shared" si="1090"/>
        <v>MJD8B -LBBA-CBW</v>
      </c>
      <c r="AS969" s="3"/>
      <c r="AT969" s="22">
        <v>0</v>
      </c>
      <c r="AU969" s="22">
        <v>0</v>
      </c>
      <c r="AV969" s="22">
        <v>0</v>
      </c>
      <c r="AW969" s="22">
        <v>0</v>
      </c>
      <c r="AX969" s="22">
        <v>0</v>
      </c>
      <c r="AY969" s="22">
        <v>0</v>
      </c>
      <c r="AZ969" s="22">
        <v>0</v>
      </c>
      <c r="BA969" s="22">
        <v>0</v>
      </c>
      <c r="BB969" s="64">
        <f t="shared" si="979"/>
        <v>0</v>
      </c>
      <c r="BD969" s="8">
        <v>-735.22</v>
      </c>
      <c r="BE969" s="8"/>
      <c r="BF969" s="8">
        <v>-8.44</v>
      </c>
      <c r="BG969" s="8">
        <v>-2.12</v>
      </c>
      <c r="BH969" s="8"/>
      <c r="BI969" s="8">
        <f t="shared" si="1087"/>
        <v>-745.78000000000009</v>
      </c>
      <c r="BJ969" s="2" t="s">
        <v>84</v>
      </c>
      <c r="BL969" s="8"/>
      <c r="BM969" s="8"/>
      <c r="BN969" s="6"/>
      <c r="BO969" s="70"/>
      <c r="BP969" s="70"/>
      <c r="BQ969" s="72"/>
      <c r="BS969" s="61">
        <f t="shared" si="1052"/>
        <v>0</v>
      </c>
      <c r="BT969" s="61">
        <f t="shared" si="1053"/>
        <v>0</v>
      </c>
      <c r="BU969" s="61">
        <f t="shared" si="1054"/>
        <v>0</v>
      </c>
      <c r="BV969" s="61">
        <f t="shared" si="1054"/>
        <v>0</v>
      </c>
      <c r="BW969" s="61">
        <f t="shared" si="1054"/>
        <v>0</v>
      </c>
      <c r="BX969" s="61">
        <f t="shared" si="1054"/>
        <v>0</v>
      </c>
      <c r="BY969" s="61" t="s">
        <v>91</v>
      </c>
      <c r="CA969" s="61">
        <f t="shared" si="1066"/>
        <v>0</v>
      </c>
      <c r="CB969" s="61">
        <f t="shared" si="1066"/>
        <v>0</v>
      </c>
      <c r="CC969" s="61">
        <f t="shared" si="1066"/>
        <v>0</v>
      </c>
      <c r="CD969" s="61">
        <f t="shared" si="1066"/>
        <v>0</v>
      </c>
      <c r="CE969" s="61">
        <f t="shared" si="1066"/>
        <v>0</v>
      </c>
      <c r="CF969" s="61">
        <f t="shared" si="1066"/>
        <v>0</v>
      </c>
      <c r="CG969" s="61">
        <f t="shared" si="1066"/>
        <v>0</v>
      </c>
      <c r="CH969" s="61">
        <f t="shared" si="1000"/>
        <v>0</v>
      </c>
      <c r="CI969" s="61">
        <f t="shared" si="1067"/>
        <v>0</v>
      </c>
      <c r="CJ969" s="61"/>
      <c r="CK969" s="61">
        <f t="shared" si="1046"/>
        <v>0</v>
      </c>
      <c r="CL969" s="61">
        <f t="shared" si="1046"/>
        <v>0</v>
      </c>
      <c r="CM969" s="61">
        <f t="shared" si="1046"/>
        <v>0</v>
      </c>
      <c r="CN969" s="61">
        <f t="shared" si="1046"/>
        <v>0</v>
      </c>
      <c r="CO969" s="61">
        <f t="shared" si="1046"/>
        <v>0</v>
      </c>
      <c r="CP969" s="61">
        <f t="shared" si="1046"/>
        <v>0</v>
      </c>
      <c r="CQ969" s="61">
        <f t="shared" si="1046"/>
        <v>0</v>
      </c>
      <c r="CR969" s="61">
        <f t="shared" si="1046"/>
        <v>0</v>
      </c>
      <c r="CS969" s="61">
        <f t="shared" si="1068"/>
        <v>0</v>
      </c>
      <c r="CT969" s="67">
        <f t="shared" si="1069"/>
        <v>0</v>
      </c>
      <c r="CV969" s="61">
        <f t="shared" si="1088"/>
        <v>0</v>
      </c>
      <c r="CW969" s="61">
        <f t="shared" si="1086"/>
        <v>0</v>
      </c>
      <c r="CX969" s="61"/>
      <c r="CY969" s="61">
        <f t="shared" si="1080"/>
        <v>0</v>
      </c>
      <c r="CZ969" s="61">
        <f t="shared" si="1080"/>
        <v>0</v>
      </c>
      <c r="DA969" s="61">
        <f t="shared" si="1080"/>
        <v>0</v>
      </c>
      <c r="DB969" s="2" t="s">
        <v>85</v>
      </c>
      <c r="DC969" s="2" t="s">
        <v>85</v>
      </c>
      <c r="DD969" s="2" t="s">
        <v>142</v>
      </c>
      <c r="DE969" s="2" t="s">
        <v>106</v>
      </c>
      <c r="DF969" s="3" t="s">
        <v>86</v>
      </c>
      <c r="DG969" s="62">
        <v>43077</v>
      </c>
      <c r="EC969" s="60"/>
      <c r="ED969" s="60"/>
      <c r="EE969" s="60"/>
      <c r="EF969" s="60"/>
    </row>
    <row r="970" spans="2:136" ht="12.75" hidden="1" customHeight="1">
      <c r="B970" s="99" t="s">
        <v>1528</v>
      </c>
      <c r="C970" s="22" t="s">
        <v>726</v>
      </c>
      <c r="D970" s="22" t="s">
        <v>727</v>
      </c>
      <c r="E970" s="2" t="s">
        <v>260</v>
      </c>
      <c r="F970" s="2" t="s">
        <v>1025</v>
      </c>
      <c r="G970" s="2" t="s">
        <v>994</v>
      </c>
      <c r="J970" s="149" t="s">
        <v>728</v>
      </c>
      <c r="K970" s="23" t="s">
        <v>729</v>
      </c>
      <c r="L970" s="149" t="s">
        <v>1192</v>
      </c>
      <c r="M970" s="51" t="str">
        <f t="shared" si="1089"/>
        <v>MJD8B -LBBA-DDW</v>
      </c>
      <c r="O970" s="22">
        <v>0</v>
      </c>
      <c r="P970" s="22">
        <v>0</v>
      </c>
      <c r="Q970" s="22">
        <v>0</v>
      </c>
      <c r="R970" s="22">
        <v>0</v>
      </c>
      <c r="S970" s="22">
        <v>0</v>
      </c>
      <c r="T970" s="22">
        <v>0</v>
      </c>
      <c r="U970" s="22">
        <v>0</v>
      </c>
      <c r="V970" s="22">
        <v>0</v>
      </c>
      <c r="W970" s="64">
        <f t="shared" ref="W970:W1033" si="1091">SUMPRODUCT(O970:V970,$O$6:$V$6)</f>
        <v>0</v>
      </c>
      <c r="Y970" s="60">
        <v>-735.22</v>
      </c>
      <c r="Z970" s="8"/>
      <c r="AA970" s="8">
        <v>-8.44</v>
      </c>
      <c r="AB970" s="8">
        <v>-2.12</v>
      </c>
      <c r="AC970" s="8"/>
      <c r="AD970" s="8">
        <f>SUM(Y970:AC970)</f>
        <v>-745.78000000000009</v>
      </c>
      <c r="AE970" s="2" t="s">
        <v>84</v>
      </c>
      <c r="AG970" s="8"/>
      <c r="AH970" s="8"/>
      <c r="AJ970" s="70"/>
      <c r="AK970" s="70"/>
      <c r="AL970" s="72"/>
      <c r="AM970" s="22"/>
      <c r="AO970" s="22" t="s">
        <v>728</v>
      </c>
      <c r="AP970" s="23" t="s">
        <v>1001</v>
      </c>
      <c r="AQ970" s="22" t="s">
        <v>212</v>
      </c>
      <c r="AR970" s="51" t="str">
        <f t="shared" si="1090"/>
        <v>MJD8B -LBBA-DBW</v>
      </c>
      <c r="AS970" s="3"/>
      <c r="AT970" s="22">
        <v>0</v>
      </c>
      <c r="AU970" s="22">
        <v>0</v>
      </c>
      <c r="AV970" s="22">
        <v>0</v>
      </c>
      <c r="AW970" s="22">
        <v>0</v>
      </c>
      <c r="AX970" s="22">
        <v>0</v>
      </c>
      <c r="AY970" s="22">
        <v>0</v>
      </c>
      <c r="AZ970" s="22">
        <v>0</v>
      </c>
      <c r="BA970" s="22">
        <v>0</v>
      </c>
      <c r="BB970" s="64">
        <f t="shared" si="979"/>
        <v>0</v>
      </c>
      <c r="BD970" s="8">
        <v>-735.22</v>
      </c>
      <c r="BE970" s="8"/>
      <c r="BF970" s="8">
        <v>-8.44</v>
      </c>
      <c r="BG970" s="8">
        <v>-2.12</v>
      </c>
      <c r="BH970" s="8"/>
      <c r="BI970" s="8">
        <f t="shared" si="1087"/>
        <v>-745.78000000000009</v>
      </c>
      <c r="BJ970" s="2" t="s">
        <v>84</v>
      </c>
      <c r="BL970" s="8"/>
      <c r="BM970" s="8"/>
      <c r="BN970" s="6"/>
      <c r="BO970" s="70"/>
      <c r="BP970" s="70"/>
      <c r="BQ970" s="72"/>
      <c r="BS970" s="61">
        <f t="shared" ref="BS970:BX970" si="1092">SUM(Y971)-SUM(BD970)</f>
        <v>-305.6099999999999</v>
      </c>
      <c r="BT970" s="61">
        <f t="shared" si="1092"/>
        <v>0</v>
      </c>
      <c r="BU970" s="61">
        <f t="shared" si="1092"/>
        <v>-2.000000000000135E-2</v>
      </c>
      <c r="BV970" s="61">
        <f t="shared" si="1092"/>
        <v>0</v>
      </c>
      <c r="BW970" s="61">
        <f t="shared" si="1092"/>
        <v>0</v>
      </c>
      <c r="BX970" s="61">
        <f t="shared" si="1092"/>
        <v>-305.62999999999977</v>
      </c>
      <c r="BY970" s="61" t="s">
        <v>91</v>
      </c>
      <c r="CA970" s="61">
        <f t="shared" ref="CA970:CH970" si="1093">($Y971*O970-AT970*$BD970)/$C$2</f>
        <v>0</v>
      </c>
      <c r="CB970" s="61">
        <f t="shared" si="1093"/>
        <v>0</v>
      </c>
      <c r="CC970" s="61">
        <f t="shared" si="1093"/>
        <v>0</v>
      </c>
      <c r="CD970" s="61">
        <f t="shared" si="1093"/>
        <v>0</v>
      </c>
      <c r="CE970" s="61">
        <f t="shared" si="1093"/>
        <v>0</v>
      </c>
      <c r="CF970" s="61">
        <f t="shared" si="1093"/>
        <v>0</v>
      </c>
      <c r="CG970" s="61">
        <f t="shared" si="1093"/>
        <v>0</v>
      </c>
      <c r="CH970" s="61">
        <f t="shared" si="1093"/>
        <v>0</v>
      </c>
      <c r="CI970" s="61">
        <f t="shared" si="1067"/>
        <v>0</v>
      </c>
      <c r="CJ970" s="61"/>
      <c r="CK970" s="61">
        <f t="shared" ref="CK970:CR970" si="1094">(O970*$AD971-AT970*$BI970)/$C$2</f>
        <v>0</v>
      </c>
      <c r="CL970" s="61">
        <f t="shared" si="1094"/>
        <v>0</v>
      </c>
      <c r="CM970" s="61">
        <f t="shared" si="1094"/>
        <v>0</v>
      </c>
      <c r="CN970" s="61">
        <f t="shared" si="1094"/>
        <v>0</v>
      </c>
      <c r="CO970" s="61">
        <f t="shared" si="1094"/>
        <v>0</v>
      </c>
      <c r="CP970" s="61">
        <f t="shared" si="1094"/>
        <v>0</v>
      </c>
      <c r="CQ970" s="61">
        <f t="shared" si="1094"/>
        <v>0</v>
      </c>
      <c r="CR970" s="61">
        <f t="shared" si="1094"/>
        <v>0</v>
      </c>
      <c r="CS970" s="61">
        <f t="shared" si="1068"/>
        <v>0</v>
      </c>
      <c r="CT970" s="67">
        <f t="shared" si="1069"/>
        <v>0</v>
      </c>
      <c r="CV970" s="61">
        <f t="shared" si="1088"/>
        <v>0</v>
      </c>
      <c r="CW970" s="61">
        <f t="shared" si="1086"/>
        <v>0</v>
      </c>
      <c r="CX970" s="61"/>
      <c r="CY970" s="61">
        <f t="shared" si="1080"/>
        <v>0</v>
      </c>
      <c r="CZ970" s="61">
        <f t="shared" si="1080"/>
        <v>0</v>
      </c>
      <c r="DA970" s="61">
        <f t="shared" si="1080"/>
        <v>0</v>
      </c>
      <c r="DB970" s="2" t="s">
        <v>85</v>
      </c>
      <c r="DC970" s="2" t="s">
        <v>85</v>
      </c>
      <c r="DD970" s="2" t="s">
        <v>142</v>
      </c>
      <c r="DE970" s="2" t="s">
        <v>106</v>
      </c>
      <c r="DF970" s="3" t="s">
        <v>86</v>
      </c>
      <c r="DG970" s="62">
        <v>43077</v>
      </c>
      <c r="EC970" s="60"/>
      <c r="ED970" s="60"/>
      <c r="EE970" s="60"/>
      <c r="EF970" s="60"/>
    </row>
    <row r="971" spans="2:136" ht="12.75" hidden="1" customHeight="1">
      <c r="B971" s="99" t="s">
        <v>1528</v>
      </c>
      <c r="C971" s="22" t="s">
        <v>726</v>
      </c>
      <c r="D971" s="22" t="s">
        <v>727</v>
      </c>
      <c r="E971" s="2" t="s">
        <v>260</v>
      </c>
      <c r="F971" s="2" t="s">
        <v>1025</v>
      </c>
      <c r="G971" s="2" t="s">
        <v>994</v>
      </c>
      <c r="J971" s="149" t="s">
        <v>728</v>
      </c>
      <c r="K971" s="23" t="s">
        <v>729</v>
      </c>
      <c r="L971" s="149" t="s">
        <v>1529</v>
      </c>
      <c r="M971" s="51" t="str">
        <f t="shared" si="1089"/>
        <v>MJD8B -LBBA-EDW</v>
      </c>
      <c r="O971" s="22">
        <v>0</v>
      </c>
      <c r="P971" s="22">
        <v>0</v>
      </c>
      <c r="Q971" s="22">
        <v>1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64">
        <f t="shared" si="1091"/>
        <v>0.14000000000000001</v>
      </c>
      <c r="Y971" s="60">
        <v>-1040.83</v>
      </c>
      <c r="Z971" s="8"/>
      <c r="AA971" s="8">
        <v>-8.4600000000000009</v>
      </c>
      <c r="AB971" s="8">
        <v>-2.12</v>
      </c>
      <c r="AC971" s="8"/>
      <c r="AD971" s="8">
        <f>SUM(Y971:AC971)</f>
        <v>-1051.4099999999999</v>
      </c>
      <c r="AE971" s="2" t="s">
        <v>84</v>
      </c>
      <c r="AG971" s="8"/>
      <c r="AH971" s="8"/>
      <c r="AJ971" s="70"/>
      <c r="AK971" s="70"/>
      <c r="AL971" s="72"/>
      <c r="AM971" s="22"/>
      <c r="AO971" s="22" t="s">
        <v>728</v>
      </c>
      <c r="AP971" s="23" t="s">
        <v>1001</v>
      </c>
      <c r="AQ971" s="22" t="s">
        <v>740</v>
      </c>
      <c r="AR971" s="51" t="str">
        <f t="shared" si="1090"/>
        <v>MJD8B -LBBA-EBW</v>
      </c>
      <c r="AS971" s="3"/>
      <c r="AT971" s="22">
        <v>0</v>
      </c>
      <c r="AU971" s="22">
        <v>0</v>
      </c>
      <c r="AV971" s="22">
        <v>1</v>
      </c>
      <c r="AW971" s="22">
        <v>0</v>
      </c>
      <c r="AX971" s="22">
        <v>0</v>
      </c>
      <c r="AY971" s="22">
        <v>0</v>
      </c>
      <c r="AZ971" s="22">
        <v>0</v>
      </c>
      <c r="BA971" s="22">
        <v>0</v>
      </c>
      <c r="BB971" s="64">
        <v>0</v>
      </c>
      <c r="BD971" s="8">
        <v>-1040.83</v>
      </c>
      <c r="BE971" s="8"/>
      <c r="BF971" s="8">
        <v>-8.4600000000000009</v>
      </c>
      <c r="BG971" s="8">
        <v>-2.12</v>
      </c>
      <c r="BH971" s="8"/>
      <c r="BI971" s="8">
        <f t="shared" si="1087"/>
        <v>-1051.4099999999999</v>
      </c>
      <c r="BJ971" s="2" t="s">
        <v>84</v>
      </c>
      <c r="BL971" s="8"/>
      <c r="BM971" s="8"/>
      <c r="BN971" s="6"/>
      <c r="BO971" s="70"/>
      <c r="BP971" s="70"/>
      <c r="BQ971" s="72"/>
      <c r="BS971" s="61">
        <v>0</v>
      </c>
      <c r="BT971" s="61">
        <v>0</v>
      </c>
      <c r="BU971" s="61">
        <v>0</v>
      </c>
      <c r="BV971" s="61">
        <v>0</v>
      </c>
      <c r="BW971" s="61">
        <v>0</v>
      </c>
      <c r="BX971" s="61">
        <v>0</v>
      </c>
      <c r="BY971" s="61" t="s">
        <v>91</v>
      </c>
      <c r="CA971" s="61">
        <v>0</v>
      </c>
      <c r="CB971" s="61">
        <v>0</v>
      </c>
      <c r="CC971" s="61">
        <v>0</v>
      </c>
      <c r="CD971" s="61">
        <v>0</v>
      </c>
      <c r="CE971" s="61">
        <v>0</v>
      </c>
      <c r="CF971" s="61">
        <v>0</v>
      </c>
      <c r="CG971" s="61">
        <v>0</v>
      </c>
      <c r="CH971" s="61">
        <v>0</v>
      </c>
      <c r="CI971" s="61">
        <v>0</v>
      </c>
      <c r="CJ971" s="61"/>
      <c r="CK971" s="61">
        <v>0</v>
      </c>
      <c r="CL971" s="61">
        <v>0</v>
      </c>
      <c r="CM971" s="61">
        <v>0</v>
      </c>
      <c r="CN971" s="61">
        <v>0</v>
      </c>
      <c r="CO971" s="61">
        <v>0</v>
      </c>
      <c r="CP971" s="61">
        <v>0</v>
      </c>
      <c r="CQ971" s="61">
        <v>0</v>
      </c>
      <c r="CR971" s="61">
        <v>0</v>
      </c>
      <c r="CS971" s="61">
        <v>0</v>
      </c>
      <c r="CT971" s="67">
        <f t="shared" si="1069"/>
        <v>0</v>
      </c>
      <c r="CV971" s="61">
        <v>0</v>
      </c>
      <c r="CW971" s="61">
        <v>0</v>
      </c>
      <c r="CX971" s="61"/>
      <c r="CY971" s="61">
        <v>0</v>
      </c>
      <c r="CZ971" s="61">
        <v>0</v>
      </c>
      <c r="DA971" s="61">
        <v>0</v>
      </c>
      <c r="DB971" s="2" t="s">
        <v>85</v>
      </c>
      <c r="DC971" s="2" t="s">
        <v>85</v>
      </c>
      <c r="DD971" s="2" t="s">
        <v>142</v>
      </c>
      <c r="DE971" s="2" t="s">
        <v>106</v>
      </c>
      <c r="DF971" s="3" t="s">
        <v>86</v>
      </c>
      <c r="DG971" s="62">
        <v>43077</v>
      </c>
      <c r="DI971" s="2" t="e">
        <v>#N/A</v>
      </c>
      <c r="EC971" s="60"/>
      <c r="ED971" s="60"/>
      <c r="EE971" s="60"/>
      <c r="EF971" s="60"/>
    </row>
    <row r="972" spans="2:136" ht="12.75" hidden="1" customHeight="1">
      <c r="B972" s="99" t="s">
        <v>1528</v>
      </c>
      <c r="C972" s="22" t="s">
        <v>726</v>
      </c>
      <c r="D972" s="22" t="s">
        <v>727</v>
      </c>
      <c r="E972" s="2" t="s">
        <v>260</v>
      </c>
      <c r="F972" s="2" t="s">
        <v>1025</v>
      </c>
      <c r="G972" s="2" t="s">
        <v>994</v>
      </c>
      <c r="J972" s="149" t="s">
        <v>728</v>
      </c>
      <c r="K972" s="23" t="s">
        <v>729</v>
      </c>
      <c r="L972" s="149" t="s">
        <v>1530</v>
      </c>
      <c r="M972" s="51" t="str">
        <f t="shared" si="1089"/>
        <v>MJD8B -LBBA-FDW</v>
      </c>
      <c r="O972" s="22">
        <v>0</v>
      </c>
      <c r="P972" s="22">
        <v>0</v>
      </c>
      <c r="Q972" s="22">
        <v>0</v>
      </c>
      <c r="R972" s="22">
        <v>1</v>
      </c>
      <c r="S972" s="22">
        <v>0</v>
      </c>
      <c r="T972" s="22">
        <v>0</v>
      </c>
      <c r="U972" s="22">
        <v>0</v>
      </c>
      <c r="V972" s="22">
        <v>0</v>
      </c>
      <c r="W972" s="64">
        <f t="shared" si="1091"/>
        <v>0.23</v>
      </c>
      <c r="Y972" s="60">
        <v>-1040.83</v>
      </c>
      <c r="Z972" s="8"/>
      <c r="AA972" s="8">
        <v>-8.4600000000000009</v>
      </c>
      <c r="AB972" s="8">
        <v>-2.12</v>
      </c>
      <c r="AC972" s="8"/>
      <c r="AD972" s="8">
        <f t="shared" si="1084"/>
        <v>-1051.4099999999999</v>
      </c>
      <c r="AE972" s="2" t="s">
        <v>84</v>
      </c>
      <c r="AG972" s="8"/>
      <c r="AH972" s="8"/>
      <c r="AJ972" s="70"/>
      <c r="AK972" s="70"/>
      <c r="AL972" s="72"/>
      <c r="AM972" s="22"/>
      <c r="AO972" s="22" t="s">
        <v>728</v>
      </c>
      <c r="AP972" s="23" t="s">
        <v>1001</v>
      </c>
      <c r="AQ972" s="22" t="s">
        <v>741</v>
      </c>
      <c r="AR972" s="51" t="str">
        <f t="shared" si="1090"/>
        <v>MJD8B -LBBA-FBW</v>
      </c>
      <c r="AS972" s="3"/>
      <c r="AT972" s="22">
        <v>0</v>
      </c>
      <c r="AU972" s="22">
        <v>0</v>
      </c>
      <c r="AV972" s="22">
        <v>0</v>
      </c>
      <c r="AW972" s="22">
        <v>1</v>
      </c>
      <c r="AX972" s="22">
        <v>0</v>
      </c>
      <c r="AY972" s="22">
        <v>0</v>
      </c>
      <c r="AZ972" s="22">
        <v>0</v>
      </c>
      <c r="BA972" s="22">
        <v>0</v>
      </c>
      <c r="BB972" s="64">
        <f t="shared" ref="BB972:BB982" si="1095">SUMPRODUCT(AT972:BA972,$O$6:$V$6)</f>
        <v>0.23</v>
      </c>
      <c r="BD972" s="8">
        <v>-1040.83</v>
      </c>
      <c r="BE972" s="8"/>
      <c r="BF972" s="8">
        <v>-8.4600000000000009</v>
      </c>
      <c r="BG972" s="8">
        <v>-2.12</v>
      </c>
      <c r="BH972" s="8"/>
      <c r="BI972" s="8">
        <f t="shared" si="1087"/>
        <v>-1051.4099999999999</v>
      </c>
      <c r="BJ972" s="2" t="s">
        <v>84</v>
      </c>
      <c r="BL972" s="8"/>
      <c r="BM972" s="8"/>
      <c r="BN972" s="6"/>
      <c r="BO972" s="70"/>
      <c r="BP972" s="70"/>
      <c r="BQ972" s="72"/>
      <c r="BS972" s="61">
        <f t="shared" ref="BS972:BX975" si="1096">SUM(Y972)-SUM(BD972)</f>
        <v>0</v>
      </c>
      <c r="BT972" s="61">
        <f t="shared" si="1096"/>
        <v>0</v>
      </c>
      <c r="BU972" s="61">
        <f t="shared" si="1096"/>
        <v>0</v>
      </c>
      <c r="BV972" s="61">
        <f t="shared" si="1096"/>
        <v>0</v>
      </c>
      <c r="BW972" s="61">
        <f t="shared" si="1096"/>
        <v>0</v>
      </c>
      <c r="BX972" s="61">
        <f t="shared" si="1096"/>
        <v>0</v>
      </c>
      <c r="BY972" s="61" t="s">
        <v>91</v>
      </c>
      <c r="CA972" s="61">
        <f t="shared" ref="CA972:CH975" si="1097">($Y972*O972-AT972*$BD972)/$C$2</f>
        <v>0</v>
      </c>
      <c r="CB972" s="61">
        <f t="shared" si="1097"/>
        <v>0</v>
      </c>
      <c r="CC972" s="61">
        <f t="shared" si="1097"/>
        <v>0</v>
      </c>
      <c r="CD972" s="61">
        <f t="shared" si="1097"/>
        <v>0</v>
      </c>
      <c r="CE972" s="61">
        <f t="shared" si="1097"/>
        <v>0</v>
      </c>
      <c r="CF972" s="61">
        <f t="shared" si="1097"/>
        <v>0</v>
      </c>
      <c r="CG972" s="61">
        <f t="shared" si="1097"/>
        <v>0</v>
      </c>
      <c r="CH972" s="61">
        <f t="shared" si="1097"/>
        <v>0</v>
      </c>
      <c r="CI972" s="61">
        <f>SUMPRODUCT(CA972:CH972,$O$6:$V$6)</f>
        <v>0</v>
      </c>
      <c r="CJ972" s="61"/>
      <c r="CK972" s="61">
        <f t="shared" ref="CK972:CR975" si="1098">(O972*$AD972-AT972*$BI972)/$C$2</f>
        <v>0</v>
      </c>
      <c r="CL972" s="61">
        <f t="shared" si="1098"/>
        <v>0</v>
      </c>
      <c r="CM972" s="61">
        <f t="shared" si="1098"/>
        <v>0</v>
      </c>
      <c r="CN972" s="61">
        <f t="shared" si="1098"/>
        <v>0</v>
      </c>
      <c r="CO972" s="61">
        <f t="shared" si="1098"/>
        <v>0</v>
      </c>
      <c r="CP972" s="61">
        <f t="shared" si="1098"/>
        <v>0</v>
      </c>
      <c r="CQ972" s="61">
        <f t="shared" si="1098"/>
        <v>0</v>
      </c>
      <c r="CR972" s="61">
        <f t="shared" si="1098"/>
        <v>0</v>
      </c>
      <c r="CS972" s="61">
        <f>SUMPRODUCT(CK972:CR972,$O$6:$V$6)</f>
        <v>0</v>
      </c>
      <c r="CT972" s="67">
        <f t="shared" si="1069"/>
        <v>0</v>
      </c>
      <c r="CV972" s="61">
        <f t="shared" si="1088"/>
        <v>0</v>
      </c>
      <c r="CW972" s="61">
        <f t="shared" si="1086"/>
        <v>0</v>
      </c>
      <c r="CX972" s="61"/>
      <c r="CY972" s="61">
        <f t="shared" si="1080"/>
        <v>0</v>
      </c>
      <c r="CZ972" s="61">
        <f t="shared" si="1080"/>
        <v>0</v>
      </c>
      <c r="DA972" s="61">
        <f t="shared" si="1080"/>
        <v>0</v>
      </c>
      <c r="DB972" s="2" t="s">
        <v>85</v>
      </c>
      <c r="DC972" s="2" t="s">
        <v>85</v>
      </c>
      <c r="DD972" s="2" t="s">
        <v>142</v>
      </c>
      <c r="DE972" s="2" t="s">
        <v>106</v>
      </c>
      <c r="DF972" s="3" t="s">
        <v>86</v>
      </c>
      <c r="DG972" s="62">
        <v>43077</v>
      </c>
      <c r="EC972" s="60"/>
      <c r="ED972" s="60"/>
      <c r="EE972" s="60"/>
      <c r="EF972" s="60"/>
    </row>
    <row r="973" spans="2:136" ht="12.75" hidden="1" customHeight="1">
      <c r="B973" s="99" t="s">
        <v>1528</v>
      </c>
      <c r="C973" s="22" t="s">
        <v>726</v>
      </c>
      <c r="D973" s="22" t="s">
        <v>727</v>
      </c>
      <c r="E973" s="2" t="s">
        <v>260</v>
      </c>
      <c r="F973" s="2" t="s">
        <v>1025</v>
      </c>
      <c r="G973" s="2" t="s">
        <v>994</v>
      </c>
      <c r="J973" s="149" t="s">
        <v>728</v>
      </c>
      <c r="K973" s="23" t="s">
        <v>729</v>
      </c>
      <c r="L973" s="149" t="s">
        <v>1531</v>
      </c>
      <c r="M973" s="51" t="str">
        <f t="shared" si="1089"/>
        <v>MJD8B -LBBA-GDW</v>
      </c>
      <c r="O973" s="22">
        <v>0</v>
      </c>
      <c r="P973" s="22">
        <v>0</v>
      </c>
      <c r="Q973" s="22">
        <v>0</v>
      </c>
      <c r="R973" s="22">
        <v>0</v>
      </c>
      <c r="S973" s="22">
        <v>0</v>
      </c>
      <c r="T973" s="22">
        <v>0</v>
      </c>
      <c r="U973" s="22">
        <v>0</v>
      </c>
      <c r="V973" s="22">
        <v>0</v>
      </c>
      <c r="W973" s="64">
        <f t="shared" si="1091"/>
        <v>0</v>
      </c>
      <c r="Y973" s="60">
        <v>-1025.29</v>
      </c>
      <c r="Z973" s="8"/>
      <c r="AA973" s="8">
        <v>-8.4600000000000009</v>
      </c>
      <c r="AB973" s="8">
        <v>-2.12</v>
      </c>
      <c r="AC973" s="8"/>
      <c r="AD973" s="8">
        <f t="shared" si="1084"/>
        <v>-1035.8699999999999</v>
      </c>
      <c r="AE973" s="2" t="s">
        <v>84</v>
      </c>
      <c r="AG973" s="8"/>
      <c r="AH973" s="8"/>
      <c r="AJ973" s="70"/>
      <c r="AK973" s="70"/>
      <c r="AL973" s="72"/>
      <c r="AM973" s="22"/>
      <c r="AO973" s="22" t="s">
        <v>728</v>
      </c>
      <c r="AP973" s="23" t="s">
        <v>1001</v>
      </c>
      <c r="AQ973" s="22" t="s">
        <v>742</v>
      </c>
      <c r="AR973" s="51" t="str">
        <f t="shared" si="1090"/>
        <v>MJD8B -LBBA-GBW</v>
      </c>
      <c r="AS973" s="3"/>
      <c r="AT973" s="22">
        <v>0</v>
      </c>
      <c r="AU973" s="22">
        <v>0</v>
      </c>
      <c r="AV973" s="22">
        <v>0</v>
      </c>
      <c r="AW973" s="22">
        <v>0</v>
      </c>
      <c r="AX973" s="22">
        <v>0</v>
      </c>
      <c r="AY973" s="22">
        <v>0</v>
      </c>
      <c r="AZ973" s="22">
        <v>0</v>
      </c>
      <c r="BA973" s="22">
        <v>0</v>
      </c>
      <c r="BB973" s="64">
        <f t="shared" si="1095"/>
        <v>0</v>
      </c>
      <c r="BD973" s="8">
        <v>-1025.29</v>
      </c>
      <c r="BE973" s="8"/>
      <c r="BF973" s="8">
        <v>-8.4600000000000009</v>
      </c>
      <c r="BG973" s="8">
        <v>-2.12</v>
      </c>
      <c r="BH973" s="8"/>
      <c r="BI973" s="8">
        <f t="shared" si="1087"/>
        <v>-1035.8699999999999</v>
      </c>
      <c r="BJ973" s="2" t="s">
        <v>84</v>
      </c>
      <c r="BL973" s="8"/>
      <c r="BM973" s="8"/>
      <c r="BN973" s="6"/>
      <c r="BO973" s="70"/>
      <c r="BP973" s="70"/>
      <c r="BQ973" s="72"/>
      <c r="BS973" s="61">
        <f t="shared" si="1096"/>
        <v>0</v>
      </c>
      <c r="BT973" s="61">
        <f t="shared" si="1096"/>
        <v>0</v>
      </c>
      <c r="BU973" s="61">
        <f t="shared" si="1096"/>
        <v>0</v>
      </c>
      <c r="BV973" s="61">
        <f t="shared" si="1096"/>
        <v>0</v>
      </c>
      <c r="BW973" s="61">
        <f t="shared" si="1096"/>
        <v>0</v>
      </c>
      <c r="BX973" s="61">
        <f t="shared" si="1096"/>
        <v>0</v>
      </c>
      <c r="BY973" s="61" t="s">
        <v>91</v>
      </c>
      <c r="CA973" s="61">
        <f t="shared" si="1097"/>
        <v>0</v>
      </c>
      <c r="CB973" s="61">
        <f t="shared" si="1097"/>
        <v>0</v>
      </c>
      <c r="CC973" s="61">
        <f t="shared" si="1097"/>
        <v>0</v>
      </c>
      <c r="CD973" s="61">
        <f t="shared" si="1097"/>
        <v>0</v>
      </c>
      <c r="CE973" s="61">
        <f t="shared" si="1097"/>
        <v>0</v>
      </c>
      <c r="CF973" s="61">
        <f t="shared" si="1097"/>
        <v>0</v>
      </c>
      <c r="CG973" s="61">
        <f t="shared" si="1097"/>
        <v>0</v>
      </c>
      <c r="CH973" s="61">
        <f t="shared" si="1097"/>
        <v>0</v>
      </c>
      <c r="CI973" s="61">
        <f>SUMPRODUCT(CA973:CH973,$O$6:$V$6)</f>
        <v>0</v>
      </c>
      <c r="CJ973" s="61"/>
      <c r="CK973" s="61">
        <f t="shared" si="1098"/>
        <v>0</v>
      </c>
      <c r="CL973" s="61">
        <f t="shared" si="1098"/>
        <v>0</v>
      </c>
      <c r="CM973" s="61">
        <f t="shared" si="1098"/>
        <v>0</v>
      </c>
      <c r="CN973" s="61">
        <f t="shared" si="1098"/>
        <v>0</v>
      </c>
      <c r="CO973" s="61">
        <f t="shared" si="1098"/>
        <v>0</v>
      </c>
      <c r="CP973" s="61">
        <f t="shared" si="1098"/>
        <v>0</v>
      </c>
      <c r="CQ973" s="61">
        <f t="shared" si="1098"/>
        <v>0</v>
      </c>
      <c r="CR973" s="61">
        <f t="shared" si="1098"/>
        <v>0</v>
      </c>
      <c r="CS973" s="61">
        <f>SUMPRODUCT(CK973:CR973,$O$6:$V$6)</f>
        <v>0</v>
      </c>
      <c r="CT973" s="67">
        <f t="shared" si="1069"/>
        <v>0</v>
      </c>
      <c r="CV973" s="61">
        <f t="shared" si="1088"/>
        <v>0</v>
      </c>
      <c r="CW973" s="61">
        <f t="shared" si="1086"/>
        <v>0</v>
      </c>
      <c r="CX973" s="61"/>
      <c r="CY973" s="61">
        <f t="shared" si="1080"/>
        <v>0</v>
      </c>
      <c r="CZ973" s="61">
        <f t="shared" si="1080"/>
        <v>0</v>
      </c>
      <c r="DA973" s="61">
        <f t="shared" si="1080"/>
        <v>0</v>
      </c>
      <c r="DB973" s="2" t="s">
        <v>85</v>
      </c>
      <c r="DC973" s="2" t="s">
        <v>85</v>
      </c>
      <c r="DD973" s="2" t="s">
        <v>142</v>
      </c>
      <c r="DE973" s="2" t="s">
        <v>106</v>
      </c>
      <c r="DF973" s="3" t="s">
        <v>86</v>
      </c>
      <c r="DG973" s="62">
        <v>43077</v>
      </c>
      <c r="EC973" s="60"/>
      <c r="ED973" s="60"/>
      <c r="EE973" s="60"/>
      <c r="EF973" s="60"/>
    </row>
    <row r="974" spans="2:136" ht="12.75" hidden="1" customHeight="1">
      <c r="B974" s="99" t="s">
        <v>1528</v>
      </c>
      <c r="C974" s="22" t="s">
        <v>726</v>
      </c>
      <c r="D974" s="22" t="s">
        <v>727</v>
      </c>
      <c r="E974" s="2" t="s">
        <v>260</v>
      </c>
      <c r="F974" s="2" t="s">
        <v>1025</v>
      </c>
      <c r="G974" s="2" t="s">
        <v>994</v>
      </c>
      <c r="J974" s="149" t="s">
        <v>728</v>
      </c>
      <c r="K974" s="23" t="s">
        <v>729</v>
      </c>
      <c r="L974" s="149" t="s">
        <v>1532</v>
      </c>
      <c r="M974" s="51" t="str">
        <f t="shared" si="1089"/>
        <v>MJD8B -LBBA-HDW</v>
      </c>
      <c r="O974" s="22">
        <v>0</v>
      </c>
      <c r="P974" s="22">
        <v>0</v>
      </c>
      <c r="Q974" s="22">
        <v>0</v>
      </c>
      <c r="R974" s="22">
        <v>0</v>
      </c>
      <c r="S974" s="22">
        <v>0</v>
      </c>
      <c r="T974" s="22">
        <v>0</v>
      </c>
      <c r="U974" s="22">
        <v>0</v>
      </c>
      <c r="V974" s="22">
        <v>0</v>
      </c>
      <c r="W974" s="64">
        <f t="shared" si="1091"/>
        <v>0</v>
      </c>
      <c r="Y974" s="60">
        <v>-1025.29</v>
      </c>
      <c r="Z974" s="8"/>
      <c r="AA974" s="8">
        <v>-8.4600000000000009</v>
      </c>
      <c r="AB974" s="8">
        <v>-2.12</v>
      </c>
      <c r="AC974" s="8"/>
      <c r="AD974" s="8">
        <f t="shared" ref="AD974" si="1099">SUM(Y974:AC974)</f>
        <v>-1035.8699999999999</v>
      </c>
      <c r="AE974" s="2" t="s">
        <v>84</v>
      </c>
      <c r="AG974" s="8"/>
      <c r="AH974" s="8"/>
      <c r="AJ974" s="70"/>
      <c r="AK974" s="70"/>
      <c r="AL974" s="72"/>
      <c r="AM974" s="22"/>
      <c r="AO974" s="22" t="s">
        <v>728</v>
      </c>
      <c r="AP974" s="23" t="s">
        <v>1001</v>
      </c>
      <c r="AQ974" s="22" t="s">
        <v>743</v>
      </c>
      <c r="AR974" s="51" t="str">
        <f t="shared" si="1090"/>
        <v>MJD8B -LBBA-HBW</v>
      </c>
      <c r="AS974" s="3"/>
      <c r="AT974" s="22">
        <v>0</v>
      </c>
      <c r="AU974" s="22">
        <v>0</v>
      </c>
      <c r="AV974" s="22">
        <v>0</v>
      </c>
      <c r="AW974" s="22">
        <v>0</v>
      </c>
      <c r="AX974" s="22">
        <v>0</v>
      </c>
      <c r="AY974" s="22">
        <v>0</v>
      </c>
      <c r="AZ974" s="22">
        <v>0</v>
      </c>
      <c r="BA974" s="22">
        <v>0</v>
      </c>
      <c r="BB974" s="64">
        <f t="shared" si="1095"/>
        <v>0</v>
      </c>
      <c r="BD974" s="8">
        <v>-1025.29</v>
      </c>
      <c r="BE974" s="8"/>
      <c r="BF974" s="8">
        <v>-8.4600000000000009</v>
      </c>
      <c r="BG974" s="8">
        <v>-2.12</v>
      </c>
      <c r="BH974" s="8"/>
      <c r="BI974" s="8">
        <f t="shared" si="1087"/>
        <v>-1035.8699999999999</v>
      </c>
      <c r="BJ974" s="2" t="s">
        <v>84</v>
      </c>
      <c r="BL974" s="8"/>
      <c r="BM974" s="8"/>
      <c r="BN974" s="6"/>
      <c r="BO974" s="70"/>
      <c r="BP974" s="70"/>
      <c r="BQ974" s="72"/>
      <c r="BS974" s="61">
        <f t="shared" si="1096"/>
        <v>0</v>
      </c>
      <c r="BT974" s="61">
        <f t="shared" si="1096"/>
        <v>0</v>
      </c>
      <c r="BU974" s="61">
        <f t="shared" si="1096"/>
        <v>0</v>
      </c>
      <c r="BV974" s="61">
        <f t="shared" si="1096"/>
        <v>0</v>
      </c>
      <c r="BW974" s="61">
        <f t="shared" si="1096"/>
        <v>0</v>
      </c>
      <c r="BX974" s="61">
        <f t="shared" si="1096"/>
        <v>0</v>
      </c>
      <c r="BY974" s="61" t="s">
        <v>91</v>
      </c>
      <c r="CA974" s="61">
        <f t="shared" si="1097"/>
        <v>0</v>
      </c>
      <c r="CB974" s="61">
        <f t="shared" si="1097"/>
        <v>0</v>
      </c>
      <c r="CC974" s="61">
        <f t="shared" si="1097"/>
        <v>0</v>
      </c>
      <c r="CD974" s="61">
        <f t="shared" si="1097"/>
        <v>0</v>
      </c>
      <c r="CE974" s="61">
        <f t="shared" si="1097"/>
        <v>0</v>
      </c>
      <c r="CF974" s="61">
        <f t="shared" si="1097"/>
        <v>0</v>
      </c>
      <c r="CG974" s="61">
        <f t="shared" si="1097"/>
        <v>0</v>
      </c>
      <c r="CH974" s="61">
        <f t="shared" si="1097"/>
        <v>0</v>
      </c>
      <c r="CI974" s="61">
        <f>SUMPRODUCT(CA974:CH974,$O$6:$V$6)</f>
        <v>0</v>
      </c>
      <c r="CJ974" s="61"/>
      <c r="CK974" s="61">
        <f t="shared" si="1098"/>
        <v>0</v>
      </c>
      <c r="CL974" s="61">
        <f t="shared" si="1098"/>
        <v>0</v>
      </c>
      <c r="CM974" s="61">
        <f t="shared" si="1098"/>
        <v>0</v>
      </c>
      <c r="CN974" s="61">
        <f t="shared" si="1098"/>
        <v>0</v>
      </c>
      <c r="CO974" s="61">
        <f t="shared" si="1098"/>
        <v>0</v>
      </c>
      <c r="CP974" s="61">
        <f t="shared" si="1098"/>
        <v>0</v>
      </c>
      <c r="CQ974" s="61">
        <f t="shared" si="1098"/>
        <v>0</v>
      </c>
      <c r="CR974" s="61">
        <f t="shared" si="1098"/>
        <v>0</v>
      </c>
      <c r="CS974" s="61">
        <f>SUMPRODUCT(CK974:CR974,$O$6:$V$6)</f>
        <v>0</v>
      </c>
      <c r="CT974" s="67">
        <f t="shared" si="1069"/>
        <v>0</v>
      </c>
      <c r="CV974" s="61">
        <f t="shared" ref="CV974" si="1100">SUM(AG974)-SUM(BL974)</f>
        <v>0</v>
      </c>
      <c r="CW974" s="61">
        <f t="shared" ref="CW974" si="1101">SUM(AH974)-SUM(BM974)</f>
        <v>0</v>
      </c>
      <c r="CX974" s="61"/>
      <c r="CY974" s="61">
        <f t="shared" si="1080"/>
        <v>0</v>
      </c>
      <c r="CZ974" s="61">
        <f t="shared" si="1080"/>
        <v>0</v>
      </c>
      <c r="DA974" s="61">
        <f t="shared" si="1080"/>
        <v>0</v>
      </c>
      <c r="DB974" s="2" t="s">
        <v>85</v>
      </c>
      <c r="DC974" s="2" t="s">
        <v>85</v>
      </c>
      <c r="DD974" s="2" t="s">
        <v>142</v>
      </c>
      <c r="DE974" s="2" t="s">
        <v>106</v>
      </c>
      <c r="DF974" s="3" t="s">
        <v>86</v>
      </c>
      <c r="DG974" s="62">
        <v>43077</v>
      </c>
      <c r="EC974" s="60"/>
      <c r="ED974" s="60"/>
      <c r="EE974" s="60"/>
      <c r="EF974" s="60"/>
    </row>
    <row r="975" spans="2:136" ht="12.75" hidden="1" customHeight="1">
      <c r="B975" s="99" t="s">
        <v>1528</v>
      </c>
      <c r="C975" s="22" t="s">
        <v>726</v>
      </c>
      <c r="D975" s="22" t="s">
        <v>727</v>
      </c>
      <c r="E975" s="2" t="s">
        <v>260</v>
      </c>
      <c r="F975" s="2" t="s">
        <v>1025</v>
      </c>
      <c r="G975" s="2" t="s">
        <v>994</v>
      </c>
      <c r="J975" s="149" t="s">
        <v>728</v>
      </c>
      <c r="K975" s="23" t="s">
        <v>729</v>
      </c>
      <c r="L975" s="149" t="s">
        <v>1533</v>
      </c>
      <c r="M975" s="51" t="str">
        <f t="shared" si="1089"/>
        <v>MJD8B -LBBA-JDW</v>
      </c>
      <c r="O975" s="22">
        <v>0</v>
      </c>
      <c r="P975" s="22">
        <v>0</v>
      </c>
      <c r="Q975" s="22">
        <v>0</v>
      </c>
      <c r="R975" s="22">
        <v>0</v>
      </c>
      <c r="S975" s="22">
        <v>1</v>
      </c>
      <c r="T975" s="22">
        <v>0</v>
      </c>
      <c r="U975" s="22">
        <v>0</v>
      </c>
      <c r="V975" s="22">
        <v>0</v>
      </c>
      <c r="W975" s="64">
        <f t="shared" si="1091"/>
        <v>0.09</v>
      </c>
      <c r="Y975" s="60">
        <v>-943.43</v>
      </c>
      <c r="Z975" s="8"/>
      <c r="AA975" s="8">
        <v>-8.4600000000000009</v>
      </c>
      <c r="AB975" s="8">
        <v>-2.12</v>
      </c>
      <c r="AC975" s="8"/>
      <c r="AD975" s="8">
        <f t="shared" si="1084"/>
        <v>-954.01</v>
      </c>
      <c r="AE975" s="2" t="s">
        <v>84</v>
      </c>
      <c r="AG975" s="8"/>
      <c r="AH975" s="8"/>
      <c r="AJ975" s="70"/>
      <c r="AK975" s="70"/>
      <c r="AL975" s="72"/>
      <c r="AM975" s="22"/>
      <c r="AO975" s="22" t="s">
        <v>728</v>
      </c>
      <c r="AP975" s="23" t="s">
        <v>1001</v>
      </c>
      <c r="AQ975" s="22" t="s">
        <v>744</v>
      </c>
      <c r="AR975" s="51" t="str">
        <f t="shared" si="1090"/>
        <v>MJD8B -LBBA-JBW</v>
      </c>
      <c r="AS975" s="3"/>
      <c r="AT975" s="22">
        <v>0</v>
      </c>
      <c r="AU975" s="22">
        <v>0</v>
      </c>
      <c r="AV975" s="22">
        <v>0</v>
      </c>
      <c r="AW975" s="22">
        <v>0</v>
      </c>
      <c r="AX975" s="22">
        <v>1</v>
      </c>
      <c r="AY975" s="22">
        <v>0</v>
      </c>
      <c r="AZ975" s="22">
        <v>0</v>
      </c>
      <c r="BA975" s="22">
        <v>0</v>
      </c>
      <c r="BB975" s="64">
        <f t="shared" si="1095"/>
        <v>0.09</v>
      </c>
      <c r="BD975" s="8">
        <v>-943.43</v>
      </c>
      <c r="BE975" s="8"/>
      <c r="BF975" s="8">
        <v>-8.4600000000000009</v>
      </c>
      <c r="BG975" s="8">
        <v>-2.12</v>
      </c>
      <c r="BH975" s="8"/>
      <c r="BI975" s="8">
        <f t="shared" si="1087"/>
        <v>-954.01</v>
      </c>
      <c r="BJ975" s="2" t="s">
        <v>84</v>
      </c>
      <c r="BL975" s="8"/>
      <c r="BM975" s="8"/>
      <c r="BN975" s="6"/>
      <c r="BO975" s="70"/>
      <c r="BP975" s="70"/>
      <c r="BQ975" s="72"/>
      <c r="BS975" s="61">
        <f t="shared" si="1096"/>
        <v>0</v>
      </c>
      <c r="BT975" s="61">
        <f t="shared" si="1096"/>
        <v>0</v>
      </c>
      <c r="BU975" s="61">
        <f t="shared" si="1096"/>
        <v>0</v>
      </c>
      <c r="BV975" s="61">
        <f t="shared" si="1096"/>
        <v>0</v>
      </c>
      <c r="BW975" s="61">
        <f t="shared" si="1096"/>
        <v>0</v>
      </c>
      <c r="BX975" s="61">
        <f t="shared" si="1096"/>
        <v>0</v>
      </c>
      <c r="BY975" s="61" t="s">
        <v>91</v>
      </c>
      <c r="CA975" s="61">
        <f t="shared" si="1097"/>
        <v>0</v>
      </c>
      <c r="CB975" s="61">
        <f t="shared" si="1097"/>
        <v>0</v>
      </c>
      <c r="CC975" s="61">
        <f t="shared" si="1097"/>
        <v>0</v>
      </c>
      <c r="CD975" s="61">
        <f t="shared" si="1097"/>
        <v>0</v>
      </c>
      <c r="CE975" s="61">
        <f t="shared" si="1097"/>
        <v>0</v>
      </c>
      <c r="CF975" s="61">
        <f t="shared" si="1097"/>
        <v>0</v>
      </c>
      <c r="CG975" s="61">
        <f t="shared" si="1097"/>
        <v>0</v>
      </c>
      <c r="CH975" s="61">
        <f t="shared" si="1097"/>
        <v>0</v>
      </c>
      <c r="CI975" s="61">
        <f>SUMPRODUCT(CA975:CH975,$O$6:$V$6)</f>
        <v>0</v>
      </c>
      <c r="CJ975" s="61"/>
      <c r="CK975" s="61">
        <f t="shared" si="1098"/>
        <v>0</v>
      </c>
      <c r="CL975" s="61">
        <f t="shared" si="1098"/>
        <v>0</v>
      </c>
      <c r="CM975" s="61">
        <f t="shared" si="1098"/>
        <v>0</v>
      </c>
      <c r="CN975" s="61">
        <f t="shared" si="1098"/>
        <v>0</v>
      </c>
      <c r="CO975" s="61">
        <f t="shared" si="1098"/>
        <v>0</v>
      </c>
      <c r="CP975" s="61">
        <f t="shared" si="1098"/>
        <v>0</v>
      </c>
      <c r="CQ975" s="61">
        <f t="shared" si="1098"/>
        <v>0</v>
      </c>
      <c r="CR975" s="61">
        <f t="shared" si="1098"/>
        <v>0</v>
      </c>
      <c r="CS975" s="61">
        <f>SUMPRODUCT(CK975:CR975,$O$6:$V$6)</f>
        <v>0</v>
      </c>
      <c r="CT975" s="67">
        <f t="shared" si="1069"/>
        <v>0</v>
      </c>
      <c r="CV975" s="61">
        <f t="shared" si="1085"/>
        <v>0</v>
      </c>
      <c r="CW975" s="61">
        <f t="shared" si="1086"/>
        <v>0</v>
      </c>
      <c r="CX975" s="61"/>
      <c r="CY975" s="61">
        <f t="shared" si="1080"/>
        <v>0</v>
      </c>
      <c r="CZ975" s="61">
        <f t="shared" si="1080"/>
        <v>0</v>
      </c>
      <c r="DA975" s="61">
        <f t="shared" si="1080"/>
        <v>0</v>
      </c>
      <c r="DB975" s="2" t="s">
        <v>85</v>
      </c>
      <c r="DC975" s="2" t="s">
        <v>85</v>
      </c>
      <c r="DD975" s="2" t="s">
        <v>142</v>
      </c>
      <c r="DE975" s="2" t="s">
        <v>106</v>
      </c>
      <c r="DF975" s="3" t="s">
        <v>86</v>
      </c>
      <c r="DG975" s="62">
        <v>43077</v>
      </c>
      <c r="EC975" s="60"/>
      <c r="ED975" s="60"/>
      <c r="EE975" s="60"/>
      <c r="EF975" s="60"/>
    </row>
    <row r="976" spans="2:136" ht="12.75" hidden="1" customHeight="1">
      <c r="B976" s="99" t="s">
        <v>1528</v>
      </c>
      <c r="C976" s="22" t="s">
        <v>726</v>
      </c>
      <c r="D976" s="22" t="s">
        <v>727</v>
      </c>
      <c r="E976" s="2" t="s">
        <v>260</v>
      </c>
      <c r="F976" s="2" t="s">
        <v>1025</v>
      </c>
      <c r="G976" s="2" t="s">
        <v>994</v>
      </c>
      <c r="J976" s="149" t="s">
        <v>728</v>
      </c>
      <c r="K976" s="23" t="s">
        <v>729</v>
      </c>
      <c r="L976" s="149" t="s">
        <v>1534</v>
      </c>
      <c r="M976" s="51" t="str">
        <f t="shared" si="1089"/>
        <v>MJD8B -LBBA-KDW</v>
      </c>
      <c r="O976" s="22">
        <v>0</v>
      </c>
      <c r="P976" s="22">
        <v>0</v>
      </c>
      <c r="Q976" s="22">
        <v>0</v>
      </c>
      <c r="R976" s="22">
        <v>0</v>
      </c>
      <c r="S976" s="22">
        <v>0</v>
      </c>
      <c r="T976" s="22">
        <v>1</v>
      </c>
      <c r="U976" s="22">
        <v>0</v>
      </c>
      <c r="V976" s="22">
        <v>0</v>
      </c>
      <c r="W976" s="64">
        <f t="shared" si="1091"/>
        <v>0.14000000000000001</v>
      </c>
      <c r="Y976" s="60">
        <v>-943.43</v>
      </c>
      <c r="Z976" s="8"/>
      <c r="AA976" s="8">
        <v>-8.4600000000000009</v>
      </c>
      <c r="AB976" s="8">
        <v>-2.12</v>
      </c>
      <c r="AC976" s="8"/>
      <c r="AD976" s="8">
        <f t="shared" ref="AD976:AD1023" si="1102">SUM(Y976:AC976)</f>
        <v>-954.01</v>
      </c>
      <c r="AE976" s="2" t="s">
        <v>84</v>
      </c>
      <c r="AG976" s="8"/>
      <c r="AH976" s="8"/>
      <c r="AJ976" s="70"/>
      <c r="AK976" s="70"/>
      <c r="AL976" s="72"/>
      <c r="AM976" s="22"/>
      <c r="AO976" s="22" t="s">
        <v>728</v>
      </c>
      <c r="AP976" s="23" t="s">
        <v>1001</v>
      </c>
      <c r="AQ976" s="22" t="s">
        <v>745</v>
      </c>
      <c r="AR976" s="51" t="str">
        <f t="shared" si="1090"/>
        <v>MJD8B -LBBA-KBW</v>
      </c>
      <c r="AS976" s="3"/>
      <c r="AT976" s="22">
        <v>0</v>
      </c>
      <c r="AU976" s="22">
        <v>0</v>
      </c>
      <c r="AV976" s="22">
        <v>0</v>
      </c>
      <c r="AW976" s="22">
        <v>0</v>
      </c>
      <c r="AX976" s="22">
        <v>0</v>
      </c>
      <c r="AY976" s="22">
        <v>1</v>
      </c>
      <c r="AZ976" s="22">
        <v>0</v>
      </c>
      <c r="BA976" s="22">
        <v>0</v>
      </c>
      <c r="BB976" s="64">
        <f t="shared" si="1095"/>
        <v>0.14000000000000001</v>
      </c>
      <c r="BD976" s="8">
        <v>-943.43</v>
      </c>
      <c r="BE976" s="8"/>
      <c r="BF976" s="8">
        <v>-8.4600000000000009</v>
      </c>
      <c r="BG976" s="8">
        <v>-2.12</v>
      </c>
      <c r="BH976" s="8"/>
      <c r="BI976" s="8">
        <f t="shared" si="1087"/>
        <v>-954.01</v>
      </c>
      <c r="BJ976" s="2" t="s">
        <v>84</v>
      </c>
      <c r="BL976" s="8"/>
      <c r="BM976" s="8"/>
      <c r="BN976" s="6"/>
      <c r="BO976" s="70"/>
      <c r="BP976" s="70"/>
      <c r="BQ976" s="72"/>
      <c r="BS976" s="61">
        <v>0</v>
      </c>
      <c r="BT976" s="61">
        <v>0</v>
      </c>
      <c r="BU976" s="61">
        <v>0</v>
      </c>
      <c r="BV976" s="61">
        <v>0</v>
      </c>
      <c r="BW976" s="61">
        <v>0</v>
      </c>
      <c r="BX976" s="61">
        <v>0</v>
      </c>
      <c r="BY976" s="61" t="s">
        <v>91</v>
      </c>
      <c r="CA976" s="61">
        <v>0</v>
      </c>
      <c r="CB976" s="61">
        <v>0</v>
      </c>
      <c r="CC976" s="61">
        <v>0</v>
      </c>
      <c r="CD976" s="61">
        <v>0</v>
      </c>
      <c r="CE976" s="61">
        <v>0</v>
      </c>
      <c r="CF976" s="61">
        <v>0</v>
      </c>
      <c r="CG976" s="61">
        <v>0</v>
      </c>
      <c r="CH976" s="61">
        <v>0</v>
      </c>
      <c r="CI976" s="61">
        <v>0</v>
      </c>
      <c r="CJ976" s="61"/>
      <c r="CK976" s="61">
        <v>0</v>
      </c>
      <c r="CL976" s="61">
        <v>0</v>
      </c>
      <c r="CM976" s="61">
        <v>0</v>
      </c>
      <c r="CN976" s="61">
        <v>0</v>
      </c>
      <c r="CO976" s="61">
        <v>0</v>
      </c>
      <c r="CP976" s="61">
        <v>0</v>
      </c>
      <c r="CQ976" s="61">
        <v>0</v>
      </c>
      <c r="CR976" s="61">
        <v>0</v>
      </c>
      <c r="CS976" s="61">
        <v>0</v>
      </c>
      <c r="CT976" s="67">
        <f t="shared" si="1069"/>
        <v>0</v>
      </c>
      <c r="CV976" s="61">
        <v>0</v>
      </c>
      <c r="CW976" s="61">
        <v>0</v>
      </c>
      <c r="CX976" s="61"/>
      <c r="CY976" s="61">
        <v>0</v>
      </c>
      <c r="CZ976" s="61">
        <v>0</v>
      </c>
      <c r="DA976" s="61">
        <v>0</v>
      </c>
      <c r="DB976" s="2" t="s">
        <v>85</v>
      </c>
      <c r="DC976" s="2" t="s">
        <v>85</v>
      </c>
      <c r="DD976" s="2" t="s">
        <v>142</v>
      </c>
      <c r="DE976" s="2" t="s">
        <v>106</v>
      </c>
      <c r="DF976" s="3" t="s">
        <v>86</v>
      </c>
      <c r="DG976" s="62">
        <v>43077</v>
      </c>
      <c r="DI976" s="2" t="e">
        <v>#N/A</v>
      </c>
      <c r="EC976" s="60"/>
      <c r="ED976" s="60"/>
      <c r="EE976" s="60"/>
      <c r="EF976" s="60"/>
    </row>
    <row r="977" spans="2:140" ht="12.75" hidden="1" customHeight="1">
      <c r="B977" s="99" t="s">
        <v>1528</v>
      </c>
      <c r="C977" s="22" t="s">
        <v>726</v>
      </c>
      <c r="D977" s="22" t="s">
        <v>727</v>
      </c>
      <c r="E977" s="2" t="s">
        <v>260</v>
      </c>
      <c r="F977" s="2" t="s">
        <v>1025</v>
      </c>
      <c r="G977" s="2" t="s">
        <v>994</v>
      </c>
      <c r="J977" s="149" t="s">
        <v>728</v>
      </c>
      <c r="K977" s="23" t="s">
        <v>729</v>
      </c>
      <c r="L977" s="149" t="s">
        <v>1535</v>
      </c>
      <c r="M977" s="51" t="str">
        <f t="shared" si="1089"/>
        <v>MJD8B -LBBA-LDW</v>
      </c>
      <c r="O977" s="22">
        <v>0</v>
      </c>
      <c r="P977" s="22">
        <v>0</v>
      </c>
      <c r="Q977" s="22">
        <v>0</v>
      </c>
      <c r="R977" s="22">
        <v>0</v>
      </c>
      <c r="S977" s="22">
        <v>0</v>
      </c>
      <c r="T977" s="22">
        <v>0</v>
      </c>
      <c r="U977" s="22">
        <v>1</v>
      </c>
      <c r="V977" s="22">
        <v>0</v>
      </c>
      <c r="W977" s="64">
        <f t="shared" si="1091"/>
        <v>0.05</v>
      </c>
      <c r="Y977" s="60">
        <v>-985.43</v>
      </c>
      <c r="Z977" s="8"/>
      <c r="AA977" s="8">
        <v>-8.4600000000000009</v>
      </c>
      <c r="AB977" s="8">
        <v>-2.12</v>
      </c>
      <c r="AC977" s="8"/>
      <c r="AD977" s="8">
        <f t="shared" si="1102"/>
        <v>-996.01</v>
      </c>
      <c r="AE977" s="2" t="s">
        <v>84</v>
      </c>
      <c r="AG977" s="8">
        <v>-36000</v>
      </c>
      <c r="AH977" s="8">
        <v>-36000</v>
      </c>
      <c r="AJ977" s="70"/>
      <c r="AK977" s="70"/>
      <c r="AL977" s="72"/>
      <c r="AM977" s="22"/>
      <c r="AO977" s="22" t="s">
        <v>728</v>
      </c>
      <c r="AP977" s="23" t="s">
        <v>1001</v>
      </c>
      <c r="AQ977" s="22" t="s">
        <v>1002</v>
      </c>
      <c r="AR977" s="51" t="str">
        <f t="shared" si="1090"/>
        <v>MJD8B -LBBA-LCW</v>
      </c>
      <c r="AS977" s="3"/>
      <c r="AT977" s="22">
        <v>0</v>
      </c>
      <c r="AU977" s="22">
        <v>0</v>
      </c>
      <c r="AV977" s="22">
        <v>0</v>
      </c>
      <c r="AW977" s="22">
        <v>0</v>
      </c>
      <c r="AX977" s="22">
        <v>0</v>
      </c>
      <c r="AY977" s="22">
        <v>0</v>
      </c>
      <c r="AZ977" s="22">
        <v>1</v>
      </c>
      <c r="BA977" s="22">
        <v>0</v>
      </c>
      <c r="BB977" s="64">
        <f t="shared" si="1095"/>
        <v>0.05</v>
      </c>
      <c r="BD977" s="8">
        <v>-985.43</v>
      </c>
      <c r="BE977" s="8"/>
      <c r="BF977" s="8">
        <v>-8.4600000000000009</v>
      </c>
      <c r="BG977" s="8">
        <v>-2.12</v>
      </c>
      <c r="BH977" s="8"/>
      <c r="BI977" s="8">
        <f t="shared" si="1087"/>
        <v>-996.01</v>
      </c>
      <c r="BJ977" s="2" t="s">
        <v>84</v>
      </c>
      <c r="BL977" s="8">
        <v>-36000</v>
      </c>
      <c r="BM977" s="8">
        <v>-36000</v>
      </c>
      <c r="BN977" s="6"/>
      <c r="BO977" s="70"/>
      <c r="BP977" s="70"/>
      <c r="BQ977" s="72"/>
      <c r="BS977" s="61">
        <v>0</v>
      </c>
      <c r="BT977" s="61">
        <v>0</v>
      </c>
      <c r="BU977" s="61">
        <v>0</v>
      </c>
      <c r="BV977" s="61">
        <v>0</v>
      </c>
      <c r="BW977" s="61">
        <v>0</v>
      </c>
      <c r="BX977" s="61">
        <v>0</v>
      </c>
      <c r="BY977" s="61" t="s">
        <v>91</v>
      </c>
      <c r="CA977" s="61">
        <v>0</v>
      </c>
      <c r="CB977" s="61">
        <v>0</v>
      </c>
      <c r="CC977" s="61">
        <v>0</v>
      </c>
      <c r="CD977" s="61">
        <v>0</v>
      </c>
      <c r="CE977" s="61">
        <v>0</v>
      </c>
      <c r="CF977" s="61">
        <v>0</v>
      </c>
      <c r="CG977" s="61">
        <v>0</v>
      </c>
      <c r="CH977" s="61">
        <v>0</v>
      </c>
      <c r="CI977" s="61">
        <v>0</v>
      </c>
      <c r="CJ977" s="61"/>
      <c r="CK977" s="61">
        <v>0</v>
      </c>
      <c r="CL977" s="61">
        <v>0</v>
      </c>
      <c r="CM977" s="61">
        <v>0</v>
      </c>
      <c r="CN977" s="61">
        <v>0</v>
      </c>
      <c r="CO977" s="61">
        <v>0</v>
      </c>
      <c r="CP977" s="61">
        <v>0</v>
      </c>
      <c r="CQ977" s="61">
        <v>0</v>
      </c>
      <c r="CR977" s="61">
        <v>0</v>
      </c>
      <c r="CS977" s="61">
        <v>0</v>
      </c>
      <c r="CT977" s="67">
        <f t="shared" si="1069"/>
        <v>0</v>
      </c>
      <c r="CV977" s="61">
        <v>0</v>
      </c>
      <c r="CW977" s="61">
        <v>0</v>
      </c>
      <c r="CX977" s="61"/>
      <c r="CY977" s="61">
        <v>0</v>
      </c>
      <c r="CZ977" s="61">
        <v>0</v>
      </c>
      <c r="DA977" s="61">
        <v>0</v>
      </c>
      <c r="DB977" s="2" t="s">
        <v>85</v>
      </c>
      <c r="DC977" s="2" t="s">
        <v>85</v>
      </c>
      <c r="DD977" s="2" t="s">
        <v>142</v>
      </c>
      <c r="DE977" s="2" t="s">
        <v>106</v>
      </c>
      <c r="DF977" s="3" t="s">
        <v>86</v>
      </c>
      <c r="DG977" s="62">
        <v>43077</v>
      </c>
      <c r="DI977" s="2" t="e">
        <v>#N/A</v>
      </c>
      <c r="EC977" s="60"/>
      <c r="ED977" s="60"/>
      <c r="EE977" s="60"/>
      <c r="EF977" s="60"/>
    </row>
    <row r="978" spans="2:140" ht="12.75" hidden="1" customHeight="1">
      <c r="B978" s="99" t="s">
        <v>1528</v>
      </c>
      <c r="C978" s="22" t="s">
        <v>726</v>
      </c>
      <c r="D978" s="22" t="s">
        <v>727</v>
      </c>
      <c r="E978" s="2" t="s">
        <v>260</v>
      </c>
      <c r="F978" s="2" t="s">
        <v>1025</v>
      </c>
      <c r="G978" s="2" t="s">
        <v>994</v>
      </c>
      <c r="J978" s="149" t="s">
        <v>728</v>
      </c>
      <c r="K978" s="23" t="s">
        <v>729</v>
      </c>
      <c r="L978" s="149" t="s">
        <v>1536</v>
      </c>
      <c r="M978" s="51" t="str">
        <f t="shared" si="1089"/>
        <v>MJD8B -LBBA-MDW</v>
      </c>
      <c r="O978" s="22">
        <v>0</v>
      </c>
      <c r="P978" s="22">
        <v>0</v>
      </c>
      <c r="Q978" s="22">
        <v>0</v>
      </c>
      <c r="R978" s="22">
        <v>0</v>
      </c>
      <c r="S978" s="22">
        <v>0</v>
      </c>
      <c r="T978" s="22">
        <v>0</v>
      </c>
      <c r="U978" s="22">
        <v>0</v>
      </c>
      <c r="V978" s="22">
        <v>1</v>
      </c>
      <c r="W978" s="64">
        <f t="shared" si="1091"/>
        <v>0.05</v>
      </c>
      <c r="Y978" s="60">
        <v>-985.89</v>
      </c>
      <c r="Z978" s="8"/>
      <c r="AA978" s="8">
        <v>-8.4600000000000009</v>
      </c>
      <c r="AB978" s="8">
        <v>-2.12</v>
      </c>
      <c r="AC978" s="8"/>
      <c r="AD978" s="8">
        <f t="shared" si="1102"/>
        <v>-996.47</v>
      </c>
      <c r="AE978" s="2" t="s">
        <v>84</v>
      </c>
      <c r="AG978" s="8"/>
      <c r="AH978" s="8"/>
      <c r="AJ978" s="70"/>
      <c r="AK978" s="70"/>
      <c r="AL978" s="72"/>
      <c r="AM978" s="22"/>
      <c r="AO978" s="22" t="s">
        <v>728</v>
      </c>
      <c r="AP978" s="23" t="s">
        <v>1001</v>
      </c>
      <c r="AQ978" s="22" t="s">
        <v>1003</v>
      </c>
      <c r="AR978" s="51" t="str">
        <f t="shared" si="1090"/>
        <v>MJD8B -LBBA-MCW</v>
      </c>
      <c r="AS978" s="3"/>
      <c r="AT978" s="22">
        <v>0</v>
      </c>
      <c r="AU978" s="22">
        <v>0</v>
      </c>
      <c r="AV978" s="22">
        <v>0</v>
      </c>
      <c r="AW978" s="22">
        <v>0</v>
      </c>
      <c r="AX978" s="22">
        <v>0</v>
      </c>
      <c r="AY978" s="22">
        <v>0</v>
      </c>
      <c r="AZ978" s="22">
        <v>0</v>
      </c>
      <c r="BA978" s="22">
        <v>1</v>
      </c>
      <c r="BB978" s="64">
        <f t="shared" si="1095"/>
        <v>0.05</v>
      </c>
      <c r="BD978" s="8">
        <v>-985.89</v>
      </c>
      <c r="BE978" s="8"/>
      <c r="BF978" s="8">
        <v>-8.4600000000000009</v>
      </c>
      <c r="BG978" s="8">
        <v>-2.12</v>
      </c>
      <c r="BH978" s="8"/>
      <c r="BI978" s="8">
        <f t="shared" si="1087"/>
        <v>-996.47</v>
      </c>
      <c r="BJ978" s="2" t="s">
        <v>84</v>
      </c>
      <c r="BL978" s="8"/>
      <c r="BM978" s="8"/>
      <c r="BN978" s="6"/>
      <c r="BO978" s="70"/>
      <c r="BP978" s="70"/>
      <c r="BQ978" s="72"/>
      <c r="BS978" s="61">
        <v>0</v>
      </c>
      <c r="BT978" s="61">
        <v>0</v>
      </c>
      <c r="BU978" s="61">
        <v>0</v>
      </c>
      <c r="BV978" s="61">
        <v>0</v>
      </c>
      <c r="BW978" s="61">
        <v>0</v>
      </c>
      <c r="BX978" s="61">
        <v>0</v>
      </c>
      <c r="BY978" s="61" t="s">
        <v>91</v>
      </c>
      <c r="CA978" s="61">
        <v>0</v>
      </c>
      <c r="CB978" s="61">
        <v>0</v>
      </c>
      <c r="CC978" s="61">
        <v>0</v>
      </c>
      <c r="CD978" s="61">
        <v>0</v>
      </c>
      <c r="CE978" s="61">
        <v>0</v>
      </c>
      <c r="CF978" s="61">
        <v>0</v>
      </c>
      <c r="CG978" s="61">
        <v>0</v>
      </c>
      <c r="CH978" s="61">
        <v>0</v>
      </c>
      <c r="CI978" s="61">
        <v>0</v>
      </c>
      <c r="CJ978" s="61"/>
      <c r="CK978" s="61">
        <v>0</v>
      </c>
      <c r="CL978" s="61">
        <v>0</v>
      </c>
      <c r="CM978" s="61">
        <v>0</v>
      </c>
      <c r="CN978" s="61">
        <v>0</v>
      </c>
      <c r="CO978" s="61">
        <v>0</v>
      </c>
      <c r="CP978" s="61">
        <v>0</v>
      </c>
      <c r="CQ978" s="61">
        <v>0</v>
      </c>
      <c r="CR978" s="61">
        <v>0</v>
      </c>
      <c r="CS978" s="61">
        <v>0</v>
      </c>
      <c r="CT978" s="67">
        <f t="shared" si="1069"/>
        <v>0</v>
      </c>
      <c r="CV978" s="61">
        <v>0</v>
      </c>
      <c r="CW978" s="61">
        <v>0</v>
      </c>
      <c r="CX978" s="61"/>
      <c r="CY978" s="61">
        <v>0</v>
      </c>
      <c r="CZ978" s="61">
        <v>0</v>
      </c>
      <c r="DA978" s="61">
        <v>0</v>
      </c>
      <c r="DB978" s="2" t="s">
        <v>85</v>
      </c>
      <c r="DC978" s="2" t="s">
        <v>85</v>
      </c>
      <c r="DD978" s="2" t="s">
        <v>142</v>
      </c>
      <c r="DE978" s="2" t="s">
        <v>106</v>
      </c>
      <c r="DF978" s="3" t="s">
        <v>86</v>
      </c>
      <c r="DG978" s="62">
        <v>43077</v>
      </c>
      <c r="DI978" s="2" t="e">
        <v>#N/A</v>
      </c>
      <c r="EC978" s="60"/>
      <c r="ED978" s="60"/>
      <c r="EE978" s="60"/>
      <c r="EF978" s="60"/>
    </row>
    <row r="979" spans="2:140" ht="12.75" hidden="1" customHeight="1">
      <c r="B979" s="99" t="s">
        <v>1537</v>
      </c>
      <c r="C979" s="22" t="s">
        <v>726</v>
      </c>
      <c r="D979" s="22" t="s">
        <v>727</v>
      </c>
      <c r="E979" s="2" t="s">
        <v>260</v>
      </c>
      <c r="F979" s="2" t="s">
        <v>1025</v>
      </c>
      <c r="G979" s="2" t="s">
        <v>994</v>
      </c>
      <c r="J979" s="149" t="s">
        <v>728</v>
      </c>
      <c r="K979" s="23" t="s">
        <v>729</v>
      </c>
      <c r="L979" s="149" t="s">
        <v>785</v>
      </c>
      <c r="M979" s="51" t="str">
        <f t="shared" si="1089"/>
        <v>MJD8B -LBBA-AEW</v>
      </c>
      <c r="O979" s="22">
        <v>1</v>
      </c>
      <c r="P979" s="22">
        <v>0</v>
      </c>
      <c r="Q979" s="22">
        <v>0</v>
      </c>
      <c r="R979" s="22">
        <v>0</v>
      </c>
      <c r="S979" s="22">
        <v>0</v>
      </c>
      <c r="T979" s="22">
        <v>0</v>
      </c>
      <c r="U979" s="22">
        <v>0</v>
      </c>
      <c r="V979" s="22">
        <v>0</v>
      </c>
      <c r="W979" s="64">
        <f t="shared" si="1091"/>
        <v>0.14000000000000001</v>
      </c>
      <c r="Y979" s="60">
        <v>-750.76</v>
      </c>
      <c r="Z979" s="8"/>
      <c r="AA979" s="8">
        <v>-8.44</v>
      </c>
      <c r="AB979" s="8">
        <v>-2.12</v>
      </c>
      <c r="AC979" s="8"/>
      <c r="AD979" s="8">
        <f t="shared" si="1102"/>
        <v>-761.32</v>
      </c>
      <c r="AE979" s="2" t="s">
        <v>84</v>
      </c>
      <c r="AG979" s="8">
        <v>-7323400</v>
      </c>
      <c r="AH979" s="8">
        <v>-7323400</v>
      </c>
      <c r="AJ979" s="70"/>
      <c r="AK979" s="70"/>
      <c r="AL979" s="72"/>
      <c r="AM979" s="22"/>
      <c r="AO979" s="22" t="s">
        <v>728</v>
      </c>
      <c r="AP979" s="23" t="s">
        <v>1001</v>
      </c>
      <c r="AQ979" s="22" t="s">
        <v>267</v>
      </c>
      <c r="AR979" s="51" t="str">
        <f t="shared" si="1090"/>
        <v>MJD8B -LBBA-ADW</v>
      </c>
      <c r="AS979" s="3"/>
      <c r="AT979" s="22">
        <v>1</v>
      </c>
      <c r="AU979" s="22">
        <v>0</v>
      </c>
      <c r="AV979" s="22">
        <v>0</v>
      </c>
      <c r="AW979" s="22">
        <v>0</v>
      </c>
      <c r="AX979" s="22">
        <v>0</v>
      </c>
      <c r="AY979" s="22">
        <v>0</v>
      </c>
      <c r="AZ979" s="22">
        <v>0</v>
      </c>
      <c r="BA979" s="22">
        <v>0</v>
      </c>
      <c r="BB979" s="64">
        <f t="shared" si="1095"/>
        <v>0.14000000000000001</v>
      </c>
      <c r="BD979" s="8">
        <v>-750.76</v>
      </c>
      <c r="BE979" s="8"/>
      <c r="BF979" s="8">
        <v>-8.44</v>
      </c>
      <c r="BG979" s="8">
        <v>-2.12</v>
      </c>
      <c r="BH979" s="8"/>
      <c r="BI979" s="8">
        <f t="shared" si="1087"/>
        <v>-761.32</v>
      </c>
      <c r="BJ979" s="2" t="s">
        <v>84</v>
      </c>
      <c r="BL979" s="8">
        <v>-7039600</v>
      </c>
      <c r="BM979" s="8">
        <v>-7039600</v>
      </c>
      <c r="BN979" s="6"/>
      <c r="BO979" s="70"/>
      <c r="BP979" s="70"/>
      <c r="BQ979" s="72"/>
      <c r="BS979" s="61">
        <f t="shared" ref="BS979:BX981" si="1103">SUM(Y979)-SUM(BD979)</f>
        <v>0</v>
      </c>
      <c r="BT979" s="61">
        <f t="shared" si="1103"/>
        <v>0</v>
      </c>
      <c r="BU979" s="61">
        <f t="shared" si="1103"/>
        <v>0</v>
      </c>
      <c r="BV979" s="61">
        <f t="shared" si="1103"/>
        <v>0</v>
      </c>
      <c r="BW979" s="61">
        <f t="shared" si="1103"/>
        <v>0</v>
      </c>
      <c r="BX979" s="61">
        <f t="shared" si="1103"/>
        <v>0</v>
      </c>
      <c r="BY979" s="61" t="s">
        <v>91</v>
      </c>
      <c r="CA979" s="61">
        <f t="shared" ref="CA979:CH981" si="1104">($Y979*O979-AT979*$BD979)/$C$2</f>
        <v>0</v>
      </c>
      <c r="CB979" s="61">
        <f t="shared" si="1104"/>
        <v>0</v>
      </c>
      <c r="CC979" s="61">
        <f t="shared" si="1104"/>
        <v>0</v>
      </c>
      <c r="CD979" s="61">
        <f t="shared" si="1104"/>
        <v>0</v>
      </c>
      <c r="CE979" s="61">
        <f t="shared" si="1104"/>
        <v>0</v>
      </c>
      <c r="CF979" s="61">
        <f t="shared" si="1104"/>
        <v>0</v>
      </c>
      <c r="CG979" s="61">
        <f t="shared" si="1104"/>
        <v>0</v>
      </c>
      <c r="CH979" s="61">
        <f t="shared" si="1104"/>
        <v>0</v>
      </c>
      <c r="CI979" s="61">
        <f>SUMPRODUCT(CA979:CH979,$O$6:$V$6)</f>
        <v>0</v>
      </c>
      <c r="CJ979" s="61"/>
      <c r="CK979" s="61">
        <f t="shared" ref="CK979:CR981" si="1105">(O979*$AD979-AT979*$BI979)/$C$2</f>
        <v>0</v>
      </c>
      <c r="CL979" s="61">
        <f t="shared" si="1105"/>
        <v>0</v>
      </c>
      <c r="CM979" s="61">
        <f t="shared" si="1105"/>
        <v>0</v>
      </c>
      <c r="CN979" s="61">
        <f t="shared" si="1105"/>
        <v>0</v>
      </c>
      <c r="CO979" s="61">
        <f t="shared" si="1105"/>
        <v>0</v>
      </c>
      <c r="CP979" s="61">
        <f t="shared" si="1105"/>
        <v>0</v>
      </c>
      <c r="CQ979" s="61">
        <f t="shared" si="1105"/>
        <v>0</v>
      </c>
      <c r="CR979" s="61">
        <f t="shared" si="1105"/>
        <v>0</v>
      </c>
      <c r="CS979" s="61">
        <f>SUMPRODUCT(CK979:CR979,$O$6:$V$6)</f>
        <v>0</v>
      </c>
      <c r="CT979" s="67">
        <f t="shared" si="1069"/>
        <v>0</v>
      </c>
      <c r="CV979" s="61">
        <f t="shared" ref="CV979:CV982" si="1106">SUM(AG979)-SUM(BL979)</f>
        <v>-283800</v>
      </c>
      <c r="CW979" s="61">
        <f t="shared" ref="CW979:CW982" si="1107">SUM(AH979)-SUM(BM979)</f>
        <v>-283800</v>
      </c>
      <c r="CX979" s="61"/>
      <c r="CY979" s="61">
        <f t="shared" ref="CY979:DA982" si="1108">SUM(AJ979)-SUM(BO979)</f>
        <v>0</v>
      </c>
      <c r="CZ979" s="61">
        <f t="shared" si="1108"/>
        <v>0</v>
      </c>
      <c r="DA979" s="61">
        <f t="shared" si="1108"/>
        <v>0</v>
      </c>
      <c r="DB979" s="2" t="s">
        <v>85</v>
      </c>
      <c r="DC979" s="2" t="s">
        <v>85</v>
      </c>
      <c r="DD979" s="2" t="s">
        <v>142</v>
      </c>
      <c r="DE979" s="2" t="s">
        <v>106</v>
      </c>
      <c r="DG979" s="62"/>
      <c r="DZ979" s="3" t="e">
        <v>#N/A</v>
      </c>
      <c r="EC979" s="60"/>
      <c r="ED979" s="60"/>
      <c r="EE979" s="60"/>
      <c r="EF979" s="60"/>
      <c r="EH979" s="60"/>
      <c r="EI979" s="60"/>
      <c r="EJ979" s="60"/>
    </row>
    <row r="980" spans="2:140" ht="12.75" hidden="1" customHeight="1">
      <c r="B980" s="99" t="s">
        <v>1537</v>
      </c>
      <c r="C980" s="22" t="s">
        <v>726</v>
      </c>
      <c r="D980" s="22" t="s">
        <v>727</v>
      </c>
      <c r="E980" s="2" t="s">
        <v>260</v>
      </c>
      <c r="F980" s="2" t="s">
        <v>1025</v>
      </c>
      <c r="G980" s="2" t="s">
        <v>994</v>
      </c>
      <c r="J980" s="149" t="s">
        <v>728</v>
      </c>
      <c r="K980" s="23" t="s">
        <v>729</v>
      </c>
      <c r="L980" s="149" t="s">
        <v>1505</v>
      </c>
      <c r="M980" s="51" t="str">
        <f t="shared" si="1089"/>
        <v>MJD8B -LBBA-BEW</v>
      </c>
      <c r="O980" s="22">
        <v>0</v>
      </c>
      <c r="P980" s="22">
        <v>1</v>
      </c>
      <c r="Q980" s="22">
        <v>0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64">
        <f t="shared" si="1091"/>
        <v>0.16</v>
      </c>
      <c r="Y980" s="60">
        <v>-750.76</v>
      </c>
      <c r="Z980" s="8"/>
      <c r="AA980" s="8">
        <v>-8.44</v>
      </c>
      <c r="AB980" s="8">
        <v>-2.12</v>
      </c>
      <c r="AC980" s="8"/>
      <c r="AD980" s="8">
        <f t="shared" si="1102"/>
        <v>-761.32</v>
      </c>
      <c r="AE980" s="2" t="s">
        <v>84</v>
      </c>
      <c r="AG980" s="8"/>
      <c r="AH980" s="8"/>
      <c r="AJ980" s="70"/>
      <c r="AK980" s="70"/>
      <c r="AL980" s="72"/>
      <c r="AM980" s="22"/>
      <c r="AO980" s="22" t="s">
        <v>728</v>
      </c>
      <c r="AP980" s="23" t="s">
        <v>1001</v>
      </c>
      <c r="AQ980" s="22" t="s">
        <v>670</v>
      </c>
      <c r="AR980" s="51" t="str">
        <f t="shared" si="1090"/>
        <v>MJD8B -LBBA-BDW</v>
      </c>
      <c r="AS980" s="3"/>
      <c r="AT980" s="22">
        <v>0</v>
      </c>
      <c r="AU980" s="22">
        <v>1</v>
      </c>
      <c r="AV980" s="22">
        <v>0</v>
      </c>
      <c r="AW980" s="22">
        <v>0</v>
      </c>
      <c r="AX980" s="22">
        <v>0</v>
      </c>
      <c r="AY980" s="22">
        <v>0</v>
      </c>
      <c r="AZ980" s="22">
        <v>0</v>
      </c>
      <c r="BA980" s="22">
        <v>0</v>
      </c>
      <c r="BB980" s="64">
        <f t="shared" si="1095"/>
        <v>0.16</v>
      </c>
      <c r="BD980" s="8">
        <v>-750.76</v>
      </c>
      <c r="BE980" s="8"/>
      <c r="BF980" s="8">
        <v>-8.44</v>
      </c>
      <c r="BG980" s="8">
        <v>-2.12</v>
      </c>
      <c r="BH980" s="8"/>
      <c r="BI980" s="8">
        <f t="shared" si="1087"/>
        <v>-761.32</v>
      </c>
      <c r="BJ980" s="2" t="s">
        <v>84</v>
      </c>
      <c r="BL980" s="8"/>
      <c r="BM980" s="8"/>
      <c r="BN980" s="6"/>
      <c r="BO980" s="70"/>
      <c r="BP980" s="70"/>
      <c r="BQ980" s="72"/>
      <c r="BS980" s="61">
        <f t="shared" si="1103"/>
        <v>0</v>
      </c>
      <c r="BT980" s="61">
        <f t="shared" si="1103"/>
        <v>0</v>
      </c>
      <c r="BU980" s="61">
        <f t="shared" si="1103"/>
        <v>0</v>
      </c>
      <c r="BV980" s="61">
        <f t="shared" si="1103"/>
        <v>0</v>
      </c>
      <c r="BW980" s="61">
        <f t="shared" si="1103"/>
        <v>0</v>
      </c>
      <c r="BX980" s="61">
        <f t="shared" si="1103"/>
        <v>0</v>
      </c>
      <c r="BY980" s="61" t="s">
        <v>91</v>
      </c>
      <c r="CA980" s="61">
        <f t="shared" si="1104"/>
        <v>0</v>
      </c>
      <c r="CB980" s="61">
        <f t="shared" si="1104"/>
        <v>0</v>
      </c>
      <c r="CC980" s="61">
        <f t="shared" si="1104"/>
        <v>0</v>
      </c>
      <c r="CD980" s="61">
        <f t="shared" si="1104"/>
        <v>0</v>
      </c>
      <c r="CE980" s="61">
        <f t="shared" si="1104"/>
        <v>0</v>
      </c>
      <c r="CF980" s="61">
        <f t="shared" si="1104"/>
        <v>0</v>
      </c>
      <c r="CG980" s="61">
        <f t="shared" si="1104"/>
        <v>0</v>
      </c>
      <c r="CH980" s="61">
        <f t="shared" si="1104"/>
        <v>0</v>
      </c>
      <c r="CI980" s="61">
        <f>SUMPRODUCT(CA980:CH980,$O$6:$V$6)</f>
        <v>0</v>
      </c>
      <c r="CJ980" s="61"/>
      <c r="CK980" s="61">
        <f t="shared" si="1105"/>
        <v>0</v>
      </c>
      <c r="CL980" s="61">
        <f t="shared" si="1105"/>
        <v>0</v>
      </c>
      <c r="CM980" s="61">
        <f t="shared" si="1105"/>
        <v>0</v>
      </c>
      <c r="CN980" s="61">
        <f t="shared" si="1105"/>
        <v>0</v>
      </c>
      <c r="CO980" s="61">
        <f t="shared" si="1105"/>
        <v>0</v>
      </c>
      <c r="CP980" s="61">
        <f t="shared" si="1105"/>
        <v>0</v>
      </c>
      <c r="CQ980" s="61">
        <f t="shared" si="1105"/>
        <v>0</v>
      </c>
      <c r="CR980" s="61">
        <f t="shared" si="1105"/>
        <v>0</v>
      </c>
      <c r="CS980" s="61">
        <f>SUMPRODUCT(CK980:CR980,$O$6:$V$6)</f>
        <v>0</v>
      </c>
      <c r="CT980" s="67">
        <f t="shared" si="1069"/>
        <v>0</v>
      </c>
      <c r="CV980" s="61">
        <f t="shared" si="1106"/>
        <v>0</v>
      </c>
      <c r="CW980" s="61">
        <f t="shared" si="1107"/>
        <v>0</v>
      </c>
      <c r="CX980" s="61"/>
      <c r="CY980" s="61">
        <f t="shared" si="1108"/>
        <v>0</v>
      </c>
      <c r="CZ980" s="61">
        <f t="shared" si="1108"/>
        <v>0</v>
      </c>
      <c r="DA980" s="61">
        <f t="shared" si="1108"/>
        <v>0</v>
      </c>
      <c r="DB980" s="2" t="s">
        <v>85</v>
      </c>
      <c r="DC980" s="2" t="s">
        <v>85</v>
      </c>
      <c r="DD980" s="2" t="s">
        <v>142</v>
      </c>
      <c r="DE980" s="2" t="s">
        <v>106</v>
      </c>
      <c r="DG980" s="62"/>
      <c r="DZ980" s="3" t="e">
        <v>#N/A</v>
      </c>
      <c r="EC980" s="60"/>
      <c r="ED980" s="60"/>
      <c r="EE980" s="60"/>
      <c r="EF980" s="60"/>
      <c r="EH980" s="60"/>
      <c r="EI980" s="60"/>
      <c r="EJ980" s="60"/>
    </row>
    <row r="981" spans="2:140" ht="12.75" hidden="1" customHeight="1">
      <c r="B981" s="99" t="s">
        <v>1537</v>
      </c>
      <c r="C981" s="22" t="s">
        <v>726</v>
      </c>
      <c r="D981" s="22" t="s">
        <v>727</v>
      </c>
      <c r="E981" s="2" t="s">
        <v>260</v>
      </c>
      <c r="F981" s="2" t="s">
        <v>1025</v>
      </c>
      <c r="G981" s="2" t="s">
        <v>994</v>
      </c>
      <c r="J981" s="149" t="s">
        <v>728</v>
      </c>
      <c r="K981" s="23" t="s">
        <v>729</v>
      </c>
      <c r="L981" s="149" t="s">
        <v>1401</v>
      </c>
      <c r="M981" s="51" t="str">
        <f t="shared" si="1089"/>
        <v>MJD8B -LBBA-CEW</v>
      </c>
      <c r="O981" s="22">
        <v>0</v>
      </c>
      <c r="P981" s="22">
        <v>0</v>
      </c>
      <c r="Q981" s="22">
        <v>0</v>
      </c>
      <c r="R981" s="22">
        <v>0</v>
      </c>
      <c r="S981" s="22">
        <v>0</v>
      </c>
      <c r="T981" s="22">
        <v>0</v>
      </c>
      <c r="U981" s="22">
        <v>0</v>
      </c>
      <c r="V981" s="22">
        <v>0</v>
      </c>
      <c r="W981" s="64">
        <f t="shared" si="1091"/>
        <v>0</v>
      </c>
      <c r="Y981" s="60">
        <v>-735.22</v>
      </c>
      <c r="Z981" s="8"/>
      <c r="AA981" s="8">
        <v>-8.44</v>
      </c>
      <c r="AB981" s="8">
        <v>-2.12</v>
      </c>
      <c r="AC981" s="8"/>
      <c r="AD981" s="8">
        <f t="shared" si="1102"/>
        <v>-745.78000000000009</v>
      </c>
      <c r="AE981" s="2" t="s">
        <v>84</v>
      </c>
      <c r="AG981" s="8"/>
      <c r="AH981" s="8"/>
      <c r="AJ981" s="70"/>
      <c r="AK981" s="70"/>
      <c r="AL981" s="72"/>
      <c r="AM981" s="22"/>
      <c r="AO981" s="22" t="s">
        <v>728</v>
      </c>
      <c r="AP981" s="23" t="s">
        <v>1001</v>
      </c>
      <c r="AQ981" s="22" t="s">
        <v>1191</v>
      </c>
      <c r="AR981" s="51" t="str">
        <f t="shared" si="1090"/>
        <v>MJD8B -LBBA-CDW</v>
      </c>
      <c r="AS981" s="3"/>
      <c r="AT981" s="22">
        <v>0</v>
      </c>
      <c r="AU981" s="22">
        <v>0</v>
      </c>
      <c r="AV981" s="22">
        <v>0</v>
      </c>
      <c r="AW981" s="22">
        <v>0</v>
      </c>
      <c r="AX981" s="22">
        <v>0</v>
      </c>
      <c r="AY981" s="22">
        <v>0</v>
      </c>
      <c r="AZ981" s="22">
        <v>0</v>
      </c>
      <c r="BA981" s="22">
        <v>0</v>
      </c>
      <c r="BB981" s="64">
        <f t="shared" si="1095"/>
        <v>0</v>
      </c>
      <c r="BD981" s="8">
        <v>-735.22</v>
      </c>
      <c r="BE981" s="8"/>
      <c r="BF981" s="8">
        <v>-8.44</v>
      </c>
      <c r="BG981" s="8">
        <v>-2.12</v>
      </c>
      <c r="BH981" s="8"/>
      <c r="BI981" s="8">
        <f t="shared" si="1087"/>
        <v>-745.78000000000009</v>
      </c>
      <c r="BJ981" s="2" t="s">
        <v>84</v>
      </c>
      <c r="BL981" s="8"/>
      <c r="BM981" s="8"/>
      <c r="BN981" s="6"/>
      <c r="BO981" s="70"/>
      <c r="BP981" s="70"/>
      <c r="BQ981" s="72"/>
      <c r="BS981" s="61">
        <f t="shared" si="1103"/>
        <v>0</v>
      </c>
      <c r="BT981" s="61">
        <f t="shared" si="1103"/>
        <v>0</v>
      </c>
      <c r="BU981" s="61">
        <f t="shared" si="1103"/>
        <v>0</v>
      </c>
      <c r="BV981" s="61">
        <f t="shared" si="1103"/>
        <v>0</v>
      </c>
      <c r="BW981" s="61">
        <f t="shared" si="1103"/>
        <v>0</v>
      </c>
      <c r="BX981" s="61">
        <f t="shared" si="1103"/>
        <v>0</v>
      </c>
      <c r="BY981" s="61" t="s">
        <v>91</v>
      </c>
      <c r="CA981" s="61">
        <f t="shared" si="1104"/>
        <v>0</v>
      </c>
      <c r="CB981" s="61">
        <f t="shared" si="1104"/>
        <v>0</v>
      </c>
      <c r="CC981" s="61">
        <f t="shared" si="1104"/>
        <v>0</v>
      </c>
      <c r="CD981" s="61">
        <f t="shared" si="1104"/>
        <v>0</v>
      </c>
      <c r="CE981" s="61">
        <f t="shared" si="1104"/>
        <v>0</v>
      </c>
      <c r="CF981" s="61">
        <f t="shared" si="1104"/>
        <v>0</v>
      </c>
      <c r="CG981" s="61">
        <f t="shared" si="1104"/>
        <v>0</v>
      </c>
      <c r="CH981" s="61">
        <f t="shared" si="1104"/>
        <v>0</v>
      </c>
      <c r="CI981" s="61">
        <f>SUMPRODUCT(CA981:CH981,$O$6:$V$6)</f>
        <v>0</v>
      </c>
      <c r="CJ981" s="61"/>
      <c r="CK981" s="61">
        <f t="shared" si="1105"/>
        <v>0</v>
      </c>
      <c r="CL981" s="61">
        <f t="shared" si="1105"/>
        <v>0</v>
      </c>
      <c r="CM981" s="61">
        <f t="shared" si="1105"/>
        <v>0</v>
      </c>
      <c r="CN981" s="61">
        <f t="shared" si="1105"/>
        <v>0</v>
      </c>
      <c r="CO981" s="61">
        <f t="shared" si="1105"/>
        <v>0</v>
      </c>
      <c r="CP981" s="61">
        <f t="shared" si="1105"/>
        <v>0</v>
      </c>
      <c r="CQ981" s="61">
        <f t="shared" si="1105"/>
        <v>0</v>
      </c>
      <c r="CR981" s="61">
        <f t="shared" si="1105"/>
        <v>0</v>
      </c>
      <c r="CS981" s="61">
        <f>SUMPRODUCT(CK981:CR981,$O$6:$V$6)</f>
        <v>0</v>
      </c>
      <c r="CT981" s="67">
        <f t="shared" si="1069"/>
        <v>0</v>
      </c>
      <c r="CV981" s="61">
        <f t="shared" si="1106"/>
        <v>0</v>
      </c>
      <c r="CW981" s="61">
        <f t="shared" si="1107"/>
        <v>0</v>
      </c>
      <c r="CX981" s="61"/>
      <c r="CY981" s="61">
        <f t="shared" si="1108"/>
        <v>0</v>
      </c>
      <c r="CZ981" s="61">
        <f t="shared" si="1108"/>
        <v>0</v>
      </c>
      <c r="DA981" s="61">
        <f t="shared" si="1108"/>
        <v>0</v>
      </c>
      <c r="DB981" s="2" t="s">
        <v>85</v>
      </c>
      <c r="DC981" s="2" t="s">
        <v>85</v>
      </c>
      <c r="DD981" s="2" t="s">
        <v>142</v>
      </c>
      <c r="DE981" s="2" t="s">
        <v>106</v>
      </c>
      <c r="DG981" s="62"/>
      <c r="DZ981" s="3" t="e">
        <v>#N/A</v>
      </c>
      <c r="EC981" s="60"/>
      <c r="ED981" s="60"/>
      <c r="EE981" s="60"/>
      <c r="EF981" s="60"/>
      <c r="EH981" s="60"/>
      <c r="EI981" s="60"/>
      <c r="EJ981" s="60"/>
    </row>
    <row r="982" spans="2:140" ht="12.75" hidden="1" customHeight="1">
      <c r="B982" s="99" t="s">
        <v>1537</v>
      </c>
      <c r="C982" s="22" t="s">
        <v>726</v>
      </c>
      <c r="D982" s="22" t="s">
        <v>727</v>
      </c>
      <c r="E982" s="2" t="s">
        <v>260</v>
      </c>
      <c r="F982" s="2" t="s">
        <v>1025</v>
      </c>
      <c r="G982" s="2" t="s">
        <v>994</v>
      </c>
      <c r="J982" s="149" t="s">
        <v>728</v>
      </c>
      <c r="K982" s="23" t="s">
        <v>729</v>
      </c>
      <c r="L982" s="149" t="s">
        <v>1538</v>
      </c>
      <c r="M982" s="51" t="str">
        <f t="shared" si="1089"/>
        <v>MJD8B -LBBA-DEW</v>
      </c>
      <c r="O982" s="22">
        <v>0</v>
      </c>
      <c r="P982" s="22">
        <v>0</v>
      </c>
      <c r="Q982" s="22">
        <v>0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64">
        <f t="shared" si="1091"/>
        <v>0</v>
      </c>
      <c r="Y982" s="60">
        <v>-735.22</v>
      </c>
      <c r="Z982" s="8"/>
      <c r="AA982" s="8">
        <v>-8.44</v>
      </c>
      <c r="AB982" s="8">
        <v>-2.12</v>
      </c>
      <c r="AC982" s="8"/>
      <c r="AD982" s="8">
        <f>SUM(Y982:AC982)</f>
        <v>-745.78000000000009</v>
      </c>
      <c r="AE982" s="2" t="s">
        <v>84</v>
      </c>
      <c r="AG982" s="8"/>
      <c r="AH982" s="8"/>
      <c r="AJ982" s="70"/>
      <c r="AK982" s="70"/>
      <c r="AL982" s="72"/>
      <c r="AM982" s="22"/>
      <c r="AO982" s="22" t="s">
        <v>728</v>
      </c>
      <c r="AP982" s="23" t="s">
        <v>1001</v>
      </c>
      <c r="AQ982" s="22" t="s">
        <v>1192</v>
      </c>
      <c r="AR982" s="51" t="str">
        <f t="shared" si="1090"/>
        <v>MJD8B -LBBA-DDW</v>
      </c>
      <c r="AS982" s="3"/>
      <c r="AT982" s="22">
        <v>0</v>
      </c>
      <c r="AU982" s="22">
        <v>0</v>
      </c>
      <c r="AV982" s="22">
        <v>0</v>
      </c>
      <c r="AW982" s="22">
        <v>0</v>
      </c>
      <c r="AX982" s="22">
        <v>0</v>
      </c>
      <c r="AY982" s="22">
        <v>0</v>
      </c>
      <c r="AZ982" s="22">
        <v>0</v>
      </c>
      <c r="BA982" s="22">
        <v>0</v>
      </c>
      <c r="BB982" s="64">
        <f t="shared" si="1095"/>
        <v>0</v>
      </c>
      <c r="BD982" s="8">
        <v>-735.22</v>
      </c>
      <c r="BE982" s="8"/>
      <c r="BF982" s="8">
        <v>-8.44</v>
      </c>
      <c r="BG982" s="8">
        <v>-2.12</v>
      </c>
      <c r="BH982" s="8"/>
      <c r="BI982" s="8">
        <f t="shared" si="1087"/>
        <v>-745.78000000000009</v>
      </c>
      <c r="BJ982" s="2" t="s">
        <v>84</v>
      </c>
      <c r="BL982" s="8"/>
      <c r="BM982" s="8"/>
      <c r="BN982" s="6"/>
      <c r="BO982" s="70"/>
      <c r="BP982" s="70"/>
      <c r="BQ982" s="72"/>
      <c r="BS982" s="61">
        <f t="shared" ref="BS982:BX982" si="1109">SUM(Y983)-SUM(BD982)</f>
        <v>-305.6099999999999</v>
      </c>
      <c r="BT982" s="61">
        <f t="shared" si="1109"/>
        <v>0</v>
      </c>
      <c r="BU982" s="61">
        <f t="shared" si="1109"/>
        <v>-2.000000000000135E-2</v>
      </c>
      <c r="BV982" s="61">
        <f t="shared" si="1109"/>
        <v>0</v>
      </c>
      <c r="BW982" s="61">
        <f t="shared" si="1109"/>
        <v>0</v>
      </c>
      <c r="BX982" s="61">
        <f t="shared" si="1109"/>
        <v>-305.62999999999977</v>
      </c>
      <c r="BY982" s="61" t="s">
        <v>91</v>
      </c>
      <c r="CA982" s="61">
        <f t="shared" ref="CA982:CH982" si="1110">($Y983*O982-AT982*$BD982)/$C$2</f>
        <v>0</v>
      </c>
      <c r="CB982" s="61">
        <f t="shared" si="1110"/>
        <v>0</v>
      </c>
      <c r="CC982" s="61">
        <f t="shared" si="1110"/>
        <v>0</v>
      </c>
      <c r="CD982" s="61">
        <f t="shared" si="1110"/>
        <v>0</v>
      </c>
      <c r="CE982" s="61">
        <f t="shared" si="1110"/>
        <v>0</v>
      </c>
      <c r="CF982" s="61">
        <f t="shared" si="1110"/>
        <v>0</v>
      </c>
      <c r="CG982" s="61">
        <f t="shared" si="1110"/>
        <v>0</v>
      </c>
      <c r="CH982" s="61">
        <f t="shared" si="1110"/>
        <v>0</v>
      </c>
      <c r="CI982" s="61">
        <f>SUMPRODUCT(CA982:CH982,$O$6:$V$6)</f>
        <v>0</v>
      </c>
      <c r="CJ982" s="61"/>
      <c r="CK982" s="61">
        <f t="shared" ref="CK982:CR982" si="1111">(O982*$AD983-AT982*$BI982)/$C$2</f>
        <v>0</v>
      </c>
      <c r="CL982" s="61">
        <f t="shared" si="1111"/>
        <v>0</v>
      </c>
      <c r="CM982" s="61">
        <f t="shared" si="1111"/>
        <v>0</v>
      </c>
      <c r="CN982" s="61">
        <f t="shared" si="1111"/>
        <v>0</v>
      </c>
      <c r="CO982" s="61">
        <f t="shared" si="1111"/>
        <v>0</v>
      </c>
      <c r="CP982" s="61">
        <f t="shared" si="1111"/>
        <v>0</v>
      </c>
      <c r="CQ982" s="61">
        <f t="shared" si="1111"/>
        <v>0</v>
      </c>
      <c r="CR982" s="61">
        <f t="shared" si="1111"/>
        <v>0</v>
      </c>
      <c r="CS982" s="61">
        <f>SUMPRODUCT(CK982:CR982,$O$6:$V$6)</f>
        <v>0</v>
      </c>
      <c r="CT982" s="67">
        <f t="shared" si="1069"/>
        <v>0</v>
      </c>
      <c r="CV982" s="61">
        <f t="shared" si="1106"/>
        <v>0</v>
      </c>
      <c r="CW982" s="61">
        <f t="shared" si="1107"/>
        <v>0</v>
      </c>
      <c r="CX982" s="61"/>
      <c r="CY982" s="61">
        <f t="shared" si="1108"/>
        <v>0</v>
      </c>
      <c r="CZ982" s="61">
        <f t="shared" si="1108"/>
        <v>0</v>
      </c>
      <c r="DA982" s="61">
        <f t="shared" si="1108"/>
        <v>0</v>
      </c>
      <c r="DB982" s="2" t="s">
        <v>85</v>
      </c>
      <c r="DC982" s="2" t="s">
        <v>85</v>
      </c>
      <c r="DD982" s="2" t="s">
        <v>142</v>
      </c>
      <c r="DE982" s="2" t="s">
        <v>106</v>
      </c>
      <c r="DG982" s="62"/>
      <c r="DZ982" s="3" t="e">
        <v>#N/A</v>
      </c>
      <c r="EC982" s="60"/>
      <c r="ED982" s="60"/>
      <c r="EE982" s="60"/>
      <c r="EF982" s="60"/>
      <c r="EH982" s="60"/>
      <c r="EI982" s="60"/>
      <c r="EJ982" s="60"/>
    </row>
    <row r="983" spans="2:140" ht="12.75" hidden="1" customHeight="1">
      <c r="B983" s="99" t="s">
        <v>1537</v>
      </c>
      <c r="C983" s="22" t="s">
        <v>726</v>
      </c>
      <c r="D983" s="22" t="s">
        <v>727</v>
      </c>
      <c r="E983" s="2" t="s">
        <v>260</v>
      </c>
      <c r="F983" s="2" t="s">
        <v>1025</v>
      </c>
      <c r="G983" s="2" t="s">
        <v>994</v>
      </c>
      <c r="J983" s="149" t="s">
        <v>728</v>
      </c>
      <c r="K983" s="23" t="s">
        <v>729</v>
      </c>
      <c r="L983" s="149" t="s">
        <v>1539</v>
      </c>
      <c r="M983" s="51" t="str">
        <f t="shared" si="1089"/>
        <v>MJD8B -LBBA-EEW</v>
      </c>
      <c r="O983" s="22">
        <v>0</v>
      </c>
      <c r="P983" s="22">
        <v>0</v>
      </c>
      <c r="Q983" s="22">
        <v>1</v>
      </c>
      <c r="R983" s="22">
        <v>0</v>
      </c>
      <c r="S983" s="22">
        <v>0</v>
      </c>
      <c r="T983" s="22">
        <v>0</v>
      </c>
      <c r="U983" s="22">
        <v>0</v>
      </c>
      <c r="V983" s="22">
        <v>0</v>
      </c>
      <c r="W983" s="64">
        <f t="shared" si="1091"/>
        <v>0.14000000000000001</v>
      </c>
      <c r="Y983" s="60">
        <v>-1040.83</v>
      </c>
      <c r="Z983" s="8"/>
      <c r="AA983" s="8">
        <v>-8.4600000000000009</v>
      </c>
      <c r="AB983" s="8">
        <v>-2.12</v>
      </c>
      <c r="AC983" s="8"/>
      <c r="AD983" s="8">
        <f>SUM(Y983:AC983)</f>
        <v>-1051.4099999999999</v>
      </c>
      <c r="AE983" s="2" t="s">
        <v>84</v>
      </c>
      <c r="AG983" s="8"/>
      <c r="AH983" s="8"/>
      <c r="AJ983" s="70"/>
      <c r="AK983" s="70"/>
      <c r="AL983" s="72"/>
      <c r="AM983" s="22"/>
      <c r="AO983" s="22" t="s">
        <v>728</v>
      </c>
      <c r="AP983" s="23" t="s">
        <v>1001</v>
      </c>
      <c r="AQ983" s="22" t="s">
        <v>1529</v>
      </c>
      <c r="AR983" s="51" t="str">
        <f t="shared" si="1090"/>
        <v>MJD8B -LBBA-EDW</v>
      </c>
      <c r="AS983" s="3"/>
      <c r="AT983" s="22">
        <v>0</v>
      </c>
      <c r="AU983" s="22">
        <v>0</v>
      </c>
      <c r="AV983" s="22">
        <v>1</v>
      </c>
      <c r="AW983" s="22">
        <v>0</v>
      </c>
      <c r="AX983" s="22">
        <v>0</v>
      </c>
      <c r="AY983" s="22">
        <v>0</v>
      </c>
      <c r="AZ983" s="22">
        <v>0</v>
      </c>
      <c r="BA983" s="22">
        <v>0</v>
      </c>
      <c r="BB983" s="64">
        <v>0</v>
      </c>
      <c r="BD983" s="8">
        <v>-1040.83</v>
      </c>
      <c r="BE983" s="8"/>
      <c r="BF983" s="8">
        <v>-8.4600000000000009</v>
      </c>
      <c r="BG983" s="8">
        <v>-2.12</v>
      </c>
      <c r="BH983" s="8"/>
      <c r="BI983" s="8">
        <f t="shared" si="1087"/>
        <v>-1051.4099999999999</v>
      </c>
      <c r="BJ983" s="2" t="s">
        <v>84</v>
      </c>
      <c r="BL983" s="8"/>
      <c r="BM983" s="8"/>
      <c r="BN983" s="6"/>
      <c r="BO983" s="70"/>
      <c r="BP983" s="70"/>
      <c r="BQ983" s="72"/>
      <c r="BS983" s="61">
        <v>0</v>
      </c>
      <c r="BT983" s="61">
        <v>0</v>
      </c>
      <c r="BU983" s="61">
        <v>0</v>
      </c>
      <c r="BV983" s="61">
        <v>0</v>
      </c>
      <c r="BW983" s="61">
        <v>0</v>
      </c>
      <c r="BX983" s="61">
        <v>0</v>
      </c>
      <c r="BY983" s="61" t="s">
        <v>91</v>
      </c>
      <c r="CA983" s="61">
        <v>0</v>
      </c>
      <c r="CB983" s="61">
        <v>0</v>
      </c>
      <c r="CC983" s="61">
        <v>0</v>
      </c>
      <c r="CD983" s="61">
        <v>0</v>
      </c>
      <c r="CE983" s="61">
        <v>0</v>
      </c>
      <c r="CF983" s="61">
        <v>0</v>
      </c>
      <c r="CG983" s="61">
        <v>0</v>
      </c>
      <c r="CH983" s="61">
        <v>0</v>
      </c>
      <c r="CI983" s="61">
        <v>0</v>
      </c>
      <c r="CJ983" s="61"/>
      <c r="CK983" s="61">
        <v>0</v>
      </c>
      <c r="CL983" s="61">
        <v>0</v>
      </c>
      <c r="CM983" s="61">
        <v>0</v>
      </c>
      <c r="CN983" s="61">
        <v>0</v>
      </c>
      <c r="CO983" s="61">
        <v>0</v>
      </c>
      <c r="CP983" s="61">
        <v>0</v>
      </c>
      <c r="CQ983" s="61">
        <v>0</v>
      </c>
      <c r="CR983" s="61">
        <v>0</v>
      </c>
      <c r="CS983" s="61">
        <v>0</v>
      </c>
      <c r="CT983" s="67">
        <f t="shared" si="1069"/>
        <v>0</v>
      </c>
      <c r="CV983" s="61">
        <v>0</v>
      </c>
      <c r="CW983" s="61">
        <v>0</v>
      </c>
      <c r="CX983" s="61"/>
      <c r="CY983" s="61">
        <v>0</v>
      </c>
      <c r="CZ983" s="61">
        <v>0</v>
      </c>
      <c r="DA983" s="61">
        <v>0</v>
      </c>
      <c r="DB983" s="2" t="s">
        <v>85</v>
      </c>
      <c r="DC983" s="2" t="s">
        <v>85</v>
      </c>
      <c r="DD983" s="2" t="s">
        <v>142</v>
      </c>
      <c r="DE983" s="2" t="s">
        <v>106</v>
      </c>
      <c r="DG983" s="62"/>
      <c r="DI983" s="2" t="e">
        <v>#N/A</v>
      </c>
      <c r="EC983" s="60"/>
      <c r="ED983" s="60"/>
      <c r="EE983" s="60"/>
      <c r="EF983" s="60"/>
      <c r="EH983" s="60"/>
      <c r="EI983" s="60"/>
      <c r="EJ983" s="60"/>
    </row>
    <row r="984" spans="2:140" ht="12.75" hidden="1" customHeight="1">
      <c r="B984" s="99" t="s">
        <v>1537</v>
      </c>
      <c r="C984" s="22" t="s">
        <v>726</v>
      </c>
      <c r="D984" s="22" t="s">
        <v>727</v>
      </c>
      <c r="E984" s="2" t="s">
        <v>260</v>
      </c>
      <c r="F984" s="2" t="s">
        <v>1025</v>
      </c>
      <c r="G984" s="2" t="s">
        <v>994</v>
      </c>
      <c r="J984" s="149" t="s">
        <v>728</v>
      </c>
      <c r="K984" s="23" t="s">
        <v>729</v>
      </c>
      <c r="L984" s="149" t="s">
        <v>1540</v>
      </c>
      <c r="M984" s="51" t="str">
        <f t="shared" si="1089"/>
        <v>MJD8B -LBBA-FEW</v>
      </c>
      <c r="O984" s="22">
        <v>0</v>
      </c>
      <c r="P984" s="22">
        <v>0</v>
      </c>
      <c r="Q984" s="22">
        <v>0</v>
      </c>
      <c r="R984" s="22">
        <v>1</v>
      </c>
      <c r="S984" s="22">
        <v>0</v>
      </c>
      <c r="T984" s="22">
        <v>0</v>
      </c>
      <c r="U984" s="22">
        <v>0</v>
      </c>
      <c r="V984" s="22">
        <v>0</v>
      </c>
      <c r="W984" s="64">
        <f t="shared" si="1091"/>
        <v>0.23</v>
      </c>
      <c r="Y984" s="60">
        <v>-1040.83</v>
      </c>
      <c r="Z984" s="8"/>
      <c r="AA984" s="8">
        <v>-8.4600000000000009</v>
      </c>
      <c r="AB984" s="8">
        <v>-2.12</v>
      </c>
      <c r="AC984" s="8"/>
      <c r="AD984" s="8">
        <f t="shared" ref="AD984:AD986" si="1112">SUM(Y984:AC984)</f>
        <v>-1051.4099999999999</v>
      </c>
      <c r="AE984" s="2" t="s">
        <v>84</v>
      </c>
      <c r="AG984" s="8"/>
      <c r="AH984" s="8"/>
      <c r="AJ984" s="70"/>
      <c r="AK984" s="70"/>
      <c r="AL984" s="72"/>
      <c r="AM984" s="22"/>
      <c r="AO984" s="22" t="s">
        <v>728</v>
      </c>
      <c r="AP984" s="23" t="s">
        <v>1001</v>
      </c>
      <c r="AQ984" s="22" t="s">
        <v>1530</v>
      </c>
      <c r="AR984" s="51" t="str">
        <f t="shared" si="1090"/>
        <v>MJD8B -LBBA-FDW</v>
      </c>
      <c r="AS984" s="3"/>
      <c r="AT984" s="22">
        <v>0</v>
      </c>
      <c r="AU984" s="22">
        <v>0</v>
      </c>
      <c r="AV984" s="22">
        <v>0</v>
      </c>
      <c r="AW984" s="22">
        <v>1</v>
      </c>
      <c r="AX984" s="22">
        <v>0</v>
      </c>
      <c r="AY984" s="22">
        <v>0</v>
      </c>
      <c r="AZ984" s="22">
        <v>0</v>
      </c>
      <c r="BA984" s="22">
        <v>0</v>
      </c>
      <c r="BB984" s="64">
        <f t="shared" ref="BB984:BB1028" si="1113">SUMPRODUCT(AT984:BA984,$O$6:$V$6)</f>
        <v>0.23</v>
      </c>
      <c r="BD984" s="8">
        <v>-1040.83</v>
      </c>
      <c r="BE984" s="8"/>
      <c r="BF984" s="8">
        <v>-8.4600000000000009</v>
      </c>
      <c r="BG984" s="8">
        <v>-2.12</v>
      </c>
      <c r="BH984" s="8"/>
      <c r="BI984" s="8">
        <f t="shared" si="1087"/>
        <v>-1051.4099999999999</v>
      </c>
      <c r="BJ984" s="2" t="s">
        <v>84</v>
      </c>
      <c r="BL984" s="8"/>
      <c r="BM984" s="8"/>
      <c r="BN984" s="6"/>
      <c r="BO984" s="70"/>
      <c r="BP984" s="70"/>
      <c r="BQ984" s="72"/>
      <c r="BS984" s="61">
        <f t="shared" ref="BS984:BX987" si="1114">SUM(Y984)-SUM(BD984)</f>
        <v>0</v>
      </c>
      <c r="BT984" s="61">
        <f t="shared" si="1114"/>
        <v>0</v>
      </c>
      <c r="BU984" s="61">
        <f t="shared" si="1114"/>
        <v>0</v>
      </c>
      <c r="BV984" s="61">
        <f t="shared" si="1114"/>
        <v>0</v>
      </c>
      <c r="BW984" s="61">
        <f t="shared" si="1114"/>
        <v>0</v>
      </c>
      <c r="BX984" s="61">
        <f t="shared" si="1114"/>
        <v>0</v>
      </c>
      <c r="BY984" s="61" t="s">
        <v>91</v>
      </c>
      <c r="CA984" s="61">
        <f t="shared" ref="CA984:CH987" si="1115">($Y984*O984-AT984*$BD984)/$C$2</f>
        <v>0</v>
      </c>
      <c r="CB984" s="61">
        <f t="shared" si="1115"/>
        <v>0</v>
      </c>
      <c r="CC984" s="61">
        <f t="shared" si="1115"/>
        <v>0</v>
      </c>
      <c r="CD984" s="61">
        <f t="shared" si="1115"/>
        <v>0</v>
      </c>
      <c r="CE984" s="61">
        <f t="shared" si="1115"/>
        <v>0</v>
      </c>
      <c r="CF984" s="61">
        <f t="shared" si="1115"/>
        <v>0</v>
      </c>
      <c r="CG984" s="61">
        <f t="shared" si="1115"/>
        <v>0</v>
      </c>
      <c r="CH984" s="61">
        <f t="shared" si="1115"/>
        <v>0</v>
      </c>
      <c r="CI984" s="61">
        <f>SUMPRODUCT(CA984:CH984,$O$6:$V$6)</f>
        <v>0</v>
      </c>
      <c r="CJ984" s="61"/>
      <c r="CK984" s="61">
        <f t="shared" ref="CK984:CR987" si="1116">(O984*$AD984-AT984*$BI984)/$C$2</f>
        <v>0</v>
      </c>
      <c r="CL984" s="61">
        <f t="shared" si="1116"/>
        <v>0</v>
      </c>
      <c r="CM984" s="61">
        <f t="shared" si="1116"/>
        <v>0</v>
      </c>
      <c r="CN984" s="61">
        <f t="shared" si="1116"/>
        <v>0</v>
      </c>
      <c r="CO984" s="61">
        <f t="shared" si="1116"/>
        <v>0</v>
      </c>
      <c r="CP984" s="61">
        <f t="shared" si="1116"/>
        <v>0</v>
      </c>
      <c r="CQ984" s="61">
        <f t="shared" si="1116"/>
        <v>0</v>
      </c>
      <c r="CR984" s="61">
        <f t="shared" si="1116"/>
        <v>0</v>
      </c>
      <c r="CS984" s="61">
        <f>SUMPRODUCT(CK984:CR984,$O$6:$V$6)</f>
        <v>0</v>
      </c>
      <c r="CT984" s="67">
        <f t="shared" si="1069"/>
        <v>0</v>
      </c>
      <c r="CV984" s="61">
        <f t="shared" ref="CV984:CV987" si="1117">SUM(AG984)-SUM(BL984)</f>
        <v>0</v>
      </c>
      <c r="CW984" s="61">
        <f t="shared" ref="CW984:CW987" si="1118">SUM(AH984)-SUM(BM984)</f>
        <v>0</v>
      </c>
      <c r="CX984" s="61"/>
      <c r="CY984" s="61">
        <f t="shared" ref="CY984:DA987" si="1119">SUM(AJ984)-SUM(BO984)</f>
        <v>0</v>
      </c>
      <c r="CZ984" s="61">
        <f t="shared" si="1119"/>
        <v>0</v>
      </c>
      <c r="DA984" s="61">
        <f t="shared" si="1119"/>
        <v>0</v>
      </c>
      <c r="DB984" s="2" t="s">
        <v>85</v>
      </c>
      <c r="DC984" s="2" t="s">
        <v>85</v>
      </c>
      <c r="DD984" s="2" t="s">
        <v>142</v>
      </c>
      <c r="DE984" s="2" t="s">
        <v>106</v>
      </c>
      <c r="DG984" s="62"/>
      <c r="DZ984" s="3" t="e">
        <v>#N/A</v>
      </c>
      <c r="EC984" s="60"/>
      <c r="ED984" s="60"/>
      <c r="EE984" s="60"/>
      <c r="EF984" s="60"/>
      <c r="EH984" s="60"/>
      <c r="EI984" s="60"/>
      <c r="EJ984" s="60"/>
    </row>
    <row r="985" spans="2:140" ht="12.75" hidden="1" customHeight="1">
      <c r="B985" s="99" t="s">
        <v>1537</v>
      </c>
      <c r="C985" s="22" t="s">
        <v>726</v>
      </c>
      <c r="D985" s="22" t="s">
        <v>727</v>
      </c>
      <c r="E985" s="2" t="s">
        <v>260</v>
      </c>
      <c r="F985" s="2" t="s">
        <v>1025</v>
      </c>
      <c r="G985" s="2" t="s">
        <v>994</v>
      </c>
      <c r="J985" s="149" t="s">
        <v>728</v>
      </c>
      <c r="K985" s="23" t="s">
        <v>729</v>
      </c>
      <c r="L985" s="149" t="s">
        <v>1541</v>
      </c>
      <c r="M985" s="51" t="str">
        <f t="shared" si="1089"/>
        <v>MJD8B -LBBA-GEW</v>
      </c>
      <c r="O985" s="22">
        <v>0</v>
      </c>
      <c r="P985" s="22">
        <v>0</v>
      </c>
      <c r="Q985" s="22">
        <v>0</v>
      </c>
      <c r="R985" s="22">
        <v>0</v>
      </c>
      <c r="S985" s="22">
        <v>0</v>
      </c>
      <c r="T985" s="22">
        <v>0</v>
      </c>
      <c r="U985" s="22">
        <v>0</v>
      </c>
      <c r="V985" s="22">
        <v>0</v>
      </c>
      <c r="W985" s="64">
        <f t="shared" si="1091"/>
        <v>0</v>
      </c>
      <c r="Y985" s="60">
        <v>-1025.29</v>
      </c>
      <c r="Z985" s="8"/>
      <c r="AA985" s="8">
        <v>-8.4600000000000009</v>
      </c>
      <c r="AB985" s="8">
        <v>-2.12</v>
      </c>
      <c r="AC985" s="8"/>
      <c r="AD985" s="8">
        <f t="shared" si="1112"/>
        <v>-1035.8699999999999</v>
      </c>
      <c r="AE985" s="2" t="s">
        <v>84</v>
      </c>
      <c r="AG985" s="8"/>
      <c r="AH985" s="8"/>
      <c r="AJ985" s="70"/>
      <c r="AK985" s="70"/>
      <c r="AL985" s="72"/>
      <c r="AM985" s="22"/>
      <c r="AO985" s="22" t="s">
        <v>728</v>
      </c>
      <c r="AP985" s="23" t="s">
        <v>1001</v>
      </c>
      <c r="AQ985" s="22" t="s">
        <v>1531</v>
      </c>
      <c r="AR985" s="51" t="str">
        <f t="shared" si="1090"/>
        <v>MJD8B -LBBA-GDW</v>
      </c>
      <c r="AS985" s="3"/>
      <c r="AT985" s="22">
        <v>0</v>
      </c>
      <c r="AU985" s="22">
        <v>0</v>
      </c>
      <c r="AV985" s="22">
        <v>0</v>
      </c>
      <c r="AW985" s="22">
        <v>0</v>
      </c>
      <c r="AX985" s="22">
        <v>0</v>
      </c>
      <c r="AY985" s="22">
        <v>0</v>
      </c>
      <c r="AZ985" s="22">
        <v>0</v>
      </c>
      <c r="BA985" s="22">
        <v>0</v>
      </c>
      <c r="BB985" s="64">
        <f t="shared" si="1113"/>
        <v>0</v>
      </c>
      <c r="BD985" s="8">
        <v>-1025.29</v>
      </c>
      <c r="BE985" s="8"/>
      <c r="BF985" s="8">
        <v>-8.4600000000000009</v>
      </c>
      <c r="BG985" s="8">
        <v>-2.12</v>
      </c>
      <c r="BH985" s="8"/>
      <c r="BI985" s="8">
        <f t="shared" si="1087"/>
        <v>-1035.8699999999999</v>
      </c>
      <c r="BJ985" s="2" t="s">
        <v>84</v>
      </c>
      <c r="BL985" s="8"/>
      <c r="BM985" s="8"/>
      <c r="BN985" s="6"/>
      <c r="BO985" s="70"/>
      <c r="BP985" s="70"/>
      <c r="BQ985" s="72"/>
      <c r="BS985" s="61">
        <f t="shared" si="1114"/>
        <v>0</v>
      </c>
      <c r="BT985" s="61">
        <f t="shared" si="1114"/>
        <v>0</v>
      </c>
      <c r="BU985" s="61">
        <f t="shared" si="1114"/>
        <v>0</v>
      </c>
      <c r="BV985" s="61">
        <f t="shared" si="1114"/>
        <v>0</v>
      </c>
      <c r="BW985" s="61">
        <f t="shared" si="1114"/>
        <v>0</v>
      </c>
      <c r="BX985" s="61">
        <f t="shared" si="1114"/>
        <v>0</v>
      </c>
      <c r="BY985" s="61" t="s">
        <v>91</v>
      </c>
      <c r="CA985" s="61">
        <f t="shared" si="1115"/>
        <v>0</v>
      </c>
      <c r="CB985" s="61">
        <f t="shared" si="1115"/>
        <v>0</v>
      </c>
      <c r="CC985" s="61">
        <f t="shared" si="1115"/>
        <v>0</v>
      </c>
      <c r="CD985" s="61">
        <f t="shared" si="1115"/>
        <v>0</v>
      </c>
      <c r="CE985" s="61">
        <f t="shared" si="1115"/>
        <v>0</v>
      </c>
      <c r="CF985" s="61">
        <f t="shared" si="1115"/>
        <v>0</v>
      </c>
      <c r="CG985" s="61">
        <f t="shared" si="1115"/>
        <v>0</v>
      </c>
      <c r="CH985" s="61">
        <f t="shared" si="1115"/>
        <v>0</v>
      </c>
      <c r="CI985" s="61">
        <f>SUMPRODUCT(CA985:CH985,$O$6:$V$6)</f>
        <v>0</v>
      </c>
      <c r="CJ985" s="61"/>
      <c r="CK985" s="61">
        <f t="shared" si="1116"/>
        <v>0</v>
      </c>
      <c r="CL985" s="61">
        <f t="shared" si="1116"/>
        <v>0</v>
      </c>
      <c r="CM985" s="61">
        <f t="shared" si="1116"/>
        <v>0</v>
      </c>
      <c r="CN985" s="61">
        <f t="shared" si="1116"/>
        <v>0</v>
      </c>
      <c r="CO985" s="61">
        <f t="shared" si="1116"/>
        <v>0</v>
      </c>
      <c r="CP985" s="61">
        <f t="shared" si="1116"/>
        <v>0</v>
      </c>
      <c r="CQ985" s="61">
        <f t="shared" si="1116"/>
        <v>0</v>
      </c>
      <c r="CR985" s="61">
        <f t="shared" si="1116"/>
        <v>0</v>
      </c>
      <c r="CS985" s="61">
        <f>SUMPRODUCT(CK985:CR985,$O$6:$V$6)</f>
        <v>0</v>
      </c>
      <c r="CT985" s="67">
        <f t="shared" si="1069"/>
        <v>0</v>
      </c>
      <c r="CV985" s="61">
        <f t="shared" si="1117"/>
        <v>0</v>
      </c>
      <c r="CW985" s="61">
        <f t="shared" si="1118"/>
        <v>0</v>
      </c>
      <c r="CX985" s="61"/>
      <c r="CY985" s="61">
        <f t="shared" si="1119"/>
        <v>0</v>
      </c>
      <c r="CZ985" s="61">
        <f t="shared" si="1119"/>
        <v>0</v>
      </c>
      <c r="DA985" s="61">
        <f t="shared" si="1119"/>
        <v>0</v>
      </c>
      <c r="DB985" s="2" t="s">
        <v>85</v>
      </c>
      <c r="DC985" s="2" t="s">
        <v>85</v>
      </c>
      <c r="DD985" s="2" t="s">
        <v>142</v>
      </c>
      <c r="DE985" s="2" t="s">
        <v>106</v>
      </c>
      <c r="DG985" s="62"/>
      <c r="DZ985" s="3" t="e">
        <v>#N/A</v>
      </c>
      <c r="EC985" s="60"/>
      <c r="ED985" s="60"/>
      <c r="EE985" s="60"/>
      <c r="EF985" s="60"/>
      <c r="EH985" s="60"/>
      <c r="EI985" s="60"/>
      <c r="EJ985" s="60"/>
    </row>
    <row r="986" spans="2:140" ht="12.75" hidden="1" customHeight="1">
      <c r="B986" s="99" t="s">
        <v>1537</v>
      </c>
      <c r="C986" s="22" t="s">
        <v>726</v>
      </c>
      <c r="D986" s="22" t="s">
        <v>727</v>
      </c>
      <c r="E986" s="2" t="s">
        <v>260</v>
      </c>
      <c r="F986" s="2" t="s">
        <v>1025</v>
      </c>
      <c r="G986" s="2" t="s">
        <v>994</v>
      </c>
      <c r="J986" s="149" t="s">
        <v>728</v>
      </c>
      <c r="K986" s="23" t="s">
        <v>729</v>
      </c>
      <c r="L986" s="149" t="s">
        <v>1542</v>
      </c>
      <c r="M986" s="51" t="str">
        <f t="shared" si="1089"/>
        <v>MJD8B -LBBA-HEW</v>
      </c>
      <c r="O986" s="22">
        <v>0</v>
      </c>
      <c r="P986" s="22">
        <v>0</v>
      </c>
      <c r="Q986" s="22">
        <v>0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64">
        <f t="shared" si="1091"/>
        <v>0</v>
      </c>
      <c r="Y986" s="60">
        <v>-1025.29</v>
      </c>
      <c r="Z986" s="8"/>
      <c r="AA986" s="8">
        <v>-8.4600000000000009</v>
      </c>
      <c r="AB986" s="8">
        <v>-2.12</v>
      </c>
      <c r="AC986" s="8"/>
      <c r="AD986" s="8">
        <f t="shared" si="1112"/>
        <v>-1035.8699999999999</v>
      </c>
      <c r="AE986" s="2" t="s">
        <v>84</v>
      </c>
      <c r="AG986" s="8"/>
      <c r="AH986" s="8"/>
      <c r="AJ986" s="70"/>
      <c r="AK986" s="70"/>
      <c r="AL986" s="72"/>
      <c r="AM986" s="22"/>
      <c r="AO986" s="22" t="s">
        <v>728</v>
      </c>
      <c r="AP986" s="23" t="s">
        <v>1001</v>
      </c>
      <c r="AQ986" s="22" t="s">
        <v>1532</v>
      </c>
      <c r="AR986" s="51" t="str">
        <f t="shared" si="1090"/>
        <v>MJD8B -LBBA-HDW</v>
      </c>
      <c r="AS986" s="3"/>
      <c r="AT986" s="22">
        <v>0</v>
      </c>
      <c r="AU986" s="22">
        <v>0</v>
      </c>
      <c r="AV986" s="22">
        <v>0</v>
      </c>
      <c r="AW986" s="22">
        <v>0</v>
      </c>
      <c r="AX986" s="22">
        <v>0</v>
      </c>
      <c r="AY986" s="22">
        <v>0</v>
      </c>
      <c r="AZ986" s="22">
        <v>0</v>
      </c>
      <c r="BA986" s="22">
        <v>0</v>
      </c>
      <c r="BB986" s="64">
        <f t="shared" si="1113"/>
        <v>0</v>
      </c>
      <c r="BD986" s="8">
        <v>-1025.29</v>
      </c>
      <c r="BE986" s="8"/>
      <c r="BF986" s="8">
        <v>-8.4600000000000009</v>
      </c>
      <c r="BG986" s="8">
        <v>-2.12</v>
      </c>
      <c r="BH986" s="8"/>
      <c r="BI986" s="8">
        <f t="shared" si="1087"/>
        <v>-1035.8699999999999</v>
      </c>
      <c r="BJ986" s="2" t="s">
        <v>84</v>
      </c>
      <c r="BL986" s="8"/>
      <c r="BM986" s="8"/>
      <c r="BN986" s="6"/>
      <c r="BO986" s="70"/>
      <c r="BP986" s="70"/>
      <c r="BQ986" s="72"/>
      <c r="BS986" s="61">
        <f t="shared" si="1114"/>
        <v>0</v>
      </c>
      <c r="BT986" s="61">
        <f t="shared" si="1114"/>
        <v>0</v>
      </c>
      <c r="BU986" s="61">
        <f t="shared" si="1114"/>
        <v>0</v>
      </c>
      <c r="BV986" s="61">
        <f t="shared" si="1114"/>
        <v>0</v>
      </c>
      <c r="BW986" s="61">
        <f t="shared" si="1114"/>
        <v>0</v>
      </c>
      <c r="BX986" s="61">
        <f t="shared" si="1114"/>
        <v>0</v>
      </c>
      <c r="BY986" s="61" t="s">
        <v>91</v>
      </c>
      <c r="CA986" s="61">
        <f t="shared" si="1115"/>
        <v>0</v>
      </c>
      <c r="CB986" s="61">
        <f t="shared" si="1115"/>
        <v>0</v>
      </c>
      <c r="CC986" s="61">
        <f t="shared" si="1115"/>
        <v>0</v>
      </c>
      <c r="CD986" s="61">
        <f t="shared" si="1115"/>
        <v>0</v>
      </c>
      <c r="CE986" s="61">
        <f t="shared" si="1115"/>
        <v>0</v>
      </c>
      <c r="CF986" s="61">
        <f t="shared" si="1115"/>
        <v>0</v>
      </c>
      <c r="CG986" s="61">
        <f t="shared" si="1115"/>
        <v>0</v>
      </c>
      <c r="CH986" s="61">
        <f t="shared" si="1115"/>
        <v>0</v>
      </c>
      <c r="CI986" s="61">
        <f>SUMPRODUCT(CA986:CH986,$O$6:$V$6)</f>
        <v>0</v>
      </c>
      <c r="CJ986" s="61"/>
      <c r="CK986" s="61">
        <f t="shared" si="1116"/>
        <v>0</v>
      </c>
      <c r="CL986" s="61">
        <f t="shared" si="1116"/>
        <v>0</v>
      </c>
      <c r="CM986" s="61">
        <f t="shared" si="1116"/>
        <v>0</v>
      </c>
      <c r="CN986" s="61">
        <f t="shared" si="1116"/>
        <v>0</v>
      </c>
      <c r="CO986" s="61">
        <f t="shared" si="1116"/>
        <v>0</v>
      </c>
      <c r="CP986" s="61">
        <f t="shared" si="1116"/>
        <v>0</v>
      </c>
      <c r="CQ986" s="61">
        <f t="shared" si="1116"/>
        <v>0</v>
      </c>
      <c r="CR986" s="61">
        <f t="shared" si="1116"/>
        <v>0</v>
      </c>
      <c r="CS986" s="61">
        <f>SUMPRODUCT(CK986:CR986,$O$6:$V$6)</f>
        <v>0</v>
      </c>
      <c r="CT986" s="67">
        <f t="shared" si="1069"/>
        <v>0</v>
      </c>
      <c r="CV986" s="61">
        <f t="shared" si="1117"/>
        <v>0</v>
      </c>
      <c r="CW986" s="61">
        <f t="shared" si="1118"/>
        <v>0</v>
      </c>
      <c r="CX986" s="61"/>
      <c r="CY986" s="61">
        <f t="shared" si="1119"/>
        <v>0</v>
      </c>
      <c r="CZ986" s="61">
        <f t="shared" si="1119"/>
        <v>0</v>
      </c>
      <c r="DA986" s="61">
        <f t="shared" si="1119"/>
        <v>0</v>
      </c>
      <c r="DB986" s="2" t="s">
        <v>85</v>
      </c>
      <c r="DC986" s="2" t="s">
        <v>85</v>
      </c>
      <c r="DD986" s="2" t="s">
        <v>142</v>
      </c>
      <c r="DE986" s="2" t="s">
        <v>106</v>
      </c>
      <c r="DG986" s="62"/>
      <c r="DZ986" s="3" t="e">
        <v>#N/A</v>
      </c>
      <c r="EC986" s="60"/>
      <c r="ED986" s="60"/>
      <c r="EE986" s="60"/>
      <c r="EF986" s="60"/>
      <c r="EH986" s="60"/>
      <c r="EI986" s="60"/>
      <c r="EJ986" s="60"/>
    </row>
    <row r="987" spans="2:140" ht="12.75" hidden="1" customHeight="1">
      <c r="B987" s="99" t="s">
        <v>1537</v>
      </c>
      <c r="C987" s="22" t="s">
        <v>726</v>
      </c>
      <c r="D987" s="22" t="s">
        <v>727</v>
      </c>
      <c r="E987" s="2" t="s">
        <v>260</v>
      </c>
      <c r="F987" s="2" t="s">
        <v>1025</v>
      </c>
      <c r="G987" s="2" t="s">
        <v>994</v>
      </c>
      <c r="J987" s="149" t="s">
        <v>728</v>
      </c>
      <c r="K987" s="23" t="s">
        <v>729</v>
      </c>
      <c r="L987" s="149" t="s">
        <v>1543</v>
      </c>
      <c r="M987" s="51" t="str">
        <f t="shared" si="1089"/>
        <v>MJD8B -LBBA-JEW</v>
      </c>
      <c r="O987" s="22">
        <v>0</v>
      </c>
      <c r="P987" s="22">
        <v>0</v>
      </c>
      <c r="Q987" s="22">
        <v>0</v>
      </c>
      <c r="R987" s="22">
        <v>0</v>
      </c>
      <c r="S987" s="22">
        <v>1</v>
      </c>
      <c r="T987" s="22">
        <v>0</v>
      </c>
      <c r="U987" s="22">
        <v>0</v>
      </c>
      <c r="V987" s="22">
        <v>0</v>
      </c>
      <c r="W987" s="64">
        <f t="shared" si="1091"/>
        <v>0.09</v>
      </c>
      <c r="Y987" s="60">
        <v>-943.43</v>
      </c>
      <c r="Z987" s="8"/>
      <c r="AA987" s="8">
        <v>-8.4600000000000009</v>
      </c>
      <c r="AB987" s="8">
        <v>-2.12</v>
      </c>
      <c r="AC987" s="8"/>
      <c r="AD987" s="8">
        <f t="shared" ref="AD987:AD990" si="1120">SUM(Y987:AC987)</f>
        <v>-954.01</v>
      </c>
      <c r="AE987" s="2" t="s">
        <v>84</v>
      </c>
      <c r="AG987" s="8"/>
      <c r="AH987" s="8"/>
      <c r="AJ987" s="70"/>
      <c r="AK987" s="70"/>
      <c r="AL987" s="72"/>
      <c r="AM987" s="22"/>
      <c r="AO987" s="22" t="s">
        <v>728</v>
      </c>
      <c r="AP987" s="23" t="s">
        <v>1001</v>
      </c>
      <c r="AQ987" s="22" t="s">
        <v>1533</v>
      </c>
      <c r="AR987" s="51" t="str">
        <f t="shared" si="1090"/>
        <v>MJD8B -LBBA-JDW</v>
      </c>
      <c r="AS987" s="3"/>
      <c r="AT987" s="22">
        <v>0</v>
      </c>
      <c r="AU987" s="22">
        <v>0</v>
      </c>
      <c r="AV987" s="22">
        <v>0</v>
      </c>
      <c r="AW987" s="22">
        <v>0</v>
      </c>
      <c r="AX987" s="22">
        <v>1</v>
      </c>
      <c r="AY987" s="22">
        <v>0</v>
      </c>
      <c r="AZ987" s="22">
        <v>0</v>
      </c>
      <c r="BA987" s="22">
        <v>0</v>
      </c>
      <c r="BB987" s="64">
        <f t="shared" si="1113"/>
        <v>0.09</v>
      </c>
      <c r="BD987" s="8">
        <v>-943.43</v>
      </c>
      <c r="BE987" s="8"/>
      <c r="BF987" s="8">
        <v>-8.4600000000000009</v>
      </c>
      <c r="BG987" s="8">
        <v>-2.12</v>
      </c>
      <c r="BH987" s="8"/>
      <c r="BI987" s="8">
        <f t="shared" si="1087"/>
        <v>-954.01</v>
      </c>
      <c r="BJ987" s="2" t="s">
        <v>84</v>
      </c>
      <c r="BL987" s="8"/>
      <c r="BM987" s="8"/>
      <c r="BN987" s="6"/>
      <c r="BO987" s="70"/>
      <c r="BP987" s="70"/>
      <c r="BQ987" s="72"/>
      <c r="BS987" s="61">
        <f t="shared" si="1114"/>
        <v>0</v>
      </c>
      <c r="BT987" s="61">
        <f t="shared" si="1114"/>
        <v>0</v>
      </c>
      <c r="BU987" s="61">
        <f t="shared" si="1114"/>
        <v>0</v>
      </c>
      <c r="BV987" s="61">
        <f t="shared" si="1114"/>
        <v>0</v>
      </c>
      <c r="BW987" s="61">
        <f t="shared" si="1114"/>
        <v>0</v>
      </c>
      <c r="BX987" s="61">
        <f t="shared" si="1114"/>
        <v>0</v>
      </c>
      <c r="BY987" s="61" t="s">
        <v>91</v>
      </c>
      <c r="CA987" s="61">
        <f t="shared" si="1115"/>
        <v>0</v>
      </c>
      <c r="CB987" s="61">
        <f t="shared" si="1115"/>
        <v>0</v>
      </c>
      <c r="CC987" s="61">
        <f t="shared" si="1115"/>
        <v>0</v>
      </c>
      <c r="CD987" s="61">
        <f t="shared" si="1115"/>
        <v>0</v>
      </c>
      <c r="CE987" s="61">
        <f t="shared" si="1115"/>
        <v>0</v>
      </c>
      <c r="CF987" s="61">
        <f t="shared" si="1115"/>
        <v>0</v>
      </c>
      <c r="CG987" s="61">
        <f t="shared" si="1115"/>
        <v>0</v>
      </c>
      <c r="CH987" s="61">
        <f t="shared" si="1115"/>
        <v>0</v>
      </c>
      <c r="CI987" s="61">
        <f>SUMPRODUCT(CA987:CH987,$O$6:$V$6)</f>
        <v>0</v>
      </c>
      <c r="CJ987" s="61"/>
      <c r="CK987" s="61">
        <f t="shared" si="1116"/>
        <v>0</v>
      </c>
      <c r="CL987" s="61">
        <f t="shared" si="1116"/>
        <v>0</v>
      </c>
      <c r="CM987" s="61">
        <f t="shared" si="1116"/>
        <v>0</v>
      </c>
      <c r="CN987" s="61">
        <f t="shared" si="1116"/>
        <v>0</v>
      </c>
      <c r="CO987" s="61">
        <f t="shared" si="1116"/>
        <v>0</v>
      </c>
      <c r="CP987" s="61">
        <f t="shared" si="1116"/>
        <v>0</v>
      </c>
      <c r="CQ987" s="61">
        <f t="shared" si="1116"/>
        <v>0</v>
      </c>
      <c r="CR987" s="61">
        <f t="shared" si="1116"/>
        <v>0</v>
      </c>
      <c r="CS987" s="61">
        <f>SUMPRODUCT(CK987:CR987,$O$6:$V$6)</f>
        <v>0</v>
      </c>
      <c r="CT987" s="67">
        <f t="shared" si="1069"/>
        <v>0</v>
      </c>
      <c r="CV987" s="61">
        <f t="shared" si="1117"/>
        <v>0</v>
      </c>
      <c r="CW987" s="61">
        <f t="shared" si="1118"/>
        <v>0</v>
      </c>
      <c r="CX987" s="61"/>
      <c r="CY987" s="61">
        <f t="shared" si="1119"/>
        <v>0</v>
      </c>
      <c r="CZ987" s="61">
        <f t="shared" si="1119"/>
        <v>0</v>
      </c>
      <c r="DA987" s="61">
        <f t="shared" si="1119"/>
        <v>0</v>
      </c>
      <c r="DB987" s="2" t="s">
        <v>85</v>
      </c>
      <c r="DC987" s="2" t="s">
        <v>85</v>
      </c>
      <c r="DD987" s="2" t="s">
        <v>142</v>
      </c>
      <c r="DE987" s="2" t="s">
        <v>106</v>
      </c>
      <c r="DG987" s="62"/>
      <c r="DZ987" s="3" t="e">
        <v>#N/A</v>
      </c>
      <c r="EC987" s="60"/>
      <c r="ED987" s="60"/>
      <c r="EE987" s="60"/>
      <c r="EF987" s="60"/>
      <c r="EH987" s="60"/>
      <c r="EI987" s="60"/>
      <c r="EJ987" s="60"/>
    </row>
    <row r="988" spans="2:140" ht="12.75" hidden="1" customHeight="1">
      <c r="B988" s="99" t="s">
        <v>1537</v>
      </c>
      <c r="C988" s="22" t="s">
        <v>726</v>
      </c>
      <c r="D988" s="22" t="s">
        <v>727</v>
      </c>
      <c r="E988" s="2" t="s">
        <v>260</v>
      </c>
      <c r="F988" s="2" t="s">
        <v>1025</v>
      </c>
      <c r="G988" s="2" t="s">
        <v>994</v>
      </c>
      <c r="J988" s="149" t="s">
        <v>728</v>
      </c>
      <c r="K988" s="23" t="s">
        <v>729</v>
      </c>
      <c r="L988" s="149" t="s">
        <v>1544</v>
      </c>
      <c r="M988" s="51" t="str">
        <f t="shared" si="1089"/>
        <v>MJD8B -LBBA-KEW</v>
      </c>
      <c r="O988" s="22">
        <v>0</v>
      </c>
      <c r="P988" s="22">
        <v>0</v>
      </c>
      <c r="Q988" s="22">
        <v>0</v>
      </c>
      <c r="R988" s="22">
        <v>0</v>
      </c>
      <c r="S988" s="22">
        <v>0</v>
      </c>
      <c r="T988" s="22">
        <v>1</v>
      </c>
      <c r="U988" s="22">
        <v>0</v>
      </c>
      <c r="V988" s="22">
        <v>0</v>
      </c>
      <c r="W988" s="64">
        <f t="shared" si="1091"/>
        <v>0.14000000000000001</v>
      </c>
      <c r="Y988" s="60">
        <v>-943.43</v>
      </c>
      <c r="Z988" s="8"/>
      <c r="AA988" s="8">
        <v>-8.4600000000000009</v>
      </c>
      <c r="AB988" s="8">
        <v>-2.12</v>
      </c>
      <c r="AC988" s="8"/>
      <c r="AD988" s="8">
        <f t="shared" si="1120"/>
        <v>-954.01</v>
      </c>
      <c r="AE988" s="2" t="s">
        <v>84</v>
      </c>
      <c r="AG988" s="8"/>
      <c r="AH988" s="8"/>
      <c r="AJ988" s="70"/>
      <c r="AK988" s="70"/>
      <c r="AL988" s="72"/>
      <c r="AM988" s="22"/>
      <c r="AO988" s="22" t="s">
        <v>728</v>
      </c>
      <c r="AP988" s="23" t="s">
        <v>1001</v>
      </c>
      <c r="AQ988" s="22" t="s">
        <v>1534</v>
      </c>
      <c r="AR988" s="51" t="str">
        <f t="shared" si="1090"/>
        <v>MJD8B -LBBA-KDW</v>
      </c>
      <c r="AS988" s="3"/>
      <c r="AT988" s="22">
        <v>0</v>
      </c>
      <c r="AU988" s="22">
        <v>0</v>
      </c>
      <c r="AV988" s="22">
        <v>0</v>
      </c>
      <c r="AW988" s="22">
        <v>0</v>
      </c>
      <c r="AX988" s="22">
        <v>0</v>
      </c>
      <c r="AY988" s="22">
        <v>1</v>
      </c>
      <c r="AZ988" s="22">
        <v>0</v>
      </c>
      <c r="BA988" s="22">
        <v>0</v>
      </c>
      <c r="BB988" s="64">
        <f t="shared" si="1113"/>
        <v>0.14000000000000001</v>
      </c>
      <c r="BD988" s="8">
        <v>-943.43</v>
      </c>
      <c r="BE988" s="8"/>
      <c r="BF988" s="8">
        <v>-8.4600000000000009</v>
      </c>
      <c r="BG988" s="8">
        <v>-2.12</v>
      </c>
      <c r="BH988" s="8"/>
      <c r="BI988" s="8">
        <f t="shared" si="1087"/>
        <v>-954.01</v>
      </c>
      <c r="BJ988" s="2" t="s">
        <v>84</v>
      </c>
      <c r="BL988" s="8"/>
      <c r="BM988" s="8"/>
      <c r="BN988" s="6"/>
      <c r="BO988" s="70"/>
      <c r="BP988" s="70"/>
      <c r="BQ988" s="72"/>
      <c r="BS988" s="61">
        <v>0</v>
      </c>
      <c r="BT988" s="61">
        <v>0</v>
      </c>
      <c r="BU988" s="61">
        <v>0</v>
      </c>
      <c r="BV988" s="61">
        <v>0</v>
      </c>
      <c r="BW988" s="61">
        <v>0</v>
      </c>
      <c r="BX988" s="61">
        <v>0</v>
      </c>
      <c r="BY988" s="61" t="s">
        <v>91</v>
      </c>
      <c r="CA988" s="61">
        <v>0</v>
      </c>
      <c r="CB988" s="61">
        <v>0</v>
      </c>
      <c r="CC988" s="61">
        <v>0</v>
      </c>
      <c r="CD988" s="61">
        <v>0</v>
      </c>
      <c r="CE988" s="61">
        <v>0</v>
      </c>
      <c r="CF988" s="61">
        <v>0</v>
      </c>
      <c r="CG988" s="61">
        <v>0</v>
      </c>
      <c r="CH988" s="61">
        <v>0</v>
      </c>
      <c r="CI988" s="61">
        <v>0</v>
      </c>
      <c r="CJ988" s="61"/>
      <c r="CK988" s="61">
        <v>0</v>
      </c>
      <c r="CL988" s="61">
        <v>0</v>
      </c>
      <c r="CM988" s="61">
        <v>0</v>
      </c>
      <c r="CN988" s="61">
        <v>0</v>
      </c>
      <c r="CO988" s="61">
        <v>0</v>
      </c>
      <c r="CP988" s="61">
        <v>0</v>
      </c>
      <c r="CQ988" s="61">
        <v>0</v>
      </c>
      <c r="CR988" s="61">
        <v>0</v>
      </c>
      <c r="CS988" s="61">
        <v>0</v>
      </c>
      <c r="CT988" s="67">
        <f t="shared" si="1069"/>
        <v>0</v>
      </c>
      <c r="CV988" s="61">
        <v>0</v>
      </c>
      <c r="CW988" s="61">
        <v>0</v>
      </c>
      <c r="CX988" s="61"/>
      <c r="CY988" s="61">
        <v>0</v>
      </c>
      <c r="CZ988" s="61">
        <v>0</v>
      </c>
      <c r="DA988" s="61">
        <v>0</v>
      </c>
      <c r="DB988" s="2" t="s">
        <v>85</v>
      </c>
      <c r="DC988" s="2" t="s">
        <v>85</v>
      </c>
      <c r="DD988" s="2" t="s">
        <v>142</v>
      </c>
      <c r="DE988" s="2" t="s">
        <v>106</v>
      </c>
      <c r="DG988" s="62"/>
      <c r="DI988" s="2" t="e">
        <v>#N/A</v>
      </c>
      <c r="EC988" s="60"/>
      <c r="ED988" s="60"/>
      <c r="EE988" s="60"/>
      <c r="EF988" s="60"/>
      <c r="EH988" s="60"/>
      <c r="EI988" s="60"/>
      <c r="EJ988" s="60"/>
    </row>
    <row r="989" spans="2:140" ht="12.75" hidden="1" customHeight="1">
      <c r="B989" s="99" t="s">
        <v>1537</v>
      </c>
      <c r="C989" s="22" t="s">
        <v>726</v>
      </c>
      <c r="D989" s="22" t="s">
        <v>727</v>
      </c>
      <c r="E989" s="2" t="s">
        <v>260</v>
      </c>
      <c r="F989" s="2" t="s">
        <v>1025</v>
      </c>
      <c r="G989" s="2" t="s">
        <v>994</v>
      </c>
      <c r="J989" s="149" t="s">
        <v>728</v>
      </c>
      <c r="K989" s="23" t="s">
        <v>729</v>
      </c>
      <c r="L989" s="149" t="s">
        <v>1545</v>
      </c>
      <c r="M989" s="51" t="str">
        <f t="shared" si="1089"/>
        <v>MJD8B -LBBA-LEW</v>
      </c>
      <c r="O989" s="22">
        <v>0</v>
      </c>
      <c r="P989" s="22">
        <v>0</v>
      </c>
      <c r="Q989" s="22">
        <v>0</v>
      </c>
      <c r="R989" s="22">
        <v>0</v>
      </c>
      <c r="S989" s="22">
        <v>0</v>
      </c>
      <c r="T989" s="22">
        <v>0</v>
      </c>
      <c r="U989" s="22">
        <v>1</v>
      </c>
      <c r="V989" s="22">
        <v>0</v>
      </c>
      <c r="W989" s="64">
        <f t="shared" si="1091"/>
        <v>0.05</v>
      </c>
      <c r="Y989" s="60">
        <v>-985.43</v>
      </c>
      <c r="Z989" s="8"/>
      <c r="AA989" s="8">
        <v>-8.4600000000000009</v>
      </c>
      <c r="AB989" s="8">
        <v>-2.12</v>
      </c>
      <c r="AC989" s="8"/>
      <c r="AD989" s="8">
        <f t="shared" si="1120"/>
        <v>-996.01</v>
      </c>
      <c r="AE989" s="2" t="s">
        <v>84</v>
      </c>
      <c r="AG989" s="8">
        <v>-36000</v>
      </c>
      <c r="AH989" s="8">
        <v>-36000</v>
      </c>
      <c r="AJ989" s="70"/>
      <c r="AK989" s="70"/>
      <c r="AL989" s="72"/>
      <c r="AM989" s="22"/>
      <c r="AO989" s="22" t="s">
        <v>728</v>
      </c>
      <c r="AP989" s="23" t="s">
        <v>1001</v>
      </c>
      <c r="AQ989" s="22" t="s">
        <v>1535</v>
      </c>
      <c r="AR989" s="51" t="str">
        <f t="shared" si="1090"/>
        <v>MJD8B -LBBA-LDW</v>
      </c>
      <c r="AS989" s="3"/>
      <c r="AT989" s="22">
        <v>0</v>
      </c>
      <c r="AU989" s="22">
        <v>0</v>
      </c>
      <c r="AV989" s="22">
        <v>0</v>
      </c>
      <c r="AW989" s="22">
        <v>0</v>
      </c>
      <c r="AX989" s="22">
        <v>0</v>
      </c>
      <c r="AY989" s="22">
        <v>0</v>
      </c>
      <c r="AZ989" s="22">
        <v>1</v>
      </c>
      <c r="BA989" s="22">
        <v>0</v>
      </c>
      <c r="BB989" s="64">
        <f t="shared" si="1113"/>
        <v>0.05</v>
      </c>
      <c r="BD989" s="8">
        <v>-985.43</v>
      </c>
      <c r="BE989" s="8"/>
      <c r="BF989" s="8">
        <v>-8.4600000000000009</v>
      </c>
      <c r="BG989" s="8">
        <v>-2.12</v>
      </c>
      <c r="BH989" s="8"/>
      <c r="BI989" s="8">
        <f t="shared" si="1087"/>
        <v>-996.01</v>
      </c>
      <c r="BJ989" s="2" t="s">
        <v>84</v>
      </c>
      <c r="BL989" s="8">
        <v>-36000</v>
      </c>
      <c r="BM989" s="8">
        <v>-36000</v>
      </c>
      <c r="BN989" s="6"/>
      <c r="BO989" s="70"/>
      <c r="BP989" s="70"/>
      <c r="BQ989" s="72"/>
      <c r="BS989" s="61">
        <v>0</v>
      </c>
      <c r="BT989" s="61">
        <v>0</v>
      </c>
      <c r="BU989" s="61">
        <v>0</v>
      </c>
      <c r="BV989" s="61">
        <v>0</v>
      </c>
      <c r="BW989" s="61">
        <v>0</v>
      </c>
      <c r="BX989" s="61">
        <v>0</v>
      </c>
      <c r="BY989" s="61" t="s">
        <v>91</v>
      </c>
      <c r="CA989" s="61">
        <v>0</v>
      </c>
      <c r="CB989" s="61">
        <v>0</v>
      </c>
      <c r="CC989" s="61">
        <v>0</v>
      </c>
      <c r="CD989" s="61">
        <v>0</v>
      </c>
      <c r="CE989" s="61">
        <v>0</v>
      </c>
      <c r="CF989" s="61">
        <v>0</v>
      </c>
      <c r="CG989" s="61">
        <v>0</v>
      </c>
      <c r="CH989" s="61">
        <v>0</v>
      </c>
      <c r="CI989" s="61">
        <v>0</v>
      </c>
      <c r="CJ989" s="61"/>
      <c r="CK989" s="61">
        <v>0</v>
      </c>
      <c r="CL989" s="61">
        <v>0</v>
      </c>
      <c r="CM989" s="61">
        <v>0</v>
      </c>
      <c r="CN989" s="61">
        <v>0</v>
      </c>
      <c r="CO989" s="61">
        <v>0</v>
      </c>
      <c r="CP989" s="61">
        <v>0</v>
      </c>
      <c r="CQ989" s="61">
        <v>0</v>
      </c>
      <c r="CR989" s="61">
        <v>0</v>
      </c>
      <c r="CS989" s="61">
        <v>0</v>
      </c>
      <c r="CT989" s="67">
        <f t="shared" si="1069"/>
        <v>0</v>
      </c>
      <c r="CV989" s="61">
        <v>0</v>
      </c>
      <c r="CW989" s="61">
        <v>0</v>
      </c>
      <c r="CX989" s="61"/>
      <c r="CY989" s="61">
        <v>0</v>
      </c>
      <c r="CZ989" s="61">
        <v>0</v>
      </c>
      <c r="DA989" s="61">
        <v>0</v>
      </c>
      <c r="DB989" s="2" t="s">
        <v>85</v>
      </c>
      <c r="DC989" s="2" t="s">
        <v>85</v>
      </c>
      <c r="DD989" s="2" t="s">
        <v>142</v>
      </c>
      <c r="DE989" s="2" t="s">
        <v>106</v>
      </c>
      <c r="DG989" s="62"/>
      <c r="DI989" s="2" t="e">
        <v>#N/A</v>
      </c>
      <c r="EC989" s="60"/>
      <c r="ED989" s="60"/>
      <c r="EE989" s="60"/>
      <c r="EF989" s="60"/>
    </row>
    <row r="990" spans="2:140" ht="12.75" hidden="1" customHeight="1">
      <c r="B990" s="99" t="s">
        <v>1537</v>
      </c>
      <c r="C990" s="22" t="s">
        <v>726</v>
      </c>
      <c r="D990" s="22" t="s">
        <v>727</v>
      </c>
      <c r="E990" s="2" t="s">
        <v>260</v>
      </c>
      <c r="F990" s="2" t="s">
        <v>1025</v>
      </c>
      <c r="G990" s="2" t="s">
        <v>994</v>
      </c>
      <c r="J990" s="149" t="s">
        <v>728</v>
      </c>
      <c r="K990" s="23" t="s">
        <v>729</v>
      </c>
      <c r="L990" s="149" t="s">
        <v>1546</v>
      </c>
      <c r="M990" s="51" t="str">
        <f t="shared" si="1089"/>
        <v>MJD8B -LBBA-MEW</v>
      </c>
      <c r="O990" s="22"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1</v>
      </c>
      <c r="W990" s="64">
        <f t="shared" si="1091"/>
        <v>0.05</v>
      </c>
      <c r="Y990" s="60">
        <v>-985.89</v>
      </c>
      <c r="Z990" s="8"/>
      <c r="AA990" s="8">
        <v>-8.4600000000000009</v>
      </c>
      <c r="AB990" s="8">
        <v>-2.12</v>
      </c>
      <c r="AC990" s="8"/>
      <c r="AD990" s="8">
        <f t="shared" si="1120"/>
        <v>-996.47</v>
      </c>
      <c r="AE990" s="2" t="s">
        <v>84</v>
      </c>
      <c r="AG990" s="8"/>
      <c r="AH990" s="8"/>
      <c r="AJ990" s="70"/>
      <c r="AK990" s="70"/>
      <c r="AL990" s="72"/>
      <c r="AM990" s="22"/>
      <c r="AO990" s="22" t="s">
        <v>728</v>
      </c>
      <c r="AP990" s="23" t="s">
        <v>1001</v>
      </c>
      <c r="AQ990" s="22" t="s">
        <v>1536</v>
      </c>
      <c r="AR990" s="51" t="str">
        <f t="shared" si="1090"/>
        <v>MJD8B -LBBA-MDW</v>
      </c>
      <c r="AS990" s="3"/>
      <c r="AT990" s="22">
        <v>0</v>
      </c>
      <c r="AU990" s="22">
        <v>0</v>
      </c>
      <c r="AV990" s="22">
        <v>0</v>
      </c>
      <c r="AW990" s="22">
        <v>0</v>
      </c>
      <c r="AX990" s="22">
        <v>0</v>
      </c>
      <c r="AY990" s="22">
        <v>0</v>
      </c>
      <c r="AZ990" s="22">
        <v>0</v>
      </c>
      <c r="BA990" s="22">
        <v>1</v>
      </c>
      <c r="BB990" s="64">
        <f t="shared" si="1113"/>
        <v>0.05</v>
      </c>
      <c r="BD990" s="8">
        <v>-985.89</v>
      </c>
      <c r="BE990" s="8"/>
      <c r="BF990" s="8">
        <v>-8.4600000000000009</v>
      </c>
      <c r="BG990" s="8">
        <v>-2.12</v>
      </c>
      <c r="BH990" s="8"/>
      <c r="BI990" s="8">
        <f t="shared" si="1087"/>
        <v>-996.47</v>
      </c>
      <c r="BJ990" s="2" t="s">
        <v>84</v>
      </c>
      <c r="BL990" s="8"/>
      <c r="BM990" s="8"/>
      <c r="BN990" s="6"/>
      <c r="BO990" s="70"/>
      <c r="BP990" s="70"/>
      <c r="BQ990" s="72"/>
      <c r="BS990" s="61">
        <v>0</v>
      </c>
      <c r="BT990" s="61">
        <v>0</v>
      </c>
      <c r="BU990" s="61">
        <v>0</v>
      </c>
      <c r="BV990" s="61">
        <v>0</v>
      </c>
      <c r="BW990" s="61">
        <v>0</v>
      </c>
      <c r="BX990" s="61">
        <v>0</v>
      </c>
      <c r="BY990" s="61" t="s">
        <v>91</v>
      </c>
      <c r="CA990" s="61">
        <v>0</v>
      </c>
      <c r="CB990" s="61">
        <v>0</v>
      </c>
      <c r="CC990" s="61">
        <v>0</v>
      </c>
      <c r="CD990" s="61">
        <v>0</v>
      </c>
      <c r="CE990" s="61">
        <v>0</v>
      </c>
      <c r="CF990" s="61">
        <v>0</v>
      </c>
      <c r="CG990" s="61">
        <v>0</v>
      </c>
      <c r="CH990" s="61">
        <v>0</v>
      </c>
      <c r="CI990" s="61">
        <v>0</v>
      </c>
      <c r="CJ990" s="61"/>
      <c r="CK990" s="61">
        <v>0</v>
      </c>
      <c r="CL990" s="61">
        <v>0</v>
      </c>
      <c r="CM990" s="61">
        <v>0</v>
      </c>
      <c r="CN990" s="61">
        <v>0</v>
      </c>
      <c r="CO990" s="61">
        <v>0</v>
      </c>
      <c r="CP990" s="61">
        <v>0</v>
      </c>
      <c r="CQ990" s="61">
        <v>0</v>
      </c>
      <c r="CR990" s="61">
        <v>0</v>
      </c>
      <c r="CS990" s="61">
        <v>0</v>
      </c>
      <c r="CT990" s="67">
        <f t="shared" si="1069"/>
        <v>0</v>
      </c>
      <c r="CV990" s="61">
        <v>0</v>
      </c>
      <c r="CW990" s="61">
        <v>0</v>
      </c>
      <c r="CX990" s="61"/>
      <c r="CY990" s="61">
        <v>0</v>
      </c>
      <c r="CZ990" s="61">
        <v>0</v>
      </c>
      <c r="DA990" s="61">
        <v>0</v>
      </c>
      <c r="DB990" s="2" t="s">
        <v>85</v>
      </c>
      <c r="DC990" s="2" t="s">
        <v>85</v>
      </c>
      <c r="DD990" s="2" t="s">
        <v>142</v>
      </c>
      <c r="DE990" s="2" t="s">
        <v>106</v>
      </c>
      <c r="DG990" s="62"/>
      <c r="DI990" s="2" t="e">
        <v>#N/A</v>
      </c>
      <c r="EC990" s="60"/>
      <c r="ED990" s="60"/>
      <c r="EE990" s="60"/>
      <c r="EF990" s="60"/>
    </row>
    <row r="991" spans="2:140" ht="14.25" hidden="1" customHeight="1">
      <c r="B991" s="99" t="s">
        <v>1126</v>
      </c>
      <c r="C991" s="22" t="s">
        <v>726</v>
      </c>
      <c r="D991" s="22" t="s">
        <v>727</v>
      </c>
      <c r="E991" s="2" t="s">
        <v>260</v>
      </c>
      <c r="F991" s="2" t="s">
        <v>1025</v>
      </c>
      <c r="G991" s="2" t="s">
        <v>994</v>
      </c>
      <c r="J991" s="149" t="s">
        <v>728</v>
      </c>
      <c r="K991" s="23" t="s">
        <v>729</v>
      </c>
      <c r="L991" s="149" t="s">
        <v>1545</v>
      </c>
      <c r="M991" s="51" t="str">
        <f t="shared" si="1089"/>
        <v>MJD8B -LBBA-LEW</v>
      </c>
      <c r="O991" s="22">
        <v>0</v>
      </c>
      <c r="P991" s="22">
        <v>0</v>
      </c>
      <c r="Q991" s="22">
        <v>0</v>
      </c>
      <c r="R991" s="22">
        <v>0</v>
      </c>
      <c r="S991" s="22">
        <v>0</v>
      </c>
      <c r="T991" s="22">
        <v>0</v>
      </c>
      <c r="U991" s="22">
        <v>1</v>
      </c>
      <c r="V991" s="22">
        <v>0</v>
      </c>
      <c r="W991" s="64">
        <f t="shared" si="1091"/>
        <v>0.05</v>
      </c>
      <c r="Y991" s="60">
        <f>-6.6-985.43</f>
        <v>-992.03</v>
      </c>
      <c r="Z991" s="8"/>
      <c r="AA991" s="8">
        <v>-8.4600000000000009</v>
      </c>
      <c r="AB991" s="8">
        <v>-2.12</v>
      </c>
      <c r="AC991" s="8"/>
      <c r="AD991" s="8">
        <f t="shared" ref="AD991:AD995" si="1121">SUM(Y991:AC991)</f>
        <v>-1002.61</v>
      </c>
      <c r="AE991" s="2" t="s">
        <v>84</v>
      </c>
      <c r="AG991" s="8">
        <v>-36000</v>
      </c>
      <c r="AH991" s="8">
        <v>-36000</v>
      </c>
      <c r="AJ991" s="70"/>
      <c r="AK991" s="70"/>
      <c r="AL991" s="72"/>
      <c r="AM991" s="22"/>
      <c r="AO991" s="149" t="s">
        <v>728</v>
      </c>
      <c r="AP991" s="23" t="s">
        <v>729</v>
      </c>
      <c r="AQ991" s="149" t="s">
        <v>1545</v>
      </c>
      <c r="AR991" s="51" t="str">
        <f t="shared" si="1090"/>
        <v>MJD8B -LBBA-LEW</v>
      </c>
      <c r="AS991" s="3"/>
      <c r="AT991" s="22">
        <v>0</v>
      </c>
      <c r="AU991" s="22">
        <v>0</v>
      </c>
      <c r="AV991" s="22">
        <v>0</v>
      </c>
      <c r="AW991" s="22">
        <v>0</v>
      </c>
      <c r="AX991" s="22">
        <v>0</v>
      </c>
      <c r="AY991" s="22">
        <v>0</v>
      </c>
      <c r="AZ991" s="22">
        <v>1</v>
      </c>
      <c r="BA991" s="22">
        <v>0</v>
      </c>
      <c r="BB991" s="64">
        <f t="shared" si="1113"/>
        <v>0.05</v>
      </c>
      <c r="BD991" s="60">
        <v>-985.43</v>
      </c>
      <c r="BE991" s="8"/>
      <c r="BF991" s="8">
        <v>-8.4600000000000009</v>
      </c>
      <c r="BG991" s="8">
        <v>-2.12</v>
      </c>
      <c r="BH991" s="8"/>
      <c r="BI991" s="8">
        <f t="shared" ref="BI991:BI992" si="1122">SUM(BD991:BH991)</f>
        <v>-996.01</v>
      </c>
      <c r="BJ991" s="2" t="s">
        <v>84</v>
      </c>
      <c r="BL991" s="8">
        <v>-36000</v>
      </c>
      <c r="BM991" s="8">
        <v>-36000</v>
      </c>
      <c r="BN991" s="6"/>
      <c r="BO991" s="70"/>
      <c r="BP991" s="70"/>
      <c r="BQ991" s="72"/>
      <c r="BS991" s="61">
        <v>0</v>
      </c>
      <c r="BT991" s="61">
        <v>0</v>
      </c>
      <c r="BU991" s="61">
        <v>0</v>
      </c>
      <c r="BV991" s="61">
        <v>0</v>
      </c>
      <c r="BW991" s="61">
        <v>0</v>
      </c>
      <c r="BX991" s="61">
        <v>0</v>
      </c>
      <c r="BY991" s="61" t="s">
        <v>91</v>
      </c>
      <c r="CA991" s="61">
        <v>0</v>
      </c>
      <c r="CB991" s="61">
        <v>0</v>
      </c>
      <c r="CC991" s="61">
        <v>0</v>
      </c>
      <c r="CD991" s="61">
        <v>0</v>
      </c>
      <c r="CE991" s="61">
        <v>0</v>
      </c>
      <c r="CF991" s="61">
        <v>0</v>
      </c>
      <c r="CG991" s="61">
        <v>0</v>
      </c>
      <c r="CH991" s="61">
        <v>0</v>
      </c>
      <c r="CI991" s="61">
        <v>0</v>
      </c>
      <c r="CJ991" s="61"/>
      <c r="CK991" s="61">
        <v>0</v>
      </c>
      <c r="CL991" s="61">
        <v>0</v>
      </c>
      <c r="CM991" s="61">
        <v>0</v>
      </c>
      <c r="CN991" s="61">
        <v>0</v>
      </c>
      <c r="CO991" s="61">
        <v>0</v>
      </c>
      <c r="CP991" s="61">
        <v>0</v>
      </c>
      <c r="CQ991" s="61">
        <v>0</v>
      </c>
      <c r="CR991" s="61">
        <v>0</v>
      </c>
      <c r="CS991" s="61">
        <v>0</v>
      </c>
      <c r="CT991" s="67">
        <f t="shared" si="1069"/>
        <v>0</v>
      </c>
      <c r="CV991" s="61">
        <v>0</v>
      </c>
      <c r="CW991" s="61">
        <v>0</v>
      </c>
      <c r="CX991" s="61"/>
      <c r="CY991" s="61">
        <v>0</v>
      </c>
      <c r="CZ991" s="61">
        <v>0</v>
      </c>
      <c r="DA991" s="61">
        <v>0</v>
      </c>
      <c r="DB991" s="2" t="s">
        <v>85</v>
      </c>
      <c r="DC991" s="2" t="s">
        <v>85</v>
      </c>
      <c r="DD991" s="2" t="s">
        <v>142</v>
      </c>
      <c r="DE991" s="2" t="s">
        <v>106</v>
      </c>
      <c r="DF991" s="3" t="s">
        <v>86</v>
      </c>
      <c r="DG991" s="62">
        <v>43084</v>
      </c>
      <c r="DI991" s="2" t="e">
        <v>#N/A</v>
      </c>
      <c r="EC991" s="60"/>
      <c r="ED991" s="60"/>
      <c r="EE991" s="60"/>
      <c r="EF991" s="60"/>
      <c r="EH991" s="60"/>
      <c r="EI991" s="60"/>
      <c r="EJ991" s="60"/>
    </row>
    <row r="992" spans="2:140" ht="12.75" hidden="1" customHeight="1">
      <c r="B992" s="99" t="s">
        <v>1126</v>
      </c>
      <c r="C992" s="22" t="s">
        <v>726</v>
      </c>
      <c r="D992" s="22" t="s">
        <v>727</v>
      </c>
      <c r="E992" s="2" t="s">
        <v>260</v>
      </c>
      <c r="F992" s="2" t="s">
        <v>1025</v>
      </c>
      <c r="G992" s="2" t="s">
        <v>994</v>
      </c>
      <c r="J992" s="149" t="s">
        <v>728</v>
      </c>
      <c r="K992" s="23" t="s">
        <v>729</v>
      </c>
      <c r="L992" s="149" t="s">
        <v>1546</v>
      </c>
      <c r="M992" s="51" t="str">
        <f t="shared" si="1089"/>
        <v>MJD8B -LBBA-MEW</v>
      </c>
      <c r="O992" s="22">
        <v>0</v>
      </c>
      <c r="P992" s="22">
        <v>0</v>
      </c>
      <c r="Q992" s="22">
        <v>0</v>
      </c>
      <c r="R992" s="22">
        <v>0</v>
      </c>
      <c r="S992" s="22">
        <v>0</v>
      </c>
      <c r="T992" s="22">
        <v>0</v>
      </c>
      <c r="U992" s="22">
        <v>0</v>
      </c>
      <c r="V992" s="22">
        <v>1</v>
      </c>
      <c r="W992" s="64">
        <f t="shared" si="1091"/>
        <v>0.05</v>
      </c>
      <c r="Y992" s="60">
        <f>-6.6-985.89</f>
        <v>-992.49</v>
      </c>
      <c r="Z992" s="8"/>
      <c r="AA992" s="8">
        <v>-8.4600000000000009</v>
      </c>
      <c r="AB992" s="8">
        <v>-2.12</v>
      </c>
      <c r="AC992" s="8"/>
      <c r="AD992" s="8">
        <f t="shared" si="1121"/>
        <v>-1003.07</v>
      </c>
      <c r="AE992" s="2" t="s">
        <v>84</v>
      </c>
      <c r="AG992" s="8"/>
      <c r="AH992" s="8"/>
      <c r="AJ992" s="70"/>
      <c r="AK992" s="70"/>
      <c r="AL992" s="72"/>
      <c r="AM992" s="22"/>
      <c r="AO992" s="22" t="s">
        <v>728</v>
      </c>
      <c r="AP992" s="23" t="s">
        <v>1001</v>
      </c>
      <c r="AQ992" s="22" t="s">
        <v>1546</v>
      </c>
      <c r="AR992" s="51" t="str">
        <f t="shared" si="1090"/>
        <v>MJD8B -LBBA-MEW</v>
      </c>
      <c r="AS992" s="3"/>
      <c r="AT992" s="22">
        <v>0</v>
      </c>
      <c r="AU992" s="22">
        <v>0</v>
      </c>
      <c r="AV992" s="22">
        <v>0</v>
      </c>
      <c r="AW992" s="22">
        <v>0</v>
      </c>
      <c r="AX992" s="22">
        <v>0</v>
      </c>
      <c r="AY992" s="22">
        <v>0</v>
      </c>
      <c r="AZ992" s="22">
        <v>0</v>
      </c>
      <c r="BA992" s="22">
        <v>1</v>
      </c>
      <c r="BB992" s="64">
        <f t="shared" si="1113"/>
        <v>0.05</v>
      </c>
      <c r="BD992" s="8">
        <v>-985.89</v>
      </c>
      <c r="BE992" s="8"/>
      <c r="BF992" s="8">
        <v>-8.4600000000000009</v>
      </c>
      <c r="BG992" s="8">
        <v>-2.12</v>
      </c>
      <c r="BH992" s="8"/>
      <c r="BI992" s="8">
        <f t="shared" si="1122"/>
        <v>-996.47</v>
      </c>
      <c r="BJ992" s="2" t="s">
        <v>84</v>
      </c>
      <c r="BL992" s="8"/>
      <c r="BM992" s="8"/>
      <c r="BN992" s="6"/>
      <c r="BO992" s="70"/>
      <c r="BP992" s="70"/>
      <c r="BQ992" s="72"/>
      <c r="BS992" s="61">
        <v>0</v>
      </c>
      <c r="BT992" s="61">
        <v>0</v>
      </c>
      <c r="BU992" s="61">
        <v>0</v>
      </c>
      <c r="BV992" s="61">
        <v>0</v>
      </c>
      <c r="BW992" s="61">
        <v>0</v>
      </c>
      <c r="BX992" s="61">
        <v>0</v>
      </c>
      <c r="BY992" s="61" t="s">
        <v>91</v>
      </c>
      <c r="CA992" s="61">
        <v>0</v>
      </c>
      <c r="CB992" s="61">
        <v>0</v>
      </c>
      <c r="CC992" s="61">
        <v>0</v>
      </c>
      <c r="CD992" s="61">
        <v>0</v>
      </c>
      <c r="CE992" s="61">
        <v>0</v>
      </c>
      <c r="CF992" s="61">
        <v>0</v>
      </c>
      <c r="CG992" s="61">
        <v>0</v>
      </c>
      <c r="CH992" s="61">
        <v>0</v>
      </c>
      <c r="CI992" s="61">
        <v>0</v>
      </c>
      <c r="CJ992" s="61"/>
      <c r="CK992" s="61">
        <v>0</v>
      </c>
      <c r="CL992" s="61">
        <v>0</v>
      </c>
      <c r="CM992" s="61">
        <v>0</v>
      </c>
      <c r="CN992" s="61">
        <v>0</v>
      </c>
      <c r="CO992" s="61">
        <v>0</v>
      </c>
      <c r="CP992" s="61">
        <v>0</v>
      </c>
      <c r="CQ992" s="61">
        <v>0</v>
      </c>
      <c r="CR992" s="61">
        <v>0</v>
      </c>
      <c r="CS992" s="61">
        <v>0</v>
      </c>
      <c r="CT992" s="67">
        <f t="shared" si="1069"/>
        <v>0</v>
      </c>
      <c r="CV992" s="61">
        <v>0</v>
      </c>
      <c r="CW992" s="61">
        <v>0</v>
      </c>
      <c r="CX992" s="61"/>
      <c r="CY992" s="61">
        <v>0</v>
      </c>
      <c r="CZ992" s="61">
        <v>0</v>
      </c>
      <c r="DA992" s="61">
        <v>0</v>
      </c>
      <c r="DB992" s="2" t="s">
        <v>85</v>
      </c>
      <c r="DC992" s="2" t="s">
        <v>85</v>
      </c>
      <c r="DD992" s="2" t="s">
        <v>142</v>
      </c>
      <c r="DE992" s="2" t="s">
        <v>106</v>
      </c>
      <c r="DF992" s="3" t="s">
        <v>86</v>
      </c>
      <c r="DG992" s="62">
        <v>43084</v>
      </c>
      <c r="DI992" s="2" t="e">
        <v>#N/A</v>
      </c>
      <c r="EC992" s="60"/>
      <c r="ED992" s="60"/>
      <c r="EE992" s="60"/>
      <c r="EF992" s="60"/>
      <c r="EH992" s="60"/>
      <c r="EI992" s="60"/>
      <c r="EJ992" s="60"/>
    </row>
    <row r="993" spans="2:140" ht="12.75" hidden="1" customHeight="1">
      <c r="B993" s="99" t="s">
        <v>1547</v>
      </c>
      <c r="C993" s="22" t="s">
        <v>726</v>
      </c>
      <c r="D993" s="22" t="s">
        <v>727</v>
      </c>
      <c r="E993" s="2" t="s">
        <v>260</v>
      </c>
      <c r="F993" s="2" t="s">
        <v>1025</v>
      </c>
      <c r="G993" s="2" t="s">
        <v>994</v>
      </c>
      <c r="J993" s="149" t="s">
        <v>728</v>
      </c>
      <c r="K993" s="23" t="s">
        <v>729</v>
      </c>
      <c r="L993" s="149" t="s">
        <v>1334</v>
      </c>
      <c r="M993" s="51" t="str">
        <f t="shared" si="1089"/>
        <v>MJD8B -LBBA-AFW</v>
      </c>
      <c r="O993" s="22">
        <v>1</v>
      </c>
      <c r="P993" s="22">
        <v>0</v>
      </c>
      <c r="Q993" s="22">
        <v>0</v>
      </c>
      <c r="R993" s="22">
        <v>0</v>
      </c>
      <c r="S993" s="22">
        <v>0</v>
      </c>
      <c r="T993" s="22">
        <v>0</v>
      </c>
      <c r="U993" s="22">
        <v>0</v>
      </c>
      <c r="V993" s="22">
        <v>0</v>
      </c>
      <c r="W993" s="64">
        <f t="shared" si="1091"/>
        <v>0.14000000000000001</v>
      </c>
      <c r="Y993" s="60">
        <v>-750.76</v>
      </c>
      <c r="Z993" s="8"/>
      <c r="AA993" s="8">
        <v>-8.44</v>
      </c>
      <c r="AB993" s="8">
        <v>-2.12</v>
      </c>
      <c r="AC993" s="8"/>
      <c r="AD993" s="8">
        <f t="shared" si="1121"/>
        <v>-761.32</v>
      </c>
      <c r="AE993" s="2" t="s">
        <v>84</v>
      </c>
      <c r="AG993" s="8">
        <f>-283800-7009600-85000</f>
        <v>-7378400</v>
      </c>
      <c r="AH993" s="8">
        <f>-283800-7009600-85000</f>
        <v>-7378400</v>
      </c>
      <c r="AJ993" s="70"/>
      <c r="AK993" s="70"/>
      <c r="AL993" s="72"/>
      <c r="AM993" s="22"/>
      <c r="AO993" s="22" t="s">
        <v>1548</v>
      </c>
      <c r="AP993" s="23" t="s">
        <v>1001</v>
      </c>
      <c r="AQ993" s="22" t="s">
        <v>785</v>
      </c>
      <c r="AR993" s="51" t="str">
        <f t="shared" si="1090"/>
        <v>M+J867:AH876JD8B -LBBA-AEW</v>
      </c>
      <c r="AS993" s="3"/>
      <c r="AT993" s="22">
        <v>1</v>
      </c>
      <c r="AU993" s="22">
        <v>0</v>
      </c>
      <c r="AV993" s="22">
        <v>0</v>
      </c>
      <c r="AW993" s="22">
        <v>0</v>
      </c>
      <c r="AX993" s="22">
        <v>0</v>
      </c>
      <c r="AY993" s="22">
        <v>0</v>
      </c>
      <c r="AZ993" s="22">
        <v>0</v>
      </c>
      <c r="BA993" s="22">
        <v>0</v>
      </c>
      <c r="BB993" s="64">
        <f t="shared" si="1113"/>
        <v>0.14000000000000001</v>
      </c>
      <c r="BD993" s="8">
        <v>-750.76</v>
      </c>
      <c r="BE993" s="8"/>
      <c r="BF993" s="8">
        <v>-8.44</v>
      </c>
      <c r="BG993" s="8">
        <v>-2.12</v>
      </c>
      <c r="BH993" s="8"/>
      <c r="BI993" s="8">
        <f t="shared" ref="BI993:BI995" si="1123">SUM(BD993:BH993)</f>
        <v>-761.32</v>
      </c>
      <c r="BJ993" s="2" t="s">
        <v>84</v>
      </c>
      <c r="BL993" s="8">
        <f>-283800-7009600-85000</f>
        <v>-7378400</v>
      </c>
      <c r="BM993" s="8">
        <f>-283800-7009600-85000</f>
        <v>-7378400</v>
      </c>
      <c r="BN993" s="6"/>
      <c r="BO993" s="70"/>
      <c r="BP993" s="70"/>
      <c r="BQ993" s="72"/>
      <c r="BS993" s="61">
        <f t="shared" ref="BS993:BX995" si="1124">SUM(Y993)-SUM(BD993)</f>
        <v>0</v>
      </c>
      <c r="BT993" s="61">
        <f t="shared" si="1124"/>
        <v>0</v>
      </c>
      <c r="BU993" s="61">
        <f t="shared" si="1124"/>
        <v>0</v>
      </c>
      <c r="BV993" s="61">
        <f t="shared" si="1124"/>
        <v>0</v>
      </c>
      <c r="BW993" s="61">
        <f t="shared" si="1124"/>
        <v>0</v>
      </c>
      <c r="BX993" s="61">
        <f t="shared" si="1124"/>
        <v>0</v>
      </c>
      <c r="BY993" s="61" t="s">
        <v>91</v>
      </c>
      <c r="CA993" s="61">
        <f t="shared" ref="CA993:CH995" si="1125">($Y993*O993-AT993*$BD993)/$C$2</f>
        <v>0</v>
      </c>
      <c r="CB993" s="61">
        <f t="shared" si="1125"/>
        <v>0</v>
      </c>
      <c r="CC993" s="61">
        <f t="shared" si="1125"/>
        <v>0</v>
      </c>
      <c r="CD993" s="61">
        <f t="shared" si="1125"/>
        <v>0</v>
      </c>
      <c r="CE993" s="61">
        <f t="shared" si="1125"/>
        <v>0</v>
      </c>
      <c r="CF993" s="61">
        <f t="shared" si="1125"/>
        <v>0</v>
      </c>
      <c r="CG993" s="61">
        <f t="shared" si="1125"/>
        <v>0</v>
      </c>
      <c r="CH993" s="61">
        <f t="shared" si="1125"/>
        <v>0</v>
      </c>
      <c r="CI993" s="61">
        <f>SUMPRODUCT(CA993:CH993,$O$6:$V$6)</f>
        <v>0</v>
      </c>
      <c r="CJ993" s="61"/>
      <c r="CK993" s="61">
        <f t="shared" ref="CK993:CR995" si="1126">(O993*$AD993-AT993*$BI993)/$C$2</f>
        <v>0</v>
      </c>
      <c r="CL993" s="61">
        <f t="shared" si="1126"/>
        <v>0</v>
      </c>
      <c r="CM993" s="61">
        <f t="shared" si="1126"/>
        <v>0</v>
      </c>
      <c r="CN993" s="61">
        <f t="shared" si="1126"/>
        <v>0</v>
      </c>
      <c r="CO993" s="61">
        <f t="shared" si="1126"/>
        <v>0</v>
      </c>
      <c r="CP993" s="61">
        <f t="shared" si="1126"/>
        <v>0</v>
      </c>
      <c r="CQ993" s="61">
        <f t="shared" si="1126"/>
        <v>0</v>
      </c>
      <c r="CR993" s="61">
        <f t="shared" si="1126"/>
        <v>0</v>
      </c>
      <c r="CS993" s="61">
        <f>SUMPRODUCT(CK993:CR993,$O$6:$V$6)</f>
        <v>0</v>
      </c>
      <c r="CT993" s="67">
        <f t="shared" si="1069"/>
        <v>0</v>
      </c>
      <c r="CV993" s="61">
        <f t="shared" ref="CV993:CV996" si="1127">SUM(AG993)-SUM(BL993)</f>
        <v>0</v>
      </c>
      <c r="CW993" s="61">
        <f t="shared" ref="CW993:CW996" si="1128">SUM(AH993)-SUM(BM993)</f>
        <v>0</v>
      </c>
      <c r="CX993" s="61"/>
      <c r="CY993" s="61">
        <f t="shared" ref="CY993:DA996" si="1129">SUM(AJ993)-SUM(BO993)</f>
        <v>0</v>
      </c>
      <c r="CZ993" s="61">
        <f t="shared" si="1129"/>
        <v>0</v>
      </c>
      <c r="DA993" s="61">
        <f t="shared" si="1129"/>
        <v>0</v>
      </c>
      <c r="DB993" s="2" t="s">
        <v>85</v>
      </c>
      <c r="DC993" s="2" t="s">
        <v>85</v>
      </c>
      <c r="DD993" s="2" t="s">
        <v>142</v>
      </c>
      <c r="DE993" s="2" t="s">
        <v>106</v>
      </c>
      <c r="DF993" s="3" t="s">
        <v>86</v>
      </c>
      <c r="DG993" s="62">
        <v>43084</v>
      </c>
      <c r="EC993" s="60"/>
      <c r="ED993" s="60"/>
      <c r="EE993" s="60"/>
      <c r="EF993" s="60"/>
    </row>
    <row r="994" spans="2:140" ht="12.75" hidden="1" customHeight="1">
      <c r="B994" s="99" t="s">
        <v>1547</v>
      </c>
      <c r="C994" s="22" t="s">
        <v>726</v>
      </c>
      <c r="D994" s="22" t="s">
        <v>727</v>
      </c>
      <c r="E994" s="2" t="s">
        <v>260</v>
      </c>
      <c r="F994" s="2" t="s">
        <v>1025</v>
      </c>
      <c r="G994" s="2" t="s">
        <v>994</v>
      </c>
      <c r="J994" s="149" t="s">
        <v>728</v>
      </c>
      <c r="K994" s="23" t="s">
        <v>729</v>
      </c>
      <c r="L994" s="149" t="s">
        <v>1335</v>
      </c>
      <c r="M994" s="51" t="str">
        <f t="shared" si="1089"/>
        <v>MJD8B -LBBA-BFW</v>
      </c>
      <c r="O994" s="22">
        <v>0</v>
      </c>
      <c r="P994" s="22">
        <v>1</v>
      </c>
      <c r="Q994" s="22">
        <v>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64">
        <f t="shared" si="1091"/>
        <v>0.16</v>
      </c>
      <c r="Y994" s="60">
        <v>-750.76</v>
      </c>
      <c r="Z994" s="8"/>
      <c r="AA994" s="8">
        <v>-8.44</v>
      </c>
      <c r="AB994" s="8">
        <v>-2.12</v>
      </c>
      <c r="AC994" s="8"/>
      <c r="AD994" s="8">
        <f t="shared" si="1121"/>
        <v>-761.32</v>
      </c>
      <c r="AE994" s="2" t="s">
        <v>84</v>
      </c>
      <c r="AG994" s="8"/>
      <c r="AH994" s="8"/>
      <c r="AJ994" s="70"/>
      <c r="AK994" s="70"/>
      <c r="AL994" s="72"/>
      <c r="AM994" s="22"/>
      <c r="AO994" s="22" t="s">
        <v>728</v>
      </c>
      <c r="AP994" s="23" t="s">
        <v>1001</v>
      </c>
      <c r="AQ994" s="22" t="s">
        <v>1505</v>
      </c>
      <c r="AR994" s="51" t="str">
        <f t="shared" si="1090"/>
        <v>MJD8B -LBBA-BEW</v>
      </c>
      <c r="AS994" s="3"/>
      <c r="AT994" s="22">
        <v>0</v>
      </c>
      <c r="AU994" s="22">
        <v>1</v>
      </c>
      <c r="AV994" s="22">
        <v>0</v>
      </c>
      <c r="AW994" s="22">
        <v>0</v>
      </c>
      <c r="AX994" s="22">
        <v>0</v>
      </c>
      <c r="AY994" s="22">
        <v>0</v>
      </c>
      <c r="AZ994" s="22">
        <v>0</v>
      </c>
      <c r="BA994" s="22">
        <v>0</v>
      </c>
      <c r="BB994" s="64">
        <f t="shared" si="1113"/>
        <v>0.16</v>
      </c>
      <c r="BD994" s="8">
        <v>-750.76</v>
      </c>
      <c r="BE994" s="8"/>
      <c r="BF994" s="8">
        <v>-8.44</v>
      </c>
      <c r="BG994" s="8">
        <v>-2.12</v>
      </c>
      <c r="BH994" s="8"/>
      <c r="BI994" s="8">
        <f t="shared" si="1123"/>
        <v>-761.32</v>
      </c>
      <c r="BJ994" s="2" t="s">
        <v>84</v>
      </c>
      <c r="BL994" s="8"/>
      <c r="BM994" s="8"/>
      <c r="BN994" s="6"/>
      <c r="BO994" s="70"/>
      <c r="BP994" s="70"/>
      <c r="BQ994" s="72"/>
      <c r="BS994" s="61">
        <f t="shared" si="1124"/>
        <v>0</v>
      </c>
      <c r="BT994" s="61">
        <f t="shared" si="1124"/>
        <v>0</v>
      </c>
      <c r="BU994" s="61">
        <f t="shared" si="1124"/>
        <v>0</v>
      </c>
      <c r="BV994" s="61">
        <f t="shared" si="1124"/>
        <v>0</v>
      </c>
      <c r="BW994" s="61">
        <f t="shared" si="1124"/>
        <v>0</v>
      </c>
      <c r="BX994" s="61">
        <f t="shared" si="1124"/>
        <v>0</v>
      </c>
      <c r="BY994" s="61" t="s">
        <v>91</v>
      </c>
      <c r="CA994" s="61">
        <f t="shared" si="1125"/>
        <v>0</v>
      </c>
      <c r="CB994" s="61">
        <f t="shared" si="1125"/>
        <v>0</v>
      </c>
      <c r="CC994" s="61">
        <f t="shared" si="1125"/>
        <v>0</v>
      </c>
      <c r="CD994" s="61">
        <f t="shared" si="1125"/>
        <v>0</v>
      </c>
      <c r="CE994" s="61">
        <f t="shared" si="1125"/>
        <v>0</v>
      </c>
      <c r="CF994" s="61">
        <f t="shared" si="1125"/>
        <v>0</v>
      </c>
      <c r="CG994" s="61">
        <f t="shared" si="1125"/>
        <v>0</v>
      </c>
      <c r="CH994" s="61">
        <f t="shared" si="1125"/>
        <v>0</v>
      </c>
      <c r="CI994" s="61">
        <f>SUMPRODUCT(CA994:CH994,$O$6:$V$6)</f>
        <v>0</v>
      </c>
      <c r="CJ994" s="61"/>
      <c r="CK994" s="61">
        <f t="shared" si="1126"/>
        <v>0</v>
      </c>
      <c r="CL994" s="61">
        <f t="shared" si="1126"/>
        <v>0</v>
      </c>
      <c r="CM994" s="61">
        <f t="shared" si="1126"/>
        <v>0</v>
      </c>
      <c r="CN994" s="61">
        <f t="shared" si="1126"/>
        <v>0</v>
      </c>
      <c r="CO994" s="61">
        <f t="shared" si="1126"/>
        <v>0</v>
      </c>
      <c r="CP994" s="61">
        <f t="shared" si="1126"/>
        <v>0</v>
      </c>
      <c r="CQ994" s="61">
        <f t="shared" si="1126"/>
        <v>0</v>
      </c>
      <c r="CR994" s="61">
        <f t="shared" si="1126"/>
        <v>0</v>
      </c>
      <c r="CS994" s="61">
        <f>SUMPRODUCT(CK994:CR994,$O$6:$V$6)</f>
        <v>0</v>
      </c>
      <c r="CT994" s="67">
        <f t="shared" si="1069"/>
        <v>0</v>
      </c>
      <c r="CV994" s="61">
        <f t="shared" si="1127"/>
        <v>0</v>
      </c>
      <c r="CW994" s="61">
        <f t="shared" si="1128"/>
        <v>0</v>
      </c>
      <c r="CX994" s="61"/>
      <c r="CY994" s="61">
        <f t="shared" si="1129"/>
        <v>0</v>
      </c>
      <c r="CZ994" s="61">
        <f t="shared" si="1129"/>
        <v>0</v>
      </c>
      <c r="DA994" s="61">
        <f t="shared" si="1129"/>
        <v>0</v>
      </c>
      <c r="DB994" s="2" t="s">
        <v>85</v>
      </c>
      <c r="DC994" s="2" t="s">
        <v>85</v>
      </c>
      <c r="DD994" s="2" t="s">
        <v>142</v>
      </c>
      <c r="DE994" s="2" t="s">
        <v>106</v>
      </c>
      <c r="DF994" s="3" t="s">
        <v>86</v>
      </c>
      <c r="DG994" s="62">
        <v>43084</v>
      </c>
      <c r="EC994" s="60"/>
      <c r="ED994" s="60"/>
      <c r="EE994" s="60"/>
      <c r="EF994" s="60"/>
    </row>
    <row r="995" spans="2:140" ht="12.75" hidden="1" customHeight="1">
      <c r="B995" s="99" t="s">
        <v>1547</v>
      </c>
      <c r="C995" s="22" t="s">
        <v>726</v>
      </c>
      <c r="D995" s="22" t="s">
        <v>727</v>
      </c>
      <c r="E995" s="2" t="s">
        <v>260</v>
      </c>
      <c r="F995" s="2" t="s">
        <v>1025</v>
      </c>
      <c r="G995" s="2" t="s">
        <v>994</v>
      </c>
      <c r="J995" s="149" t="s">
        <v>728</v>
      </c>
      <c r="K995" s="23" t="s">
        <v>729</v>
      </c>
      <c r="L995" s="149" t="s">
        <v>1347</v>
      </c>
      <c r="M995" s="51" t="str">
        <f t="shared" si="1089"/>
        <v>MJD8B -LBBA-CFW</v>
      </c>
      <c r="O995" s="22">
        <v>0</v>
      </c>
      <c r="P995" s="22">
        <v>0</v>
      </c>
      <c r="Q995" s="22">
        <v>0</v>
      </c>
      <c r="R995" s="22">
        <v>0</v>
      </c>
      <c r="S995" s="22">
        <v>0</v>
      </c>
      <c r="T995" s="22">
        <v>0</v>
      </c>
      <c r="U995" s="22">
        <v>0</v>
      </c>
      <c r="V995" s="22">
        <v>0</v>
      </c>
      <c r="W995" s="64">
        <f t="shared" si="1091"/>
        <v>0</v>
      </c>
      <c r="Y995" s="60">
        <v>-735.22</v>
      </c>
      <c r="Z995" s="8"/>
      <c r="AA995" s="8">
        <v>-8.44</v>
      </c>
      <c r="AB995" s="8">
        <v>-2.12</v>
      </c>
      <c r="AC995" s="8"/>
      <c r="AD995" s="8">
        <f t="shared" si="1121"/>
        <v>-745.78000000000009</v>
      </c>
      <c r="AE995" s="2" t="s">
        <v>84</v>
      </c>
      <c r="AG995" s="8"/>
      <c r="AH995" s="8"/>
      <c r="AJ995" s="70"/>
      <c r="AK995" s="70"/>
      <c r="AL995" s="72"/>
      <c r="AM995" s="22"/>
      <c r="AO995" s="22" t="s">
        <v>728</v>
      </c>
      <c r="AP995" s="23" t="s">
        <v>1001</v>
      </c>
      <c r="AQ995" s="22" t="s">
        <v>1401</v>
      </c>
      <c r="AR995" s="51" t="str">
        <f t="shared" si="1090"/>
        <v>MJD8B -LBBA-CEW</v>
      </c>
      <c r="AS995" s="3"/>
      <c r="AT995" s="22">
        <v>0</v>
      </c>
      <c r="AU995" s="22">
        <v>0</v>
      </c>
      <c r="AV995" s="22">
        <v>0</v>
      </c>
      <c r="AW995" s="22">
        <v>0</v>
      </c>
      <c r="AX995" s="22">
        <v>0</v>
      </c>
      <c r="AY995" s="22">
        <v>0</v>
      </c>
      <c r="AZ995" s="22">
        <v>0</v>
      </c>
      <c r="BA995" s="22">
        <v>0</v>
      </c>
      <c r="BB995" s="64">
        <f t="shared" si="1113"/>
        <v>0</v>
      </c>
      <c r="BD995" s="8">
        <v>-735.22</v>
      </c>
      <c r="BE995" s="8"/>
      <c r="BF995" s="8">
        <v>-8.44</v>
      </c>
      <c r="BG995" s="8">
        <v>-2.12</v>
      </c>
      <c r="BH995" s="8"/>
      <c r="BI995" s="8">
        <f t="shared" si="1123"/>
        <v>-745.78000000000009</v>
      </c>
      <c r="BJ995" s="2" t="s">
        <v>84</v>
      </c>
      <c r="BL995" s="8"/>
      <c r="BM995" s="8"/>
      <c r="BN995" s="6"/>
      <c r="BO995" s="70"/>
      <c r="BP995" s="70"/>
      <c r="BQ995" s="72"/>
      <c r="BS995" s="61">
        <f t="shared" si="1124"/>
        <v>0</v>
      </c>
      <c r="BT995" s="61">
        <f t="shared" si="1124"/>
        <v>0</v>
      </c>
      <c r="BU995" s="61">
        <f t="shared" si="1124"/>
        <v>0</v>
      </c>
      <c r="BV995" s="61">
        <f t="shared" si="1124"/>
        <v>0</v>
      </c>
      <c r="BW995" s="61">
        <f t="shared" si="1124"/>
        <v>0</v>
      </c>
      <c r="BX995" s="61">
        <f t="shared" si="1124"/>
        <v>0</v>
      </c>
      <c r="BY995" s="61" t="s">
        <v>91</v>
      </c>
      <c r="CA995" s="61">
        <f t="shared" si="1125"/>
        <v>0</v>
      </c>
      <c r="CB995" s="61">
        <f t="shared" si="1125"/>
        <v>0</v>
      </c>
      <c r="CC995" s="61">
        <f t="shared" si="1125"/>
        <v>0</v>
      </c>
      <c r="CD995" s="61">
        <f t="shared" si="1125"/>
        <v>0</v>
      </c>
      <c r="CE995" s="61">
        <f t="shared" si="1125"/>
        <v>0</v>
      </c>
      <c r="CF995" s="61">
        <f t="shared" si="1125"/>
        <v>0</v>
      </c>
      <c r="CG995" s="61">
        <f t="shared" si="1125"/>
        <v>0</v>
      </c>
      <c r="CH995" s="61">
        <f t="shared" si="1125"/>
        <v>0</v>
      </c>
      <c r="CI995" s="61">
        <f>SUMPRODUCT(CA995:CH995,$O$6:$V$6)</f>
        <v>0</v>
      </c>
      <c r="CJ995" s="61"/>
      <c r="CK995" s="61">
        <f t="shared" si="1126"/>
        <v>0</v>
      </c>
      <c r="CL995" s="61">
        <f t="shared" si="1126"/>
        <v>0</v>
      </c>
      <c r="CM995" s="61">
        <f t="shared" si="1126"/>
        <v>0</v>
      </c>
      <c r="CN995" s="61">
        <f t="shared" si="1126"/>
        <v>0</v>
      </c>
      <c r="CO995" s="61">
        <f t="shared" si="1126"/>
        <v>0</v>
      </c>
      <c r="CP995" s="61">
        <f t="shared" si="1126"/>
        <v>0</v>
      </c>
      <c r="CQ995" s="61">
        <f t="shared" si="1126"/>
        <v>0</v>
      </c>
      <c r="CR995" s="61">
        <f t="shared" si="1126"/>
        <v>0</v>
      </c>
      <c r="CS995" s="61">
        <f>SUMPRODUCT(CK995:CR995,$O$6:$V$6)</f>
        <v>0</v>
      </c>
      <c r="CT995" s="67">
        <f t="shared" si="1069"/>
        <v>0</v>
      </c>
      <c r="CV995" s="61">
        <f t="shared" si="1127"/>
        <v>0</v>
      </c>
      <c r="CW995" s="61">
        <f t="shared" si="1128"/>
        <v>0</v>
      </c>
      <c r="CX995" s="61"/>
      <c r="CY995" s="61">
        <f t="shared" si="1129"/>
        <v>0</v>
      </c>
      <c r="CZ995" s="61">
        <f t="shared" si="1129"/>
        <v>0</v>
      </c>
      <c r="DA995" s="61">
        <f t="shared" si="1129"/>
        <v>0</v>
      </c>
      <c r="DB995" s="2" t="s">
        <v>85</v>
      </c>
      <c r="DC995" s="2" t="s">
        <v>85</v>
      </c>
      <c r="DD995" s="2" t="s">
        <v>142</v>
      </c>
      <c r="DE995" s="2" t="s">
        <v>106</v>
      </c>
      <c r="DF995" s="3" t="s">
        <v>86</v>
      </c>
      <c r="DG995" s="62">
        <v>43084</v>
      </c>
      <c r="EC995" s="60"/>
      <c r="ED995" s="60"/>
      <c r="EE995" s="60"/>
      <c r="EF995" s="60"/>
    </row>
    <row r="996" spans="2:140" ht="12.75" hidden="1" customHeight="1">
      <c r="B996" s="99" t="s">
        <v>1547</v>
      </c>
      <c r="C996" s="22" t="s">
        <v>726</v>
      </c>
      <c r="D996" s="22" t="s">
        <v>727</v>
      </c>
      <c r="E996" s="2" t="s">
        <v>260</v>
      </c>
      <c r="F996" s="2" t="s">
        <v>1025</v>
      </c>
      <c r="G996" s="2" t="s">
        <v>994</v>
      </c>
      <c r="J996" s="149" t="s">
        <v>728</v>
      </c>
      <c r="K996" s="23" t="s">
        <v>729</v>
      </c>
      <c r="L996" s="149" t="s">
        <v>1336</v>
      </c>
      <c r="M996" s="51" t="str">
        <f t="shared" si="1089"/>
        <v>MJD8B -LBBA-DFW</v>
      </c>
      <c r="O996" s="22">
        <v>0</v>
      </c>
      <c r="P996" s="22">
        <v>0</v>
      </c>
      <c r="Q996" s="22">
        <v>0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64">
        <f t="shared" si="1091"/>
        <v>0</v>
      </c>
      <c r="Y996" s="60">
        <v>-735.22</v>
      </c>
      <c r="Z996" s="8"/>
      <c r="AA996" s="8">
        <v>-8.44</v>
      </c>
      <c r="AB996" s="8">
        <v>-2.12</v>
      </c>
      <c r="AC996" s="8"/>
      <c r="AD996" s="8">
        <f>SUM(Y996:AC996)</f>
        <v>-745.78000000000009</v>
      </c>
      <c r="AE996" s="2" t="s">
        <v>84</v>
      </c>
      <c r="AG996" s="8"/>
      <c r="AH996" s="8"/>
      <c r="AJ996" s="70"/>
      <c r="AK996" s="70"/>
      <c r="AL996" s="72"/>
      <c r="AM996" s="22"/>
      <c r="AO996" s="22" t="s">
        <v>728</v>
      </c>
      <c r="AP996" s="23" t="s">
        <v>1001</v>
      </c>
      <c r="AQ996" s="22" t="s">
        <v>1538</v>
      </c>
      <c r="AR996" s="51" t="str">
        <f t="shared" si="1090"/>
        <v>MJD8B -LBBA-DEW</v>
      </c>
      <c r="AS996" s="3"/>
      <c r="AT996" s="22">
        <v>0</v>
      </c>
      <c r="AU996" s="22">
        <v>0</v>
      </c>
      <c r="AV996" s="22">
        <v>0</v>
      </c>
      <c r="AW996" s="22">
        <v>0</v>
      </c>
      <c r="AX996" s="22">
        <v>0</v>
      </c>
      <c r="AY996" s="22">
        <v>0</v>
      </c>
      <c r="AZ996" s="22">
        <v>0</v>
      </c>
      <c r="BA996" s="22">
        <v>0</v>
      </c>
      <c r="BB996" s="64">
        <f t="shared" si="1113"/>
        <v>0</v>
      </c>
      <c r="BD996" s="8">
        <v>-735.22</v>
      </c>
      <c r="BE996" s="8"/>
      <c r="BF996" s="8">
        <v>-8.44</v>
      </c>
      <c r="BG996" s="8">
        <v>-2.12</v>
      </c>
      <c r="BH996" s="8"/>
      <c r="BI996" s="8">
        <f>SUM(BD996:BH996)</f>
        <v>-745.78000000000009</v>
      </c>
      <c r="BJ996" s="2" t="s">
        <v>84</v>
      </c>
      <c r="BL996" s="8"/>
      <c r="BM996" s="8"/>
      <c r="BN996" s="6"/>
      <c r="BO996" s="70"/>
      <c r="BP996" s="70"/>
      <c r="BQ996" s="72"/>
      <c r="BS996" s="61">
        <f t="shared" ref="BS996:BX996" si="1130">SUM(Y997)-SUM(BD996)</f>
        <v>-305.6099999999999</v>
      </c>
      <c r="BT996" s="61">
        <f t="shared" si="1130"/>
        <v>0</v>
      </c>
      <c r="BU996" s="61">
        <f t="shared" si="1130"/>
        <v>-2.000000000000135E-2</v>
      </c>
      <c r="BV996" s="61">
        <f t="shared" si="1130"/>
        <v>0</v>
      </c>
      <c r="BW996" s="61">
        <f t="shared" si="1130"/>
        <v>0</v>
      </c>
      <c r="BX996" s="61">
        <f t="shared" si="1130"/>
        <v>-305.62999999999977</v>
      </c>
      <c r="BY996" s="61" t="s">
        <v>91</v>
      </c>
      <c r="CA996" s="61">
        <f t="shared" ref="CA996:CH996" si="1131">($Y997*O996-AT996*$BD996)/$C$2</f>
        <v>0</v>
      </c>
      <c r="CB996" s="61">
        <f t="shared" si="1131"/>
        <v>0</v>
      </c>
      <c r="CC996" s="61">
        <f t="shared" si="1131"/>
        <v>0</v>
      </c>
      <c r="CD996" s="61">
        <f t="shared" si="1131"/>
        <v>0</v>
      </c>
      <c r="CE996" s="61">
        <f t="shared" si="1131"/>
        <v>0</v>
      </c>
      <c r="CF996" s="61">
        <f t="shared" si="1131"/>
        <v>0</v>
      </c>
      <c r="CG996" s="61">
        <f t="shared" si="1131"/>
        <v>0</v>
      </c>
      <c r="CH996" s="61">
        <f t="shared" si="1131"/>
        <v>0</v>
      </c>
      <c r="CI996" s="61">
        <f>SUMPRODUCT(CA996:CH996,$O$6:$V$6)</f>
        <v>0</v>
      </c>
      <c r="CJ996" s="61"/>
      <c r="CK996" s="61">
        <f t="shared" ref="CK996:CR996" si="1132">(O996*$AD997-AT996*$BI996)/$C$2</f>
        <v>0</v>
      </c>
      <c r="CL996" s="61">
        <f t="shared" si="1132"/>
        <v>0</v>
      </c>
      <c r="CM996" s="61">
        <f t="shared" si="1132"/>
        <v>0</v>
      </c>
      <c r="CN996" s="61">
        <f t="shared" si="1132"/>
        <v>0</v>
      </c>
      <c r="CO996" s="61">
        <f t="shared" si="1132"/>
        <v>0</v>
      </c>
      <c r="CP996" s="61">
        <f t="shared" si="1132"/>
        <v>0</v>
      </c>
      <c r="CQ996" s="61">
        <f t="shared" si="1132"/>
        <v>0</v>
      </c>
      <c r="CR996" s="61">
        <f t="shared" si="1132"/>
        <v>0</v>
      </c>
      <c r="CS996" s="61">
        <f>SUMPRODUCT(CK996:CR996,$O$6:$V$6)</f>
        <v>0</v>
      </c>
      <c r="CT996" s="67">
        <f t="shared" si="1069"/>
        <v>0</v>
      </c>
      <c r="CV996" s="61">
        <f t="shared" si="1127"/>
        <v>0</v>
      </c>
      <c r="CW996" s="61">
        <f t="shared" si="1128"/>
        <v>0</v>
      </c>
      <c r="CX996" s="61"/>
      <c r="CY996" s="61">
        <f t="shared" si="1129"/>
        <v>0</v>
      </c>
      <c r="CZ996" s="61">
        <f t="shared" si="1129"/>
        <v>0</v>
      </c>
      <c r="DA996" s="61">
        <f t="shared" si="1129"/>
        <v>0</v>
      </c>
      <c r="DB996" s="2" t="s">
        <v>85</v>
      </c>
      <c r="DC996" s="2" t="s">
        <v>85</v>
      </c>
      <c r="DD996" s="2" t="s">
        <v>142</v>
      </c>
      <c r="DE996" s="2" t="s">
        <v>106</v>
      </c>
      <c r="DF996" s="3" t="s">
        <v>86</v>
      </c>
      <c r="DG996" s="62">
        <v>43084</v>
      </c>
      <c r="EC996" s="60"/>
      <c r="ED996" s="60"/>
      <c r="EE996" s="60"/>
      <c r="EF996" s="60"/>
    </row>
    <row r="997" spans="2:140" ht="12.75" hidden="1" customHeight="1">
      <c r="B997" s="99" t="s">
        <v>1547</v>
      </c>
      <c r="C997" s="22" t="s">
        <v>726</v>
      </c>
      <c r="D997" s="22" t="s">
        <v>727</v>
      </c>
      <c r="E997" s="2" t="s">
        <v>260</v>
      </c>
      <c r="F997" s="2" t="s">
        <v>1025</v>
      </c>
      <c r="G997" s="2" t="s">
        <v>994</v>
      </c>
      <c r="J997" s="149" t="s">
        <v>728</v>
      </c>
      <c r="K997" s="23" t="s">
        <v>729</v>
      </c>
      <c r="L997" s="149" t="s">
        <v>1549</v>
      </c>
      <c r="M997" s="51" t="str">
        <f t="shared" si="1089"/>
        <v>MJD8B -LBBA-EFW</v>
      </c>
      <c r="O997" s="22">
        <v>0</v>
      </c>
      <c r="P997" s="22">
        <v>0</v>
      </c>
      <c r="Q997" s="22">
        <v>1</v>
      </c>
      <c r="R997" s="22">
        <v>0</v>
      </c>
      <c r="S997" s="22">
        <v>0</v>
      </c>
      <c r="T997" s="22">
        <v>0</v>
      </c>
      <c r="U997" s="22">
        <v>0</v>
      </c>
      <c r="V997" s="22">
        <v>0</v>
      </c>
      <c r="W997" s="64">
        <f t="shared" si="1091"/>
        <v>0.14000000000000001</v>
      </c>
      <c r="Y997" s="60">
        <v>-1040.83</v>
      </c>
      <c r="Z997" s="8"/>
      <c r="AA997" s="8">
        <v>-8.4600000000000009</v>
      </c>
      <c r="AB997" s="8">
        <v>-2.12</v>
      </c>
      <c r="AC997" s="8"/>
      <c r="AD997" s="8">
        <f>SUM(Y997:AC997)</f>
        <v>-1051.4099999999999</v>
      </c>
      <c r="AE997" s="2" t="s">
        <v>84</v>
      </c>
      <c r="AG997" s="8"/>
      <c r="AH997" s="8"/>
      <c r="AJ997" s="70"/>
      <c r="AK997" s="70"/>
      <c r="AL997" s="72"/>
      <c r="AM997" s="22"/>
      <c r="AO997" s="22" t="s">
        <v>728</v>
      </c>
      <c r="AP997" s="23" t="s">
        <v>1001</v>
      </c>
      <c r="AQ997" s="22" t="s">
        <v>1539</v>
      </c>
      <c r="AR997" s="51" t="str">
        <f>TRIM(AO997)&amp;"-"&amp;TRIM(AP997)&amp;"-"&amp;TRIM(AQ997)</f>
        <v>MJD8B -LBBA-EEW</v>
      </c>
      <c r="AS997" s="3"/>
      <c r="AT997" s="22">
        <v>0</v>
      </c>
      <c r="AU997" s="22">
        <v>0</v>
      </c>
      <c r="AV997" s="22">
        <v>1</v>
      </c>
      <c r="AW997" s="22">
        <v>0</v>
      </c>
      <c r="AX997" s="22">
        <v>0</v>
      </c>
      <c r="AY997" s="22">
        <v>0</v>
      </c>
      <c r="AZ997" s="22">
        <v>0</v>
      </c>
      <c r="BA997" s="22">
        <v>0</v>
      </c>
      <c r="BB997" s="64">
        <f t="shared" si="1113"/>
        <v>0.14000000000000001</v>
      </c>
      <c r="BD997" s="8">
        <v>-1040.83</v>
      </c>
      <c r="BE997" s="8"/>
      <c r="BF997" s="8">
        <v>-8.4600000000000009</v>
      </c>
      <c r="BG997" s="8">
        <v>-2.12</v>
      </c>
      <c r="BH997" s="8"/>
      <c r="BI997" s="8">
        <f>SUM(BD997:BH997)</f>
        <v>-1051.4099999999999</v>
      </c>
      <c r="BJ997" s="2" t="s">
        <v>84</v>
      </c>
      <c r="BL997" s="8"/>
      <c r="BM997" s="8"/>
      <c r="BN997" s="6"/>
      <c r="BO997" s="70"/>
      <c r="BP997" s="70"/>
      <c r="BQ997" s="72"/>
      <c r="BS997" s="61">
        <v>0</v>
      </c>
      <c r="BT997" s="61">
        <v>0</v>
      </c>
      <c r="BU997" s="61">
        <v>0</v>
      </c>
      <c r="BV997" s="61">
        <v>0</v>
      </c>
      <c r="BW997" s="61">
        <v>0</v>
      </c>
      <c r="BX997" s="61">
        <v>0</v>
      </c>
      <c r="BY997" s="61" t="s">
        <v>91</v>
      </c>
      <c r="CA997" s="61">
        <v>0</v>
      </c>
      <c r="CB997" s="61">
        <v>0</v>
      </c>
      <c r="CC997" s="61">
        <v>0</v>
      </c>
      <c r="CD997" s="61">
        <v>0</v>
      </c>
      <c r="CE997" s="61">
        <v>0</v>
      </c>
      <c r="CF997" s="61">
        <v>0</v>
      </c>
      <c r="CG997" s="61">
        <v>0</v>
      </c>
      <c r="CH997" s="61">
        <v>0</v>
      </c>
      <c r="CI997" s="61">
        <v>0</v>
      </c>
      <c r="CJ997" s="61"/>
      <c r="CK997" s="61">
        <v>0</v>
      </c>
      <c r="CL997" s="61">
        <v>0</v>
      </c>
      <c r="CM997" s="61">
        <v>0</v>
      </c>
      <c r="CN997" s="61">
        <v>0</v>
      </c>
      <c r="CO997" s="61">
        <v>0</v>
      </c>
      <c r="CP997" s="61">
        <v>0</v>
      </c>
      <c r="CQ997" s="61">
        <v>0</v>
      </c>
      <c r="CR997" s="61">
        <v>0</v>
      </c>
      <c r="CS997" s="61">
        <v>0</v>
      </c>
      <c r="CT997" s="67">
        <f t="shared" si="1069"/>
        <v>0</v>
      </c>
      <c r="CV997" s="61">
        <v>0</v>
      </c>
      <c r="CW997" s="61">
        <v>0</v>
      </c>
      <c r="CX997" s="61"/>
      <c r="CY997" s="61">
        <v>0</v>
      </c>
      <c r="CZ997" s="61">
        <v>0</v>
      </c>
      <c r="DA997" s="61">
        <v>0</v>
      </c>
      <c r="DB997" s="2" t="s">
        <v>85</v>
      </c>
      <c r="DC997" s="2" t="s">
        <v>85</v>
      </c>
      <c r="DD997" s="2" t="s">
        <v>142</v>
      </c>
      <c r="DE997" s="2" t="s">
        <v>106</v>
      </c>
      <c r="DF997" s="3" t="s">
        <v>86</v>
      </c>
      <c r="DG997" s="62">
        <v>43084</v>
      </c>
      <c r="DI997" s="2" t="e">
        <v>#N/A</v>
      </c>
      <c r="EC997" s="60"/>
      <c r="ED997" s="60"/>
      <c r="EE997" s="60"/>
      <c r="EF997" s="60"/>
    </row>
    <row r="998" spans="2:140" ht="12.75" hidden="1" customHeight="1">
      <c r="B998" s="99" t="s">
        <v>1547</v>
      </c>
      <c r="C998" s="22" t="s">
        <v>726</v>
      </c>
      <c r="D998" s="22" t="s">
        <v>727</v>
      </c>
      <c r="E998" s="2" t="s">
        <v>260</v>
      </c>
      <c r="F998" s="2" t="s">
        <v>1025</v>
      </c>
      <c r="G998" s="2" t="s">
        <v>994</v>
      </c>
      <c r="J998" s="149" t="s">
        <v>728</v>
      </c>
      <c r="K998" s="23" t="s">
        <v>729</v>
      </c>
      <c r="L998" s="149" t="s">
        <v>1550</v>
      </c>
      <c r="M998" s="51" t="str">
        <f t="shared" si="1089"/>
        <v>MJD8B -LBBA-FFW</v>
      </c>
      <c r="O998" s="22">
        <v>0</v>
      </c>
      <c r="P998" s="22">
        <v>0</v>
      </c>
      <c r="Q998" s="22">
        <v>0</v>
      </c>
      <c r="R998" s="22">
        <v>1</v>
      </c>
      <c r="S998" s="22">
        <v>0</v>
      </c>
      <c r="T998" s="22">
        <v>0</v>
      </c>
      <c r="U998" s="22">
        <v>0</v>
      </c>
      <c r="V998" s="22">
        <v>0</v>
      </c>
      <c r="W998" s="64">
        <f t="shared" si="1091"/>
        <v>0.23</v>
      </c>
      <c r="Y998" s="60">
        <v>-1040.83</v>
      </c>
      <c r="Z998" s="8"/>
      <c r="AA998" s="8">
        <v>-8.4600000000000009</v>
      </c>
      <c r="AB998" s="8">
        <v>-2.12</v>
      </c>
      <c r="AC998" s="8"/>
      <c r="AD998" s="8">
        <f t="shared" ref="AD998:AD999" si="1133">SUM(Y998:AC998)</f>
        <v>-1051.4099999999999</v>
      </c>
      <c r="AE998" s="2" t="s">
        <v>84</v>
      </c>
      <c r="AG998" s="8"/>
      <c r="AH998" s="8"/>
      <c r="AJ998" s="70"/>
      <c r="AK998" s="70"/>
      <c r="AL998" s="72"/>
      <c r="AM998" s="22"/>
      <c r="AO998" s="22" t="s">
        <v>728</v>
      </c>
      <c r="AP998" s="23" t="s">
        <v>1001</v>
      </c>
      <c r="AQ998" s="22" t="s">
        <v>1540</v>
      </c>
      <c r="AR998" s="51" t="str">
        <f t="shared" ref="AR998:AR1008" si="1134">TRIM(AO998)&amp;"-"&amp;TRIM(AP998)&amp;"-"&amp;TRIM(AQ998)</f>
        <v>MJD8B -LBBA-FEW</v>
      </c>
      <c r="AS998" s="3"/>
      <c r="AT998" s="22">
        <v>0</v>
      </c>
      <c r="AU998" s="22">
        <v>0</v>
      </c>
      <c r="AV998" s="22">
        <v>0</v>
      </c>
      <c r="AW998" s="22">
        <v>1</v>
      </c>
      <c r="AX998" s="22">
        <v>0</v>
      </c>
      <c r="AY998" s="22">
        <v>0</v>
      </c>
      <c r="AZ998" s="22">
        <v>0</v>
      </c>
      <c r="BA998" s="22">
        <v>0</v>
      </c>
      <c r="BB998" s="64">
        <f t="shared" si="1113"/>
        <v>0.23</v>
      </c>
      <c r="BD998" s="8">
        <v>-1040.83</v>
      </c>
      <c r="BE998" s="8"/>
      <c r="BF998" s="8">
        <v>-8.4600000000000009</v>
      </c>
      <c r="BG998" s="8">
        <v>-2.12</v>
      </c>
      <c r="BH998" s="8"/>
      <c r="BI998" s="8">
        <f t="shared" ref="BI998:BI999" si="1135">SUM(BD998:BH998)</f>
        <v>-1051.4099999999999</v>
      </c>
      <c r="BJ998" s="2" t="s">
        <v>84</v>
      </c>
      <c r="BL998" s="8"/>
      <c r="BM998" s="8"/>
      <c r="BN998" s="6"/>
      <c r="BO998" s="70"/>
      <c r="BP998" s="70"/>
      <c r="BQ998" s="72"/>
      <c r="BS998" s="61">
        <f t="shared" ref="BS998:BX1001" si="1136">SUM(Y998)-SUM(BD998)</f>
        <v>0</v>
      </c>
      <c r="BT998" s="61">
        <f t="shared" si="1136"/>
        <v>0</v>
      </c>
      <c r="BU998" s="61">
        <f t="shared" si="1136"/>
        <v>0</v>
      </c>
      <c r="BV998" s="61">
        <f t="shared" si="1136"/>
        <v>0</v>
      </c>
      <c r="BW998" s="61">
        <f t="shared" si="1136"/>
        <v>0</v>
      </c>
      <c r="BX998" s="61">
        <f t="shared" si="1136"/>
        <v>0</v>
      </c>
      <c r="BY998" s="61" t="s">
        <v>91</v>
      </c>
      <c r="CA998" s="61">
        <f t="shared" ref="CA998:CH1001" si="1137">($Y998*O998-AT998*$BD998)/$C$2</f>
        <v>0</v>
      </c>
      <c r="CB998" s="61">
        <f t="shared" si="1137"/>
        <v>0</v>
      </c>
      <c r="CC998" s="61">
        <f t="shared" si="1137"/>
        <v>0</v>
      </c>
      <c r="CD998" s="61">
        <f t="shared" si="1137"/>
        <v>0</v>
      </c>
      <c r="CE998" s="61">
        <f t="shared" si="1137"/>
        <v>0</v>
      </c>
      <c r="CF998" s="61">
        <f t="shared" si="1137"/>
        <v>0</v>
      </c>
      <c r="CG998" s="61">
        <f t="shared" si="1137"/>
        <v>0</v>
      </c>
      <c r="CH998" s="61">
        <f t="shared" si="1137"/>
        <v>0</v>
      </c>
      <c r="CI998" s="61">
        <f>SUMPRODUCT(CA998:CH998,$O$6:$V$6)</f>
        <v>0</v>
      </c>
      <c r="CJ998" s="61"/>
      <c r="CK998" s="61">
        <f t="shared" ref="CK998:CR1001" si="1138">(O998*$AD998-AT998*$BI998)/$C$2</f>
        <v>0</v>
      </c>
      <c r="CL998" s="61">
        <f t="shared" si="1138"/>
        <v>0</v>
      </c>
      <c r="CM998" s="61">
        <f t="shared" si="1138"/>
        <v>0</v>
      </c>
      <c r="CN998" s="61">
        <f t="shared" si="1138"/>
        <v>0</v>
      </c>
      <c r="CO998" s="61">
        <f t="shared" si="1138"/>
        <v>0</v>
      </c>
      <c r="CP998" s="61">
        <f t="shared" si="1138"/>
        <v>0</v>
      </c>
      <c r="CQ998" s="61">
        <f t="shared" si="1138"/>
        <v>0</v>
      </c>
      <c r="CR998" s="61">
        <f t="shared" si="1138"/>
        <v>0</v>
      </c>
      <c r="CS998" s="61">
        <f>SUMPRODUCT(CK998:CR998,$O$6:$V$6)</f>
        <v>0</v>
      </c>
      <c r="CT998" s="67">
        <f t="shared" si="1069"/>
        <v>0</v>
      </c>
      <c r="CV998" s="61">
        <f t="shared" ref="CV998:CV1001" si="1139">SUM(AG998)-SUM(BL998)</f>
        <v>0</v>
      </c>
      <c r="CW998" s="61">
        <f t="shared" ref="CW998:CW1001" si="1140">SUM(AH998)-SUM(BM998)</f>
        <v>0</v>
      </c>
      <c r="CX998" s="61"/>
      <c r="CY998" s="61">
        <f t="shared" ref="CY998:DA1001" si="1141">SUM(AJ998)-SUM(BO998)</f>
        <v>0</v>
      </c>
      <c r="CZ998" s="61">
        <f t="shared" si="1141"/>
        <v>0</v>
      </c>
      <c r="DA998" s="61">
        <f t="shared" si="1141"/>
        <v>0</v>
      </c>
      <c r="DB998" s="2" t="s">
        <v>85</v>
      </c>
      <c r="DC998" s="2" t="s">
        <v>85</v>
      </c>
      <c r="DD998" s="2" t="s">
        <v>142</v>
      </c>
      <c r="DE998" s="2" t="s">
        <v>106</v>
      </c>
      <c r="DF998" s="3" t="s">
        <v>86</v>
      </c>
      <c r="DG998" s="62">
        <v>43084</v>
      </c>
      <c r="EC998" s="60"/>
      <c r="ED998" s="60"/>
      <c r="EE998" s="60"/>
      <c r="EF998" s="60"/>
    </row>
    <row r="999" spans="2:140" ht="12.75" hidden="1" customHeight="1">
      <c r="B999" s="99" t="s">
        <v>1547</v>
      </c>
      <c r="C999" s="22" t="s">
        <v>726</v>
      </c>
      <c r="D999" s="22" t="s">
        <v>727</v>
      </c>
      <c r="E999" s="2" t="s">
        <v>260</v>
      </c>
      <c r="F999" s="2" t="s">
        <v>1025</v>
      </c>
      <c r="G999" s="2" t="s">
        <v>994</v>
      </c>
      <c r="J999" s="149" t="s">
        <v>728</v>
      </c>
      <c r="K999" s="23" t="s">
        <v>729</v>
      </c>
      <c r="L999" s="149" t="s">
        <v>1551</v>
      </c>
      <c r="M999" s="51" t="str">
        <f t="shared" si="1089"/>
        <v>MJD8B -LBBA-GFW</v>
      </c>
      <c r="O999" s="22">
        <v>0</v>
      </c>
      <c r="P999" s="22">
        <v>0</v>
      </c>
      <c r="Q999" s="22">
        <v>0</v>
      </c>
      <c r="R999" s="22">
        <v>0</v>
      </c>
      <c r="S999" s="22">
        <v>0</v>
      </c>
      <c r="T999" s="22">
        <v>0</v>
      </c>
      <c r="U999" s="22">
        <v>0</v>
      </c>
      <c r="V999" s="22">
        <v>0</v>
      </c>
      <c r="W999" s="64">
        <f t="shared" si="1091"/>
        <v>0</v>
      </c>
      <c r="Y999" s="60">
        <v>-1025.29</v>
      </c>
      <c r="Z999" s="8"/>
      <c r="AA999" s="8">
        <v>-8.4600000000000009</v>
      </c>
      <c r="AB999" s="8">
        <v>-2.12</v>
      </c>
      <c r="AC999" s="8"/>
      <c r="AD999" s="8">
        <f t="shared" si="1133"/>
        <v>-1035.8699999999999</v>
      </c>
      <c r="AE999" s="2" t="s">
        <v>84</v>
      </c>
      <c r="AG999" s="8"/>
      <c r="AH999" s="8"/>
      <c r="AJ999" s="70"/>
      <c r="AK999" s="70"/>
      <c r="AL999" s="72"/>
      <c r="AM999" s="22"/>
      <c r="AO999" s="22" t="s">
        <v>728</v>
      </c>
      <c r="AP999" s="23" t="s">
        <v>1001</v>
      </c>
      <c r="AQ999" s="22" t="s">
        <v>1541</v>
      </c>
      <c r="AR999" s="51" t="str">
        <f t="shared" si="1134"/>
        <v>MJD8B -LBBA-GEW</v>
      </c>
      <c r="AS999" s="3"/>
      <c r="AT999" s="22">
        <v>0</v>
      </c>
      <c r="AU999" s="22">
        <v>0</v>
      </c>
      <c r="AV999" s="22">
        <v>0</v>
      </c>
      <c r="AW999" s="22">
        <v>0</v>
      </c>
      <c r="AX999" s="22">
        <v>0</v>
      </c>
      <c r="AY999" s="22">
        <v>0</v>
      </c>
      <c r="AZ999" s="22">
        <v>0</v>
      </c>
      <c r="BA999" s="22">
        <v>0</v>
      </c>
      <c r="BB999" s="64">
        <f t="shared" si="1113"/>
        <v>0</v>
      </c>
      <c r="BD999" s="8">
        <v>-1025.29</v>
      </c>
      <c r="BE999" s="8"/>
      <c r="BF999" s="8">
        <v>-8.4600000000000009</v>
      </c>
      <c r="BG999" s="8">
        <v>-2.12</v>
      </c>
      <c r="BH999" s="8"/>
      <c r="BI999" s="8">
        <f t="shared" si="1135"/>
        <v>-1035.8699999999999</v>
      </c>
      <c r="BJ999" s="2" t="s">
        <v>84</v>
      </c>
      <c r="BL999" s="8"/>
      <c r="BM999" s="8"/>
      <c r="BN999" s="6"/>
      <c r="BO999" s="70"/>
      <c r="BP999" s="70"/>
      <c r="BQ999" s="72"/>
      <c r="BS999" s="61">
        <f t="shared" si="1136"/>
        <v>0</v>
      </c>
      <c r="BT999" s="61">
        <f t="shared" si="1136"/>
        <v>0</v>
      </c>
      <c r="BU999" s="61">
        <f t="shared" si="1136"/>
        <v>0</v>
      </c>
      <c r="BV999" s="61">
        <f t="shared" si="1136"/>
        <v>0</v>
      </c>
      <c r="BW999" s="61">
        <f t="shared" si="1136"/>
        <v>0</v>
      </c>
      <c r="BX999" s="61">
        <f t="shared" si="1136"/>
        <v>0</v>
      </c>
      <c r="BY999" s="61" t="s">
        <v>91</v>
      </c>
      <c r="CA999" s="61">
        <f t="shared" si="1137"/>
        <v>0</v>
      </c>
      <c r="CB999" s="61">
        <f t="shared" si="1137"/>
        <v>0</v>
      </c>
      <c r="CC999" s="61">
        <f t="shared" si="1137"/>
        <v>0</v>
      </c>
      <c r="CD999" s="61">
        <f t="shared" si="1137"/>
        <v>0</v>
      </c>
      <c r="CE999" s="61">
        <f t="shared" si="1137"/>
        <v>0</v>
      </c>
      <c r="CF999" s="61">
        <f t="shared" si="1137"/>
        <v>0</v>
      </c>
      <c r="CG999" s="61">
        <f t="shared" si="1137"/>
        <v>0</v>
      </c>
      <c r="CH999" s="61">
        <f t="shared" si="1137"/>
        <v>0</v>
      </c>
      <c r="CI999" s="61">
        <f>SUMPRODUCT(CA999:CH999,$O$6:$V$6)</f>
        <v>0</v>
      </c>
      <c r="CJ999" s="61"/>
      <c r="CK999" s="61">
        <f t="shared" si="1138"/>
        <v>0</v>
      </c>
      <c r="CL999" s="61">
        <f t="shared" si="1138"/>
        <v>0</v>
      </c>
      <c r="CM999" s="61">
        <f t="shared" si="1138"/>
        <v>0</v>
      </c>
      <c r="CN999" s="61">
        <f t="shared" si="1138"/>
        <v>0</v>
      </c>
      <c r="CO999" s="61">
        <f t="shared" si="1138"/>
        <v>0</v>
      </c>
      <c r="CP999" s="61">
        <f t="shared" si="1138"/>
        <v>0</v>
      </c>
      <c r="CQ999" s="61">
        <f t="shared" si="1138"/>
        <v>0</v>
      </c>
      <c r="CR999" s="61">
        <f t="shared" si="1138"/>
        <v>0</v>
      </c>
      <c r="CS999" s="61">
        <f>SUMPRODUCT(CK999:CR999,$O$6:$V$6)</f>
        <v>0</v>
      </c>
      <c r="CT999" s="67">
        <f t="shared" si="1069"/>
        <v>0</v>
      </c>
      <c r="CV999" s="61">
        <f t="shared" si="1139"/>
        <v>0</v>
      </c>
      <c r="CW999" s="61">
        <f t="shared" si="1140"/>
        <v>0</v>
      </c>
      <c r="CX999" s="61"/>
      <c r="CY999" s="61">
        <f t="shared" si="1141"/>
        <v>0</v>
      </c>
      <c r="CZ999" s="61">
        <f t="shared" si="1141"/>
        <v>0</v>
      </c>
      <c r="DA999" s="61">
        <f t="shared" si="1141"/>
        <v>0</v>
      </c>
      <c r="DB999" s="2" t="s">
        <v>85</v>
      </c>
      <c r="DC999" s="2" t="s">
        <v>85</v>
      </c>
      <c r="DD999" s="2" t="s">
        <v>142</v>
      </c>
      <c r="DE999" s="2" t="s">
        <v>106</v>
      </c>
      <c r="DF999" s="3" t="s">
        <v>86</v>
      </c>
      <c r="DG999" s="62">
        <v>43084</v>
      </c>
      <c r="EC999" s="60"/>
      <c r="ED999" s="60"/>
      <c r="EE999" s="60"/>
      <c r="EF999" s="60"/>
    </row>
    <row r="1000" spans="2:140" ht="12.75" hidden="1" customHeight="1">
      <c r="B1000" s="99" t="s">
        <v>1547</v>
      </c>
      <c r="C1000" s="22" t="s">
        <v>726</v>
      </c>
      <c r="D1000" s="22" t="s">
        <v>727</v>
      </c>
      <c r="E1000" s="2" t="s">
        <v>260</v>
      </c>
      <c r="F1000" s="2" t="s">
        <v>1025</v>
      </c>
      <c r="G1000" s="2" t="s">
        <v>994</v>
      </c>
      <c r="J1000" s="149" t="s">
        <v>728</v>
      </c>
      <c r="K1000" s="23" t="s">
        <v>729</v>
      </c>
      <c r="L1000" s="149" t="s">
        <v>1552</v>
      </c>
      <c r="M1000" s="51" t="str">
        <f t="shared" si="1089"/>
        <v>MJD8B -LBBA-HFW</v>
      </c>
      <c r="O1000" s="22">
        <v>0</v>
      </c>
      <c r="P1000" s="22">
        <v>0</v>
      </c>
      <c r="Q1000" s="22">
        <v>0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64">
        <f t="shared" si="1091"/>
        <v>0</v>
      </c>
      <c r="Y1000" s="60">
        <v>-1025.29</v>
      </c>
      <c r="Z1000" s="8"/>
      <c r="AA1000" s="8">
        <v>-8.4600000000000009</v>
      </c>
      <c r="AB1000" s="8">
        <v>-2.12</v>
      </c>
      <c r="AC1000" s="8"/>
      <c r="AD1000" s="8">
        <f t="shared" ref="AD1000:AD1004" si="1142">SUM(Y1000:AC1000)</f>
        <v>-1035.8699999999999</v>
      </c>
      <c r="AE1000" s="2" t="s">
        <v>84</v>
      </c>
      <c r="AG1000" s="8"/>
      <c r="AH1000" s="8"/>
      <c r="AJ1000" s="70"/>
      <c r="AK1000" s="70"/>
      <c r="AL1000" s="72"/>
      <c r="AM1000" s="22"/>
      <c r="AO1000" s="22" t="s">
        <v>728</v>
      </c>
      <c r="AP1000" s="23" t="s">
        <v>1001</v>
      </c>
      <c r="AQ1000" s="22" t="s">
        <v>1542</v>
      </c>
      <c r="AR1000" s="51" t="str">
        <f t="shared" si="1134"/>
        <v>MJD8B -LBBA-HEW</v>
      </c>
      <c r="AS1000" s="3"/>
      <c r="AT1000" s="22">
        <v>0</v>
      </c>
      <c r="AU1000" s="22">
        <v>0</v>
      </c>
      <c r="AV1000" s="22">
        <v>0</v>
      </c>
      <c r="AW1000" s="22">
        <v>0</v>
      </c>
      <c r="AX1000" s="22">
        <v>0</v>
      </c>
      <c r="AY1000" s="22">
        <v>0</v>
      </c>
      <c r="AZ1000" s="22">
        <v>0</v>
      </c>
      <c r="BA1000" s="22">
        <v>0</v>
      </c>
      <c r="BB1000" s="64">
        <f t="shared" si="1113"/>
        <v>0</v>
      </c>
      <c r="BD1000" s="8">
        <v>-1025.29</v>
      </c>
      <c r="BE1000" s="8"/>
      <c r="BF1000" s="8">
        <v>-8.4600000000000009</v>
      </c>
      <c r="BG1000" s="8">
        <v>-2.12</v>
      </c>
      <c r="BH1000" s="8"/>
      <c r="BI1000" s="8">
        <f t="shared" ref="BI1000:BI1004" si="1143">SUM(BD1000:BH1000)</f>
        <v>-1035.8699999999999</v>
      </c>
      <c r="BJ1000" s="2" t="s">
        <v>84</v>
      </c>
      <c r="BL1000" s="8"/>
      <c r="BM1000" s="8"/>
      <c r="BN1000" s="6"/>
      <c r="BO1000" s="70"/>
      <c r="BP1000" s="70"/>
      <c r="BQ1000" s="72"/>
      <c r="BS1000" s="61">
        <f t="shared" si="1136"/>
        <v>0</v>
      </c>
      <c r="BT1000" s="61">
        <f t="shared" si="1136"/>
        <v>0</v>
      </c>
      <c r="BU1000" s="61">
        <f t="shared" si="1136"/>
        <v>0</v>
      </c>
      <c r="BV1000" s="61">
        <f t="shared" si="1136"/>
        <v>0</v>
      </c>
      <c r="BW1000" s="61">
        <f t="shared" si="1136"/>
        <v>0</v>
      </c>
      <c r="BX1000" s="61">
        <f t="shared" si="1136"/>
        <v>0</v>
      </c>
      <c r="BY1000" s="61" t="s">
        <v>91</v>
      </c>
      <c r="CA1000" s="61">
        <f t="shared" si="1137"/>
        <v>0</v>
      </c>
      <c r="CB1000" s="61">
        <f t="shared" si="1137"/>
        <v>0</v>
      </c>
      <c r="CC1000" s="61">
        <f t="shared" si="1137"/>
        <v>0</v>
      </c>
      <c r="CD1000" s="61">
        <f t="shared" si="1137"/>
        <v>0</v>
      </c>
      <c r="CE1000" s="61">
        <f t="shared" si="1137"/>
        <v>0</v>
      </c>
      <c r="CF1000" s="61">
        <f t="shared" si="1137"/>
        <v>0</v>
      </c>
      <c r="CG1000" s="61">
        <f t="shared" si="1137"/>
        <v>0</v>
      </c>
      <c r="CH1000" s="61">
        <f t="shared" si="1137"/>
        <v>0</v>
      </c>
      <c r="CI1000" s="61">
        <f>SUMPRODUCT(CA1000:CH1000,$O$6:$V$6)</f>
        <v>0</v>
      </c>
      <c r="CJ1000" s="61"/>
      <c r="CK1000" s="61">
        <f t="shared" si="1138"/>
        <v>0</v>
      </c>
      <c r="CL1000" s="61">
        <f t="shared" si="1138"/>
        <v>0</v>
      </c>
      <c r="CM1000" s="61">
        <f t="shared" si="1138"/>
        <v>0</v>
      </c>
      <c r="CN1000" s="61">
        <f t="shared" si="1138"/>
        <v>0</v>
      </c>
      <c r="CO1000" s="61">
        <f t="shared" si="1138"/>
        <v>0</v>
      </c>
      <c r="CP1000" s="61">
        <f t="shared" si="1138"/>
        <v>0</v>
      </c>
      <c r="CQ1000" s="61">
        <f t="shared" si="1138"/>
        <v>0</v>
      </c>
      <c r="CR1000" s="61">
        <f t="shared" si="1138"/>
        <v>0</v>
      </c>
      <c r="CS1000" s="61">
        <f>SUMPRODUCT(CK1000:CR1000,$O$6:$V$6)</f>
        <v>0</v>
      </c>
      <c r="CT1000" s="67">
        <f t="shared" si="1069"/>
        <v>0</v>
      </c>
      <c r="CV1000" s="61">
        <f t="shared" si="1139"/>
        <v>0</v>
      </c>
      <c r="CW1000" s="61">
        <f t="shared" si="1140"/>
        <v>0</v>
      </c>
      <c r="CX1000" s="61"/>
      <c r="CY1000" s="61">
        <f t="shared" si="1141"/>
        <v>0</v>
      </c>
      <c r="CZ1000" s="61">
        <f t="shared" si="1141"/>
        <v>0</v>
      </c>
      <c r="DA1000" s="61">
        <f t="shared" si="1141"/>
        <v>0</v>
      </c>
      <c r="DB1000" s="2" t="s">
        <v>85</v>
      </c>
      <c r="DC1000" s="2" t="s">
        <v>85</v>
      </c>
      <c r="DD1000" s="2" t="s">
        <v>142</v>
      </c>
      <c r="DE1000" s="2" t="s">
        <v>106</v>
      </c>
      <c r="DF1000" s="3" t="s">
        <v>86</v>
      </c>
      <c r="DG1000" s="62">
        <v>43084</v>
      </c>
      <c r="EC1000" s="60"/>
      <c r="ED1000" s="60"/>
      <c r="EE1000" s="60"/>
      <c r="EF1000" s="60"/>
    </row>
    <row r="1001" spans="2:140" ht="12.75" hidden="1" customHeight="1">
      <c r="B1001" s="99" t="s">
        <v>1547</v>
      </c>
      <c r="C1001" s="22" t="s">
        <v>726</v>
      </c>
      <c r="D1001" s="22" t="s">
        <v>727</v>
      </c>
      <c r="E1001" s="2" t="s">
        <v>260</v>
      </c>
      <c r="F1001" s="2" t="s">
        <v>1025</v>
      </c>
      <c r="G1001" s="2" t="s">
        <v>994</v>
      </c>
      <c r="J1001" s="149" t="s">
        <v>728</v>
      </c>
      <c r="K1001" s="23" t="s">
        <v>729</v>
      </c>
      <c r="L1001" s="149" t="s">
        <v>1553</v>
      </c>
      <c r="M1001" s="51" t="str">
        <f t="shared" si="1089"/>
        <v>MJD8B -LBBA-JFW</v>
      </c>
      <c r="O1001" s="22">
        <v>0</v>
      </c>
      <c r="P1001" s="22">
        <v>0</v>
      </c>
      <c r="Q1001" s="22">
        <v>0</v>
      </c>
      <c r="R1001" s="22">
        <v>0</v>
      </c>
      <c r="S1001" s="22">
        <v>1</v>
      </c>
      <c r="T1001" s="22">
        <v>0</v>
      </c>
      <c r="U1001" s="22">
        <v>0</v>
      </c>
      <c r="V1001" s="22">
        <v>0</v>
      </c>
      <c r="W1001" s="64">
        <f t="shared" si="1091"/>
        <v>0.09</v>
      </c>
      <c r="Y1001" s="60">
        <v>-943.43</v>
      </c>
      <c r="Z1001" s="8"/>
      <c r="AA1001" s="8">
        <v>-8.4600000000000009</v>
      </c>
      <c r="AB1001" s="8">
        <v>-2.12</v>
      </c>
      <c r="AC1001" s="8"/>
      <c r="AD1001" s="8">
        <f t="shared" si="1142"/>
        <v>-954.01</v>
      </c>
      <c r="AE1001" s="2" t="s">
        <v>84</v>
      </c>
      <c r="AG1001" s="8"/>
      <c r="AH1001" s="8"/>
      <c r="AJ1001" s="70"/>
      <c r="AK1001" s="70"/>
      <c r="AL1001" s="72"/>
      <c r="AM1001" s="22"/>
      <c r="AO1001" s="22" t="s">
        <v>728</v>
      </c>
      <c r="AP1001" s="23" t="s">
        <v>1001</v>
      </c>
      <c r="AQ1001" s="22" t="s">
        <v>1543</v>
      </c>
      <c r="AR1001" s="51" t="str">
        <f t="shared" si="1134"/>
        <v>MJD8B -LBBA-JEW</v>
      </c>
      <c r="AS1001" s="3"/>
      <c r="AT1001" s="22">
        <v>0</v>
      </c>
      <c r="AU1001" s="22">
        <v>0</v>
      </c>
      <c r="AV1001" s="22">
        <v>0</v>
      </c>
      <c r="AW1001" s="22">
        <v>0</v>
      </c>
      <c r="AX1001" s="22">
        <v>1</v>
      </c>
      <c r="AY1001" s="22">
        <v>0</v>
      </c>
      <c r="AZ1001" s="22">
        <v>0</v>
      </c>
      <c r="BA1001" s="22">
        <v>0</v>
      </c>
      <c r="BB1001" s="64">
        <f t="shared" si="1113"/>
        <v>0.09</v>
      </c>
      <c r="BD1001" s="8">
        <v>-943.43</v>
      </c>
      <c r="BE1001" s="8"/>
      <c r="BF1001" s="8">
        <v>-8.4600000000000009</v>
      </c>
      <c r="BG1001" s="8">
        <v>-2.12</v>
      </c>
      <c r="BH1001" s="8"/>
      <c r="BI1001" s="8">
        <f t="shared" si="1143"/>
        <v>-954.01</v>
      </c>
      <c r="BJ1001" s="2" t="s">
        <v>84</v>
      </c>
      <c r="BL1001" s="8"/>
      <c r="BM1001" s="8"/>
      <c r="BN1001" s="6"/>
      <c r="BO1001" s="70"/>
      <c r="BP1001" s="70"/>
      <c r="BQ1001" s="72"/>
      <c r="BS1001" s="61">
        <f t="shared" si="1136"/>
        <v>0</v>
      </c>
      <c r="BT1001" s="61">
        <f t="shared" si="1136"/>
        <v>0</v>
      </c>
      <c r="BU1001" s="61">
        <f t="shared" si="1136"/>
        <v>0</v>
      </c>
      <c r="BV1001" s="61">
        <f t="shared" si="1136"/>
        <v>0</v>
      </c>
      <c r="BW1001" s="61">
        <f t="shared" si="1136"/>
        <v>0</v>
      </c>
      <c r="BX1001" s="61">
        <f t="shared" si="1136"/>
        <v>0</v>
      </c>
      <c r="BY1001" s="61" t="s">
        <v>91</v>
      </c>
      <c r="CA1001" s="61">
        <f t="shared" si="1137"/>
        <v>0</v>
      </c>
      <c r="CB1001" s="61">
        <f t="shared" si="1137"/>
        <v>0</v>
      </c>
      <c r="CC1001" s="61">
        <f t="shared" si="1137"/>
        <v>0</v>
      </c>
      <c r="CD1001" s="61">
        <f t="shared" si="1137"/>
        <v>0</v>
      </c>
      <c r="CE1001" s="61">
        <f t="shared" si="1137"/>
        <v>0</v>
      </c>
      <c r="CF1001" s="61">
        <f t="shared" si="1137"/>
        <v>0</v>
      </c>
      <c r="CG1001" s="61">
        <f t="shared" si="1137"/>
        <v>0</v>
      </c>
      <c r="CH1001" s="61">
        <f t="shared" si="1137"/>
        <v>0</v>
      </c>
      <c r="CI1001" s="61">
        <f>SUMPRODUCT(CA1001:CH1001,$O$6:$V$6)</f>
        <v>0</v>
      </c>
      <c r="CJ1001" s="61"/>
      <c r="CK1001" s="61">
        <f t="shared" si="1138"/>
        <v>0</v>
      </c>
      <c r="CL1001" s="61">
        <f t="shared" si="1138"/>
        <v>0</v>
      </c>
      <c r="CM1001" s="61">
        <f t="shared" si="1138"/>
        <v>0</v>
      </c>
      <c r="CN1001" s="61">
        <f t="shared" si="1138"/>
        <v>0</v>
      </c>
      <c r="CO1001" s="61">
        <f t="shared" si="1138"/>
        <v>0</v>
      </c>
      <c r="CP1001" s="61">
        <f t="shared" si="1138"/>
        <v>0</v>
      </c>
      <c r="CQ1001" s="61">
        <f t="shared" si="1138"/>
        <v>0</v>
      </c>
      <c r="CR1001" s="61">
        <f t="shared" si="1138"/>
        <v>0</v>
      </c>
      <c r="CS1001" s="61">
        <f>SUMPRODUCT(CK1001:CR1001,$O$6:$V$6)</f>
        <v>0</v>
      </c>
      <c r="CT1001" s="67">
        <f t="shared" si="1069"/>
        <v>0</v>
      </c>
      <c r="CV1001" s="61">
        <f t="shared" si="1139"/>
        <v>0</v>
      </c>
      <c r="CW1001" s="61">
        <f t="shared" si="1140"/>
        <v>0</v>
      </c>
      <c r="CX1001" s="61"/>
      <c r="CY1001" s="61">
        <f t="shared" si="1141"/>
        <v>0</v>
      </c>
      <c r="CZ1001" s="61">
        <f t="shared" si="1141"/>
        <v>0</v>
      </c>
      <c r="DA1001" s="61">
        <f t="shared" si="1141"/>
        <v>0</v>
      </c>
      <c r="DB1001" s="2" t="s">
        <v>85</v>
      </c>
      <c r="DC1001" s="2" t="s">
        <v>85</v>
      </c>
      <c r="DD1001" s="2" t="s">
        <v>142</v>
      </c>
      <c r="DE1001" s="2" t="s">
        <v>106</v>
      </c>
      <c r="DF1001" s="3" t="s">
        <v>86</v>
      </c>
      <c r="DG1001" s="62">
        <v>43084</v>
      </c>
      <c r="EC1001" s="60"/>
      <c r="ED1001" s="60"/>
      <c r="EE1001" s="60"/>
      <c r="EF1001" s="60"/>
    </row>
    <row r="1002" spans="2:140" ht="12.75" hidden="1" customHeight="1">
      <c r="B1002" s="99" t="s">
        <v>1547</v>
      </c>
      <c r="C1002" s="22" t="s">
        <v>726</v>
      </c>
      <c r="D1002" s="22" t="s">
        <v>727</v>
      </c>
      <c r="E1002" s="2" t="s">
        <v>260</v>
      </c>
      <c r="F1002" s="2" t="s">
        <v>1025</v>
      </c>
      <c r="G1002" s="2" t="s">
        <v>994</v>
      </c>
      <c r="J1002" s="149" t="s">
        <v>728</v>
      </c>
      <c r="K1002" s="23" t="s">
        <v>729</v>
      </c>
      <c r="L1002" s="149" t="s">
        <v>1554</v>
      </c>
      <c r="M1002" s="51" t="str">
        <f t="shared" si="1089"/>
        <v>MJD8B -LBBA-KFW</v>
      </c>
      <c r="O1002" s="22">
        <v>0</v>
      </c>
      <c r="P1002" s="22">
        <v>0</v>
      </c>
      <c r="Q1002" s="22">
        <v>0</v>
      </c>
      <c r="R1002" s="22">
        <v>0</v>
      </c>
      <c r="S1002" s="22">
        <v>0</v>
      </c>
      <c r="T1002" s="22">
        <v>1</v>
      </c>
      <c r="U1002" s="22">
        <v>0</v>
      </c>
      <c r="V1002" s="22">
        <v>0</v>
      </c>
      <c r="W1002" s="64">
        <f t="shared" si="1091"/>
        <v>0.14000000000000001</v>
      </c>
      <c r="Y1002" s="60">
        <v>-943.43</v>
      </c>
      <c r="Z1002" s="8"/>
      <c r="AA1002" s="8">
        <v>-8.4600000000000009</v>
      </c>
      <c r="AB1002" s="8">
        <v>-2.12</v>
      </c>
      <c r="AC1002" s="8"/>
      <c r="AD1002" s="8">
        <f t="shared" si="1142"/>
        <v>-954.01</v>
      </c>
      <c r="AE1002" s="2" t="s">
        <v>84</v>
      </c>
      <c r="AG1002" s="8"/>
      <c r="AH1002" s="8"/>
      <c r="AJ1002" s="70"/>
      <c r="AK1002" s="70"/>
      <c r="AL1002" s="72"/>
      <c r="AM1002" s="22"/>
      <c r="AO1002" s="22" t="s">
        <v>728</v>
      </c>
      <c r="AP1002" s="23" t="s">
        <v>1001</v>
      </c>
      <c r="AQ1002" s="22" t="s">
        <v>1544</v>
      </c>
      <c r="AR1002" s="51" t="str">
        <f t="shared" si="1134"/>
        <v>MJD8B -LBBA-KEW</v>
      </c>
      <c r="AS1002" s="3"/>
      <c r="AT1002" s="22">
        <v>0</v>
      </c>
      <c r="AU1002" s="22">
        <v>0</v>
      </c>
      <c r="AV1002" s="22">
        <v>0</v>
      </c>
      <c r="AW1002" s="22">
        <v>0</v>
      </c>
      <c r="AX1002" s="22">
        <v>0</v>
      </c>
      <c r="AY1002" s="22">
        <v>1</v>
      </c>
      <c r="AZ1002" s="22">
        <v>0</v>
      </c>
      <c r="BA1002" s="22">
        <v>0</v>
      </c>
      <c r="BB1002" s="64">
        <f t="shared" si="1113"/>
        <v>0.14000000000000001</v>
      </c>
      <c r="BD1002" s="8">
        <v>-943.43</v>
      </c>
      <c r="BE1002" s="8"/>
      <c r="BF1002" s="8">
        <v>-8.4600000000000009</v>
      </c>
      <c r="BG1002" s="8">
        <v>-2.12</v>
      </c>
      <c r="BH1002" s="8"/>
      <c r="BI1002" s="8">
        <f t="shared" si="1143"/>
        <v>-954.01</v>
      </c>
      <c r="BJ1002" s="2" t="s">
        <v>84</v>
      </c>
      <c r="BL1002" s="8"/>
      <c r="BM1002" s="8"/>
      <c r="BN1002" s="6"/>
      <c r="BO1002" s="70"/>
      <c r="BP1002" s="70"/>
      <c r="BQ1002" s="72"/>
      <c r="BS1002" s="61">
        <v>0</v>
      </c>
      <c r="BT1002" s="61">
        <v>0</v>
      </c>
      <c r="BU1002" s="61">
        <v>0</v>
      </c>
      <c r="BV1002" s="61">
        <v>0</v>
      </c>
      <c r="BW1002" s="61">
        <v>0</v>
      </c>
      <c r="BX1002" s="61">
        <v>0</v>
      </c>
      <c r="BY1002" s="61" t="s">
        <v>91</v>
      </c>
      <c r="CA1002" s="61">
        <v>0</v>
      </c>
      <c r="CB1002" s="61">
        <v>0</v>
      </c>
      <c r="CC1002" s="61">
        <v>0</v>
      </c>
      <c r="CD1002" s="61">
        <v>0</v>
      </c>
      <c r="CE1002" s="61">
        <v>0</v>
      </c>
      <c r="CF1002" s="61">
        <v>0</v>
      </c>
      <c r="CG1002" s="61">
        <v>0</v>
      </c>
      <c r="CH1002" s="61">
        <v>0</v>
      </c>
      <c r="CI1002" s="61">
        <v>0</v>
      </c>
      <c r="CJ1002" s="61"/>
      <c r="CK1002" s="61">
        <v>0</v>
      </c>
      <c r="CL1002" s="61">
        <v>0</v>
      </c>
      <c r="CM1002" s="61">
        <v>0</v>
      </c>
      <c r="CN1002" s="61">
        <v>0</v>
      </c>
      <c r="CO1002" s="61">
        <v>0</v>
      </c>
      <c r="CP1002" s="61">
        <v>0</v>
      </c>
      <c r="CQ1002" s="61">
        <v>0</v>
      </c>
      <c r="CR1002" s="61">
        <v>0</v>
      </c>
      <c r="CS1002" s="61">
        <v>0</v>
      </c>
      <c r="CT1002" s="67">
        <f t="shared" si="1069"/>
        <v>0</v>
      </c>
      <c r="CV1002" s="61">
        <v>0</v>
      </c>
      <c r="CW1002" s="61">
        <v>0</v>
      </c>
      <c r="CX1002" s="61"/>
      <c r="CY1002" s="61">
        <v>0</v>
      </c>
      <c r="CZ1002" s="61">
        <v>0</v>
      </c>
      <c r="DA1002" s="61">
        <v>0</v>
      </c>
      <c r="DB1002" s="2" t="s">
        <v>85</v>
      </c>
      <c r="DC1002" s="2" t="s">
        <v>85</v>
      </c>
      <c r="DD1002" s="2" t="s">
        <v>142</v>
      </c>
      <c r="DE1002" s="2" t="s">
        <v>106</v>
      </c>
      <c r="DF1002" s="3" t="s">
        <v>86</v>
      </c>
      <c r="DG1002" s="62">
        <v>43084</v>
      </c>
      <c r="DI1002" s="2" t="e">
        <v>#N/A</v>
      </c>
      <c r="EC1002" s="60"/>
      <c r="ED1002" s="60"/>
      <c r="EE1002" s="60"/>
      <c r="EF1002" s="60"/>
    </row>
    <row r="1003" spans="2:140" ht="12.75" hidden="1" customHeight="1">
      <c r="B1003" s="99" t="s">
        <v>1547</v>
      </c>
      <c r="C1003" s="22" t="s">
        <v>726</v>
      </c>
      <c r="D1003" s="22" t="s">
        <v>727</v>
      </c>
      <c r="E1003" s="2" t="s">
        <v>260</v>
      </c>
      <c r="F1003" s="2" t="s">
        <v>1025</v>
      </c>
      <c r="G1003" s="2" t="s">
        <v>994</v>
      </c>
      <c r="J1003" s="149" t="s">
        <v>728</v>
      </c>
      <c r="K1003" s="23" t="s">
        <v>729</v>
      </c>
      <c r="L1003" s="149" t="s">
        <v>1555</v>
      </c>
      <c r="M1003" s="51" t="str">
        <f t="shared" si="1089"/>
        <v>MJD8B -LBBA-LFW</v>
      </c>
      <c r="O1003" s="22">
        <v>0</v>
      </c>
      <c r="P1003" s="22">
        <v>0</v>
      </c>
      <c r="Q1003" s="22">
        <v>0</v>
      </c>
      <c r="R1003" s="22">
        <v>0</v>
      </c>
      <c r="S1003" s="22">
        <v>0</v>
      </c>
      <c r="T1003" s="22">
        <v>0</v>
      </c>
      <c r="U1003" s="22">
        <v>1</v>
      </c>
      <c r="V1003" s="22">
        <v>0</v>
      </c>
      <c r="W1003" s="64">
        <f t="shared" si="1091"/>
        <v>0.05</v>
      </c>
      <c r="Y1003" s="60">
        <f>-6.6-985.43-3.89</f>
        <v>-995.92</v>
      </c>
      <c r="Z1003" s="8"/>
      <c r="AA1003" s="8">
        <v>-8.4600000000000009</v>
      </c>
      <c r="AB1003" s="8">
        <v>-2.12</v>
      </c>
      <c r="AC1003" s="8"/>
      <c r="AD1003" s="8">
        <f t="shared" si="1142"/>
        <v>-1006.5</v>
      </c>
      <c r="AE1003" s="2" t="s">
        <v>84</v>
      </c>
      <c r="AG1003" s="8">
        <f>-340000-36000</f>
        <v>-376000</v>
      </c>
      <c r="AH1003" s="8">
        <f>-340000-36000</f>
        <v>-376000</v>
      </c>
      <c r="AJ1003" s="70"/>
      <c r="AK1003" s="70"/>
      <c r="AL1003" s="72"/>
      <c r="AM1003" s="22"/>
      <c r="AO1003" s="22" t="s">
        <v>728</v>
      </c>
      <c r="AP1003" s="23" t="s">
        <v>1001</v>
      </c>
      <c r="AQ1003" s="22" t="s">
        <v>1545</v>
      </c>
      <c r="AR1003" s="51" t="str">
        <f t="shared" si="1134"/>
        <v>MJD8B -LBBA-LEW</v>
      </c>
      <c r="AS1003" s="3"/>
      <c r="AT1003" s="22">
        <v>0</v>
      </c>
      <c r="AU1003" s="22">
        <v>0</v>
      </c>
      <c r="AV1003" s="22">
        <v>0</v>
      </c>
      <c r="AW1003" s="22">
        <v>0</v>
      </c>
      <c r="AX1003" s="22">
        <v>0</v>
      </c>
      <c r="AY1003" s="22">
        <v>0</v>
      </c>
      <c r="AZ1003" s="22">
        <v>1</v>
      </c>
      <c r="BA1003" s="22">
        <v>0</v>
      </c>
      <c r="BB1003" s="64">
        <f t="shared" si="1113"/>
        <v>0.05</v>
      </c>
      <c r="BD1003" s="8">
        <f>-6.6-985.43</f>
        <v>-992.03</v>
      </c>
      <c r="BE1003" s="8"/>
      <c r="BF1003" s="8">
        <v>-8.4600000000000009</v>
      </c>
      <c r="BG1003" s="8">
        <v>-2.12</v>
      </c>
      <c r="BH1003" s="8"/>
      <c r="BI1003" s="8">
        <f t="shared" si="1143"/>
        <v>-1002.61</v>
      </c>
      <c r="BJ1003" s="2" t="s">
        <v>84</v>
      </c>
      <c r="BL1003" s="8">
        <v>-36000</v>
      </c>
      <c r="BM1003" s="8">
        <v>-36000</v>
      </c>
      <c r="BN1003" s="6"/>
      <c r="BO1003" s="70"/>
      <c r="BP1003" s="70"/>
      <c r="BQ1003" s="72"/>
      <c r="BS1003" s="61">
        <v>0</v>
      </c>
      <c r="BT1003" s="61">
        <v>0</v>
      </c>
      <c r="BU1003" s="61">
        <v>0</v>
      </c>
      <c r="BV1003" s="61">
        <v>0</v>
      </c>
      <c r="BW1003" s="61">
        <v>0</v>
      </c>
      <c r="BX1003" s="61">
        <v>0</v>
      </c>
      <c r="BY1003" s="61" t="s">
        <v>91</v>
      </c>
      <c r="CA1003" s="61">
        <v>0</v>
      </c>
      <c r="CB1003" s="61">
        <v>0</v>
      </c>
      <c r="CC1003" s="61">
        <v>0</v>
      </c>
      <c r="CD1003" s="61">
        <v>0</v>
      </c>
      <c r="CE1003" s="61">
        <v>0</v>
      </c>
      <c r="CF1003" s="61">
        <v>0</v>
      </c>
      <c r="CG1003" s="61">
        <v>0</v>
      </c>
      <c r="CH1003" s="61">
        <v>0</v>
      </c>
      <c r="CI1003" s="61">
        <v>0</v>
      </c>
      <c r="CJ1003" s="61"/>
      <c r="CK1003" s="61">
        <v>0</v>
      </c>
      <c r="CL1003" s="61">
        <v>0</v>
      </c>
      <c r="CM1003" s="61">
        <v>0</v>
      </c>
      <c r="CN1003" s="61">
        <v>0</v>
      </c>
      <c r="CO1003" s="61">
        <v>0</v>
      </c>
      <c r="CP1003" s="61">
        <v>0</v>
      </c>
      <c r="CQ1003" s="61">
        <v>0</v>
      </c>
      <c r="CR1003" s="61">
        <v>0</v>
      </c>
      <c r="CS1003" s="61">
        <v>0</v>
      </c>
      <c r="CT1003" s="67">
        <f t="shared" si="1069"/>
        <v>0</v>
      </c>
      <c r="CV1003" s="61">
        <v>0</v>
      </c>
      <c r="CW1003" s="61">
        <v>0</v>
      </c>
      <c r="CX1003" s="61"/>
      <c r="CY1003" s="61">
        <v>0</v>
      </c>
      <c r="CZ1003" s="61">
        <v>0</v>
      </c>
      <c r="DA1003" s="61">
        <v>0</v>
      </c>
      <c r="DB1003" s="2" t="s">
        <v>85</v>
      </c>
      <c r="DC1003" s="2" t="s">
        <v>85</v>
      </c>
      <c r="DD1003" s="2" t="s">
        <v>142</v>
      </c>
      <c r="DE1003" s="2" t="s">
        <v>106</v>
      </c>
      <c r="DF1003" s="3" t="s">
        <v>86</v>
      </c>
      <c r="DG1003" s="62">
        <v>43084</v>
      </c>
      <c r="DI1003" s="2" t="e">
        <v>#N/A</v>
      </c>
      <c r="EC1003" s="60"/>
      <c r="ED1003" s="60"/>
      <c r="EE1003" s="60"/>
      <c r="EF1003" s="60"/>
    </row>
    <row r="1004" spans="2:140" ht="12.75" hidden="1" customHeight="1">
      <c r="B1004" s="99" t="s">
        <v>1547</v>
      </c>
      <c r="C1004" s="22" t="s">
        <v>726</v>
      </c>
      <c r="D1004" s="22" t="s">
        <v>727</v>
      </c>
      <c r="E1004" s="2" t="s">
        <v>260</v>
      </c>
      <c r="F1004" s="2" t="s">
        <v>1025</v>
      </c>
      <c r="G1004" s="2" t="s">
        <v>994</v>
      </c>
      <c r="J1004" s="149" t="s">
        <v>728</v>
      </c>
      <c r="K1004" s="23" t="s">
        <v>729</v>
      </c>
      <c r="L1004" s="149" t="s">
        <v>1556</v>
      </c>
      <c r="M1004" s="51" t="str">
        <f t="shared" si="1089"/>
        <v>MJD8B -LBBA-MFW</v>
      </c>
      <c r="O1004" s="22">
        <v>0</v>
      </c>
      <c r="P1004" s="22">
        <v>0</v>
      </c>
      <c r="Q1004" s="22">
        <v>0</v>
      </c>
      <c r="R1004" s="22">
        <v>0</v>
      </c>
      <c r="S1004" s="22">
        <v>0</v>
      </c>
      <c r="T1004" s="22">
        <v>0</v>
      </c>
      <c r="U1004" s="22">
        <v>0</v>
      </c>
      <c r="V1004" s="22">
        <v>1</v>
      </c>
      <c r="W1004" s="64">
        <f t="shared" si="1091"/>
        <v>0.05</v>
      </c>
      <c r="Y1004" s="60">
        <f>-6.6-985.89-3.89</f>
        <v>-996.38</v>
      </c>
      <c r="Z1004" s="8"/>
      <c r="AA1004" s="8">
        <v>-8.4600000000000009</v>
      </c>
      <c r="AB1004" s="8">
        <v>-2.12</v>
      </c>
      <c r="AC1004" s="8"/>
      <c r="AD1004" s="8">
        <f t="shared" si="1142"/>
        <v>-1006.96</v>
      </c>
      <c r="AE1004" s="2" t="s">
        <v>84</v>
      </c>
      <c r="AG1004" s="8"/>
      <c r="AH1004" s="8"/>
      <c r="AJ1004" s="70"/>
      <c r="AK1004" s="70"/>
      <c r="AL1004" s="72"/>
      <c r="AM1004" s="22"/>
      <c r="AO1004" s="22" t="s">
        <v>728</v>
      </c>
      <c r="AP1004" s="23" t="s">
        <v>1001</v>
      </c>
      <c r="AQ1004" s="22" t="s">
        <v>1546</v>
      </c>
      <c r="AR1004" s="51" t="str">
        <f t="shared" si="1134"/>
        <v>MJD8B -LBBA-MEW</v>
      </c>
      <c r="AS1004" s="3"/>
      <c r="AT1004" s="22">
        <v>0</v>
      </c>
      <c r="AU1004" s="22">
        <v>0</v>
      </c>
      <c r="AV1004" s="22">
        <v>0</v>
      </c>
      <c r="AW1004" s="22">
        <v>0</v>
      </c>
      <c r="AX1004" s="22">
        <v>0</v>
      </c>
      <c r="AY1004" s="22">
        <v>0</v>
      </c>
      <c r="AZ1004" s="22">
        <v>0</v>
      </c>
      <c r="BA1004" s="22">
        <v>1</v>
      </c>
      <c r="BB1004" s="64">
        <f t="shared" si="1113"/>
        <v>0.05</v>
      </c>
      <c r="BD1004" s="8">
        <f>-6.6-985.89</f>
        <v>-992.49</v>
      </c>
      <c r="BE1004" s="8"/>
      <c r="BF1004" s="8">
        <v>-8.4600000000000009</v>
      </c>
      <c r="BG1004" s="8">
        <v>-2.12</v>
      </c>
      <c r="BH1004" s="8"/>
      <c r="BI1004" s="8">
        <f t="shared" si="1143"/>
        <v>-1003.07</v>
      </c>
      <c r="BJ1004" s="2" t="s">
        <v>84</v>
      </c>
      <c r="BL1004" s="8"/>
      <c r="BM1004" s="8"/>
      <c r="BN1004" s="6"/>
      <c r="BO1004" s="70"/>
      <c r="BP1004" s="70"/>
      <c r="BQ1004" s="72"/>
      <c r="BS1004" s="61">
        <v>0</v>
      </c>
      <c r="BT1004" s="61">
        <v>0</v>
      </c>
      <c r="BU1004" s="61">
        <v>0</v>
      </c>
      <c r="BV1004" s="61">
        <v>0</v>
      </c>
      <c r="BW1004" s="61">
        <v>0</v>
      </c>
      <c r="BX1004" s="61">
        <v>0</v>
      </c>
      <c r="BY1004" s="61" t="s">
        <v>91</v>
      </c>
      <c r="CA1004" s="61">
        <v>0</v>
      </c>
      <c r="CB1004" s="61">
        <v>0</v>
      </c>
      <c r="CC1004" s="61">
        <v>0</v>
      </c>
      <c r="CD1004" s="61">
        <v>0</v>
      </c>
      <c r="CE1004" s="61">
        <v>0</v>
      </c>
      <c r="CF1004" s="61">
        <v>0</v>
      </c>
      <c r="CG1004" s="61">
        <v>0</v>
      </c>
      <c r="CH1004" s="61">
        <v>0</v>
      </c>
      <c r="CI1004" s="61">
        <v>0</v>
      </c>
      <c r="CJ1004" s="61"/>
      <c r="CK1004" s="61">
        <v>0</v>
      </c>
      <c r="CL1004" s="61">
        <v>0</v>
      </c>
      <c r="CM1004" s="61">
        <v>0</v>
      </c>
      <c r="CN1004" s="61">
        <v>0</v>
      </c>
      <c r="CO1004" s="61">
        <v>0</v>
      </c>
      <c r="CP1004" s="61">
        <v>0</v>
      </c>
      <c r="CQ1004" s="61">
        <v>0</v>
      </c>
      <c r="CR1004" s="61">
        <v>0</v>
      </c>
      <c r="CS1004" s="61">
        <v>0</v>
      </c>
      <c r="CT1004" s="67">
        <f t="shared" si="1069"/>
        <v>0</v>
      </c>
      <c r="CV1004" s="61">
        <v>0</v>
      </c>
      <c r="CW1004" s="61">
        <v>0</v>
      </c>
      <c r="CX1004" s="61"/>
      <c r="CY1004" s="61">
        <v>0</v>
      </c>
      <c r="CZ1004" s="61">
        <v>0</v>
      </c>
      <c r="DA1004" s="61">
        <v>0</v>
      </c>
      <c r="DB1004" s="2" t="s">
        <v>85</v>
      </c>
      <c r="DC1004" s="2" t="s">
        <v>85</v>
      </c>
      <c r="DD1004" s="2" t="s">
        <v>142</v>
      </c>
      <c r="DE1004" s="2" t="s">
        <v>106</v>
      </c>
      <c r="DF1004" s="3" t="s">
        <v>86</v>
      </c>
      <c r="DG1004" s="62">
        <v>43084</v>
      </c>
      <c r="DI1004" s="2" t="e">
        <v>#N/A</v>
      </c>
      <c r="EC1004" s="60"/>
      <c r="ED1004" s="60"/>
      <c r="EE1004" s="60"/>
      <c r="EF1004" s="60"/>
    </row>
    <row r="1005" spans="2:140" ht="12.75" hidden="1" customHeight="1">
      <c r="B1005" s="99" t="s">
        <v>1557</v>
      </c>
      <c r="C1005" s="22" t="s">
        <v>726</v>
      </c>
      <c r="D1005" s="22" t="s">
        <v>727</v>
      </c>
      <c r="E1005" s="2" t="s">
        <v>260</v>
      </c>
      <c r="F1005" s="2" t="s">
        <v>1025</v>
      </c>
      <c r="G1005" s="2" t="s">
        <v>994</v>
      </c>
      <c r="J1005" s="149" t="s">
        <v>728</v>
      </c>
      <c r="K1005" s="23" t="s">
        <v>729</v>
      </c>
      <c r="L1005" s="149" t="s">
        <v>1338</v>
      </c>
      <c r="M1005" s="51" t="str">
        <f t="shared" si="1089"/>
        <v>MJD8B -LBBA-AGW</v>
      </c>
      <c r="O1005" s="22">
        <v>1</v>
      </c>
      <c r="P1005" s="22">
        <v>0</v>
      </c>
      <c r="Q1005" s="22">
        <v>0</v>
      </c>
      <c r="R1005" s="22">
        <v>0</v>
      </c>
      <c r="S1005" s="22">
        <v>0</v>
      </c>
      <c r="T1005" s="22">
        <v>0</v>
      </c>
      <c r="U1005" s="22">
        <v>0</v>
      </c>
      <c r="V1005" s="22">
        <v>0</v>
      </c>
      <c r="W1005" s="64">
        <f t="shared" si="1091"/>
        <v>0.14000000000000001</v>
      </c>
      <c r="Y1005" s="60">
        <v>-750.76</v>
      </c>
      <c r="Z1005" s="8"/>
      <c r="AA1005" s="8">
        <v>-8.44</v>
      </c>
      <c r="AB1005" s="8">
        <v>-2.12</v>
      </c>
      <c r="AC1005" s="8"/>
      <c r="AD1005" s="8">
        <f t="shared" ref="AD1005:AD1007" si="1144">SUM(Y1005:AC1005)</f>
        <v>-761.32</v>
      </c>
      <c r="AE1005" s="2" t="s">
        <v>84</v>
      </c>
      <c r="AG1005" s="8">
        <f>-283800-7009600-85000-35000</f>
        <v>-7413400</v>
      </c>
      <c r="AH1005" s="8">
        <f>-283800-7009600-85000-35000</f>
        <v>-7413400</v>
      </c>
      <c r="AJ1005" s="70"/>
      <c r="AK1005" s="70"/>
      <c r="AL1005" s="72"/>
      <c r="AM1005" s="22"/>
      <c r="AO1005" s="149" t="s">
        <v>728</v>
      </c>
      <c r="AP1005" s="23" t="s">
        <v>729</v>
      </c>
      <c r="AQ1005" s="149" t="s">
        <v>1334</v>
      </c>
      <c r="AR1005" s="51" t="str">
        <f t="shared" si="1134"/>
        <v>MJD8B -LBBA-AFW</v>
      </c>
      <c r="AS1005" s="3"/>
      <c r="AT1005" s="22">
        <v>1</v>
      </c>
      <c r="AU1005" s="22">
        <v>0</v>
      </c>
      <c r="AV1005" s="22">
        <v>0</v>
      </c>
      <c r="AW1005" s="22">
        <v>0</v>
      </c>
      <c r="AX1005" s="22">
        <v>0</v>
      </c>
      <c r="AY1005" s="22">
        <v>0</v>
      </c>
      <c r="AZ1005" s="22">
        <v>0</v>
      </c>
      <c r="BA1005" s="22">
        <v>0</v>
      </c>
      <c r="BB1005" s="64">
        <f t="shared" si="1113"/>
        <v>0.14000000000000001</v>
      </c>
      <c r="BD1005" s="60">
        <v>-750.76</v>
      </c>
      <c r="BE1005" s="8"/>
      <c r="BF1005" s="8">
        <v>-8.44</v>
      </c>
      <c r="BG1005" s="8">
        <v>-2.12</v>
      </c>
      <c r="BH1005" s="8"/>
      <c r="BI1005" s="8">
        <f t="shared" ref="BI1005:BI1007" si="1145">SUM(BD1005:BH1005)</f>
        <v>-761.32</v>
      </c>
      <c r="BJ1005" s="2" t="s">
        <v>84</v>
      </c>
      <c r="BL1005" s="8">
        <f>-283800-7009600-85000</f>
        <v>-7378400</v>
      </c>
      <c r="BM1005" s="8">
        <f>-283800-7009600-85000</f>
        <v>-7378400</v>
      </c>
      <c r="BN1005" s="6"/>
      <c r="BO1005" s="70"/>
      <c r="BP1005" s="70"/>
      <c r="BQ1005" s="72"/>
      <c r="BS1005" s="61">
        <f t="shared" ref="BS1005:BX1007" si="1146">SUM(Y1005)-SUM(BD1005)</f>
        <v>0</v>
      </c>
      <c r="BT1005" s="61">
        <f t="shared" si="1146"/>
        <v>0</v>
      </c>
      <c r="BU1005" s="61">
        <f t="shared" si="1146"/>
        <v>0</v>
      </c>
      <c r="BV1005" s="61">
        <f t="shared" si="1146"/>
        <v>0</v>
      </c>
      <c r="BW1005" s="61">
        <f t="shared" si="1146"/>
        <v>0</v>
      </c>
      <c r="BX1005" s="61">
        <f t="shared" si="1146"/>
        <v>0</v>
      </c>
      <c r="BY1005" s="61" t="s">
        <v>91</v>
      </c>
      <c r="CA1005" s="61">
        <f t="shared" ref="CA1005:CH1007" si="1147">($Y1005*O1005-AT1005*$BD1005)/$C$2</f>
        <v>0</v>
      </c>
      <c r="CB1005" s="61">
        <f t="shared" si="1147"/>
        <v>0</v>
      </c>
      <c r="CC1005" s="61">
        <f t="shared" si="1147"/>
        <v>0</v>
      </c>
      <c r="CD1005" s="61">
        <f t="shared" si="1147"/>
        <v>0</v>
      </c>
      <c r="CE1005" s="61">
        <f t="shared" si="1147"/>
        <v>0</v>
      </c>
      <c r="CF1005" s="61">
        <f t="shared" si="1147"/>
        <v>0</v>
      </c>
      <c r="CG1005" s="61">
        <f t="shared" si="1147"/>
        <v>0</v>
      </c>
      <c r="CH1005" s="61">
        <f t="shared" si="1147"/>
        <v>0</v>
      </c>
      <c r="CI1005" s="61">
        <f>SUMPRODUCT(CA1005:CH1005,$O$6:$V$6)</f>
        <v>0</v>
      </c>
      <c r="CJ1005" s="61"/>
      <c r="CK1005" s="61">
        <f t="shared" ref="CK1005:CR1007" si="1148">(O1005*$AD1005-AT1005*$BI1005)/$C$2</f>
        <v>0</v>
      </c>
      <c r="CL1005" s="61">
        <f t="shared" si="1148"/>
        <v>0</v>
      </c>
      <c r="CM1005" s="61">
        <f t="shared" si="1148"/>
        <v>0</v>
      </c>
      <c r="CN1005" s="61">
        <f t="shared" si="1148"/>
        <v>0</v>
      </c>
      <c r="CO1005" s="61">
        <f t="shared" si="1148"/>
        <v>0</v>
      </c>
      <c r="CP1005" s="61">
        <f t="shared" si="1148"/>
        <v>0</v>
      </c>
      <c r="CQ1005" s="61">
        <f t="shared" si="1148"/>
        <v>0</v>
      </c>
      <c r="CR1005" s="61">
        <f t="shared" si="1148"/>
        <v>0</v>
      </c>
      <c r="CS1005" s="61">
        <f>SUMPRODUCT(CK1005:CR1005,$O$6:$V$6)</f>
        <v>0</v>
      </c>
      <c r="CT1005" s="67">
        <f t="shared" si="1069"/>
        <v>0</v>
      </c>
      <c r="CV1005" s="61">
        <f t="shared" ref="CV1005:CV1008" si="1149">SUM(AG1005)-SUM(BL1005)</f>
        <v>-35000</v>
      </c>
      <c r="CW1005" s="61">
        <f t="shared" ref="CW1005:CW1008" si="1150">SUM(AH1005)-SUM(BM1005)</f>
        <v>-35000</v>
      </c>
      <c r="CX1005" s="61"/>
      <c r="CY1005" s="61">
        <f t="shared" ref="CY1005:DA1008" si="1151">SUM(AJ1005)-SUM(BO1005)</f>
        <v>0</v>
      </c>
      <c r="CZ1005" s="61">
        <f t="shared" si="1151"/>
        <v>0</v>
      </c>
      <c r="DA1005" s="61">
        <f t="shared" si="1151"/>
        <v>0</v>
      </c>
      <c r="DB1005" s="2" t="s">
        <v>86</v>
      </c>
      <c r="DC1005" s="2" t="s">
        <v>85</v>
      </c>
      <c r="DD1005" s="2" t="s">
        <v>142</v>
      </c>
      <c r="DE1005" s="2" t="s">
        <v>106</v>
      </c>
      <c r="DF1005" s="3" t="s">
        <v>86</v>
      </c>
      <c r="DG1005" s="62">
        <v>43084</v>
      </c>
      <c r="EC1005" s="60" t="str">
        <f>VLOOKUP($M1005,[1]Detail!$M:$BO,1,0)</f>
        <v>MJD8B -LBBA-AGW</v>
      </c>
      <c r="ED1005" s="60">
        <f>VLOOKUP($M1005,[1]Detail!$M:$BO,22,0)</f>
        <v>-761.32</v>
      </c>
      <c r="EE1005" s="155">
        <f>VLOOKUP($M1005,[1]Detail!$M:$BO,42,0)</f>
        <v>-7413400</v>
      </c>
      <c r="EF1005" s="60">
        <f>VLOOKUP($M1005,[1]Detail!$M:$BO,45,0)</f>
        <v>0</v>
      </c>
      <c r="EH1005" s="60">
        <f t="shared" ref="EH1005:EH1014" si="1152">ED1005-AD1005</f>
        <v>0</v>
      </c>
      <c r="EI1005" s="60">
        <f t="shared" ref="EI1005:EI1014" si="1153">EE1005-AG1005</f>
        <v>0</v>
      </c>
      <c r="EJ1005" s="60">
        <f t="shared" ref="EJ1005:EJ1014" si="1154">EF1005-AJ1005</f>
        <v>0</v>
      </c>
    </row>
    <row r="1006" spans="2:140" ht="12.75" hidden="1" customHeight="1">
      <c r="B1006" s="99" t="s">
        <v>1557</v>
      </c>
      <c r="C1006" s="22" t="s">
        <v>726</v>
      </c>
      <c r="D1006" s="22" t="s">
        <v>727</v>
      </c>
      <c r="E1006" s="2" t="s">
        <v>260</v>
      </c>
      <c r="F1006" s="2" t="s">
        <v>1025</v>
      </c>
      <c r="G1006" s="2" t="s">
        <v>994</v>
      </c>
      <c r="J1006" s="149" t="s">
        <v>728</v>
      </c>
      <c r="K1006" s="23" t="s">
        <v>729</v>
      </c>
      <c r="L1006" s="149" t="s">
        <v>656</v>
      </c>
      <c r="M1006" s="51" t="str">
        <f t="shared" si="1089"/>
        <v>MJD8B -LBBA-BGW</v>
      </c>
      <c r="O1006" s="22">
        <v>0</v>
      </c>
      <c r="P1006" s="22">
        <v>1</v>
      </c>
      <c r="Q1006" s="22">
        <v>0</v>
      </c>
      <c r="R1006" s="22">
        <v>0</v>
      </c>
      <c r="S1006" s="22">
        <v>0</v>
      </c>
      <c r="T1006" s="22">
        <v>0</v>
      </c>
      <c r="U1006" s="22">
        <v>0</v>
      </c>
      <c r="V1006" s="22">
        <v>0</v>
      </c>
      <c r="W1006" s="64">
        <f t="shared" si="1091"/>
        <v>0.16</v>
      </c>
      <c r="Y1006" s="60">
        <v>-750.76</v>
      </c>
      <c r="Z1006" s="8"/>
      <c r="AA1006" s="8">
        <v>-8.44</v>
      </c>
      <c r="AB1006" s="8">
        <v>-2.12</v>
      </c>
      <c r="AC1006" s="8"/>
      <c r="AD1006" s="8">
        <f t="shared" si="1144"/>
        <v>-761.32</v>
      </c>
      <c r="AE1006" s="2" t="s">
        <v>84</v>
      </c>
      <c r="AG1006" s="8"/>
      <c r="AH1006" s="8"/>
      <c r="AJ1006" s="70"/>
      <c r="AK1006" s="70"/>
      <c r="AL1006" s="72"/>
      <c r="AM1006" s="22"/>
      <c r="AO1006" s="149" t="s">
        <v>728</v>
      </c>
      <c r="AP1006" s="23" t="s">
        <v>729</v>
      </c>
      <c r="AQ1006" s="149" t="s">
        <v>1335</v>
      </c>
      <c r="AR1006" s="51" t="str">
        <f t="shared" si="1134"/>
        <v>MJD8B -LBBA-BFW</v>
      </c>
      <c r="AS1006" s="3"/>
      <c r="AT1006" s="22">
        <v>0</v>
      </c>
      <c r="AU1006" s="22">
        <v>1</v>
      </c>
      <c r="AV1006" s="22">
        <v>0</v>
      </c>
      <c r="AW1006" s="22">
        <v>0</v>
      </c>
      <c r="AX1006" s="22">
        <v>0</v>
      </c>
      <c r="AY1006" s="22">
        <v>0</v>
      </c>
      <c r="AZ1006" s="22">
        <v>0</v>
      </c>
      <c r="BA1006" s="22">
        <v>0</v>
      </c>
      <c r="BB1006" s="64">
        <f t="shared" si="1113"/>
        <v>0.16</v>
      </c>
      <c r="BD1006" s="60">
        <v>-750.76</v>
      </c>
      <c r="BE1006" s="8"/>
      <c r="BF1006" s="8">
        <v>-8.44</v>
      </c>
      <c r="BG1006" s="8">
        <v>-2.12</v>
      </c>
      <c r="BH1006" s="8"/>
      <c r="BI1006" s="8">
        <f t="shared" si="1145"/>
        <v>-761.32</v>
      </c>
      <c r="BJ1006" s="2" t="s">
        <v>84</v>
      </c>
      <c r="BL1006" s="8"/>
      <c r="BM1006" s="8"/>
      <c r="BN1006" s="6"/>
      <c r="BO1006" s="70"/>
      <c r="BP1006" s="70"/>
      <c r="BQ1006" s="72"/>
      <c r="BS1006" s="61">
        <f t="shared" si="1146"/>
        <v>0</v>
      </c>
      <c r="BT1006" s="61">
        <f t="shared" si="1146"/>
        <v>0</v>
      </c>
      <c r="BU1006" s="61">
        <f t="shared" si="1146"/>
        <v>0</v>
      </c>
      <c r="BV1006" s="61">
        <f t="shared" si="1146"/>
        <v>0</v>
      </c>
      <c r="BW1006" s="61">
        <f t="shared" si="1146"/>
        <v>0</v>
      </c>
      <c r="BX1006" s="61">
        <f t="shared" si="1146"/>
        <v>0</v>
      </c>
      <c r="BY1006" s="61" t="s">
        <v>91</v>
      </c>
      <c r="CA1006" s="61">
        <f t="shared" si="1147"/>
        <v>0</v>
      </c>
      <c r="CB1006" s="61">
        <f t="shared" si="1147"/>
        <v>0</v>
      </c>
      <c r="CC1006" s="61">
        <f t="shared" si="1147"/>
        <v>0</v>
      </c>
      <c r="CD1006" s="61">
        <f t="shared" si="1147"/>
        <v>0</v>
      </c>
      <c r="CE1006" s="61">
        <f t="shared" si="1147"/>
        <v>0</v>
      </c>
      <c r="CF1006" s="61">
        <f t="shared" si="1147"/>
        <v>0</v>
      </c>
      <c r="CG1006" s="61">
        <f t="shared" si="1147"/>
        <v>0</v>
      </c>
      <c r="CH1006" s="61">
        <f t="shared" si="1147"/>
        <v>0</v>
      </c>
      <c r="CI1006" s="61">
        <f>SUMPRODUCT(CA1006:CH1006,$O$6:$V$6)</f>
        <v>0</v>
      </c>
      <c r="CJ1006" s="61"/>
      <c r="CK1006" s="61">
        <f t="shared" si="1148"/>
        <v>0</v>
      </c>
      <c r="CL1006" s="61">
        <f t="shared" si="1148"/>
        <v>0</v>
      </c>
      <c r="CM1006" s="61">
        <f t="shared" si="1148"/>
        <v>0</v>
      </c>
      <c r="CN1006" s="61">
        <f t="shared" si="1148"/>
        <v>0</v>
      </c>
      <c r="CO1006" s="61">
        <f t="shared" si="1148"/>
        <v>0</v>
      </c>
      <c r="CP1006" s="61">
        <f t="shared" si="1148"/>
        <v>0</v>
      </c>
      <c r="CQ1006" s="61">
        <f t="shared" si="1148"/>
        <v>0</v>
      </c>
      <c r="CR1006" s="61">
        <f t="shared" si="1148"/>
        <v>0</v>
      </c>
      <c r="CS1006" s="61">
        <f>SUMPRODUCT(CK1006:CR1006,$O$6:$V$6)</f>
        <v>0</v>
      </c>
      <c r="CT1006" s="67">
        <f t="shared" si="1069"/>
        <v>0</v>
      </c>
      <c r="CV1006" s="61">
        <f t="shared" si="1149"/>
        <v>0</v>
      </c>
      <c r="CW1006" s="61">
        <f t="shared" si="1150"/>
        <v>0</v>
      </c>
      <c r="CX1006" s="61"/>
      <c r="CY1006" s="61">
        <f t="shared" si="1151"/>
        <v>0</v>
      </c>
      <c r="CZ1006" s="61">
        <f t="shared" si="1151"/>
        <v>0</v>
      </c>
      <c r="DA1006" s="61">
        <f t="shared" si="1151"/>
        <v>0</v>
      </c>
      <c r="DB1006" s="2" t="s">
        <v>86</v>
      </c>
      <c r="DC1006" s="2" t="s">
        <v>85</v>
      </c>
      <c r="DD1006" s="2" t="s">
        <v>142</v>
      </c>
      <c r="DE1006" s="2" t="s">
        <v>106</v>
      </c>
      <c r="DF1006" s="3" t="s">
        <v>86</v>
      </c>
      <c r="DG1006" s="62">
        <v>43084</v>
      </c>
      <c r="EC1006" s="60" t="str">
        <f>VLOOKUP($M1006,[1]Detail!$M:$BO,1,0)</f>
        <v>MJD8B -LBBA-BGW</v>
      </c>
      <c r="ED1006" s="60">
        <f>VLOOKUP($M1006,[1]Detail!$M:$BO,22,0)</f>
        <v>-761.32</v>
      </c>
      <c r="EE1006" s="155">
        <f>VLOOKUP($M1006,[1]Detail!$M:$BO,42,0)</f>
        <v>0</v>
      </c>
      <c r="EF1006" s="60">
        <f>VLOOKUP($M1006,[1]Detail!$M:$BO,45,0)</f>
        <v>0</v>
      </c>
      <c r="EH1006" s="60">
        <f t="shared" si="1152"/>
        <v>0</v>
      </c>
      <c r="EI1006" s="60">
        <f t="shared" si="1153"/>
        <v>0</v>
      </c>
      <c r="EJ1006" s="60">
        <f t="shared" si="1154"/>
        <v>0</v>
      </c>
    </row>
    <row r="1007" spans="2:140" ht="12.75" hidden="1" customHeight="1">
      <c r="B1007" s="99" t="s">
        <v>1557</v>
      </c>
      <c r="C1007" s="22" t="s">
        <v>726</v>
      </c>
      <c r="D1007" s="22" t="s">
        <v>727</v>
      </c>
      <c r="E1007" s="2" t="s">
        <v>260</v>
      </c>
      <c r="F1007" s="2" t="s">
        <v>1025</v>
      </c>
      <c r="G1007" s="2" t="s">
        <v>994</v>
      </c>
      <c r="J1007" s="149" t="s">
        <v>728</v>
      </c>
      <c r="K1007" s="23" t="s">
        <v>729</v>
      </c>
      <c r="L1007" s="149" t="s">
        <v>1434</v>
      </c>
      <c r="M1007" s="51" t="str">
        <f t="shared" si="1089"/>
        <v>MJD8B -LBBA-CGW</v>
      </c>
      <c r="O1007" s="22">
        <v>0</v>
      </c>
      <c r="P1007" s="22">
        <v>0</v>
      </c>
      <c r="Q1007" s="22">
        <v>0</v>
      </c>
      <c r="R1007" s="22">
        <v>0</v>
      </c>
      <c r="S1007" s="22">
        <v>0</v>
      </c>
      <c r="T1007" s="22">
        <v>0</v>
      </c>
      <c r="U1007" s="22">
        <v>0</v>
      </c>
      <c r="V1007" s="22">
        <v>0</v>
      </c>
      <c r="W1007" s="64">
        <f t="shared" si="1091"/>
        <v>0</v>
      </c>
      <c r="Y1007" s="60">
        <v>-735.22</v>
      </c>
      <c r="Z1007" s="8"/>
      <c r="AA1007" s="8">
        <v>-8.44</v>
      </c>
      <c r="AB1007" s="8">
        <v>-2.12</v>
      </c>
      <c r="AC1007" s="8"/>
      <c r="AD1007" s="8">
        <f t="shared" si="1144"/>
        <v>-745.78000000000009</v>
      </c>
      <c r="AE1007" s="2" t="s">
        <v>84</v>
      </c>
      <c r="AG1007" s="8"/>
      <c r="AH1007" s="8"/>
      <c r="AJ1007" s="70"/>
      <c r="AK1007" s="70"/>
      <c r="AL1007" s="72"/>
      <c r="AM1007" s="22"/>
      <c r="AO1007" s="149" t="s">
        <v>728</v>
      </c>
      <c r="AP1007" s="23" t="s">
        <v>729</v>
      </c>
      <c r="AQ1007" s="149" t="s">
        <v>1347</v>
      </c>
      <c r="AR1007" s="51" t="str">
        <f t="shared" si="1134"/>
        <v>MJD8B -LBBA-CFW</v>
      </c>
      <c r="AS1007" s="3"/>
      <c r="AT1007" s="22">
        <v>0</v>
      </c>
      <c r="AU1007" s="22">
        <v>0</v>
      </c>
      <c r="AV1007" s="22">
        <v>0</v>
      </c>
      <c r="AW1007" s="22">
        <v>0</v>
      </c>
      <c r="AX1007" s="22">
        <v>0</v>
      </c>
      <c r="AY1007" s="22">
        <v>0</v>
      </c>
      <c r="AZ1007" s="22">
        <v>0</v>
      </c>
      <c r="BA1007" s="22">
        <v>0</v>
      </c>
      <c r="BB1007" s="64">
        <f t="shared" si="1113"/>
        <v>0</v>
      </c>
      <c r="BD1007" s="60">
        <v>-735.22</v>
      </c>
      <c r="BE1007" s="8"/>
      <c r="BF1007" s="8">
        <v>-8.44</v>
      </c>
      <c r="BG1007" s="8">
        <v>-2.12</v>
      </c>
      <c r="BH1007" s="8"/>
      <c r="BI1007" s="8">
        <f t="shared" si="1145"/>
        <v>-745.78000000000009</v>
      </c>
      <c r="BJ1007" s="2" t="s">
        <v>84</v>
      </c>
      <c r="BL1007" s="8"/>
      <c r="BM1007" s="8"/>
      <c r="BN1007" s="6"/>
      <c r="BO1007" s="70"/>
      <c r="BP1007" s="70"/>
      <c r="BQ1007" s="72"/>
      <c r="BS1007" s="61">
        <f t="shared" si="1146"/>
        <v>0</v>
      </c>
      <c r="BT1007" s="61">
        <f t="shared" si="1146"/>
        <v>0</v>
      </c>
      <c r="BU1007" s="61">
        <f t="shared" si="1146"/>
        <v>0</v>
      </c>
      <c r="BV1007" s="61">
        <f t="shared" si="1146"/>
        <v>0</v>
      </c>
      <c r="BW1007" s="61">
        <f t="shared" si="1146"/>
        <v>0</v>
      </c>
      <c r="BX1007" s="61">
        <f t="shared" si="1146"/>
        <v>0</v>
      </c>
      <c r="BY1007" s="61" t="s">
        <v>91</v>
      </c>
      <c r="CA1007" s="61">
        <f t="shared" si="1147"/>
        <v>0</v>
      </c>
      <c r="CB1007" s="61">
        <f t="shared" si="1147"/>
        <v>0</v>
      </c>
      <c r="CC1007" s="61">
        <f t="shared" si="1147"/>
        <v>0</v>
      </c>
      <c r="CD1007" s="61">
        <f t="shared" si="1147"/>
        <v>0</v>
      </c>
      <c r="CE1007" s="61">
        <f t="shared" si="1147"/>
        <v>0</v>
      </c>
      <c r="CF1007" s="61">
        <f t="shared" si="1147"/>
        <v>0</v>
      </c>
      <c r="CG1007" s="61">
        <f t="shared" si="1147"/>
        <v>0</v>
      </c>
      <c r="CH1007" s="61">
        <f t="shared" si="1147"/>
        <v>0</v>
      </c>
      <c r="CI1007" s="61">
        <f>SUMPRODUCT(CA1007:CH1007,$O$6:$V$6)</f>
        <v>0</v>
      </c>
      <c r="CJ1007" s="61"/>
      <c r="CK1007" s="61">
        <f t="shared" si="1148"/>
        <v>0</v>
      </c>
      <c r="CL1007" s="61">
        <f t="shared" si="1148"/>
        <v>0</v>
      </c>
      <c r="CM1007" s="61">
        <f t="shared" si="1148"/>
        <v>0</v>
      </c>
      <c r="CN1007" s="61">
        <f t="shared" si="1148"/>
        <v>0</v>
      </c>
      <c r="CO1007" s="61">
        <f t="shared" si="1148"/>
        <v>0</v>
      </c>
      <c r="CP1007" s="61">
        <f t="shared" si="1148"/>
        <v>0</v>
      </c>
      <c r="CQ1007" s="61">
        <f t="shared" si="1148"/>
        <v>0</v>
      </c>
      <c r="CR1007" s="61">
        <f t="shared" si="1148"/>
        <v>0</v>
      </c>
      <c r="CS1007" s="61">
        <f>SUMPRODUCT(CK1007:CR1007,$O$6:$V$6)</f>
        <v>0</v>
      </c>
      <c r="CT1007" s="67">
        <f t="shared" si="1069"/>
        <v>0</v>
      </c>
      <c r="CV1007" s="61">
        <f t="shared" si="1149"/>
        <v>0</v>
      </c>
      <c r="CW1007" s="61">
        <f t="shared" si="1150"/>
        <v>0</v>
      </c>
      <c r="CX1007" s="61"/>
      <c r="CY1007" s="61">
        <f t="shared" si="1151"/>
        <v>0</v>
      </c>
      <c r="CZ1007" s="61">
        <f t="shared" si="1151"/>
        <v>0</v>
      </c>
      <c r="DA1007" s="61">
        <f t="shared" si="1151"/>
        <v>0</v>
      </c>
      <c r="DB1007" s="2" t="s">
        <v>86</v>
      </c>
      <c r="DC1007" s="2" t="s">
        <v>85</v>
      </c>
      <c r="DD1007" s="2" t="s">
        <v>142</v>
      </c>
      <c r="DE1007" s="2" t="s">
        <v>106</v>
      </c>
      <c r="DF1007" s="3" t="s">
        <v>86</v>
      </c>
      <c r="DG1007" s="62">
        <v>43084</v>
      </c>
      <c r="EC1007" s="60" t="str">
        <f>VLOOKUP($M1007,[1]Detail!$M:$BO,1,0)</f>
        <v>MJD8B -LBBA-CGW</v>
      </c>
      <c r="ED1007" s="60">
        <f>VLOOKUP($M1007,[1]Detail!$M:$BO,22,0)</f>
        <v>-745.78000000000009</v>
      </c>
      <c r="EE1007" s="155">
        <f>VLOOKUP($M1007,[1]Detail!$M:$BO,42,0)</f>
        <v>0</v>
      </c>
      <c r="EF1007" s="60">
        <f>VLOOKUP($M1007,[1]Detail!$M:$BO,45,0)</f>
        <v>0</v>
      </c>
      <c r="EH1007" s="60">
        <f t="shared" si="1152"/>
        <v>0</v>
      </c>
      <c r="EI1007" s="60">
        <f t="shared" si="1153"/>
        <v>0</v>
      </c>
      <c r="EJ1007" s="60">
        <f t="shared" si="1154"/>
        <v>0</v>
      </c>
    </row>
    <row r="1008" spans="2:140" ht="12.75" hidden="1" customHeight="1">
      <c r="B1008" s="99" t="s">
        <v>1557</v>
      </c>
      <c r="C1008" s="22" t="s">
        <v>726</v>
      </c>
      <c r="D1008" s="22" t="s">
        <v>727</v>
      </c>
      <c r="E1008" s="2" t="s">
        <v>260</v>
      </c>
      <c r="F1008" s="2" t="s">
        <v>1025</v>
      </c>
      <c r="G1008" s="2" t="s">
        <v>994</v>
      </c>
      <c r="J1008" s="149" t="s">
        <v>728</v>
      </c>
      <c r="K1008" s="23" t="s">
        <v>729</v>
      </c>
      <c r="L1008" s="149" t="s">
        <v>1339</v>
      </c>
      <c r="M1008" s="51" t="str">
        <f t="shared" si="1089"/>
        <v>MJD8B -LBBA-DGW</v>
      </c>
      <c r="O1008" s="22">
        <v>0</v>
      </c>
      <c r="P1008" s="22">
        <v>0</v>
      </c>
      <c r="Q1008" s="22">
        <v>0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64">
        <f t="shared" si="1091"/>
        <v>0</v>
      </c>
      <c r="Y1008" s="60">
        <v>-735.22</v>
      </c>
      <c r="Z1008" s="8"/>
      <c r="AA1008" s="8">
        <v>-8.44</v>
      </c>
      <c r="AB1008" s="8">
        <v>-2.12</v>
      </c>
      <c r="AC1008" s="8"/>
      <c r="AD1008" s="8">
        <f>SUM(Y1008:AC1008)</f>
        <v>-745.78000000000009</v>
      </c>
      <c r="AE1008" s="2" t="s">
        <v>84</v>
      </c>
      <c r="AG1008" s="8"/>
      <c r="AH1008" s="8"/>
      <c r="AJ1008" s="70"/>
      <c r="AK1008" s="70"/>
      <c r="AL1008" s="72"/>
      <c r="AM1008" s="22"/>
      <c r="AO1008" s="149" t="s">
        <v>728</v>
      </c>
      <c r="AP1008" s="23" t="s">
        <v>729</v>
      </c>
      <c r="AQ1008" s="149" t="s">
        <v>1336</v>
      </c>
      <c r="AR1008" s="51" t="str">
        <f t="shared" si="1134"/>
        <v>MJD8B -LBBA-DFW</v>
      </c>
      <c r="AS1008" s="3"/>
      <c r="AT1008" s="22">
        <v>0</v>
      </c>
      <c r="AU1008" s="22">
        <v>0</v>
      </c>
      <c r="AV1008" s="22">
        <v>0</v>
      </c>
      <c r="AW1008" s="22">
        <v>0</v>
      </c>
      <c r="AX1008" s="22">
        <v>0</v>
      </c>
      <c r="AY1008" s="22">
        <v>0</v>
      </c>
      <c r="AZ1008" s="22">
        <v>0</v>
      </c>
      <c r="BA1008" s="22">
        <v>0</v>
      </c>
      <c r="BB1008" s="64">
        <f t="shared" si="1113"/>
        <v>0</v>
      </c>
      <c r="BD1008" s="60">
        <v>-735.22</v>
      </c>
      <c r="BE1008" s="8"/>
      <c r="BF1008" s="8">
        <v>-8.44</v>
      </c>
      <c r="BG1008" s="8">
        <v>-2.12</v>
      </c>
      <c r="BH1008" s="8"/>
      <c r="BI1008" s="8">
        <f>SUM(BD1008:BH1008)</f>
        <v>-745.78000000000009</v>
      </c>
      <c r="BJ1008" s="2" t="s">
        <v>84</v>
      </c>
      <c r="BL1008" s="8"/>
      <c r="BM1008" s="8"/>
      <c r="BN1008" s="6"/>
      <c r="BO1008" s="70"/>
      <c r="BP1008" s="70"/>
      <c r="BQ1008" s="72"/>
      <c r="BS1008" s="61">
        <f t="shared" ref="BS1008:BX1008" si="1155">SUM(Y1009)-SUM(BD1008)</f>
        <v>-305.6099999999999</v>
      </c>
      <c r="BT1008" s="61">
        <f t="shared" si="1155"/>
        <v>0</v>
      </c>
      <c r="BU1008" s="61">
        <f t="shared" si="1155"/>
        <v>-2.000000000000135E-2</v>
      </c>
      <c r="BV1008" s="61">
        <f t="shared" si="1155"/>
        <v>0</v>
      </c>
      <c r="BW1008" s="61">
        <f t="shared" si="1155"/>
        <v>0</v>
      </c>
      <c r="BX1008" s="61">
        <f t="shared" si="1155"/>
        <v>-305.62999999999977</v>
      </c>
      <c r="BY1008" s="61" t="s">
        <v>91</v>
      </c>
      <c r="CA1008" s="61">
        <f t="shared" ref="CA1008:CH1008" si="1156">($Y1009*O1008-AT1008*$BD1008)/$C$2</f>
        <v>0</v>
      </c>
      <c r="CB1008" s="61">
        <f t="shared" si="1156"/>
        <v>0</v>
      </c>
      <c r="CC1008" s="61">
        <f t="shared" si="1156"/>
        <v>0</v>
      </c>
      <c r="CD1008" s="61">
        <f t="shared" si="1156"/>
        <v>0</v>
      </c>
      <c r="CE1008" s="61">
        <f t="shared" si="1156"/>
        <v>0</v>
      </c>
      <c r="CF1008" s="61">
        <f t="shared" si="1156"/>
        <v>0</v>
      </c>
      <c r="CG1008" s="61">
        <f t="shared" si="1156"/>
        <v>0</v>
      </c>
      <c r="CH1008" s="61">
        <f t="shared" si="1156"/>
        <v>0</v>
      </c>
      <c r="CI1008" s="61">
        <f>SUMPRODUCT(CA1008:CH1008,$O$6:$V$6)</f>
        <v>0</v>
      </c>
      <c r="CJ1008" s="61"/>
      <c r="CK1008" s="61">
        <f t="shared" ref="CK1008:CR1008" si="1157">(O1008*$AD1009-AT1008*$BI1008)/$C$2</f>
        <v>0</v>
      </c>
      <c r="CL1008" s="61">
        <f t="shared" si="1157"/>
        <v>0</v>
      </c>
      <c r="CM1008" s="61">
        <f t="shared" si="1157"/>
        <v>0</v>
      </c>
      <c r="CN1008" s="61">
        <f t="shared" si="1157"/>
        <v>0</v>
      </c>
      <c r="CO1008" s="61">
        <f t="shared" si="1157"/>
        <v>0</v>
      </c>
      <c r="CP1008" s="61">
        <f t="shared" si="1157"/>
        <v>0</v>
      </c>
      <c r="CQ1008" s="61">
        <f t="shared" si="1157"/>
        <v>0</v>
      </c>
      <c r="CR1008" s="61">
        <f t="shared" si="1157"/>
        <v>0</v>
      </c>
      <c r="CS1008" s="61">
        <f>SUMPRODUCT(CK1008:CR1008,$O$6:$V$6)</f>
        <v>0</v>
      </c>
      <c r="CT1008" s="67">
        <f t="shared" si="1069"/>
        <v>0</v>
      </c>
      <c r="CV1008" s="61">
        <f t="shared" si="1149"/>
        <v>0</v>
      </c>
      <c r="CW1008" s="61">
        <f t="shared" si="1150"/>
        <v>0</v>
      </c>
      <c r="CX1008" s="61"/>
      <c r="CY1008" s="61">
        <f t="shared" si="1151"/>
        <v>0</v>
      </c>
      <c r="CZ1008" s="61">
        <f t="shared" si="1151"/>
        <v>0</v>
      </c>
      <c r="DA1008" s="61">
        <f t="shared" si="1151"/>
        <v>0</v>
      </c>
      <c r="DB1008" s="2" t="s">
        <v>86</v>
      </c>
      <c r="DC1008" s="2" t="s">
        <v>85</v>
      </c>
      <c r="DD1008" s="2" t="s">
        <v>142</v>
      </c>
      <c r="DE1008" s="2" t="s">
        <v>106</v>
      </c>
      <c r="DF1008" s="3" t="s">
        <v>86</v>
      </c>
      <c r="DG1008" s="62">
        <v>43084</v>
      </c>
      <c r="EC1008" s="60" t="str">
        <f>VLOOKUP($M1008,[1]Detail!$M:$BO,1,0)</f>
        <v>MJD8B -LBBA-DGW</v>
      </c>
      <c r="ED1008" s="60">
        <f>VLOOKUP($M1008,[1]Detail!$M:$BO,22,0)</f>
        <v>-745.78000000000009</v>
      </c>
      <c r="EE1008" s="155">
        <f>VLOOKUP($M1008,[1]Detail!$M:$BO,42,0)</f>
        <v>0</v>
      </c>
      <c r="EF1008" s="60">
        <f>VLOOKUP($M1008,[1]Detail!$M:$BO,45,0)</f>
        <v>0</v>
      </c>
      <c r="EH1008" s="60">
        <f t="shared" si="1152"/>
        <v>0</v>
      </c>
      <c r="EI1008" s="60">
        <f t="shared" si="1153"/>
        <v>0</v>
      </c>
      <c r="EJ1008" s="60">
        <f t="shared" si="1154"/>
        <v>0</v>
      </c>
    </row>
    <row r="1009" spans="2:140 16368:16370" ht="12.75" hidden="1" customHeight="1">
      <c r="B1009" s="99" t="s">
        <v>1557</v>
      </c>
      <c r="C1009" s="22" t="s">
        <v>726</v>
      </c>
      <c r="D1009" s="22" t="s">
        <v>727</v>
      </c>
      <c r="E1009" s="2" t="s">
        <v>260</v>
      </c>
      <c r="F1009" s="2" t="s">
        <v>1025</v>
      </c>
      <c r="G1009" s="2" t="s">
        <v>994</v>
      </c>
      <c r="J1009" s="149" t="s">
        <v>728</v>
      </c>
      <c r="K1009" s="23" t="s">
        <v>729</v>
      </c>
      <c r="L1009" s="149" t="s">
        <v>1558</v>
      </c>
      <c r="M1009" s="51" t="str">
        <f t="shared" si="1089"/>
        <v>MJD8B -LBBA-EGW</v>
      </c>
      <c r="O1009" s="22">
        <v>0</v>
      </c>
      <c r="P1009" s="22">
        <v>0</v>
      </c>
      <c r="Q1009" s="22">
        <v>1</v>
      </c>
      <c r="R1009" s="22">
        <v>0</v>
      </c>
      <c r="S1009" s="22">
        <v>0</v>
      </c>
      <c r="T1009" s="22">
        <v>0</v>
      </c>
      <c r="U1009" s="22">
        <v>0</v>
      </c>
      <c r="V1009" s="22">
        <v>0</v>
      </c>
      <c r="W1009" s="64">
        <f t="shared" si="1091"/>
        <v>0.14000000000000001</v>
      </c>
      <c r="Y1009" s="60">
        <v>-1040.83</v>
      </c>
      <c r="Z1009" s="8"/>
      <c r="AA1009" s="8">
        <v>-8.4600000000000009</v>
      </c>
      <c r="AB1009" s="8">
        <v>-2.12</v>
      </c>
      <c r="AC1009" s="8"/>
      <c r="AD1009" s="8">
        <f>SUM(Y1009:AC1009)</f>
        <v>-1051.4099999999999</v>
      </c>
      <c r="AE1009" s="2" t="s">
        <v>84</v>
      </c>
      <c r="AG1009" s="8"/>
      <c r="AH1009" s="8"/>
      <c r="AJ1009" s="70"/>
      <c r="AK1009" s="70"/>
      <c r="AL1009" s="72"/>
      <c r="AM1009" s="22"/>
      <c r="AO1009" s="149" t="s">
        <v>728</v>
      </c>
      <c r="AP1009" s="23" t="s">
        <v>729</v>
      </c>
      <c r="AQ1009" s="149" t="s">
        <v>1549</v>
      </c>
      <c r="AR1009" s="51" t="str">
        <f>TRIM(AO1009)&amp;"-"&amp;TRIM(AP1009)&amp;"-"&amp;TRIM(AQ1009)</f>
        <v>MJD8B -LBBA-EFW</v>
      </c>
      <c r="AS1009" s="3"/>
      <c r="AT1009" s="22">
        <v>0</v>
      </c>
      <c r="AU1009" s="22">
        <v>0</v>
      </c>
      <c r="AV1009" s="22">
        <v>1</v>
      </c>
      <c r="AW1009" s="22">
        <v>0</v>
      </c>
      <c r="AX1009" s="22">
        <v>0</v>
      </c>
      <c r="AY1009" s="22">
        <v>0</v>
      </c>
      <c r="AZ1009" s="22">
        <v>0</v>
      </c>
      <c r="BA1009" s="22">
        <v>0</v>
      </c>
      <c r="BB1009" s="64">
        <f t="shared" si="1113"/>
        <v>0.14000000000000001</v>
      </c>
      <c r="BD1009" s="60">
        <v>-1040.83</v>
      </c>
      <c r="BE1009" s="8"/>
      <c r="BF1009" s="8">
        <v>-8.4600000000000009</v>
      </c>
      <c r="BG1009" s="8">
        <v>-2.12</v>
      </c>
      <c r="BH1009" s="8"/>
      <c r="BI1009" s="8">
        <f>SUM(BD1009:BH1009)</f>
        <v>-1051.4099999999999</v>
      </c>
      <c r="BJ1009" s="2" t="s">
        <v>84</v>
      </c>
      <c r="BL1009" s="8"/>
      <c r="BM1009" s="8"/>
      <c r="BN1009" s="6"/>
      <c r="BO1009" s="70"/>
      <c r="BP1009" s="70"/>
      <c r="BQ1009" s="72"/>
      <c r="BS1009" s="61">
        <v>0</v>
      </c>
      <c r="BT1009" s="61">
        <v>0</v>
      </c>
      <c r="BU1009" s="61">
        <v>0</v>
      </c>
      <c r="BV1009" s="61">
        <v>0</v>
      </c>
      <c r="BW1009" s="61">
        <v>0</v>
      </c>
      <c r="BX1009" s="61">
        <v>0</v>
      </c>
      <c r="BY1009" s="61" t="s">
        <v>91</v>
      </c>
      <c r="CA1009" s="61">
        <v>0</v>
      </c>
      <c r="CB1009" s="61">
        <v>0</v>
      </c>
      <c r="CC1009" s="61">
        <v>0</v>
      </c>
      <c r="CD1009" s="61">
        <v>0</v>
      </c>
      <c r="CE1009" s="61">
        <v>0</v>
      </c>
      <c r="CF1009" s="61">
        <v>0</v>
      </c>
      <c r="CG1009" s="61">
        <v>0</v>
      </c>
      <c r="CH1009" s="61">
        <v>0</v>
      </c>
      <c r="CI1009" s="61">
        <v>0</v>
      </c>
      <c r="CJ1009" s="61"/>
      <c r="CK1009" s="61">
        <v>0</v>
      </c>
      <c r="CL1009" s="61">
        <v>0</v>
      </c>
      <c r="CM1009" s="61">
        <v>0</v>
      </c>
      <c r="CN1009" s="61">
        <v>0</v>
      </c>
      <c r="CO1009" s="61">
        <v>0</v>
      </c>
      <c r="CP1009" s="61">
        <v>0</v>
      </c>
      <c r="CQ1009" s="61">
        <v>0</v>
      </c>
      <c r="CR1009" s="61">
        <v>0</v>
      </c>
      <c r="CS1009" s="61">
        <v>0</v>
      </c>
      <c r="CT1009" s="67">
        <f t="shared" si="1069"/>
        <v>0</v>
      </c>
      <c r="CV1009" s="61">
        <v>0</v>
      </c>
      <c r="CW1009" s="61">
        <v>0</v>
      </c>
      <c r="CX1009" s="61"/>
      <c r="CY1009" s="61">
        <v>0</v>
      </c>
      <c r="CZ1009" s="61">
        <v>0</v>
      </c>
      <c r="DA1009" s="61">
        <v>0</v>
      </c>
      <c r="DB1009" s="2" t="s">
        <v>86</v>
      </c>
      <c r="DC1009" s="2" t="s">
        <v>85</v>
      </c>
      <c r="DD1009" s="2" t="s">
        <v>142</v>
      </c>
      <c r="DE1009" s="2" t="s">
        <v>106</v>
      </c>
      <c r="DF1009" s="3" t="s">
        <v>86</v>
      </c>
      <c r="DG1009" s="62">
        <v>43084</v>
      </c>
      <c r="DI1009" s="2" t="e">
        <v>#N/A</v>
      </c>
      <c r="EC1009" s="60" t="str">
        <f>VLOOKUP($M1009,[1]Detail!$M:$BO,1,0)</f>
        <v>MJD8B -LBBA-EGW</v>
      </c>
      <c r="ED1009" s="60">
        <f>VLOOKUP($M1009,[1]Detail!$M:$BO,22,0)</f>
        <v>-1051.4099999999999</v>
      </c>
      <c r="EE1009" s="155">
        <f>VLOOKUP($M1009,[1]Detail!$M:$BO,42,0)</f>
        <v>0</v>
      </c>
      <c r="EF1009" s="60">
        <f>VLOOKUP($M1009,[1]Detail!$M:$BO,45,0)</f>
        <v>0</v>
      </c>
      <c r="EH1009" s="60">
        <f t="shared" si="1152"/>
        <v>0</v>
      </c>
      <c r="EI1009" s="60">
        <f t="shared" si="1153"/>
        <v>0</v>
      </c>
      <c r="EJ1009" s="60">
        <f t="shared" si="1154"/>
        <v>0</v>
      </c>
    </row>
    <row r="1010" spans="2:140 16368:16370" ht="12.75" hidden="1" customHeight="1">
      <c r="B1010" s="99" t="s">
        <v>1557</v>
      </c>
      <c r="C1010" s="22" t="s">
        <v>726</v>
      </c>
      <c r="D1010" s="22" t="s">
        <v>727</v>
      </c>
      <c r="E1010" s="2" t="s">
        <v>260</v>
      </c>
      <c r="F1010" s="2" t="s">
        <v>1025</v>
      </c>
      <c r="G1010" s="2" t="s">
        <v>994</v>
      </c>
      <c r="J1010" s="149" t="s">
        <v>728</v>
      </c>
      <c r="K1010" s="23" t="s">
        <v>729</v>
      </c>
      <c r="L1010" s="149" t="s">
        <v>1559</v>
      </c>
      <c r="M1010" s="51" t="str">
        <f t="shared" si="1089"/>
        <v>MJD8B -LBBA-FGW</v>
      </c>
      <c r="O1010" s="22">
        <v>0</v>
      </c>
      <c r="P1010" s="22">
        <v>0</v>
      </c>
      <c r="Q1010" s="22">
        <v>0</v>
      </c>
      <c r="R1010" s="22">
        <v>1</v>
      </c>
      <c r="S1010" s="22">
        <v>0</v>
      </c>
      <c r="T1010" s="22">
        <v>0</v>
      </c>
      <c r="U1010" s="22">
        <v>0</v>
      </c>
      <c r="V1010" s="22">
        <v>0</v>
      </c>
      <c r="W1010" s="64">
        <f t="shared" si="1091"/>
        <v>0.23</v>
      </c>
      <c r="Y1010" s="60">
        <v>-1040.83</v>
      </c>
      <c r="Z1010" s="8"/>
      <c r="AA1010" s="8">
        <v>-8.4600000000000009</v>
      </c>
      <c r="AB1010" s="8">
        <v>-2.12</v>
      </c>
      <c r="AC1010" s="8"/>
      <c r="AD1010" s="8">
        <f t="shared" ref="AD1010:AD1016" si="1158">SUM(Y1010:AC1010)</f>
        <v>-1051.4099999999999</v>
      </c>
      <c r="AE1010" s="2" t="s">
        <v>84</v>
      </c>
      <c r="AG1010" s="8"/>
      <c r="AH1010" s="8"/>
      <c r="AJ1010" s="70"/>
      <c r="AK1010" s="70"/>
      <c r="AL1010" s="72"/>
      <c r="AM1010" s="22"/>
      <c r="AO1010" s="149" t="s">
        <v>728</v>
      </c>
      <c r="AP1010" s="23" t="s">
        <v>729</v>
      </c>
      <c r="AQ1010" s="149" t="s">
        <v>1550</v>
      </c>
      <c r="AR1010" s="51" t="str">
        <f t="shared" ref="AR1010:AR1018" si="1159">TRIM(AO1010)&amp;"-"&amp;TRIM(AP1010)&amp;"-"&amp;TRIM(AQ1010)</f>
        <v>MJD8B -LBBA-FFW</v>
      </c>
      <c r="AS1010" s="3"/>
      <c r="AT1010" s="22">
        <v>0</v>
      </c>
      <c r="AU1010" s="22">
        <v>0</v>
      </c>
      <c r="AV1010" s="22">
        <v>0</v>
      </c>
      <c r="AW1010" s="22">
        <v>1</v>
      </c>
      <c r="AX1010" s="22">
        <v>0</v>
      </c>
      <c r="AY1010" s="22">
        <v>0</v>
      </c>
      <c r="AZ1010" s="22">
        <v>0</v>
      </c>
      <c r="BA1010" s="22">
        <v>0</v>
      </c>
      <c r="BB1010" s="64">
        <f t="shared" si="1113"/>
        <v>0.23</v>
      </c>
      <c r="BD1010" s="60">
        <v>-1040.83</v>
      </c>
      <c r="BE1010" s="8"/>
      <c r="BF1010" s="8">
        <v>-8.4600000000000009</v>
      </c>
      <c r="BG1010" s="8">
        <v>-2.12</v>
      </c>
      <c r="BH1010" s="8"/>
      <c r="BI1010" s="8">
        <f t="shared" ref="BI1010:BI1011" si="1160">SUM(BD1010:BH1010)</f>
        <v>-1051.4099999999999</v>
      </c>
      <c r="BJ1010" s="2" t="s">
        <v>84</v>
      </c>
      <c r="BL1010" s="8"/>
      <c r="BM1010" s="8"/>
      <c r="BN1010" s="6"/>
      <c r="BO1010" s="70"/>
      <c r="BP1010" s="70"/>
      <c r="BQ1010" s="72"/>
      <c r="BS1010" s="61">
        <f t="shared" ref="BS1010:BS1037" si="1161">SUM(Y1010)-SUM(BD1010)</f>
        <v>0</v>
      </c>
      <c r="BT1010" s="61">
        <f t="shared" ref="BT1010:BT1037" si="1162">SUM(Z1010)-SUM(BE1010)</f>
        <v>0</v>
      </c>
      <c r="BU1010" s="61">
        <f t="shared" ref="BU1010:BX1037" si="1163">SUM(AA1010)-SUM(BF1010)</f>
        <v>0</v>
      </c>
      <c r="BV1010" s="61">
        <f t="shared" si="1163"/>
        <v>0</v>
      </c>
      <c r="BW1010" s="61">
        <f t="shared" si="1163"/>
        <v>0</v>
      </c>
      <c r="BX1010" s="61">
        <f t="shared" si="1163"/>
        <v>0</v>
      </c>
      <c r="BY1010" s="61" t="s">
        <v>91</v>
      </c>
      <c r="CA1010" s="61">
        <f t="shared" ref="CA1010:CH1041" si="1164">($Y1010*O1010-AT1010*$BD1010)/$C$2</f>
        <v>0</v>
      </c>
      <c r="CB1010" s="61">
        <f t="shared" si="1164"/>
        <v>0</v>
      </c>
      <c r="CC1010" s="61">
        <f t="shared" si="1164"/>
        <v>0</v>
      </c>
      <c r="CD1010" s="61">
        <f t="shared" si="1164"/>
        <v>0</v>
      </c>
      <c r="CE1010" s="61">
        <f t="shared" si="1164"/>
        <v>0</v>
      </c>
      <c r="CF1010" s="61">
        <f t="shared" si="1164"/>
        <v>0</v>
      </c>
      <c r="CG1010" s="61">
        <f t="shared" si="1164"/>
        <v>0</v>
      </c>
      <c r="CH1010" s="61">
        <f t="shared" si="1164"/>
        <v>0</v>
      </c>
      <c r="CI1010" s="61">
        <f t="shared" ref="CI1010:CI1073" si="1165">SUMPRODUCT(CA1010:CH1010,$O$6:$V$6)</f>
        <v>0</v>
      </c>
      <c r="CJ1010" s="61"/>
      <c r="CK1010" s="61">
        <f t="shared" ref="CK1010:CR1073" si="1166">(O1010*$AD1010-AT1010*$BI1010)/$C$2</f>
        <v>0</v>
      </c>
      <c r="CL1010" s="61">
        <f t="shared" si="1166"/>
        <v>0</v>
      </c>
      <c r="CM1010" s="61">
        <f t="shared" si="1166"/>
        <v>0</v>
      </c>
      <c r="CN1010" s="61">
        <f t="shared" si="1166"/>
        <v>0</v>
      </c>
      <c r="CO1010" s="61">
        <f t="shared" si="1166"/>
        <v>0</v>
      </c>
      <c r="CP1010" s="61">
        <f t="shared" si="1166"/>
        <v>0</v>
      </c>
      <c r="CQ1010" s="61">
        <f t="shared" si="1166"/>
        <v>0</v>
      </c>
      <c r="CR1010" s="61">
        <f t="shared" si="1166"/>
        <v>0</v>
      </c>
      <c r="CS1010" s="61">
        <f t="shared" ref="CS1010:CS1073" si="1167">SUMPRODUCT(CK1010:CR1010,$O$6:$V$6)</f>
        <v>0</v>
      </c>
      <c r="CT1010" s="67">
        <f t="shared" si="1069"/>
        <v>0</v>
      </c>
      <c r="CV1010" s="61">
        <f t="shared" ref="CV1010:CV1011" si="1168">SUM(AG1010)-SUM(BL1010)</f>
        <v>0</v>
      </c>
      <c r="CW1010" s="61">
        <f t="shared" ref="CW1010:CW1053" si="1169">SUM(AH1010)-SUM(BM1010)</f>
        <v>0</v>
      </c>
      <c r="CX1010" s="61"/>
      <c r="CY1010" s="61">
        <f t="shared" ref="CY1010:DA1025" si="1170">SUM(AJ1010)-SUM(BO1010)</f>
        <v>0</v>
      </c>
      <c r="CZ1010" s="61">
        <f t="shared" si="1170"/>
        <v>0</v>
      </c>
      <c r="DA1010" s="61">
        <f t="shared" si="1170"/>
        <v>0</v>
      </c>
      <c r="DB1010" s="2" t="s">
        <v>86</v>
      </c>
      <c r="DC1010" s="2" t="s">
        <v>85</v>
      </c>
      <c r="DD1010" s="2" t="s">
        <v>142</v>
      </c>
      <c r="DE1010" s="2" t="s">
        <v>106</v>
      </c>
      <c r="DF1010" s="3" t="s">
        <v>86</v>
      </c>
      <c r="DG1010" s="62">
        <v>43084</v>
      </c>
      <c r="EC1010" s="60" t="str">
        <f>VLOOKUP($M1010,[1]Detail!$M:$BO,1,0)</f>
        <v>MJD8B -LBBA-FGW</v>
      </c>
      <c r="ED1010" s="60">
        <f>VLOOKUP($M1010,[1]Detail!$M:$BO,22,0)</f>
        <v>-1051.4099999999999</v>
      </c>
      <c r="EE1010" s="155">
        <f>VLOOKUP($M1010,[1]Detail!$M:$BO,42,0)</f>
        <v>0</v>
      </c>
      <c r="EF1010" s="60">
        <f>VLOOKUP($M1010,[1]Detail!$M:$BO,45,0)</f>
        <v>0</v>
      </c>
      <c r="EH1010" s="60">
        <f t="shared" si="1152"/>
        <v>0</v>
      </c>
      <c r="EI1010" s="60">
        <f t="shared" si="1153"/>
        <v>0</v>
      </c>
      <c r="EJ1010" s="60">
        <f t="shared" si="1154"/>
        <v>0</v>
      </c>
    </row>
    <row r="1011" spans="2:140 16368:16370" ht="12.75" hidden="1" customHeight="1">
      <c r="B1011" s="99" t="s">
        <v>1557</v>
      </c>
      <c r="C1011" s="22" t="s">
        <v>726</v>
      </c>
      <c r="D1011" s="22" t="s">
        <v>727</v>
      </c>
      <c r="E1011" s="2" t="s">
        <v>260</v>
      </c>
      <c r="F1011" s="2" t="s">
        <v>1025</v>
      </c>
      <c r="G1011" s="2" t="s">
        <v>994</v>
      </c>
      <c r="J1011" s="149" t="s">
        <v>728</v>
      </c>
      <c r="K1011" s="23" t="s">
        <v>729</v>
      </c>
      <c r="L1011" s="149" t="s">
        <v>1560</v>
      </c>
      <c r="M1011" s="51" t="str">
        <f t="shared" si="1089"/>
        <v>MJD8B -LBBA-GGW</v>
      </c>
      <c r="O1011" s="22">
        <v>0</v>
      </c>
      <c r="P1011" s="22">
        <v>0</v>
      </c>
      <c r="Q1011" s="22">
        <v>0</v>
      </c>
      <c r="R1011" s="22">
        <v>0</v>
      </c>
      <c r="S1011" s="22">
        <v>0</v>
      </c>
      <c r="T1011" s="22">
        <v>0</v>
      </c>
      <c r="U1011" s="22">
        <v>0</v>
      </c>
      <c r="V1011" s="22">
        <v>0</v>
      </c>
      <c r="W1011" s="64">
        <f t="shared" si="1091"/>
        <v>0</v>
      </c>
      <c r="Y1011" s="60">
        <v>-1025.29</v>
      </c>
      <c r="Z1011" s="8"/>
      <c r="AA1011" s="8">
        <v>-8.4600000000000009</v>
      </c>
      <c r="AB1011" s="8">
        <v>-2.12</v>
      </c>
      <c r="AC1011" s="8"/>
      <c r="AD1011" s="8">
        <f t="shared" si="1158"/>
        <v>-1035.8699999999999</v>
      </c>
      <c r="AE1011" s="2" t="s">
        <v>84</v>
      </c>
      <c r="AG1011" s="8"/>
      <c r="AH1011" s="8"/>
      <c r="AJ1011" s="70"/>
      <c r="AK1011" s="70"/>
      <c r="AL1011" s="72"/>
      <c r="AM1011" s="22"/>
      <c r="AO1011" s="149" t="s">
        <v>728</v>
      </c>
      <c r="AP1011" s="23" t="s">
        <v>729</v>
      </c>
      <c r="AQ1011" s="149" t="s">
        <v>1551</v>
      </c>
      <c r="AR1011" s="51" t="str">
        <f t="shared" si="1159"/>
        <v>MJD8B -LBBA-GFW</v>
      </c>
      <c r="AS1011" s="3"/>
      <c r="AT1011" s="22">
        <v>0</v>
      </c>
      <c r="AU1011" s="22">
        <v>0</v>
      </c>
      <c r="AV1011" s="22">
        <v>0</v>
      </c>
      <c r="AW1011" s="22">
        <v>0</v>
      </c>
      <c r="AX1011" s="22">
        <v>0</v>
      </c>
      <c r="AY1011" s="22">
        <v>0</v>
      </c>
      <c r="AZ1011" s="22">
        <v>0</v>
      </c>
      <c r="BA1011" s="22">
        <v>0</v>
      </c>
      <c r="BB1011" s="64">
        <f t="shared" si="1113"/>
        <v>0</v>
      </c>
      <c r="BD1011" s="60">
        <v>-1025.29</v>
      </c>
      <c r="BE1011" s="8"/>
      <c r="BF1011" s="8">
        <v>-8.4600000000000009</v>
      </c>
      <c r="BG1011" s="8">
        <v>-2.12</v>
      </c>
      <c r="BH1011" s="8"/>
      <c r="BI1011" s="8">
        <f t="shared" si="1160"/>
        <v>-1035.8699999999999</v>
      </c>
      <c r="BJ1011" s="2" t="s">
        <v>84</v>
      </c>
      <c r="BL1011" s="8"/>
      <c r="BM1011" s="8"/>
      <c r="BN1011" s="6"/>
      <c r="BO1011" s="70"/>
      <c r="BP1011" s="70"/>
      <c r="BQ1011" s="72"/>
      <c r="BS1011" s="61">
        <f t="shared" si="1161"/>
        <v>0</v>
      </c>
      <c r="BT1011" s="61">
        <f t="shared" si="1162"/>
        <v>0</v>
      </c>
      <c r="BU1011" s="61">
        <f t="shared" si="1163"/>
        <v>0</v>
      </c>
      <c r="BV1011" s="61">
        <f t="shared" si="1163"/>
        <v>0</v>
      </c>
      <c r="BW1011" s="61">
        <f t="shared" si="1163"/>
        <v>0</v>
      </c>
      <c r="BX1011" s="61">
        <f t="shared" si="1163"/>
        <v>0</v>
      </c>
      <c r="BY1011" s="61" t="s">
        <v>91</v>
      </c>
      <c r="CA1011" s="61">
        <f t="shared" si="1164"/>
        <v>0</v>
      </c>
      <c r="CB1011" s="61">
        <f t="shared" si="1164"/>
        <v>0</v>
      </c>
      <c r="CC1011" s="61">
        <f t="shared" si="1164"/>
        <v>0</v>
      </c>
      <c r="CD1011" s="61">
        <f t="shared" si="1164"/>
        <v>0</v>
      </c>
      <c r="CE1011" s="61">
        <f t="shared" si="1164"/>
        <v>0</v>
      </c>
      <c r="CF1011" s="61">
        <f t="shared" si="1164"/>
        <v>0</v>
      </c>
      <c r="CG1011" s="61">
        <f t="shared" si="1164"/>
        <v>0</v>
      </c>
      <c r="CH1011" s="61">
        <f t="shared" si="1164"/>
        <v>0</v>
      </c>
      <c r="CI1011" s="61">
        <f t="shared" si="1165"/>
        <v>0</v>
      </c>
      <c r="CJ1011" s="61"/>
      <c r="CK1011" s="61">
        <f t="shared" si="1166"/>
        <v>0</v>
      </c>
      <c r="CL1011" s="61">
        <f t="shared" si="1166"/>
        <v>0</v>
      </c>
      <c r="CM1011" s="61">
        <f t="shared" si="1166"/>
        <v>0</v>
      </c>
      <c r="CN1011" s="61">
        <f t="shared" si="1166"/>
        <v>0</v>
      </c>
      <c r="CO1011" s="61">
        <f t="shared" si="1166"/>
        <v>0</v>
      </c>
      <c r="CP1011" s="61">
        <f t="shared" si="1166"/>
        <v>0</v>
      </c>
      <c r="CQ1011" s="61">
        <f t="shared" si="1166"/>
        <v>0</v>
      </c>
      <c r="CR1011" s="61">
        <f t="shared" si="1166"/>
        <v>0</v>
      </c>
      <c r="CS1011" s="61">
        <f t="shared" si="1167"/>
        <v>0</v>
      </c>
      <c r="CT1011" s="67">
        <f t="shared" si="1069"/>
        <v>0</v>
      </c>
      <c r="CV1011" s="61">
        <f t="shared" si="1168"/>
        <v>0</v>
      </c>
      <c r="CW1011" s="61">
        <f t="shared" si="1169"/>
        <v>0</v>
      </c>
      <c r="CX1011" s="61"/>
      <c r="CY1011" s="61">
        <f t="shared" si="1170"/>
        <v>0</v>
      </c>
      <c r="CZ1011" s="61">
        <f t="shared" si="1170"/>
        <v>0</v>
      </c>
      <c r="DA1011" s="61">
        <f t="shared" si="1170"/>
        <v>0</v>
      </c>
      <c r="DB1011" s="2" t="s">
        <v>86</v>
      </c>
      <c r="DC1011" s="2" t="s">
        <v>85</v>
      </c>
      <c r="DD1011" s="2" t="s">
        <v>142</v>
      </c>
      <c r="DE1011" s="2" t="s">
        <v>106</v>
      </c>
      <c r="DF1011" s="3" t="s">
        <v>86</v>
      </c>
      <c r="DG1011" s="62">
        <v>43084</v>
      </c>
      <c r="EC1011" s="60" t="str">
        <f>VLOOKUP($M1011,[1]Detail!$M:$BO,1,0)</f>
        <v>MJD8B -LBBA-GGW</v>
      </c>
      <c r="ED1011" s="60">
        <f>VLOOKUP($M1011,[1]Detail!$M:$BO,22,0)</f>
        <v>-1035.8699999999999</v>
      </c>
      <c r="EE1011" s="155">
        <f>VLOOKUP($M1011,[1]Detail!$M:$BO,42,0)</f>
        <v>0</v>
      </c>
      <c r="EF1011" s="60">
        <f>VLOOKUP($M1011,[1]Detail!$M:$BO,45,0)</f>
        <v>0</v>
      </c>
      <c r="EH1011" s="60">
        <f t="shared" si="1152"/>
        <v>0</v>
      </c>
      <c r="EI1011" s="60">
        <f t="shared" si="1153"/>
        <v>0</v>
      </c>
      <c r="EJ1011" s="60">
        <f t="shared" si="1154"/>
        <v>0</v>
      </c>
    </row>
    <row r="1012" spans="2:140 16368:16370" ht="12.75" hidden="1" customHeight="1">
      <c r="B1012" s="99" t="s">
        <v>1557</v>
      </c>
      <c r="C1012" s="22" t="s">
        <v>726</v>
      </c>
      <c r="D1012" s="22" t="s">
        <v>727</v>
      </c>
      <c r="E1012" s="2" t="s">
        <v>260</v>
      </c>
      <c r="F1012" s="2" t="s">
        <v>1025</v>
      </c>
      <c r="G1012" s="2" t="s">
        <v>994</v>
      </c>
      <c r="J1012" s="149" t="s">
        <v>728</v>
      </c>
      <c r="K1012" s="23" t="s">
        <v>729</v>
      </c>
      <c r="L1012" s="149" t="s">
        <v>1561</v>
      </c>
      <c r="M1012" s="51" t="str">
        <f t="shared" si="1089"/>
        <v>MJD8B -LBBA-HGW</v>
      </c>
      <c r="O1012" s="22">
        <v>0</v>
      </c>
      <c r="P1012" s="22">
        <v>0</v>
      </c>
      <c r="Q1012" s="22">
        <v>0</v>
      </c>
      <c r="R1012" s="22">
        <v>0</v>
      </c>
      <c r="S1012" s="22">
        <v>0</v>
      </c>
      <c r="T1012" s="22">
        <v>0</v>
      </c>
      <c r="U1012" s="22">
        <v>0</v>
      </c>
      <c r="V1012" s="22">
        <v>0</v>
      </c>
      <c r="W1012" s="64">
        <f t="shared" si="1091"/>
        <v>0</v>
      </c>
      <c r="Y1012" s="60">
        <v>-1025.29</v>
      </c>
      <c r="Z1012" s="8"/>
      <c r="AA1012" s="8">
        <v>-8.4600000000000009</v>
      </c>
      <c r="AB1012" s="8">
        <v>-2.12</v>
      </c>
      <c r="AC1012" s="8"/>
      <c r="AD1012" s="8">
        <f t="shared" si="1158"/>
        <v>-1035.8699999999999</v>
      </c>
      <c r="AE1012" s="2" t="s">
        <v>84</v>
      </c>
      <c r="AG1012" s="8"/>
      <c r="AH1012" s="8"/>
      <c r="AJ1012" s="70"/>
      <c r="AK1012" s="70"/>
      <c r="AL1012" s="72"/>
      <c r="AM1012" s="22"/>
      <c r="AO1012" s="149" t="s">
        <v>728</v>
      </c>
      <c r="AP1012" s="23" t="s">
        <v>729</v>
      </c>
      <c r="AQ1012" s="149" t="s">
        <v>1552</v>
      </c>
      <c r="AR1012" s="51" t="str">
        <f t="shared" si="1159"/>
        <v>MJD8B -LBBA-HFW</v>
      </c>
      <c r="AS1012" s="3"/>
      <c r="AT1012" s="22">
        <v>0</v>
      </c>
      <c r="AU1012" s="22">
        <v>0</v>
      </c>
      <c r="AV1012" s="22">
        <v>0</v>
      </c>
      <c r="AW1012" s="22">
        <v>0</v>
      </c>
      <c r="AX1012" s="22">
        <v>0</v>
      </c>
      <c r="AY1012" s="22">
        <v>0</v>
      </c>
      <c r="AZ1012" s="22">
        <v>0</v>
      </c>
      <c r="BA1012" s="22">
        <v>0</v>
      </c>
      <c r="BB1012" s="64">
        <f t="shared" si="1113"/>
        <v>0</v>
      </c>
      <c r="BD1012" s="60">
        <v>-1025.29</v>
      </c>
      <c r="BE1012" s="8"/>
      <c r="BF1012" s="8">
        <v>-8.4600000000000009</v>
      </c>
      <c r="BG1012" s="8">
        <v>-2.12</v>
      </c>
      <c r="BH1012" s="8"/>
      <c r="BI1012" s="8">
        <f t="shared" ref="BI1012:BI1016" si="1171">SUM(BD1012:BH1012)</f>
        <v>-1035.8699999999999</v>
      </c>
      <c r="BJ1012" s="2" t="s">
        <v>84</v>
      </c>
      <c r="BL1012" s="8"/>
      <c r="BM1012" s="8"/>
      <c r="BN1012" s="6"/>
      <c r="BO1012" s="70"/>
      <c r="BP1012" s="70"/>
      <c r="BQ1012" s="72"/>
      <c r="BS1012" s="61">
        <f t="shared" si="1161"/>
        <v>0</v>
      </c>
      <c r="BT1012" s="61">
        <f t="shared" si="1162"/>
        <v>0</v>
      </c>
      <c r="BU1012" s="61">
        <f t="shared" si="1163"/>
        <v>0</v>
      </c>
      <c r="BV1012" s="61">
        <f t="shared" si="1163"/>
        <v>0</v>
      </c>
      <c r="BW1012" s="61">
        <f t="shared" si="1163"/>
        <v>0</v>
      </c>
      <c r="BX1012" s="61">
        <f t="shared" si="1163"/>
        <v>0</v>
      </c>
      <c r="BY1012" s="61" t="s">
        <v>91</v>
      </c>
      <c r="CA1012" s="61">
        <f t="shared" si="1164"/>
        <v>0</v>
      </c>
      <c r="CB1012" s="61">
        <f t="shared" si="1164"/>
        <v>0</v>
      </c>
      <c r="CC1012" s="61">
        <f t="shared" si="1164"/>
        <v>0</v>
      </c>
      <c r="CD1012" s="61">
        <f t="shared" si="1164"/>
        <v>0</v>
      </c>
      <c r="CE1012" s="61">
        <f t="shared" si="1164"/>
        <v>0</v>
      </c>
      <c r="CF1012" s="61">
        <f t="shared" si="1164"/>
        <v>0</v>
      </c>
      <c r="CG1012" s="61">
        <f t="shared" si="1164"/>
        <v>0</v>
      </c>
      <c r="CH1012" s="61">
        <f t="shared" si="1164"/>
        <v>0</v>
      </c>
      <c r="CI1012" s="61">
        <f t="shared" si="1165"/>
        <v>0</v>
      </c>
      <c r="CJ1012" s="61"/>
      <c r="CK1012" s="61">
        <f t="shared" si="1166"/>
        <v>0</v>
      </c>
      <c r="CL1012" s="61">
        <f t="shared" si="1166"/>
        <v>0</v>
      </c>
      <c r="CM1012" s="61">
        <f t="shared" si="1166"/>
        <v>0</v>
      </c>
      <c r="CN1012" s="61">
        <f t="shared" si="1166"/>
        <v>0</v>
      </c>
      <c r="CO1012" s="61">
        <f t="shared" si="1166"/>
        <v>0</v>
      </c>
      <c r="CP1012" s="61">
        <f t="shared" si="1166"/>
        <v>0</v>
      </c>
      <c r="CQ1012" s="61">
        <f t="shared" si="1166"/>
        <v>0</v>
      </c>
      <c r="CR1012" s="61">
        <f t="shared" si="1166"/>
        <v>0</v>
      </c>
      <c r="CS1012" s="61">
        <f t="shared" si="1167"/>
        <v>0</v>
      </c>
      <c r="CT1012" s="67">
        <f t="shared" si="1069"/>
        <v>0</v>
      </c>
      <c r="CV1012" s="61">
        <f t="shared" ref="CV1012:CV1053" si="1172">SUM(AG1012)-SUM(BL1012)</f>
        <v>0</v>
      </c>
      <c r="CW1012" s="61">
        <f t="shared" si="1169"/>
        <v>0</v>
      </c>
      <c r="CX1012" s="61"/>
      <c r="CY1012" s="61">
        <f t="shared" si="1170"/>
        <v>0</v>
      </c>
      <c r="CZ1012" s="61">
        <f t="shared" si="1170"/>
        <v>0</v>
      </c>
      <c r="DA1012" s="61">
        <f t="shared" si="1170"/>
        <v>0</v>
      </c>
      <c r="DB1012" s="2" t="s">
        <v>86</v>
      </c>
      <c r="DC1012" s="2" t="s">
        <v>85</v>
      </c>
      <c r="DD1012" s="2" t="s">
        <v>142</v>
      </c>
      <c r="DE1012" s="2" t="s">
        <v>106</v>
      </c>
      <c r="DF1012" s="3" t="s">
        <v>86</v>
      </c>
      <c r="DG1012" s="62">
        <v>43084</v>
      </c>
      <c r="EC1012" s="60" t="str">
        <f>VLOOKUP($M1012,[1]Detail!$M:$BO,1,0)</f>
        <v>MJD8B -LBBA-HGW</v>
      </c>
      <c r="ED1012" s="60">
        <f>VLOOKUP($M1012,[1]Detail!$M:$BO,22,0)</f>
        <v>-1035.8699999999999</v>
      </c>
      <c r="EE1012" s="155">
        <f>VLOOKUP($M1012,[1]Detail!$M:$BO,42,0)</f>
        <v>0</v>
      </c>
      <c r="EF1012" s="60">
        <f>VLOOKUP($M1012,[1]Detail!$M:$BO,45,0)</f>
        <v>0</v>
      </c>
      <c r="EH1012" s="60">
        <f t="shared" si="1152"/>
        <v>0</v>
      </c>
      <c r="EI1012" s="60">
        <f t="shared" si="1153"/>
        <v>0</v>
      </c>
      <c r="EJ1012" s="60">
        <f t="shared" si="1154"/>
        <v>0</v>
      </c>
    </row>
    <row r="1013" spans="2:140 16368:16370" ht="12.75" hidden="1" customHeight="1">
      <c r="B1013" s="99" t="s">
        <v>1557</v>
      </c>
      <c r="C1013" s="22" t="s">
        <v>726</v>
      </c>
      <c r="D1013" s="22" t="s">
        <v>727</v>
      </c>
      <c r="E1013" s="2" t="s">
        <v>260</v>
      </c>
      <c r="F1013" s="2" t="s">
        <v>1025</v>
      </c>
      <c r="G1013" s="2" t="s">
        <v>994</v>
      </c>
      <c r="J1013" s="149" t="s">
        <v>728</v>
      </c>
      <c r="K1013" s="23" t="s">
        <v>729</v>
      </c>
      <c r="L1013" s="149" t="s">
        <v>1562</v>
      </c>
      <c r="M1013" s="51" t="str">
        <f t="shared" si="1089"/>
        <v>MJD8B -LBBA-JGW</v>
      </c>
      <c r="O1013" s="22">
        <v>0</v>
      </c>
      <c r="P1013" s="22">
        <v>0</v>
      </c>
      <c r="Q1013" s="22">
        <v>0</v>
      </c>
      <c r="R1013" s="22">
        <v>0</v>
      </c>
      <c r="S1013" s="22">
        <v>1</v>
      </c>
      <c r="T1013" s="22">
        <v>0</v>
      </c>
      <c r="U1013" s="22">
        <v>0</v>
      </c>
      <c r="V1013" s="22">
        <v>0</v>
      </c>
      <c r="W1013" s="64">
        <f t="shared" si="1091"/>
        <v>0.09</v>
      </c>
      <c r="Y1013" s="60">
        <v>-943.43</v>
      </c>
      <c r="Z1013" s="8"/>
      <c r="AA1013" s="8">
        <v>-8.4600000000000009</v>
      </c>
      <c r="AB1013" s="8">
        <v>-2.12</v>
      </c>
      <c r="AC1013" s="8"/>
      <c r="AD1013" s="8">
        <f t="shared" si="1158"/>
        <v>-954.01</v>
      </c>
      <c r="AE1013" s="2" t="s">
        <v>84</v>
      </c>
      <c r="AG1013" s="8"/>
      <c r="AH1013" s="8"/>
      <c r="AJ1013" s="70"/>
      <c r="AK1013" s="70"/>
      <c r="AL1013" s="72"/>
      <c r="AM1013" s="22"/>
      <c r="AO1013" s="149" t="s">
        <v>728</v>
      </c>
      <c r="AP1013" s="23" t="s">
        <v>729</v>
      </c>
      <c r="AQ1013" s="149" t="s">
        <v>1553</v>
      </c>
      <c r="AR1013" s="51" t="str">
        <f t="shared" si="1159"/>
        <v>MJD8B -LBBA-JFW</v>
      </c>
      <c r="AS1013" s="3"/>
      <c r="AT1013" s="22">
        <v>0</v>
      </c>
      <c r="AU1013" s="22">
        <v>0</v>
      </c>
      <c r="AV1013" s="22">
        <v>0</v>
      </c>
      <c r="AW1013" s="22">
        <v>0</v>
      </c>
      <c r="AX1013" s="22">
        <v>1</v>
      </c>
      <c r="AY1013" s="22">
        <v>0</v>
      </c>
      <c r="AZ1013" s="22">
        <v>0</v>
      </c>
      <c r="BA1013" s="22">
        <v>0</v>
      </c>
      <c r="BB1013" s="64">
        <f t="shared" si="1113"/>
        <v>0.09</v>
      </c>
      <c r="BD1013" s="60">
        <v>-943.43</v>
      </c>
      <c r="BE1013" s="8"/>
      <c r="BF1013" s="8">
        <v>-8.4600000000000009</v>
      </c>
      <c r="BG1013" s="8">
        <v>-2.12</v>
      </c>
      <c r="BH1013" s="8"/>
      <c r="BI1013" s="8">
        <f t="shared" si="1171"/>
        <v>-954.01</v>
      </c>
      <c r="BJ1013" s="2" t="s">
        <v>84</v>
      </c>
      <c r="BL1013" s="8"/>
      <c r="BM1013" s="8"/>
      <c r="BN1013" s="6"/>
      <c r="BO1013" s="70"/>
      <c r="BP1013" s="70"/>
      <c r="BQ1013" s="72"/>
      <c r="BS1013" s="61">
        <f t="shared" si="1161"/>
        <v>0</v>
      </c>
      <c r="BT1013" s="61">
        <f t="shared" si="1162"/>
        <v>0</v>
      </c>
      <c r="BU1013" s="61">
        <f t="shared" si="1163"/>
        <v>0</v>
      </c>
      <c r="BV1013" s="61">
        <f t="shared" si="1163"/>
        <v>0</v>
      </c>
      <c r="BW1013" s="61">
        <f t="shared" si="1163"/>
        <v>0</v>
      </c>
      <c r="BX1013" s="61">
        <f t="shared" si="1163"/>
        <v>0</v>
      </c>
      <c r="BY1013" s="61" t="s">
        <v>91</v>
      </c>
      <c r="CA1013" s="61">
        <f t="shared" si="1164"/>
        <v>0</v>
      </c>
      <c r="CB1013" s="61">
        <f t="shared" si="1164"/>
        <v>0</v>
      </c>
      <c r="CC1013" s="61">
        <f t="shared" si="1164"/>
        <v>0</v>
      </c>
      <c r="CD1013" s="61">
        <f t="shared" si="1164"/>
        <v>0</v>
      </c>
      <c r="CE1013" s="61">
        <f t="shared" si="1164"/>
        <v>0</v>
      </c>
      <c r="CF1013" s="61">
        <f t="shared" si="1164"/>
        <v>0</v>
      </c>
      <c r="CG1013" s="61">
        <f t="shared" si="1164"/>
        <v>0</v>
      </c>
      <c r="CH1013" s="61">
        <f t="shared" si="1164"/>
        <v>0</v>
      </c>
      <c r="CI1013" s="61">
        <f t="shared" si="1165"/>
        <v>0</v>
      </c>
      <c r="CJ1013" s="61"/>
      <c r="CK1013" s="61">
        <f t="shared" si="1166"/>
        <v>0</v>
      </c>
      <c r="CL1013" s="61">
        <f t="shared" si="1166"/>
        <v>0</v>
      </c>
      <c r="CM1013" s="61">
        <f t="shared" si="1166"/>
        <v>0</v>
      </c>
      <c r="CN1013" s="61">
        <f t="shared" si="1166"/>
        <v>0</v>
      </c>
      <c r="CO1013" s="61">
        <f t="shared" si="1166"/>
        <v>0</v>
      </c>
      <c r="CP1013" s="61">
        <f t="shared" si="1166"/>
        <v>0</v>
      </c>
      <c r="CQ1013" s="61">
        <f t="shared" si="1166"/>
        <v>0</v>
      </c>
      <c r="CR1013" s="61">
        <f t="shared" si="1166"/>
        <v>0</v>
      </c>
      <c r="CS1013" s="61">
        <f t="shared" si="1167"/>
        <v>0</v>
      </c>
      <c r="CT1013" s="67">
        <f t="shared" ref="CT1013:CT1076" si="1173">CS1013*$C$2</f>
        <v>0</v>
      </c>
      <c r="CV1013" s="61">
        <f t="shared" si="1172"/>
        <v>0</v>
      </c>
      <c r="CW1013" s="61">
        <f t="shared" si="1169"/>
        <v>0</v>
      </c>
      <c r="CX1013" s="61"/>
      <c r="CY1013" s="61">
        <f t="shared" si="1170"/>
        <v>0</v>
      </c>
      <c r="CZ1013" s="61">
        <f t="shared" si="1170"/>
        <v>0</v>
      </c>
      <c r="DA1013" s="61">
        <f t="shared" si="1170"/>
        <v>0</v>
      </c>
      <c r="DB1013" s="2" t="s">
        <v>86</v>
      </c>
      <c r="DC1013" s="2" t="s">
        <v>85</v>
      </c>
      <c r="DD1013" s="2" t="s">
        <v>142</v>
      </c>
      <c r="DE1013" s="2" t="s">
        <v>106</v>
      </c>
      <c r="DF1013" s="3" t="s">
        <v>86</v>
      </c>
      <c r="DG1013" s="62">
        <v>43084</v>
      </c>
      <c r="EC1013" s="60" t="str">
        <f>VLOOKUP($M1013,[1]Detail!$M:$BO,1,0)</f>
        <v>MJD8B -LBBA-JGW</v>
      </c>
      <c r="ED1013" s="60">
        <f>VLOOKUP($M1013,[1]Detail!$M:$BO,22,0)</f>
        <v>-954.01</v>
      </c>
      <c r="EE1013" s="155">
        <f>VLOOKUP($M1013,[1]Detail!$M:$BO,42,0)</f>
        <v>0</v>
      </c>
      <c r="EF1013" s="60">
        <f>VLOOKUP($M1013,[1]Detail!$M:$BO,45,0)</f>
        <v>0</v>
      </c>
      <c r="EH1013" s="60">
        <f t="shared" si="1152"/>
        <v>0</v>
      </c>
      <c r="EI1013" s="60">
        <f t="shared" si="1153"/>
        <v>0</v>
      </c>
      <c r="EJ1013" s="60">
        <f t="shared" si="1154"/>
        <v>0</v>
      </c>
    </row>
    <row r="1014" spans="2:140 16368:16370" ht="12.75" hidden="1" customHeight="1">
      <c r="B1014" s="99" t="s">
        <v>1557</v>
      </c>
      <c r="C1014" s="22" t="s">
        <v>726</v>
      </c>
      <c r="D1014" s="22" t="s">
        <v>727</v>
      </c>
      <c r="E1014" s="2" t="s">
        <v>260</v>
      </c>
      <c r="F1014" s="2" t="s">
        <v>1025</v>
      </c>
      <c r="G1014" s="2" t="s">
        <v>994</v>
      </c>
      <c r="J1014" s="149" t="s">
        <v>728</v>
      </c>
      <c r="K1014" s="23" t="s">
        <v>729</v>
      </c>
      <c r="L1014" s="149" t="s">
        <v>1563</v>
      </c>
      <c r="M1014" s="51" t="str">
        <f t="shared" si="1089"/>
        <v>MJD8B -LBBA-KGW</v>
      </c>
      <c r="O1014" s="22">
        <v>0</v>
      </c>
      <c r="P1014" s="22">
        <v>0</v>
      </c>
      <c r="Q1014" s="22">
        <v>0</v>
      </c>
      <c r="R1014" s="22">
        <v>0</v>
      </c>
      <c r="S1014" s="22">
        <v>0</v>
      </c>
      <c r="T1014" s="22">
        <v>1</v>
      </c>
      <c r="U1014" s="22">
        <v>0</v>
      </c>
      <c r="V1014" s="22">
        <v>0</v>
      </c>
      <c r="W1014" s="64">
        <f t="shared" si="1091"/>
        <v>0.14000000000000001</v>
      </c>
      <c r="Y1014" s="60">
        <v>-943.43</v>
      </c>
      <c r="Z1014" s="8"/>
      <c r="AA1014" s="8">
        <v>-8.4600000000000009</v>
      </c>
      <c r="AB1014" s="8">
        <v>-2.12</v>
      </c>
      <c r="AC1014" s="8"/>
      <c r="AD1014" s="8">
        <f t="shared" si="1158"/>
        <v>-954.01</v>
      </c>
      <c r="AE1014" s="2" t="s">
        <v>84</v>
      </c>
      <c r="AG1014" s="8"/>
      <c r="AH1014" s="8"/>
      <c r="AJ1014" s="70"/>
      <c r="AK1014" s="70"/>
      <c r="AL1014" s="72"/>
      <c r="AM1014" s="22"/>
      <c r="AO1014" s="149" t="s">
        <v>728</v>
      </c>
      <c r="AP1014" s="23" t="s">
        <v>729</v>
      </c>
      <c r="AQ1014" s="149" t="s">
        <v>1554</v>
      </c>
      <c r="AR1014" s="51" t="str">
        <f t="shared" si="1159"/>
        <v>MJD8B -LBBA-KFW</v>
      </c>
      <c r="AS1014" s="3"/>
      <c r="AT1014" s="22">
        <v>0</v>
      </c>
      <c r="AU1014" s="22">
        <v>0</v>
      </c>
      <c r="AV1014" s="22">
        <v>0</v>
      </c>
      <c r="AW1014" s="22">
        <v>0</v>
      </c>
      <c r="AX1014" s="22">
        <v>0</v>
      </c>
      <c r="AY1014" s="22">
        <v>1</v>
      </c>
      <c r="AZ1014" s="22">
        <v>0</v>
      </c>
      <c r="BA1014" s="22">
        <v>0</v>
      </c>
      <c r="BB1014" s="64">
        <f t="shared" si="1113"/>
        <v>0.14000000000000001</v>
      </c>
      <c r="BD1014" s="60">
        <v>-943.43</v>
      </c>
      <c r="BE1014" s="8"/>
      <c r="BF1014" s="8">
        <v>-8.4600000000000009</v>
      </c>
      <c r="BG1014" s="8">
        <v>-2.12</v>
      </c>
      <c r="BH1014" s="8"/>
      <c r="BI1014" s="8">
        <f t="shared" si="1171"/>
        <v>-954.01</v>
      </c>
      <c r="BJ1014" s="2" t="s">
        <v>84</v>
      </c>
      <c r="BL1014" s="8"/>
      <c r="BM1014" s="8"/>
      <c r="BN1014" s="6"/>
      <c r="BO1014" s="70"/>
      <c r="BP1014" s="70"/>
      <c r="BQ1014" s="72"/>
      <c r="BS1014" s="61">
        <f t="shared" si="1161"/>
        <v>0</v>
      </c>
      <c r="BT1014" s="61">
        <f t="shared" si="1162"/>
        <v>0</v>
      </c>
      <c r="BU1014" s="61">
        <f t="shared" si="1163"/>
        <v>0</v>
      </c>
      <c r="BV1014" s="61">
        <f t="shared" si="1163"/>
        <v>0</v>
      </c>
      <c r="BW1014" s="61">
        <f t="shared" si="1163"/>
        <v>0</v>
      </c>
      <c r="BX1014" s="61">
        <f t="shared" si="1163"/>
        <v>0</v>
      </c>
      <c r="BY1014" s="61" t="s">
        <v>91</v>
      </c>
      <c r="CA1014" s="61">
        <f t="shared" si="1164"/>
        <v>0</v>
      </c>
      <c r="CB1014" s="61">
        <f t="shared" si="1164"/>
        <v>0</v>
      </c>
      <c r="CC1014" s="61">
        <f t="shared" si="1164"/>
        <v>0</v>
      </c>
      <c r="CD1014" s="61">
        <f t="shared" si="1164"/>
        <v>0</v>
      </c>
      <c r="CE1014" s="61">
        <f t="shared" si="1164"/>
        <v>0</v>
      </c>
      <c r="CF1014" s="61">
        <f t="shared" si="1164"/>
        <v>0</v>
      </c>
      <c r="CG1014" s="61">
        <f t="shared" si="1164"/>
        <v>0</v>
      </c>
      <c r="CH1014" s="61">
        <f t="shared" si="1164"/>
        <v>0</v>
      </c>
      <c r="CI1014" s="61">
        <f t="shared" si="1165"/>
        <v>0</v>
      </c>
      <c r="CJ1014" s="61"/>
      <c r="CK1014" s="61">
        <f t="shared" si="1166"/>
        <v>0</v>
      </c>
      <c r="CL1014" s="61">
        <f t="shared" si="1166"/>
        <v>0</v>
      </c>
      <c r="CM1014" s="61">
        <f t="shared" si="1166"/>
        <v>0</v>
      </c>
      <c r="CN1014" s="61">
        <f t="shared" si="1166"/>
        <v>0</v>
      </c>
      <c r="CO1014" s="61">
        <f t="shared" si="1166"/>
        <v>0</v>
      </c>
      <c r="CP1014" s="61">
        <f t="shared" si="1166"/>
        <v>0</v>
      </c>
      <c r="CQ1014" s="61">
        <f t="shared" si="1166"/>
        <v>0</v>
      </c>
      <c r="CR1014" s="61">
        <f t="shared" si="1166"/>
        <v>0</v>
      </c>
      <c r="CS1014" s="61">
        <f t="shared" si="1167"/>
        <v>0</v>
      </c>
      <c r="CT1014" s="67">
        <f t="shared" si="1173"/>
        <v>0</v>
      </c>
      <c r="CV1014" s="61">
        <f t="shared" si="1172"/>
        <v>0</v>
      </c>
      <c r="CW1014" s="61">
        <f t="shared" si="1169"/>
        <v>0</v>
      </c>
      <c r="CX1014" s="61"/>
      <c r="CY1014" s="61">
        <f t="shared" si="1170"/>
        <v>0</v>
      </c>
      <c r="CZ1014" s="61">
        <f t="shared" si="1170"/>
        <v>0</v>
      </c>
      <c r="DA1014" s="61">
        <f t="shared" si="1170"/>
        <v>0</v>
      </c>
      <c r="DB1014" s="2" t="s">
        <v>86</v>
      </c>
      <c r="DC1014" s="2" t="s">
        <v>85</v>
      </c>
      <c r="DD1014" s="2" t="s">
        <v>142</v>
      </c>
      <c r="DE1014" s="2" t="s">
        <v>106</v>
      </c>
      <c r="DF1014" s="3" t="s">
        <v>86</v>
      </c>
      <c r="DG1014" s="62">
        <v>43084</v>
      </c>
      <c r="DI1014" s="2" t="e">
        <v>#N/A</v>
      </c>
      <c r="EC1014" s="60" t="str">
        <f>VLOOKUP($M1014,[1]Detail!$M:$BO,1,0)</f>
        <v>MJD8B -LBBA-KGW</v>
      </c>
      <c r="ED1014" s="60">
        <f>VLOOKUP($M1014,[1]Detail!$M:$BO,22,0)</f>
        <v>-954.01</v>
      </c>
      <c r="EE1014" s="155">
        <f>VLOOKUP($M1014,[1]Detail!$M:$BO,42,0)</f>
        <v>0</v>
      </c>
      <c r="EF1014" s="60">
        <f>VLOOKUP($M1014,[1]Detail!$M:$BO,45,0)</f>
        <v>0</v>
      </c>
      <c r="EH1014" s="60">
        <f t="shared" si="1152"/>
        <v>0</v>
      </c>
      <c r="EI1014" s="60">
        <f t="shared" si="1153"/>
        <v>0</v>
      </c>
      <c r="EJ1014" s="60">
        <f t="shared" si="1154"/>
        <v>0</v>
      </c>
    </row>
    <row r="1015" spans="2:140 16368:16370" ht="12.75" hidden="1" customHeight="1">
      <c r="B1015" s="99" t="s">
        <v>1557</v>
      </c>
      <c r="C1015" s="22" t="s">
        <v>726</v>
      </c>
      <c r="D1015" s="22" t="s">
        <v>727</v>
      </c>
      <c r="E1015" s="2" t="s">
        <v>260</v>
      </c>
      <c r="F1015" s="2" t="s">
        <v>1025</v>
      </c>
      <c r="G1015" s="2" t="s">
        <v>994</v>
      </c>
      <c r="J1015" s="149" t="s">
        <v>728</v>
      </c>
      <c r="K1015" s="23" t="s">
        <v>729</v>
      </c>
      <c r="L1015" s="149" t="s">
        <v>1564</v>
      </c>
      <c r="M1015" s="51" t="str">
        <f t="shared" si="1089"/>
        <v>MJD8B -LBBA-LGW</v>
      </c>
      <c r="O1015" s="22">
        <v>0</v>
      </c>
      <c r="P1015" s="22">
        <v>0</v>
      </c>
      <c r="Q1015" s="22">
        <v>0</v>
      </c>
      <c r="R1015" s="22">
        <v>0</v>
      </c>
      <c r="S1015" s="22">
        <v>0</v>
      </c>
      <c r="T1015" s="22">
        <v>0</v>
      </c>
      <c r="U1015" s="22">
        <v>1</v>
      </c>
      <c r="V1015" s="22">
        <v>0</v>
      </c>
      <c r="W1015" s="238">
        <f t="shared" si="1091"/>
        <v>0.05</v>
      </c>
      <c r="Y1015" s="60">
        <f>-6.6-985.43-3.89</f>
        <v>-995.92</v>
      </c>
      <c r="Z1015" s="8"/>
      <c r="AA1015" s="8">
        <v>-8.4600000000000009</v>
      </c>
      <c r="AB1015" s="8">
        <v>-2.12</v>
      </c>
      <c r="AC1015" s="8"/>
      <c r="AD1015" s="8">
        <f t="shared" si="1158"/>
        <v>-1006.5</v>
      </c>
      <c r="AE1015" s="2" t="s">
        <v>84</v>
      </c>
      <c r="AG1015" s="8">
        <f>-340000-36000</f>
        <v>-376000</v>
      </c>
      <c r="AH1015" s="8">
        <f>-340000-36000</f>
        <v>-376000</v>
      </c>
      <c r="AJ1015" s="70"/>
      <c r="AK1015" s="70"/>
      <c r="AL1015" s="72"/>
      <c r="AM1015" s="22"/>
      <c r="AO1015" s="149" t="s">
        <v>728</v>
      </c>
      <c r="AP1015" s="23" t="s">
        <v>729</v>
      </c>
      <c r="AQ1015" s="149" t="s">
        <v>1555</v>
      </c>
      <c r="AR1015" s="51" t="str">
        <f t="shared" si="1159"/>
        <v>MJD8B -LBBA-LFW</v>
      </c>
      <c r="AS1015" s="3"/>
      <c r="AT1015" s="22">
        <v>0</v>
      </c>
      <c r="AU1015" s="22">
        <v>0</v>
      </c>
      <c r="AV1015" s="22">
        <v>0</v>
      </c>
      <c r="AW1015" s="22">
        <v>0</v>
      </c>
      <c r="AX1015" s="22">
        <v>0</v>
      </c>
      <c r="AY1015" s="22">
        <v>0</v>
      </c>
      <c r="AZ1015" s="22">
        <v>1</v>
      </c>
      <c r="BA1015" s="22">
        <v>0</v>
      </c>
      <c r="BB1015" s="64">
        <f t="shared" si="1113"/>
        <v>0.05</v>
      </c>
      <c r="BD1015" s="60">
        <f>-6.6-985.43-3.89</f>
        <v>-995.92</v>
      </c>
      <c r="BE1015" s="8"/>
      <c r="BF1015" s="8">
        <v>-8.4600000000000009</v>
      </c>
      <c r="BG1015" s="8">
        <v>-2.12</v>
      </c>
      <c r="BH1015" s="8"/>
      <c r="BI1015" s="8">
        <f t="shared" si="1171"/>
        <v>-1006.5</v>
      </c>
      <c r="BJ1015" s="2" t="s">
        <v>84</v>
      </c>
      <c r="BL1015" s="8">
        <f>-340000-36000</f>
        <v>-376000</v>
      </c>
      <c r="BM1015" s="8">
        <f>-340000-36000</f>
        <v>-376000</v>
      </c>
      <c r="BN1015" s="6"/>
      <c r="BO1015" s="70"/>
      <c r="BP1015" s="70"/>
      <c r="BQ1015" s="72"/>
      <c r="BS1015" s="61">
        <f t="shared" si="1161"/>
        <v>0</v>
      </c>
      <c r="BT1015" s="61">
        <f t="shared" si="1162"/>
        <v>0</v>
      </c>
      <c r="BU1015" s="61">
        <f t="shared" si="1163"/>
        <v>0</v>
      </c>
      <c r="BV1015" s="61">
        <f t="shared" si="1163"/>
        <v>0</v>
      </c>
      <c r="BW1015" s="61">
        <f t="shared" si="1163"/>
        <v>0</v>
      </c>
      <c r="BX1015" s="61">
        <f t="shared" si="1163"/>
        <v>0</v>
      </c>
      <c r="BY1015" s="61" t="s">
        <v>91</v>
      </c>
      <c r="CA1015" s="61">
        <f t="shared" si="1164"/>
        <v>0</v>
      </c>
      <c r="CB1015" s="61">
        <f t="shared" si="1164"/>
        <v>0</v>
      </c>
      <c r="CC1015" s="61">
        <f t="shared" si="1164"/>
        <v>0</v>
      </c>
      <c r="CD1015" s="61">
        <f t="shared" si="1164"/>
        <v>0</v>
      </c>
      <c r="CE1015" s="61">
        <f t="shared" si="1164"/>
        <v>0</v>
      </c>
      <c r="CF1015" s="61">
        <f t="shared" si="1164"/>
        <v>0</v>
      </c>
      <c r="CG1015" s="61">
        <f t="shared" si="1164"/>
        <v>0</v>
      </c>
      <c r="CH1015" s="61">
        <f t="shared" si="1164"/>
        <v>0</v>
      </c>
      <c r="CI1015" s="61">
        <f t="shared" si="1165"/>
        <v>0</v>
      </c>
      <c r="CJ1015" s="61"/>
      <c r="CK1015" s="61">
        <f t="shared" si="1166"/>
        <v>0</v>
      </c>
      <c r="CL1015" s="61">
        <f t="shared" si="1166"/>
        <v>0</v>
      </c>
      <c r="CM1015" s="61">
        <f t="shared" si="1166"/>
        <v>0</v>
      </c>
      <c r="CN1015" s="61">
        <f t="shared" si="1166"/>
        <v>0</v>
      </c>
      <c r="CO1015" s="61">
        <f t="shared" si="1166"/>
        <v>0</v>
      </c>
      <c r="CP1015" s="61">
        <f t="shared" si="1166"/>
        <v>0</v>
      </c>
      <c r="CQ1015" s="61">
        <f t="shared" si="1166"/>
        <v>0</v>
      </c>
      <c r="CR1015" s="61">
        <f t="shared" si="1166"/>
        <v>0</v>
      </c>
      <c r="CS1015" s="61">
        <f t="shared" si="1167"/>
        <v>0</v>
      </c>
      <c r="CT1015" s="67">
        <f t="shared" si="1173"/>
        <v>0</v>
      </c>
      <c r="CV1015" s="61">
        <f t="shared" si="1172"/>
        <v>0</v>
      </c>
      <c r="CW1015" s="61">
        <f t="shared" si="1169"/>
        <v>0</v>
      </c>
      <c r="CX1015" s="61"/>
      <c r="CY1015" s="61">
        <f t="shared" si="1170"/>
        <v>0</v>
      </c>
      <c r="CZ1015" s="61">
        <f t="shared" si="1170"/>
        <v>0</v>
      </c>
      <c r="DA1015" s="61">
        <f t="shared" si="1170"/>
        <v>0</v>
      </c>
      <c r="DB1015" s="2" t="s">
        <v>85</v>
      </c>
      <c r="DC1015" s="2" t="s">
        <v>85</v>
      </c>
      <c r="DD1015" s="2" t="s">
        <v>142</v>
      </c>
      <c r="DE1015" s="2" t="s">
        <v>106</v>
      </c>
      <c r="DF1015" s="3" t="s">
        <v>86</v>
      </c>
      <c r="DG1015" s="62">
        <v>43084</v>
      </c>
      <c r="DI1015" s="2" t="e">
        <v>#N/A</v>
      </c>
      <c r="EC1015" s="60"/>
      <c r="ED1015" s="60"/>
      <c r="EE1015" s="155"/>
      <c r="EF1015" s="60"/>
    </row>
    <row r="1016" spans="2:140 16368:16370" ht="12.75" hidden="1" customHeight="1">
      <c r="B1016" s="99" t="s">
        <v>1557</v>
      </c>
      <c r="C1016" s="22" t="s">
        <v>726</v>
      </c>
      <c r="D1016" s="22" t="s">
        <v>727</v>
      </c>
      <c r="E1016" s="2" t="s">
        <v>260</v>
      </c>
      <c r="F1016" s="2" t="s">
        <v>1025</v>
      </c>
      <c r="G1016" s="2" t="s">
        <v>994</v>
      </c>
      <c r="I1016" s="149"/>
      <c r="J1016" s="23" t="s">
        <v>728</v>
      </c>
      <c r="K1016" s="149" t="s">
        <v>729</v>
      </c>
      <c r="L1016" s="51" t="s">
        <v>1565</v>
      </c>
      <c r="M1016" s="3" t="str">
        <f t="shared" si="1089"/>
        <v>MJD8B -LBBA-MGW</v>
      </c>
      <c r="N1016" s="22"/>
      <c r="O1016" s="22">
        <v>0</v>
      </c>
      <c r="P1016" s="22">
        <v>0</v>
      </c>
      <c r="Q1016" s="22">
        <v>0</v>
      </c>
      <c r="R1016" s="22">
        <v>0</v>
      </c>
      <c r="S1016" s="22">
        <v>0</v>
      </c>
      <c r="T1016" s="22">
        <v>0</v>
      </c>
      <c r="U1016" s="22">
        <v>0</v>
      </c>
      <c r="V1016" s="22">
        <v>1</v>
      </c>
      <c r="W1016" s="238">
        <f t="shared" si="1091"/>
        <v>0.05</v>
      </c>
      <c r="X1016" s="60"/>
      <c r="Y1016" s="8">
        <f>-6.6-985.89-3.89</f>
        <v>-996.38</v>
      </c>
      <c r="Z1016" s="8"/>
      <c r="AA1016" s="8">
        <v>-8.4600000000000009</v>
      </c>
      <c r="AB1016" s="8">
        <v>-2.12</v>
      </c>
      <c r="AC1016" s="8"/>
      <c r="AD1016" s="8">
        <f t="shared" si="1158"/>
        <v>-1006.96</v>
      </c>
      <c r="AE1016" s="2" t="s">
        <v>84</v>
      </c>
      <c r="AF1016" s="8"/>
      <c r="AG1016" s="8"/>
      <c r="AI1016" s="70"/>
      <c r="AJ1016" s="70"/>
      <c r="AK1016" s="72"/>
      <c r="AL1016" s="22"/>
      <c r="AM1016" s="2"/>
      <c r="AN1016" s="149"/>
      <c r="AO1016" s="23" t="s">
        <v>728</v>
      </c>
      <c r="AP1016" s="149" t="s">
        <v>729</v>
      </c>
      <c r="AQ1016" s="51" t="s">
        <v>1556</v>
      </c>
      <c r="AR1016" s="3" t="str">
        <f t="shared" si="1159"/>
        <v>MJD8B -LBBA-MFW</v>
      </c>
      <c r="AS1016" s="22"/>
      <c r="AT1016" s="22">
        <v>0</v>
      </c>
      <c r="AU1016" s="22">
        <v>0</v>
      </c>
      <c r="AV1016" s="22">
        <v>0</v>
      </c>
      <c r="AW1016" s="22">
        <v>0</v>
      </c>
      <c r="AX1016" s="22">
        <v>0</v>
      </c>
      <c r="AY1016" s="22">
        <v>0</v>
      </c>
      <c r="AZ1016" s="22">
        <v>0</v>
      </c>
      <c r="BA1016" s="239">
        <v>1</v>
      </c>
      <c r="BB1016" s="64">
        <f t="shared" si="1113"/>
        <v>0.05</v>
      </c>
      <c r="BC1016" s="60"/>
      <c r="BD1016" s="8">
        <f>-6.6-985.89-3.89</f>
        <v>-996.38</v>
      </c>
      <c r="BE1016" s="8"/>
      <c r="BF1016" s="8">
        <v>-8.4600000000000009</v>
      </c>
      <c r="BG1016" s="8">
        <v>-2.12</v>
      </c>
      <c r="BH1016" s="8"/>
      <c r="BI1016" s="8">
        <f t="shared" si="1171"/>
        <v>-1006.96</v>
      </c>
      <c r="BJ1016" s="2" t="s">
        <v>84</v>
      </c>
      <c r="BK1016" s="8"/>
      <c r="BL1016" s="8"/>
      <c r="BM1016" s="6"/>
      <c r="BN1016" s="70"/>
      <c r="BO1016" s="70"/>
      <c r="BP1016" s="72"/>
      <c r="BR1016" s="61"/>
      <c r="BS1016" s="61">
        <f t="shared" si="1161"/>
        <v>0</v>
      </c>
      <c r="BT1016" s="61">
        <f t="shared" si="1162"/>
        <v>0</v>
      </c>
      <c r="BU1016" s="61">
        <f t="shared" si="1163"/>
        <v>0</v>
      </c>
      <c r="BV1016" s="61">
        <f t="shared" si="1163"/>
        <v>0</v>
      </c>
      <c r="BW1016" s="61">
        <f t="shared" si="1163"/>
        <v>0</v>
      </c>
      <c r="BX1016" s="61">
        <f t="shared" si="1163"/>
        <v>0</v>
      </c>
      <c r="BY1016" s="61" t="s">
        <v>91</v>
      </c>
      <c r="BZ1016" s="61"/>
      <c r="CA1016" s="61">
        <f t="shared" si="1164"/>
        <v>0</v>
      </c>
      <c r="CB1016" s="61">
        <f t="shared" si="1164"/>
        <v>0</v>
      </c>
      <c r="CC1016" s="61">
        <f t="shared" si="1164"/>
        <v>0</v>
      </c>
      <c r="CD1016" s="61">
        <f t="shared" si="1164"/>
        <v>0</v>
      </c>
      <c r="CE1016" s="61">
        <f t="shared" si="1164"/>
        <v>0</v>
      </c>
      <c r="CF1016" s="61">
        <f t="shared" si="1164"/>
        <v>0</v>
      </c>
      <c r="CG1016" s="61">
        <f t="shared" si="1164"/>
        <v>0</v>
      </c>
      <c r="CH1016" s="61">
        <f t="shared" si="1164"/>
        <v>0</v>
      </c>
      <c r="CI1016" s="61">
        <f t="shared" si="1165"/>
        <v>0</v>
      </c>
      <c r="CJ1016" s="61"/>
      <c r="CK1016" s="61">
        <f t="shared" si="1166"/>
        <v>0</v>
      </c>
      <c r="CL1016" s="61">
        <f t="shared" si="1166"/>
        <v>0</v>
      </c>
      <c r="CM1016" s="61">
        <f t="shared" si="1166"/>
        <v>0</v>
      </c>
      <c r="CN1016" s="61">
        <f t="shared" si="1166"/>
        <v>0</v>
      </c>
      <c r="CO1016" s="61">
        <f t="shared" si="1166"/>
        <v>0</v>
      </c>
      <c r="CP1016" s="61">
        <f t="shared" si="1166"/>
        <v>0</v>
      </c>
      <c r="CQ1016" s="61">
        <f t="shared" si="1166"/>
        <v>0</v>
      </c>
      <c r="CR1016" s="61">
        <f t="shared" si="1166"/>
        <v>0</v>
      </c>
      <c r="CS1016" s="61">
        <f t="shared" si="1167"/>
        <v>0</v>
      </c>
      <c r="CT1016" s="67">
        <f t="shared" si="1173"/>
        <v>0</v>
      </c>
      <c r="CV1016" s="61">
        <f t="shared" si="1172"/>
        <v>0</v>
      </c>
      <c r="CW1016" s="61">
        <f t="shared" si="1169"/>
        <v>0</v>
      </c>
      <c r="CX1016" s="61"/>
      <c r="CY1016" s="61">
        <f t="shared" si="1170"/>
        <v>0</v>
      </c>
      <c r="CZ1016" s="61">
        <f t="shared" si="1170"/>
        <v>0</v>
      </c>
      <c r="DA1016" s="61">
        <f t="shared" si="1170"/>
        <v>0</v>
      </c>
      <c r="DB1016" s="2" t="s">
        <v>85</v>
      </c>
      <c r="DC1016" s="2" t="s">
        <v>85</v>
      </c>
      <c r="DD1016" s="2" t="s">
        <v>87</v>
      </c>
      <c r="DE1016" s="2" t="s">
        <v>106</v>
      </c>
      <c r="DF1016" s="3" t="s">
        <v>86</v>
      </c>
      <c r="DG1016" s="62">
        <v>43084</v>
      </c>
      <c r="DH1016" s="3"/>
      <c r="DI1016" s="2" t="e">
        <v>#N/A</v>
      </c>
      <c r="DZ1016" s="2"/>
      <c r="EC1016" s="60"/>
      <c r="ED1016" s="60"/>
      <c r="EE1016" s="155"/>
      <c r="EF1016" s="60"/>
      <c r="XEN1016" s="99"/>
      <c r="XEO1016" s="22"/>
      <c r="XEP1016" s="22"/>
    </row>
    <row r="1017" spans="2:140 16368:16370" ht="12.75" hidden="1" customHeight="1">
      <c r="B1017" s="99" t="s">
        <v>1566</v>
      </c>
      <c r="C1017" s="22" t="s">
        <v>726</v>
      </c>
      <c r="D1017" s="22" t="s">
        <v>727</v>
      </c>
      <c r="E1017" s="2" t="s">
        <v>260</v>
      </c>
      <c r="F1017" s="2" t="s">
        <v>1025</v>
      </c>
      <c r="G1017" s="2" t="s">
        <v>994</v>
      </c>
      <c r="J1017" s="149" t="s">
        <v>728</v>
      </c>
      <c r="K1017" s="23" t="s">
        <v>729</v>
      </c>
      <c r="L1017" s="149" t="s">
        <v>1564</v>
      </c>
      <c r="M1017" s="51" t="str">
        <f t="shared" si="1089"/>
        <v>MJD8B -LBBA-LGW</v>
      </c>
      <c r="O1017" s="22">
        <v>0</v>
      </c>
      <c r="P1017" s="22">
        <v>0</v>
      </c>
      <c r="Q1017" s="22">
        <v>0</v>
      </c>
      <c r="R1017" s="22">
        <v>0</v>
      </c>
      <c r="S1017" s="22">
        <v>0</v>
      </c>
      <c r="T1017" s="22">
        <v>0</v>
      </c>
      <c r="U1017" s="22">
        <v>1</v>
      </c>
      <c r="V1017" s="22">
        <v>1</v>
      </c>
      <c r="W1017" s="238">
        <f t="shared" si="1091"/>
        <v>0.1</v>
      </c>
      <c r="Y1017" s="60">
        <f>-6.6-985.43-3.89</f>
        <v>-995.92</v>
      </c>
      <c r="Z1017" s="8"/>
      <c r="AA1017" s="8">
        <v>-8.4600000000000009</v>
      </c>
      <c r="AB1017" s="8">
        <v>-2.12</v>
      </c>
      <c r="AC1017" s="8"/>
      <c r="AD1017" s="8">
        <f t="shared" ref="AD1017:AD1018" si="1174">SUM(Y1017:AC1017)</f>
        <v>-1006.5</v>
      </c>
      <c r="AE1017" s="2" t="s">
        <v>84</v>
      </c>
      <c r="AG1017" s="8">
        <f>-340000-36000</f>
        <v>-376000</v>
      </c>
      <c r="AH1017" s="8">
        <f>-340000-36000</f>
        <v>-376000</v>
      </c>
      <c r="AJ1017" s="70"/>
      <c r="AK1017" s="70"/>
      <c r="AL1017" s="72"/>
      <c r="AM1017" s="22"/>
      <c r="AO1017" s="149" t="s">
        <v>728</v>
      </c>
      <c r="AP1017" s="23" t="s">
        <v>729</v>
      </c>
      <c r="AQ1017" s="149" t="s">
        <v>1564</v>
      </c>
      <c r="AR1017" s="51" t="str">
        <f t="shared" si="1159"/>
        <v>MJD8B -LBBA-LGW</v>
      </c>
      <c r="AS1017" s="3"/>
      <c r="AT1017" s="22">
        <v>0</v>
      </c>
      <c r="AU1017" s="22">
        <v>0</v>
      </c>
      <c r="AV1017" s="22">
        <v>0</v>
      </c>
      <c r="AW1017" s="22">
        <v>0</v>
      </c>
      <c r="AX1017" s="22">
        <v>0</v>
      </c>
      <c r="AY1017" s="22">
        <v>0</v>
      </c>
      <c r="AZ1017" s="22">
        <v>1</v>
      </c>
      <c r="BA1017" s="22">
        <v>0</v>
      </c>
      <c r="BB1017" s="64">
        <f t="shared" si="1113"/>
        <v>0.05</v>
      </c>
      <c r="BD1017" s="60">
        <f>-6.6-985.43-3.89</f>
        <v>-995.92</v>
      </c>
      <c r="BE1017" s="8"/>
      <c r="BF1017" s="8">
        <v>-8.4600000000000009</v>
      </c>
      <c r="BG1017" s="8">
        <v>-2.12</v>
      </c>
      <c r="BH1017" s="8"/>
      <c r="BI1017" s="8">
        <f t="shared" ref="BI1017:BI1018" si="1175">SUM(BD1017:BH1017)</f>
        <v>-1006.5</v>
      </c>
      <c r="BJ1017" s="2" t="s">
        <v>84</v>
      </c>
      <c r="BL1017" s="8">
        <f>-340000-36000</f>
        <v>-376000</v>
      </c>
      <c r="BM1017" s="8">
        <f>-340000-36000</f>
        <v>-376000</v>
      </c>
      <c r="BN1017" s="6"/>
      <c r="BO1017" s="70"/>
      <c r="BP1017" s="70"/>
      <c r="BQ1017" s="72"/>
      <c r="BS1017" s="61">
        <f t="shared" si="1161"/>
        <v>0</v>
      </c>
      <c r="BT1017" s="61">
        <f t="shared" si="1162"/>
        <v>0</v>
      </c>
      <c r="BU1017" s="61">
        <f t="shared" si="1163"/>
        <v>0</v>
      </c>
      <c r="BV1017" s="61">
        <f t="shared" si="1163"/>
        <v>0</v>
      </c>
      <c r="BW1017" s="61">
        <f t="shared" si="1163"/>
        <v>0</v>
      </c>
      <c r="BX1017" s="61">
        <f t="shared" si="1163"/>
        <v>0</v>
      </c>
      <c r="BY1017" s="61" t="s">
        <v>91</v>
      </c>
      <c r="CA1017" s="61">
        <f t="shared" si="1164"/>
        <v>0</v>
      </c>
      <c r="CB1017" s="61">
        <f t="shared" si="1164"/>
        <v>0</v>
      </c>
      <c r="CC1017" s="61">
        <f t="shared" si="1164"/>
        <v>0</v>
      </c>
      <c r="CD1017" s="61">
        <f t="shared" si="1164"/>
        <v>0</v>
      </c>
      <c r="CE1017" s="61">
        <f t="shared" si="1164"/>
        <v>0</v>
      </c>
      <c r="CF1017" s="61">
        <f t="shared" si="1164"/>
        <v>0</v>
      </c>
      <c r="CG1017" s="61">
        <f t="shared" si="1164"/>
        <v>0</v>
      </c>
      <c r="CH1017" s="61">
        <f t="shared" si="1164"/>
        <v>-149.82999849556191</v>
      </c>
      <c r="CI1017" s="61">
        <f t="shared" si="1165"/>
        <v>-7.491499924778096</v>
      </c>
      <c r="CJ1017" s="61"/>
      <c r="CK1017" s="61">
        <f t="shared" si="1166"/>
        <v>0</v>
      </c>
      <c r="CL1017" s="61">
        <f t="shared" si="1166"/>
        <v>0</v>
      </c>
      <c r="CM1017" s="61">
        <f t="shared" si="1166"/>
        <v>0</v>
      </c>
      <c r="CN1017" s="61">
        <f t="shared" si="1166"/>
        <v>0</v>
      </c>
      <c r="CO1017" s="61">
        <f t="shared" si="1166"/>
        <v>0</v>
      </c>
      <c r="CP1017" s="61">
        <f t="shared" si="1166"/>
        <v>0</v>
      </c>
      <c r="CQ1017" s="61">
        <f t="shared" si="1166"/>
        <v>0</v>
      </c>
      <c r="CR1017" s="61">
        <f t="shared" si="1166"/>
        <v>-151.42169399729201</v>
      </c>
      <c r="CS1017" s="61">
        <f t="shared" si="1167"/>
        <v>-7.5710846998646009</v>
      </c>
      <c r="CT1017" s="67">
        <f t="shared" si="1173"/>
        <v>-50.325000000000003</v>
      </c>
      <c r="CV1017" s="61">
        <f t="shared" si="1172"/>
        <v>0</v>
      </c>
      <c r="CW1017" s="61">
        <f t="shared" si="1169"/>
        <v>0</v>
      </c>
      <c r="CX1017" s="61"/>
      <c r="CY1017" s="61">
        <f t="shared" si="1170"/>
        <v>0</v>
      </c>
      <c r="CZ1017" s="61">
        <f t="shared" si="1170"/>
        <v>0</v>
      </c>
      <c r="DA1017" s="61">
        <f t="shared" si="1170"/>
        <v>0</v>
      </c>
      <c r="DB1017" s="2" t="s">
        <v>86</v>
      </c>
      <c r="DC1017" s="2" t="s">
        <v>85</v>
      </c>
      <c r="DD1017" s="2" t="s">
        <v>142</v>
      </c>
      <c r="DE1017" s="2" t="s">
        <v>106</v>
      </c>
      <c r="DF1017" s="3" t="s">
        <v>86</v>
      </c>
      <c r="DG1017" s="62">
        <v>43136</v>
      </c>
      <c r="DI1017" s="2" t="e">
        <v>#N/A</v>
      </c>
      <c r="EC1017" s="60" t="str">
        <f>VLOOKUP($M1017,[1]Detail!$M:$BO,1,0)</f>
        <v>MJD8B -LBBA-LGW</v>
      </c>
      <c r="ED1017" s="60">
        <f>VLOOKUP($M1017,[1]Detail!$M:$BO,22,0)</f>
        <v>-1006.5</v>
      </c>
      <c r="EE1017" s="155">
        <f>VLOOKUP($M1017,[1]Detail!$M:$BO,42,0)</f>
        <v>-376000</v>
      </c>
      <c r="EF1017" s="60">
        <f>VLOOKUP($M1017,[1]Detail!$M:$BO,45,0)</f>
        <v>0</v>
      </c>
      <c r="EH1017" s="60">
        <f t="shared" ref="EH1017:EH1024" si="1176">ED1017-AD1017</f>
        <v>0</v>
      </c>
      <c r="EI1017" s="60">
        <f t="shared" ref="EI1017:EI1024" si="1177">EE1017-AG1017</f>
        <v>0</v>
      </c>
      <c r="EJ1017" s="60">
        <f t="shared" ref="EJ1017:EJ1024" si="1178">EF1017-AJ1017</f>
        <v>0</v>
      </c>
    </row>
    <row r="1018" spans="2:140 16368:16370" ht="12.75" hidden="1" customHeight="1">
      <c r="B1018" s="99" t="s">
        <v>1566</v>
      </c>
      <c r="C1018" s="22" t="s">
        <v>726</v>
      </c>
      <c r="D1018" s="22" t="s">
        <v>727</v>
      </c>
      <c r="E1018" s="2" t="s">
        <v>260</v>
      </c>
      <c r="F1018" s="2" t="s">
        <v>1025</v>
      </c>
      <c r="G1018" s="2" t="s">
        <v>994</v>
      </c>
      <c r="I1018" s="149"/>
      <c r="J1018" s="74" t="s">
        <v>1567</v>
      </c>
      <c r="K1018" s="240" t="s">
        <v>1568</v>
      </c>
      <c r="L1018" s="76"/>
      <c r="M1018" s="3"/>
      <c r="N1018" s="22"/>
      <c r="O1018" s="22">
        <v>0</v>
      </c>
      <c r="P1018" s="22">
        <v>0</v>
      </c>
      <c r="Q1018" s="22">
        <v>0</v>
      </c>
      <c r="R1018" s="22">
        <v>0</v>
      </c>
      <c r="S1018" s="22">
        <v>0</v>
      </c>
      <c r="T1018" s="22">
        <v>0</v>
      </c>
      <c r="U1018" s="22">
        <v>0</v>
      </c>
      <c r="V1018" s="64">
        <v>0</v>
      </c>
      <c r="W1018" s="238">
        <f t="shared" si="1091"/>
        <v>0</v>
      </c>
      <c r="X1018" s="60"/>
      <c r="Y1018" s="8">
        <v>0</v>
      </c>
      <c r="Z1018" s="8"/>
      <c r="AA1018" s="8">
        <v>0</v>
      </c>
      <c r="AB1018" s="8">
        <v>0</v>
      </c>
      <c r="AC1018" s="8"/>
      <c r="AD1018" s="2">
        <f t="shared" si="1174"/>
        <v>0</v>
      </c>
      <c r="AE1018" s="2" t="s">
        <v>84</v>
      </c>
      <c r="AF1018" s="8"/>
      <c r="AG1018" s="8"/>
      <c r="AI1018" s="70"/>
      <c r="AJ1018" s="70"/>
      <c r="AK1018" s="72"/>
      <c r="AL1018" s="22"/>
      <c r="AM1018" s="2"/>
      <c r="AN1018" s="149"/>
      <c r="AO1018" s="149" t="s">
        <v>728</v>
      </c>
      <c r="AP1018" s="149" t="s">
        <v>729</v>
      </c>
      <c r="AQ1018" s="51" t="s">
        <v>1565</v>
      </c>
      <c r="AR1018" s="1" t="str">
        <f t="shared" si="1159"/>
        <v>MJD8B -LBBA-MGW</v>
      </c>
      <c r="AS1018" s="22"/>
      <c r="AT1018" s="22">
        <v>0</v>
      </c>
      <c r="AU1018" s="22">
        <v>0</v>
      </c>
      <c r="AV1018" s="22">
        <v>0</v>
      </c>
      <c r="AW1018" s="22">
        <v>0</v>
      </c>
      <c r="AX1018" s="22">
        <v>0</v>
      </c>
      <c r="AY1018" s="22">
        <v>0</v>
      </c>
      <c r="AZ1018" s="22">
        <v>0</v>
      </c>
      <c r="BA1018" s="239">
        <v>1</v>
      </c>
      <c r="BB1018" s="64">
        <f t="shared" si="1113"/>
        <v>0.05</v>
      </c>
      <c r="BC1018" s="60"/>
      <c r="BD1018" s="8">
        <f>-6.6-985.89-3.89</f>
        <v>-996.38</v>
      </c>
      <c r="BE1018" s="8"/>
      <c r="BF1018" s="8">
        <v>-8.4600000000000009</v>
      </c>
      <c r="BG1018" s="8">
        <v>-2.12</v>
      </c>
      <c r="BH1018" s="8"/>
      <c r="BI1018" s="8">
        <f t="shared" si="1175"/>
        <v>-1006.96</v>
      </c>
      <c r="BJ1018" s="2" t="s">
        <v>84</v>
      </c>
      <c r="BK1018" s="8"/>
      <c r="BL1018" s="8"/>
      <c r="BN1018" s="70"/>
      <c r="BO1018" s="70"/>
      <c r="BP1018" s="72"/>
      <c r="BR1018" s="61"/>
      <c r="BS1018" s="61">
        <f t="shared" si="1161"/>
        <v>996.38</v>
      </c>
      <c r="BT1018" s="61">
        <f t="shared" si="1162"/>
        <v>0</v>
      </c>
      <c r="BU1018" s="61">
        <f t="shared" si="1163"/>
        <v>8.4600000000000009</v>
      </c>
      <c r="BV1018" s="61">
        <f t="shared" si="1163"/>
        <v>2.12</v>
      </c>
      <c r="BW1018" s="61">
        <f t="shared" si="1163"/>
        <v>0</v>
      </c>
      <c r="BX1018" s="61">
        <f t="shared" si="1163"/>
        <v>1006.96</v>
      </c>
      <c r="BY1018" s="61" t="s">
        <v>91</v>
      </c>
      <c r="BZ1018" s="61"/>
      <c r="CA1018" s="61">
        <f t="shared" si="1164"/>
        <v>0</v>
      </c>
      <c r="CB1018" s="61">
        <f t="shared" si="1164"/>
        <v>0</v>
      </c>
      <c r="CC1018" s="61">
        <f t="shared" si="1164"/>
        <v>0</v>
      </c>
      <c r="CD1018" s="61">
        <f t="shared" si="1164"/>
        <v>0</v>
      </c>
      <c r="CE1018" s="61">
        <f t="shared" si="1164"/>
        <v>0</v>
      </c>
      <c r="CF1018" s="61">
        <f t="shared" si="1164"/>
        <v>0</v>
      </c>
      <c r="CG1018" s="61">
        <f t="shared" si="1164"/>
        <v>0</v>
      </c>
      <c r="CH1018" s="61">
        <f t="shared" si="1164"/>
        <v>149.89920264781102</v>
      </c>
      <c r="CI1018" s="61">
        <f t="shared" si="1165"/>
        <v>7.4949601323905517</v>
      </c>
      <c r="CJ1018" s="61"/>
      <c r="CK1018" s="61">
        <f t="shared" si="1166"/>
        <v>0</v>
      </c>
      <c r="CL1018" s="61">
        <f t="shared" si="1166"/>
        <v>0</v>
      </c>
      <c r="CM1018" s="61">
        <f t="shared" si="1166"/>
        <v>0</v>
      </c>
      <c r="CN1018" s="61">
        <f t="shared" si="1166"/>
        <v>0</v>
      </c>
      <c r="CO1018" s="61">
        <f t="shared" si="1166"/>
        <v>0</v>
      </c>
      <c r="CP1018" s="61">
        <f t="shared" si="1166"/>
        <v>0</v>
      </c>
      <c r="CQ1018" s="61">
        <f t="shared" si="1166"/>
        <v>0</v>
      </c>
      <c r="CR1018" s="61">
        <f t="shared" si="1166"/>
        <v>151.49089814954115</v>
      </c>
      <c r="CS1018" s="61">
        <f t="shared" si="1167"/>
        <v>7.5745449074770583</v>
      </c>
      <c r="CT1018" s="67">
        <f t="shared" si="1173"/>
        <v>50.348000000000006</v>
      </c>
      <c r="CV1018" s="61">
        <f t="shared" si="1172"/>
        <v>0</v>
      </c>
      <c r="CW1018" s="61">
        <f t="shared" si="1169"/>
        <v>0</v>
      </c>
      <c r="CX1018" s="61"/>
      <c r="CY1018" s="61">
        <f t="shared" si="1170"/>
        <v>0</v>
      </c>
      <c r="CZ1018" s="61">
        <f t="shared" si="1170"/>
        <v>0</v>
      </c>
      <c r="DA1018" s="61">
        <f t="shared" si="1170"/>
        <v>0</v>
      </c>
      <c r="DB1018" s="2" t="s">
        <v>86</v>
      </c>
      <c r="DC1018" s="2" t="s">
        <v>85</v>
      </c>
      <c r="DD1018" s="2" t="s">
        <v>87</v>
      </c>
      <c r="DE1018" s="2" t="s">
        <v>106</v>
      </c>
      <c r="DF1018" s="3" t="s">
        <v>86</v>
      </c>
      <c r="DG1018" s="62">
        <v>43136</v>
      </c>
      <c r="DH1018" s="3"/>
      <c r="DI1018" s="2" t="e">
        <v>#N/A</v>
      </c>
      <c r="DZ1018" s="2"/>
      <c r="EC1018" s="60" t="s">
        <v>1262</v>
      </c>
      <c r="ED1018" s="60" t="s">
        <v>1262</v>
      </c>
      <c r="EE1018" s="60" t="s">
        <v>1262</v>
      </c>
      <c r="EF1018" s="60" t="s">
        <v>1262</v>
      </c>
      <c r="EH1018" s="60" t="s">
        <v>1262</v>
      </c>
      <c r="EI1018" s="60" t="s">
        <v>1262</v>
      </c>
      <c r="EJ1018" s="60" t="s">
        <v>1262</v>
      </c>
      <c r="XEN1018" s="99"/>
      <c r="XEO1018" s="22"/>
      <c r="XEP1018" s="22"/>
    </row>
    <row r="1019" spans="2:140 16368:16370" ht="12.75" hidden="1" customHeight="1">
      <c r="B1019" s="99" t="s">
        <v>1569</v>
      </c>
      <c r="C1019" s="22" t="s">
        <v>726</v>
      </c>
      <c r="D1019" s="22" t="s">
        <v>1570</v>
      </c>
      <c r="E1019" s="2" t="s">
        <v>260</v>
      </c>
      <c r="F1019" s="2" t="s">
        <v>1025</v>
      </c>
      <c r="G1019" s="2" t="s">
        <v>994</v>
      </c>
      <c r="J1019" s="149" t="s">
        <v>128</v>
      </c>
      <c r="K1019" s="23" t="s">
        <v>1571</v>
      </c>
      <c r="L1019" s="149" t="s">
        <v>132</v>
      </c>
      <c r="M1019" s="51" t="str">
        <f t="shared" ref="M1019:M1082" si="1179">TRIM(J1019)&amp;"-"&amp;TRIM(K1019)&amp;"-"&amp;TRIM(L1019)</f>
        <v>ED8B-F018C16-AB</v>
      </c>
      <c r="O1019" s="22">
        <v>1</v>
      </c>
      <c r="P1019" s="22">
        <v>1</v>
      </c>
      <c r="Q1019" s="22">
        <v>1</v>
      </c>
      <c r="R1019" s="22">
        <v>1</v>
      </c>
      <c r="S1019" s="22">
        <v>1</v>
      </c>
      <c r="T1019" s="22">
        <v>1</v>
      </c>
      <c r="U1019" s="22">
        <v>1</v>
      </c>
      <c r="V1019" s="22">
        <v>1</v>
      </c>
      <c r="W1019" s="64">
        <f t="shared" si="1091"/>
        <v>1</v>
      </c>
      <c r="Y1019" s="60">
        <f>-0.66-3.68</f>
        <v>-4.34</v>
      </c>
      <c r="Z1019" s="8">
        <v>0</v>
      </c>
      <c r="AA1019" s="8">
        <v>-0.03</v>
      </c>
      <c r="AB1019" s="8">
        <v>0</v>
      </c>
      <c r="AC1019" s="8"/>
      <c r="AD1019" s="8">
        <f t="shared" si="1102"/>
        <v>-4.37</v>
      </c>
      <c r="AE1019" s="2" t="s">
        <v>84</v>
      </c>
      <c r="AG1019" s="8">
        <v>-85000</v>
      </c>
      <c r="AH1019" s="8">
        <v>-85000</v>
      </c>
      <c r="AJ1019" s="70"/>
      <c r="AK1019" s="70"/>
      <c r="AL1019" s="72"/>
      <c r="AM1019" s="22"/>
      <c r="AO1019" s="22" t="s">
        <v>128</v>
      </c>
      <c r="AP1019" s="23" t="s">
        <v>1572</v>
      </c>
      <c r="AQ1019" s="22" t="s">
        <v>100</v>
      </c>
      <c r="AR1019" s="51" t="str">
        <f t="shared" si="1090"/>
        <v>ED8B-F018C16-AA</v>
      </c>
      <c r="AS1019" s="3"/>
      <c r="AT1019" s="22">
        <v>1</v>
      </c>
      <c r="AU1019" s="22">
        <v>1</v>
      </c>
      <c r="AV1019" s="22">
        <v>1</v>
      </c>
      <c r="AW1019" s="22">
        <v>1</v>
      </c>
      <c r="AX1019" s="22">
        <v>1</v>
      </c>
      <c r="AY1019" s="22">
        <v>1</v>
      </c>
      <c r="AZ1019" s="22">
        <v>1</v>
      </c>
      <c r="BA1019" s="22">
        <v>1</v>
      </c>
      <c r="BB1019" s="64">
        <f t="shared" si="1113"/>
        <v>1</v>
      </c>
      <c r="BD1019" s="8">
        <v>-3.68</v>
      </c>
      <c r="BE1019" s="8">
        <v>0</v>
      </c>
      <c r="BF1019" s="8">
        <v>-0.03</v>
      </c>
      <c r="BG1019" s="8">
        <v>0</v>
      </c>
      <c r="BH1019" s="8"/>
      <c r="BI1019" s="8">
        <f t="shared" ref="BI1019" si="1180">SUM(BD1019:BH1019)</f>
        <v>-3.71</v>
      </c>
      <c r="BJ1019" s="2" t="s">
        <v>84</v>
      </c>
      <c r="BL1019" s="8">
        <v>-85000</v>
      </c>
      <c r="BM1019" s="8">
        <v>-85000</v>
      </c>
      <c r="BN1019" s="6"/>
      <c r="BO1019" s="70"/>
      <c r="BP1019" s="70"/>
      <c r="BQ1019" s="72"/>
      <c r="BS1019" s="61">
        <f t="shared" si="1161"/>
        <v>-0.6599999999999997</v>
      </c>
      <c r="BT1019" s="61">
        <f t="shared" si="1162"/>
        <v>0</v>
      </c>
      <c r="BU1019" s="61">
        <f t="shared" si="1163"/>
        <v>0</v>
      </c>
      <c r="BV1019" s="61">
        <f t="shared" si="1163"/>
        <v>0</v>
      </c>
      <c r="BW1019" s="61">
        <f t="shared" si="1163"/>
        <v>0</v>
      </c>
      <c r="BX1019" s="61">
        <f t="shared" si="1163"/>
        <v>-0.66000000000000014</v>
      </c>
      <c r="BY1019" s="61" t="s">
        <v>91</v>
      </c>
      <c r="CA1019" s="61">
        <f t="shared" si="1164"/>
        <v>-9.9292914096584875E-2</v>
      </c>
      <c r="CB1019" s="61">
        <f t="shared" si="1164"/>
        <v>-9.9292914096584875E-2</v>
      </c>
      <c r="CC1019" s="61">
        <f t="shared" si="1164"/>
        <v>-9.9292914096584875E-2</v>
      </c>
      <c r="CD1019" s="61">
        <f t="shared" si="1164"/>
        <v>-9.9292914096584875E-2</v>
      </c>
      <c r="CE1019" s="61">
        <f t="shared" si="1164"/>
        <v>-9.9292914096584875E-2</v>
      </c>
      <c r="CF1019" s="61">
        <f t="shared" si="1164"/>
        <v>-9.9292914096584875E-2</v>
      </c>
      <c r="CG1019" s="61">
        <f t="shared" si="1164"/>
        <v>-9.9292914096584875E-2</v>
      </c>
      <c r="CH1019" s="61">
        <f t="shared" si="1164"/>
        <v>-9.9292914096584875E-2</v>
      </c>
      <c r="CI1019" s="61">
        <f t="shared" si="1165"/>
        <v>-9.9292914096584875E-2</v>
      </c>
      <c r="CJ1019" s="61"/>
      <c r="CK1019" s="61">
        <f t="shared" si="1166"/>
        <v>-9.9292914096584944E-2</v>
      </c>
      <c r="CL1019" s="61">
        <f t="shared" si="1166"/>
        <v>-9.9292914096584944E-2</v>
      </c>
      <c r="CM1019" s="61">
        <f t="shared" si="1166"/>
        <v>-9.9292914096584944E-2</v>
      </c>
      <c r="CN1019" s="61">
        <f t="shared" si="1166"/>
        <v>-9.9292914096584944E-2</v>
      </c>
      <c r="CO1019" s="61">
        <f t="shared" si="1166"/>
        <v>-9.9292914096584944E-2</v>
      </c>
      <c r="CP1019" s="61">
        <f t="shared" si="1166"/>
        <v>-9.9292914096584944E-2</v>
      </c>
      <c r="CQ1019" s="61">
        <f t="shared" si="1166"/>
        <v>-9.9292914096584944E-2</v>
      </c>
      <c r="CR1019" s="61">
        <f t="shared" si="1166"/>
        <v>-9.9292914096584944E-2</v>
      </c>
      <c r="CS1019" s="61">
        <f t="shared" si="1167"/>
        <v>-9.9292914096584944E-2</v>
      </c>
      <c r="CT1019" s="67">
        <f t="shared" si="1173"/>
        <v>-0.66000000000000014</v>
      </c>
      <c r="CV1019" s="61">
        <f t="shared" si="1172"/>
        <v>0</v>
      </c>
      <c r="CW1019" s="61">
        <f t="shared" si="1169"/>
        <v>0</v>
      </c>
      <c r="CX1019" s="61"/>
      <c r="CY1019" s="61">
        <f t="shared" si="1170"/>
        <v>0</v>
      </c>
      <c r="CZ1019" s="61">
        <f t="shared" si="1170"/>
        <v>0</v>
      </c>
      <c r="DA1019" s="61">
        <f t="shared" si="1170"/>
        <v>0</v>
      </c>
      <c r="DB1019" s="2" t="s">
        <v>86</v>
      </c>
      <c r="DC1019" s="2" t="s">
        <v>85</v>
      </c>
      <c r="DD1019" s="2" t="s">
        <v>87</v>
      </c>
      <c r="DE1019" s="2" t="s">
        <v>106</v>
      </c>
      <c r="DF1019" s="3" t="s">
        <v>86</v>
      </c>
      <c r="DG1019" s="62">
        <v>43084</v>
      </c>
      <c r="DI1019" s="2" t="e">
        <v>#N/A</v>
      </c>
      <c r="EC1019" s="60" t="str">
        <f>VLOOKUP($M1019,[1]Detail!$M:$BO,1,0)</f>
        <v>ED8B-F018C16-AB</v>
      </c>
      <c r="ED1019" s="60">
        <f>VLOOKUP($M1019,[1]Detail!$M:$BO,22,0)</f>
        <v>-4.37</v>
      </c>
      <c r="EE1019" s="60">
        <f>VLOOKUP($M1019,[1]Detail!$M:$BO,42,0)</f>
        <v>-85000</v>
      </c>
      <c r="EF1019" s="60">
        <f>VLOOKUP($M1019,[1]Detail!$M:$BO,45,0)</f>
        <v>0</v>
      </c>
      <c r="EH1019" s="60">
        <f t="shared" si="1176"/>
        <v>0</v>
      </c>
      <c r="EI1019" s="60">
        <f t="shared" si="1177"/>
        <v>0</v>
      </c>
      <c r="EJ1019" s="60">
        <f t="shared" si="1178"/>
        <v>0</v>
      </c>
    </row>
    <row r="1020" spans="2:140 16368:16370" ht="12.75" hidden="1" customHeight="1">
      <c r="B1020" s="99" t="s">
        <v>1569</v>
      </c>
      <c r="C1020" s="22" t="s">
        <v>726</v>
      </c>
      <c r="D1020" s="22" t="s">
        <v>1570</v>
      </c>
      <c r="E1020" s="2" t="s">
        <v>260</v>
      </c>
      <c r="F1020" s="2" t="s">
        <v>1025</v>
      </c>
      <c r="G1020" s="2" t="s">
        <v>994</v>
      </c>
      <c r="J1020" s="149" t="s">
        <v>128</v>
      </c>
      <c r="K1020" s="23" t="s">
        <v>1573</v>
      </c>
      <c r="L1020" s="149" t="s">
        <v>132</v>
      </c>
      <c r="M1020" s="51" t="str">
        <f t="shared" si="1179"/>
        <v>ED8B-F018C17-AB</v>
      </c>
      <c r="O1020" s="22">
        <v>1</v>
      </c>
      <c r="P1020" s="22">
        <v>1</v>
      </c>
      <c r="Q1020" s="22">
        <v>1</v>
      </c>
      <c r="R1020" s="22">
        <v>1</v>
      </c>
      <c r="S1020" s="22">
        <v>1</v>
      </c>
      <c r="T1020" s="22">
        <v>1</v>
      </c>
      <c r="U1020" s="22">
        <v>1</v>
      </c>
      <c r="V1020" s="22">
        <v>1</v>
      </c>
      <c r="W1020" s="64">
        <f t="shared" si="1091"/>
        <v>1</v>
      </c>
      <c r="Y1020" s="60">
        <f>-0.66-3.68</f>
        <v>-4.34</v>
      </c>
      <c r="Z1020" s="8">
        <v>0</v>
      </c>
      <c r="AA1020" s="8">
        <v>-0.03</v>
      </c>
      <c r="AB1020" s="8">
        <v>0</v>
      </c>
      <c r="AC1020" s="8"/>
      <c r="AD1020" s="8">
        <f t="shared" si="1102"/>
        <v>-4.37</v>
      </c>
      <c r="AE1020" s="2" t="s">
        <v>84</v>
      </c>
      <c r="AG1020" s="8">
        <v>-85000</v>
      </c>
      <c r="AH1020" s="8">
        <v>-85000</v>
      </c>
      <c r="AJ1020" s="70"/>
      <c r="AK1020" s="70"/>
      <c r="AL1020" s="72"/>
      <c r="AM1020" s="22"/>
      <c r="AO1020" s="22" t="s">
        <v>128</v>
      </c>
      <c r="AP1020" s="23" t="s">
        <v>1574</v>
      </c>
      <c r="AQ1020" s="22" t="s">
        <v>100</v>
      </c>
      <c r="AR1020" s="51" t="str">
        <f t="shared" si="1090"/>
        <v>ED8B-F018C17-AA</v>
      </c>
      <c r="AS1020" s="3"/>
      <c r="AT1020" s="22">
        <v>1</v>
      </c>
      <c r="AU1020" s="22">
        <v>1</v>
      </c>
      <c r="AV1020" s="22">
        <v>1</v>
      </c>
      <c r="AW1020" s="22">
        <v>1</v>
      </c>
      <c r="AX1020" s="22">
        <v>1</v>
      </c>
      <c r="AY1020" s="22">
        <v>1</v>
      </c>
      <c r="AZ1020" s="22">
        <v>1</v>
      </c>
      <c r="BA1020" s="22">
        <v>1</v>
      </c>
      <c r="BB1020" s="64">
        <f t="shared" si="1113"/>
        <v>1</v>
      </c>
      <c r="BD1020" s="8">
        <v>-3.68</v>
      </c>
      <c r="BE1020" s="8">
        <v>0</v>
      </c>
      <c r="BF1020" s="8">
        <v>-0.03</v>
      </c>
      <c r="BG1020" s="8">
        <v>0</v>
      </c>
      <c r="BH1020" s="8"/>
      <c r="BI1020" s="8">
        <f t="shared" ref="BI1020:BI1041" si="1181">SUM(BD1020:BH1020)</f>
        <v>-3.71</v>
      </c>
      <c r="BJ1020" s="2" t="s">
        <v>84</v>
      </c>
      <c r="BL1020" s="8">
        <v>-85000</v>
      </c>
      <c r="BM1020" s="8">
        <v>-85000</v>
      </c>
      <c r="BN1020" s="6"/>
      <c r="BO1020" s="70"/>
      <c r="BP1020" s="70"/>
      <c r="BQ1020" s="72"/>
      <c r="BS1020" s="61">
        <f t="shared" si="1161"/>
        <v>-0.6599999999999997</v>
      </c>
      <c r="BT1020" s="61">
        <f t="shared" si="1162"/>
        <v>0</v>
      </c>
      <c r="BU1020" s="61">
        <f t="shared" si="1163"/>
        <v>0</v>
      </c>
      <c r="BV1020" s="61">
        <f t="shared" si="1163"/>
        <v>0</v>
      </c>
      <c r="BW1020" s="61">
        <f t="shared" si="1163"/>
        <v>0</v>
      </c>
      <c r="BX1020" s="61">
        <f t="shared" si="1163"/>
        <v>-0.66000000000000014</v>
      </c>
      <c r="BY1020" s="61" t="s">
        <v>91</v>
      </c>
      <c r="CA1020" s="61">
        <f t="shared" si="1164"/>
        <v>-9.9292914096584875E-2</v>
      </c>
      <c r="CB1020" s="61">
        <f t="shared" si="1164"/>
        <v>-9.9292914096584875E-2</v>
      </c>
      <c r="CC1020" s="61">
        <f t="shared" si="1164"/>
        <v>-9.9292914096584875E-2</v>
      </c>
      <c r="CD1020" s="61">
        <f t="shared" si="1164"/>
        <v>-9.9292914096584875E-2</v>
      </c>
      <c r="CE1020" s="61">
        <f t="shared" si="1164"/>
        <v>-9.9292914096584875E-2</v>
      </c>
      <c r="CF1020" s="61">
        <f t="shared" si="1164"/>
        <v>-9.9292914096584875E-2</v>
      </c>
      <c r="CG1020" s="61">
        <f t="shared" si="1164"/>
        <v>-9.9292914096584875E-2</v>
      </c>
      <c r="CH1020" s="61">
        <f t="shared" si="1164"/>
        <v>-9.9292914096584875E-2</v>
      </c>
      <c r="CI1020" s="61">
        <f t="shared" si="1165"/>
        <v>-9.9292914096584875E-2</v>
      </c>
      <c r="CJ1020" s="61"/>
      <c r="CK1020" s="61">
        <f t="shared" si="1166"/>
        <v>-9.9292914096584944E-2</v>
      </c>
      <c r="CL1020" s="61">
        <f t="shared" si="1166"/>
        <v>-9.9292914096584944E-2</v>
      </c>
      <c r="CM1020" s="61">
        <f t="shared" si="1166"/>
        <v>-9.9292914096584944E-2</v>
      </c>
      <c r="CN1020" s="61">
        <f t="shared" si="1166"/>
        <v>-9.9292914096584944E-2</v>
      </c>
      <c r="CO1020" s="61">
        <f t="shared" si="1166"/>
        <v>-9.9292914096584944E-2</v>
      </c>
      <c r="CP1020" s="61">
        <f t="shared" si="1166"/>
        <v>-9.9292914096584944E-2</v>
      </c>
      <c r="CQ1020" s="61">
        <f t="shared" si="1166"/>
        <v>-9.9292914096584944E-2</v>
      </c>
      <c r="CR1020" s="61">
        <f t="shared" si="1166"/>
        <v>-9.9292914096584944E-2</v>
      </c>
      <c r="CS1020" s="61">
        <f t="shared" si="1167"/>
        <v>-9.9292914096584944E-2</v>
      </c>
      <c r="CT1020" s="67">
        <f t="shared" si="1173"/>
        <v>-0.66000000000000014</v>
      </c>
      <c r="CV1020" s="61">
        <f t="shared" si="1172"/>
        <v>0</v>
      </c>
      <c r="CW1020" s="61">
        <f t="shared" si="1169"/>
        <v>0</v>
      </c>
      <c r="CX1020" s="61"/>
      <c r="CY1020" s="61">
        <f t="shared" si="1170"/>
        <v>0</v>
      </c>
      <c r="CZ1020" s="61">
        <f t="shared" si="1170"/>
        <v>0</v>
      </c>
      <c r="DA1020" s="61">
        <f t="shared" si="1170"/>
        <v>0</v>
      </c>
      <c r="DB1020" s="2" t="s">
        <v>86</v>
      </c>
      <c r="DC1020" s="2" t="s">
        <v>85</v>
      </c>
      <c r="DD1020" s="2" t="s">
        <v>87</v>
      </c>
      <c r="DE1020" s="2" t="s">
        <v>106</v>
      </c>
      <c r="DG1020" s="62">
        <v>43084</v>
      </c>
      <c r="DI1020" s="2" t="e">
        <v>#N/A</v>
      </c>
      <c r="EC1020" s="60" t="str">
        <f>VLOOKUP($M1020,[1]Detail!$M:$BO,1,0)</f>
        <v>ED8B-F018C17-AB</v>
      </c>
      <c r="ED1020" s="60">
        <f>VLOOKUP($M1020,[1]Detail!$M:$BO,22,0)</f>
        <v>-4.37</v>
      </c>
      <c r="EE1020" s="60">
        <f>VLOOKUP($M1020,[1]Detail!$M:$BO,42,0)</f>
        <v>-85000</v>
      </c>
      <c r="EF1020" s="60">
        <f>VLOOKUP($M1020,[1]Detail!$M:$BO,45,0)</f>
        <v>0</v>
      </c>
      <c r="EH1020" s="60">
        <f t="shared" si="1176"/>
        <v>0</v>
      </c>
      <c r="EI1020" s="60">
        <f t="shared" si="1177"/>
        <v>0</v>
      </c>
      <c r="EJ1020" s="60">
        <f t="shared" si="1178"/>
        <v>0</v>
      </c>
    </row>
    <row r="1021" spans="2:140 16368:16370" ht="12.75" hidden="1" customHeight="1">
      <c r="B1021" s="99" t="s">
        <v>1569</v>
      </c>
      <c r="C1021" s="22" t="s">
        <v>726</v>
      </c>
      <c r="D1021" s="22" t="s">
        <v>1570</v>
      </c>
      <c r="E1021" s="2" t="s">
        <v>260</v>
      </c>
      <c r="F1021" s="2" t="s">
        <v>1025</v>
      </c>
      <c r="G1021" s="2" t="s">
        <v>994</v>
      </c>
      <c r="J1021" s="149" t="s">
        <v>128</v>
      </c>
      <c r="K1021" s="23" t="s">
        <v>1575</v>
      </c>
      <c r="L1021" s="149" t="s">
        <v>234</v>
      </c>
      <c r="M1021" s="51" t="str">
        <f t="shared" si="1179"/>
        <v>ED8B-F01906 -AC</v>
      </c>
      <c r="O1021" s="22">
        <v>1</v>
      </c>
      <c r="P1021" s="22">
        <v>1</v>
      </c>
      <c r="Q1021" s="22">
        <v>1</v>
      </c>
      <c r="R1021" s="22">
        <v>1</v>
      </c>
      <c r="S1021" s="22">
        <v>1</v>
      </c>
      <c r="T1021" s="22">
        <v>1</v>
      </c>
      <c r="U1021" s="22">
        <v>1</v>
      </c>
      <c r="V1021" s="22">
        <v>1</v>
      </c>
      <c r="W1021" s="64">
        <f t="shared" si="1091"/>
        <v>1</v>
      </c>
      <c r="Y1021" s="60">
        <f>-0.66-7.26</f>
        <v>-7.92</v>
      </c>
      <c r="Z1021" s="8">
        <v>0</v>
      </c>
      <c r="AA1021" s="8">
        <v>-0.19</v>
      </c>
      <c r="AB1021" s="8">
        <v>0</v>
      </c>
      <c r="AC1021" s="8"/>
      <c r="AD1021" s="8">
        <f t="shared" si="1102"/>
        <v>-8.11</v>
      </c>
      <c r="AE1021" s="2" t="s">
        <v>84</v>
      </c>
      <c r="AG1021" s="8">
        <v>-85000</v>
      </c>
      <c r="AH1021" s="8">
        <v>-85000</v>
      </c>
      <c r="AJ1021" s="70"/>
      <c r="AK1021" s="70"/>
      <c r="AL1021" s="72"/>
      <c r="AM1021" s="22"/>
      <c r="AO1021" s="22" t="s">
        <v>128</v>
      </c>
      <c r="AP1021" s="23" t="s">
        <v>1576</v>
      </c>
      <c r="AQ1021" s="22" t="s">
        <v>132</v>
      </c>
      <c r="AR1021" s="51" t="str">
        <f t="shared" si="1090"/>
        <v>ED8B-F01906 -AB</v>
      </c>
      <c r="AS1021" s="3"/>
      <c r="AT1021" s="22">
        <v>1</v>
      </c>
      <c r="AU1021" s="22">
        <v>1</v>
      </c>
      <c r="AV1021" s="22">
        <v>1</v>
      </c>
      <c r="AW1021" s="22">
        <v>1</v>
      </c>
      <c r="AX1021" s="22">
        <v>1</v>
      </c>
      <c r="AY1021" s="22">
        <v>1</v>
      </c>
      <c r="AZ1021" s="22">
        <v>1</v>
      </c>
      <c r="BA1021" s="22">
        <v>1</v>
      </c>
      <c r="BB1021" s="64">
        <f t="shared" si="1113"/>
        <v>1</v>
      </c>
      <c r="BD1021" s="8">
        <f>-6.21*0-7.26</f>
        <v>-7.26</v>
      </c>
      <c r="BE1021" s="8">
        <v>0</v>
      </c>
      <c r="BF1021" s="8">
        <v>-0.19</v>
      </c>
      <c r="BG1021" s="8">
        <v>0</v>
      </c>
      <c r="BH1021" s="8"/>
      <c r="BI1021" s="8">
        <f t="shared" si="1181"/>
        <v>-7.45</v>
      </c>
      <c r="BJ1021" s="2" t="s">
        <v>84</v>
      </c>
      <c r="BL1021" s="8">
        <v>-85000</v>
      </c>
      <c r="BM1021" s="8">
        <v>-85000</v>
      </c>
      <c r="BN1021" s="6"/>
      <c r="BO1021" s="70"/>
      <c r="BP1021" s="70"/>
      <c r="BQ1021" s="72"/>
      <c r="BS1021" s="61">
        <f t="shared" si="1161"/>
        <v>-0.66000000000000014</v>
      </c>
      <c r="BT1021" s="61">
        <f t="shared" si="1162"/>
        <v>0</v>
      </c>
      <c r="BU1021" s="61">
        <f t="shared" si="1163"/>
        <v>0</v>
      </c>
      <c r="BV1021" s="61">
        <f t="shared" si="1163"/>
        <v>0</v>
      </c>
      <c r="BW1021" s="61">
        <f t="shared" si="1163"/>
        <v>0</v>
      </c>
      <c r="BX1021" s="61">
        <f t="shared" si="1163"/>
        <v>-0.65999999999999925</v>
      </c>
      <c r="BY1021" s="61" t="s">
        <v>91</v>
      </c>
      <c r="CA1021" s="61">
        <f t="shared" si="1164"/>
        <v>-9.9292914096584944E-2</v>
      </c>
      <c r="CB1021" s="61">
        <f t="shared" si="1164"/>
        <v>-9.9292914096584944E-2</v>
      </c>
      <c r="CC1021" s="61">
        <f t="shared" si="1164"/>
        <v>-9.9292914096584944E-2</v>
      </c>
      <c r="CD1021" s="61">
        <f t="shared" si="1164"/>
        <v>-9.9292914096584944E-2</v>
      </c>
      <c r="CE1021" s="61">
        <f t="shared" si="1164"/>
        <v>-9.9292914096584944E-2</v>
      </c>
      <c r="CF1021" s="61">
        <f t="shared" si="1164"/>
        <v>-9.9292914096584944E-2</v>
      </c>
      <c r="CG1021" s="61">
        <f t="shared" si="1164"/>
        <v>-9.9292914096584944E-2</v>
      </c>
      <c r="CH1021" s="61">
        <f t="shared" si="1164"/>
        <v>-9.9292914096584944E-2</v>
      </c>
      <c r="CI1021" s="61">
        <f t="shared" si="1165"/>
        <v>-9.9292914096584944E-2</v>
      </c>
      <c r="CJ1021" s="61"/>
      <c r="CK1021" s="61">
        <f t="shared" si="1166"/>
        <v>-9.9292914096584806E-2</v>
      </c>
      <c r="CL1021" s="61">
        <f t="shared" si="1166"/>
        <v>-9.9292914096584806E-2</v>
      </c>
      <c r="CM1021" s="61">
        <f t="shared" si="1166"/>
        <v>-9.9292914096584806E-2</v>
      </c>
      <c r="CN1021" s="61">
        <f t="shared" si="1166"/>
        <v>-9.9292914096584806E-2</v>
      </c>
      <c r="CO1021" s="61">
        <f t="shared" si="1166"/>
        <v>-9.9292914096584806E-2</v>
      </c>
      <c r="CP1021" s="61">
        <f t="shared" si="1166"/>
        <v>-9.9292914096584806E-2</v>
      </c>
      <c r="CQ1021" s="61">
        <f t="shared" si="1166"/>
        <v>-9.9292914096584806E-2</v>
      </c>
      <c r="CR1021" s="61">
        <f t="shared" si="1166"/>
        <v>-9.9292914096584806E-2</v>
      </c>
      <c r="CS1021" s="61">
        <f t="shared" si="1167"/>
        <v>-9.9292914096584806E-2</v>
      </c>
      <c r="CT1021" s="67">
        <f t="shared" si="1173"/>
        <v>-0.65999999999999925</v>
      </c>
      <c r="CV1021" s="61">
        <f t="shared" si="1172"/>
        <v>0</v>
      </c>
      <c r="CW1021" s="61">
        <f t="shared" si="1169"/>
        <v>0</v>
      </c>
      <c r="CX1021" s="61"/>
      <c r="CY1021" s="61">
        <f t="shared" si="1170"/>
        <v>0</v>
      </c>
      <c r="CZ1021" s="61">
        <f t="shared" si="1170"/>
        <v>0</v>
      </c>
      <c r="DA1021" s="61">
        <f t="shared" si="1170"/>
        <v>0</v>
      </c>
      <c r="DB1021" s="2" t="s">
        <v>86</v>
      </c>
      <c r="DC1021" s="2" t="s">
        <v>85</v>
      </c>
      <c r="DD1021" s="2" t="s">
        <v>87</v>
      </c>
      <c r="DE1021" s="2" t="s">
        <v>106</v>
      </c>
      <c r="DG1021" s="62">
        <v>43084</v>
      </c>
      <c r="DI1021" s="2" t="e">
        <v>#N/A</v>
      </c>
      <c r="EC1021" s="60" t="e">
        <f>VLOOKUP($M1021,[1]Detail!$M:$BO,1,0)</f>
        <v>#N/A</v>
      </c>
      <c r="ED1021" s="60" t="e">
        <f>VLOOKUP($M1021,[1]Detail!$M:$BO,22,0)</f>
        <v>#N/A</v>
      </c>
      <c r="EE1021" s="60" t="e">
        <f>VLOOKUP($M1021,[1]Detail!$M:$BO,42,0)</f>
        <v>#N/A</v>
      </c>
      <c r="EF1021" s="60" t="e">
        <f>VLOOKUP($M1021,[1]Detail!$M:$BO,45,0)</f>
        <v>#N/A</v>
      </c>
      <c r="EH1021" s="60" t="e">
        <f t="shared" si="1176"/>
        <v>#N/A</v>
      </c>
      <c r="EI1021" s="60" t="e">
        <f t="shared" si="1177"/>
        <v>#N/A</v>
      </c>
      <c r="EJ1021" s="60" t="e">
        <f t="shared" si="1178"/>
        <v>#N/A</v>
      </c>
    </row>
    <row r="1022" spans="2:140 16368:16370" ht="12.75" hidden="1" customHeight="1">
      <c r="B1022" s="99" t="s">
        <v>1569</v>
      </c>
      <c r="C1022" s="22" t="s">
        <v>726</v>
      </c>
      <c r="D1022" s="22" t="s">
        <v>1570</v>
      </c>
      <c r="E1022" s="2" t="s">
        <v>260</v>
      </c>
      <c r="F1022" s="2" t="s">
        <v>1025</v>
      </c>
      <c r="G1022" s="2" t="s">
        <v>994</v>
      </c>
      <c r="J1022" s="149" t="s">
        <v>128</v>
      </c>
      <c r="K1022" s="23" t="s">
        <v>1577</v>
      </c>
      <c r="L1022" s="149" t="s">
        <v>132</v>
      </c>
      <c r="M1022" s="51" t="str">
        <f t="shared" si="1179"/>
        <v>ED8B-F01907 -AB</v>
      </c>
      <c r="O1022" s="22">
        <v>1</v>
      </c>
      <c r="P1022" s="22">
        <v>1</v>
      </c>
      <c r="Q1022" s="22">
        <v>1</v>
      </c>
      <c r="R1022" s="22">
        <v>1</v>
      </c>
      <c r="S1022" s="22">
        <v>1</v>
      </c>
      <c r="T1022" s="22">
        <v>1</v>
      </c>
      <c r="U1022" s="22">
        <v>1</v>
      </c>
      <c r="V1022" s="22">
        <v>1</v>
      </c>
      <c r="W1022" s="64">
        <f t="shared" si="1091"/>
        <v>1</v>
      </c>
      <c r="Y1022" s="60">
        <v>-6.77</v>
      </c>
      <c r="Z1022" s="8"/>
      <c r="AA1022" s="8">
        <v>-0.19</v>
      </c>
      <c r="AB1022" s="8"/>
      <c r="AC1022" s="8"/>
      <c r="AD1022" s="8">
        <f t="shared" si="1102"/>
        <v>-6.96</v>
      </c>
      <c r="AE1022" s="2" t="s">
        <v>84</v>
      </c>
      <c r="AG1022" s="8">
        <v>-85000</v>
      </c>
      <c r="AH1022" s="8">
        <v>-85000</v>
      </c>
      <c r="AJ1022" s="70"/>
      <c r="AK1022" s="70"/>
      <c r="AL1022" s="72"/>
      <c r="AM1022" s="22"/>
      <c r="AO1022" s="22" t="s">
        <v>128</v>
      </c>
      <c r="AP1022" s="23" t="s">
        <v>1578</v>
      </c>
      <c r="AQ1022" s="22" t="s">
        <v>100</v>
      </c>
      <c r="AR1022" s="51" t="str">
        <f t="shared" si="1090"/>
        <v>ED8B-F01907 -AA</v>
      </c>
      <c r="AS1022" s="3"/>
      <c r="AT1022" s="22">
        <v>1</v>
      </c>
      <c r="AU1022" s="22">
        <v>1</v>
      </c>
      <c r="AV1022" s="22">
        <v>1</v>
      </c>
      <c r="AW1022" s="22">
        <v>1</v>
      </c>
      <c r="AX1022" s="22">
        <v>1</v>
      </c>
      <c r="AY1022" s="22">
        <v>1</v>
      </c>
      <c r="AZ1022" s="22">
        <v>1</v>
      </c>
      <c r="BA1022" s="22">
        <v>1</v>
      </c>
      <c r="BB1022" s="64">
        <f t="shared" si="1113"/>
        <v>1</v>
      </c>
      <c r="BD1022" s="8">
        <v>-6.1</v>
      </c>
      <c r="BE1022" s="8">
        <v>0</v>
      </c>
      <c r="BF1022" s="8">
        <v>-0.19</v>
      </c>
      <c r="BG1022" s="8">
        <v>0</v>
      </c>
      <c r="BH1022" s="8"/>
      <c r="BI1022" s="8">
        <f t="shared" si="1181"/>
        <v>-6.29</v>
      </c>
      <c r="BJ1022" s="2" t="s">
        <v>84</v>
      </c>
      <c r="BL1022" s="8">
        <v>-85000</v>
      </c>
      <c r="BM1022" s="8">
        <v>-85000</v>
      </c>
      <c r="BN1022" s="6"/>
      <c r="BO1022" s="70"/>
      <c r="BP1022" s="70"/>
      <c r="BQ1022" s="72"/>
      <c r="BS1022" s="61">
        <f t="shared" si="1161"/>
        <v>-0.66999999999999993</v>
      </c>
      <c r="BT1022" s="61">
        <f t="shared" si="1162"/>
        <v>0</v>
      </c>
      <c r="BU1022" s="61">
        <f t="shared" si="1163"/>
        <v>0</v>
      </c>
      <c r="BV1022" s="61">
        <f t="shared" si="1163"/>
        <v>0</v>
      </c>
      <c r="BW1022" s="61">
        <f t="shared" si="1163"/>
        <v>0</v>
      </c>
      <c r="BX1022" s="61">
        <f t="shared" si="1163"/>
        <v>-0.66999999999999993</v>
      </c>
      <c r="BY1022" s="61" t="s">
        <v>91</v>
      </c>
      <c r="CA1022" s="61">
        <f t="shared" si="1164"/>
        <v>-0.10079735218895741</v>
      </c>
      <c r="CB1022" s="61">
        <f t="shared" si="1164"/>
        <v>-0.10079735218895741</v>
      </c>
      <c r="CC1022" s="61">
        <f t="shared" si="1164"/>
        <v>-0.10079735218895741</v>
      </c>
      <c r="CD1022" s="61">
        <f t="shared" si="1164"/>
        <v>-0.10079735218895741</v>
      </c>
      <c r="CE1022" s="61">
        <f t="shared" si="1164"/>
        <v>-0.10079735218895741</v>
      </c>
      <c r="CF1022" s="61">
        <f t="shared" si="1164"/>
        <v>-0.10079735218895741</v>
      </c>
      <c r="CG1022" s="61">
        <f t="shared" si="1164"/>
        <v>-0.10079735218895741</v>
      </c>
      <c r="CH1022" s="61">
        <f t="shared" si="1164"/>
        <v>-0.10079735218895741</v>
      </c>
      <c r="CI1022" s="61">
        <f t="shared" si="1165"/>
        <v>-0.10079735218895743</v>
      </c>
      <c r="CJ1022" s="61"/>
      <c r="CK1022" s="61">
        <f t="shared" si="1166"/>
        <v>-0.10079735218895741</v>
      </c>
      <c r="CL1022" s="61">
        <f t="shared" si="1166"/>
        <v>-0.10079735218895741</v>
      </c>
      <c r="CM1022" s="61">
        <f t="shared" si="1166"/>
        <v>-0.10079735218895741</v>
      </c>
      <c r="CN1022" s="61">
        <f t="shared" si="1166"/>
        <v>-0.10079735218895741</v>
      </c>
      <c r="CO1022" s="61">
        <f t="shared" si="1166"/>
        <v>-0.10079735218895741</v>
      </c>
      <c r="CP1022" s="61">
        <f t="shared" si="1166"/>
        <v>-0.10079735218895741</v>
      </c>
      <c r="CQ1022" s="61">
        <f t="shared" si="1166"/>
        <v>-0.10079735218895741</v>
      </c>
      <c r="CR1022" s="61">
        <f t="shared" si="1166"/>
        <v>-0.10079735218895741</v>
      </c>
      <c r="CS1022" s="61">
        <f t="shared" si="1167"/>
        <v>-0.10079735218895743</v>
      </c>
      <c r="CT1022" s="67">
        <f t="shared" si="1173"/>
        <v>-0.67</v>
      </c>
      <c r="CV1022" s="61">
        <f t="shared" si="1172"/>
        <v>0</v>
      </c>
      <c r="CW1022" s="61">
        <f t="shared" si="1169"/>
        <v>0</v>
      </c>
      <c r="CX1022" s="61"/>
      <c r="CY1022" s="61">
        <f t="shared" si="1170"/>
        <v>0</v>
      </c>
      <c r="CZ1022" s="61">
        <f t="shared" si="1170"/>
        <v>0</v>
      </c>
      <c r="DA1022" s="61">
        <f t="shared" si="1170"/>
        <v>0</v>
      </c>
      <c r="DB1022" s="2" t="s">
        <v>86</v>
      </c>
      <c r="DC1022" s="2" t="s">
        <v>85</v>
      </c>
      <c r="DD1022" s="2" t="s">
        <v>87</v>
      </c>
      <c r="DE1022" s="2" t="s">
        <v>106</v>
      </c>
      <c r="DG1022" s="62">
        <v>43084</v>
      </c>
      <c r="DI1022" s="2" t="e">
        <v>#N/A</v>
      </c>
      <c r="EC1022" s="60" t="e">
        <f>VLOOKUP($M1022,[1]Detail!$M:$BO,1,0)</f>
        <v>#N/A</v>
      </c>
      <c r="ED1022" s="60" t="e">
        <f>VLOOKUP($M1022,[1]Detail!$M:$BO,22,0)</f>
        <v>#N/A</v>
      </c>
      <c r="EE1022" s="60" t="e">
        <f>VLOOKUP($M1022,[1]Detail!$M:$BO,42,0)</f>
        <v>#N/A</v>
      </c>
      <c r="EF1022" s="60" t="e">
        <f>VLOOKUP($M1022,[1]Detail!$M:$BO,45,0)</f>
        <v>#N/A</v>
      </c>
      <c r="EH1022" s="60" t="e">
        <f t="shared" si="1176"/>
        <v>#N/A</v>
      </c>
      <c r="EI1022" s="60" t="e">
        <f t="shared" si="1177"/>
        <v>#N/A</v>
      </c>
      <c r="EJ1022" s="60" t="e">
        <f t="shared" si="1178"/>
        <v>#N/A</v>
      </c>
    </row>
    <row r="1023" spans="2:140 16368:16370" ht="12.75" hidden="1" customHeight="1">
      <c r="B1023" s="99" t="s">
        <v>1579</v>
      </c>
      <c r="C1023" s="22" t="s">
        <v>1580</v>
      </c>
      <c r="D1023" s="22" t="s">
        <v>1581</v>
      </c>
      <c r="E1023" s="2" t="s">
        <v>523</v>
      </c>
      <c r="F1023" s="2" t="s">
        <v>348</v>
      </c>
      <c r="G1023" s="2" t="s">
        <v>994</v>
      </c>
      <c r="J1023" s="149" t="s">
        <v>585</v>
      </c>
      <c r="K1023" s="23" t="s">
        <v>1582</v>
      </c>
      <c r="L1023" s="149" t="s">
        <v>100</v>
      </c>
      <c r="M1023" s="51" t="str">
        <f t="shared" si="1179"/>
        <v>JD81-6F012-AA</v>
      </c>
      <c r="O1023" s="22">
        <v>0</v>
      </c>
      <c r="P1023" s="22">
        <v>0</v>
      </c>
      <c r="Q1023" s="22">
        <v>0</v>
      </c>
      <c r="R1023" s="22">
        <v>0</v>
      </c>
      <c r="S1023" s="22">
        <v>1</v>
      </c>
      <c r="T1023" s="22">
        <v>1</v>
      </c>
      <c r="U1023" s="22">
        <v>1</v>
      </c>
      <c r="V1023" s="22">
        <v>1</v>
      </c>
      <c r="W1023" s="64">
        <f t="shared" si="1091"/>
        <v>0.33</v>
      </c>
      <c r="Y1023" s="60">
        <v>-95.16</v>
      </c>
      <c r="Z1023" s="8">
        <v>-1.9</v>
      </c>
      <c r="AA1023" s="8">
        <v>-1.5</v>
      </c>
      <c r="AB1023" s="8"/>
      <c r="AC1023" s="8">
        <v>-2.7</v>
      </c>
      <c r="AD1023" s="8">
        <f t="shared" si="1102"/>
        <v>-101.26</v>
      </c>
      <c r="AE1023" s="2" t="s">
        <v>84</v>
      </c>
      <c r="AG1023" s="8">
        <v>-763700</v>
      </c>
      <c r="AH1023" s="8">
        <f t="shared" ref="AH1023:AH1026" si="1182">AG1023</f>
        <v>-763700</v>
      </c>
      <c r="AJ1023" s="70">
        <f>-434272.98</f>
        <v>-434272.98</v>
      </c>
      <c r="AK1023" s="70">
        <v>160972</v>
      </c>
      <c r="AL1023" s="72"/>
      <c r="AM1023" s="22"/>
      <c r="AO1023" s="22" t="s">
        <v>585</v>
      </c>
      <c r="AP1023" s="23" t="s">
        <v>1583</v>
      </c>
      <c r="AQ1023" s="22" t="s">
        <v>100</v>
      </c>
      <c r="AR1023" s="51" t="str">
        <f t="shared" si="1090"/>
        <v>JD81-6F012-AA</v>
      </c>
      <c r="AS1023" s="3"/>
      <c r="AT1023" s="22">
        <v>0</v>
      </c>
      <c r="AU1023" s="22">
        <v>0</v>
      </c>
      <c r="AV1023" s="22">
        <v>0</v>
      </c>
      <c r="AW1023" s="22">
        <v>0</v>
      </c>
      <c r="AX1023" s="22">
        <v>1</v>
      </c>
      <c r="AY1023" s="22">
        <v>1</v>
      </c>
      <c r="AZ1023" s="22">
        <v>1</v>
      </c>
      <c r="BA1023" s="22">
        <v>1</v>
      </c>
      <c r="BB1023" s="64">
        <f t="shared" si="1113"/>
        <v>0.33</v>
      </c>
      <c r="BD1023" s="8">
        <v>-95.16</v>
      </c>
      <c r="BE1023" s="8">
        <v>-1.9</v>
      </c>
      <c r="BF1023" s="8">
        <v>-1.5</v>
      </c>
      <c r="BG1023" s="8"/>
      <c r="BH1023" s="8">
        <v>-2.7</v>
      </c>
      <c r="BI1023" s="8">
        <f t="shared" si="1181"/>
        <v>-101.26</v>
      </c>
      <c r="BJ1023" s="2" t="s">
        <v>84</v>
      </c>
      <c r="BL1023" s="8">
        <v>-763700</v>
      </c>
      <c r="BM1023" s="8">
        <f t="shared" ref="BM1023:BM1026" si="1183">BL1023</f>
        <v>-763700</v>
      </c>
      <c r="BN1023" s="6"/>
      <c r="BO1023" s="70">
        <f>-434272.98</f>
        <v>-434272.98</v>
      </c>
      <c r="BP1023" s="70">
        <v>160972</v>
      </c>
      <c r="BQ1023" s="72"/>
      <c r="BS1023" s="61">
        <f t="shared" si="1161"/>
        <v>0</v>
      </c>
      <c r="BT1023" s="61">
        <f t="shared" si="1162"/>
        <v>0</v>
      </c>
      <c r="BU1023" s="61">
        <f t="shared" si="1163"/>
        <v>0</v>
      </c>
      <c r="BV1023" s="61">
        <f t="shared" si="1163"/>
        <v>0</v>
      </c>
      <c r="BW1023" s="61">
        <f t="shared" si="1163"/>
        <v>0</v>
      </c>
      <c r="BX1023" s="61">
        <f t="shared" si="1163"/>
        <v>0</v>
      </c>
      <c r="BY1023" s="61" t="s">
        <v>91</v>
      </c>
      <c r="CA1023" s="61">
        <f t="shared" si="1164"/>
        <v>0</v>
      </c>
      <c r="CB1023" s="61">
        <f t="shared" si="1164"/>
        <v>0</v>
      </c>
      <c r="CC1023" s="61">
        <f t="shared" si="1164"/>
        <v>0</v>
      </c>
      <c r="CD1023" s="61">
        <f t="shared" si="1164"/>
        <v>0</v>
      </c>
      <c r="CE1023" s="61">
        <f t="shared" si="1164"/>
        <v>0</v>
      </c>
      <c r="CF1023" s="61">
        <f t="shared" si="1164"/>
        <v>0</v>
      </c>
      <c r="CG1023" s="61">
        <f t="shared" si="1164"/>
        <v>0</v>
      </c>
      <c r="CH1023" s="61">
        <f t="shared" si="1164"/>
        <v>0</v>
      </c>
      <c r="CI1023" s="61">
        <f t="shared" si="1165"/>
        <v>0</v>
      </c>
      <c r="CJ1023" s="61"/>
      <c r="CK1023" s="61">
        <f t="shared" si="1166"/>
        <v>0</v>
      </c>
      <c r="CL1023" s="61">
        <f t="shared" si="1166"/>
        <v>0</v>
      </c>
      <c r="CM1023" s="61">
        <f t="shared" si="1166"/>
        <v>0</v>
      </c>
      <c r="CN1023" s="61">
        <f t="shared" si="1166"/>
        <v>0</v>
      </c>
      <c r="CO1023" s="61">
        <f t="shared" si="1166"/>
        <v>0</v>
      </c>
      <c r="CP1023" s="61">
        <f t="shared" si="1166"/>
        <v>0</v>
      </c>
      <c r="CQ1023" s="61">
        <f t="shared" si="1166"/>
        <v>0</v>
      </c>
      <c r="CR1023" s="61">
        <f t="shared" si="1166"/>
        <v>0</v>
      </c>
      <c r="CS1023" s="61">
        <f t="shared" si="1167"/>
        <v>0</v>
      </c>
      <c r="CT1023" s="67">
        <f t="shared" si="1173"/>
        <v>0</v>
      </c>
      <c r="CV1023" s="61">
        <f t="shared" si="1172"/>
        <v>0</v>
      </c>
      <c r="CW1023" s="61">
        <f t="shared" si="1169"/>
        <v>0</v>
      </c>
      <c r="CX1023" s="61"/>
      <c r="CY1023" s="61">
        <f t="shared" si="1170"/>
        <v>0</v>
      </c>
      <c r="CZ1023" s="61">
        <f t="shared" si="1170"/>
        <v>0</v>
      </c>
      <c r="DA1023" s="61">
        <f t="shared" si="1170"/>
        <v>0</v>
      </c>
      <c r="DB1023" s="2" t="s">
        <v>86</v>
      </c>
      <c r="DC1023" s="2" t="s">
        <v>85</v>
      </c>
      <c r="DD1023" s="2" t="s">
        <v>87</v>
      </c>
      <c r="DE1023" s="2" t="s">
        <v>106</v>
      </c>
      <c r="DG1023" s="62"/>
      <c r="EC1023" s="60" t="str">
        <f>VLOOKUP($M1023,[1]Detail!$M:$BO,1,0)</f>
        <v>JD81-6F012-AA</v>
      </c>
      <c r="ED1023" s="60">
        <f>VLOOKUP($M1023,[1]Detail!$M:$BO,22,0)</f>
        <v>-101.26</v>
      </c>
      <c r="EE1023" s="60">
        <f>VLOOKUP($M1023,[1]Detail!$M:$BO,42,0)</f>
        <v>-763700</v>
      </c>
      <c r="EF1023" s="60">
        <f>VLOOKUP($M1023,[1]Detail!$M:$BO,45,0)</f>
        <v>-434272.98</v>
      </c>
      <c r="EH1023" s="60">
        <f t="shared" si="1176"/>
        <v>0</v>
      </c>
      <c r="EI1023" s="60">
        <f t="shared" si="1177"/>
        <v>0</v>
      </c>
      <c r="EJ1023" s="60">
        <f t="shared" si="1178"/>
        <v>0</v>
      </c>
    </row>
    <row r="1024" spans="2:140 16368:16370" ht="14.25" hidden="1" customHeight="1">
      <c r="B1024" s="99" t="s">
        <v>1579</v>
      </c>
      <c r="C1024" s="22" t="s">
        <v>1580</v>
      </c>
      <c r="D1024" s="22" t="s">
        <v>1581</v>
      </c>
      <c r="E1024" s="2" t="s">
        <v>523</v>
      </c>
      <c r="F1024" s="2" t="s">
        <v>348</v>
      </c>
      <c r="G1024" s="2" t="s">
        <v>994</v>
      </c>
      <c r="J1024" s="149" t="s">
        <v>585</v>
      </c>
      <c r="K1024" s="23" t="s">
        <v>1582</v>
      </c>
      <c r="L1024" s="149" t="s">
        <v>113</v>
      </c>
      <c r="M1024" s="51" t="str">
        <f t="shared" si="1179"/>
        <v>JD81-6F012-CA</v>
      </c>
      <c r="O1024" s="22">
        <v>1</v>
      </c>
      <c r="P1024" s="22">
        <v>1</v>
      </c>
      <c r="Q1024" s="22">
        <v>1</v>
      </c>
      <c r="R1024" s="22">
        <v>1</v>
      </c>
      <c r="S1024" s="22">
        <v>0</v>
      </c>
      <c r="T1024" s="22">
        <v>0</v>
      </c>
      <c r="U1024" s="22">
        <v>1</v>
      </c>
      <c r="V1024" s="22">
        <v>0</v>
      </c>
      <c r="W1024" s="64">
        <f t="shared" si="1091"/>
        <v>0.72000000000000008</v>
      </c>
      <c r="Y1024" s="60">
        <v>-101.3</v>
      </c>
      <c r="Z1024" s="8">
        <v>-1.9</v>
      </c>
      <c r="AA1024" s="8">
        <v>-1.73</v>
      </c>
      <c r="AB1024" s="8">
        <v>0</v>
      </c>
      <c r="AC1024" s="8">
        <v>-1.06</v>
      </c>
      <c r="AD1024" s="8">
        <f t="shared" ref="AD1024:AD1025" si="1184">SUM(Y1024:AC1024)</f>
        <v>-105.99000000000001</v>
      </c>
      <c r="AE1024" s="2" t="s">
        <v>84</v>
      </c>
      <c r="AG1024" s="8">
        <v>-791180</v>
      </c>
      <c r="AH1024" s="8">
        <f t="shared" si="1182"/>
        <v>-791180</v>
      </c>
      <c r="AJ1024" s="70">
        <f>-436726.37</f>
        <v>-436726.37</v>
      </c>
      <c r="AK1024" s="70">
        <v>413928</v>
      </c>
      <c r="AL1024" s="72"/>
      <c r="AM1024" s="22"/>
      <c r="AO1024" s="22" t="s">
        <v>585</v>
      </c>
      <c r="AP1024" s="23" t="s">
        <v>1583</v>
      </c>
      <c r="AQ1024" s="22" t="s">
        <v>113</v>
      </c>
      <c r="AR1024" s="51" t="str">
        <f t="shared" si="1090"/>
        <v>JD81-6F012-CA</v>
      </c>
      <c r="AS1024" s="3"/>
      <c r="AT1024" s="22">
        <v>0</v>
      </c>
      <c r="AU1024" s="22">
        <v>0</v>
      </c>
      <c r="AV1024" s="22">
        <v>0</v>
      </c>
      <c r="AW1024" s="22">
        <v>0</v>
      </c>
      <c r="AX1024" s="22">
        <v>1</v>
      </c>
      <c r="AY1024" s="22">
        <v>1</v>
      </c>
      <c r="AZ1024" s="22">
        <v>1</v>
      </c>
      <c r="BA1024" s="22">
        <v>1</v>
      </c>
      <c r="BB1024" s="64">
        <f t="shared" si="1113"/>
        <v>0.33</v>
      </c>
      <c r="BD1024" s="8">
        <v>-101.3</v>
      </c>
      <c r="BE1024" s="8">
        <v>-1.9</v>
      </c>
      <c r="BF1024" s="8">
        <v>-1.73</v>
      </c>
      <c r="BG1024" s="8">
        <v>0</v>
      </c>
      <c r="BH1024" s="8">
        <v>-1.06</v>
      </c>
      <c r="BI1024" s="8">
        <f t="shared" si="1181"/>
        <v>-105.99000000000001</v>
      </c>
      <c r="BJ1024" s="2" t="s">
        <v>84</v>
      </c>
      <c r="BL1024" s="8">
        <v>-791180</v>
      </c>
      <c r="BM1024" s="8">
        <f t="shared" si="1183"/>
        <v>-791180</v>
      </c>
      <c r="BN1024" s="6"/>
      <c r="BO1024" s="70">
        <f>-436726.37</f>
        <v>-436726.37</v>
      </c>
      <c r="BP1024" s="70">
        <v>413928</v>
      </c>
      <c r="BQ1024" s="72"/>
      <c r="BS1024" s="61">
        <f t="shared" si="1161"/>
        <v>0</v>
      </c>
      <c r="BT1024" s="61">
        <f t="shared" si="1162"/>
        <v>0</v>
      </c>
      <c r="BU1024" s="61">
        <f t="shared" si="1163"/>
        <v>0</v>
      </c>
      <c r="BV1024" s="61">
        <f t="shared" si="1163"/>
        <v>0</v>
      </c>
      <c r="BW1024" s="61">
        <f t="shared" si="1163"/>
        <v>0</v>
      </c>
      <c r="BX1024" s="61">
        <f t="shared" si="1163"/>
        <v>0</v>
      </c>
      <c r="BY1024" s="61" t="s">
        <v>91</v>
      </c>
      <c r="CA1024" s="61">
        <f t="shared" si="1164"/>
        <v>-15.239957875733413</v>
      </c>
      <c r="CB1024" s="61">
        <f t="shared" si="1164"/>
        <v>-15.239957875733413</v>
      </c>
      <c r="CC1024" s="61">
        <f t="shared" si="1164"/>
        <v>-15.239957875733413</v>
      </c>
      <c r="CD1024" s="61">
        <f t="shared" si="1164"/>
        <v>-15.239957875733413</v>
      </c>
      <c r="CE1024" s="61">
        <f t="shared" si="1164"/>
        <v>15.239957875733413</v>
      </c>
      <c r="CF1024" s="61">
        <f t="shared" si="1164"/>
        <v>15.239957875733413</v>
      </c>
      <c r="CG1024" s="61">
        <f t="shared" si="1164"/>
        <v>0</v>
      </c>
      <c r="CH1024" s="61">
        <f t="shared" si="1164"/>
        <v>15.239957875733413</v>
      </c>
      <c r="CI1024" s="61">
        <f t="shared" si="1165"/>
        <v>-5.9435835715360339</v>
      </c>
      <c r="CJ1024" s="61"/>
      <c r="CK1024" s="61">
        <f t="shared" si="1166"/>
        <v>-15.945539341056117</v>
      </c>
      <c r="CL1024" s="61">
        <f t="shared" si="1166"/>
        <v>-15.945539341056117</v>
      </c>
      <c r="CM1024" s="61">
        <f t="shared" si="1166"/>
        <v>-15.945539341056117</v>
      </c>
      <c r="CN1024" s="61">
        <f t="shared" si="1166"/>
        <v>-15.945539341056117</v>
      </c>
      <c r="CO1024" s="61">
        <f t="shared" si="1166"/>
        <v>15.945539341056117</v>
      </c>
      <c r="CP1024" s="61">
        <f t="shared" si="1166"/>
        <v>15.945539341056117</v>
      </c>
      <c r="CQ1024" s="61">
        <f t="shared" si="1166"/>
        <v>0</v>
      </c>
      <c r="CR1024" s="61">
        <f t="shared" si="1166"/>
        <v>15.945539341056117</v>
      </c>
      <c r="CS1024" s="61">
        <f t="shared" si="1167"/>
        <v>-6.2187603430118843</v>
      </c>
      <c r="CT1024" s="67">
        <f t="shared" si="1173"/>
        <v>-41.336099999999995</v>
      </c>
      <c r="CV1024" s="61">
        <f t="shared" si="1172"/>
        <v>0</v>
      </c>
      <c r="CW1024" s="61">
        <f t="shared" si="1169"/>
        <v>0</v>
      </c>
      <c r="CX1024" s="61"/>
      <c r="CY1024" s="61">
        <f t="shared" si="1170"/>
        <v>0</v>
      </c>
      <c r="CZ1024" s="61">
        <f t="shared" si="1170"/>
        <v>0</v>
      </c>
      <c r="DA1024" s="61">
        <f t="shared" si="1170"/>
        <v>0</v>
      </c>
      <c r="DB1024" s="2" t="s">
        <v>86</v>
      </c>
      <c r="DC1024" s="2" t="s">
        <v>85</v>
      </c>
      <c r="DD1024" s="2" t="s">
        <v>87</v>
      </c>
      <c r="DE1024" s="2" t="s">
        <v>106</v>
      </c>
      <c r="DG1024" s="62"/>
      <c r="EC1024" s="60" t="str">
        <f>VLOOKUP($M1024,[1]Detail!$M:$BO,1,0)</f>
        <v>JD81-6F012-CA</v>
      </c>
      <c r="ED1024" s="60">
        <f>VLOOKUP($M1024,[1]Detail!$M:$BO,22,0)</f>
        <v>-105.99000000000001</v>
      </c>
      <c r="EE1024" s="60">
        <f>VLOOKUP($M1024,[1]Detail!$M:$BO,42,0)</f>
        <v>-791180</v>
      </c>
      <c r="EF1024" s="60">
        <f>VLOOKUP($M1024,[1]Detail!$M:$BO,45,0)</f>
        <v>-436726.37</v>
      </c>
      <c r="EH1024" s="60">
        <f t="shared" si="1176"/>
        <v>0</v>
      </c>
      <c r="EI1024" s="60">
        <f t="shared" si="1177"/>
        <v>0</v>
      </c>
      <c r="EJ1024" s="60">
        <f t="shared" si="1178"/>
        <v>0</v>
      </c>
    </row>
    <row r="1025" spans="2:140" ht="12.75" hidden="1" customHeight="1">
      <c r="B1025" s="99" t="s">
        <v>1579</v>
      </c>
      <c r="C1025" s="22" t="s">
        <v>1580</v>
      </c>
      <c r="D1025" s="22" t="s">
        <v>1584</v>
      </c>
      <c r="E1025" s="2" t="s">
        <v>523</v>
      </c>
      <c r="F1025" s="2" t="s">
        <v>348</v>
      </c>
      <c r="G1025" s="2" t="s">
        <v>994</v>
      </c>
      <c r="J1025" s="149" t="s">
        <v>585</v>
      </c>
      <c r="K1025" s="23" t="s">
        <v>1585</v>
      </c>
      <c r="L1025" s="149" t="s">
        <v>115</v>
      </c>
      <c r="M1025" s="51" t="str">
        <f t="shared" si="1179"/>
        <v>JD81-6P093-DA</v>
      </c>
      <c r="O1025" s="22">
        <v>1</v>
      </c>
      <c r="P1025" s="22">
        <v>0</v>
      </c>
      <c r="Q1025" s="22">
        <v>1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64">
        <f t="shared" si="1091"/>
        <v>0.28000000000000003</v>
      </c>
      <c r="Y1025" s="60">
        <v>-29.21</v>
      </c>
      <c r="Z1025" s="8">
        <v>-0.9</v>
      </c>
      <c r="AA1025" s="8">
        <v>-0.53</v>
      </c>
      <c r="AB1025" s="8">
        <v>0</v>
      </c>
      <c r="AC1025" s="8">
        <v>-1.1399999999999999</v>
      </c>
      <c r="AD1025" s="8">
        <f t="shared" si="1184"/>
        <v>-31.78</v>
      </c>
      <c r="AE1025" s="2" t="s">
        <v>84</v>
      </c>
      <c r="AG1025" s="8">
        <v>-262100</v>
      </c>
      <c r="AH1025" s="8">
        <f t="shared" si="1182"/>
        <v>-262100</v>
      </c>
      <c r="AJ1025" s="70">
        <v>-183209.37</v>
      </c>
      <c r="AK1025" s="70">
        <v>160972</v>
      </c>
      <c r="AL1025" s="72"/>
      <c r="AM1025" s="22"/>
      <c r="AO1025" s="22" t="s">
        <v>585</v>
      </c>
      <c r="AP1025" s="23" t="s">
        <v>1586</v>
      </c>
      <c r="AQ1025" s="22" t="s">
        <v>115</v>
      </c>
      <c r="AR1025" s="51" t="str">
        <f t="shared" si="1090"/>
        <v>JD81-6P093-DA</v>
      </c>
      <c r="AS1025" s="3"/>
      <c r="AT1025" s="22">
        <v>0</v>
      </c>
      <c r="AU1025" s="22">
        <v>0</v>
      </c>
      <c r="AV1025" s="22">
        <v>0</v>
      </c>
      <c r="AW1025" s="22">
        <v>0</v>
      </c>
      <c r="AX1025" s="22">
        <v>1</v>
      </c>
      <c r="AY1025" s="22">
        <v>1</v>
      </c>
      <c r="AZ1025" s="22">
        <v>1</v>
      </c>
      <c r="BA1025" s="22">
        <v>1</v>
      </c>
      <c r="BB1025" s="64">
        <f t="shared" si="1113"/>
        <v>0.33</v>
      </c>
      <c r="BD1025" s="8">
        <v>-29.21</v>
      </c>
      <c r="BE1025" s="8">
        <v>-0.9</v>
      </c>
      <c r="BF1025" s="8">
        <v>-0.53</v>
      </c>
      <c r="BG1025" s="8">
        <v>0</v>
      </c>
      <c r="BH1025" s="8">
        <v>-1.1399999999999999</v>
      </c>
      <c r="BI1025" s="8">
        <f t="shared" si="1181"/>
        <v>-31.78</v>
      </c>
      <c r="BJ1025" s="2" t="s">
        <v>84</v>
      </c>
      <c r="BL1025" s="8">
        <v>-262100</v>
      </c>
      <c r="BM1025" s="8">
        <f t="shared" si="1183"/>
        <v>-262100</v>
      </c>
      <c r="BN1025" s="6"/>
      <c r="BO1025" s="70">
        <v>-183209.37</v>
      </c>
      <c r="BP1025" s="70">
        <v>160972</v>
      </c>
      <c r="BQ1025" s="72"/>
      <c r="BS1025" s="61">
        <f t="shared" si="1161"/>
        <v>0</v>
      </c>
      <c r="BT1025" s="61">
        <f t="shared" si="1162"/>
        <v>0</v>
      </c>
      <c r="BU1025" s="61">
        <f t="shared" si="1163"/>
        <v>0</v>
      </c>
      <c r="BV1025" s="61">
        <f t="shared" si="1163"/>
        <v>0</v>
      </c>
      <c r="BW1025" s="61">
        <f t="shared" si="1163"/>
        <v>0</v>
      </c>
      <c r="BX1025" s="61">
        <f t="shared" si="1163"/>
        <v>0</v>
      </c>
      <c r="BY1025" s="61" t="s">
        <v>91</v>
      </c>
      <c r="CA1025" s="61">
        <f t="shared" si="1164"/>
        <v>-4.3944636678200695</v>
      </c>
      <c r="CB1025" s="61">
        <f t="shared" si="1164"/>
        <v>0</v>
      </c>
      <c r="CC1025" s="61">
        <f t="shared" si="1164"/>
        <v>-4.3944636678200695</v>
      </c>
      <c r="CD1025" s="61">
        <f t="shared" si="1164"/>
        <v>0</v>
      </c>
      <c r="CE1025" s="61">
        <f t="shared" si="1164"/>
        <v>4.3944636678200695</v>
      </c>
      <c r="CF1025" s="61">
        <f t="shared" si="1164"/>
        <v>4.3944636678200695</v>
      </c>
      <c r="CG1025" s="61">
        <f t="shared" si="1164"/>
        <v>4.3944636678200695</v>
      </c>
      <c r="CH1025" s="61">
        <f t="shared" si="1164"/>
        <v>4.3944636678200695</v>
      </c>
      <c r="CI1025" s="61">
        <f t="shared" si="1165"/>
        <v>0.21972318339100338</v>
      </c>
      <c r="CJ1025" s="61"/>
      <c r="CK1025" s="61">
        <f t="shared" si="1166"/>
        <v>-4.7811042575598011</v>
      </c>
      <c r="CL1025" s="61">
        <f t="shared" si="1166"/>
        <v>0</v>
      </c>
      <c r="CM1025" s="61">
        <f t="shared" si="1166"/>
        <v>-4.7811042575598011</v>
      </c>
      <c r="CN1025" s="61">
        <f t="shared" si="1166"/>
        <v>0</v>
      </c>
      <c r="CO1025" s="61">
        <f t="shared" si="1166"/>
        <v>4.7811042575598011</v>
      </c>
      <c r="CP1025" s="61">
        <f t="shared" si="1166"/>
        <v>4.7811042575598011</v>
      </c>
      <c r="CQ1025" s="61">
        <f t="shared" si="1166"/>
        <v>4.7811042575598011</v>
      </c>
      <c r="CR1025" s="61">
        <f t="shared" si="1166"/>
        <v>4.7811042575598011</v>
      </c>
      <c r="CS1025" s="61">
        <f t="shared" si="1167"/>
        <v>0.23905521287798998</v>
      </c>
      <c r="CT1025" s="67">
        <f t="shared" si="1173"/>
        <v>1.5889999999999995</v>
      </c>
      <c r="CV1025" s="61">
        <f t="shared" si="1172"/>
        <v>0</v>
      </c>
      <c r="CW1025" s="61">
        <f t="shared" si="1169"/>
        <v>0</v>
      </c>
      <c r="CX1025" s="61"/>
      <c r="CY1025" s="61">
        <f t="shared" si="1170"/>
        <v>0</v>
      </c>
      <c r="CZ1025" s="61">
        <f t="shared" si="1170"/>
        <v>0</v>
      </c>
      <c r="DA1025" s="61">
        <f t="shared" si="1170"/>
        <v>0</v>
      </c>
      <c r="DB1025" s="2" t="s">
        <v>85</v>
      </c>
      <c r="DC1025" s="2" t="s">
        <v>85</v>
      </c>
      <c r="DD1025" s="2" t="s">
        <v>87</v>
      </c>
      <c r="DE1025" s="2" t="s">
        <v>106</v>
      </c>
      <c r="DF1025" s="3" t="s">
        <v>102</v>
      </c>
      <c r="DG1025" s="62">
        <v>42850</v>
      </c>
      <c r="EC1025" s="60"/>
      <c r="ED1025" s="60"/>
      <c r="EE1025" s="60"/>
      <c r="EF1025" s="60"/>
    </row>
    <row r="1026" spans="2:140" ht="12.75" hidden="1" customHeight="1">
      <c r="B1026" s="99" t="s">
        <v>1587</v>
      </c>
      <c r="C1026" s="22" t="s">
        <v>1580</v>
      </c>
      <c r="D1026" s="22" t="s">
        <v>1584</v>
      </c>
      <c r="E1026" s="2" t="s">
        <v>523</v>
      </c>
      <c r="F1026" s="2" t="s">
        <v>348</v>
      </c>
      <c r="G1026" s="2" t="s">
        <v>994</v>
      </c>
      <c r="J1026" s="149" t="s">
        <v>585</v>
      </c>
      <c r="K1026" s="23" t="s">
        <v>1585</v>
      </c>
      <c r="L1026" s="149" t="s">
        <v>758</v>
      </c>
      <c r="M1026" s="51" t="str">
        <f t="shared" si="1179"/>
        <v>JD81-6P093-DB</v>
      </c>
      <c r="O1026" s="22">
        <v>1</v>
      </c>
      <c r="P1026" s="22">
        <v>0</v>
      </c>
      <c r="Q1026" s="22">
        <v>1</v>
      </c>
      <c r="R1026" s="22">
        <v>0</v>
      </c>
      <c r="S1026" s="22">
        <v>0</v>
      </c>
      <c r="T1026" s="22">
        <v>0</v>
      </c>
      <c r="U1026" s="22">
        <v>0</v>
      </c>
      <c r="V1026" s="22">
        <v>0</v>
      </c>
      <c r="W1026" s="64">
        <f t="shared" si="1091"/>
        <v>0.28000000000000003</v>
      </c>
      <c r="Y1026" s="60">
        <f>-29.21-2.87</f>
        <v>-32.08</v>
      </c>
      <c r="Z1026" s="8">
        <v>-0.9</v>
      </c>
      <c r="AA1026" s="8">
        <v>-0.53</v>
      </c>
      <c r="AB1026" s="8">
        <v>0</v>
      </c>
      <c r="AC1026" s="8">
        <v>-1.1399999999999999</v>
      </c>
      <c r="AD1026" s="8">
        <f t="shared" ref="AD1026" si="1185">SUM(Y1026:AC1026)</f>
        <v>-34.65</v>
      </c>
      <c r="AE1026" s="2" t="s">
        <v>84</v>
      </c>
      <c r="AG1026" s="8">
        <f>-262100-36070</f>
        <v>-298170</v>
      </c>
      <c r="AH1026" s="8">
        <f t="shared" si="1182"/>
        <v>-298170</v>
      </c>
      <c r="AJ1026" s="70">
        <v>-183209.37</v>
      </c>
      <c r="AK1026" s="70">
        <v>160972</v>
      </c>
      <c r="AL1026" s="72"/>
      <c r="AM1026" s="22"/>
      <c r="AO1026" s="149" t="s">
        <v>585</v>
      </c>
      <c r="AP1026" s="23" t="s">
        <v>1585</v>
      </c>
      <c r="AQ1026" s="149" t="s">
        <v>115</v>
      </c>
      <c r="AR1026" s="51" t="str">
        <f t="shared" si="1090"/>
        <v>JD81-6P093-DA</v>
      </c>
      <c r="AS1026" s="3"/>
      <c r="AT1026" s="22">
        <v>1</v>
      </c>
      <c r="AU1026" s="22">
        <v>0</v>
      </c>
      <c r="AV1026" s="22">
        <v>1</v>
      </c>
      <c r="AW1026" s="22">
        <v>0</v>
      </c>
      <c r="AX1026" s="22">
        <v>0</v>
      </c>
      <c r="AY1026" s="22">
        <v>0</v>
      </c>
      <c r="AZ1026" s="22">
        <v>0</v>
      </c>
      <c r="BA1026" s="22">
        <v>0</v>
      </c>
      <c r="BB1026" s="64">
        <f t="shared" si="1113"/>
        <v>0.28000000000000003</v>
      </c>
      <c r="BD1026" s="60">
        <v>-29.21</v>
      </c>
      <c r="BE1026" s="8">
        <v>-0.9</v>
      </c>
      <c r="BF1026" s="8">
        <v>-0.53</v>
      </c>
      <c r="BG1026" s="8">
        <v>0</v>
      </c>
      <c r="BH1026" s="8">
        <v>-1.1399999999999999</v>
      </c>
      <c r="BI1026" s="8">
        <f t="shared" si="1181"/>
        <v>-31.78</v>
      </c>
      <c r="BJ1026" s="2" t="s">
        <v>84</v>
      </c>
      <c r="BL1026" s="8">
        <v>-262100</v>
      </c>
      <c r="BM1026" s="8">
        <f t="shared" si="1183"/>
        <v>-262100</v>
      </c>
      <c r="BO1026" s="70">
        <v>-183209.37</v>
      </c>
      <c r="BP1026" s="70">
        <v>160972</v>
      </c>
      <c r="BQ1026" s="72"/>
      <c r="BS1026" s="61">
        <f t="shared" si="1161"/>
        <v>-2.8699999999999974</v>
      </c>
      <c r="BT1026" s="61">
        <f t="shared" si="1162"/>
        <v>0</v>
      </c>
      <c r="BU1026" s="61">
        <f t="shared" si="1163"/>
        <v>0</v>
      </c>
      <c r="BV1026" s="61">
        <f t="shared" si="1163"/>
        <v>0</v>
      </c>
      <c r="BW1026" s="61">
        <f t="shared" si="1163"/>
        <v>0</v>
      </c>
      <c r="BX1026" s="61">
        <f t="shared" si="1163"/>
        <v>-2.8699999999999974</v>
      </c>
      <c r="BY1026" s="61" t="s">
        <v>91</v>
      </c>
      <c r="CA1026" s="61">
        <f t="shared" si="1164"/>
        <v>-0.43177373251090678</v>
      </c>
      <c r="CB1026" s="61">
        <f t="shared" si="1164"/>
        <v>0</v>
      </c>
      <c r="CC1026" s="61">
        <f t="shared" si="1164"/>
        <v>-0.43177373251090678</v>
      </c>
      <c r="CD1026" s="61">
        <f t="shared" si="1164"/>
        <v>0</v>
      </c>
      <c r="CE1026" s="61">
        <f t="shared" si="1164"/>
        <v>0</v>
      </c>
      <c r="CF1026" s="61">
        <f t="shared" si="1164"/>
        <v>0</v>
      </c>
      <c r="CG1026" s="61">
        <f t="shared" si="1164"/>
        <v>0</v>
      </c>
      <c r="CH1026" s="61">
        <f t="shared" si="1164"/>
        <v>0</v>
      </c>
      <c r="CI1026" s="61">
        <f t="shared" si="1165"/>
        <v>-0.12089664510305391</v>
      </c>
      <c r="CJ1026" s="61"/>
      <c r="CK1026" s="61">
        <f t="shared" si="1166"/>
        <v>-0.43177373251090678</v>
      </c>
      <c r="CL1026" s="61">
        <f t="shared" si="1166"/>
        <v>0</v>
      </c>
      <c r="CM1026" s="61">
        <f t="shared" si="1166"/>
        <v>-0.43177373251090678</v>
      </c>
      <c r="CN1026" s="61">
        <f t="shared" si="1166"/>
        <v>0</v>
      </c>
      <c r="CO1026" s="61">
        <f t="shared" si="1166"/>
        <v>0</v>
      </c>
      <c r="CP1026" s="61">
        <f t="shared" si="1166"/>
        <v>0</v>
      </c>
      <c r="CQ1026" s="61">
        <f t="shared" si="1166"/>
        <v>0</v>
      </c>
      <c r="CR1026" s="61">
        <f t="shared" si="1166"/>
        <v>0</v>
      </c>
      <c r="CS1026" s="61">
        <f t="shared" si="1167"/>
        <v>-0.12089664510305391</v>
      </c>
      <c r="CT1026" s="241">
        <f t="shared" si="1173"/>
        <v>-0.80359999999999931</v>
      </c>
      <c r="CV1026" s="61">
        <f t="shared" si="1172"/>
        <v>-36070</v>
      </c>
      <c r="CW1026" s="61">
        <f t="shared" si="1169"/>
        <v>-36070</v>
      </c>
      <c r="CX1026" s="61"/>
      <c r="CY1026" s="61">
        <f t="shared" ref="CY1026:DA1067" si="1186">SUM(AJ1026)-SUM(BO1026)</f>
        <v>0</v>
      </c>
      <c r="CZ1026" s="61">
        <f t="shared" si="1186"/>
        <v>0</v>
      </c>
      <c r="DA1026" s="61">
        <f t="shared" si="1186"/>
        <v>0</v>
      </c>
      <c r="DB1026" s="2" t="s">
        <v>86</v>
      </c>
      <c r="DC1026" s="2" t="s">
        <v>85</v>
      </c>
      <c r="DD1026" s="2" t="s">
        <v>87</v>
      </c>
      <c r="DE1026" s="2" t="s">
        <v>106</v>
      </c>
      <c r="DG1026" s="62"/>
      <c r="EC1026" s="60" t="str">
        <f>VLOOKUP($M1026,[1]Detail!$M:$BO,1,0)</f>
        <v>JD81-6P093-DB</v>
      </c>
      <c r="ED1026" s="60">
        <f>VLOOKUP($M1026,[1]Detail!$M:$BO,22,0)</f>
        <v>-34.65</v>
      </c>
      <c r="EE1026" s="60">
        <f>VLOOKUP($M1026,[1]Detail!$M:$BO,42,0)</f>
        <v>-298170</v>
      </c>
      <c r="EF1026" s="60">
        <f>VLOOKUP($M1026,[1]Detail!$M:$BO,45,0)</f>
        <v>-183209.37</v>
      </c>
      <c r="EH1026" s="60">
        <f>ED1026-AD1026</f>
        <v>0</v>
      </c>
      <c r="EI1026" s="60">
        <f>EE1026-AG1026</f>
        <v>0</v>
      </c>
      <c r="EJ1026" s="60">
        <f>EF1026-AJ1026</f>
        <v>0</v>
      </c>
    </row>
    <row r="1027" spans="2:140" ht="12.75" hidden="1" customHeight="1">
      <c r="B1027" s="99" t="s">
        <v>1588</v>
      </c>
      <c r="C1027" s="22" t="s">
        <v>1589</v>
      </c>
      <c r="D1027" s="22" t="s">
        <v>1590</v>
      </c>
      <c r="E1027" s="2" t="s">
        <v>1591</v>
      </c>
      <c r="F1027" s="2" t="s">
        <v>1025</v>
      </c>
      <c r="G1027" s="2" t="s">
        <v>994</v>
      </c>
      <c r="J1027" s="149" t="s">
        <v>898</v>
      </c>
      <c r="K1027" s="23" t="s">
        <v>1592</v>
      </c>
      <c r="L1027" s="149" t="s">
        <v>1593</v>
      </c>
      <c r="M1027" s="51" t="str">
        <f t="shared" si="1179"/>
        <v>JX6T-10300 -GA </v>
      </c>
      <c r="O1027" s="22">
        <v>0</v>
      </c>
      <c r="P1027" s="22">
        <v>0</v>
      </c>
      <c r="Q1027" s="22">
        <v>0</v>
      </c>
      <c r="R1027" s="22">
        <v>0</v>
      </c>
      <c r="S1027" s="22">
        <v>1</v>
      </c>
      <c r="T1027" s="22">
        <v>1</v>
      </c>
      <c r="U1027" s="22">
        <v>0</v>
      </c>
      <c r="V1027" s="22">
        <v>1</v>
      </c>
      <c r="W1027" s="64">
        <f t="shared" si="1091"/>
        <v>0.28000000000000003</v>
      </c>
      <c r="Y1027" s="60">
        <f t="shared" ref="Y1027:AC1030" si="1187">BD1027</f>
        <v>-515.23</v>
      </c>
      <c r="Z1027" s="8">
        <f t="shared" si="1187"/>
        <v>-3.74</v>
      </c>
      <c r="AA1027" s="8" t="str">
        <f t="shared" si="1187"/>
        <v>Milkrun</v>
      </c>
      <c r="AB1027" s="8">
        <f t="shared" si="1187"/>
        <v>0</v>
      </c>
      <c r="AC1027" s="8">
        <f t="shared" si="1187"/>
        <v>0</v>
      </c>
      <c r="AD1027" s="8">
        <f t="shared" ref="AD1027:AD1088" si="1188">SUM(Y1027:AC1027)</f>
        <v>-518.97</v>
      </c>
      <c r="AE1027" s="2" t="s">
        <v>84</v>
      </c>
      <c r="AG1027" s="8">
        <v>0</v>
      </c>
      <c r="AH1027" s="8">
        <v>-499000</v>
      </c>
      <c r="AJ1027" s="70">
        <v>0</v>
      </c>
      <c r="AK1027" s="70">
        <v>0</v>
      </c>
      <c r="AL1027" s="72"/>
      <c r="AM1027" s="22"/>
      <c r="AO1027" s="22" t="s">
        <v>898</v>
      </c>
      <c r="AP1027" s="23" t="s">
        <v>1594</v>
      </c>
      <c r="AQ1027" s="22" t="s">
        <v>1593</v>
      </c>
      <c r="AR1027" s="51" t="str">
        <f t="shared" si="1090"/>
        <v>JX6T-10300 -GA </v>
      </c>
      <c r="AS1027" s="3"/>
      <c r="AT1027" s="22">
        <v>0</v>
      </c>
      <c r="AU1027" s="22">
        <v>0</v>
      </c>
      <c r="AV1027" s="22">
        <v>0</v>
      </c>
      <c r="AW1027" s="22">
        <v>0</v>
      </c>
      <c r="AX1027" s="22">
        <v>1</v>
      </c>
      <c r="AY1027" s="22">
        <v>1</v>
      </c>
      <c r="AZ1027" s="22">
        <v>0</v>
      </c>
      <c r="BA1027" s="22">
        <v>1</v>
      </c>
      <c r="BB1027" s="64">
        <f t="shared" si="1113"/>
        <v>0.28000000000000003</v>
      </c>
      <c r="BD1027" s="8">
        <v>-515.23</v>
      </c>
      <c r="BE1027" s="8">
        <v>-3.74</v>
      </c>
      <c r="BF1027" s="8" t="s">
        <v>311</v>
      </c>
      <c r="BG1027" s="8">
        <v>0</v>
      </c>
      <c r="BH1027" s="8">
        <v>0</v>
      </c>
      <c r="BI1027" s="8">
        <f t="shared" si="1181"/>
        <v>-518.97</v>
      </c>
      <c r="BJ1027" s="2" t="s">
        <v>84</v>
      </c>
      <c r="BL1027" s="8">
        <v>0</v>
      </c>
      <c r="BM1027" s="8">
        <v>0</v>
      </c>
      <c r="BN1027" s="6"/>
      <c r="BO1027" s="70">
        <v>0</v>
      </c>
      <c r="BP1027" s="70">
        <v>0</v>
      </c>
      <c r="BQ1027" s="72">
        <v>0</v>
      </c>
      <c r="BS1027" s="61">
        <f t="shared" si="1161"/>
        <v>0</v>
      </c>
      <c r="BT1027" s="61">
        <f t="shared" si="1162"/>
        <v>0</v>
      </c>
      <c r="BU1027" s="61">
        <f t="shared" si="1163"/>
        <v>0</v>
      </c>
      <c r="BV1027" s="61">
        <f t="shared" si="1163"/>
        <v>0</v>
      </c>
      <c r="BW1027" s="61">
        <f t="shared" si="1163"/>
        <v>0</v>
      </c>
      <c r="BX1027" s="61">
        <f t="shared" si="1163"/>
        <v>0</v>
      </c>
      <c r="BY1027" s="61" t="s">
        <v>91</v>
      </c>
      <c r="CA1027" s="61">
        <f t="shared" si="1164"/>
        <v>0</v>
      </c>
      <c r="CB1027" s="61">
        <f t="shared" si="1164"/>
        <v>0</v>
      </c>
      <c r="CC1027" s="61">
        <f t="shared" si="1164"/>
        <v>0</v>
      </c>
      <c r="CD1027" s="61">
        <f t="shared" si="1164"/>
        <v>0</v>
      </c>
      <c r="CE1027" s="61">
        <f t="shared" si="1164"/>
        <v>0</v>
      </c>
      <c r="CF1027" s="61">
        <f t="shared" si="1164"/>
        <v>0</v>
      </c>
      <c r="CG1027" s="61">
        <f t="shared" si="1164"/>
        <v>0</v>
      </c>
      <c r="CH1027" s="61">
        <f t="shared" si="1164"/>
        <v>0</v>
      </c>
      <c r="CI1027" s="61">
        <f t="shared" si="1165"/>
        <v>0</v>
      </c>
      <c r="CJ1027" s="61"/>
      <c r="CK1027" s="61">
        <f t="shared" si="1166"/>
        <v>0</v>
      </c>
      <c r="CL1027" s="61">
        <f t="shared" si="1166"/>
        <v>0</v>
      </c>
      <c r="CM1027" s="61">
        <f t="shared" si="1166"/>
        <v>0</v>
      </c>
      <c r="CN1027" s="61">
        <f t="shared" si="1166"/>
        <v>0</v>
      </c>
      <c r="CO1027" s="61">
        <f t="shared" si="1166"/>
        <v>0</v>
      </c>
      <c r="CP1027" s="61">
        <f t="shared" si="1166"/>
        <v>0</v>
      </c>
      <c r="CQ1027" s="61">
        <f t="shared" si="1166"/>
        <v>0</v>
      </c>
      <c r="CR1027" s="61">
        <f t="shared" si="1166"/>
        <v>0</v>
      </c>
      <c r="CS1027" s="61">
        <f t="shared" si="1167"/>
        <v>0</v>
      </c>
      <c r="CT1027" s="67">
        <f t="shared" si="1173"/>
        <v>0</v>
      </c>
      <c r="CV1027" s="61">
        <f t="shared" si="1172"/>
        <v>0</v>
      </c>
      <c r="CW1027" s="61">
        <f t="shared" si="1169"/>
        <v>-499000</v>
      </c>
      <c r="CX1027" s="61"/>
      <c r="CY1027" s="61">
        <f t="shared" si="1186"/>
        <v>0</v>
      </c>
      <c r="CZ1027" s="61">
        <f t="shared" si="1186"/>
        <v>0</v>
      </c>
      <c r="DA1027" s="61">
        <f t="shared" si="1186"/>
        <v>0</v>
      </c>
      <c r="DB1027" s="2" t="s">
        <v>85</v>
      </c>
      <c r="DC1027" s="2" t="s">
        <v>86</v>
      </c>
      <c r="DD1027" s="2" t="s">
        <v>87</v>
      </c>
      <c r="DE1027" s="2" t="s">
        <v>169</v>
      </c>
      <c r="DG1027" s="62"/>
      <c r="DZ1027" s="3" t="e">
        <v>#N/A</v>
      </c>
      <c r="EC1027" s="60"/>
      <c r="ED1027" s="60"/>
      <c r="EE1027" s="60"/>
      <c r="EF1027" s="60"/>
    </row>
    <row r="1028" spans="2:140" ht="12.75" hidden="1" customHeight="1">
      <c r="B1028" s="99" t="s">
        <v>1588</v>
      </c>
      <c r="C1028" s="22" t="s">
        <v>1589</v>
      </c>
      <c r="D1028" s="22" t="s">
        <v>1590</v>
      </c>
      <c r="E1028" s="2" t="s">
        <v>1591</v>
      </c>
      <c r="F1028" s="2" t="s">
        <v>1025</v>
      </c>
      <c r="G1028" s="2" t="s">
        <v>994</v>
      </c>
      <c r="J1028" s="149" t="s">
        <v>898</v>
      </c>
      <c r="K1028" s="23" t="s">
        <v>1592</v>
      </c>
      <c r="L1028" s="149" t="s">
        <v>1305</v>
      </c>
      <c r="M1028" s="51" t="str">
        <f t="shared" si="1179"/>
        <v>JX6T-10300 -HA</v>
      </c>
      <c r="O1028" s="22">
        <v>1</v>
      </c>
      <c r="P1028" s="22">
        <v>1</v>
      </c>
      <c r="Q1028" s="22">
        <v>1</v>
      </c>
      <c r="R1028" s="22">
        <v>1</v>
      </c>
      <c r="S1028" s="22">
        <v>0</v>
      </c>
      <c r="T1028" s="22">
        <v>0</v>
      </c>
      <c r="U1028" s="22">
        <v>1</v>
      </c>
      <c r="V1028" s="22">
        <v>0</v>
      </c>
      <c r="W1028" s="64">
        <f t="shared" si="1091"/>
        <v>0.72000000000000008</v>
      </c>
      <c r="Y1028" s="60">
        <f t="shared" si="1187"/>
        <v>-512.58000000000004</v>
      </c>
      <c r="Z1028" s="8">
        <f t="shared" si="1187"/>
        <v>-3.74</v>
      </c>
      <c r="AA1028" s="8" t="str">
        <f t="shared" si="1187"/>
        <v>Milkrun</v>
      </c>
      <c r="AB1028" s="8">
        <f t="shared" si="1187"/>
        <v>0</v>
      </c>
      <c r="AC1028" s="8">
        <f t="shared" si="1187"/>
        <v>0</v>
      </c>
      <c r="AD1028" s="8">
        <f t="shared" si="1188"/>
        <v>-516.32000000000005</v>
      </c>
      <c r="AE1028" s="2" t="s">
        <v>84</v>
      </c>
      <c r="AG1028" s="8">
        <v>0</v>
      </c>
      <c r="AH1028" s="8">
        <v>-499000</v>
      </c>
      <c r="AJ1028" s="70">
        <v>0</v>
      </c>
      <c r="AK1028" s="70">
        <v>0</v>
      </c>
      <c r="AL1028" s="72"/>
      <c r="AM1028" s="22"/>
      <c r="AO1028" s="22" t="s">
        <v>898</v>
      </c>
      <c r="AP1028" s="23" t="s">
        <v>1594</v>
      </c>
      <c r="AQ1028" s="22" t="s">
        <v>1305</v>
      </c>
      <c r="AR1028" s="51" t="str">
        <f t="shared" si="1090"/>
        <v>JX6T-10300 -HA</v>
      </c>
      <c r="AS1028" s="3"/>
      <c r="AT1028" s="22">
        <v>1</v>
      </c>
      <c r="AU1028" s="22">
        <v>1</v>
      </c>
      <c r="AV1028" s="22">
        <v>1</v>
      </c>
      <c r="AW1028" s="22">
        <v>1</v>
      </c>
      <c r="AX1028" s="22">
        <v>0</v>
      </c>
      <c r="AY1028" s="22">
        <v>0</v>
      </c>
      <c r="AZ1028" s="22">
        <v>1</v>
      </c>
      <c r="BA1028" s="22">
        <v>0</v>
      </c>
      <c r="BB1028" s="64">
        <f t="shared" si="1113"/>
        <v>0.72000000000000008</v>
      </c>
      <c r="BD1028" s="8">
        <v>-512.58000000000004</v>
      </c>
      <c r="BE1028" s="8">
        <v>-3.74</v>
      </c>
      <c r="BF1028" s="8" t="s">
        <v>311</v>
      </c>
      <c r="BG1028" s="8">
        <v>0</v>
      </c>
      <c r="BH1028" s="8">
        <v>0</v>
      </c>
      <c r="BI1028" s="8">
        <f t="shared" si="1181"/>
        <v>-516.32000000000005</v>
      </c>
      <c r="BJ1028" s="2" t="s">
        <v>84</v>
      </c>
      <c r="BL1028" s="8">
        <v>0</v>
      </c>
      <c r="BM1028" s="8">
        <v>0</v>
      </c>
      <c r="BN1028" s="6"/>
      <c r="BO1028" s="70">
        <v>0</v>
      </c>
      <c r="BP1028" s="70">
        <v>0</v>
      </c>
      <c r="BQ1028" s="72">
        <v>0</v>
      </c>
      <c r="BS1028" s="61">
        <f t="shared" si="1161"/>
        <v>0</v>
      </c>
      <c r="BT1028" s="61">
        <f t="shared" si="1162"/>
        <v>0</v>
      </c>
      <c r="BU1028" s="61">
        <f t="shared" si="1163"/>
        <v>0</v>
      </c>
      <c r="BV1028" s="61">
        <f t="shared" si="1163"/>
        <v>0</v>
      </c>
      <c r="BW1028" s="61">
        <f t="shared" si="1163"/>
        <v>0</v>
      </c>
      <c r="BX1028" s="61">
        <f t="shared" si="1163"/>
        <v>0</v>
      </c>
      <c r="BY1028" s="61" t="s">
        <v>91</v>
      </c>
      <c r="CA1028" s="61">
        <f t="shared" si="1164"/>
        <v>0</v>
      </c>
      <c r="CB1028" s="61">
        <f t="shared" si="1164"/>
        <v>0</v>
      </c>
      <c r="CC1028" s="61">
        <f t="shared" si="1164"/>
        <v>0</v>
      </c>
      <c r="CD1028" s="61">
        <f t="shared" si="1164"/>
        <v>0</v>
      </c>
      <c r="CE1028" s="61">
        <f t="shared" si="1164"/>
        <v>0</v>
      </c>
      <c r="CF1028" s="61">
        <f t="shared" si="1164"/>
        <v>0</v>
      </c>
      <c r="CG1028" s="61">
        <f t="shared" si="1164"/>
        <v>0</v>
      </c>
      <c r="CH1028" s="61">
        <f t="shared" si="1164"/>
        <v>0</v>
      </c>
      <c r="CI1028" s="61">
        <f t="shared" si="1165"/>
        <v>0</v>
      </c>
      <c r="CJ1028" s="61"/>
      <c r="CK1028" s="61">
        <f t="shared" si="1166"/>
        <v>0</v>
      </c>
      <c r="CL1028" s="61">
        <f t="shared" si="1166"/>
        <v>0</v>
      </c>
      <c r="CM1028" s="61">
        <f t="shared" si="1166"/>
        <v>0</v>
      </c>
      <c r="CN1028" s="61">
        <f t="shared" si="1166"/>
        <v>0</v>
      </c>
      <c r="CO1028" s="61">
        <f t="shared" si="1166"/>
        <v>0</v>
      </c>
      <c r="CP1028" s="61">
        <f t="shared" si="1166"/>
        <v>0</v>
      </c>
      <c r="CQ1028" s="61">
        <f t="shared" si="1166"/>
        <v>0</v>
      </c>
      <c r="CR1028" s="61">
        <f t="shared" si="1166"/>
        <v>0</v>
      </c>
      <c r="CS1028" s="61">
        <f t="shared" si="1167"/>
        <v>0</v>
      </c>
      <c r="CT1028" s="67">
        <f t="shared" si="1173"/>
        <v>0</v>
      </c>
      <c r="CV1028" s="61">
        <f t="shared" si="1172"/>
        <v>0</v>
      </c>
      <c r="CW1028" s="61">
        <f t="shared" si="1169"/>
        <v>-499000</v>
      </c>
      <c r="CX1028" s="61"/>
      <c r="CY1028" s="61">
        <f t="shared" si="1186"/>
        <v>0</v>
      </c>
      <c r="CZ1028" s="61">
        <f t="shared" si="1186"/>
        <v>0</v>
      </c>
      <c r="DA1028" s="61">
        <f t="shared" si="1186"/>
        <v>0</v>
      </c>
      <c r="DB1028" s="2" t="s">
        <v>85</v>
      </c>
      <c r="DC1028" s="2" t="s">
        <v>86</v>
      </c>
      <c r="DD1028" s="2" t="s">
        <v>87</v>
      </c>
      <c r="DE1028" s="2" t="s">
        <v>169</v>
      </c>
      <c r="DG1028" s="62"/>
      <c r="DZ1028" s="3" t="e">
        <v>#N/A</v>
      </c>
      <c r="EC1028" s="60"/>
      <c r="ED1028" s="60"/>
      <c r="EE1028" s="60"/>
      <c r="EF1028" s="60"/>
    </row>
    <row r="1029" spans="2:140" s="87" customFormat="1" ht="12.75" hidden="1" customHeight="1">
      <c r="B1029" s="99" t="s">
        <v>1595</v>
      </c>
      <c r="C1029" s="85" t="s">
        <v>1596</v>
      </c>
      <c r="D1029" s="85" t="s">
        <v>1597</v>
      </c>
      <c r="E1029" s="55" t="s">
        <v>1598</v>
      </c>
      <c r="F1029" s="55" t="s">
        <v>969</v>
      </c>
      <c r="G1029" s="87" t="s">
        <v>994</v>
      </c>
      <c r="J1029" s="149" t="s">
        <v>898</v>
      </c>
      <c r="K1029" s="23" t="s">
        <v>1599</v>
      </c>
      <c r="L1029" s="85" t="s">
        <v>1600</v>
      </c>
      <c r="M1029" s="242" t="str">
        <f t="shared" si="1179"/>
        <v>JX6T-10300 -GB</v>
      </c>
      <c r="N1029" s="3"/>
      <c r="O1029" s="171">
        <v>0</v>
      </c>
      <c r="P1029" s="171">
        <v>0</v>
      </c>
      <c r="Q1029" s="171">
        <v>0</v>
      </c>
      <c r="R1029" s="171">
        <v>0</v>
      </c>
      <c r="S1029" s="171">
        <v>1</v>
      </c>
      <c r="T1029" s="171">
        <v>1</v>
      </c>
      <c r="U1029" s="171">
        <v>0</v>
      </c>
      <c r="V1029" s="171">
        <v>1</v>
      </c>
      <c r="W1029" s="92">
        <f t="shared" si="1091"/>
        <v>0.28000000000000003</v>
      </c>
      <c r="Y1029" s="60">
        <f t="shared" si="1187"/>
        <v>-515.23</v>
      </c>
      <c r="Z1029" s="60">
        <f t="shared" si="1187"/>
        <v>-3.74</v>
      </c>
      <c r="AA1029" s="60" t="str">
        <f t="shared" si="1187"/>
        <v>Milkrun</v>
      </c>
      <c r="AB1029" s="60">
        <f t="shared" si="1187"/>
        <v>0</v>
      </c>
      <c r="AC1029" s="60">
        <f t="shared" si="1187"/>
        <v>0</v>
      </c>
      <c r="AD1029" s="243">
        <f t="shared" ref="AD1029:AD1030" si="1189">SUM(Y1029:AC1029)</f>
        <v>-518.97</v>
      </c>
      <c r="AE1029" s="87" t="s">
        <v>84</v>
      </c>
      <c r="AG1029" s="71">
        <v>0</v>
      </c>
      <c r="AH1029" s="71">
        <v>-499000</v>
      </c>
      <c r="AJ1029" s="71">
        <v>0</v>
      </c>
      <c r="AK1029" s="71">
        <v>0</v>
      </c>
      <c r="AL1029" s="72"/>
      <c r="AM1029" s="85"/>
      <c r="AO1029" s="149" t="s">
        <v>1601</v>
      </c>
      <c r="AP1029" s="85" t="s">
        <v>1599</v>
      </c>
      <c r="AQ1029" s="85" t="s">
        <v>1602</v>
      </c>
      <c r="AR1029" s="242" t="s">
        <v>1603</v>
      </c>
      <c r="AS1029" s="3"/>
      <c r="AT1029" s="171">
        <v>0</v>
      </c>
      <c r="AU1029" s="171">
        <v>0</v>
      </c>
      <c r="AV1029" s="171">
        <v>0</v>
      </c>
      <c r="AW1029" s="171">
        <v>0</v>
      </c>
      <c r="AX1029" s="171">
        <v>1</v>
      </c>
      <c r="AY1029" s="171">
        <v>1</v>
      </c>
      <c r="AZ1029" s="171">
        <v>0</v>
      </c>
      <c r="BA1029" s="171">
        <v>1</v>
      </c>
      <c r="BB1029" s="92">
        <v>0.28000000000000003</v>
      </c>
      <c r="BD1029" s="60">
        <v>-515.23</v>
      </c>
      <c r="BE1029" s="60">
        <v>-3.74</v>
      </c>
      <c r="BF1029" s="95" t="s">
        <v>1604</v>
      </c>
      <c r="BG1029" s="95">
        <v>0</v>
      </c>
      <c r="BH1029" s="95">
        <v>0</v>
      </c>
      <c r="BI1029" s="243">
        <f t="shared" ref="BI1029:BI1030" si="1190">SUM(BD1029:BH1029)</f>
        <v>-518.97</v>
      </c>
      <c r="BJ1029" s="87" t="s">
        <v>84</v>
      </c>
      <c r="BL1029" s="71">
        <v>0</v>
      </c>
      <c r="BM1029" s="71">
        <v>-499000</v>
      </c>
      <c r="BO1029" s="71">
        <v>0</v>
      </c>
      <c r="BP1029" s="71">
        <v>0</v>
      </c>
      <c r="BQ1029" s="72">
        <v>0</v>
      </c>
      <c r="BS1029" s="61">
        <f t="shared" si="1161"/>
        <v>0</v>
      </c>
      <c r="BT1029" s="61">
        <f t="shared" si="1162"/>
        <v>0</v>
      </c>
      <c r="BU1029" s="61">
        <f t="shared" si="1163"/>
        <v>0</v>
      </c>
      <c r="BV1029" s="61">
        <f t="shared" si="1163"/>
        <v>0</v>
      </c>
      <c r="BW1029" s="61">
        <f t="shared" si="1163"/>
        <v>0</v>
      </c>
      <c r="BX1029" s="61">
        <f t="shared" si="1163"/>
        <v>0</v>
      </c>
      <c r="BY1029" s="61" t="s">
        <v>91</v>
      </c>
      <c r="CA1029" s="61">
        <f t="shared" si="1164"/>
        <v>0</v>
      </c>
      <c r="CB1029" s="61">
        <f t="shared" si="1164"/>
        <v>0</v>
      </c>
      <c r="CC1029" s="61">
        <f t="shared" si="1164"/>
        <v>0</v>
      </c>
      <c r="CD1029" s="61">
        <f t="shared" si="1164"/>
        <v>0</v>
      </c>
      <c r="CE1029" s="61">
        <f t="shared" si="1164"/>
        <v>0</v>
      </c>
      <c r="CF1029" s="61">
        <f t="shared" si="1164"/>
        <v>0</v>
      </c>
      <c r="CG1029" s="61">
        <f t="shared" si="1164"/>
        <v>0</v>
      </c>
      <c r="CH1029" s="61">
        <f t="shared" si="1164"/>
        <v>0</v>
      </c>
      <c r="CI1029" s="61">
        <f t="shared" si="1165"/>
        <v>0</v>
      </c>
      <c r="CJ1029" s="61"/>
      <c r="CK1029" s="61">
        <f t="shared" si="1166"/>
        <v>0</v>
      </c>
      <c r="CL1029" s="61">
        <f t="shared" si="1166"/>
        <v>0</v>
      </c>
      <c r="CM1029" s="61">
        <f t="shared" si="1166"/>
        <v>0</v>
      </c>
      <c r="CN1029" s="61">
        <f t="shared" si="1166"/>
        <v>0</v>
      </c>
      <c r="CO1029" s="61">
        <f t="shared" si="1166"/>
        <v>0</v>
      </c>
      <c r="CP1029" s="61">
        <f t="shared" si="1166"/>
        <v>0</v>
      </c>
      <c r="CQ1029" s="61">
        <f t="shared" si="1166"/>
        <v>0</v>
      </c>
      <c r="CR1029" s="61">
        <f t="shared" si="1166"/>
        <v>0</v>
      </c>
      <c r="CS1029" s="61">
        <f t="shared" si="1167"/>
        <v>0</v>
      </c>
      <c r="CT1029" s="67">
        <f t="shared" si="1173"/>
        <v>0</v>
      </c>
      <c r="CU1029" s="2"/>
      <c r="CV1029" s="61">
        <f t="shared" si="1172"/>
        <v>0</v>
      </c>
      <c r="CW1029" s="61">
        <f t="shared" si="1169"/>
        <v>0</v>
      </c>
      <c r="CX1029" s="61"/>
      <c r="CY1029" s="61">
        <f t="shared" si="1186"/>
        <v>0</v>
      </c>
      <c r="CZ1029" s="61">
        <f t="shared" si="1186"/>
        <v>0</v>
      </c>
      <c r="DA1029" s="61">
        <f t="shared" si="1186"/>
        <v>0</v>
      </c>
      <c r="DB1029" s="2" t="s">
        <v>86</v>
      </c>
      <c r="DC1029" s="2" t="s">
        <v>85</v>
      </c>
      <c r="DD1029" s="2" t="s">
        <v>87</v>
      </c>
      <c r="DE1029" s="2" t="s">
        <v>169</v>
      </c>
      <c r="DF1029" s="3" t="s">
        <v>86</v>
      </c>
      <c r="DG1029" s="145">
        <v>43047</v>
      </c>
      <c r="DZ1029" s="3"/>
      <c r="EC1029" s="60" t="str">
        <f>VLOOKUP($M1029,[1]Detail!$M:$BO,1,0)</f>
        <v>JX6T-10300 -GB</v>
      </c>
      <c r="ED1029" s="60">
        <f>VLOOKUP($M1029,[1]Detail!$M:$BO,22,0)</f>
        <v>-518.97</v>
      </c>
      <c r="EE1029" s="60">
        <f>VLOOKUP($M1029,[1]Detail!$M:$BO,42,0)</f>
        <v>0</v>
      </c>
      <c r="EF1029" s="60">
        <f>VLOOKUP($M1029,[1]Detail!$M:$BO,45,0)</f>
        <v>0</v>
      </c>
      <c r="EH1029" s="60">
        <f t="shared" ref="EH1029:EH1030" si="1191">ED1029-AD1029</f>
        <v>0</v>
      </c>
      <c r="EI1029" s="60">
        <f t="shared" ref="EI1029:EI1030" si="1192">EE1029-AG1029</f>
        <v>0</v>
      </c>
      <c r="EJ1029" s="60">
        <f t="shared" ref="EJ1029:EJ1030" si="1193">EF1029-AJ1029</f>
        <v>0</v>
      </c>
    </row>
    <row r="1030" spans="2:140" s="87" customFormat="1" ht="12.75" hidden="1" customHeight="1">
      <c r="B1030" s="99" t="s">
        <v>1595</v>
      </c>
      <c r="C1030" s="85" t="s">
        <v>1596</v>
      </c>
      <c r="D1030" s="85" t="s">
        <v>1597</v>
      </c>
      <c r="E1030" s="55" t="s">
        <v>1598</v>
      </c>
      <c r="F1030" s="55" t="s">
        <v>969</v>
      </c>
      <c r="G1030" s="87" t="s">
        <v>994</v>
      </c>
      <c r="J1030" s="149" t="s">
        <v>898</v>
      </c>
      <c r="K1030" s="23" t="s">
        <v>1599</v>
      </c>
      <c r="L1030" s="85" t="s">
        <v>1605</v>
      </c>
      <c r="M1030" s="242" t="str">
        <f t="shared" si="1179"/>
        <v>JX6T-10300 -HB</v>
      </c>
      <c r="N1030" s="3"/>
      <c r="O1030" s="85">
        <v>1</v>
      </c>
      <c r="P1030" s="85">
        <v>1</v>
      </c>
      <c r="Q1030" s="85">
        <v>1</v>
      </c>
      <c r="R1030" s="85">
        <v>1</v>
      </c>
      <c r="S1030" s="85">
        <v>0</v>
      </c>
      <c r="T1030" s="85">
        <v>0</v>
      </c>
      <c r="U1030" s="85">
        <v>1</v>
      </c>
      <c r="V1030" s="85">
        <v>0</v>
      </c>
      <c r="W1030" s="92">
        <f t="shared" si="1091"/>
        <v>0.72000000000000008</v>
      </c>
      <c r="Y1030" s="60">
        <f t="shared" si="1187"/>
        <v>-512.58000000000004</v>
      </c>
      <c r="Z1030" s="60">
        <f t="shared" si="1187"/>
        <v>-3.74</v>
      </c>
      <c r="AA1030" s="60" t="str">
        <f t="shared" si="1187"/>
        <v>Milkrun</v>
      </c>
      <c r="AB1030" s="60">
        <f t="shared" si="1187"/>
        <v>0</v>
      </c>
      <c r="AC1030" s="60">
        <f t="shared" si="1187"/>
        <v>0</v>
      </c>
      <c r="AD1030" s="243">
        <f t="shared" si="1189"/>
        <v>-516.32000000000005</v>
      </c>
      <c r="AE1030" s="87" t="s">
        <v>84</v>
      </c>
      <c r="AG1030" s="71">
        <v>0</v>
      </c>
      <c r="AH1030" s="71">
        <v>-499000</v>
      </c>
      <c r="AJ1030" s="71">
        <v>0</v>
      </c>
      <c r="AK1030" s="71">
        <v>0</v>
      </c>
      <c r="AL1030" s="72"/>
      <c r="AM1030" s="85"/>
      <c r="AO1030" s="149" t="s">
        <v>1601</v>
      </c>
      <c r="AP1030" s="85" t="s">
        <v>1599</v>
      </c>
      <c r="AQ1030" s="85" t="s">
        <v>1606</v>
      </c>
      <c r="AR1030" s="242" t="s">
        <v>1607</v>
      </c>
      <c r="AS1030" s="3"/>
      <c r="AT1030" s="85">
        <v>1</v>
      </c>
      <c r="AU1030" s="85">
        <v>1</v>
      </c>
      <c r="AV1030" s="85">
        <v>1</v>
      </c>
      <c r="AW1030" s="85">
        <v>1</v>
      </c>
      <c r="AX1030" s="85">
        <v>0</v>
      </c>
      <c r="AY1030" s="85">
        <v>0</v>
      </c>
      <c r="AZ1030" s="85">
        <v>1</v>
      </c>
      <c r="BA1030" s="85">
        <v>0</v>
      </c>
      <c r="BB1030" s="92">
        <v>0.72000000000000008</v>
      </c>
      <c r="BD1030" s="60">
        <v>-512.58000000000004</v>
      </c>
      <c r="BE1030" s="60">
        <v>-3.74</v>
      </c>
      <c r="BF1030" s="95" t="s">
        <v>1604</v>
      </c>
      <c r="BG1030" s="95">
        <v>0</v>
      </c>
      <c r="BH1030" s="95">
        <v>0</v>
      </c>
      <c r="BI1030" s="243">
        <f t="shared" si="1190"/>
        <v>-516.32000000000005</v>
      </c>
      <c r="BJ1030" s="87" t="s">
        <v>84</v>
      </c>
      <c r="BL1030" s="71">
        <v>0</v>
      </c>
      <c r="BM1030" s="71">
        <v>-499000</v>
      </c>
      <c r="BO1030" s="71">
        <v>0</v>
      </c>
      <c r="BP1030" s="71">
        <v>0</v>
      </c>
      <c r="BQ1030" s="72">
        <v>0</v>
      </c>
      <c r="BS1030" s="61">
        <f t="shared" si="1161"/>
        <v>0</v>
      </c>
      <c r="BT1030" s="61">
        <f t="shared" si="1162"/>
        <v>0</v>
      </c>
      <c r="BU1030" s="61">
        <f t="shared" si="1163"/>
        <v>0</v>
      </c>
      <c r="BV1030" s="61">
        <f t="shared" si="1163"/>
        <v>0</v>
      </c>
      <c r="BW1030" s="61">
        <f t="shared" si="1163"/>
        <v>0</v>
      </c>
      <c r="BX1030" s="61">
        <f t="shared" si="1163"/>
        <v>0</v>
      </c>
      <c r="BY1030" s="61" t="s">
        <v>91</v>
      </c>
      <c r="CA1030" s="61">
        <f t="shared" si="1164"/>
        <v>0</v>
      </c>
      <c r="CB1030" s="61">
        <f t="shared" si="1164"/>
        <v>0</v>
      </c>
      <c r="CC1030" s="61">
        <f t="shared" si="1164"/>
        <v>0</v>
      </c>
      <c r="CD1030" s="61">
        <f t="shared" si="1164"/>
        <v>0</v>
      </c>
      <c r="CE1030" s="61">
        <f t="shared" si="1164"/>
        <v>0</v>
      </c>
      <c r="CF1030" s="61">
        <f t="shared" si="1164"/>
        <v>0</v>
      </c>
      <c r="CG1030" s="61">
        <f t="shared" si="1164"/>
        <v>0</v>
      </c>
      <c r="CH1030" s="61">
        <f t="shared" si="1164"/>
        <v>0</v>
      </c>
      <c r="CI1030" s="61">
        <f t="shared" si="1165"/>
        <v>0</v>
      </c>
      <c r="CJ1030" s="61"/>
      <c r="CK1030" s="61">
        <f t="shared" si="1166"/>
        <v>0</v>
      </c>
      <c r="CL1030" s="61">
        <f t="shared" si="1166"/>
        <v>0</v>
      </c>
      <c r="CM1030" s="61">
        <f t="shared" si="1166"/>
        <v>0</v>
      </c>
      <c r="CN1030" s="61">
        <f t="shared" si="1166"/>
        <v>0</v>
      </c>
      <c r="CO1030" s="61">
        <f t="shared" si="1166"/>
        <v>0</v>
      </c>
      <c r="CP1030" s="61">
        <f t="shared" si="1166"/>
        <v>0</v>
      </c>
      <c r="CQ1030" s="61">
        <f t="shared" si="1166"/>
        <v>0</v>
      </c>
      <c r="CR1030" s="61">
        <f t="shared" si="1166"/>
        <v>0</v>
      </c>
      <c r="CS1030" s="61">
        <f t="shared" si="1167"/>
        <v>0</v>
      </c>
      <c r="CT1030" s="67">
        <f t="shared" si="1173"/>
        <v>0</v>
      </c>
      <c r="CU1030" s="2"/>
      <c r="CV1030" s="61">
        <f t="shared" si="1172"/>
        <v>0</v>
      </c>
      <c r="CW1030" s="61">
        <f t="shared" si="1169"/>
        <v>0</v>
      </c>
      <c r="CX1030" s="61"/>
      <c r="CY1030" s="61">
        <f t="shared" si="1186"/>
        <v>0</v>
      </c>
      <c r="CZ1030" s="61">
        <f t="shared" si="1186"/>
        <v>0</v>
      </c>
      <c r="DA1030" s="61">
        <f t="shared" si="1186"/>
        <v>0</v>
      </c>
      <c r="DB1030" s="2" t="s">
        <v>86</v>
      </c>
      <c r="DC1030" s="2" t="s">
        <v>85</v>
      </c>
      <c r="DD1030" s="2" t="s">
        <v>87</v>
      </c>
      <c r="DE1030" s="2" t="s">
        <v>169</v>
      </c>
      <c r="DF1030" s="3" t="s">
        <v>86</v>
      </c>
      <c r="DG1030" s="145">
        <v>43047</v>
      </c>
      <c r="DZ1030" s="3"/>
      <c r="EC1030" s="60" t="str">
        <f>VLOOKUP($M1030,[1]Detail!$M:$BO,1,0)</f>
        <v>JX6T-10300 -HB</v>
      </c>
      <c r="ED1030" s="60">
        <f>VLOOKUP($M1030,[1]Detail!$M:$BO,22,0)</f>
        <v>-516.32000000000005</v>
      </c>
      <c r="EE1030" s="60">
        <f>VLOOKUP($M1030,[1]Detail!$M:$BO,42,0)</f>
        <v>0</v>
      </c>
      <c r="EF1030" s="60">
        <f>VLOOKUP($M1030,[1]Detail!$M:$BO,45,0)</f>
        <v>0</v>
      </c>
      <c r="EH1030" s="60">
        <f t="shared" si="1191"/>
        <v>0</v>
      </c>
      <c r="EI1030" s="60">
        <f t="shared" si="1192"/>
        <v>0</v>
      </c>
      <c r="EJ1030" s="60">
        <f t="shared" si="1193"/>
        <v>0</v>
      </c>
    </row>
    <row r="1031" spans="2:140" ht="12.75" hidden="1" customHeight="1">
      <c r="B1031" s="99" t="s">
        <v>1608</v>
      </c>
      <c r="C1031" s="22" t="s">
        <v>1609</v>
      </c>
      <c r="D1031" s="22" t="s">
        <v>1610</v>
      </c>
      <c r="E1031" s="2" t="s">
        <v>338</v>
      </c>
      <c r="F1031" s="2" t="s">
        <v>330</v>
      </c>
      <c r="G1031" s="2" t="s">
        <v>994</v>
      </c>
      <c r="J1031" s="149" t="s">
        <v>98</v>
      </c>
      <c r="K1031" s="23" t="s">
        <v>1611</v>
      </c>
      <c r="L1031" s="149" t="s">
        <v>100</v>
      </c>
      <c r="M1031" s="51" t="str">
        <f t="shared" si="1179"/>
        <v>JD8C-2B373-AA</v>
      </c>
      <c r="O1031" s="94">
        <v>1</v>
      </c>
      <c r="P1031" s="94">
        <v>1</v>
      </c>
      <c r="Q1031" s="94">
        <v>1</v>
      </c>
      <c r="R1031" s="94">
        <v>0</v>
      </c>
      <c r="S1031" s="94">
        <v>1</v>
      </c>
      <c r="T1031" s="94">
        <v>0</v>
      </c>
      <c r="U1031" s="94">
        <v>0</v>
      </c>
      <c r="V1031" s="94">
        <v>0</v>
      </c>
      <c r="W1031" s="64">
        <f t="shared" si="1091"/>
        <v>0.53</v>
      </c>
      <c r="Y1031" s="60">
        <v>-637.6</v>
      </c>
      <c r="Z1031" s="60">
        <v>-3.8</v>
      </c>
      <c r="AA1031" s="60">
        <v>-13.2</v>
      </c>
      <c r="AB1031" s="60">
        <v>0</v>
      </c>
      <c r="AC1031" s="60">
        <v>0</v>
      </c>
      <c r="AD1031" s="8">
        <f t="shared" si="1188"/>
        <v>-654.6</v>
      </c>
      <c r="AE1031" s="2" t="s">
        <v>84</v>
      </c>
      <c r="AG1031" s="70">
        <v>0</v>
      </c>
      <c r="AH1031" s="70">
        <v>0</v>
      </c>
      <c r="AK1031" s="70"/>
      <c r="AL1031" s="70">
        <v>-7128168</v>
      </c>
      <c r="AM1031" s="22"/>
      <c r="AO1031" s="22" t="s">
        <v>1612</v>
      </c>
      <c r="AP1031" s="85" t="s">
        <v>1613</v>
      </c>
      <c r="AQ1031" s="22" t="s">
        <v>924</v>
      </c>
      <c r="AR1031" s="51" t="str">
        <f t="shared" si="1090"/>
        <v>E3B1-2M110 -CC</v>
      </c>
      <c r="AS1031" s="3"/>
      <c r="AT1031" s="94">
        <v>1</v>
      </c>
      <c r="AU1031" s="94">
        <v>1</v>
      </c>
      <c r="AV1031" s="94">
        <v>1</v>
      </c>
      <c r="AW1031" s="94">
        <v>0</v>
      </c>
      <c r="AX1031" s="94">
        <v>1</v>
      </c>
      <c r="AY1031" s="94">
        <v>0</v>
      </c>
      <c r="AZ1031" s="94">
        <v>0</v>
      </c>
      <c r="BA1031" s="94">
        <v>0</v>
      </c>
      <c r="BB1031" s="64">
        <f t="shared" ref="BB1031:BB1041" si="1194">SUMPRODUCT(AT1031:BA1031,$O$6:$V$6)</f>
        <v>0.53</v>
      </c>
      <c r="BD1031" s="60">
        <f>Y1031+284.74</f>
        <v>-352.86</v>
      </c>
      <c r="BE1031" s="60">
        <f t="shared" ref="BE1031:BH1033" si="1195">Z1031</f>
        <v>-3.8</v>
      </c>
      <c r="BF1031" s="60">
        <f t="shared" si="1195"/>
        <v>-13.2</v>
      </c>
      <c r="BG1031" s="60">
        <f t="shared" si="1195"/>
        <v>0</v>
      </c>
      <c r="BH1031" s="60">
        <f t="shared" si="1195"/>
        <v>0</v>
      </c>
      <c r="BI1031" s="8">
        <f t="shared" si="1181"/>
        <v>-369.86</v>
      </c>
      <c r="BJ1031" s="2" t="s">
        <v>84</v>
      </c>
      <c r="BL1031" s="70"/>
      <c r="BM1031" s="70"/>
      <c r="BO1031" s="70"/>
      <c r="BP1031" s="70"/>
      <c r="BQ1031" s="72"/>
      <c r="BS1031" s="61">
        <f t="shared" si="1161"/>
        <v>-284.74</v>
      </c>
      <c r="BT1031" s="61">
        <f t="shared" si="1162"/>
        <v>0</v>
      </c>
      <c r="BU1031" s="61">
        <f t="shared" si="1163"/>
        <v>0</v>
      </c>
      <c r="BV1031" s="61">
        <f t="shared" si="1163"/>
        <v>0</v>
      </c>
      <c r="BW1031" s="61">
        <f t="shared" si="1163"/>
        <v>0</v>
      </c>
      <c r="BX1031" s="61">
        <f t="shared" si="1163"/>
        <v>-284.74</v>
      </c>
      <c r="BY1031" s="61" t="s">
        <v>91</v>
      </c>
      <c r="CA1031" s="61">
        <f t="shared" si="1164"/>
        <v>-42.837370242214533</v>
      </c>
      <c r="CB1031" s="61">
        <f t="shared" si="1164"/>
        <v>-42.837370242214533</v>
      </c>
      <c r="CC1031" s="61">
        <f t="shared" si="1164"/>
        <v>-42.837370242214533</v>
      </c>
      <c r="CD1031" s="61">
        <f t="shared" si="1164"/>
        <v>0</v>
      </c>
      <c r="CE1031" s="61">
        <f t="shared" si="1164"/>
        <v>-42.837370242214533</v>
      </c>
      <c r="CF1031" s="61">
        <f t="shared" si="1164"/>
        <v>0</v>
      </c>
      <c r="CG1031" s="61">
        <f t="shared" si="1164"/>
        <v>0</v>
      </c>
      <c r="CH1031" s="61">
        <f t="shared" si="1164"/>
        <v>0</v>
      </c>
      <c r="CI1031" s="61">
        <f t="shared" si="1165"/>
        <v>-22.703806228373708</v>
      </c>
      <c r="CJ1031" s="61"/>
      <c r="CK1031" s="61">
        <f t="shared" si="1166"/>
        <v>-42.837370242214533</v>
      </c>
      <c r="CL1031" s="61">
        <f t="shared" si="1166"/>
        <v>-42.837370242214533</v>
      </c>
      <c r="CM1031" s="61">
        <f t="shared" si="1166"/>
        <v>-42.837370242214533</v>
      </c>
      <c r="CN1031" s="61">
        <f t="shared" si="1166"/>
        <v>0</v>
      </c>
      <c r="CO1031" s="61">
        <f t="shared" si="1166"/>
        <v>-42.837370242214533</v>
      </c>
      <c r="CP1031" s="61">
        <f t="shared" si="1166"/>
        <v>0</v>
      </c>
      <c r="CQ1031" s="61">
        <f t="shared" si="1166"/>
        <v>0</v>
      </c>
      <c r="CR1031" s="61">
        <f t="shared" si="1166"/>
        <v>0</v>
      </c>
      <c r="CS1031" s="61">
        <f t="shared" si="1167"/>
        <v>-22.703806228373708</v>
      </c>
      <c r="CT1031" s="67">
        <f t="shared" si="1173"/>
        <v>-150.91220000000004</v>
      </c>
      <c r="CV1031" s="61">
        <f t="shared" si="1172"/>
        <v>0</v>
      </c>
      <c r="CW1031" s="61">
        <f t="shared" si="1169"/>
        <v>0</v>
      </c>
      <c r="CX1031" s="61"/>
      <c r="CY1031" s="61">
        <f t="shared" si="1186"/>
        <v>0</v>
      </c>
      <c r="CZ1031" s="61">
        <f t="shared" si="1186"/>
        <v>0</v>
      </c>
      <c r="DA1031" s="61">
        <f t="shared" si="1186"/>
        <v>-7128168</v>
      </c>
      <c r="DB1031" s="2" t="s">
        <v>85</v>
      </c>
      <c r="DC1031" s="2" t="s">
        <v>86</v>
      </c>
      <c r="DD1031" s="2" t="s">
        <v>87</v>
      </c>
      <c r="DE1031" s="2" t="s">
        <v>169</v>
      </c>
      <c r="DF1031" s="3" t="s">
        <v>86</v>
      </c>
      <c r="DG1031" s="62">
        <v>43060</v>
      </c>
      <c r="EC1031" s="60"/>
      <c r="ED1031" s="60"/>
      <c r="EE1031" s="60"/>
      <c r="EF1031" s="60"/>
    </row>
    <row r="1032" spans="2:140" ht="12.75" hidden="1" customHeight="1">
      <c r="B1032" s="99" t="s">
        <v>1614</v>
      </c>
      <c r="C1032" s="22" t="s">
        <v>1609</v>
      </c>
      <c r="D1032" s="22" t="s">
        <v>1610</v>
      </c>
      <c r="E1032" s="2" t="s">
        <v>338</v>
      </c>
      <c r="F1032" s="2" t="s">
        <v>330</v>
      </c>
      <c r="G1032" s="2" t="s">
        <v>994</v>
      </c>
      <c r="J1032" s="149" t="s">
        <v>98</v>
      </c>
      <c r="K1032" s="23" t="s">
        <v>1611</v>
      </c>
      <c r="L1032" s="149" t="s">
        <v>100</v>
      </c>
      <c r="M1032" s="51" t="str">
        <f t="shared" si="1179"/>
        <v>JD8C-2B373-AA</v>
      </c>
      <c r="O1032" s="94">
        <v>0</v>
      </c>
      <c r="P1032" s="94">
        <v>0</v>
      </c>
      <c r="Q1032" s="94">
        <v>0</v>
      </c>
      <c r="R1032" s="94">
        <v>1</v>
      </c>
      <c r="S1032" s="94">
        <v>0</v>
      </c>
      <c r="T1032" s="94">
        <v>1</v>
      </c>
      <c r="U1032" s="94">
        <v>1</v>
      </c>
      <c r="V1032" s="94">
        <v>1</v>
      </c>
      <c r="W1032" s="64">
        <f t="shared" si="1091"/>
        <v>0.47</v>
      </c>
      <c r="Y1032" s="60">
        <v>-637.6</v>
      </c>
      <c r="Z1032" s="60">
        <v>-3.8</v>
      </c>
      <c r="AA1032" s="60">
        <v>-13.2</v>
      </c>
      <c r="AB1032" s="60"/>
      <c r="AC1032" s="60"/>
      <c r="AD1032" s="8">
        <f t="shared" si="1188"/>
        <v>-654.6</v>
      </c>
      <c r="AE1032" s="2" t="s">
        <v>84</v>
      </c>
      <c r="AG1032" s="70">
        <v>0</v>
      </c>
      <c r="AH1032" s="70">
        <v>0</v>
      </c>
      <c r="AJ1032" s="70"/>
      <c r="AK1032" s="70"/>
      <c r="AL1032" s="72" t="s">
        <v>1615</v>
      </c>
      <c r="AM1032" s="22"/>
      <c r="AO1032" s="22" t="s">
        <v>1612</v>
      </c>
      <c r="AP1032" s="85" t="s">
        <v>1616</v>
      </c>
      <c r="AQ1032" s="22" t="s">
        <v>924</v>
      </c>
      <c r="AR1032" s="51" t="str">
        <f t="shared" ref="AR1032:AR1046" si="1196">TRIM(AO1032)&amp;"-"&amp;TRIM(AP1032)&amp;"-"&amp;TRIM(AQ1032)</f>
        <v>E3B1-2C405 -CC</v>
      </c>
      <c r="AS1032" s="3"/>
      <c r="AT1032" s="94">
        <v>0</v>
      </c>
      <c r="AU1032" s="94">
        <v>0</v>
      </c>
      <c r="AV1032" s="94">
        <v>0</v>
      </c>
      <c r="AW1032" s="94">
        <v>1</v>
      </c>
      <c r="AX1032" s="94">
        <v>0</v>
      </c>
      <c r="AY1032" s="94">
        <v>1</v>
      </c>
      <c r="AZ1032" s="94">
        <v>1</v>
      </c>
      <c r="BA1032" s="94">
        <v>1</v>
      </c>
      <c r="BB1032" s="64">
        <f t="shared" si="1194"/>
        <v>0.47</v>
      </c>
      <c r="BD1032" s="60">
        <f>Y1032-59.2</f>
        <v>-696.80000000000007</v>
      </c>
      <c r="BE1032" s="60">
        <f t="shared" si="1195"/>
        <v>-3.8</v>
      </c>
      <c r="BF1032" s="60">
        <f t="shared" si="1195"/>
        <v>-13.2</v>
      </c>
      <c r="BG1032" s="60">
        <f t="shared" si="1195"/>
        <v>0</v>
      </c>
      <c r="BH1032" s="60">
        <f t="shared" si="1195"/>
        <v>0</v>
      </c>
      <c r="BI1032" s="8">
        <f t="shared" si="1181"/>
        <v>-713.80000000000007</v>
      </c>
      <c r="BJ1032" s="2" t="s">
        <v>84</v>
      </c>
      <c r="BL1032" s="70"/>
      <c r="BM1032" s="70"/>
      <c r="BO1032" s="70"/>
      <c r="BP1032" s="70"/>
      <c r="BQ1032" s="72"/>
      <c r="BS1032" s="61">
        <f t="shared" si="1161"/>
        <v>59.200000000000045</v>
      </c>
      <c r="BT1032" s="61">
        <f t="shared" si="1162"/>
        <v>0</v>
      </c>
      <c r="BU1032" s="61">
        <f t="shared" si="1163"/>
        <v>0</v>
      </c>
      <c r="BV1032" s="61">
        <f t="shared" si="1163"/>
        <v>0</v>
      </c>
      <c r="BW1032" s="61">
        <f t="shared" si="1163"/>
        <v>0</v>
      </c>
      <c r="BX1032" s="61">
        <f t="shared" si="1163"/>
        <v>59.200000000000045</v>
      </c>
      <c r="BY1032" s="61" t="s">
        <v>91</v>
      </c>
      <c r="CA1032" s="61">
        <f t="shared" si="1164"/>
        <v>0</v>
      </c>
      <c r="CB1032" s="61">
        <f t="shared" si="1164"/>
        <v>0</v>
      </c>
      <c r="CC1032" s="61">
        <f t="shared" si="1164"/>
        <v>0</v>
      </c>
      <c r="CD1032" s="61">
        <f t="shared" si="1164"/>
        <v>8.9062735068451993</v>
      </c>
      <c r="CE1032" s="61">
        <f t="shared" si="1164"/>
        <v>0</v>
      </c>
      <c r="CF1032" s="61">
        <f t="shared" si="1164"/>
        <v>8.9062735068451993</v>
      </c>
      <c r="CG1032" s="61">
        <f t="shared" si="1164"/>
        <v>8.9062735068451993</v>
      </c>
      <c r="CH1032" s="61">
        <f t="shared" si="1164"/>
        <v>8.9062735068451993</v>
      </c>
      <c r="CI1032" s="61">
        <f t="shared" si="1165"/>
        <v>4.1859485482172438</v>
      </c>
      <c r="CJ1032" s="61"/>
      <c r="CK1032" s="61">
        <f t="shared" si="1166"/>
        <v>0</v>
      </c>
      <c r="CL1032" s="61">
        <f t="shared" si="1166"/>
        <v>0</v>
      </c>
      <c r="CM1032" s="61">
        <f t="shared" si="1166"/>
        <v>0</v>
      </c>
      <c r="CN1032" s="61">
        <f t="shared" si="1166"/>
        <v>8.9062735068451993</v>
      </c>
      <c r="CO1032" s="61">
        <f t="shared" si="1166"/>
        <v>0</v>
      </c>
      <c r="CP1032" s="61">
        <f t="shared" si="1166"/>
        <v>8.9062735068451993</v>
      </c>
      <c r="CQ1032" s="61">
        <f t="shared" si="1166"/>
        <v>8.9062735068451993</v>
      </c>
      <c r="CR1032" s="61">
        <f t="shared" si="1166"/>
        <v>8.9062735068451993</v>
      </c>
      <c r="CS1032" s="61">
        <f t="shared" si="1167"/>
        <v>4.1859485482172438</v>
      </c>
      <c r="CT1032" s="67">
        <f t="shared" si="1173"/>
        <v>27.824000000000019</v>
      </c>
      <c r="CV1032" s="61">
        <f t="shared" si="1172"/>
        <v>0</v>
      </c>
      <c r="CW1032" s="61">
        <f t="shared" si="1169"/>
        <v>0</v>
      </c>
      <c r="CX1032" s="61"/>
      <c r="CY1032" s="61">
        <f t="shared" si="1186"/>
        <v>0</v>
      </c>
      <c r="CZ1032" s="61">
        <f t="shared" si="1186"/>
        <v>0</v>
      </c>
      <c r="DA1032" s="61">
        <f t="shared" si="1186"/>
        <v>0</v>
      </c>
      <c r="DB1032" s="2" t="s">
        <v>85</v>
      </c>
      <c r="DC1032" s="2" t="s">
        <v>86</v>
      </c>
      <c r="DD1032" s="2" t="s">
        <v>87</v>
      </c>
      <c r="DE1032" s="2" t="s">
        <v>169</v>
      </c>
      <c r="DF1032" s="3" t="s">
        <v>86</v>
      </c>
      <c r="DG1032" s="62">
        <v>43060</v>
      </c>
      <c r="EC1032" s="60"/>
      <c r="ED1032" s="60"/>
      <c r="EE1032" s="60"/>
      <c r="EF1032" s="60"/>
    </row>
    <row r="1033" spans="2:140" ht="12.75" hidden="1" customHeight="1">
      <c r="B1033" s="99" t="s">
        <v>1617</v>
      </c>
      <c r="C1033" s="22" t="s">
        <v>1609</v>
      </c>
      <c r="D1033" s="22" t="s">
        <v>1610</v>
      </c>
      <c r="E1033" s="2" t="s">
        <v>338</v>
      </c>
      <c r="F1033" s="2" t="s">
        <v>330</v>
      </c>
      <c r="G1033" s="2" t="s">
        <v>994</v>
      </c>
      <c r="J1033" s="149" t="s">
        <v>98</v>
      </c>
      <c r="K1033" s="23" t="s">
        <v>1611</v>
      </c>
      <c r="L1033" s="149" t="s">
        <v>132</v>
      </c>
      <c r="M1033" s="51" t="str">
        <f t="shared" si="1179"/>
        <v>JD8C-2B373-AB</v>
      </c>
      <c r="O1033" s="94">
        <v>1</v>
      </c>
      <c r="P1033" s="94">
        <v>1</v>
      </c>
      <c r="Q1033" s="94">
        <v>1</v>
      </c>
      <c r="R1033" s="94">
        <v>1</v>
      </c>
      <c r="S1033" s="94">
        <v>1</v>
      </c>
      <c r="T1033" s="94">
        <v>1</v>
      </c>
      <c r="U1033" s="94">
        <v>1</v>
      </c>
      <c r="V1033" s="94">
        <v>1</v>
      </c>
      <c r="W1033" s="64">
        <f t="shared" si="1091"/>
        <v>1</v>
      </c>
      <c r="Y1033" s="60">
        <v>-637.6</v>
      </c>
      <c r="Z1033" s="60">
        <v>-3.8</v>
      </c>
      <c r="AA1033" s="60">
        <v>-13.2</v>
      </c>
      <c r="AB1033" s="60">
        <v>0</v>
      </c>
      <c r="AC1033" s="60">
        <v>0</v>
      </c>
      <c r="AD1033" s="8">
        <f t="shared" ref="AD1033" si="1197">SUM(Y1033:AC1033)</f>
        <v>-654.6</v>
      </c>
      <c r="AE1033" s="2" t="s">
        <v>84</v>
      </c>
      <c r="AG1033" s="70">
        <v>0</v>
      </c>
      <c r="AH1033" s="70">
        <v>0</v>
      </c>
      <c r="AK1033" s="70"/>
      <c r="AL1033" s="70">
        <f>-7128186-211968</f>
        <v>-7340154</v>
      </c>
      <c r="AM1033" s="22"/>
      <c r="AO1033" s="149" t="s">
        <v>98</v>
      </c>
      <c r="AP1033" s="23" t="s">
        <v>1611</v>
      </c>
      <c r="AQ1033" s="149" t="s">
        <v>100</v>
      </c>
      <c r="AR1033" s="51" t="str">
        <f t="shared" si="1196"/>
        <v>JD8C-2B373-AA</v>
      </c>
      <c r="AS1033" s="3"/>
      <c r="AT1033" s="94">
        <v>1</v>
      </c>
      <c r="AU1033" s="94">
        <v>1</v>
      </c>
      <c r="AV1033" s="94">
        <v>1</v>
      </c>
      <c r="AW1033" s="94">
        <v>0</v>
      </c>
      <c r="AX1033" s="94">
        <v>1</v>
      </c>
      <c r="AY1033" s="94">
        <v>0</v>
      </c>
      <c r="AZ1033" s="94">
        <v>0</v>
      </c>
      <c r="BA1033" s="94">
        <v>0</v>
      </c>
      <c r="BB1033" s="64">
        <f t="shared" si="1194"/>
        <v>0.53</v>
      </c>
      <c r="BD1033" s="60">
        <f>Y1033+284.74</f>
        <v>-352.86</v>
      </c>
      <c r="BE1033" s="60">
        <f t="shared" si="1195"/>
        <v>-3.8</v>
      </c>
      <c r="BF1033" s="60">
        <f t="shared" si="1195"/>
        <v>-13.2</v>
      </c>
      <c r="BG1033" s="60">
        <f t="shared" si="1195"/>
        <v>0</v>
      </c>
      <c r="BH1033" s="60">
        <f t="shared" si="1195"/>
        <v>0</v>
      </c>
      <c r="BI1033" s="8">
        <f t="shared" ref="BI1033" si="1198">SUM(BD1033:BH1033)</f>
        <v>-369.86</v>
      </c>
      <c r="BJ1033" s="2" t="s">
        <v>84</v>
      </c>
      <c r="BL1033" s="70"/>
      <c r="BM1033" s="70"/>
      <c r="BO1033" s="70"/>
      <c r="BP1033" s="70"/>
      <c r="BQ1033" s="70">
        <v>-7128186</v>
      </c>
      <c r="BS1033" s="61">
        <f t="shared" si="1161"/>
        <v>-284.74</v>
      </c>
      <c r="BT1033" s="61">
        <f t="shared" si="1162"/>
        <v>0</v>
      </c>
      <c r="BU1033" s="61">
        <f t="shared" si="1163"/>
        <v>0</v>
      </c>
      <c r="BV1033" s="61">
        <f t="shared" si="1163"/>
        <v>0</v>
      </c>
      <c r="BW1033" s="61">
        <f t="shared" si="1163"/>
        <v>0</v>
      </c>
      <c r="BX1033" s="61">
        <f t="shared" si="1163"/>
        <v>-284.74</v>
      </c>
      <c r="BY1033" s="61" t="s">
        <v>91</v>
      </c>
      <c r="CA1033" s="61">
        <f t="shared" si="1164"/>
        <v>-42.837370242214533</v>
      </c>
      <c r="CB1033" s="61">
        <f t="shared" si="1164"/>
        <v>-42.837370242214533</v>
      </c>
      <c r="CC1033" s="61">
        <f t="shared" si="1164"/>
        <v>-42.837370242214533</v>
      </c>
      <c r="CD1033" s="61">
        <f t="shared" si="1164"/>
        <v>-95.922972769670523</v>
      </c>
      <c r="CE1033" s="61">
        <f t="shared" si="1164"/>
        <v>-42.837370242214533</v>
      </c>
      <c r="CF1033" s="61">
        <f t="shared" si="1164"/>
        <v>-95.922972769670523</v>
      </c>
      <c r="CG1033" s="61">
        <f t="shared" si="1164"/>
        <v>-95.922972769670523</v>
      </c>
      <c r="CH1033" s="61">
        <f t="shared" si="1164"/>
        <v>-95.922972769670523</v>
      </c>
      <c r="CI1033" s="61">
        <f t="shared" si="1165"/>
        <v>-67.787603430118864</v>
      </c>
      <c r="CJ1033" s="61"/>
      <c r="CK1033" s="61">
        <f t="shared" si="1166"/>
        <v>-42.837370242214533</v>
      </c>
      <c r="CL1033" s="61">
        <f t="shared" si="1166"/>
        <v>-42.837370242214533</v>
      </c>
      <c r="CM1033" s="61">
        <f t="shared" si="1166"/>
        <v>-42.837370242214533</v>
      </c>
      <c r="CN1033" s="61">
        <f t="shared" si="1166"/>
        <v>-98.480517526703778</v>
      </c>
      <c r="CO1033" s="61">
        <f t="shared" si="1166"/>
        <v>-42.837370242214533</v>
      </c>
      <c r="CP1033" s="61">
        <f t="shared" si="1166"/>
        <v>-98.480517526703778</v>
      </c>
      <c r="CQ1033" s="61">
        <f t="shared" si="1166"/>
        <v>-98.480517526703778</v>
      </c>
      <c r="CR1033" s="61">
        <f t="shared" si="1166"/>
        <v>-98.480517526703778</v>
      </c>
      <c r="CS1033" s="61">
        <f t="shared" si="1167"/>
        <v>-68.989649465924487</v>
      </c>
      <c r="CT1033" s="67">
        <f t="shared" si="1173"/>
        <v>-458.57420000000008</v>
      </c>
      <c r="CV1033" s="61">
        <f t="shared" si="1172"/>
        <v>0</v>
      </c>
      <c r="CW1033" s="61">
        <f t="shared" si="1169"/>
        <v>0</v>
      </c>
      <c r="CX1033" s="61"/>
      <c r="CY1033" s="61">
        <f t="shared" si="1186"/>
        <v>0</v>
      </c>
      <c r="CZ1033" s="61">
        <f t="shared" si="1186"/>
        <v>0</v>
      </c>
      <c r="DA1033" s="61">
        <f t="shared" si="1186"/>
        <v>-211968</v>
      </c>
      <c r="DB1033" s="2" t="s">
        <v>86</v>
      </c>
      <c r="DC1033" s="2" t="s">
        <v>85</v>
      </c>
      <c r="DD1033" s="2" t="s">
        <v>87</v>
      </c>
      <c r="DE1033" s="2" t="s">
        <v>106</v>
      </c>
      <c r="DF1033" s="3" t="s">
        <v>86</v>
      </c>
      <c r="DG1033" s="62">
        <v>43129</v>
      </c>
      <c r="EC1033" s="60" t="str">
        <f>VLOOKUP($M1033,[1]Detail!$M:$BO,1,0)</f>
        <v>JD8C-2B373-AB</v>
      </c>
      <c r="ED1033" s="60">
        <f>VLOOKUP($M1033,[1]Detail!$M:$BO,22,0)</f>
        <v>-654.6</v>
      </c>
      <c r="EE1033" s="60">
        <f>VLOOKUP($M1033,[1]Detail!$M:$BO,42,0)</f>
        <v>0</v>
      </c>
      <c r="EF1033" s="60">
        <f>VLOOKUP($M1033,[1]Detail!$M:$BO,45,0)</f>
        <v>0</v>
      </c>
      <c r="EH1033" s="60">
        <f>ED1033-AD1033</f>
        <v>0</v>
      </c>
      <c r="EI1033" s="60">
        <f>EE1033-AG1033</f>
        <v>0</v>
      </c>
      <c r="EJ1033" s="60">
        <f>EF1033-AJ1033</f>
        <v>0</v>
      </c>
    </row>
    <row r="1034" spans="2:140" ht="12.75" hidden="1" customHeight="1">
      <c r="B1034" s="93" t="s">
        <v>1618</v>
      </c>
      <c r="C1034" s="22" t="s">
        <v>1619</v>
      </c>
      <c r="D1034" s="2" t="s">
        <v>1620</v>
      </c>
      <c r="E1034" s="2" t="s">
        <v>968</v>
      </c>
      <c r="F1034" s="2" t="s">
        <v>969</v>
      </c>
      <c r="G1034" s="2" t="s">
        <v>1087</v>
      </c>
      <c r="J1034" s="22" t="s">
        <v>138</v>
      </c>
      <c r="K1034" s="23" t="s">
        <v>1621</v>
      </c>
      <c r="L1034" s="22" t="s">
        <v>180</v>
      </c>
      <c r="M1034" s="51" t="str">
        <f t="shared" si="1179"/>
        <v>JD8B-16A944-AA</v>
      </c>
      <c r="O1034" s="22">
        <v>1</v>
      </c>
      <c r="P1034" s="22">
        <v>1</v>
      </c>
      <c r="Q1034" s="22">
        <v>1</v>
      </c>
      <c r="R1034" s="22">
        <v>1</v>
      </c>
      <c r="S1034" s="22">
        <v>1</v>
      </c>
      <c r="T1034" s="22">
        <v>1</v>
      </c>
      <c r="U1034" s="22">
        <v>1</v>
      </c>
      <c r="V1034" s="22">
        <v>1</v>
      </c>
      <c r="W1034" s="64">
        <f t="shared" ref="W1034:W1097" si="1199">SUMPRODUCT(O1034:V1034,$O$6:$V$6)</f>
        <v>1</v>
      </c>
      <c r="Y1034" s="60">
        <v>-5.3</v>
      </c>
      <c r="Z1034" s="60">
        <v>-0.09</v>
      </c>
      <c r="AA1034" s="60">
        <v>-0.3</v>
      </c>
      <c r="AB1034" s="60">
        <v>0</v>
      </c>
      <c r="AC1034" s="60">
        <v>-0.11</v>
      </c>
      <c r="AD1034" s="8">
        <f t="shared" si="1188"/>
        <v>-5.8</v>
      </c>
      <c r="AE1034" s="2" t="s">
        <v>91</v>
      </c>
      <c r="AG1034" s="71">
        <v>-122642.1</v>
      </c>
      <c r="AH1034" s="71">
        <v>-122642.1</v>
      </c>
      <c r="AI1034" s="6"/>
      <c r="AJ1034" s="71">
        <v>-60410</v>
      </c>
      <c r="AK1034" s="71">
        <v>574899</v>
      </c>
      <c r="AL1034" s="70"/>
      <c r="AM1034" s="22"/>
      <c r="AO1034" s="22" t="s">
        <v>126</v>
      </c>
      <c r="AP1034" s="22" t="s">
        <v>1621</v>
      </c>
      <c r="AQ1034" s="3" t="s">
        <v>180</v>
      </c>
      <c r="AR1034" s="51" t="str">
        <f t="shared" si="1196"/>
        <v>JD8B-16A944-AA</v>
      </c>
      <c r="AS1034" s="3"/>
      <c r="AT1034" s="22">
        <v>1</v>
      </c>
      <c r="AU1034" s="22">
        <v>1</v>
      </c>
      <c r="AV1034" s="22">
        <v>1</v>
      </c>
      <c r="AW1034" s="22">
        <v>1</v>
      </c>
      <c r="AX1034" s="22">
        <v>1</v>
      </c>
      <c r="AY1034" s="22">
        <v>1</v>
      </c>
      <c r="AZ1034" s="22">
        <v>1</v>
      </c>
      <c r="BA1034" s="22">
        <v>1</v>
      </c>
      <c r="BB1034" s="64">
        <f t="shared" si="1194"/>
        <v>1</v>
      </c>
      <c r="BD1034" s="60">
        <v>-5.3</v>
      </c>
      <c r="BE1034" s="60">
        <v>-0.09</v>
      </c>
      <c r="BF1034" s="60">
        <v>-0.3</v>
      </c>
      <c r="BG1034" s="60">
        <v>0</v>
      </c>
      <c r="BH1034" s="60">
        <v>-0.11</v>
      </c>
      <c r="BI1034" s="8">
        <f t="shared" si="1181"/>
        <v>-5.8</v>
      </c>
      <c r="BJ1034" s="2" t="s">
        <v>91</v>
      </c>
      <c r="BL1034" s="71">
        <v>-122642.1</v>
      </c>
      <c r="BM1034" s="71">
        <v>-122642.1</v>
      </c>
      <c r="BO1034" s="71">
        <v>-60410</v>
      </c>
      <c r="BP1034" s="71">
        <v>574899</v>
      </c>
      <c r="BQ1034" s="72"/>
      <c r="BS1034" s="61">
        <f t="shared" si="1161"/>
        <v>0</v>
      </c>
      <c r="BT1034" s="61">
        <f t="shared" si="1162"/>
        <v>0</v>
      </c>
      <c r="BU1034" s="61">
        <f t="shared" si="1163"/>
        <v>0</v>
      </c>
      <c r="BV1034" s="61">
        <f t="shared" si="1163"/>
        <v>0</v>
      </c>
      <c r="BW1034" s="61">
        <f t="shared" si="1163"/>
        <v>0</v>
      </c>
      <c r="BX1034" s="61">
        <f t="shared" si="1163"/>
        <v>0</v>
      </c>
      <c r="BY1034" s="61" t="s">
        <v>91</v>
      </c>
      <c r="CA1034" s="61">
        <f t="shared" si="1164"/>
        <v>0</v>
      </c>
      <c r="CB1034" s="61">
        <f t="shared" si="1164"/>
        <v>0</v>
      </c>
      <c r="CC1034" s="61">
        <f t="shared" si="1164"/>
        <v>0</v>
      </c>
      <c r="CD1034" s="61">
        <f t="shared" si="1164"/>
        <v>0</v>
      </c>
      <c r="CE1034" s="61">
        <f t="shared" si="1164"/>
        <v>0</v>
      </c>
      <c r="CF1034" s="61">
        <f t="shared" si="1164"/>
        <v>0</v>
      </c>
      <c r="CG1034" s="61">
        <f t="shared" si="1164"/>
        <v>0</v>
      </c>
      <c r="CH1034" s="61">
        <f t="shared" si="1164"/>
        <v>0</v>
      </c>
      <c r="CI1034" s="61">
        <f t="shared" si="1165"/>
        <v>0</v>
      </c>
      <c r="CJ1034" s="61"/>
      <c r="CK1034" s="61">
        <f t="shared" si="1166"/>
        <v>0</v>
      </c>
      <c r="CL1034" s="61">
        <f t="shared" si="1166"/>
        <v>0</v>
      </c>
      <c r="CM1034" s="61">
        <f t="shared" si="1166"/>
        <v>0</v>
      </c>
      <c r="CN1034" s="61">
        <f t="shared" si="1166"/>
        <v>0</v>
      </c>
      <c r="CO1034" s="61">
        <f t="shared" si="1166"/>
        <v>0</v>
      </c>
      <c r="CP1034" s="61">
        <f t="shared" si="1166"/>
        <v>0</v>
      </c>
      <c r="CQ1034" s="61">
        <f t="shared" si="1166"/>
        <v>0</v>
      </c>
      <c r="CR1034" s="61">
        <f t="shared" si="1166"/>
        <v>0</v>
      </c>
      <c r="CS1034" s="61">
        <f t="shared" si="1167"/>
        <v>0</v>
      </c>
      <c r="CT1034" s="67">
        <f t="shared" si="1173"/>
        <v>0</v>
      </c>
      <c r="CV1034" s="61">
        <f t="shared" si="1172"/>
        <v>0</v>
      </c>
      <c r="CW1034" s="61">
        <f t="shared" si="1169"/>
        <v>0</v>
      </c>
      <c r="CX1034" s="61"/>
      <c r="CY1034" s="61">
        <f t="shared" si="1186"/>
        <v>0</v>
      </c>
      <c r="CZ1034" s="61">
        <f t="shared" si="1186"/>
        <v>0</v>
      </c>
      <c r="DA1034" s="61">
        <f t="shared" si="1186"/>
        <v>0</v>
      </c>
      <c r="DB1034" s="2" t="s">
        <v>85</v>
      </c>
      <c r="DC1034" s="2" t="s">
        <v>102</v>
      </c>
      <c r="DD1034" s="2" t="s">
        <v>142</v>
      </c>
      <c r="DE1034" s="2" t="s">
        <v>257</v>
      </c>
      <c r="DF1034" s="3" t="s">
        <v>118</v>
      </c>
      <c r="DG1034" s="62">
        <v>42913</v>
      </c>
      <c r="EC1034" s="60"/>
      <c r="ED1034" s="60"/>
      <c r="EE1034" s="60"/>
      <c r="EF1034" s="60"/>
    </row>
    <row r="1035" spans="2:140" ht="12.75" hidden="1" customHeight="1">
      <c r="B1035" s="93" t="s">
        <v>1622</v>
      </c>
      <c r="C1035" s="22" t="s">
        <v>1619</v>
      </c>
      <c r="D1035" s="2" t="s">
        <v>1620</v>
      </c>
      <c r="E1035" s="2" t="s">
        <v>968</v>
      </c>
      <c r="F1035" s="2" t="s">
        <v>969</v>
      </c>
      <c r="G1035" s="2" t="s">
        <v>1087</v>
      </c>
      <c r="J1035" s="22" t="s">
        <v>138</v>
      </c>
      <c r="K1035" s="23" t="s">
        <v>1621</v>
      </c>
      <c r="L1035" s="22" t="s">
        <v>180</v>
      </c>
      <c r="M1035" s="51" t="str">
        <f t="shared" si="1179"/>
        <v>JD8B-16A944-AA</v>
      </c>
      <c r="O1035" s="22">
        <v>1</v>
      </c>
      <c r="P1035" s="22">
        <v>1</v>
      </c>
      <c r="Q1035" s="22">
        <v>1</v>
      </c>
      <c r="R1035" s="22">
        <v>1</v>
      </c>
      <c r="S1035" s="22">
        <v>1</v>
      </c>
      <c r="T1035" s="22">
        <v>1</v>
      </c>
      <c r="U1035" s="22">
        <v>1</v>
      </c>
      <c r="V1035" s="22">
        <v>1</v>
      </c>
      <c r="W1035" s="64">
        <f t="shared" si="1199"/>
        <v>1</v>
      </c>
      <c r="Y1035" s="60">
        <v>-5.3</v>
      </c>
      <c r="Z1035" s="60">
        <v>-0.09</v>
      </c>
      <c r="AA1035" s="60">
        <v>-0.3</v>
      </c>
      <c r="AB1035" s="60">
        <v>0</v>
      </c>
      <c r="AC1035" s="60">
        <v>-0.11</v>
      </c>
      <c r="AD1035" s="8">
        <f t="shared" ref="AD1035" si="1200">SUM(Y1035:AC1035)</f>
        <v>-5.8</v>
      </c>
      <c r="AE1035" s="2" t="s">
        <v>91</v>
      </c>
      <c r="AG1035" s="71">
        <v>-122642.1</v>
      </c>
      <c r="AH1035" s="71">
        <v>-122642.1</v>
      </c>
      <c r="AI1035" s="6"/>
      <c r="AJ1035" s="71">
        <v>-60410</v>
      </c>
      <c r="AK1035" s="71">
        <v>574899</v>
      </c>
      <c r="AL1035" s="70"/>
      <c r="AM1035" s="22"/>
      <c r="AO1035" s="22" t="s">
        <v>138</v>
      </c>
      <c r="AP1035" s="23" t="s">
        <v>1621</v>
      </c>
      <c r="AQ1035" s="22" t="s">
        <v>180</v>
      </c>
      <c r="AR1035" s="51" t="str">
        <f t="shared" si="1196"/>
        <v>JD8B-16A944-AA</v>
      </c>
      <c r="AS1035" s="3"/>
      <c r="AT1035" s="22">
        <v>1</v>
      </c>
      <c r="AU1035" s="22">
        <v>1</v>
      </c>
      <c r="AV1035" s="22">
        <v>1</v>
      </c>
      <c r="AW1035" s="22">
        <v>1</v>
      </c>
      <c r="AX1035" s="22">
        <v>1</v>
      </c>
      <c r="AY1035" s="22">
        <v>1</v>
      </c>
      <c r="AZ1035" s="22">
        <v>1</v>
      </c>
      <c r="BA1035" s="22">
        <v>1</v>
      </c>
      <c r="BB1035" s="64">
        <f t="shared" si="1194"/>
        <v>1</v>
      </c>
      <c r="BD1035" s="60">
        <v>-5.3</v>
      </c>
      <c r="BE1035" s="60">
        <v>-0.09</v>
      </c>
      <c r="BF1035" s="60">
        <v>-0.3</v>
      </c>
      <c r="BG1035" s="60">
        <v>0</v>
      </c>
      <c r="BH1035" s="60">
        <v>-0.11</v>
      </c>
      <c r="BI1035" s="8">
        <f t="shared" si="1181"/>
        <v>-5.8</v>
      </c>
      <c r="BJ1035" s="2" t="s">
        <v>91</v>
      </c>
      <c r="BL1035" s="71">
        <v>-122642.1</v>
      </c>
      <c r="BM1035" s="71">
        <v>-122642.1</v>
      </c>
      <c r="BO1035" s="71">
        <v>-60410</v>
      </c>
      <c r="BP1035" s="71">
        <v>574899</v>
      </c>
      <c r="BQ1035" s="72"/>
      <c r="BS1035" s="61">
        <f t="shared" si="1161"/>
        <v>0</v>
      </c>
      <c r="BT1035" s="61">
        <f t="shared" si="1162"/>
        <v>0</v>
      </c>
      <c r="BU1035" s="61">
        <f t="shared" si="1163"/>
        <v>0</v>
      </c>
      <c r="BV1035" s="61">
        <f t="shared" si="1163"/>
        <v>0</v>
      </c>
      <c r="BW1035" s="61">
        <f t="shared" si="1163"/>
        <v>0</v>
      </c>
      <c r="BX1035" s="61">
        <f t="shared" si="1163"/>
        <v>0</v>
      </c>
      <c r="BY1035" s="61" t="s">
        <v>91</v>
      </c>
      <c r="CA1035" s="61">
        <f t="shared" si="1164"/>
        <v>0</v>
      </c>
      <c r="CB1035" s="61">
        <f t="shared" si="1164"/>
        <v>0</v>
      </c>
      <c r="CC1035" s="61">
        <f t="shared" si="1164"/>
        <v>0</v>
      </c>
      <c r="CD1035" s="61">
        <f t="shared" si="1164"/>
        <v>0</v>
      </c>
      <c r="CE1035" s="61">
        <f t="shared" si="1164"/>
        <v>0</v>
      </c>
      <c r="CF1035" s="61">
        <f t="shared" si="1164"/>
        <v>0</v>
      </c>
      <c r="CG1035" s="61">
        <f t="shared" si="1164"/>
        <v>0</v>
      </c>
      <c r="CH1035" s="61">
        <f t="shared" si="1164"/>
        <v>0</v>
      </c>
      <c r="CI1035" s="61">
        <f t="shared" si="1165"/>
        <v>0</v>
      </c>
      <c r="CJ1035" s="61"/>
      <c r="CK1035" s="61">
        <f t="shared" si="1166"/>
        <v>0</v>
      </c>
      <c r="CL1035" s="61">
        <f t="shared" si="1166"/>
        <v>0</v>
      </c>
      <c r="CM1035" s="61">
        <f t="shared" si="1166"/>
        <v>0</v>
      </c>
      <c r="CN1035" s="61">
        <f t="shared" si="1166"/>
        <v>0</v>
      </c>
      <c r="CO1035" s="61">
        <f t="shared" si="1166"/>
        <v>0</v>
      </c>
      <c r="CP1035" s="61">
        <f t="shared" si="1166"/>
        <v>0</v>
      </c>
      <c r="CQ1035" s="61">
        <f t="shared" si="1166"/>
        <v>0</v>
      </c>
      <c r="CR1035" s="61">
        <f t="shared" si="1166"/>
        <v>0</v>
      </c>
      <c r="CS1035" s="61">
        <f t="shared" si="1167"/>
        <v>0</v>
      </c>
      <c r="CT1035" s="67">
        <f t="shared" si="1173"/>
        <v>0</v>
      </c>
      <c r="CV1035" s="61">
        <f t="shared" si="1172"/>
        <v>0</v>
      </c>
      <c r="CW1035" s="61">
        <f t="shared" si="1169"/>
        <v>0</v>
      </c>
      <c r="CX1035" s="61"/>
      <c r="CY1035" s="61">
        <f t="shared" si="1186"/>
        <v>0</v>
      </c>
      <c r="CZ1035" s="61">
        <f t="shared" si="1186"/>
        <v>0</v>
      </c>
      <c r="DA1035" s="61">
        <f t="shared" si="1186"/>
        <v>0</v>
      </c>
      <c r="DB1035" s="2" t="s">
        <v>102</v>
      </c>
      <c r="DC1035" s="2" t="s">
        <v>85</v>
      </c>
      <c r="DD1035" s="2" t="s">
        <v>142</v>
      </c>
      <c r="DE1035" s="2" t="s">
        <v>106</v>
      </c>
      <c r="DG1035" s="62"/>
      <c r="DZ1035" s="3" t="e">
        <v>#N/A</v>
      </c>
      <c r="EC1035" s="60" t="str">
        <f>VLOOKUP($M1035,[1]Detail!$M:$BO,1,0)</f>
        <v>JD8B-16A944-AA</v>
      </c>
      <c r="ED1035" s="60">
        <f>VLOOKUP($M1035,[1]Detail!$M:$BO,22,0)</f>
        <v>-5.8</v>
      </c>
      <c r="EE1035" s="60">
        <f>VLOOKUP($M1035,[1]Detail!$M:$BO,42,0)</f>
        <v>-122642.1</v>
      </c>
      <c r="EF1035" s="60">
        <f>VLOOKUP($M1035,[1]Detail!$M:$BO,45,0)</f>
        <v>-60410</v>
      </c>
      <c r="EH1035" s="60">
        <f t="shared" ref="EH1035:EH1039" si="1201">ED1035-AD1035</f>
        <v>0</v>
      </c>
      <c r="EI1035" s="60">
        <f t="shared" ref="EI1035:EI1039" si="1202">EE1035-AG1035</f>
        <v>0</v>
      </c>
      <c r="EJ1035" s="60">
        <f t="shared" ref="EJ1035:EJ1039" si="1203">EF1035-AJ1035</f>
        <v>0</v>
      </c>
    </row>
    <row r="1036" spans="2:140" ht="12.75" hidden="1" customHeight="1">
      <c r="B1036" s="23" t="s">
        <v>1623</v>
      </c>
      <c r="C1036" s="22" t="s">
        <v>1624</v>
      </c>
      <c r="D1036" s="22" t="s">
        <v>1625</v>
      </c>
      <c r="E1036" s="2" t="s">
        <v>968</v>
      </c>
      <c r="F1036" s="2" t="s">
        <v>1626</v>
      </c>
      <c r="G1036" s="2" t="s">
        <v>1627</v>
      </c>
      <c r="J1036" s="22" t="s">
        <v>1628</v>
      </c>
      <c r="K1036" s="23">
        <v>16702</v>
      </c>
      <c r="L1036" s="22" t="s">
        <v>970</v>
      </c>
      <c r="M1036" s="51" t="str">
        <f t="shared" si="1179"/>
        <v>GR2B-16702-BB</v>
      </c>
      <c r="O1036" s="22">
        <v>0</v>
      </c>
      <c r="P1036" s="22">
        <v>0</v>
      </c>
      <c r="Q1036" s="22">
        <v>0</v>
      </c>
      <c r="R1036" s="22">
        <v>0</v>
      </c>
      <c r="S1036" s="22">
        <v>0</v>
      </c>
      <c r="T1036" s="22">
        <v>0</v>
      </c>
      <c r="U1036" s="22">
        <v>1</v>
      </c>
      <c r="V1036" s="22">
        <v>1</v>
      </c>
      <c r="W1036" s="64">
        <f t="shared" si="1199"/>
        <v>0.1</v>
      </c>
      <c r="Y1036" s="60">
        <v>-3.98</v>
      </c>
      <c r="Z1036" s="60">
        <v>-0.17</v>
      </c>
      <c r="AA1036" s="60">
        <v>-0.18</v>
      </c>
      <c r="AB1036" s="60">
        <v>0</v>
      </c>
      <c r="AC1036" s="60">
        <v>0</v>
      </c>
      <c r="AD1036" s="8">
        <f t="shared" si="1188"/>
        <v>-4.33</v>
      </c>
      <c r="AE1036" s="2" t="s">
        <v>91</v>
      </c>
      <c r="AG1036" s="71">
        <v>0</v>
      </c>
      <c r="AH1036" s="71">
        <v>0</v>
      </c>
      <c r="AJ1036" s="71">
        <v>0</v>
      </c>
      <c r="AK1036" s="71">
        <v>0</v>
      </c>
      <c r="AL1036" s="72"/>
      <c r="AM1036" s="22"/>
      <c r="AO1036" s="22" t="s">
        <v>1628</v>
      </c>
      <c r="AP1036" s="23">
        <v>16702</v>
      </c>
      <c r="AQ1036" s="22" t="s">
        <v>1629</v>
      </c>
      <c r="AR1036" s="51" t="str">
        <f t="shared" si="1196"/>
        <v>GR2B-16702-BB</v>
      </c>
      <c r="AS1036" s="3"/>
      <c r="AT1036" s="22">
        <v>0</v>
      </c>
      <c r="AU1036" s="22">
        <v>0</v>
      </c>
      <c r="AV1036" s="22">
        <v>0</v>
      </c>
      <c r="AW1036" s="22">
        <v>0</v>
      </c>
      <c r="AX1036" s="22">
        <v>0</v>
      </c>
      <c r="AY1036" s="22">
        <v>0</v>
      </c>
      <c r="AZ1036" s="22">
        <v>1</v>
      </c>
      <c r="BA1036" s="22">
        <v>1</v>
      </c>
      <c r="BB1036" s="64">
        <f t="shared" si="1194"/>
        <v>0.1</v>
      </c>
      <c r="BD1036" s="60">
        <f>-3.98</f>
        <v>-3.98</v>
      </c>
      <c r="BE1036" s="60">
        <v>-0.17</v>
      </c>
      <c r="BF1036" s="60">
        <v>-0.18</v>
      </c>
      <c r="BG1036" s="60">
        <v>0</v>
      </c>
      <c r="BH1036" s="60">
        <v>0</v>
      </c>
      <c r="BI1036" s="8">
        <f t="shared" si="1181"/>
        <v>-4.33</v>
      </c>
      <c r="BJ1036" s="2" t="s">
        <v>91</v>
      </c>
      <c r="BL1036" s="71">
        <v>0</v>
      </c>
      <c r="BM1036" s="71">
        <v>0</v>
      </c>
      <c r="BO1036" s="71">
        <v>0</v>
      </c>
      <c r="BP1036" s="71">
        <v>0</v>
      </c>
      <c r="BQ1036" s="72"/>
      <c r="BS1036" s="61">
        <f t="shared" si="1161"/>
        <v>0</v>
      </c>
      <c r="BT1036" s="61">
        <f t="shared" si="1162"/>
        <v>0</v>
      </c>
      <c r="BU1036" s="61">
        <f t="shared" si="1163"/>
        <v>0</v>
      </c>
      <c r="BV1036" s="61">
        <f t="shared" si="1163"/>
        <v>0</v>
      </c>
      <c r="BW1036" s="61">
        <f t="shared" si="1163"/>
        <v>0</v>
      </c>
      <c r="BX1036" s="61">
        <f t="shared" si="1163"/>
        <v>0</v>
      </c>
      <c r="BY1036" s="61" t="s">
        <v>91</v>
      </c>
      <c r="CA1036" s="61">
        <f t="shared" si="1164"/>
        <v>0</v>
      </c>
      <c r="CB1036" s="61">
        <f t="shared" si="1164"/>
        <v>0</v>
      </c>
      <c r="CC1036" s="61">
        <f t="shared" si="1164"/>
        <v>0</v>
      </c>
      <c r="CD1036" s="61">
        <f t="shared" si="1164"/>
        <v>0</v>
      </c>
      <c r="CE1036" s="61">
        <f t="shared" si="1164"/>
        <v>0</v>
      </c>
      <c r="CF1036" s="61">
        <f t="shared" si="1164"/>
        <v>0</v>
      </c>
      <c r="CG1036" s="61">
        <f t="shared" si="1164"/>
        <v>0</v>
      </c>
      <c r="CH1036" s="61">
        <f t="shared" si="1164"/>
        <v>0</v>
      </c>
      <c r="CI1036" s="61">
        <f t="shared" si="1165"/>
        <v>0</v>
      </c>
      <c r="CJ1036" s="61"/>
      <c r="CK1036" s="61">
        <f t="shared" si="1166"/>
        <v>0</v>
      </c>
      <c r="CL1036" s="61">
        <f t="shared" si="1166"/>
        <v>0</v>
      </c>
      <c r="CM1036" s="61">
        <f t="shared" si="1166"/>
        <v>0</v>
      </c>
      <c r="CN1036" s="61">
        <f t="shared" si="1166"/>
        <v>0</v>
      </c>
      <c r="CO1036" s="61">
        <f t="shared" si="1166"/>
        <v>0</v>
      </c>
      <c r="CP1036" s="61">
        <f t="shared" si="1166"/>
        <v>0</v>
      </c>
      <c r="CQ1036" s="61">
        <f t="shared" si="1166"/>
        <v>0</v>
      </c>
      <c r="CR1036" s="61">
        <f t="shared" si="1166"/>
        <v>0</v>
      </c>
      <c r="CS1036" s="61">
        <f t="shared" si="1167"/>
        <v>0</v>
      </c>
      <c r="CT1036" s="67">
        <f t="shared" si="1173"/>
        <v>0</v>
      </c>
      <c r="CV1036" s="61">
        <f t="shared" si="1172"/>
        <v>0</v>
      </c>
      <c r="CW1036" s="61">
        <f t="shared" si="1169"/>
        <v>0</v>
      </c>
      <c r="CX1036" s="61"/>
      <c r="CY1036" s="61">
        <f t="shared" si="1186"/>
        <v>0</v>
      </c>
      <c r="CZ1036" s="61">
        <f t="shared" si="1186"/>
        <v>0</v>
      </c>
      <c r="DA1036" s="61">
        <f t="shared" si="1186"/>
        <v>0</v>
      </c>
      <c r="DB1036" s="2" t="s">
        <v>102</v>
      </c>
      <c r="DC1036" s="2" t="s">
        <v>102</v>
      </c>
      <c r="DD1036" s="2" t="s">
        <v>142</v>
      </c>
      <c r="DE1036" s="2" t="s">
        <v>257</v>
      </c>
      <c r="DF1036" s="3" t="s">
        <v>118</v>
      </c>
      <c r="DG1036" s="62">
        <v>42800</v>
      </c>
      <c r="EC1036" s="60" t="str">
        <f>VLOOKUP($M1036,[1]Detail!$M:$BO,1,0)</f>
        <v>GR2B-16702-BB</v>
      </c>
      <c r="ED1036" s="60">
        <f>VLOOKUP($M1036,[1]Detail!$M:$BO,22,0)</f>
        <v>-4.33</v>
      </c>
      <c r="EE1036" s="60">
        <f>VLOOKUP($M1036,[1]Detail!$M:$BO,42,0)</f>
        <v>0</v>
      </c>
      <c r="EF1036" s="60">
        <f>VLOOKUP($M1036,[1]Detail!$M:$BO,45,0)</f>
        <v>0</v>
      </c>
      <c r="EH1036" s="60">
        <f t="shared" si="1201"/>
        <v>0</v>
      </c>
      <c r="EI1036" s="60">
        <f t="shared" si="1202"/>
        <v>0</v>
      </c>
      <c r="EJ1036" s="60">
        <f t="shared" si="1203"/>
        <v>0</v>
      </c>
    </row>
    <row r="1037" spans="2:140" s="75" customFormat="1" ht="12.75" customHeight="1">
      <c r="B1037" s="74" t="s">
        <v>1630</v>
      </c>
      <c r="C1037" s="75" t="s">
        <v>1631</v>
      </c>
      <c r="D1037" s="75" t="s">
        <v>1632</v>
      </c>
      <c r="E1037" s="75" t="s">
        <v>1633</v>
      </c>
      <c r="F1037" s="75" t="s">
        <v>1626</v>
      </c>
      <c r="G1037" s="75" t="s">
        <v>331</v>
      </c>
      <c r="H1037" s="2"/>
      <c r="J1037" s="75" t="s">
        <v>1634</v>
      </c>
      <c r="K1037" s="74" t="s">
        <v>13</v>
      </c>
      <c r="L1037" s="75" t="s">
        <v>1635</v>
      </c>
      <c r="M1037" s="76" t="str">
        <f t="shared" si="1179"/>
        <v>ED8T -14529 -BA</v>
      </c>
      <c r="N1037" s="77"/>
      <c r="O1037" s="75">
        <v>0</v>
      </c>
      <c r="P1037" s="75">
        <v>0</v>
      </c>
      <c r="Q1037" s="75">
        <v>1</v>
      </c>
      <c r="R1037" s="75">
        <v>1</v>
      </c>
      <c r="S1037" s="75">
        <v>1</v>
      </c>
      <c r="T1037" s="75">
        <v>1</v>
      </c>
      <c r="U1037" s="75">
        <v>1</v>
      </c>
      <c r="V1037" s="75">
        <v>1</v>
      </c>
      <c r="W1037" s="84">
        <f t="shared" si="1199"/>
        <v>0.70000000000000007</v>
      </c>
      <c r="Y1037" s="78">
        <v>-12.28</v>
      </c>
      <c r="Z1037" s="78">
        <v>-0.1</v>
      </c>
      <c r="AA1037" s="78">
        <v>0</v>
      </c>
      <c r="AB1037" s="78">
        <v>0</v>
      </c>
      <c r="AC1037" s="78">
        <v>0</v>
      </c>
      <c r="AD1037" s="79">
        <f t="shared" si="1188"/>
        <v>-12.379999999999999</v>
      </c>
      <c r="AE1037" s="75" t="s">
        <v>91</v>
      </c>
      <c r="AG1037" s="80">
        <v>0</v>
      </c>
      <c r="AH1037" s="80">
        <v>0</v>
      </c>
      <c r="AJ1037" s="80">
        <v>0</v>
      </c>
      <c r="AK1037" s="80">
        <v>0</v>
      </c>
      <c r="AL1037" s="82"/>
      <c r="AO1037" s="75" t="s">
        <v>1634</v>
      </c>
      <c r="AP1037" s="74" t="s">
        <v>13</v>
      </c>
      <c r="AQ1037" s="75" t="s">
        <v>1629</v>
      </c>
      <c r="AR1037" s="76" t="str">
        <f t="shared" si="1196"/>
        <v>ED8T -14529 -BB</v>
      </c>
      <c r="AS1037" s="77"/>
      <c r="AT1037" s="75">
        <v>0</v>
      </c>
      <c r="AU1037" s="75">
        <v>0</v>
      </c>
      <c r="AV1037" s="75">
        <v>1</v>
      </c>
      <c r="AW1037" s="75">
        <v>1</v>
      </c>
      <c r="AX1037" s="75">
        <v>1</v>
      </c>
      <c r="AY1037" s="75">
        <v>1</v>
      </c>
      <c r="AZ1037" s="75">
        <v>1</v>
      </c>
      <c r="BA1037" s="75">
        <v>1</v>
      </c>
      <c r="BB1037" s="84">
        <f t="shared" si="1194"/>
        <v>0.70000000000000007</v>
      </c>
      <c r="BD1037" s="78">
        <f>-12.28+0.47</f>
        <v>-11.809999999999999</v>
      </c>
      <c r="BE1037" s="78">
        <v>-0.1</v>
      </c>
      <c r="BF1037" s="78">
        <v>0</v>
      </c>
      <c r="BG1037" s="78">
        <v>0</v>
      </c>
      <c r="BH1037" s="78">
        <v>0</v>
      </c>
      <c r="BI1037" s="79">
        <f t="shared" si="1181"/>
        <v>-11.909999999999998</v>
      </c>
      <c r="BJ1037" s="75" t="s">
        <v>91</v>
      </c>
      <c r="BL1037" s="80">
        <v>0</v>
      </c>
      <c r="BM1037" s="80">
        <v>0</v>
      </c>
      <c r="BO1037" s="80">
        <v>0</v>
      </c>
      <c r="BP1037" s="80">
        <v>0</v>
      </c>
      <c r="BQ1037" s="82"/>
      <c r="BS1037" s="61">
        <f t="shared" si="1161"/>
        <v>-0.47000000000000064</v>
      </c>
      <c r="BT1037" s="61">
        <f t="shared" si="1162"/>
        <v>0</v>
      </c>
      <c r="BU1037" s="61">
        <f t="shared" si="1163"/>
        <v>0</v>
      </c>
      <c r="BV1037" s="61">
        <f t="shared" si="1163"/>
        <v>0</v>
      </c>
      <c r="BW1037" s="61">
        <f t="shared" si="1163"/>
        <v>0</v>
      </c>
      <c r="BX1037" s="61">
        <f t="shared" si="1163"/>
        <v>-0.47000000000000064</v>
      </c>
      <c r="BY1037" s="61" t="s">
        <v>91</v>
      </c>
      <c r="BZ1037" s="2"/>
      <c r="CA1037" s="61">
        <f t="shared" si="1164"/>
        <v>0</v>
      </c>
      <c r="CB1037" s="61">
        <f t="shared" si="1164"/>
        <v>0</v>
      </c>
      <c r="CC1037" s="61">
        <f t="shared" si="1164"/>
        <v>-7.0708590341507546E-2</v>
      </c>
      <c r="CD1037" s="61">
        <f t="shared" si="1164"/>
        <v>-7.0708590341507546E-2</v>
      </c>
      <c r="CE1037" s="61">
        <f t="shared" si="1164"/>
        <v>-7.0708590341507546E-2</v>
      </c>
      <c r="CF1037" s="61">
        <f t="shared" si="1164"/>
        <v>-7.0708590341507546E-2</v>
      </c>
      <c r="CG1037" s="61">
        <f t="shared" si="1164"/>
        <v>-7.0708590341507546E-2</v>
      </c>
      <c r="CH1037" s="61">
        <f t="shared" si="1164"/>
        <v>-7.0708590341507546E-2</v>
      </c>
      <c r="CI1037" s="61">
        <f t="shared" si="1165"/>
        <v>-4.9496013239055281E-2</v>
      </c>
      <c r="CJ1037" s="61"/>
      <c r="CK1037" s="61">
        <f t="shared" si="1166"/>
        <v>0</v>
      </c>
      <c r="CL1037" s="61">
        <f t="shared" si="1166"/>
        <v>0</v>
      </c>
      <c r="CM1037" s="61">
        <f t="shared" si="1166"/>
        <v>-7.0708590341507546E-2</v>
      </c>
      <c r="CN1037" s="61">
        <f t="shared" si="1166"/>
        <v>-7.0708590341507546E-2</v>
      </c>
      <c r="CO1037" s="61">
        <f t="shared" si="1166"/>
        <v>-7.0708590341507546E-2</v>
      </c>
      <c r="CP1037" s="61">
        <f t="shared" si="1166"/>
        <v>-7.0708590341507546E-2</v>
      </c>
      <c r="CQ1037" s="61">
        <f t="shared" si="1166"/>
        <v>-7.0708590341507546E-2</v>
      </c>
      <c r="CR1037" s="61">
        <f t="shared" si="1166"/>
        <v>-7.0708590341507546E-2</v>
      </c>
      <c r="CS1037" s="61">
        <f t="shared" si="1167"/>
        <v>-4.9496013239055281E-2</v>
      </c>
      <c r="CT1037" s="67">
        <f t="shared" si="1173"/>
        <v>-0.32900000000000046</v>
      </c>
      <c r="CU1037" s="2"/>
      <c r="CV1037" s="61">
        <f t="shared" si="1172"/>
        <v>0</v>
      </c>
      <c r="CW1037" s="61">
        <f t="shared" si="1169"/>
        <v>0</v>
      </c>
      <c r="CX1037" s="61"/>
      <c r="CY1037" s="61">
        <f t="shared" si="1186"/>
        <v>0</v>
      </c>
      <c r="CZ1037" s="61">
        <f t="shared" si="1186"/>
        <v>0</v>
      </c>
      <c r="DA1037" s="61">
        <f t="shared" si="1186"/>
        <v>0</v>
      </c>
      <c r="DB1037" s="75" t="s">
        <v>102</v>
      </c>
      <c r="DC1037" s="75" t="s">
        <v>102</v>
      </c>
      <c r="DD1037" s="75" t="s">
        <v>142</v>
      </c>
      <c r="DE1037" s="75" t="s">
        <v>257</v>
      </c>
      <c r="DF1037" s="77" t="s">
        <v>248</v>
      </c>
      <c r="DG1037" s="83">
        <v>42793</v>
      </c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77"/>
      <c r="EC1037" s="78" t="e">
        <f>VLOOKUP($M1037,[1]Detail!$M:$BO,1,0)</f>
        <v>#N/A</v>
      </c>
      <c r="ED1037" s="78" t="e">
        <f>VLOOKUP($M1037,[1]Detail!$M:$BO,22,0)</f>
        <v>#N/A</v>
      </c>
      <c r="EE1037" s="78" t="e">
        <f>VLOOKUP($M1037,[1]Detail!$M:$BO,42,0)</f>
        <v>#N/A</v>
      </c>
      <c r="EF1037" s="78" t="e">
        <f>VLOOKUP($M1037,[1]Detail!$M:$BO,45,0)</f>
        <v>#N/A</v>
      </c>
      <c r="EH1037" s="78" t="e">
        <f t="shared" si="1201"/>
        <v>#N/A</v>
      </c>
      <c r="EI1037" s="78" t="e">
        <f t="shared" si="1202"/>
        <v>#N/A</v>
      </c>
      <c r="EJ1037" s="78" t="e">
        <f t="shared" si="1203"/>
        <v>#N/A</v>
      </c>
    </row>
    <row r="1038" spans="2:140" ht="12.75" hidden="1" customHeight="1">
      <c r="B1038" s="23" t="s">
        <v>1636</v>
      </c>
      <c r="C1038" s="22" t="s">
        <v>1637</v>
      </c>
      <c r="D1038" s="22" t="s">
        <v>1638</v>
      </c>
      <c r="E1038" s="22" t="s">
        <v>1633</v>
      </c>
      <c r="F1038" s="22" t="s">
        <v>1626</v>
      </c>
      <c r="G1038" s="2" t="s">
        <v>331</v>
      </c>
      <c r="J1038" s="22" t="s">
        <v>1639</v>
      </c>
      <c r="K1038" s="23" t="s">
        <v>1640</v>
      </c>
      <c r="L1038" s="22" t="s">
        <v>1641</v>
      </c>
      <c r="M1038" s="51" t="str">
        <f t="shared" si="1179"/>
        <v>DG9T -14B531-EB </v>
      </c>
      <c r="O1038" s="22">
        <v>0</v>
      </c>
      <c r="P1038" s="22">
        <v>0</v>
      </c>
      <c r="Q1038" s="22">
        <v>0</v>
      </c>
      <c r="R1038" s="22">
        <v>0</v>
      </c>
      <c r="S1038" s="22">
        <v>0</v>
      </c>
      <c r="T1038" s="22">
        <v>0</v>
      </c>
      <c r="U1038" s="22">
        <v>1</v>
      </c>
      <c r="V1038" s="22">
        <v>1</v>
      </c>
      <c r="W1038" s="64">
        <f t="shared" si="1199"/>
        <v>0.1</v>
      </c>
      <c r="Y1038" s="60">
        <f>-72.82-AB1038</f>
        <v>-72.819999999999993</v>
      </c>
      <c r="Z1038" s="60">
        <v>-0.6</v>
      </c>
      <c r="AA1038" s="60">
        <v>0</v>
      </c>
      <c r="AB1038" s="60">
        <v>0</v>
      </c>
      <c r="AC1038" s="60">
        <v>0</v>
      </c>
      <c r="AD1038" s="8">
        <f t="shared" si="1188"/>
        <v>-73.419999999999987</v>
      </c>
      <c r="AE1038" s="2" t="s">
        <v>91</v>
      </c>
      <c r="AG1038" s="71">
        <v>0</v>
      </c>
      <c r="AH1038" s="71">
        <v>0</v>
      </c>
      <c r="AJ1038" s="71">
        <v>0</v>
      </c>
      <c r="AK1038" s="71">
        <v>0</v>
      </c>
      <c r="AL1038" s="72"/>
      <c r="AM1038" s="22"/>
      <c r="AO1038" s="22" t="s">
        <v>1642</v>
      </c>
      <c r="AP1038" s="23" t="s">
        <v>1643</v>
      </c>
      <c r="AQ1038" s="22" t="s">
        <v>1644</v>
      </c>
      <c r="AR1038" s="51" t="str">
        <f t="shared" si="1196"/>
        <v>GN15 -14B531-AA </v>
      </c>
      <c r="AS1038" s="3"/>
      <c r="AT1038" s="22">
        <v>0</v>
      </c>
      <c r="AU1038" s="22">
        <v>0</v>
      </c>
      <c r="AV1038" s="22">
        <v>0</v>
      </c>
      <c r="AW1038" s="22">
        <v>0</v>
      </c>
      <c r="AX1038" s="22">
        <v>0</v>
      </c>
      <c r="AY1038" s="22">
        <v>0</v>
      </c>
      <c r="AZ1038" s="22">
        <v>1</v>
      </c>
      <c r="BA1038" s="22">
        <v>1</v>
      </c>
      <c r="BB1038" s="64">
        <f t="shared" si="1194"/>
        <v>0.1</v>
      </c>
      <c r="BD1038" s="60">
        <v>-74.66</v>
      </c>
      <c r="BE1038" s="60">
        <v>-0.6</v>
      </c>
      <c r="BF1038" s="60">
        <v>0</v>
      </c>
      <c r="BG1038" s="60">
        <v>0</v>
      </c>
      <c r="BH1038" s="60">
        <v>-0.12</v>
      </c>
      <c r="BI1038" s="8">
        <f t="shared" si="1181"/>
        <v>-75.38</v>
      </c>
      <c r="BJ1038" s="2" t="s">
        <v>91</v>
      </c>
      <c r="BL1038" s="71">
        <v>0</v>
      </c>
      <c r="BM1038" s="71">
        <v>0</v>
      </c>
      <c r="BO1038" s="71">
        <v>-30216.48</v>
      </c>
      <c r="BP1038" s="71">
        <v>125902</v>
      </c>
      <c r="BQ1038" s="71">
        <v>0</v>
      </c>
      <c r="BS1038" s="61">
        <f t="shared" ref="BS1038:BX1069" si="1204">Y1038-BD1038</f>
        <v>1.8400000000000034</v>
      </c>
      <c r="BT1038" s="61">
        <f t="shared" si="1204"/>
        <v>0</v>
      </c>
      <c r="BU1038" s="61">
        <f t="shared" si="1204"/>
        <v>0</v>
      </c>
      <c r="BV1038" s="61">
        <f t="shared" si="1204"/>
        <v>0</v>
      </c>
      <c r="BW1038" s="61">
        <f t="shared" si="1204"/>
        <v>0.12</v>
      </c>
      <c r="BX1038" s="61">
        <f t="shared" si="1204"/>
        <v>1.960000000000008</v>
      </c>
      <c r="BY1038" s="61" t="s">
        <v>91</v>
      </c>
      <c r="CA1038" s="61">
        <f t="shared" si="1164"/>
        <v>0</v>
      </c>
      <c r="CB1038" s="61">
        <f t="shared" si="1164"/>
        <v>0</v>
      </c>
      <c r="CC1038" s="61">
        <f t="shared" si="1164"/>
        <v>0</v>
      </c>
      <c r="CD1038" s="61">
        <f t="shared" si="1164"/>
        <v>0</v>
      </c>
      <c r="CE1038" s="61">
        <f t="shared" si="1164"/>
        <v>0</v>
      </c>
      <c r="CF1038" s="61">
        <f t="shared" si="1164"/>
        <v>0</v>
      </c>
      <c r="CG1038" s="61">
        <f t="shared" si="1164"/>
        <v>0.27681660899654031</v>
      </c>
      <c r="CH1038" s="61">
        <f t="shared" si="1164"/>
        <v>0.27681660899654031</v>
      </c>
      <c r="CI1038" s="61">
        <f t="shared" si="1165"/>
        <v>2.7681660899654032E-2</v>
      </c>
      <c r="CJ1038" s="61"/>
      <c r="CK1038" s="61">
        <f t="shared" si="1166"/>
        <v>0</v>
      </c>
      <c r="CL1038" s="61">
        <f t="shared" si="1166"/>
        <v>0</v>
      </c>
      <c r="CM1038" s="61">
        <f t="shared" si="1166"/>
        <v>0</v>
      </c>
      <c r="CN1038" s="61">
        <f t="shared" si="1166"/>
        <v>0</v>
      </c>
      <c r="CO1038" s="61">
        <f t="shared" si="1166"/>
        <v>0</v>
      </c>
      <c r="CP1038" s="61">
        <f t="shared" si="1166"/>
        <v>0</v>
      </c>
      <c r="CQ1038" s="61">
        <f t="shared" si="1166"/>
        <v>0.29486986610501098</v>
      </c>
      <c r="CR1038" s="61">
        <f t="shared" si="1166"/>
        <v>0.29486986610501098</v>
      </c>
      <c r="CS1038" s="61">
        <f t="shared" si="1167"/>
        <v>2.9486986610501101E-2</v>
      </c>
      <c r="CT1038" s="67">
        <f t="shared" si="1173"/>
        <v>0.19600000000000081</v>
      </c>
      <c r="CV1038" s="61">
        <f t="shared" si="1172"/>
        <v>0</v>
      </c>
      <c r="CW1038" s="61">
        <f t="shared" si="1169"/>
        <v>0</v>
      </c>
      <c r="CX1038" s="61"/>
      <c r="CY1038" s="61">
        <f t="shared" si="1186"/>
        <v>30216.48</v>
      </c>
      <c r="CZ1038" s="61">
        <f t="shared" si="1186"/>
        <v>-125902</v>
      </c>
      <c r="DA1038" s="61">
        <f t="shared" si="1186"/>
        <v>0</v>
      </c>
      <c r="DB1038" s="2" t="s">
        <v>102</v>
      </c>
      <c r="DC1038" s="2" t="s">
        <v>102</v>
      </c>
      <c r="DD1038" s="2" t="s">
        <v>142</v>
      </c>
      <c r="DE1038" s="2" t="s">
        <v>257</v>
      </c>
      <c r="DF1038" s="3" t="s">
        <v>102</v>
      </c>
      <c r="DG1038" s="62">
        <v>42816</v>
      </c>
      <c r="EC1038" s="60" t="str">
        <f>VLOOKUP($M1038,[1]Detail!$M:$BO,1,0)</f>
        <v>DG9T -14B531-EB </v>
      </c>
      <c r="ED1038" s="60">
        <f>VLOOKUP($M1038,[1]Detail!$M:$BO,22,0)</f>
        <v>-73.419999999999987</v>
      </c>
      <c r="EE1038" s="60">
        <f>VLOOKUP($M1038,[1]Detail!$M:$BO,42,0)</f>
        <v>0</v>
      </c>
      <c r="EF1038" s="60">
        <f>VLOOKUP($M1038,[1]Detail!$M:$BO,45,0)</f>
        <v>0</v>
      </c>
      <c r="EH1038" s="60">
        <f t="shared" si="1201"/>
        <v>0</v>
      </c>
      <c r="EI1038" s="60">
        <f t="shared" si="1202"/>
        <v>0</v>
      </c>
      <c r="EJ1038" s="60">
        <f t="shared" si="1203"/>
        <v>0</v>
      </c>
    </row>
    <row r="1039" spans="2:140" ht="12.75" hidden="1" customHeight="1">
      <c r="B1039" s="23" t="s">
        <v>1636</v>
      </c>
      <c r="C1039" s="22" t="s">
        <v>1637</v>
      </c>
      <c r="D1039" s="22" t="s">
        <v>1645</v>
      </c>
      <c r="E1039" s="22" t="s">
        <v>1633</v>
      </c>
      <c r="F1039" s="22" t="s">
        <v>1626</v>
      </c>
      <c r="G1039" s="2" t="s">
        <v>331</v>
      </c>
      <c r="J1039" s="22" t="s">
        <v>1639</v>
      </c>
      <c r="K1039" s="23" t="s">
        <v>1646</v>
      </c>
      <c r="L1039" s="22" t="s">
        <v>1641</v>
      </c>
      <c r="M1039" s="51" t="str">
        <f t="shared" si="1179"/>
        <v>DG9T -14B533 -EB </v>
      </c>
      <c r="O1039" s="22">
        <v>0</v>
      </c>
      <c r="P1039" s="22">
        <v>0</v>
      </c>
      <c r="Q1039" s="22">
        <v>0</v>
      </c>
      <c r="R1039" s="22">
        <v>0</v>
      </c>
      <c r="S1039" s="22">
        <v>0</v>
      </c>
      <c r="T1039" s="22">
        <v>0</v>
      </c>
      <c r="U1039" s="22">
        <v>1</v>
      </c>
      <c r="V1039" s="22">
        <v>1</v>
      </c>
      <c r="W1039" s="64">
        <f t="shared" si="1199"/>
        <v>0.1</v>
      </c>
      <c r="Y1039" s="60">
        <f>-72.82-AB1039</f>
        <v>-72.819999999999993</v>
      </c>
      <c r="Z1039" s="60">
        <v>-0.6</v>
      </c>
      <c r="AA1039" s="60">
        <v>0</v>
      </c>
      <c r="AB1039" s="60">
        <v>0</v>
      </c>
      <c r="AC1039" s="60">
        <v>0</v>
      </c>
      <c r="AD1039" s="8">
        <f t="shared" si="1188"/>
        <v>-73.419999999999987</v>
      </c>
      <c r="AE1039" s="2" t="s">
        <v>91</v>
      </c>
      <c r="AG1039" s="71">
        <v>0</v>
      </c>
      <c r="AH1039" s="71">
        <v>0</v>
      </c>
      <c r="AJ1039" s="71">
        <v>0</v>
      </c>
      <c r="AK1039" s="71">
        <v>0</v>
      </c>
      <c r="AL1039" s="72"/>
      <c r="AM1039" s="22"/>
      <c r="AO1039" s="22" t="s">
        <v>1642</v>
      </c>
      <c r="AP1039" s="23" t="s">
        <v>1646</v>
      </c>
      <c r="AQ1039" s="22" t="s">
        <v>1644</v>
      </c>
      <c r="AR1039" s="51" t="str">
        <f t="shared" si="1196"/>
        <v>GN15 -14B533 -AA </v>
      </c>
      <c r="AS1039" s="3"/>
      <c r="AT1039" s="22">
        <v>0</v>
      </c>
      <c r="AU1039" s="22">
        <v>0</v>
      </c>
      <c r="AV1039" s="22">
        <v>0</v>
      </c>
      <c r="AW1039" s="22">
        <v>0</v>
      </c>
      <c r="AX1039" s="22">
        <v>0</v>
      </c>
      <c r="AY1039" s="22">
        <v>0</v>
      </c>
      <c r="AZ1039" s="22">
        <v>1</v>
      </c>
      <c r="BA1039" s="22">
        <v>1</v>
      </c>
      <c r="BB1039" s="64">
        <f t="shared" si="1194"/>
        <v>0.1</v>
      </c>
      <c r="BD1039" s="60">
        <v>-74.66</v>
      </c>
      <c r="BE1039" s="60">
        <v>-0.6</v>
      </c>
      <c r="BF1039" s="60">
        <v>0</v>
      </c>
      <c r="BG1039" s="60">
        <v>0</v>
      </c>
      <c r="BH1039" s="60">
        <v>-0.12</v>
      </c>
      <c r="BI1039" s="8">
        <f t="shared" si="1181"/>
        <v>-75.38</v>
      </c>
      <c r="BJ1039" s="2" t="s">
        <v>91</v>
      </c>
      <c r="BL1039" s="71">
        <v>0</v>
      </c>
      <c r="BM1039" s="71">
        <v>0</v>
      </c>
      <c r="BO1039" s="71">
        <v>0</v>
      </c>
      <c r="BP1039" s="71">
        <v>0</v>
      </c>
      <c r="BQ1039" s="71"/>
      <c r="BS1039" s="61">
        <f t="shared" si="1204"/>
        <v>1.8400000000000034</v>
      </c>
      <c r="BT1039" s="61">
        <f t="shared" si="1204"/>
        <v>0</v>
      </c>
      <c r="BU1039" s="61">
        <f t="shared" si="1204"/>
        <v>0</v>
      </c>
      <c r="BV1039" s="61">
        <f t="shared" si="1204"/>
        <v>0</v>
      </c>
      <c r="BW1039" s="61">
        <f t="shared" si="1204"/>
        <v>0.12</v>
      </c>
      <c r="BX1039" s="61">
        <f t="shared" si="1204"/>
        <v>1.960000000000008</v>
      </c>
      <c r="BY1039" s="61" t="s">
        <v>91</v>
      </c>
      <c r="CA1039" s="61">
        <f t="shared" si="1164"/>
        <v>0</v>
      </c>
      <c r="CB1039" s="61">
        <f t="shared" si="1164"/>
        <v>0</v>
      </c>
      <c r="CC1039" s="61">
        <f t="shared" si="1164"/>
        <v>0</v>
      </c>
      <c r="CD1039" s="61">
        <f t="shared" si="1164"/>
        <v>0</v>
      </c>
      <c r="CE1039" s="61">
        <f t="shared" si="1164"/>
        <v>0</v>
      </c>
      <c r="CF1039" s="61">
        <f t="shared" si="1164"/>
        <v>0</v>
      </c>
      <c r="CG1039" s="61">
        <f t="shared" si="1164"/>
        <v>0.27681660899654031</v>
      </c>
      <c r="CH1039" s="61">
        <f t="shared" si="1164"/>
        <v>0.27681660899654031</v>
      </c>
      <c r="CI1039" s="61">
        <f t="shared" si="1165"/>
        <v>2.7681660899654032E-2</v>
      </c>
      <c r="CJ1039" s="61"/>
      <c r="CK1039" s="61">
        <f t="shared" si="1166"/>
        <v>0</v>
      </c>
      <c r="CL1039" s="61">
        <f t="shared" si="1166"/>
        <v>0</v>
      </c>
      <c r="CM1039" s="61">
        <f t="shared" si="1166"/>
        <v>0</v>
      </c>
      <c r="CN1039" s="61">
        <f t="shared" si="1166"/>
        <v>0</v>
      </c>
      <c r="CO1039" s="61">
        <f t="shared" si="1166"/>
        <v>0</v>
      </c>
      <c r="CP1039" s="61">
        <f t="shared" si="1166"/>
        <v>0</v>
      </c>
      <c r="CQ1039" s="61">
        <f t="shared" si="1166"/>
        <v>0.29486986610501098</v>
      </c>
      <c r="CR1039" s="61">
        <f t="shared" si="1166"/>
        <v>0.29486986610501098</v>
      </c>
      <c r="CS1039" s="61">
        <f t="shared" si="1167"/>
        <v>2.9486986610501101E-2</v>
      </c>
      <c r="CT1039" s="67">
        <f t="shared" si="1173"/>
        <v>0.19600000000000081</v>
      </c>
      <c r="CV1039" s="61">
        <f t="shared" si="1172"/>
        <v>0</v>
      </c>
      <c r="CW1039" s="61">
        <f t="shared" si="1169"/>
        <v>0</v>
      </c>
      <c r="CX1039" s="61"/>
      <c r="CY1039" s="61">
        <f t="shared" si="1186"/>
        <v>0</v>
      </c>
      <c r="CZ1039" s="61">
        <f t="shared" si="1186"/>
        <v>0</v>
      </c>
      <c r="DA1039" s="61">
        <f t="shared" si="1186"/>
        <v>0</v>
      </c>
      <c r="DB1039" s="2" t="s">
        <v>102</v>
      </c>
      <c r="DC1039" s="2" t="s">
        <v>102</v>
      </c>
      <c r="DD1039" s="2" t="s">
        <v>142</v>
      </c>
      <c r="DE1039" s="2" t="s">
        <v>257</v>
      </c>
      <c r="DF1039" s="3" t="s">
        <v>102</v>
      </c>
      <c r="DG1039" s="62">
        <v>42816</v>
      </c>
      <c r="EC1039" s="60" t="str">
        <f>VLOOKUP($M1039,[1]Detail!$M:$BO,1,0)</f>
        <v>DG9T -14B533 -EB </v>
      </c>
      <c r="ED1039" s="60">
        <f>VLOOKUP($M1039,[1]Detail!$M:$BO,22,0)</f>
        <v>-73.419999999999987</v>
      </c>
      <c r="EE1039" s="60">
        <f>VLOOKUP($M1039,[1]Detail!$M:$BO,42,0)</f>
        <v>0</v>
      </c>
      <c r="EF1039" s="60">
        <f>VLOOKUP($M1039,[1]Detail!$M:$BO,45,0)</f>
        <v>0</v>
      </c>
      <c r="EH1039" s="60">
        <f t="shared" si="1201"/>
        <v>0</v>
      </c>
      <c r="EI1039" s="60">
        <f t="shared" si="1202"/>
        <v>0</v>
      </c>
      <c r="EJ1039" s="60">
        <f t="shared" si="1203"/>
        <v>0</v>
      </c>
    </row>
    <row r="1040" spans="2:140" ht="12.75" hidden="1" customHeight="1">
      <c r="B1040" s="23" t="s">
        <v>1647</v>
      </c>
      <c r="C1040" s="22" t="s">
        <v>1648</v>
      </c>
      <c r="D1040" s="22" t="s">
        <v>1649</v>
      </c>
      <c r="E1040" s="22" t="s">
        <v>1633</v>
      </c>
      <c r="F1040" s="22" t="s">
        <v>1626</v>
      </c>
      <c r="G1040" s="2" t="s">
        <v>331</v>
      </c>
      <c r="J1040" s="22" t="str">
        <f t="shared" ref="J1040:L1049" si="1205">AO1040</f>
        <v>JU5T</v>
      </c>
      <c r="K1040" s="23" t="str">
        <f t="shared" si="1205"/>
        <v>15604</v>
      </c>
      <c r="L1040" s="22" t="str">
        <f t="shared" si="1205"/>
        <v>MCA</v>
      </c>
      <c r="M1040" s="51" t="str">
        <f t="shared" si="1179"/>
        <v>JU5T-15604-MCA</v>
      </c>
      <c r="O1040" s="22">
        <f t="shared" ref="O1040:V1049" si="1206">AT1040</f>
        <v>1</v>
      </c>
      <c r="P1040" s="22">
        <f t="shared" si="1206"/>
        <v>1</v>
      </c>
      <c r="Q1040" s="22">
        <f t="shared" si="1206"/>
        <v>1</v>
      </c>
      <c r="R1040" s="22">
        <f t="shared" si="1206"/>
        <v>1</v>
      </c>
      <c r="S1040" s="22">
        <f t="shared" si="1206"/>
        <v>1</v>
      </c>
      <c r="T1040" s="22">
        <f t="shared" si="1206"/>
        <v>1</v>
      </c>
      <c r="U1040" s="22">
        <f t="shared" si="1206"/>
        <v>0</v>
      </c>
      <c r="V1040" s="22">
        <f t="shared" si="1206"/>
        <v>0</v>
      </c>
      <c r="W1040" s="64">
        <f t="shared" si="1199"/>
        <v>0.9</v>
      </c>
      <c r="Y1040" s="60">
        <f t="shared" ref="Y1040:AC1049" si="1207">BD1040</f>
        <v>-310.67</v>
      </c>
      <c r="Z1040" s="60">
        <f t="shared" si="1207"/>
        <v>-2.15</v>
      </c>
      <c r="AA1040" s="60">
        <f t="shared" si="1207"/>
        <v>-4.1500000000000004</v>
      </c>
      <c r="AB1040" s="60">
        <f t="shared" si="1207"/>
        <v>0</v>
      </c>
      <c r="AC1040" s="60">
        <f t="shared" si="1207"/>
        <v>-4.2699999999999996</v>
      </c>
      <c r="AD1040" s="8">
        <f t="shared" si="1188"/>
        <v>-321.23999999999995</v>
      </c>
      <c r="AE1040" s="2" t="s">
        <v>91</v>
      </c>
      <c r="AG1040" s="71">
        <v>0</v>
      </c>
      <c r="AH1040" s="71">
        <v>0</v>
      </c>
      <c r="AJ1040" s="71">
        <f t="shared" ref="AJ1040:AK1049" si="1208">BO1040</f>
        <v>-2453189.2000000002</v>
      </c>
      <c r="AK1040" s="71">
        <f t="shared" si="1208"/>
        <v>574899</v>
      </c>
      <c r="AL1040" s="72"/>
      <c r="AM1040" s="22"/>
      <c r="AO1040" s="22" t="s">
        <v>1650</v>
      </c>
      <c r="AP1040" s="23" t="s">
        <v>1651</v>
      </c>
      <c r="AQ1040" s="22" t="s">
        <v>1652</v>
      </c>
      <c r="AR1040" s="51" t="str">
        <f t="shared" si="1196"/>
        <v>JU5T-15604-MCA</v>
      </c>
      <c r="AS1040" s="3"/>
      <c r="AT1040" s="22">
        <v>1</v>
      </c>
      <c r="AU1040" s="22">
        <v>1</v>
      </c>
      <c r="AV1040" s="22">
        <v>1</v>
      </c>
      <c r="AW1040" s="22">
        <v>1</v>
      </c>
      <c r="AX1040" s="22">
        <v>1</v>
      </c>
      <c r="AY1040" s="22">
        <v>1</v>
      </c>
      <c r="AZ1040" s="22">
        <v>0</v>
      </c>
      <c r="BA1040" s="22">
        <v>0</v>
      </c>
      <c r="BB1040" s="64">
        <f t="shared" si="1194"/>
        <v>0.9</v>
      </c>
      <c r="BD1040" s="60">
        <v>-310.67</v>
      </c>
      <c r="BE1040" s="60">
        <v>-2.15</v>
      </c>
      <c r="BF1040" s="60">
        <v>-4.1500000000000004</v>
      </c>
      <c r="BG1040" s="60">
        <v>0</v>
      </c>
      <c r="BH1040" s="60">
        <v>-4.2699999999999996</v>
      </c>
      <c r="BI1040" s="8">
        <f t="shared" si="1181"/>
        <v>-321.23999999999995</v>
      </c>
      <c r="BJ1040" s="2" t="s">
        <v>91</v>
      </c>
      <c r="BL1040" s="71">
        <v>0</v>
      </c>
      <c r="BM1040" s="71">
        <v>0</v>
      </c>
      <c r="BO1040" s="71">
        <v>-2453189.2000000002</v>
      </c>
      <c r="BP1040" s="71">
        <v>574899</v>
      </c>
      <c r="BQ1040" s="72"/>
      <c r="BS1040" s="61">
        <f t="shared" si="1204"/>
        <v>0</v>
      </c>
      <c r="BT1040" s="61">
        <f t="shared" si="1204"/>
        <v>0</v>
      </c>
      <c r="BU1040" s="61">
        <f t="shared" si="1204"/>
        <v>0</v>
      </c>
      <c r="BV1040" s="61">
        <f t="shared" si="1204"/>
        <v>0</v>
      </c>
      <c r="BW1040" s="61">
        <f t="shared" si="1204"/>
        <v>0</v>
      </c>
      <c r="BX1040" s="61">
        <f t="shared" si="1204"/>
        <v>0</v>
      </c>
      <c r="BY1040" s="61" t="s">
        <v>91</v>
      </c>
      <c r="CA1040" s="61">
        <f t="shared" si="1164"/>
        <v>0</v>
      </c>
      <c r="CB1040" s="61">
        <f t="shared" si="1164"/>
        <v>0</v>
      </c>
      <c r="CC1040" s="61">
        <f t="shared" si="1164"/>
        <v>0</v>
      </c>
      <c r="CD1040" s="61">
        <f t="shared" si="1164"/>
        <v>0</v>
      </c>
      <c r="CE1040" s="61">
        <f t="shared" si="1164"/>
        <v>0</v>
      </c>
      <c r="CF1040" s="61">
        <f t="shared" si="1164"/>
        <v>0</v>
      </c>
      <c r="CG1040" s="61">
        <f t="shared" si="1164"/>
        <v>0</v>
      </c>
      <c r="CH1040" s="61">
        <f t="shared" si="1164"/>
        <v>0</v>
      </c>
      <c r="CI1040" s="61">
        <f t="shared" si="1165"/>
        <v>0</v>
      </c>
      <c r="CJ1040" s="61"/>
      <c r="CK1040" s="61">
        <f t="shared" si="1166"/>
        <v>0</v>
      </c>
      <c r="CL1040" s="61">
        <f t="shared" si="1166"/>
        <v>0</v>
      </c>
      <c r="CM1040" s="61">
        <f t="shared" si="1166"/>
        <v>0</v>
      </c>
      <c r="CN1040" s="61">
        <f t="shared" si="1166"/>
        <v>0</v>
      </c>
      <c r="CO1040" s="61">
        <f t="shared" si="1166"/>
        <v>0</v>
      </c>
      <c r="CP1040" s="61">
        <f t="shared" si="1166"/>
        <v>0</v>
      </c>
      <c r="CQ1040" s="61">
        <f t="shared" si="1166"/>
        <v>0</v>
      </c>
      <c r="CR1040" s="61">
        <f t="shared" si="1166"/>
        <v>0</v>
      </c>
      <c r="CS1040" s="61">
        <f t="shared" si="1167"/>
        <v>0</v>
      </c>
      <c r="CT1040" s="67">
        <f t="shared" si="1173"/>
        <v>0</v>
      </c>
      <c r="CV1040" s="61">
        <f t="shared" si="1172"/>
        <v>0</v>
      </c>
      <c r="CW1040" s="61">
        <f t="shared" si="1169"/>
        <v>0</v>
      </c>
      <c r="CX1040" s="61"/>
      <c r="CY1040" s="61">
        <f t="shared" si="1186"/>
        <v>0</v>
      </c>
      <c r="CZ1040" s="61">
        <f t="shared" si="1186"/>
        <v>0</v>
      </c>
      <c r="DA1040" s="61">
        <f t="shared" si="1186"/>
        <v>0</v>
      </c>
      <c r="DB1040" s="2" t="s">
        <v>85</v>
      </c>
      <c r="DC1040" s="2" t="s">
        <v>102</v>
      </c>
      <c r="DD1040" s="2" t="s">
        <v>142</v>
      </c>
      <c r="DE1040" s="2" t="s">
        <v>257</v>
      </c>
      <c r="DF1040" s="3" t="s">
        <v>248</v>
      </c>
      <c r="DG1040" s="62">
        <v>42787</v>
      </c>
      <c r="EC1040" s="60"/>
      <c r="ED1040" s="60"/>
      <c r="EE1040" s="60"/>
      <c r="EF1040" s="60"/>
    </row>
    <row r="1041" spans="2:140" ht="12.75" hidden="1" customHeight="1">
      <c r="B1041" s="23" t="s">
        <v>1653</v>
      </c>
      <c r="C1041" s="22" t="s">
        <v>1648</v>
      </c>
      <c r="D1041" s="22" t="s">
        <v>1649</v>
      </c>
      <c r="E1041" s="22" t="s">
        <v>1633</v>
      </c>
      <c r="F1041" s="22" t="s">
        <v>1626</v>
      </c>
      <c r="G1041" s="2" t="s">
        <v>331</v>
      </c>
      <c r="J1041" s="22" t="str">
        <f t="shared" si="1205"/>
        <v>JU5T</v>
      </c>
      <c r="K1041" s="23" t="str">
        <f t="shared" si="1205"/>
        <v>15604</v>
      </c>
      <c r="L1041" s="22" t="str">
        <f t="shared" si="1205"/>
        <v>KCA</v>
      </c>
      <c r="M1041" s="51" t="str">
        <f t="shared" si="1179"/>
        <v>JU5T-15604-KCA</v>
      </c>
      <c r="O1041" s="22">
        <f t="shared" si="1206"/>
        <v>0</v>
      </c>
      <c r="P1041" s="22">
        <f t="shared" si="1206"/>
        <v>0</v>
      </c>
      <c r="Q1041" s="22">
        <f t="shared" si="1206"/>
        <v>0</v>
      </c>
      <c r="R1041" s="22">
        <f t="shared" si="1206"/>
        <v>0</v>
      </c>
      <c r="S1041" s="22">
        <f t="shared" si="1206"/>
        <v>0</v>
      </c>
      <c r="T1041" s="22">
        <f t="shared" si="1206"/>
        <v>0</v>
      </c>
      <c r="U1041" s="22">
        <f t="shared" si="1206"/>
        <v>1</v>
      </c>
      <c r="V1041" s="22">
        <f t="shared" si="1206"/>
        <v>1</v>
      </c>
      <c r="W1041" s="64">
        <f t="shared" si="1199"/>
        <v>0.1</v>
      </c>
      <c r="Y1041" s="60">
        <f t="shared" si="1207"/>
        <v>-347.63</v>
      </c>
      <c r="Z1041" s="60">
        <f t="shared" si="1207"/>
        <v>-2.15</v>
      </c>
      <c r="AA1041" s="60">
        <f t="shared" si="1207"/>
        <v>-4.1500000000000004</v>
      </c>
      <c r="AB1041" s="60">
        <f t="shared" si="1207"/>
        <v>0</v>
      </c>
      <c r="AC1041" s="60">
        <f t="shared" si="1207"/>
        <v>-4.2699999999999996</v>
      </c>
      <c r="AD1041" s="8">
        <f t="shared" si="1188"/>
        <v>-358.19999999999993</v>
      </c>
      <c r="AE1041" s="2" t="s">
        <v>91</v>
      </c>
      <c r="AG1041" s="71">
        <v>0</v>
      </c>
      <c r="AH1041" s="71">
        <v>0</v>
      </c>
      <c r="AJ1041" s="71">
        <f t="shared" si="1208"/>
        <v>0</v>
      </c>
      <c r="AK1041" s="71">
        <f t="shared" si="1208"/>
        <v>0</v>
      </c>
      <c r="AL1041" s="72"/>
      <c r="AM1041" s="22"/>
      <c r="AO1041" s="22" t="s">
        <v>1650</v>
      </c>
      <c r="AP1041" s="23" t="s">
        <v>1651</v>
      </c>
      <c r="AQ1041" s="22" t="s">
        <v>1654</v>
      </c>
      <c r="AR1041" s="51" t="str">
        <f t="shared" si="1196"/>
        <v>JU5T-15604-KCA</v>
      </c>
      <c r="AS1041" s="3"/>
      <c r="AT1041" s="22">
        <v>0</v>
      </c>
      <c r="AU1041" s="22">
        <v>0</v>
      </c>
      <c r="AV1041" s="22">
        <v>0</v>
      </c>
      <c r="AW1041" s="22">
        <v>0</v>
      </c>
      <c r="AX1041" s="22">
        <v>0</v>
      </c>
      <c r="AY1041" s="22">
        <v>0</v>
      </c>
      <c r="AZ1041" s="22">
        <v>1</v>
      </c>
      <c r="BA1041" s="22">
        <v>1</v>
      </c>
      <c r="BB1041" s="64">
        <f t="shared" si="1194"/>
        <v>0.1</v>
      </c>
      <c r="BD1041" s="60">
        <v>-347.63</v>
      </c>
      <c r="BE1041" s="60">
        <v>-2.15</v>
      </c>
      <c r="BF1041" s="60">
        <v>-4.1500000000000004</v>
      </c>
      <c r="BG1041" s="60">
        <v>0</v>
      </c>
      <c r="BH1041" s="60">
        <v>-4.2699999999999996</v>
      </c>
      <c r="BI1041" s="8">
        <f t="shared" si="1181"/>
        <v>-358.19999999999993</v>
      </c>
      <c r="BJ1041" s="2" t="s">
        <v>91</v>
      </c>
      <c r="BL1041" s="71">
        <v>0</v>
      </c>
      <c r="BM1041" s="71">
        <v>0</v>
      </c>
      <c r="BO1041" s="71">
        <v>0</v>
      </c>
      <c r="BP1041" s="71">
        <v>0</v>
      </c>
      <c r="BQ1041" s="72"/>
      <c r="BS1041" s="61">
        <f t="shared" si="1204"/>
        <v>0</v>
      </c>
      <c r="BT1041" s="61">
        <f t="shared" si="1204"/>
        <v>0</v>
      </c>
      <c r="BU1041" s="61">
        <f t="shared" si="1204"/>
        <v>0</v>
      </c>
      <c r="BV1041" s="61">
        <f t="shared" si="1204"/>
        <v>0</v>
      </c>
      <c r="BW1041" s="61">
        <f t="shared" si="1204"/>
        <v>0</v>
      </c>
      <c r="BX1041" s="61">
        <f t="shared" si="1204"/>
        <v>0</v>
      </c>
      <c r="BY1041" s="61" t="s">
        <v>91</v>
      </c>
      <c r="CA1041" s="61">
        <f t="shared" si="1164"/>
        <v>0</v>
      </c>
      <c r="CB1041" s="61">
        <f t="shared" si="1164"/>
        <v>0</v>
      </c>
      <c r="CC1041" s="61">
        <f t="shared" si="1164"/>
        <v>0</v>
      </c>
      <c r="CD1041" s="61">
        <f t="shared" si="1164"/>
        <v>0</v>
      </c>
      <c r="CE1041" s="61">
        <f t="shared" si="1164"/>
        <v>0</v>
      </c>
      <c r="CF1041" s="61">
        <f t="shared" si="1164"/>
        <v>0</v>
      </c>
      <c r="CG1041" s="61">
        <f t="shared" si="1164"/>
        <v>0</v>
      </c>
      <c r="CH1041" s="61">
        <f t="shared" ref="CH1041:CH1104" si="1209">($Y1041*V1041-BA1041*$BD1041)/$C$2</f>
        <v>0</v>
      </c>
      <c r="CI1041" s="61">
        <f t="shared" si="1165"/>
        <v>0</v>
      </c>
      <c r="CJ1041" s="61"/>
      <c r="CK1041" s="61">
        <f t="shared" si="1166"/>
        <v>0</v>
      </c>
      <c r="CL1041" s="61">
        <f t="shared" si="1166"/>
        <v>0</v>
      </c>
      <c r="CM1041" s="61">
        <f t="shared" si="1166"/>
        <v>0</v>
      </c>
      <c r="CN1041" s="61">
        <f t="shared" si="1166"/>
        <v>0</v>
      </c>
      <c r="CO1041" s="61">
        <f t="shared" si="1166"/>
        <v>0</v>
      </c>
      <c r="CP1041" s="61">
        <f t="shared" si="1166"/>
        <v>0</v>
      </c>
      <c r="CQ1041" s="61">
        <f t="shared" si="1166"/>
        <v>0</v>
      </c>
      <c r="CR1041" s="61">
        <f t="shared" ref="CR1041:CR1104" si="1210">(V1041*$AD1041-BA1041*$BI1041)/$C$2</f>
        <v>0</v>
      </c>
      <c r="CS1041" s="61">
        <f t="shared" si="1167"/>
        <v>0</v>
      </c>
      <c r="CT1041" s="67">
        <f t="shared" si="1173"/>
        <v>0</v>
      </c>
      <c r="CV1041" s="61">
        <f t="shared" si="1172"/>
        <v>0</v>
      </c>
      <c r="CW1041" s="61">
        <f t="shared" si="1169"/>
        <v>0</v>
      </c>
      <c r="CX1041" s="61"/>
      <c r="CY1041" s="61">
        <f t="shared" si="1186"/>
        <v>0</v>
      </c>
      <c r="CZ1041" s="61">
        <f t="shared" si="1186"/>
        <v>0</v>
      </c>
      <c r="DA1041" s="61">
        <f t="shared" si="1186"/>
        <v>0</v>
      </c>
      <c r="DB1041" s="2" t="s">
        <v>85</v>
      </c>
      <c r="DC1041" s="2" t="s">
        <v>102</v>
      </c>
      <c r="DD1041" s="2" t="s">
        <v>142</v>
      </c>
      <c r="DE1041" s="2" t="s">
        <v>257</v>
      </c>
      <c r="DF1041" s="3" t="s">
        <v>248</v>
      </c>
      <c r="DG1041" s="62">
        <v>42787</v>
      </c>
      <c r="EC1041" s="60"/>
      <c r="ED1041" s="60"/>
      <c r="EE1041" s="60"/>
      <c r="EF1041" s="60"/>
    </row>
    <row r="1042" spans="2:140" ht="12.75" hidden="1" customHeight="1">
      <c r="B1042" s="23" t="s">
        <v>1655</v>
      </c>
      <c r="C1042" s="22" t="s">
        <v>1648</v>
      </c>
      <c r="D1042" s="22" t="s">
        <v>1649</v>
      </c>
      <c r="E1042" s="22" t="s">
        <v>1633</v>
      </c>
      <c r="F1042" s="22" t="s">
        <v>1626</v>
      </c>
      <c r="G1042" s="2" t="s">
        <v>331</v>
      </c>
      <c r="J1042" s="22" t="str">
        <f t="shared" si="1205"/>
        <v>JU5T</v>
      </c>
      <c r="K1042" s="23" t="str">
        <f t="shared" si="1205"/>
        <v>15604</v>
      </c>
      <c r="L1042" s="22" t="s">
        <v>1656</v>
      </c>
      <c r="M1042" s="51" t="str">
        <f t="shared" si="1179"/>
        <v>JU5T-15604-MCB</v>
      </c>
      <c r="O1042" s="22">
        <f t="shared" si="1206"/>
        <v>1</v>
      </c>
      <c r="P1042" s="22">
        <f t="shared" si="1206"/>
        <v>1</v>
      </c>
      <c r="Q1042" s="22">
        <f t="shared" si="1206"/>
        <v>1</v>
      </c>
      <c r="R1042" s="22">
        <f t="shared" si="1206"/>
        <v>1</v>
      </c>
      <c r="S1042" s="22">
        <f t="shared" si="1206"/>
        <v>1</v>
      </c>
      <c r="T1042" s="22">
        <f t="shared" si="1206"/>
        <v>1</v>
      </c>
      <c r="U1042" s="22">
        <f t="shared" si="1206"/>
        <v>0</v>
      </c>
      <c r="V1042" s="22">
        <f t="shared" si="1206"/>
        <v>0</v>
      </c>
      <c r="W1042" s="64">
        <f t="shared" si="1199"/>
        <v>0.9</v>
      </c>
      <c r="Y1042" s="60">
        <f t="shared" si="1207"/>
        <v>-310.67</v>
      </c>
      <c r="Z1042" s="60">
        <f t="shared" si="1207"/>
        <v>-2.15</v>
      </c>
      <c r="AA1042" s="60">
        <f t="shared" si="1207"/>
        <v>-4.1500000000000004</v>
      </c>
      <c r="AB1042" s="60">
        <f t="shared" si="1207"/>
        <v>0</v>
      </c>
      <c r="AC1042" s="60">
        <f t="shared" si="1207"/>
        <v>-4.2699999999999996</v>
      </c>
      <c r="AD1042" s="8">
        <f t="shared" si="1188"/>
        <v>-321.23999999999995</v>
      </c>
      <c r="AE1042" s="2" t="s">
        <v>91</v>
      </c>
      <c r="AG1042" s="71">
        <v>0</v>
      </c>
      <c r="AH1042" s="71">
        <v>0</v>
      </c>
      <c r="AJ1042" s="71">
        <f t="shared" si="1208"/>
        <v>-2453189.2000000002</v>
      </c>
      <c r="AK1042" s="71">
        <f t="shared" si="1208"/>
        <v>574899</v>
      </c>
      <c r="AL1042" s="72"/>
      <c r="AM1042" s="22"/>
      <c r="AO1042" s="22" t="s">
        <v>1650</v>
      </c>
      <c r="AP1042" s="23" t="s">
        <v>1651</v>
      </c>
      <c r="AQ1042" s="22" t="s">
        <v>1652</v>
      </c>
      <c r="AR1042" s="51" t="s">
        <v>1657</v>
      </c>
      <c r="AS1042" s="3"/>
      <c r="AT1042" s="22">
        <v>1</v>
      </c>
      <c r="AU1042" s="22">
        <v>1</v>
      </c>
      <c r="AV1042" s="22">
        <v>1</v>
      </c>
      <c r="AW1042" s="22">
        <v>1</v>
      </c>
      <c r="AX1042" s="22">
        <v>1</v>
      </c>
      <c r="AY1042" s="22">
        <v>1</v>
      </c>
      <c r="AZ1042" s="22">
        <v>0</v>
      </c>
      <c r="BA1042" s="22">
        <v>0</v>
      </c>
      <c r="BB1042" s="64">
        <v>0.9</v>
      </c>
      <c r="BD1042" s="60">
        <v>-310.67</v>
      </c>
      <c r="BE1042" s="60">
        <v>-2.15</v>
      </c>
      <c r="BF1042" s="60">
        <v>-4.1500000000000004</v>
      </c>
      <c r="BG1042" s="60">
        <v>0</v>
      </c>
      <c r="BH1042" s="60">
        <v>-4.2699999999999996</v>
      </c>
      <c r="BI1042" s="8">
        <v>-321.23999999999995</v>
      </c>
      <c r="BJ1042" s="2" t="s">
        <v>91</v>
      </c>
      <c r="BL1042" s="71">
        <v>0</v>
      </c>
      <c r="BM1042" s="71">
        <v>0</v>
      </c>
      <c r="BO1042" s="71">
        <v>-2453189.2000000002</v>
      </c>
      <c r="BP1042" s="71">
        <v>574899</v>
      </c>
      <c r="BQ1042" s="72"/>
      <c r="BS1042" s="61">
        <f t="shared" si="1204"/>
        <v>0</v>
      </c>
      <c r="BT1042" s="61">
        <f t="shared" si="1204"/>
        <v>0</v>
      </c>
      <c r="BU1042" s="61">
        <f t="shared" si="1204"/>
        <v>0</v>
      </c>
      <c r="BV1042" s="61">
        <f t="shared" si="1204"/>
        <v>0</v>
      </c>
      <c r="BW1042" s="61">
        <f t="shared" si="1204"/>
        <v>0</v>
      </c>
      <c r="BX1042" s="61">
        <f t="shared" si="1204"/>
        <v>0</v>
      </c>
      <c r="BY1042" s="61" t="s">
        <v>91</v>
      </c>
      <c r="CA1042" s="61">
        <f t="shared" ref="CA1042:CG1073" si="1211">($Y1042*O1042-AT1042*$BD1042)/$C$2</f>
        <v>0</v>
      </c>
      <c r="CB1042" s="61">
        <f t="shared" si="1211"/>
        <v>0</v>
      </c>
      <c r="CC1042" s="61">
        <f t="shared" si="1211"/>
        <v>0</v>
      </c>
      <c r="CD1042" s="61">
        <f t="shared" si="1211"/>
        <v>0</v>
      </c>
      <c r="CE1042" s="61">
        <f t="shared" si="1211"/>
        <v>0</v>
      </c>
      <c r="CF1042" s="61">
        <f t="shared" si="1211"/>
        <v>0</v>
      </c>
      <c r="CG1042" s="61">
        <f t="shared" si="1211"/>
        <v>0</v>
      </c>
      <c r="CH1042" s="61">
        <f t="shared" si="1209"/>
        <v>0</v>
      </c>
      <c r="CI1042" s="61">
        <f t="shared" si="1165"/>
        <v>0</v>
      </c>
      <c r="CJ1042" s="61"/>
      <c r="CK1042" s="61">
        <f t="shared" ref="CK1042:CQ1105" si="1212">(O1042*$AD1042-AT1042*$BI1042)/$C$2</f>
        <v>0</v>
      </c>
      <c r="CL1042" s="61">
        <f t="shared" si="1212"/>
        <v>0</v>
      </c>
      <c r="CM1042" s="61">
        <f t="shared" si="1212"/>
        <v>0</v>
      </c>
      <c r="CN1042" s="61">
        <f t="shared" si="1212"/>
        <v>0</v>
      </c>
      <c r="CO1042" s="61">
        <f t="shared" si="1212"/>
        <v>0</v>
      </c>
      <c r="CP1042" s="61">
        <f t="shared" si="1212"/>
        <v>0</v>
      </c>
      <c r="CQ1042" s="61">
        <f t="shared" si="1212"/>
        <v>0</v>
      </c>
      <c r="CR1042" s="61">
        <f t="shared" si="1210"/>
        <v>0</v>
      </c>
      <c r="CS1042" s="61">
        <f t="shared" si="1167"/>
        <v>0</v>
      </c>
      <c r="CT1042" s="67">
        <f t="shared" si="1173"/>
        <v>0</v>
      </c>
      <c r="CV1042" s="61">
        <f t="shared" si="1172"/>
        <v>0</v>
      </c>
      <c r="CW1042" s="61">
        <f t="shared" si="1169"/>
        <v>0</v>
      </c>
      <c r="CX1042" s="61"/>
      <c r="CY1042" s="61">
        <f t="shared" si="1186"/>
        <v>0</v>
      </c>
      <c r="CZ1042" s="61">
        <f t="shared" si="1186"/>
        <v>0</v>
      </c>
      <c r="DA1042" s="61">
        <f t="shared" si="1186"/>
        <v>0</v>
      </c>
      <c r="DB1042" s="2" t="s">
        <v>134</v>
      </c>
      <c r="DC1042" s="2" t="s">
        <v>85</v>
      </c>
      <c r="DD1042" s="2" t="s">
        <v>142</v>
      </c>
      <c r="DE1042" s="2" t="s">
        <v>257</v>
      </c>
      <c r="DF1042" s="3" t="s">
        <v>248</v>
      </c>
      <c r="DG1042" s="62">
        <v>42976</v>
      </c>
      <c r="EC1042" s="60"/>
      <c r="ED1042" s="60"/>
      <c r="EE1042" s="60"/>
      <c r="EF1042" s="60"/>
    </row>
    <row r="1043" spans="2:140" ht="12.75" hidden="1" customHeight="1">
      <c r="B1043" s="23" t="s">
        <v>1655</v>
      </c>
      <c r="C1043" s="22" t="s">
        <v>1648</v>
      </c>
      <c r="D1043" s="22" t="s">
        <v>1649</v>
      </c>
      <c r="E1043" s="22" t="s">
        <v>1633</v>
      </c>
      <c r="F1043" s="22" t="s">
        <v>1626</v>
      </c>
      <c r="G1043" s="2" t="s">
        <v>331</v>
      </c>
      <c r="J1043" s="22" t="str">
        <f t="shared" si="1205"/>
        <v>JU5T</v>
      </c>
      <c r="K1043" s="23" t="str">
        <f t="shared" si="1205"/>
        <v>15604</v>
      </c>
      <c r="L1043" s="22" t="s">
        <v>1658</v>
      </c>
      <c r="M1043" s="51" t="str">
        <f t="shared" si="1179"/>
        <v>JU5T-15604-KCB</v>
      </c>
      <c r="O1043" s="22">
        <f t="shared" si="1206"/>
        <v>0</v>
      </c>
      <c r="P1043" s="22">
        <f t="shared" si="1206"/>
        <v>0</v>
      </c>
      <c r="Q1043" s="22">
        <f t="shared" si="1206"/>
        <v>0</v>
      </c>
      <c r="R1043" s="22">
        <f t="shared" si="1206"/>
        <v>0</v>
      </c>
      <c r="S1043" s="22">
        <f t="shared" si="1206"/>
        <v>0</v>
      </c>
      <c r="T1043" s="22">
        <f t="shared" si="1206"/>
        <v>0</v>
      </c>
      <c r="U1043" s="22">
        <f t="shared" si="1206"/>
        <v>1</v>
      </c>
      <c r="V1043" s="22">
        <f t="shared" si="1206"/>
        <v>1</v>
      </c>
      <c r="W1043" s="64">
        <f t="shared" si="1199"/>
        <v>0.1</v>
      </c>
      <c r="Y1043" s="60">
        <f t="shared" si="1207"/>
        <v>-347.63</v>
      </c>
      <c r="Z1043" s="60">
        <f t="shared" si="1207"/>
        <v>-2.15</v>
      </c>
      <c r="AA1043" s="60">
        <f t="shared" si="1207"/>
        <v>-4.1500000000000004</v>
      </c>
      <c r="AB1043" s="60">
        <f t="shared" si="1207"/>
        <v>0</v>
      </c>
      <c r="AC1043" s="60">
        <f t="shared" si="1207"/>
        <v>-4.2699999999999996</v>
      </c>
      <c r="AD1043" s="8">
        <f t="shared" si="1188"/>
        <v>-358.19999999999993</v>
      </c>
      <c r="AE1043" s="2" t="s">
        <v>91</v>
      </c>
      <c r="AG1043" s="71">
        <v>0</v>
      </c>
      <c r="AH1043" s="71">
        <v>0</v>
      </c>
      <c r="AJ1043" s="71">
        <f t="shared" si="1208"/>
        <v>0</v>
      </c>
      <c r="AK1043" s="71">
        <f t="shared" si="1208"/>
        <v>0</v>
      </c>
      <c r="AL1043" s="72"/>
      <c r="AM1043" s="22"/>
      <c r="AO1043" s="22" t="s">
        <v>1650</v>
      </c>
      <c r="AP1043" s="23" t="s">
        <v>1651</v>
      </c>
      <c r="AQ1043" s="22" t="s">
        <v>1654</v>
      </c>
      <c r="AR1043" s="51" t="s">
        <v>1659</v>
      </c>
      <c r="AS1043" s="3"/>
      <c r="AT1043" s="22">
        <v>0</v>
      </c>
      <c r="AU1043" s="22">
        <v>0</v>
      </c>
      <c r="AV1043" s="22">
        <v>0</v>
      </c>
      <c r="AW1043" s="22">
        <v>0</v>
      </c>
      <c r="AX1043" s="22">
        <v>0</v>
      </c>
      <c r="AY1043" s="22">
        <v>0</v>
      </c>
      <c r="AZ1043" s="22">
        <v>1</v>
      </c>
      <c r="BA1043" s="22">
        <v>1</v>
      </c>
      <c r="BB1043" s="64">
        <v>0.1</v>
      </c>
      <c r="BD1043" s="60">
        <v>-347.63</v>
      </c>
      <c r="BE1043" s="60">
        <v>-2.15</v>
      </c>
      <c r="BF1043" s="60">
        <v>-4.1500000000000004</v>
      </c>
      <c r="BG1043" s="60">
        <v>0</v>
      </c>
      <c r="BH1043" s="60">
        <v>-4.2699999999999996</v>
      </c>
      <c r="BI1043" s="8">
        <v>-358.19999999999993</v>
      </c>
      <c r="BJ1043" s="2" t="s">
        <v>91</v>
      </c>
      <c r="BL1043" s="71">
        <v>0</v>
      </c>
      <c r="BM1043" s="71">
        <v>0</v>
      </c>
      <c r="BO1043" s="71">
        <v>0</v>
      </c>
      <c r="BP1043" s="71">
        <v>0</v>
      </c>
      <c r="BQ1043" s="72"/>
      <c r="BS1043" s="61">
        <f t="shared" si="1204"/>
        <v>0</v>
      </c>
      <c r="BT1043" s="61">
        <f t="shared" si="1204"/>
        <v>0</v>
      </c>
      <c r="BU1043" s="61">
        <f t="shared" si="1204"/>
        <v>0</v>
      </c>
      <c r="BV1043" s="61">
        <f t="shared" si="1204"/>
        <v>0</v>
      </c>
      <c r="BW1043" s="61">
        <f t="shared" si="1204"/>
        <v>0</v>
      </c>
      <c r="BX1043" s="61">
        <f t="shared" si="1204"/>
        <v>0</v>
      </c>
      <c r="BY1043" s="61" t="s">
        <v>91</v>
      </c>
      <c r="CA1043" s="61">
        <f t="shared" si="1211"/>
        <v>0</v>
      </c>
      <c r="CB1043" s="61">
        <f t="shared" si="1211"/>
        <v>0</v>
      </c>
      <c r="CC1043" s="61">
        <f t="shared" si="1211"/>
        <v>0</v>
      </c>
      <c r="CD1043" s="61">
        <f t="shared" si="1211"/>
        <v>0</v>
      </c>
      <c r="CE1043" s="61">
        <f t="shared" si="1211"/>
        <v>0</v>
      </c>
      <c r="CF1043" s="61">
        <f t="shared" si="1211"/>
        <v>0</v>
      </c>
      <c r="CG1043" s="61">
        <f t="shared" si="1211"/>
        <v>0</v>
      </c>
      <c r="CH1043" s="61">
        <f t="shared" si="1209"/>
        <v>0</v>
      </c>
      <c r="CI1043" s="61">
        <f t="shared" si="1165"/>
        <v>0</v>
      </c>
      <c r="CJ1043" s="61"/>
      <c r="CK1043" s="61">
        <f t="shared" si="1212"/>
        <v>0</v>
      </c>
      <c r="CL1043" s="61">
        <f t="shared" si="1212"/>
        <v>0</v>
      </c>
      <c r="CM1043" s="61">
        <f t="shared" si="1212"/>
        <v>0</v>
      </c>
      <c r="CN1043" s="61">
        <f t="shared" si="1212"/>
        <v>0</v>
      </c>
      <c r="CO1043" s="61">
        <f t="shared" si="1212"/>
        <v>0</v>
      </c>
      <c r="CP1043" s="61">
        <f t="shared" si="1212"/>
        <v>0</v>
      </c>
      <c r="CQ1043" s="61">
        <f t="shared" si="1212"/>
        <v>0</v>
      </c>
      <c r="CR1043" s="61">
        <f t="shared" si="1210"/>
        <v>0</v>
      </c>
      <c r="CS1043" s="61">
        <f t="shared" si="1167"/>
        <v>0</v>
      </c>
      <c r="CT1043" s="67">
        <f t="shared" si="1173"/>
        <v>0</v>
      </c>
      <c r="CV1043" s="61">
        <f t="shared" si="1172"/>
        <v>0</v>
      </c>
      <c r="CW1043" s="61">
        <f t="shared" si="1169"/>
        <v>0</v>
      </c>
      <c r="CX1043" s="61"/>
      <c r="CY1043" s="61">
        <f t="shared" si="1186"/>
        <v>0</v>
      </c>
      <c r="CZ1043" s="61">
        <f t="shared" si="1186"/>
        <v>0</v>
      </c>
      <c r="DA1043" s="61">
        <f t="shared" si="1186"/>
        <v>0</v>
      </c>
      <c r="DB1043" s="2" t="s">
        <v>134</v>
      </c>
      <c r="DC1043" s="2" t="s">
        <v>85</v>
      </c>
      <c r="DD1043" s="2" t="s">
        <v>142</v>
      </c>
      <c r="DE1043" s="2" t="s">
        <v>257</v>
      </c>
      <c r="DF1043" s="3" t="s">
        <v>248</v>
      </c>
      <c r="DG1043" s="62">
        <v>42976</v>
      </c>
      <c r="EC1043" s="60"/>
      <c r="ED1043" s="60"/>
      <c r="EE1043" s="60"/>
      <c r="EF1043" s="60"/>
    </row>
    <row r="1044" spans="2:140" ht="15" hidden="1" customHeight="1">
      <c r="B1044" s="1" t="s">
        <v>1660</v>
      </c>
      <c r="C1044" s="22" t="s">
        <v>1648</v>
      </c>
      <c r="D1044" s="22" t="s">
        <v>1649</v>
      </c>
      <c r="E1044" s="22" t="s">
        <v>1661</v>
      </c>
      <c r="F1044" s="22" t="s">
        <v>969</v>
      </c>
      <c r="G1044" s="2" t="s">
        <v>331</v>
      </c>
      <c r="J1044" s="22" t="str">
        <f t="shared" si="1205"/>
        <v>JU5T</v>
      </c>
      <c r="K1044" s="23" t="str">
        <f t="shared" si="1205"/>
        <v>15604</v>
      </c>
      <c r="L1044" s="22" t="s">
        <v>1662</v>
      </c>
      <c r="M1044" s="51" t="str">
        <f t="shared" si="1179"/>
        <v>JU5T-15604-MCC</v>
      </c>
      <c r="O1044" s="22">
        <f t="shared" si="1206"/>
        <v>1</v>
      </c>
      <c r="P1044" s="22">
        <f t="shared" si="1206"/>
        <v>1</v>
      </c>
      <c r="Q1044" s="22">
        <f t="shared" si="1206"/>
        <v>1</v>
      </c>
      <c r="R1044" s="22">
        <f t="shared" si="1206"/>
        <v>1</v>
      </c>
      <c r="S1044" s="22">
        <f t="shared" si="1206"/>
        <v>1</v>
      </c>
      <c r="T1044" s="22">
        <f t="shared" si="1206"/>
        <v>1</v>
      </c>
      <c r="U1044" s="22">
        <f t="shared" si="1206"/>
        <v>0</v>
      </c>
      <c r="V1044" s="22">
        <f t="shared" si="1206"/>
        <v>0</v>
      </c>
      <c r="W1044" s="64">
        <f t="shared" si="1199"/>
        <v>0.9</v>
      </c>
      <c r="Y1044" s="60">
        <f t="shared" si="1207"/>
        <v>-310.67</v>
      </c>
      <c r="Z1044" s="60">
        <f t="shared" si="1207"/>
        <v>-2.15</v>
      </c>
      <c r="AA1044" s="60">
        <f t="shared" si="1207"/>
        <v>-4.1500000000000004</v>
      </c>
      <c r="AB1044" s="60">
        <f t="shared" si="1207"/>
        <v>0</v>
      </c>
      <c r="AC1044" s="60">
        <f t="shared" si="1207"/>
        <v>-4.2699999999999996</v>
      </c>
      <c r="AD1044" s="8">
        <f t="shared" ref="AD1044:AD1049" si="1213">SUM(Y1044:AC1044)</f>
        <v>-321.23999999999995</v>
      </c>
      <c r="AE1044" s="2" t="s">
        <v>91</v>
      </c>
      <c r="AG1044" s="71">
        <v>0</v>
      </c>
      <c r="AH1044" s="71">
        <v>0</v>
      </c>
      <c r="AJ1044" s="71">
        <f t="shared" si="1208"/>
        <v>-2453189.2000000002</v>
      </c>
      <c r="AK1044" s="71">
        <f t="shared" si="1208"/>
        <v>574899</v>
      </c>
      <c r="AL1044" s="72"/>
      <c r="AM1044" s="22"/>
      <c r="AO1044" s="22" t="s">
        <v>1650</v>
      </c>
      <c r="AP1044" s="23" t="s">
        <v>1651</v>
      </c>
      <c r="AQ1044" s="22" t="s">
        <v>1663</v>
      </c>
      <c r="AR1044" s="51" t="s">
        <v>1664</v>
      </c>
      <c r="AS1044" s="3"/>
      <c r="AT1044" s="22">
        <v>1</v>
      </c>
      <c r="AU1044" s="22">
        <v>1</v>
      </c>
      <c r="AV1044" s="22">
        <v>1</v>
      </c>
      <c r="AW1044" s="22">
        <v>1</v>
      </c>
      <c r="AX1044" s="22">
        <v>1</v>
      </c>
      <c r="AY1044" s="22">
        <v>1</v>
      </c>
      <c r="AZ1044" s="22">
        <v>0</v>
      </c>
      <c r="BA1044" s="22">
        <v>0</v>
      </c>
      <c r="BB1044" s="64">
        <v>0.9</v>
      </c>
      <c r="BD1044" s="60">
        <v>-310.67</v>
      </c>
      <c r="BE1044" s="60">
        <v>-2.15</v>
      </c>
      <c r="BF1044" s="60">
        <v>-4.1500000000000004</v>
      </c>
      <c r="BG1044" s="60">
        <v>0</v>
      </c>
      <c r="BH1044" s="60">
        <v>-4.2699999999999996</v>
      </c>
      <c r="BI1044" s="8">
        <v>-321.23999999999995</v>
      </c>
      <c r="BJ1044" s="2" t="s">
        <v>91</v>
      </c>
      <c r="BL1044" s="71">
        <v>0</v>
      </c>
      <c r="BM1044" s="71">
        <v>0</v>
      </c>
      <c r="BO1044" s="71">
        <v>-2453189.2000000002</v>
      </c>
      <c r="BP1044" s="71">
        <v>574899</v>
      </c>
      <c r="BQ1044" s="72"/>
      <c r="BS1044" s="61">
        <f t="shared" si="1204"/>
        <v>0</v>
      </c>
      <c r="BT1044" s="61">
        <f t="shared" si="1204"/>
        <v>0</v>
      </c>
      <c r="BU1044" s="61">
        <f t="shared" si="1204"/>
        <v>0</v>
      </c>
      <c r="BV1044" s="61">
        <f t="shared" si="1204"/>
        <v>0</v>
      </c>
      <c r="BW1044" s="61">
        <f t="shared" si="1204"/>
        <v>0</v>
      </c>
      <c r="BX1044" s="61">
        <f t="shared" si="1204"/>
        <v>0</v>
      </c>
      <c r="BY1044" s="61" t="s">
        <v>91</v>
      </c>
      <c r="CA1044" s="61">
        <f t="shared" si="1211"/>
        <v>0</v>
      </c>
      <c r="CB1044" s="61">
        <f t="shared" si="1211"/>
        <v>0</v>
      </c>
      <c r="CC1044" s="61">
        <f t="shared" si="1211"/>
        <v>0</v>
      </c>
      <c r="CD1044" s="61">
        <f t="shared" si="1211"/>
        <v>0</v>
      </c>
      <c r="CE1044" s="61">
        <f t="shared" si="1211"/>
        <v>0</v>
      </c>
      <c r="CF1044" s="61">
        <f t="shared" si="1211"/>
        <v>0</v>
      </c>
      <c r="CG1044" s="61">
        <f t="shared" si="1211"/>
        <v>0</v>
      </c>
      <c r="CH1044" s="61">
        <f t="shared" si="1209"/>
        <v>0</v>
      </c>
      <c r="CI1044" s="61">
        <f t="shared" si="1165"/>
        <v>0</v>
      </c>
      <c r="CJ1044" s="61"/>
      <c r="CK1044" s="61">
        <f t="shared" si="1212"/>
        <v>0</v>
      </c>
      <c r="CL1044" s="61">
        <f t="shared" si="1212"/>
        <v>0</v>
      </c>
      <c r="CM1044" s="61">
        <f t="shared" si="1212"/>
        <v>0</v>
      </c>
      <c r="CN1044" s="61">
        <f t="shared" si="1212"/>
        <v>0</v>
      </c>
      <c r="CO1044" s="61">
        <f t="shared" si="1212"/>
        <v>0</v>
      </c>
      <c r="CP1044" s="61">
        <f t="shared" si="1212"/>
        <v>0</v>
      </c>
      <c r="CQ1044" s="61">
        <f t="shared" si="1212"/>
        <v>0</v>
      </c>
      <c r="CR1044" s="61">
        <f t="shared" si="1210"/>
        <v>0</v>
      </c>
      <c r="CS1044" s="61">
        <f t="shared" si="1167"/>
        <v>0</v>
      </c>
      <c r="CT1044" s="67">
        <f t="shared" si="1173"/>
        <v>0</v>
      </c>
      <c r="CV1044" s="61">
        <f t="shared" si="1172"/>
        <v>0</v>
      </c>
      <c r="CW1044" s="61">
        <f t="shared" si="1169"/>
        <v>0</v>
      </c>
      <c r="CX1044" s="61"/>
      <c r="CY1044" s="61">
        <f t="shared" si="1186"/>
        <v>0</v>
      </c>
      <c r="CZ1044" s="61">
        <f t="shared" si="1186"/>
        <v>0</v>
      </c>
      <c r="DA1044" s="61">
        <f t="shared" si="1186"/>
        <v>0</v>
      </c>
      <c r="DB1044" s="2" t="s">
        <v>134</v>
      </c>
      <c r="DC1044" s="2" t="s">
        <v>134</v>
      </c>
      <c r="DD1044" s="2" t="s">
        <v>142</v>
      </c>
      <c r="DE1044" s="2" t="s">
        <v>257</v>
      </c>
      <c r="DF1044" s="3" t="s">
        <v>86</v>
      </c>
      <c r="DG1044" s="62">
        <v>43047</v>
      </c>
      <c r="EC1044" s="60"/>
      <c r="ED1044" s="60"/>
      <c r="EE1044" s="60"/>
      <c r="EF1044" s="60"/>
    </row>
    <row r="1045" spans="2:140" ht="12.75" hidden="1" customHeight="1">
      <c r="B1045" s="23" t="s">
        <v>1660</v>
      </c>
      <c r="C1045" s="22" t="s">
        <v>1648</v>
      </c>
      <c r="D1045" s="22" t="s">
        <v>1649</v>
      </c>
      <c r="E1045" s="22" t="s">
        <v>1661</v>
      </c>
      <c r="F1045" s="22" t="s">
        <v>969</v>
      </c>
      <c r="G1045" s="2" t="s">
        <v>331</v>
      </c>
      <c r="J1045" s="22" t="str">
        <f t="shared" si="1205"/>
        <v>JU5T</v>
      </c>
      <c r="K1045" s="23" t="str">
        <f t="shared" si="1205"/>
        <v>15604</v>
      </c>
      <c r="L1045" s="22" t="s">
        <v>1665</v>
      </c>
      <c r="M1045" s="51" t="str">
        <f t="shared" si="1179"/>
        <v>JU5T-15604-KCC</v>
      </c>
      <c r="O1045" s="22">
        <f t="shared" si="1206"/>
        <v>0</v>
      </c>
      <c r="P1045" s="22">
        <f t="shared" si="1206"/>
        <v>0</v>
      </c>
      <c r="Q1045" s="22">
        <f t="shared" si="1206"/>
        <v>0</v>
      </c>
      <c r="R1045" s="22">
        <f t="shared" si="1206"/>
        <v>0</v>
      </c>
      <c r="S1045" s="22">
        <f t="shared" si="1206"/>
        <v>0</v>
      </c>
      <c r="T1045" s="22">
        <f t="shared" si="1206"/>
        <v>0</v>
      </c>
      <c r="U1045" s="22">
        <f t="shared" si="1206"/>
        <v>1</v>
      </c>
      <c r="V1045" s="22">
        <f t="shared" si="1206"/>
        <v>1</v>
      </c>
      <c r="W1045" s="64">
        <f t="shared" si="1199"/>
        <v>0.1</v>
      </c>
      <c r="Y1045" s="60">
        <f t="shared" si="1207"/>
        <v>-347.63</v>
      </c>
      <c r="Z1045" s="60">
        <f t="shared" si="1207"/>
        <v>-2.15</v>
      </c>
      <c r="AA1045" s="60">
        <f t="shared" si="1207"/>
        <v>-4.1500000000000004</v>
      </c>
      <c r="AB1045" s="60">
        <f t="shared" si="1207"/>
        <v>0</v>
      </c>
      <c r="AC1045" s="60">
        <f t="shared" si="1207"/>
        <v>-4.2699999999999996</v>
      </c>
      <c r="AD1045" s="8">
        <f t="shared" si="1213"/>
        <v>-358.19999999999993</v>
      </c>
      <c r="AE1045" s="2" t="s">
        <v>91</v>
      </c>
      <c r="AG1045" s="71">
        <v>0</v>
      </c>
      <c r="AH1045" s="71">
        <v>0</v>
      </c>
      <c r="AJ1045" s="71">
        <f t="shared" si="1208"/>
        <v>0</v>
      </c>
      <c r="AK1045" s="71">
        <f t="shared" si="1208"/>
        <v>0</v>
      </c>
      <c r="AL1045" s="72"/>
      <c r="AM1045" s="22"/>
      <c r="AO1045" s="22" t="s">
        <v>1650</v>
      </c>
      <c r="AP1045" s="23" t="s">
        <v>1651</v>
      </c>
      <c r="AQ1045" s="22" t="s">
        <v>1666</v>
      </c>
      <c r="AR1045" s="51" t="s">
        <v>1667</v>
      </c>
      <c r="AS1045" s="3"/>
      <c r="AT1045" s="22">
        <v>0</v>
      </c>
      <c r="AU1045" s="22">
        <v>0</v>
      </c>
      <c r="AV1045" s="22">
        <v>0</v>
      </c>
      <c r="AW1045" s="22">
        <v>0</v>
      </c>
      <c r="AX1045" s="22">
        <v>0</v>
      </c>
      <c r="AY1045" s="22">
        <v>0</v>
      </c>
      <c r="AZ1045" s="22">
        <v>1</v>
      </c>
      <c r="BA1045" s="22">
        <v>1</v>
      </c>
      <c r="BB1045" s="64">
        <v>0.1</v>
      </c>
      <c r="BD1045" s="60">
        <v>-347.63</v>
      </c>
      <c r="BE1045" s="60">
        <v>-2.15</v>
      </c>
      <c r="BF1045" s="60">
        <v>-4.1500000000000004</v>
      </c>
      <c r="BG1045" s="60">
        <v>0</v>
      </c>
      <c r="BH1045" s="60">
        <v>-4.2699999999999996</v>
      </c>
      <c r="BI1045" s="8">
        <v>-358.19999999999993</v>
      </c>
      <c r="BJ1045" s="2" t="s">
        <v>91</v>
      </c>
      <c r="BL1045" s="71">
        <v>0</v>
      </c>
      <c r="BM1045" s="71">
        <v>0</v>
      </c>
      <c r="BO1045" s="71">
        <v>0</v>
      </c>
      <c r="BP1045" s="71">
        <v>0</v>
      </c>
      <c r="BQ1045" s="72"/>
      <c r="BS1045" s="61">
        <f t="shared" si="1204"/>
        <v>0</v>
      </c>
      <c r="BT1045" s="61">
        <f t="shared" si="1204"/>
        <v>0</v>
      </c>
      <c r="BU1045" s="61">
        <f t="shared" si="1204"/>
        <v>0</v>
      </c>
      <c r="BV1045" s="61">
        <f t="shared" si="1204"/>
        <v>0</v>
      </c>
      <c r="BW1045" s="61">
        <f t="shared" si="1204"/>
        <v>0</v>
      </c>
      <c r="BX1045" s="61">
        <f t="shared" si="1204"/>
        <v>0</v>
      </c>
      <c r="BY1045" s="61" t="s">
        <v>91</v>
      </c>
      <c r="CA1045" s="61">
        <f t="shared" si="1211"/>
        <v>0</v>
      </c>
      <c r="CB1045" s="61">
        <f t="shared" si="1211"/>
        <v>0</v>
      </c>
      <c r="CC1045" s="61">
        <f t="shared" si="1211"/>
        <v>0</v>
      </c>
      <c r="CD1045" s="61">
        <f t="shared" si="1211"/>
        <v>0</v>
      </c>
      <c r="CE1045" s="61">
        <f t="shared" si="1211"/>
        <v>0</v>
      </c>
      <c r="CF1045" s="61">
        <f t="shared" si="1211"/>
        <v>0</v>
      </c>
      <c r="CG1045" s="61">
        <f t="shared" si="1211"/>
        <v>0</v>
      </c>
      <c r="CH1045" s="61">
        <f t="shared" si="1209"/>
        <v>0</v>
      </c>
      <c r="CI1045" s="61">
        <f t="shared" si="1165"/>
        <v>0</v>
      </c>
      <c r="CJ1045" s="61"/>
      <c r="CK1045" s="61">
        <f t="shared" si="1212"/>
        <v>0</v>
      </c>
      <c r="CL1045" s="61">
        <f t="shared" si="1212"/>
        <v>0</v>
      </c>
      <c r="CM1045" s="61">
        <f t="shared" si="1212"/>
        <v>0</v>
      </c>
      <c r="CN1045" s="61">
        <f t="shared" si="1212"/>
        <v>0</v>
      </c>
      <c r="CO1045" s="61">
        <f t="shared" si="1212"/>
        <v>0</v>
      </c>
      <c r="CP1045" s="61">
        <f t="shared" si="1212"/>
        <v>0</v>
      </c>
      <c r="CQ1045" s="61">
        <f t="shared" si="1212"/>
        <v>0</v>
      </c>
      <c r="CR1045" s="61">
        <f t="shared" si="1210"/>
        <v>0</v>
      </c>
      <c r="CS1045" s="61">
        <f t="shared" si="1167"/>
        <v>0</v>
      </c>
      <c r="CT1045" s="67">
        <f t="shared" si="1173"/>
        <v>0</v>
      </c>
      <c r="CV1045" s="61">
        <f t="shared" si="1172"/>
        <v>0</v>
      </c>
      <c r="CW1045" s="61">
        <f t="shared" si="1169"/>
        <v>0</v>
      </c>
      <c r="CX1045" s="61"/>
      <c r="CY1045" s="61">
        <f t="shared" si="1186"/>
        <v>0</v>
      </c>
      <c r="CZ1045" s="61">
        <f t="shared" si="1186"/>
        <v>0</v>
      </c>
      <c r="DA1045" s="61">
        <f t="shared" si="1186"/>
        <v>0</v>
      </c>
      <c r="DB1045" s="2" t="s">
        <v>134</v>
      </c>
      <c r="DC1045" s="2" t="s">
        <v>134</v>
      </c>
      <c r="DD1045" s="2" t="s">
        <v>142</v>
      </c>
      <c r="DE1045" s="2" t="s">
        <v>257</v>
      </c>
      <c r="DF1045" s="3" t="s">
        <v>86</v>
      </c>
      <c r="DG1045" s="62">
        <v>43047</v>
      </c>
      <c r="EC1045" s="60"/>
      <c r="ED1045" s="60"/>
      <c r="EE1045" s="60"/>
      <c r="EF1045" s="60"/>
    </row>
    <row r="1046" spans="2:140" ht="12.75" hidden="1" customHeight="1">
      <c r="B1046" s="1" t="s">
        <v>1668</v>
      </c>
      <c r="C1046" s="22" t="s">
        <v>1648</v>
      </c>
      <c r="D1046" s="22" t="s">
        <v>1649</v>
      </c>
      <c r="E1046" s="22" t="s">
        <v>1661</v>
      </c>
      <c r="F1046" s="22" t="s">
        <v>969</v>
      </c>
      <c r="G1046" s="2" t="s">
        <v>331</v>
      </c>
      <c r="J1046" s="22" t="str">
        <f t="shared" si="1205"/>
        <v>JU5T</v>
      </c>
      <c r="K1046" s="23" t="str">
        <f t="shared" si="1205"/>
        <v>15604</v>
      </c>
      <c r="L1046" s="22" t="s">
        <v>1669</v>
      </c>
      <c r="M1046" s="51" t="str">
        <f t="shared" si="1179"/>
        <v>JU5T-15604-MCD</v>
      </c>
      <c r="O1046" s="22">
        <f t="shared" si="1206"/>
        <v>1</v>
      </c>
      <c r="P1046" s="22">
        <f t="shared" si="1206"/>
        <v>1</v>
      </c>
      <c r="Q1046" s="22">
        <f t="shared" si="1206"/>
        <v>1</v>
      </c>
      <c r="R1046" s="22">
        <f t="shared" si="1206"/>
        <v>1</v>
      </c>
      <c r="S1046" s="22">
        <v>0</v>
      </c>
      <c r="T1046" s="22">
        <v>0</v>
      </c>
      <c r="U1046" s="22">
        <f t="shared" si="1206"/>
        <v>0</v>
      </c>
      <c r="V1046" s="22">
        <f t="shared" si="1206"/>
        <v>0</v>
      </c>
      <c r="W1046" s="64">
        <f t="shared" si="1199"/>
        <v>0.67</v>
      </c>
      <c r="Y1046" s="60">
        <f t="shared" si="1207"/>
        <v>-310.67</v>
      </c>
      <c r="Z1046" s="60">
        <f t="shared" si="1207"/>
        <v>-2.15</v>
      </c>
      <c r="AA1046" s="60">
        <f t="shared" si="1207"/>
        <v>-4.1500000000000004</v>
      </c>
      <c r="AB1046" s="60">
        <f t="shared" si="1207"/>
        <v>0</v>
      </c>
      <c r="AC1046" s="60">
        <f t="shared" si="1207"/>
        <v>-4.2699999999999996</v>
      </c>
      <c r="AD1046" s="8">
        <f t="shared" si="1213"/>
        <v>-321.23999999999995</v>
      </c>
      <c r="AE1046" s="2" t="s">
        <v>91</v>
      </c>
      <c r="AG1046" s="71">
        <v>0</v>
      </c>
      <c r="AH1046" s="71">
        <v>0</v>
      </c>
      <c r="AJ1046" s="71">
        <f t="shared" si="1208"/>
        <v>-2453189.2000000002</v>
      </c>
      <c r="AK1046" s="71">
        <f t="shared" si="1208"/>
        <v>574899</v>
      </c>
      <c r="AL1046" s="72"/>
      <c r="AM1046" s="22"/>
      <c r="AO1046" s="22" t="s">
        <v>1650</v>
      </c>
      <c r="AP1046" s="23" t="s">
        <v>1651</v>
      </c>
      <c r="AQ1046" s="22" t="s">
        <v>1663</v>
      </c>
      <c r="AR1046" s="51" t="s">
        <v>1664</v>
      </c>
      <c r="AS1046" s="3"/>
      <c r="AT1046" s="22">
        <v>1</v>
      </c>
      <c r="AU1046" s="22">
        <v>1</v>
      </c>
      <c r="AV1046" s="22">
        <v>1</v>
      </c>
      <c r="AW1046" s="22">
        <v>1</v>
      </c>
      <c r="AX1046" s="22">
        <v>0</v>
      </c>
      <c r="AY1046" s="22">
        <v>0</v>
      </c>
      <c r="AZ1046" s="22">
        <v>0</v>
      </c>
      <c r="BA1046" s="22">
        <v>0</v>
      </c>
      <c r="BB1046" s="64">
        <v>0.9</v>
      </c>
      <c r="BD1046" s="60">
        <v>-310.67</v>
      </c>
      <c r="BE1046" s="60">
        <v>-2.15</v>
      </c>
      <c r="BF1046" s="60">
        <v>-4.1500000000000004</v>
      </c>
      <c r="BG1046" s="60">
        <v>0</v>
      </c>
      <c r="BH1046" s="60">
        <v>-4.2699999999999996</v>
      </c>
      <c r="BI1046" s="8">
        <v>-321.23999999999995</v>
      </c>
      <c r="BJ1046" s="2" t="s">
        <v>91</v>
      </c>
      <c r="BL1046" s="71">
        <v>0</v>
      </c>
      <c r="BM1046" s="71">
        <v>0</v>
      </c>
      <c r="BO1046" s="71">
        <v>-2453189.2000000002</v>
      </c>
      <c r="BP1046" s="71">
        <v>574899</v>
      </c>
      <c r="BQ1046" s="72"/>
      <c r="BS1046" s="61">
        <f t="shared" si="1204"/>
        <v>0</v>
      </c>
      <c r="BT1046" s="61">
        <f t="shared" si="1204"/>
        <v>0</v>
      </c>
      <c r="BU1046" s="61">
        <f t="shared" si="1204"/>
        <v>0</v>
      </c>
      <c r="BV1046" s="61">
        <f t="shared" si="1204"/>
        <v>0</v>
      </c>
      <c r="BW1046" s="61">
        <f t="shared" si="1204"/>
        <v>0</v>
      </c>
      <c r="BX1046" s="61">
        <f t="shared" si="1204"/>
        <v>0</v>
      </c>
      <c r="BY1046" s="61" t="s">
        <v>91</v>
      </c>
      <c r="CA1046" s="61">
        <f t="shared" si="1211"/>
        <v>0</v>
      </c>
      <c r="CB1046" s="61">
        <f t="shared" si="1211"/>
        <v>0</v>
      </c>
      <c r="CC1046" s="61">
        <f t="shared" si="1211"/>
        <v>0</v>
      </c>
      <c r="CD1046" s="61">
        <f t="shared" si="1211"/>
        <v>0</v>
      </c>
      <c r="CE1046" s="61">
        <f t="shared" si="1211"/>
        <v>0</v>
      </c>
      <c r="CF1046" s="61">
        <f t="shared" si="1211"/>
        <v>0</v>
      </c>
      <c r="CG1046" s="61">
        <f t="shared" si="1211"/>
        <v>0</v>
      </c>
      <c r="CH1046" s="61">
        <f t="shared" si="1209"/>
        <v>0</v>
      </c>
      <c r="CI1046" s="61">
        <f t="shared" si="1165"/>
        <v>0</v>
      </c>
      <c r="CJ1046" s="61"/>
      <c r="CK1046" s="61">
        <f t="shared" si="1212"/>
        <v>0</v>
      </c>
      <c r="CL1046" s="61">
        <f t="shared" si="1212"/>
        <v>0</v>
      </c>
      <c r="CM1046" s="61">
        <f t="shared" si="1212"/>
        <v>0</v>
      </c>
      <c r="CN1046" s="61">
        <f t="shared" si="1212"/>
        <v>0</v>
      </c>
      <c r="CO1046" s="61">
        <f t="shared" si="1212"/>
        <v>0</v>
      </c>
      <c r="CP1046" s="61">
        <f t="shared" si="1212"/>
        <v>0</v>
      </c>
      <c r="CQ1046" s="61">
        <f t="shared" si="1212"/>
        <v>0</v>
      </c>
      <c r="CR1046" s="61">
        <f t="shared" si="1210"/>
        <v>0</v>
      </c>
      <c r="CS1046" s="61">
        <f t="shared" si="1167"/>
        <v>0</v>
      </c>
      <c r="CT1046" s="67">
        <f t="shared" si="1173"/>
        <v>0</v>
      </c>
      <c r="CV1046" s="61">
        <f t="shared" si="1172"/>
        <v>0</v>
      </c>
      <c r="CW1046" s="61">
        <f t="shared" si="1169"/>
        <v>0</v>
      </c>
      <c r="CX1046" s="61"/>
      <c r="CY1046" s="61">
        <f t="shared" si="1186"/>
        <v>0</v>
      </c>
      <c r="CZ1046" s="61">
        <f t="shared" si="1186"/>
        <v>0</v>
      </c>
      <c r="DA1046" s="61">
        <f t="shared" si="1186"/>
        <v>0</v>
      </c>
      <c r="DB1046" s="2" t="s">
        <v>134</v>
      </c>
      <c r="DC1046" s="2" t="s">
        <v>134</v>
      </c>
      <c r="DD1046" s="2" t="s">
        <v>142</v>
      </c>
      <c r="DE1046" s="2" t="s">
        <v>257</v>
      </c>
      <c r="DF1046" s="3" t="s">
        <v>86</v>
      </c>
      <c r="DG1046" s="62">
        <v>43047</v>
      </c>
      <c r="EC1046" s="60"/>
      <c r="ED1046" s="60"/>
      <c r="EE1046" s="60"/>
      <c r="EF1046" s="60"/>
      <c r="EH1046" s="60"/>
      <c r="EI1046" s="60"/>
      <c r="EJ1046" s="60"/>
    </row>
    <row r="1047" spans="2:140" ht="12.75" hidden="1" customHeight="1">
      <c r="B1047" s="1" t="s">
        <v>1668</v>
      </c>
      <c r="C1047" s="22" t="s">
        <v>1648</v>
      </c>
      <c r="D1047" s="22" t="s">
        <v>1649</v>
      </c>
      <c r="E1047" s="22" t="s">
        <v>1661</v>
      </c>
      <c r="F1047" s="22" t="s">
        <v>969</v>
      </c>
      <c r="G1047" s="2" t="s">
        <v>331</v>
      </c>
      <c r="J1047" s="22" t="str">
        <f t="shared" si="1205"/>
        <v>JU5T</v>
      </c>
      <c r="K1047" s="23" t="str">
        <f t="shared" si="1205"/>
        <v>15604</v>
      </c>
      <c r="L1047" s="22" t="s">
        <v>1670</v>
      </c>
      <c r="M1047" s="51" t="str">
        <f t="shared" si="1179"/>
        <v>JU5T-15604-KCD</v>
      </c>
      <c r="O1047" s="22">
        <f t="shared" si="1206"/>
        <v>0</v>
      </c>
      <c r="P1047" s="22">
        <f t="shared" si="1206"/>
        <v>0</v>
      </c>
      <c r="Q1047" s="22">
        <f t="shared" si="1206"/>
        <v>0</v>
      </c>
      <c r="R1047" s="22">
        <f t="shared" si="1206"/>
        <v>0</v>
      </c>
      <c r="S1047" s="22">
        <v>1</v>
      </c>
      <c r="T1047" s="22">
        <v>1</v>
      </c>
      <c r="U1047" s="22">
        <f t="shared" si="1206"/>
        <v>1</v>
      </c>
      <c r="V1047" s="22">
        <f t="shared" si="1206"/>
        <v>1</v>
      </c>
      <c r="W1047" s="64">
        <f t="shared" si="1199"/>
        <v>0.33</v>
      </c>
      <c r="Y1047" s="60">
        <f t="shared" si="1207"/>
        <v>-347.63</v>
      </c>
      <c r="Z1047" s="60">
        <f t="shared" si="1207"/>
        <v>-2.15</v>
      </c>
      <c r="AA1047" s="60">
        <f t="shared" si="1207"/>
        <v>-4.1500000000000004</v>
      </c>
      <c r="AB1047" s="60">
        <f t="shared" si="1207"/>
        <v>0</v>
      </c>
      <c r="AC1047" s="60">
        <f t="shared" si="1207"/>
        <v>-4.2699999999999996</v>
      </c>
      <c r="AD1047" s="8">
        <f t="shared" si="1213"/>
        <v>-358.19999999999993</v>
      </c>
      <c r="AE1047" s="2" t="s">
        <v>91</v>
      </c>
      <c r="AG1047" s="71">
        <v>0</v>
      </c>
      <c r="AH1047" s="71">
        <v>0</v>
      </c>
      <c r="AJ1047" s="71">
        <f t="shared" si="1208"/>
        <v>0</v>
      </c>
      <c r="AK1047" s="71">
        <f t="shared" si="1208"/>
        <v>0</v>
      </c>
      <c r="AL1047" s="72"/>
      <c r="AM1047" s="22"/>
      <c r="AO1047" s="22" t="s">
        <v>1650</v>
      </c>
      <c r="AP1047" s="23" t="s">
        <v>1651</v>
      </c>
      <c r="AQ1047" s="22" t="s">
        <v>1666</v>
      </c>
      <c r="AR1047" s="51" t="s">
        <v>1667</v>
      </c>
      <c r="AS1047" s="3"/>
      <c r="AT1047" s="22">
        <v>0</v>
      </c>
      <c r="AU1047" s="22">
        <v>0</v>
      </c>
      <c r="AV1047" s="22">
        <v>0</v>
      </c>
      <c r="AW1047" s="22">
        <v>0</v>
      </c>
      <c r="AX1047" s="22">
        <v>1</v>
      </c>
      <c r="AY1047" s="22">
        <v>1</v>
      </c>
      <c r="AZ1047" s="22">
        <v>1</v>
      </c>
      <c r="BA1047" s="22">
        <v>1</v>
      </c>
      <c r="BB1047" s="64">
        <v>0.1</v>
      </c>
      <c r="BD1047" s="60">
        <v>-347.63</v>
      </c>
      <c r="BE1047" s="60">
        <v>-2.15</v>
      </c>
      <c r="BF1047" s="60">
        <v>-4.1500000000000004</v>
      </c>
      <c r="BG1047" s="60">
        <v>0</v>
      </c>
      <c r="BH1047" s="60">
        <v>-4.2699999999999996</v>
      </c>
      <c r="BI1047" s="8">
        <v>-358.19999999999993</v>
      </c>
      <c r="BJ1047" s="2" t="s">
        <v>91</v>
      </c>
      <c r="BL1047" s="71">
        <v>0</v>
      </c>
      <c r="BM1047" s="71">
        <v>0</v>
      </c>
      <c r="BO1047" s="71">
        <v>0</v>
      </c>
      <c r="BP1047" s="71">
        <v>0</v>
      </c>
      <c r="BQ1047" s="72"/>
      <c r="BS1047" s="61">
        <f t="shared" si="1204"/>
        <v>0</v>
      </c>
      <c r="BT1047" s="61">
        <f t="shared" si="1204"/>
        <v>0</v>
      </c>
      <c r="BU1047" s="61">
        <f t="shared" si="1204"/>
        <v>0</v>
      </c>
      <c r="BV1047" s="61">
        <f t="shared" si="1204"/>
        <v>0</v>
      </c>
      <c r="BW1047" s="61">
        <f t="shared" si="1204"/>
        <v>0</v>
      </c>
      <c r="BX1047" s="61">
        <f t="shared" si="1204"/>
        <v>0</v>
      </c>
      <c r="BY1047" s="61" t="s">
        <v>91</v>
      </c>
      <c r="CA1047" s="61">
        <f t="shared" si="1211"/>
        <v>0</v>
      </c>
      <c r="CB1047" s="61">
        <f t="shared" si="1211"/>
        <v>0</v>
      </c>
      <c r="CC1047" s="61">
        <f t="shared" si="1211"/>
        <v>0</v>
      </c>
      <c r="CD1047" s="61">
        <f t="shared" si="1211"/>
        <v>0</v>
      </c>
      <c r="CE1047" s="61">
        <f t="shared" si="1211"/>
        <v>0</v>
      </c>
      <c r="CF1047" s="61">
        <f t="shared" si="1211"/>
        <v>0</v>
      </c>
      <c r="CG1047" s="61">
        <f t="shared" si="1211"/>
        <v>0</v>
      </c>
      <c r="CH1047" s="61">
        <f t="shared" si="1209"/>
        <v>0</v>
      </c>
      <c r="CI1047" s="61">
        <f t="shared" si="1165"/>
        <v>0</v>
      </c>
      <c r="CJ1047" s="61"/>
      <c r="CK1047" s="61">
        <f t="shared" si="1212"/>
        <v>0</v>
      </c>
      <c r="CL1047" s="61">
        <f t="shared" si="1212"/>
        <v>0</v>
      </c>
      <c r="CM1047" s="61">
        <f t="shared" si="1212"/>
        <v>0</v>
      </c>
      <c r="CN1047" s="61">
        <f t="shared" si="1212"/>
        <v>0</v>
      </c>
      <c r="CO1047" s="61">
        <f t="shared" si="1212"/>
        <v>0</v>
      </c>
      <c r="CP1047" s="61">
        <f t="shared" si="1212"/>
        <v>0</v>
      </c>
      <c r="CQ1047" s="61">
        <f t="shared" si="1212"/>
        <v>0</v>
      </c>
      <c r="CR1047" s="61">
        <f t="shared" si="1210"/>
        <v>0</v>
      </c>
      <c r="CS1047" s="61">
        <f t="shared" si="1167"/>
        <v>0</v>
      </c>
      <c r="CT1047" s="67">
        <f t="shared" si="1173"/>
        <v>0</v>
      </c>
      <c r="CV1047" s="61">
        <f t="shared" si="1172"/>
        <v>0</v>
      </c>
      <c r="CW1047" s="61">
        <f t="shared" si="1169"/>
        <v>0</v>
      </c>
      <c r="CX1047" s="61"/>
      <c r="CY1047" s="61">
        <f t="shared" si="1186"/>
        <v>0</v>
      </c>
      <c r="CZ1047" s="61">
        <f t="shared" si="1186"/>
        <v>0</v>
      </c>
      <c r="DA1047" s="61">
        <f t="shared" si="1186"/>
        <v>0</v>
      </c>
      <c r="DB1047" s="2" t="s">
        <v>134</v>
      </c>
      <c r="DC1047" s="2" t="s">
        <v>134</v>
      </c>
      <c r="DD1047" s="2" t="s">
        <v>142</v>
      </c>
      <c r="DE1047" s="2" t="s">
        <v>257</v>
      </c>
      <c r="DF1047" s="3" t="s">
        <v>86</v>
      </c>
      <c r="DG1047" s="62">
        <v>43047</v>
      </c>
      <c r="EC1047" s="60"/>
      <c r="ED1047" s="60"/>
      <c r="EE1047" s="60"/>
      <c r="EF1047" s="60"/>
      <c r="EH1047" s="60"/>
      <c r="EI1047" s="60"/>
      <c r="EJ1047" s="60"/>
    </row>
    <row r="1048" spans="2:140" ht="12.75" hidden="1" customHeight="1">
      <c r="B1048" s="1" t="s">
        <v>1671</v>
      </c>
      <c r="C1048" s="22" t="s">
        <v>1648</v>
      </c>
      <c r="D1048" s="22" t="s">
        <v>1649</v>
      </c>
      <c r="E1048" s="22" t="s">
        <v>1661</v>
      </c>
      <c r="F1048" s="22" t="s">
        <v>969</v>
      </c>
      <c r="G1048" s="2" t="s">
        <v>331</v>
      </c>
      <c r="J1048" s="22" t="str">
        <f t="shared" si="1205"/>
        <v>JU5T</v>
      </c>
      <c r="K1048" s="23" t="str">
        <f t="shared" si="1205"/>
        <v>15604</v>
      </c>
      <c r="L1048" s="22" t="s">
        <v>1672</v>
      </c>
      <c r="M1048" s="51" t="str">
        <f t="shared" si="1179"/>
        <v>JU5T-15604-MCE</v>
      </c>
      <c r="O1048" s="22">
        <f t="shared" si="1206"/>
        <v>1</v>
      </c>
      <c r="P1048" s="22">
        <f t="shared" si="1206"/>
        <v>1</v>
      </c>
      <c r="Q1048" s="22">
        <f t="shared" si="1206"/>
        <v>1</v>
      </c>
      <c r="R1048" s="22">
        <f t="shared" si="1206"/>
        <v>1</v>
      </c>
      <c r="S1048" s="22">
        <v>0</v>
      </c>
      <c r="T1048" s="22">
        <v>0</v>
      </c>
      <c r="U1048" s="22">
        <f t="shared" si="1206"/>
        <v>0</v>
      </c>
      <c r="V1048" s="22">
        <f t="shared" si="1206"/>
        <v>0</v>
      </c>
      <c r="W1048" s="64">
        <f t="shared" si="1199"/>
        <v>0.67</v>
      </c>
      <c r="Y1048" s="60">
        <f t="shared" si="1207"/>
        <v>-310.67</v>
      </c>
      <c r="Z1048" s="60">
        <f t="shared" si="1207"/>
        <v>-2.15</v>
      </c>
      <c r="AA1048" s="60">
        <f t="shared" si="1207"/>
        <v>-4.1500000000000004</v>
      </c>
      <c r="AB1048" s="60">
        <f t="shared" si="1207"/>
        <v>0</v>
      </c>
      <c r="AC1048" s="60">
        <f t="shared" si="1207"/>
        <v>-4.2699999999999996</v>
      </c>
      <c r="AD1048" s="8">
        <f t="shared" si="1213"/>
        <v>-321.23999999999995</v>
      </c>
      <c r="AE1048" s="2" t="s">
        <v>91</v>
      </c>
      <c r="AG1048" s="71">
        <v>0</v>
      </c>
      <c r="AH1048" s="71">
        <v>0</v>
      </c>
      <c r="AJ1048" s="71">
        <f t="shared" si="1208"/>
        <v>-2453189.2000000002</v>
      </c>
      <c r="AK1048" s="71">
        <f t="shared" si="1208"/>
        <v>574899</v>
      </c>
      <c r="AL1048" s="72"/>
      <c r="AM1048" s="22"/>
      <c r="AO1048" s="22" t="s">
        <v>1650</v>
      </c>
      <c r="AP1048" s="23" t="s">
        <v>1651</v>
      </c>
      <c r="AQ1048" s="22" t="s">
        <v>1673</v>
      </c>
      <c r="AR1048" s="51" t="s">
        <v>1674</v>
      </c>
      <c r="AS1048" s="3"/>
      <c r="AT1048" s="22">
        <v>1</v>
      </c>
      <c r="AU1048" s="22">
        <v>1</v>
      </c>
      <c r="AV1048" s="22">
        <v>1</v>
      </c>
      <c r="AW1048" s="22">
        <v>1</v>
      </c>
      <c r="AX1048" s="22">
        <v>0</v>
      </c>
      <c r="AY1048" s="22">
        <v>0</v>
      </c>
      <c r="AZ1048" s="22">
        <v>0</v>
      </c>
      <c r="BA1048" s="22">
        <v>0</v>
      </c>
      <c r="BB1048" s="64">
        <v>0.67</v>
      </c>
      <c r="BD1048" s="60">
        <v>-310.67</v>
      </c>
      <c r="BE1048" s="60">
        <v>-2.15</v>
      </c>
      <c r="BF1048" s="60">
        <v>-4.1500000000000004</v>
      </c>
      <c r="BG1048" s="60">
        <v>0</v>
      </c>
      <c r="BH1048" s="60">
        <v>-4.2699999999999996</v>
      </c>
      <c r="BI1048" s="8">
        <v>-321.23999999999995</v>
      </c>
      <c r="BJ1048" s="2" t="s">
        <v>91</v>
      </c>
      <c r="BL1048" s="71">
        <v>0</v>
      </c>
      <c r="BM1048" s="71">
        <v>0</v>
      </c>
      <c r="BO1048" s="71">
        <v>-2453189.2000000002</v>
      </c>
      <c r="BP1048" s="71">
        <v>574899</v>
      </c>
      <c r="BQ1048" s="72"/>
      <c r="BS1048" s="61">
        <f t="shared" si="1204"/>
        <v>0</v>
      </c>
      <c r="BT1048" s="61">
        <f t="shared" si="1204"/>
        <v>0</v>
      </c>
      <c r="BU1048" s="61">
        <f t="shared" si="1204"/>
        <v>0</v>
      </c>
      <c r="BV1048" s="61">
        <f t="shared" si="1204"/>
        <v>0</v>
      </c>
      <c r="BW1048" s="61">
        <f t="shared" si="1204"/>
        <v>0</v>
      </c>
      <c r="BX1048" s="61">
        <f t="shared" si="1204"/>
        <v>0</v>
      </c>
      <c r="BY1048" s="61" t="s">
        <v>91</v>
      </c>
      <c r="CA1048" s="61">
        <f t="shared" si="1211"/>
        <v>0</v>
      </c>
      <c r="CB1048" s="61">
        <f t="shared" si="1211"/>
        <v>0</v>
      </c>
      <c r="CC1048" s="61">
        <f t="shared" si="1211"/>
        <v>0</v>
      </c>
      <c r="CD1048" s="61">
        <f t="shared" si="1211"/>
        <v>0</v>
      </c>
      <c r="CE1048" s="61">
        <f t="shared" si="1211"/>
        <v>0</v>
      </c>
      <c r="CF1048" s="61">
        <f t="shared" si="1211"/>
        <v>0</v>
      </c>
      <c r="CG1048" s="61">
        <f t="shared" si="1211"/>
        <v>0</v>
      </c>
      <c r="CH1048" s="61">
        <f t="shared" si="1209"/>
        <v>0</v>
      </c>
      <c r="CI1048" s="61">
        <f t="shared" si="1165"/>
        <v>0</v>
      </c>
      <c r="CJ1048" s="61"/>
      <c r="CK1048" s="61">
        <f t="shared" si="1212"/>
        <v>0</v>
      </c>
      <c r="CL1048" s="61">
        <f t="shared" si="1212"/>
        <v>0</v>
      </c>
      <c r="CM1048" s="61">
        <f t="shared" si="1212"/>
        <v>0</v>
      </c>
      <c r="CN1048" s="61">
        <f t="shared" si="1212"/>
        <v>0</v>
      </c>
      <c r="CO1048" s="61">
        <f t="shared" si="1212"/>
        <v>0</v>
      </c>
      <c r="CP1048" s="61">
        <f t="shared" si="1212"/>
        <v>0</v>
      </c>
      <c r="CQ1048" s="61">
        <f t="shared" si="1212"/>
        <v>0</v>
      </c>
      <c r="CR1048" s="61">
        <f t="shared" si="1210"/>
        <v>0</v>
      </c>
      <c r="CS1048" s="61">
        <f t="shared" si="1167"/>
        <v>0</v>
      </c>
      <c r="CT1048" s="67">
        <f t="shared" si="1173"/>
        <v>0</v>
      </c>
      <c r="CV1048" s="61">
        <f t="shared" si="1172"/>
        <v>0</v>
      </c>
      <c r="CW1048" s="61">
        <f t="shared" si="1169"/>
        <v>0</v>
      </c>
      <c r="CX1048" s="61"/>
      <c r="CY1048" s="61">
        <f t="shared" si="1186"/>
        <v>0</v>
      </c>
      <c r="CZ1048" s="61">
        <f t="shared" si="1186"/>
        <v>0</v>
      </c>
      <c r="DA1048" s="61">
        <f t="shared" si="1186"/>
        <v>0</v>
      </c>
      <c r="DB1048" s="2" t="s">
        <v>102</v>
      </c>
      <c r="DC1048" s="2" t="s">
        <v>134</v>
      </c>
      <c r="DD1048" s="2" t="s">
        <v>142</v>
      </c>
      <c r="DE1048" s="2" t="s">
        <v>257</v>
      </c>
      <c r="DF1048" s="3" t="s">
        <v>86</v>
      </c>
      <c r="DG1048" s="62">
        <v>43047</v>
      </c>
      <c r="EC1048" s="60" t="str">
        <f>VLOOKUP($M1048,[1]Detail!$M:$BO,1,0)</f>
        <v>JU5T-15604-MCE</v>
      </c>
      <c r="ED1048" s="60">
        <f>VLOOKUP($M1048,[1]Detail!$M:$BO,22,0)</f>
        <v>-321.23999999999995</v>
      </c>
      <c r="EE1048" s="60">
        <f>VLOOKUP($M1048,[1]Detail!$M:$BO,42,0)</f>
        <v>0</v>
      </c>
      <c r="EF1048" s="60">
        <f>VLOOKUP($M1048,[1]Detail!$M:$BO,45,0)</f>
        <v>-2453189.2000000002</v>
      </c>
      <c r="EH1048" s="60">
        <f t="shared" ref="EH1048:EH1052" si="1214">ED1048-AD1048</f>
        <v>0</v>
      </c>
      <c r="EI1048" s="60">
        <f t="shared" ref="EI1048:EI1052" si="1215">EE1048-AG1048</f>
        <v>0</v>
      </c>
      <c r="EJ1048" s="60">
        <f t="shared" ref="EJ1048:EJ1052" si="1216">EF1048-AJ1048</f>
        <v>0</v>
      </c>
    </row>
    <row r="1049" spans="2:140" ht="12.75" hidden="1" customHeight="1">
      <c r="B1049" s="1" t="s">
        <v>1671</v>
      </c>
      <c r="C1049" s="22" t="s">
        <v>1648</v>
      </c>
      <c r="D1049" s="22" t="s">
        <v>1649</v>
      </c>
      <c r="E1049" s="22" t="s">
        <v>1661</v>
      </c>
      <c r="F1049" s="22" t="s">
        <v>969</v>
      </c>
      <c r="G1049" s="2" t="s">
        <v>331</v>
      </c>
      <c r="J1049" s="22" t="str">
        <f t="shared" si="1205"/>
        <v>JU5T</v>
      </c>
      <c r="K1049" s="23" t="str">
        <f t="shared" si="1205"/>
        <v>15604</v>
      </c>
      <c r="L1049" s="22" t="s">
        <v>1675</v>
      </c>
      <c r="M1049" s="51" t="str">
        <f t="shared" si="1179"/>
        <v>JU5T-15604-KCE</v>
      </c>
      <c r="O1049" s="22">
        <f t="shared" si="1206"/>
        <v>0</v>
      </c>
      <c r="P1049" s="22">
        <f t="shared" si="1206"/>
        <v>0</v>
      </c>
      <c r="Q1049" s="22">
        <f t="shared" si="1206"/>
        <v>0</v>
      </c>
      <c r="R1049" s="22">
        <f t="shared" si="1206"/>
        <v>0</v>
      </c>
      <c r="S1049" s="22">
        <v>1</v>
      </c>
      <c r="T1049" s="22">
        <v>1</v>
      </c>
      <c r="U1049" s="22">
        <f t="shared" si="1206"/>
        <v>1</v>
      </c>
      <c r="V1049" s="22">
        <f t="shared" si="1206"/>
        <v>1</v>
      </c>
      <c r="W1049" s="64">
        <f t="shared" si="1199"/>
        <v>0.33</v>
      </c>
      <c r="Y1049" s="60">
        <f t="shared" si="1207"/>
        <v>-347.63</v>
      </c>
      <c r="Z1049" s="60">
        <f t="shared" si="1207"/>
        <v>-2.15</v>
      </c>
      <c r="AA1049" s="60">
        <f t="shared" si="1207"/>
        <v>-4.1500000000000004</v>
      </c>
      <c r="AB1049" s="60">
        <f t="shared" si="1207"/>
        <v>0</v>
      </c>
      <c r="AC1049" s="60">
        <f t="shared" si="1207"/>
        <v>-4.2699999999999996</v>
      </c>
      <c r="AD1049" s="8">
        <f t="shared" si="1213"/>
        <v>-358.19999999999993</v>
      </c>
      <c r="AE1049" s="2" t="s">
        <v>91</v>
      </c>
      <c r="AG1049" s="71">
        <v>0</v>
      </c>
      <c r="AH1049" s="71">
        <v>0</v>
      </c>
      <c r="AJ1049" s="71">
        <f t="shared" si="1208"/>
        <v>0</v>
      </c>
      <c r="AK1049" s="71">
        <f t="shared" si="1208"/>
        <v>0</v>
      </c>
      <c r="AL1049" s="72"/>
      <c r="AM1049" s="22"/>
      <c r="AO1049" s="22" t="s">
        <v>1650</v>
      </c>
      <c r="AP1049" s="23" t="s">
        <v>1651</v>
      </c>
      <c r="AQ1049" s="22" t="s">
        <v>1676</v>
      </c>
      <c r="AR1049" s="51" t="s">
        <v>1677</v>
      </c>
      <c r="AS1049" s="3"/>
      <c r="AT1049" s="22">
        <v>0</v>
      </c>
      <c r="AU1049" s="22">
        <v>0</v>
      </c>
      <c r="AV1049" s="22">
        <v>0</v>
      </c>
      <c r="AW1049" s="22">
        <v>0</v>
      </c>
      <c r="AX1049" s="22">
        <v>1</v>
      </c>
      <c r="AY1049" s="22">
        <v>1</v>
      </c>
      <c r="AZ1049" s="22">
        <v>1</v>
      </c>
      <c r="BA1049" s="22">
        <v>1</v>
      </c>
      <c r="BB1049" s="64">
        <v>0.33</v>
      </c>
      <c r="BD1049" s="60">
        <v>-347.63</v>
      </c>
      <c r="BE1049" s="60">
        <v>-2.15</v>
      </c>
      <c r="BF1049" s="60">
        <v>-4.1500000000000004</v>
      </c>
      <c r="BG1049" s="60">
        <v>0</v>
      </c>
      <c r="BH1049" s="60">
        <v>-4.2699999999999996</v>
      </c>
      <c r="BI1049" s="8">
        <v>-358.19999999999993</v>
      </c>
      <c r="BJ1049" s="2" t="s">
        <v>91</v>
      </c>
      <c r="BL1049" s="71">
        <v>0</v>
      </c>
      <c r="BM1049" s="71">
        <v>0</v>
      </c>
      <c r="BO1049" s="71">
        <v>0</v>
      </c>
      <c r="BP1049" s="71">
        <v>0</v>
      </c>
      <c r="BQ1049" s="72"/>
      <c r="BS1049" s="61">
        <f t="shared" si="1204"/>
        <v>0</v>
      </c>
      <c r="BT1049" s="61">
        <f t="shared" si="1204"/>
        <v>0</v>
      </c>
      <c r="BU1049" s="61">
        <f t="shared" si="1204"/>
        <v>0</v>
      </c>
      <c r="BV1049" s="61">
        <f t="shared" si="1204"/>
        <v>0</v>
      </c>
      <c r="BW1049" s="61">
        <f t="shared" si="1204"/>
        <v>0</v>
      </c>
      <c r="BX1049" s="61">
        <f t="shared" si="1204"/>
        <v>0</v>
      </c>
      <c r="BY1049" s="61" t="s">
        <v>91</v>
      </c>
      <c r="CA1049" s="61">
        <f t="shared" si="1211"/>
        <v>0</v>
      </c>
      <c r="CB1049" s="61">
        <f t="shared" si="1211"/>
        <v>0</v>
      </c>
      <c r="CC1049" s="61">
        <f t="shared" si="1211"/>
        <v>0</v>
      </c>
      <c r="CD1049" s="61">
        <f t="shared" si="1211"/>
        <v>0</v>
      </c>
      <c r="CE1049" s="61">
        <f t="shared" si="1211"/>
        <v>0</v>
      </c>
      <c r="CF1049" s="61">
        <f t="shared" si="1211"/>
        <v>0</v>
      </c>
      <c r="CG1049" s="61">
        <f t="shared" si="1211"/>
        <v>0</v>
      </c>
      <c r="CH1049" s="61">
        <f t="shared" si="1209"/>
        <v>0</v>
      </c>
      <c r="CI1049" s="61">
        <f t="shared" si="1165"/>
        <v>0</v>
      </c>
      <c r="CJ1049" s="61"/>
      <c r="CK1049" s="61">
        <f t="shared" si="1212"/>
        <v>0</v>
      </c>
      <c r="CL1049" s="61">
        <f t="shared" si="1212"/>
        <v>0</v>
      </c>
      <c r="CM1049" s="61">
        <f t="shared" si="1212"/>
        <v>0</v>
      </c>
      <c r="CN1049" s="61">
        <f t="shared" si="1212"/>
        <v>0</v>
      </c>
      <c r="CO1049" s="61">
        <f t="shared" si="1212"/>
        <v>0</v>
      </c>
      <c r="CP1049" s="61">
        <f t="shared" si="1212"/>
        <v>0</v>
      </c>
      <c r="CQ1049" s="61">
        <f t="shared" si="1212"/>
        <v>0</v>
      </c>
      <c r="CR1049" s="61">
        <f t="shared" si="1210"/>
        <v>0</v>
      </c>
      <c r="CS1049" s="61">
        <f t="shared" si="1167"/>
        <v>0</v>
      </c>
      <c r="CT1049" s="67">
        <f t="shared" si="1173"/>
        <v>0</v>
      </c>
      <c r="CV1049" s="61">
        <f t="shared" si="1172"/>
        <v>0</v>
      </c>
      <c r="CW1049" s="61">
        <f t="shared" si="1169"/>
        <v>0</v>
      </c>
      <c r="CX1049" s="61"/>
      <c r="CY1049" s="61">
        <f t="shared" si="1186"/>
        <v>0</v>
      </c>
      <c r="CZ1049" s="61">
        <f t="shared" si="1186"/>
        <v>0</v>
      </c>
      <c r="DA1049" s="61">
        <f t="shared" si="1186"/>
        <v>0</v>
      </c>
      <c r="DB1049" s="2" t="s">
        <v>102</v>
      </c>
      <c r="DC1049" s="2" t="s">
        <v>134</v>
      </c>
      <c r="DD1049" s="2" t="s">
        <v>142</v>
      </c>
      <c r="DE1049" s="2" t="s">
        <v>257</v>
      </c>
      <c r="DF1049" s="3" t="s">
        <v>86</v>
      </c>
      <c r="DG1049" s="62">
        <v>43047</v>
      </c>
      <c r="EC1049" s="60" t="str">
        <f>VLOOKUP($M1049,[1]Detail!$M:$BO,1,0)</f>
        <v>JU5T-15604-KCE</v>
      </c>
      <c r="ED1049" s="60">
        <f>VLOOKUP($M1049,[1]Detail!$M:$BO,22,0)</f>
        <v>-358.19999999999993</v>
      </c>
      <c r="EE1049" s="60">
        <f>VLOOKUP($M1049,[1]Detail!$M:$BO,42,0)</f>
        <v>0</v>
      </c>
      <c r="EF1049" s="60">
        <f>VLOOKUP($M1049,[1]Detail!$M:$BO,45,0)</f>
        <v>0</v>
      </c>
      <c r="EH1049" s="60">
        <f t="shared" si="1214"/>
        <v>0</v>
      </c>
      <c r="EI1049" s="60">
        <f t="shared" si="1215"/>
        <v>0</v>
      </c>
      <c r="EJ1049" s="60">
        <f t="shared" si="1216"/>
        <v>0</v>
      </c>
    </row>
    <row r="1050" spans="2:140" ht="12.75" hidden="1" customHeight="1">
      <c r="B1050" s="1" t="s">
        <v>1678</v>
      </c>
      <c r="C1050" s="22" t="s">
        <v>1679</v>
      </c>
      <c r="D1050" s="1" t="s">
        <v>1680</v>
      </c>
      <c r="E1050" s="2" t="s">
        <v>1005</v>
      </c>
      <c r="F1050" s="2" t="s">
        <v>330</v>
      </c>
      <c r="G1050" s="2" t="s">
        <v>331</v>
      </c>
      <c r="J1050" s="22" t="s">
        <v>1681</v>
      </c>
      <c r="K1050" s="23">
        <v>7002</v>
      </c>
      <c r="L1050" s="23" t="s">
        <v>1682</v>
      </c>
      <c r="M1050" s="51" t="str">
        <f t="shared" si="1179"/>
        <v>JX6R-7002-ALA</v>
      </c>
      <c r="O1050" s="22">
        <v>0</v>
      </c>
      <c r="P1050" s="22">
        <v>0</v>
      </c>
      <c r="Q1050" s="22">
        <v>0</v>
      </c>
      <c r="R1050" s="22">
        <v>0</v>
      </c>
      <c r="S1050" s="22">
        <v>1</v>
      </c>
      <c r="T1050" s="22">
        <v>0</v>
      </c>
      <c r="U1050" s="22">
        <v>0</v>
      </c>
      <c r="V1050" s="22">
        <v>0</v>
      </c>
      <c r="W1050" s="64">
        <f t="shared" si="1199"/>
        <v>0.09</v>
      </c>
      <c r="Y1050" s="60">
        <v>-2959.47</v>
      </c>
      <c r="Z1050" s="60">
        <v>-84</v>
      </c>
      <c r="AA1050" s="60">
        <v>0</v>
      </c>
      <c r="AB1050" s="60">
        <v>0</v>
      </c>
      <c r="AC1050" s="60">
        <v>0</v>
      </c>
      <c r="AD1050" s="8">
        <f t="shared" si="1188"/>
        <v>-3043.47</v>
      </c>
      <c r="AE1050" s="2" t="s">
        <v>91</v>
      </c>
      <c r="AG1050" s="71">
        <v>0</v>
      </c>
      <c r="AH1050" s="71">
        <v>0</v>
      </c>
      <c r="AJ1050" s="71">
        <v>0</v>
      </c>
      <c r="AK1050" s="71">
        <v>0</v>
      </c>
      <c r="AL1050" s="72"/>
      <c r="AM1050" s="22"/>
      <c r="AO1050" s="23" t="s">
        <v>1681</v>
      </c>
      <c r="AP1050" s="23">
        <v>7002</v>
      </c>
      <c r="AQ1050" s="23" t="s">
        <v>1682</v>
      </c>
      <c r="AR1050" s="51" t="str">
        <f t="shared" ref="AR1050:AR1070" si="1217">TRIM(AO1050)&amp;"-"&amp;TRIM(AP1050)&amp;"-"&amp;TRIM(AQ1050)</f>
        <v>JX6R-7002-ALA</v>
      </c>
      <c r="AS1050" s="3"/>
      <c r="AT1050" s="22">
        <v>0</v>
      </c>
      <c r="AU1050" s="22">
        <v>0</v>
      </c>
      <c r="AV1050" s="22">
        <v>0</v>
      </c>
      <c r="AW1050" s="22">
        <v>0</v>
      </c>
      <c r="AX1050" s="22">
        <v>1</v>
      </c>
      <c r="AY1050" s="22">
        <v>0</v>
      </c>
      <c r="AZ1050" s="22">
        <v>0</v>
      </c>
      <c r="BA1050" s="22">
        <v>0</v>
      </c>
      <c r="BB1050" s="64">
        <f t="shared" ref="BB1050:BB1070" si="1218">SUMPRODUCT(AT1050:BA1050,$O$6:$V$6)</f>
        <v>0.09</v>
      </c>
      <c r="BD1050" s="60">
        <v>-2959.47</v>
      </c>
      <c r="BE1050" s="60">
        <v>-84</v>
      </c>
      <c r="BF1050" s="60"/>
      <c r="BG1050" s="60">
        <v>0</v>
      </c>
      <c r="BH1050" s="60"/>
      <c r="BI1050" s="8">
        <f t="shared" ref="BI1050:BI1070" si="1219">SUM(BD1050:BH1050)</f>
        <v>-3043.47</v>
      </c>
      <c r="BJ1050" s="2" t="s">
        <v>91</v>
      </c>
      <c r="BL1050" s="71">
        <v>0</v>
      </c>
      <c r="BM1050" s="71">
        <v>0</v>
      </c>
      <c r="BO1050" s="71">
        <v>0</v>
      </c>
      <c r="BP1050" s="71">
        <v>0</v>
      </c>
      <c r="BQ1050" s="72"/>
      <c r="BS1050" s="61">
        <f t="shared" si="1204"/>
        <v>0</v>
      </c>
      <c r="BT1050" s="61">
        <f t="shared" si="1204"/>
        <v>0</v>
      </c>
      <c r="BU1050" s="61">
        <f t="shared" si="1204"/>
        <v>0</v>
      </c>
      <c r="BV1050" s="61">
        <f t="shared" si="1204"/>
        <v>0</v>
      </c>
      <c r="BW1050" s="61">
        <f t="shared" si="1204"/>
        <v>0</v>
      </c>
      <c r="BX1050" s="61">
        <f t="shared" si="1204"/>
        <v>0</v>
      </c>
      <c r="BY1050" s="61" t="s">
        <v>91</v>
      </c>
      <c r="CA1050" s="61">
        <f t="shared" si="1211"/>
        <v>0</v>
      </c>
      <c r="CB1050" s="61">
        <f t="shared" si="1211"/>
        <v>0</v>
      </c>
      <c r="CC1050" s="61">
        <f t="shared" si="1211"/>
        <v>0</v>
      </c>
      <c r="CD1050" s="61">
        <f t="shared" si="1211"/>
        <v>0</v>
      </c>
      <c r="CE1050" s="61">
        <f t="shared" si="1211"/>
        <v>0</v>
      </c>
      <c r="CF1050" s="61">
        <f t="shared" si="1211"/>
        <v>0</v>
      </c>
      <c r="CG1050" s="61">
        <f t="shared" si="1211"/>
        <v>0</v>
      </c>
      <c r="CH1050" s="61">
        <f t="shared" si="1209"/>
        <v>0</v>
      </c>
      <c r="CI1050" s="61">
        <f t="shared" si="1165"/>
        <v>0</v>
      </c>
      <c r="CJ1050" s="61"/>
      <c r="CK1050" s="61">
        <f t="shared" si="1212"/>
        <v>0</v>
      </c>
      <c r="CL1050" s="61">
        <f t="shared" si="1212"/>
        <v>0</v>
      </c>
      <c r="CM1050" s="61">
        <f t="shared" si="1212"/>
        <v>0</v>
      </c>
      <c r="CN1050" s="61">
        <f t="shared" si="1212"/>
        <v>0</v>
      </c>
      <c r="CO1050" s="61">
        <f t="shared" si="1212"/>
        <v>0</v>
      </c>
      <c r="CP1050" s="61">
        <f t="shared" si="1212"/>
        <v>0</v>
      </c>
      <c r="CQ1050" s="61">
        <f t="shared" si="1212"/>
        <v>0</v>
      </c>
      <c r="CR1050" s="61">
        <f t="shared" si="1210"/>
        <v>0</v>
      </c>
      <c r="CS1050" s="61">
        <f t="shared" si="1167"/>
        <v>0</v>
      </c>
      <c r="CT1050" s="67">
        <f t="shared" si="1173"/>
        <v>0</v>
      </c>
      <c r="CV1050" s="61">
        <f t="shared" si="1172"/>
        <v>0</v>
      </c>
      <c r="CW1050" s="61">
        <f t="shared" si="1169"/>
        <v>0</v>
      </c>
      <c r="CX1050" s="61"/>
      <c r="CY1050" s="61">
        <f t="shared" si="1186"/>
        <v>0</v>
      </c>
      <c r="CZ1050" s="61">
        <f t="shared" si="1186"/>
        <v>0</v>
      </c>
      <c r="DA1050" s="61">
        <f t="shared" si="1186"/>
        <v>0</v>
      </c>
      <c r="DB1050" s="2" t="s">
        <v>134</v>
      </c>
      <c r="DC1050" s="2" t="s">
        <v>102</v>
      </c>
      <c r="DD1050" s="2" t="s">
        <v>142</v>
      </c>
      <c r="DE1050" s="2" t="s">
        <v>257</v>
      </c>
      <c r="DF1050" s="3" t="s">
        <v>102</v>
      </c>
      <c r="DG1050" s="62">
        <v>42816</v>
      </c>
      <c r="EC1050" s="60"/>
      <c r="ED1050" s="60"/>
      <c r="EE1050" s="60"/>
      <c r="EF1050" s="60"/>
      <c r="EH1050" s="60"/>
      <c r="EI1050" s="60"/>
      <c r="EJ1050" s="60"/>
    </row>
    <row r="1051" spans="2:140" ht="12.75" hidden="1" customHeight="1">
      <c r="B1051" s="1" t="s">
        <v>1683</v>
      </c>
      <c r="C1051" s="22" t="s">
        <v>1679</v>
      </c>
      <c r="D1051" s="1" t="s">
        <v>1680</v>
      </c>
      <c r="E1051" s="2" t="s">
        <v>1005</v>
      </c>
      <c r="F1051" s="2" t="s">
        <v>330</v>
      </c>
      <c r="G1051" s="2" t="s">
        <v>331</v>
      </c>
      <c r="J1051" s="22" t="s">
        <v>1681</v>
      </c>
      <c r="K1051" s="23">
        <v>7002</v>
      </c>
      <c r="L1051" s="22" t="s">
        <v>1684</v>
      </c>
      <c r="M1051" s="51" t="str">
        <f t="shared" si="1179"/>
        <v>JX6R-7002-CLA</v>
      </c>
      <c r="O1051" s="22">
        <v>1</v>
      </c>
      <c r="P1051" s="22">
        <v>0</v>
      </c>
      <c r="Q1051" s="22">
        <v>1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64">
        <f t="shared" si="1199"/>
        <v>0.28000000000000003</v>
      </c>
      <c r="Y1051" s="60">
        <v>-2959.47</v>
      </c>
      <c r="Z1051" s="60">
        <v>-84</v>
      </c>
      <c r="AA1051" s="60">
        <v>0</v>
      </c>
      <c r="AB1051" s="60">
        <v>0</v>
      </c>
      <c r="AC1051" s="60">
        <v>0</v>
      </c>
      <c r="AD1051" s="8">
        <f t="shared" si="1188"/>
        <v>-3043.47</v>
      </c>
      <c r="AE1051" s="2" t="s">
        <v>91</v>
      </c>
      <c r="AG1051" s="71">
        <v>0</v>
      </c>
      <c r="AH1051" s="71">
        <v>0</v>
      </c>
      <c r="AJ1051" s="71">
        <v>0</v>
      </c>
      <c r="AK1051" s="71">
        <v>0</v>
      </c>
      <c r="AL1051" s="72"/>
      <c r="AM1051" s="22"/>
      <c r="AO1051" s="23" t="s">
        <v>1681</v>
      </c>
      <c r="AP1051" s="23">
        <v>7002</v>
      </c>
      <c r="AQ1051" s="23" t="s">
        <v>1684</v>
      </c>
      <c r="AR1051" s="51" t="str">
        <f t="shared" si="1217"/>
        <v>JX6R-7002-CLA</v>
      </c>
      <c r="AS1051" s="3"/>
      <c r="AT1051" s="22">
        <v>1</v>
      </c>
      <c r="AU1051" s="22">
        <v>0</v>
      </c>
      <c r="AV1051" s="22">
        <v>1</v>
      </c>
      <c r="AW1051" s="22">
        <v>0</v>
      </c>
      <c r="AX1051" s="22">
        <v>0</v>
      </c>
      <c r="AY1051" s="22">
        <v>0</v>
      </c>
      <c r="AZ1051" s="22">
        <v>0</v>
      </c>
      <c r="BA1051" s="22">
        <v>0</v>
      </c>
      <c r="BB1051" s="64">
        <f t="shared" si="1218"/>
        <v>0.28000000000000003</v>
      </c>
      <c r="BD1051" s="60">
        <v>-2959.47</v>
      </c>
      <c r="BE1051" s="60">
        <v>-84</v>
      </c>
      <c r="BF1051" s="60"/>
      <c r="BG1051" s="60">
        <v>0</v>
      </c>
      <c r="BH1051" s="60"/>
      <c r="BI1051" s="8">
        <f t="shared" si="1219"/>
        <v>-3043.47</v>
      </c>
      <c r="BJ1051" s="2" t="s">
        <v>91</v>
      </c>
      <c r="BL1051" s="71">
        <v>0</v>
      </c>
      <c r="BM1051" s="71">
        <v>0</v>
      </c>
      <c r="BO1051" s="71">
        <v>0</v>
      </c>
      <c r="BP1051" s="71">
        <v>0</v>
      </c>
      <c r="BQ1051" s="72"/>
      <c r="BS1051" s="61">
        <f t="shared" si="1204"/>
        <v>0</v>
      </c>
      <c r="BT1051" s="61">
        <f t="shared" si="1204"/>
        <v>0</v>
      </c>
      <c r="BU1051" s="61">
        <f t="shared" si="1204"/>
        <v>0</v>
      </c>
      <c r="BV1051" s="61">
        <f t="shared" si="1204"/>
        <v>0</v>
      </c>
      <c r="BW1051" s="61">
        <f t="shared" si="1204"/>
        <v>0</v>
      </c>
      <c r="BX1051" s="61">
        <f t="shared" si="1204"/>
        <v>0</v>
      </c>
      <c r="BY1051" s="61" t="s">
        <v>91</v>
      </c>
      <c r="CA1051" s="61">
        <f t="shared" si="1211"/>
        <v>0</v>
      </c>
      <c r="CB1051" s="61">
        <f t="shared" si="1211"/>
        <v>0</v>
      </c>
      <c r="CC1051" s="61">
        <f t="shared" si="1211"/>
        <v>0</v>
      </c>
      <c r="CD1051" s="61">
        <f t="shared" si="1211"/>
        <v>0</v>
      </c>
      <c r="CE1051" s="61">
        <f t="shared" si="1211"/>
        <v>0</v>
      </c>
      <c r="CF1051" s="61">
        <f t="shared" si="1211"/>
        <v>0</v>
      </c>
      <c r="CG1051" s="61">
        <f t="shared" si="1211"/>
        <v>0</v>
      </c>
      <c r="CH1051" s="61">
        <f t="shared" si="1209"/>
        <v>0</v>
      </c>
      <c r="CI1051" s="61">
        <f t="shared" si="1165"/>
        <v>0</v>
      </c>
      <c r="CJ1051" s="61"/>
      <c r="CK1051" s="61">
        <f t="shared" si="1212"/>
        <v>0</v>
      </c>
      <c r="CL1051" s="61">
        <f t="shared" si="1212"/>
        <v>0</v>
      </c>
      <c r="CM1051" s="61">
        <f t="shared" si="1212"/>
        <v>0</v>
      </c>
      <c r="CN1051" s="61">
        <f t="shared" si="1212"/>
        <v>0</v>
      </c>
      <c r="CO1051" s="61">
        <f t="shared" si="1212"/>
        <v>0</v>
      </c>
      <c r="CP1051" s="61">
        <f t="shared" si="1212"/>
        <v>0</v>
      </c>
      <c r="CQ1051" s="61">
        <f t="shared" si="1212"/>
        <v>0</v>
      </c>
      <c r="CR1051" s="61">
        <f t="shared" si="1210"/>
        <v>0</v>
      </c>
      <c r="CS1051" s="61">
        <f t="shared" si="1167"/>
        <v>0</v>
      </c>
      <c r="CT1051" s="67">
        <f t="shared" si="1173"/>
        <v>0</v>
      </c>
      <c r="CV1051" s="61">
        <f t="shared" si="1172"/>
        <v>0</v>
      </c>
      <c r="CW1051" s="61">
        <f t="shared" si="1169"/>
        <v>0</v>
      </c>
      <c r="CX1051" s="61"/>
      <c r="CY1051" s="61">
        <f t="shared" si="1186"/>
        <v>0</v>
      </c>
      <c r="CZ1051" s="61">
        <f t="shared" si="1186"/>
        <v>0</v>
      </c>
      <c r="DA1051" s="61">
        <f t="shared" si="1186"/>
        <v>0</v>
      </c>
      <c r="DB1051" s="2" t="s">
        <v>134</v>
      </c>
      <c r="DC1051" s="2" t="s">
        <v>102</v>
      </c>
      <c r="DD1051" s="2" t="s">
        <v>142</v>
      </c>
      <c r="DE1051" s="2" t="s">
        <v>257</v>
      </c>
      <c r="DF1051" s="3" t="s">
        <v>102</v>
      </c>
      <c r="DG1051" s="62">
        <v>42816</v>
      </c>
      <c r="EC1051" s="60"/>
      <c r="ED1051" s="60"/>
      <c r="EE1051" s="60"/>
      <c r="EF1051" s="60"/>
      <c r="EH1051" s="60"/>
      <c r="EI1051" s="60"/>
      <c r="EJ1051" s="60"/>
    </row>
    <row r="1052" spans="2:140" ht="12.75" hidden="1" customHeight="1">
      <c r="B1052" s="1" t="s">
        <v>1678</v>
      </c>
      <c r="C1052" s="22" t="s">
        <v>1685</v>
      </c>
      <c r="D1052" s="22" t="s">
        <v>1686</v>
      </c>
      <c r="E1052" s="2" t="s">
        <v>1005</v>
      </c>
      <c r="F1052" s="2" t="s">
        <v>330</v>
      </c>
      <c r="G1052" s="2" t="s">
        <v>331</v>
      </c>
      <c r="J1052" s="22" t="s">
        <v>1687</v>
      </c>
      <c r="K1052" s="23" t="s">
        <v>1688</v>
      </c>
      <c r="L1052" s="22" t="s">
        <v>1689</v>
      </c>
      <c r="M1052" s="51" t="str">
        <f t="shared" si="1179"/>
        <v>WSS -M2C200-D2</v>
      </c>
      <c r="O1052" s="22">
        <v>1</v>
      </c>
      <c r="P1052" s="22">
        <v>0</v>
      </c>
      <c r="Q1052" s="22">
        <v>1</v>
      </c>
      <c r="R1052" s="22">
        <v>0</v>
      </c>
      <c r="S1052" s="22">
        <v>1</v>
      </c>
      <c r="T1052" s="22">
        <v>0</v>
      </c>
      <c r="U1052" s="22">
        <v>0</v>
      </c>
      <c r="V1052" s="22">
        <v>0</v>
      </c>
      <c r="W1052" s="64">
        <f t="shared" si="1199"/>
        <v>0.37</v>
      </c>
      <c r="Y1052" s="60">
        <v>-36.5</v>
      </c>
      <c r="Z1052" s="60">
        <v>0</v>
      </c>
      <c r="AA1052" s="60">
        <v>-0.5</v>
      </c>
      <c r="AB1052" s="60">
        <v>0</v>
      </c>
      <c r="AC1052" s="60">
        <v>0</v>
      </c>
      <c r="AD1052" s="8">
        <f t="shared" si="1188"/>
        <v>-37</v>
      </c>
      <c r="AE1052" s="2" t="s">
        <v>91</v>
      </c>
      <c r="AG1052" s="71">
        <v>0</v>
      </c>
      <c r="AH1052" s="71">
        <v>0</v>
      </c>
      <c r="AJ1052" s="71">
        <v>0</v>
      </c>
      <c r="AK1052" s="71">
        <v>0</v>
      </c>
      <c r="AL1052" s="72"/>
      <c r="AM1052" s="22"/>
      <c r="AO1052" s="23" t="s">
        <v>1690</v>
      </c>
      <c r="AP1052" s="23" t="s">
        <v>1691</v>
      </c>
      <c r="AQ1052" s="23" t="s">
        <v>1692</v>
      </c>
      <c r="AR1052" s="51" t="str">
        <f t="shared" si="1217"/>
        <v>WSS -M2C200-D2</v>
      </c>
      <c r="AS1052" s="3"/>
      <c r="AT1052" s="22">
        <v>1</v>
      </c>
      <c r="AU1052" s="22">
        <v>0</v>
      </c>
      <c r="AV1052" s="22">
        <v>1</v>
      </c>
      <c r="AW1052" s="22"/>
      <c r="AX1052" s="22">
        <v>1</v>
      </c>
      <c r="AY1052" s="22">
        <v>0</v>
      </c>
      <c r="AZ1052" s="22">
        <v>0</v>
      </c>
      <c r="BA1052" s="22">
        <v>0</v>
      </c>
      <c r="BB1052" s="64">
        <f t="shared" si="1218"/>
        <v>0.37</v>
      </c>
      <c r="BD1052" s="60">
        <v>-36.5</v>
      </c>
      <c r="BE1052" s="60"/>
      <c r="BF1052" s="60">
        <v>-0.5</v>
      </c>
      <c r="BG1052" s="60">
        <v>0</v>
      </c>
      <c r="BH1052" s="60"/>
      <c r="BI1052" s="8">
        <f t="shared" si="1219"/>
        <v>-37</v>
      </c>
      <c r="BJ1052" s="2" t="s">
        <v>91</v>
      </c>
      <c r="BL1052" s="71">
        <v>0</v>
      </c>
      <c r="BM1052" s="71">
        <v>0</v>
      </c>
      <c r="BO1052" s="71">
        <v>0</v>
      </c>
      <c r="BP1052" s="71">
        <v>0</v>
      </c>
      <c r="BQ1052" s="72"/>
      <c r="BS1052" s="61">
        <f t="shared" si="1204"/>
        <v>0</v>
      </c>
      <c r="BT1052" s="61">
        <f t="shared" si="1204"/>
        <v>0</v>
      </c>
      <c r="BU1052" s="61">
        <f t="shared" si="1204"/>
        <v>0</v>
      </c>
      <c r="BV1052" s="61">
        <f t="shared" si="1204"/>
        <v>0</v>
      </c>
      <c r="BW1052" s="61">
        <f t="shared" si="1204"/>
        <v>0</v>
      </c>
      <c r="BX1052" s="61">
        <f t="shared" si="1204"/>
        <v>0</v>
      </c>
      <c r="BY1052" s="61" t="s">
        <v>91</v>
      </c>
      <c r="CA1052" s="61">
        <f t="shared" si="1211"/>
        <v>0</v>
      </c>
      <c r="CB1052" s="61">
        <f t="shared" si="1211"/>
        <v>0</v>
      </c>
      <c r="CC1052" s="61">
        <f t="shared" si="1211"/>
        <v>0</v>
      </c>
      <c r="CD1052" s="61">
        <f t="shared" si="1211"/>
        <v>0</v>
      </c>
      <c r="CE1052" s="61">
        <f t="shared" si="1211"/>
        <v>0</v>
      </c>
      <c r="CF1052" s="61">
        <f t="shared" si="1211"/>
        <v>0</v>
      </c>
      <c r="CG1052" s="61">
        <f t="shared" si="1211"/>
        <v>0</v>
      </c>
      <c r="CH1052" s="61">
        <f t="shared" si="1209"/>
        <v>0</v>
      </c>
      <c r="CI1052" s="61">
        <f t="shared" si="1165"/>
        <v>0</v>
      </c>
      <c r="CJ1052" s="61"/>
      <c r="CK1052" s="61">
        <f t="shared" si="1212"/>
        <v>0</v>
      </c>
      <c r="CL1052" s="61">
        <f t="shared" si="1212"/>
        <v>0</v>
      </c>
      <c r="CM1052" s="61">
        <f t="shared" si="1212"/>
        <v>0</v>
      </c>
      <c r="CN1052" s="61">
        <f t="shared" si="1212"/>
        <v>0</v>
      </c>
      <c r="CO1052" s="61">
        <f t="shared" si="1212"/>
        <v>0</v>
      </c>
      <c r="CP1052" s="61">
        <f t="shared" si="1212"/>
        <v>0</v>
      </c>
      <c r="CQ1052" s="61">
        <f t="shared" si="1212"/>
        <v>0</v>
      </c>
      <c r="CR1052" s="61">
        <f t="shared" si="1210"/>
        <v>0</v>
      </c>
      <c r="CS1052" s="61">
        <f t="shared" si="1167"/>
        <v>0</v>
      </c>
      <c r="CT1052" s="67">
        <f t="shared" si="1173"/>
        <v>0</v>
      </c>
      <c r="CV1052" s="61">
        <f t="shared" si="1172"/>
        <v>0</v>
      </c>
      <c r="CW1052" s="61">
        <f t="shared" si="1169"/>
        <v>0</v>
      </c>
      <c r="CX1052" s="61"/>
      <c r="CY1052" s="61">
        <f t="shared" si="1186"/>
        <v>0</v>
      </c>
      <c r="CZ1052" s="61">
        <f t="shared" si="1186"/>
        <v>0</v>
      </c>
      <c r="DA1052" s="61">
        <f t="shared" si="1186"/>
        <v>0</v>
      </c>
      <c r="DB1052" s="2" t="s">
        <v>102</v>
      </c>
      <c r="DC1052" s="2" t="s">
        <v>102</v>
      </c>
      <c r="DD1052" s="2" t="s">
        <v>142</v>
      </c>
      <c r="DE1052" s="2" t="s">
        <v>257</v>
      </c>
      <c r="DF1052" s="3" t="s">
        <v>102</v>
      </c>
      <c r="DG1052" s="62">
        <v>42816</v>
      </c>
      <c r="EC1052" s="60" t="str">
        <f>VLOOKUP($M1052,[1]Detail!$M:$BO,1,0)</f>
        <v>WSS -M2C200-D2</v>
      </c>
      <c r="ED1052" s="60">
        <f>VLOOKUP($M1052,[1]Detail!$M:$BO,22,0)</f>
        <v>-37</v>
      </c>
      <c r="EE1052" s="60">
        <f>VLOOKUP($M1052,[1]Detail!$M:$BO,42,0)</f>
        <v>0</v>
      </c>
      <c r="EF1052" s="60">
        <f>VLOOKUP($M1052,[1]Detail!$M:$BO,45,0)</f>
        <v>0</v>
      </c>
      <c r="EH1052" s="60">
        <f t="shared" si="1214"/>
        <v>0</v>
      </c>
      <c r="EI1052" s="60">
        <f t="shared" si="1215"/>
        <v>0</v>
      </c>
      <c r="EJ1052" s="60">
        <f t="shared" si="1216"/>
        <v>0</v>
      </c>
    </row>
    <row r="1053" spans="2:140" ht="12.75" hidden="1" customHeight="1">
      <c r="B1053" s="1" t="s">
        <v>1693</v>
      </c>
      <c r="C1053" s="22" t="s">
        <v>1694</v>
      </c>
      <c r="D1053" s="22" t="s">
        <v>1695</v>
      </c>
      <c r="E1053" s="2" t="s">
        <v>1005</v>
      </c>
      <c r="F1053" s="2" t="s">
        <v>330</v>
      </c>
      <c r="G1053" s="2" t="s">
        <v>339</v>
      </c>
      <c r="J1053" s="22" t="s">
        <v>1200</v>
      </c>
      <c r="K1053" s="23" t="s">
        <v>1696</v>
      </c>
      <c r="L1053" s="22" t="s">
        <v>1697</v>
      </c>
      <c r="M1053" s="51" t="str">
        <f t="shared" si="1179"/>
        <v>JX6G-6A247-A1A</v>
      </c>
      <c r="O1053" s="164">
        <v>1</v>
      </c>
      <c r="P1053" s="164">
        <v>1</v>
      </c>
      <c r="Q1053" s="164">
        <v>1</v>
      </c>
      <c r="R1053" s="164">
        <v>1</v>
      </c>
      <c r="S1053" s="164">
        <v>1</v>
      </c>
      <c r="T1053" s="164">
        <v>1</v>
      </c>
      <c r="U1053" s="164">
        <v>1</v>
      </c>
      <c r="V1053" s="164">
        <v>1</v>
      </c>
      <c r="W1053" s="64">
        <f t="shared" si="1199"/>
        <v>1</v>
      </c>
      <c r="Y1053" s="60">
        <v>-2.7</v>
      </c>
      <c r="Z1053" s="60">
        <v>-0.08</v>
      </c>
      <c r="AA1053" s="60">
        <v>-0.02</v>
      </c>
      <c r="AB1053" s="60">
        <v>0</v>
      </c>
      <c r="AC1053" s="60"/>
      <c r="AD1053" s="8">
        <f t="shared" si="1188"/>
        <v>-2.8000000000000003</v>
      </c>
      <c r="AE1053" s="2" t="s">
        <v>91</v>
      </c>
      <c r="AG1053" s="71">
        <v>-180000</v>
      </c>
      <c r="AH1053" s="71">
        <v>-180000</v>
      </c>
      <c r="AI1053" s="6"/>
      <c r="AJ1053" s="71">
        <v>0</v>
      </c>
      <c r="AK1053" s="71">
        <v>0</v>
      </c>
      <c r="AL1053" s="61"/>
      <c r="AM1053" s="22"/>
      <c r="AO1053" s="23" t="s">
        <v>1200</v>
      </c>
      <c r="AP1053" s="23" t="s">
        <v>1696</v>
      </c>
      <c r="AQ1053" s="23" t="s">
        <v>1697</v>
      </c>
      <c r="AR1053" s="51" t="str">
        <f t="shared" si="1217"/>
        <v>JX6G-6A247-A1A</v>
      </c>
      <c r="AS1053" s="3"/>
      <c r="AT1053" s="22">
        <v>1</v>
      </c>
      <c r="AU1053" s="22">
        <v>1</v>
      </c>
      <c r="AV1053" s="22">
        <v>1</v>
      </c>
      <c r="AW1053" s="22">
        <v>1</v>
      </c>
      <c r="AX1053" s="22">
        <v>1</v>
      </c>
      <c r="AY1053" s="22">
        <v>1</v>
      </c>
      <c r="AZ1053" s="22">
        <v>1</v>
      </c>
      <c r="BA1053" s="22">
        <v>1</v>
      </c>
      <c r="BB1053" s="64">
        <f t="shared" si="1218"/>
        <v>1</v>
      </c>
      <c r="BD1053" s="60">
        <v>-2.7</v>
      </c>
      <c r="BE1053" s="60">
        <v>-0.08</v>
      </c>
      <c r="BF1053" s="60">
        <v>-0.02</v>
      </c>
      <c r="BG1053" s="60">
        <v>0</v>
      </c>
      <c r="BH1053" s="60"/>
      <c r="BI1053" s="8">
        <f t="shared" si="1219"/>
        <v>-2.8000000000000003</v>
      </c>
      <c r="BJ1053" s="2" t="s">
        <v>91</v>
      </c>
      <c r="BL1053" s="71">
        <v>-180000</v>
      </c>
      <c r="BM1053" s="71">
        <v>-180000</v>
      </c>
      <c r="BO1053" s="71">
        <v>0</v>
      </c>
      <c r="BP1053" s="71">
        <v>0</v>
      </c>
      <c r="BQ1053" s="71">
        <v>0</v>
      </c>
      <c r="BS1053" s="61">
        <f t="shared" si="1204"/>
        <v>0</v>
      </c>
      <c r="BT1053" s="61">
        <f t="shared" si="1204"/>
        <v>0</v>
      </c>
      <c r="BU1053" s="61">
        <f t="shared" si="1204"/>
        <v>0</v>
      </c>
      <c r="BV1053" s="61">
        <f t="shared" si="1204"/>
        <v>0</v>
      </c>
      <c r="BW1053" s="61">
        <f t="shared" si="1204"/>
        <v>0</v>
      </c>
      <c r="BX1053" s="61">
        <f t="shared" si="1204"/>
        <v>0</v>
      </c>
      <c r="BY1053" s="61" t="s">
        <v>91</v>
      </c>
      <c r="CA1053" s="61">
        <f t="shared" si="1211"/>
        <v>0</v>
      </c>
      <c r="CB1053" s="61">
        <f t="shared" si="1211"/>
        <v>0</v>
      </c>
      <c r="CC1053" s="61">
        <f t="shared" si="1211"/>
        <v>0</v>
      </c>
      <c r="CD1053" s="61">
        <f t="shared" si="1211"/>
        <v>0</v>
      </c>
      <c r="CE1053" s="61">
        <f t="shared" si="1211"/>
        <v>0</v>
      </c>
      <c r="CF1053" s="61">
        <f t="shared" si="1211"/>
        <v>0</v>
      </c>
      <c r="CG1053" s="61">
        <f t="shared" si="1211"/>
        <v>0</v>
      </c>
      <c r="CH1053" s="61">
        <f t="shared" si="1209"/>
        <v>0</v>
      </c>
      <c r="CI1053" s="61">
        <f t="shared" si="1165"/>
        <v>0</v>
      </c>
      <c r="CJ1053" s="61"/>
      <c r="CK1053" s="61">
        <f t="shared" si="1212"/>
        <v>0</v>
      </c>
      <c r="CL1053" s="61">
        <f t="shared" si="1212"/>
        <v>0</v>
      </c>
      <c r="CM1053" s="61">
        <f t="shared" si="1212"/>
        <v>0</v>
      </c>
      <c r="CN1053" s="61">
        <f t="shared" si="1212"/>
        <v>0</v>
      </c>
      <c r="CO1053" s="61">
        <f t="shared" si="1212"/>
        <v>0</v>
      </c>
      <c r="CP1053" s="61">
        <f t="shared" si="1212"/>
        <v>0</v>
      </c>
      <c r="CQ1053" s="61">
        <f t="shared" si="1212"/>
        <v>0</v>
      </c>
      <c r="CR1053" s="61">
        <f t="shared" si="1210"/>
        <v>0</v>
      </c>
      <c r="CS1053" s="61">
        <f t="shared" si="1167"/>
        <v>0</v>
      </c>
      <c r="CT1053" s="67">
        <f t="shared" si="1173"/>
        <v>0</v>
      </c>
      <c r="CV1053" s="61">
        <f t="shared" si="1172"/>
        <v>0</v>
      </c>
      <c r="CW1053" s="61">
        <f t="shared" si="1169"/>
        <v>0</v>
      </c>
      <c r="CX1053" s="61"/>
      <c r="CY1053" s="61">
        <f t="shared" si="1186"/>
        <v>0</v>
      </c>
      <c r="CZ1053" s="61">
        <f t="shared" si="1186"/>
        <v>0</v>
      </c>
      <c r="DA1053" s="61">
        <f t="shared" si="1186"/>
        <v>0</v>
      </c>
      <c r="DB1053" s="2" t="s">
        <v>85</v>
      </c>
      <c r="DC1053" s="2" t="s">
        <v>102</v>
      </c>
      <c r="DD1053" s="2" t="s">
        <v>142</v>
      </c>
      <c r="DE1053" s="2" t="s">
        <v>257</v>
      </c>
      <c r="DF1053" s="3" t="s">
        <v>86</v>
      </c>
      <c r="DG1053" s="62">
        <v>42824</v>
      </c>
      <c r="EC1053" s="60"/>
      <c r="ED1053" s="60"/>
      <c r="EE1053" s="60"/>
      <c r="EF1053" s="60"/>
    </row>
    <row r="1054" spans="2:140" ht="12.75" hidden="1" customHeight="1">
      <c r="B1054" s="1" t="s">
        <v>1698</v>
      </c>
      <c r="C1054" s="22" t="s">
        <v>1694</v>
      </c>
      <c r="D1054" s="22" t="s">
        <v>1695</v>
      </c>
      <c r="E1054" s="2" t="s">
        <v>1005</v>
      </c>
      <c r="F1054" s="2" t="s">
        <v>330</v>
      </c>
      <c r="G1054" s="2" t="s">
        <v>339</v>
      </c>
      <c r="J1054" s="22" t="s">
        <v>1200</v>
      </c>
      <c r="K1054" s="23" t="s">
        <v>1696</v>
      </c>
      <c r="L1054" s="22" t="s">
        <v>1699</v>
      </c>
      <c r="M1054" s="51" t="str">
        <f t="shared" si="1179"/>
        <v>JX6G-6A247-A1B</v>
      </c>
      <c r="O1054" s="164">
        <v>1</v>
      </c>
      <c r="P1054" s="164">
        <v>1</v>
      </c>
      <c r="Q1054" s="164">
        <v>1</v>
      </c>
      <c r="R1054" s="164">
        <v>1</v>
      </c>
      <c r="S1054" s="164">
        <v>1</v>
      </c>
      <c r="T1054" s="164">
        <v>1</v>
      </c>
      <c r="U1054" s="164">
        <v>1</v>
      </c>
      <c r="V1054" s="164">
        <v>1</v>
      </c>
      <c r="W1054" s="64">
        <f t="shared" si="1199"/>
        <v>1</v>
      </c>
      <c r="Y1054" s="60">
        <f>-0.1-2.7</f>
        <v>-2.8000000000000003</v>
      </c>
      <c r="Z1054" s="60">
        <v>-0.08</v>
      </c>
      <c r="AA1054" s="60">
        <v>-0.02</v>
      </c>
      <c r="AB1054" s="60">
        <v>0</v>
      </c>
      <c r="AC1054" s="60"/>
      <c r="AD1054" s="8">
        <f t="shared" ref="AD1054" si="1220">SUM(Y1054:AC1054)</f>
        <v>-2.9000000000000004</v>
      </c>
      <c r="AE1054" s="2" t="s">
        <v>91</v>
      </c>
      <c r="AG1054" s="71">
        <f>-12000-180000</f>
        <v>-192000</v>
      </c>
      <c r="AH1054" s="71">
        <f>-12000-180000</f>
        <v>-192000</v>
      </c>
      <c r="AI1054" s="6"/>
      <c r="AJ1054" s="71">
        <v>0</v>
      </c>
      <c r="AK1054" s="71">
        <v>0</v>
      </c>
      <c r="AL1054" s="61"/>
      <c r="AM1054" s="22"/>
      <c r="AO1054" s="23" t="s">
        <v>1200</v>
      </c>
      <c r="AP1054" s="23" t="s">
        <v>1696</v>
      </c>
      <c r="AQ1054" s="22" t="s">
        <v>1697</v>
      </c>
      <c r="AR1054" s="51" t="str">
        <f t="shared" si="1217"/>
        <v>JX6G-6A247-A1A</v>
      </c>
      <c r="AS1054" s="3"/>
      <c r="AT1054" s="164">
        <v>1</v>
      </c>
      <c r="AU1054" s="164">
        <v>1</v>
      </c>
      <c r="AV1054" s="164">
        <v>1</v>
      </c>
      <c r="AW1054" s="164">
        <v>1</v>
      </c>
      <c r="AX1054" s="164">
        <v>1</v>
      </c>
      <c r="AY1054" s="164">
        <v>1</v>
      </c>
      <c r="AZ1054" s="164">
        <v>1</v>
      </c>
      <c r="BA1054" s="164">
        <v>1</v>
      </c>
      <c r="BB1054" s="64">
        <f t="shared" si="1218"/>
        <v>1</v>
      </c>
      <c r="BD1054" s="60">
        <v>-2.7</v>
      </c>
      <c r="BE1054" s="60">
        <v>-0.08</v>
      </c>
      <c r="BF1054" s="60">
        <v>-0.02</v>
      </c>
      <c r="BG1054" s="60">
        <v>0</v>
      </c>
      <c r="BH1054" s="60"/>
      <c r="BI1054" s="8">
        <f t="shared" si="1219"/>
        <v>-2.8000000000000003</v>
      </c>
      <c r="BJ1054" s="2" t="s">
        <v>91</v>
      </c>
      <c r="BL1054" s="71">
        <v>-180000</v>
      </c>
      <c r="BM1054" s="71">
        <v>-180000</v>
      </c>
      <c r="BO1054" s="71">
        <v>0</v>
      </c>
      <c r="BP1054" s="71">
        <v>0</v>
      </c>
      <c r="BQ1054" s="71">
        <v>0</v>
      </c>
      <c r="BS1054" s="61">
        <f t="shared" si="1204"/>
        <v>-0.10000000000000009</v>
      </c>
      <c r="BT1054" s="61">
        <f t="shared" si="1204"/>
        <v>0</v>
      </c>
      <c r="BU1054" s="61">
        <f t="shared" si="1204"/>
        <v>0</v>
      </c>
      <c r="BV1054" s="61">
        <f t="shared" si="1204"/>
        <v>0</v>
      </c>
      <c r="BW1054" s="61">
        <f t="shared" si="1204"/>
        <v>0</v>
      </c>
      <c r="BX1054" s="61">
        <f t="shared" si="1204"/>
        <v>-0.10000000000000009</v>
      </c>
      <c r="BY1054" s="61" t="s">
        <v>91</v>
      </c>
      <c r="CA1054" s="61">
        <f t="shared" si="1211"/>
        <v>-1.5044380923725002E-2</v>
      </c>
      <c r="CB1054" s="61">
        <f t="shared" si="1211"/>
        <v>-1.5044380923725002E-2</v>
      </c>
      <c r="CC1054" s="61">
        <f t="shared" si="1211"/>
        <v>-1.5044380923725002E-2</v>
      </c>
      <c r="CD1054" s="61">
        <f t="shared" si="1211"/>
        <v>-1.5044380923725002E-2</v>
      </c>
      <c r="CE1054" s="61">
        <f t="shared" si="1211"/>
        <v>-1.5044380923725002E-2</v>
      </c>
      <c r="CF1054" s="61">
        <f t="shared" si="1211"/>
        <v>-1.5044380923725002E-2</v>
      </c>
      <c r="CG1054" s="61">
        <f t="shared" si="1211"/>
        <v>-1.5044380923725002E-2</v>
      </c>
      <c r="CH1054" s="61">
        <f t="shared" si="1209"/>
        <v>-1.5044380923725002E-2</v>
      </c>
      <c r="CI1054" s="61">
        <f t="shared" si="1165"/>
        <v>-1.5044380923725002E-2</v>
      </c>
      <c r="CJ1054" s="61"/>
      <c r="CK1054" s="61">
        <f t="shared" si="1212"/>
        <v>-1.5044380923725002E-2</v>
      </c>
      <c r="CL1054" s="61">
        <f t="shared" si="1212"/>
        <v>-1.5044380923725002E-2</v>
      </c>
      <c r="CM1054" s="61">
        <f t="shared" si="1212"/>
        <v>-1.5044380923725002E-2</v>
      </c>
      <c r="CN1054" s="61">
        <f t="shared" si="1212"/>
        <v>-1.5044380923725002E-2</v>
      </c>
      <c r="CO1054" s="61">
        <f t="shared" si="1212"/>
        <v>-1.5044380923725002E-2</v>
      </c>
      <c r="CP1054" s="61">
        <f t="shared" si="1212"/>
        <v>-1.5044380923725002E-2</v>
      </c>
      <c r="CQ1054" s="61">
        <f t="shared" si="1212"/>
        <v>-1.5044380923725002E-2</v>
      </c>
      <c r="CR1054" s="61">
        <f t="shared" si="1210"/>
        <v>-1.5044380923725002E-2</v>
      </c>
      <c r="CS1054" s="61">
        <f t="shared" si="1167"/>
        <v>-1.5044380923725002E-2</v>
      </c>
      <c r="CT1054" s="63">
        <f t="shared" si="1173"/>
        <v>-0.10000000000000009</v>
      </c>
      <c r="CV1054" s="61">
        <f t="shared" ref="CV1054:CV1111" si="1221">SUM(AG1054)-SUM(BL1054)</f>
        <v>-12000</v>
      </c>
      <c r="CW1054" s="61">
        <f t="shared" ref="CW1054:CW1111" si="1222">SUM(AH1054)-SUM(BM1054)</f>
        <v>-12000</v>
      </c>
      <c r="CX1054" s="61"/>
      <c r="CY1054" s="61">
        <f t="shared" si="1186"/>
        <v>0</v>
      </c>
      <c r="CZ1054" s="61">
        <f t="shared" si="1186"/>
        <v>0</v>
      </c>
      <c r="DA1054" s="61">
        <f t="shared" si="1186"/>
        <v>0</v>
      </c>
      <c r="DB1054" s="2" t="s">
        <v>102</v>
      </c>
      <c r="DC1054" s="2" t="s">
        <v>85</v>
      </c>
      <c r="DD1054" s="2" t="s">
        <v>142</v>
      </c>
      <c r="DE1054" s="2" t="s">
        <v>106</v>
      </c>
      <c r="DF1054" s="3" t="s">
        <v>86</v>
      </c>
      <c r="DG1054" s="62">
        <v>43105</v>
      </c>
      <c r="EC1054" s="60" t="str">
        <f>VLOOKUP($M1054,[1]Detail!$M:$BO,1,0)</f>
        <v>JX6G-6A247-A1B</v>
      </c>
      <c r="ED1054" s="60">
        <f>VLOOKUP($M1054,[1]Detail!$M:$BO,22,0)</f>
        <v>-2.9000000000000004</v>
      </c>
      <c r="EE1054" s="60">
        <f>VLOOKUP($M1054,[1]Detail!$M:$BO,42,0)</f>
        <v>-192000</v>
      </c>
      <c r="EF1054" s="60">
        <f>VLOOKUP($M1054,[1]Detail!$M:$BO,45,0)</f>
        <v>0</v>
      </c>
      <c r="EH1054" s="60">
        <f>ED1054-AD1054</f>
        <v>0</v>
      </c>
      <c r="EI1054" s="60">
        <f>EE1054-AG1054</f>
        <v>0</v>
      </c>
      <c r="EJ1054" s="60">
        <f>EF1054-AJ1054</f>
        <v>0</v>
      </c>
    </row>
    <row r="1055" spans="2:140" ht="12.75" hidden="1" customHeight="1">
      <c r="B1055" s="1" t="s">
        <v>1700</v>
      </c>
      <c r="C1055" s="22" t="s">
        <v>1701</v>
      </c>
      <c r="D1055" s="22" t="s">
        <v>1702</v>
      </c>
      <c r="E1055" s="2" t="s">
        <v>1005</v>
      </c>
      <c r="F1055" s="2" t="s">
        <v>330</v>
      </c>
      <c r="G1055" s="2" t="s">
        <v>331</v>
      </c>
      <c r="J1055" s="22" t="s">
        <v>427</v>
      </c>
      <c r="K1055" s="23">
        <v>9032</v>
      </c>
      <c r="L1055" s="22" t="s">
        <v>182</v>
      </c>
      <c r="M1055" s="51" t="str">
        <f t="shared" si="1179"/>
        <v>JD8G-9032-BA</v>
      </c>
      <c r="O1055" s="22">
        <v>1</v>
      </c>
      <c r="P1055" s="22">
        <v>1</v>
      </c>
      <c r="Q1055" s="22">
        <v>1</v>
      </c>
      <c r="R1055" s="22">
        <v>1</v>
      </c>
      <c r="S1055" s="22">
        <v>0</v>
      </c>
      <c r="T1055" s="22">
        <v>0</v>
      </c>
      <c r="U1055" s="22">
        <v>1</v>
      </c>
      <c r="V1055" s="22">
        <v>0</v>
      </c>
      <c r="W1055" s="64">
        <f t="shared" si="1199"/>
        <v>0.72000000000000008</v>
      </c>
      <c r="Y1055" s="60">
        <v>-120.84</v>
      </c>
      <c r="Z1055" s="60">
        <v>-1.8</v>
      </c>
      <c r="AA1055" s="60">
        <v>-2.2200000000000002</v>
      </c>
      <c r="AB1055" s="60">
        <v>0</v>
      </c>
      <c r="AC1055" s="60">
        <v>-8.3720428525900328</v>
      </c>
      <c r="AD1055" s="8">
        <f t="shared" si="1188"/>
        <v>-133.23204285259004</v>
      </c>
      <c r="AE1055" s="2" t="s">
        <v>91</v>
      </c>
      <c r="AG1055" s="61">
        <v>-1119671</v>
      </c>
      <c r="AH1055" s="61">
        <v>-1119671</v>
      </c>
      <c r="AI1055" s="6"/>
      <c r="AJ1055" s="61">
        <v>-341504</v>
      </c>
      <c r="AK1055" s="61">
        <v>40791</v>
      </c>
      <c r="AL1055" s="61"/>
      <c r="AM1055" s="22" t="s">
        <v>1703</v>
      </c>
      <c r="AO1055" s="23" t="s">
        <v>427</v>
      </c>
      <c r="AP1055" s="23">
        <v>9032</v>
      </c>
      <c r="AQ1055" s="23" t="s">
        <v>182</v>
      </c>
      <c r="AR1055" s="51" t="str">
        <f t="shared" si="1217"/>
        <v>JD8G-9032-BA</v>
      </c>
      <c r="AS1055" s="3"/>
      <c r="AT1055" s="22">
        <v>1</v>
      </c>
      <c r="AU1055" s="22">
        <v>1</v>
      </c>
      <c r="AV1055" s="22">
        <v>1</v>
      </c>
      <c r="AW1055" s="22">
        <v>1</v>
      </c>
      <c r="AX1055" s="22">
        <v>0</v>
      </c>
      <c r="AY1055" s="22">
        <v>0</v>
      </c>
      <c r="AZ1055" s="22">
        <v>1</v>
      </c>
      <c r="BA1055" s="22">
        <v>0</v>
      </c>
      <c r="BB1055" s="64">
        <f t="shared" si="1218"/>
        <v>0.72000000000000008</v>
      </c>
      <c r="BD1055" s="60">
        <v>-120.84</v>
      </c>
      <c r="BE1055" s="60">
        <v>-1.8</v>
      </c>
      <c r="BF1055" s="60">
        <v>-2.2200000000000002</v>
      </c>
      <c r="BG1055" s="60">
        <v>0</v>
      </c>
      <c r="BH1055" s="60">
        <v>-8.3720428525900328</v>
      </c>
      <c r="BI1055" s="8">
        <f t="shared" si="1219"/>
        <v>-133.23204285259004</v>
      </c>
      <c r="BJ1055" s="2" t="s">
        <v>91</v>
      </c>
      <c r="BL1055" s="61">
        <v>-1119671</v>
      </c>
      <c r="BM1055" s="61">
        <v>-1119671</v>
      </c>
      <c r="BO1055" s="71">
        <v>-341504</v>
      </c>
      <c r="BP1055" s="71">
        <v>40791</v>
      </c>
      <c r="BQ1055" s="61"/>
      <c r="BS1055" s="61">
        <f t="shared" si="1204"/>
        <v>0</v>
      </c>
      <c r="BT1055" s="61">
        <f t="shared" si="1204"/>
        <v>0</v>
      </c>
      <c r="BU1055" s="61">
        <f t="shared" si="1204"/>
        <v>0</v>
      </c>
      <c r="BV1055" s="61">
        <f t="shared" si="1204"/>
        <v>0</v>
      </c>
      <c r="BW1055" s="61">
        <f t="shared" si="1204"/>
        <v>0</v>
      </c>
      <c r="BX1055" s="61">
        <f t="shared" si="1204"/>
        <v>0</v>
      </c>
      <c r="BY1055" s="61" t="s">
        <v>91</v>
      </c>
      <c r="CA1055" s="61">
        <f t="shared" si="1211"/>
        <v>0</v>
      </c>
      <c r="CB1055" s="61">
        <f t="shared" si="1211"/>
        <v>0</v>
      </c>
      <c r="CC1055" s="61">
        <f t="shared" si="1211"/>
        <v>0</v>
      </c>
      <c r="CD1055" s="61">
        <f t="shared" si="1211"/>
        <v>0</v>
      </c>
      <c r="CE1055" s="61">
        <f t="shared" si="1211"/>
        <v>0</v>
      </c>
      <c r="CF1055" s="61">
        <f t="shared" si="1211"/>
        <v>0</v>
      </c>
      <c r="CG1055" s="61">
        <f t="shared" si="1211"/>
        <v>0</v>
      </c>
      <c r="CH1055" s="61">
        <f t="shared" si="1209"/>
        <v>0</v>
      </c>
      <c r="CI1055" s="61">
        <f t="shared" si="1165"/>
        <v>0</v>
      </c>
      <c r="CJ1055" s="61"/>
      <c r="CK1055" s="61">
        <f t="shared" si="1212"/>
        <v>0</v>
      </c>
      <c r="CL1055" s="61">
        <f t="shared" si="1212"/>
        <v>0</v>
      </c>
      <c r="CM1055" s="61">
        <f t="shared" si="1212"/>
        <v>0</v>
      </c>
      <c r="CN1055" s="61">
        <f t="shared" si="1212"/>
        <v>0</v>
      </c>
      <c r="CO1055" s="61">
        <f t="shared" si="1212"/>
        <v>0</v>
      </c>
      <c r="CP1055" s="61">
        <f t="shared" si="1212"/>
        <v>0</v>
      </c>
      <c r="CQ1055" s="61">
        <f t="shared" si="1212"/>
        <v>0</v>
      </c>
      <c r="CR1055" s="61">
        <f t="shared" si="1210"/>
        <v>0</v>
      </c>
      <c r="CS1055" s="61">
        <f t="shared" si="1167"/>
        <v>0</v>
      </c>
      <c r="CT1055" s="61">
        <f t="shared" si="1173"/>
        <v>0</v>
      </c>
      <c r="CV1055" s="61">
        <f t="shared" si="1221"/>
        <v>0</v>
      </c>
      <c r="CW1055" s="61">
        <f t="shared" si="1222"/>
        <v>0</v>
      </c>
      <c r="CX1055" s="61"/>
      <c r="CY1055" s="61">
        <f t="shared" si="1186"/>
        <v>0</v>
      </c>
      <c r="CZ1055" s="61">
        <f t="shared" si="1186"/>
        <v>0</v>
      </c>
      <c r="DA1055" s="61">
        <f t="shared" si="1186"/>
        <v>0</v>
      </c>
      <c r="DB1055" s="2" t="s">
        <v>85</v>
      </c>
      <c r="DC1055" s="2" t="s">
        <v>102</v>
      </c>
      <c r="DD1055" s="2" t="s">
        <v>142</v>
      </c>
      <c r="DE1055" s="2" t="s">
        <v>257</v>
      </c>
      <c r="DF1055" s="3" t="s">
        <v>86</v>
      </c>
      <c r="DG1055" s="62">
        <v>42824</v>
      </c>
      <c r="EC1055" s="60"/>
      <c r="ED1055" s="60"/>
      <c r="EE1055" s="60"/>
      <c r="EF1055" s="60"/>
    </row>
    <row r="1056" spans="2:140" ht="12.75" hidden="1" customHeight="1">
      <c r="B1056" s="1" t="s">
        <v>1704</v>
      </c>
      <c r="C1056" s="22" t="s">
        <v>1701</v>
      </c>
      <c r="D1056" s="22" t="s">
        <v>1702</v>
      </c>
      <c r="E1056" s="2" t="s">
        <v>1005</v>
      </c>
      <c r="F1056" s="2" t="s">
        <v>330</v>
      </c>
      <c r="G1056" s="2" t="s">
        <v>331</v>
      </c>
      <c r="J1056" s="22" t="s">
        <v>427</v>
      </c>
      <c r="K1056" s="23">
        <v>9032</v>
      </c>
      <c r="L1056" s="22" t="s">
        <v>120</v>
      </c>
      <c r="M1056" s="51" t="str">
        <f t="shared" si="1179"/>
        <v>JD8G-9032-BB</v>
      </c>
      <c r="O1056" s="22">
        <v>1</v>
      </c>
      <c r="P1056" s="22">
        <v>1</v>
      </c>
      <c r="Q1056" s="22">
        <v>1</v>
      </c>
      <c r="R1056" s="22">
        <v>1</v>
      </c>
      <c r="S1056" s="22">
        <v>0</v>
      </c>
      <c r="T1056" s="22">
        <v>0</v>
      </c>
      <c r="U1056" s="22">
        <v>1</v>
      </c>
      <c r="V1056" s="22">
        <v>0</v>
      </c>
      <c r="W1056" s="64">
        <f t="shared" si="1199"/>
        <v>0.72000000000000008</v>
      </c>
      <c r="Y1056" s="60">
        <v>-120.84</v>
      </c>
      <c r="Z1056" s="60">
        <v>-1.8</v>
      </c>
      <c r="AA1056" s="60">
        <v>-2.2200000000000002</v>
      </c>
      <c r="AB1056" s="60">
        <v>0</v>
      </c>
      <c r="AC1056" s="60">
        <v>-8.3720428525900328</v>
      </c>
      <c r="AD1056" s="8">
        <f t="shared" si="1188"/>
        <v>-133.23204285259004</v>
      </c>
      <c r="AE1056" s="2" t="s">
        <v>91</v>
      </c>
      <c r="AG1056" s="61">
        <v>-1119671</v>
      </c>
      <c r="AH1056" s="61">
        <v>-1119671</v>
      </c>
      <c r="AI1056" s="6"/>
      <c r="AJ1056" s="61">
        <v>-341504</v>
      </c>
      <c r="AK1056" s="61">
        <v>40791</v>
      </c>
      <c r="AL1056" s="61"/>
      <c r="AM1056" s="22" t="s">
        <v>1703</v>
      </c>
      <c r="AO1056" s="22" t="s">
        <v>427</v>
      </c>
      <c r="AP1056" s="23">
        <v>9032</v>
      </c>
      <c r="AQ1056" s="22" t="s">
        <v>182</v>
      </c>
      <c r="AR1056" s="51" t="str">
        <f t="shared" si="1217"/>
        <v>JD8G-9032-BA</v>
      </c>
      <c r="AS1056" s="3"/>
      <c r="AT1056" s="22">
        <v>1</v>
      </c>
      <c r="AU1056" s="22">
        <v>1</v>
      </c>
      <c r="AV1056" s="22">
        <v>1</v>
      </c>
      <c r="AW1056" s="22">
        <v>1</v>
      </c>
      <c r="AX1056" s="22">
        <v>0</v>
      </c>
      <c r="AY1056" s="22">
        <v>0</v>
      </c>
      <c r="AZ1056" s="22">
        <v>1</v>
      </c>
      <c r="BA1056" s="22">
        <v>0</v>
      </c>
      <c r="BB1056" s="64">
        <f t="shared" si="1218"/>
        <v>0.72000000000000008</v>
      </c>
      <c r="BD1056" s="60">
        <v>-120.84</v>
      </c>
      <c r="BE1056" s="60">
        <v>-1.8</v>
      </c>
      <c r="BF1056" s="60">
        <v>-2.2200000000000002</v>
      </c>
      <c r="BG1056" s="60">
        <v>0</v>
      </c>
      <c r="BH1056" s="60">
        <v>-8.3720428525900328</v>
      </c>
      <c r="BI1056" s="8">
        <f t="shared" si="1219"/>
        <v>-133.23204285259004</v>
      </c>
      <c r="BJ1056" s="2" t="s">
        <v>91</v>
      </c>
      <c r="BL1056" s="61">
        <v>-1119671</v>
      </c>
      <c r="BM1056" s="61">
        <v>-1119671</v>
      </c>
      <c r="BO1056" s="61">
        <v>-341504</v>
      </c>
      <c r="BP1056" s="61">
        <v>40791</v>
      </c>
      <c r="BQ1056" s="61"/>
      <c r="BS1056" s="61">
        <f t="shared" si="1204"/>
        <v>0</v>
      </c>
      <c r="BT1056" s="61">
        <f t="shared" si="1204"/>
        <v>0</v>
      </c>
      <c r="BU1056" s="61">
        <f t="shared" si="1204"/>
        <v>0</v>
      </c>
      <c r="BV1056" s="61">
        <f t="shared" si="1204"/>
        <v>0</v>
      </c>
      <c r="BW1056" s="61">
        <f t="shared" si="1204"/>
        <v>0</v>
      </c>
      <c r="BX1056" s="61">
        <f t="shared" si="1204"/>
        <v>0</v>
      </c>
      <c r="BY1056" s="61" t="s">
        <v>91</v>
      </c>
      <c r="CA1056" s="61">
        <f t="shared" si="1211"/>
        <v>0</v>
      </c>
      <c r="CB1056" s="61">
        <f t="shared" si="1211"/>
        <v>0</v>
      </c>
      <c r="CC1056" s="61">
        <f t="shared" si="1211"/>
        <v>0</v>
      </c>
      <c r="CD1056" s="61">
        <f t="shared" si="1211"/>
        <v>0</v>
      </c>
      <c r="CE1056" s="61">
        <f t="shared" si="1211"/>
        <v>0</v>
      </c>
      <c r="CF1056" s="61">
        <f t="shared" si="1211"/>
        <v>0</v>
      </c>
      <c r="CG1056" s="61">
        <f t="shared" si="1211"/>
        <v>0</v>
      </c>
      <c r="CH1056" s="61">
        <f t="shared" si="1209"/>
        <v>0</v>
      </c>
      <c r="CI1056" s="61">
        <f t="shared" si="1165"/>
        <v>0</v>
      </c>
      <c r="CJ1056" s="61"/>
      <c r="CK1056" s="61">
        <f t="shared" si="1212"/>
        <v>0</v>
      </c>
      <c r="CL1056" s="61">
        <f t="shared" si="1212"/>
        <v>0</v>
      </c>
      <c r="CM1056" s="61">
        <f t="shared" si="1212"/>
        <v>0</v>
      </c>
      <c r="CN1056" s="61">
        <f t="shared" si="1212"/>
        <v>0</v>
      </c>
      <c r="CO1056" s="61">
        <f t="shared" si="1212"/>
        <v>0</v>
      </c>
      <c r="CP1056" s="61">
        <f t="shared" si="1212"/>
        <v>0</v>
      </c>
      <c r="CQ1056" s="61">
        <f t="shared" si="1212"/>
        <v>0</v>
      </c>
      <c r="CR1056" s="61">
        <f t="shared" si="1210"/>
        <v>0</v>
      </c>
      <c r="CS1056" s="61">
        <f t="shared" si="1167"/>
        <v>0</v>
      </c>
      <c r="CT1056" s="61">
        <f t="shared" si="1173"/>
        <v>0</v>
      </c>
      <c r="CV1056" s="61">
        <f t="shared" si="1221"/>
        <v>0</v>
      </c>
      <c r="CW1056" s="61">
        <f t="shared" si="1222"/>
        <v>0</v>
      </c>
      <c r="CX1056" s="61"/>
      <c r="CY1056" s="61">
        <f t="shared" si="1186"/>
        <v>0</v>
      </c>
      <c r="CZ1056" s="61">
        <f t="shared" si="1186"/>
        <v>0</v>
      </c>
      <c r="DA1056" s="61">
        <f t="shared" si="1186"/>
        <v>0</v>
      </c>
      <c r="DB1056" s="2" t="s">
        <v>289</v>
      </c>
      <c r="DC1056" s="2" t="s">
        <v>85</v>
      </c>
      <c r="DD1056" s="2" t="s">
        <v>142</v>
      </c>
      <c r="DE1056" s="2" t="s">
        <v>257</v>
      </c>
      <c r="DF1056" s="3" t="s">
        <v>86</v>
      </c>
      <c r="DG1056" s="62">
        <v>42893</v>
      </c>
      <c r="EC1056" s="60"/>
      <c r="ED1056" s="60"/>
      <c r="EE1056" s="60"/>
      <c r="EF1056" s="60"/>
    </row>
    <row r="1057" spans="2:140" ht="12.75" hidden="1" customHeight="1">
      <c r="B1057" s="1" t="s">
        <v>1462</v>
      </c>
      <c r="C1057" s="22" t="s">
        <v>1701</v>
      </c>
      <c r="D1057" s="22" t="s">
        <v>1702</v>
      </c>
      <c r="E1057" s="2" t="s">
        <v>1005</v>
      </c>
      <c r="F1057" s="2" t="s">
        <v>330</v>
      </c>
      <c r="G1057" s="2" t="s">
        <v>331</v>
      </c>
      <c r="J1057" s="22" t="s">
        <v>427</v>
      </c>
      <c r="K1057" s="23">
        <v>9032</v>
      </c>
      <c r="L1057" s="22" t="s">
        <v>120</v>
      </c>
      <c r="M1057" s="51" t="str">
        <f t="shared" si="1179"/>
        <v>JD8G-9032-BB</v>
      </c>
      <c r="O1057" s="22">
        <v>1</v>
      </c>
      <c r="P1057" s="22">
        <v>1</v>
      </c>
      <c r="Q1057" s="22">
        <v>1</v>
      </c>
      <c r="R1057" s="22">
        <v>1</v>
      </c>
      <c r="S1057" s="22">
        <v>0</v>
      </c>
      <c r="T1057" s="22">
        <v>0</v>
      </c>
      <c r="U1057" s="22">
        <v>1</v>
      </c>
      <c r="V1057" s="22">
        <v>0</v>
      </c>
      <c r="W1057" s="64">
        <f t="shared" si="1199"/>
        <v>0.72000000000000008</v>
      </c>
      <c r="Y1057" s="60">
        <v>-120.84</v>
      </c>
      <c r="Z1057" s="60">
        <v>-1.8</v>
      </c>
      <c r="AA1057" s="60">
        <v>-2.2200000000000002</v>
      </c>
      <c r="AB1057" s="60">
        <v>0</v>
      </c>
      <c r="AC1057" s="60">
        <v>-8.3720428525900328</v>
      </c>
      <c r="AD1057" s="8">
        <f t="shared" ref="AD1057" si="1223">SUM(Y1057:AC1057)</f>
        <v>-133.23204285259004</v>
      </c>
      <c r="AE1057" s="2" t="s">
        <v>91</v>
      </c>
      <c r="AF1057" s="61">
        <v>-1119671</v>
      </c>
      <c r="AG1057" s="61">
        <v>-1119671</v>
      </c>
      <c r="AH1057" s="61">
        <v>-1119671</v>
      </c>
      <c r="AI1057" s="6"/>
      <c r="AJ1057" s="61">
        <v>-341504</v>
      </c>
      <c r="AK1057" s="61">
        <v>40791</v>
      </c>
      <c r="AL1057" s="61"/>
      <c r="AM1057" s="22" t="s">
        <v>1703</v>
      </c>
      <c r="AO1057" s="22" t="s">
        <v>427</v>
      </c>
      <c r="AP1057" s="23">
        <v>9032</v>
      </c>
      <c r="AQ1057" s="22" t="s">
        <v>120</v>
      </c>
      <c r="AR1057" s="51" t="str">
        <f t="shared" si="1217"/>
        <v>JD8G-9032-BB</v>
      </c>
      <c r="AS1057" s="3"/>
      <c r="AT1057" s="22">
        <v>1</v>
      </c>
      <c r="AU1057" s="22">
        <v>1</v>
      </c>
      <c r="AV1057" s="22">
        <v>1</v>
      </c>
      <c r="AW1057" s="22">
        <v>1</v>
      </c>
      <c r="AX1057" s="22">
        <v>0</v>
      </c>
      <c r="AY1057" s="22">
        <v>0</v>
      </c>
      <c r="AZ1057" s="22">
        <v>1</v>
      </c>
      <c r="BA1057" s="22">
        <v>0</v>
      </c>
      <c r="BB1057" s="64">
        <f t="shared" si="1218"/>
        <v>0.72000000000000008</v>
      </c>
      <c r="BD1057" s="60">
        <v>-120.84</v>
      </c>
      <c r="BE1057" s="60">
        <v>-1.8</v>
      </c>
      <c r="BF1057" s="60">
        <v>-2.2200000000000002</v>
      </c>
      <c r="BG1057" s="60">
        <v>0</v>
      </c>
      <c r="BH1057" s="60">
        <v>-8.3720428525900328</v>
      </c>
      <c r="BI1057" s="8">
        <f t="shared" si="1219"/>
        <v>-133.23204285259004</v>
      </c>
      <c r="BJ1057" s="2" t="s">
        <v>91</v>
      </c>
      <c r="BL1057" s="61">
        <v>-1119671</v>
      </c>
      <c r="BM1057" s="61">
        <v>-1119671</v>
      </c>
      <c r="BO1057" s="61">
        <v>-341504</v>
      </c>
      <c r="BP1057" s="61">
        <v>40791</v>
      </c>
      <c r="BQ1057" s="61"/>
      <c r="BS1057" s="61">
        <f t="shared" si="1204"/>
        <v>0</v>
      </c>
      <c r="BT1057" s="61">
        <f t="shared" si="1204"/>
        <v>0</v>
      </c>
      <c r="BU1057" s="61">
        <f t="shared" si="1204"/>
        <v>0</v>
      </c>
      <c r="BV1057" s="61">
        <f t="shared" si="1204"/>
        <v>0</v>
      </c>
      <c r="BW1057" s="61">
        <f t="shared" si="1204"/>
        <v>0</v>
      </c>
      <c r="BX1057" s="61">
        <f t="shared" si="1204"/>
        <v>0</v>
      </c>
      <c r="BY1057" s="61" t="s">
        <v>91</v>
      </c>
      <c r="CA1057" s="61">
        <f t="shared" si="1211"/>
        <v>0</v>
      </c>
      <c r="CB1057" s="61">
        <f t="shared" si="1211"/>
        <v>0</v>
      </c>
      <c r="CC1057" s="61">
        <f t="shared" si="1211"/>
        <v>0</v>
      </c>
      <c r="CD1057" s="61">
        <f t="shared" si="1211"/>
        <v>0</v>
      </c>
      <c r="CE1057" s="61">
        <f t="shared" si="1211"/>
        <v>0</v>
      </c>
      <c r="CF1057" s="61">
        <f t="shared" si="1211"/>
        <v>0</v>
      </c>
      <c r="CG1057" s="61">
        <f t="shared" si="1211"/>
        <v>0</v>
      </c>
      <c r="CH1057" s="61">
        <f t="shared" si="1209"/>
        <v>0</v>
      </c>
      <c r="CI1057" s="61">
        <f t="shared" si="1165"/>
        <v>0</v>
      </c>
      <c r="CJ1057" s="61"/>
      <c r="CK1057" s="61">
        <f t="shared" si="1212"/>
        <v>0</v>
      </c>
      <c r="CL1057" s="61">
        <f t="shared" si="1212"/>
        <v>0</v>
      </c>
      <c r="CM1057" s="61">
        <f t="shared" si="1212"/>
        <v>0</v>
      </c>
      <c r="CN1057" s="61">
        <f t="shared" si="1212"/>
        <v>0</v>
      </c>
      <c r="CO1057" s="61">
        <f t="shared" si="1212"/>
        <v>0</v>
      </c>
      <c r="CP1057" s="61">
        <f t="shared" si="1212"/>
        <v>0</v>
      </c>
      <c r="CQ1057" s="61">
        <f t="shared" si="1212"/>
        <v>0</v>
      </c>
      <c r="CR1057" s="61">
        <f t="shared" si="1210"/>
        <v>0</v>
      </c>
      <c r="CS1057" s="61">
        <f t="shared" si="1167"/>
        <v>0</v>
      </c>
      <c r="CT1057" s="61">
        <f t="shared" si="1173"/>
        <v>0</v>
      </c>
      <c r="CV1057" s="61">
        <f>SUM(AF1057)-SUM(BL1057)</f>
        <v>0</v>
      </c>
      <c r="CW1057" s="61">
        <f t="shared" ref="CW1057" si="1224">SUM(AH1057)-SUM(BM1057)</f>
        <v>0</v>
      </c>
      <c r="CX1057" s="61"/>
      <c r="CY1057" s="61">
        <f t="shared" ref="CY1057:CY1058" si="1225">SUM(AJ1057)-SUM(BO1057)</f>
        <v>0</v>
      </c>
      <c r="CZ1057" s="61">
        <f t="shared" si="1186"/>
        <v>0</v>
      </c>
      <c r="DA1057" s="61">
        <f t="shared" si="1186"/>
        <v>0</v>
      </c>
      <c r="DB1057" s="2" t="s">
        <v>289</v>
      </c>
      <c r="DC1057" s="2" t="s">
        <v>85</v>
      </c>
      <c r="DD1057" s="2" t="s">
        <v>142</v>
      </c>
      <c r="DE1057" s="2" t="s">
        <v>257</v>
      </c>
      <c r="DF1057" s="3" t="s">
        <v>86</v>
      </c>
      <c r="DG1057" s="62">
        <v>43125</v>
      </c>
      <c r="EC1057" s="60"/>
      <c r="ED1057" s="60"/>
      <c r="EE1057" s="60"/>
      <c r="EF1057" s="60"/>
    </row>
    <row r="1058" spans="2:140" ht="12.75" hidden="1" customHeight="1">
      <c r="B1058" s="1" t="s">
        <v>1463</v>
      </c>
      <c r="C1058" s="22" t="s">
        <v>1701</v>
      </c>
      <c r="D1058" s="22" t="s">
        <v>1702</v>
      </c>
      <c r="E1058" s="2" t="s">
        <v>1005</v>
      </c>
      <c r="F1058" s="2" t="s">
        <v>330</v>
      </c>
      <c r="G1058" s="2" t="s">
        <v>331</v>
      </c>
      <c r="J1058" s="22" t="s">
        <v>427</v>
      </c>
      <c r="K1058" s="23">
        <v>9032</v>
      </c>
      <c r="L1058" s="22" t="s">
        <v>599</v>
      </c>
      <c r="M1058" s="51" t="str">
        <f t="shared" si="1179"/>
        <v>JD8G-9032-BC</v>
      </c>
      <c r="O1058" s="22">
        <v>1</v>
      </c>
      <c r="P1058" s="22">
        <v>1</v>
      </c>
      <c r="Q1058" s="22">
        <v>1</v>
      </c>
      <c r="R1058" s="22">
        <v>1</v>
      </c>
      <c r="S1058" s="22">
        <v>0</v>
      </c>
      <c r="T1058" s="22">
        <v>0</v>
      </c>
      <c r="U1058" s="22">
        <v>1</v>
      </c>
      <c r="V1058" s="22">
        <v>0</v>
      </c>
      <c r="W1058" s="64">
        <f t="shared" si="1199"/>
        <v>0.72000000000000008</v>
      </c>
      <c r="Y1058" s="60">
        <f>-120.84-22.35</f>
        <v>-143.19</v>
      </c>
      <c r="Z1058" s="60">
        <v>-1.8</v>
      </c>
      <c r="AA1058" s="60">
        <v>-2.2200000000000002</v>
      </c>
      <c r="AB1058" s="60">
        <v>0</v>
      </c>
      <c r="AC1058" s="60">
        <v>-8.3720428525900328</v>
      </c>
      <c r="AD1058" s="8">
        <f t="shared" ref="AD1058" si="1226">SUM(Y1058:AC1058)</f>
        <v>-155.58204285259004</v>
      </c>
      <c r="AE1058" s="2" t="s">
        <v>91</v>
      </c>
      <c r="AF1058" s="61">
        <v>-1119671</v>
      </c>
      <c r="AG1058" s="61">
        <f>-1119671-28000</f>
        <v>-1147671</v>
      </c>
      <c r="AH1058" s="61">
        <f>-1119671-28000</f>
        <v>-1147671</v>
      </c>
      <c r="AI1058" s="6"/>
      <c r="AJ1058" s="61">
        <v>-341504</v>
      </c>
      <c r="AK1058" s="61">
        <v>40791</v>
      </c>
      <c r="AL1058" s="61"/>
      <c r="AM1058" s="22" t="s">
        <v>1703</v>
      </c>
      <c r="AO1058" s="22" t="s">
        <v>427</v>
      </c>
      <c r="AP1058" s="23">
        <v>9032</v>
      </c>
      <c r="AQ1058" s="22" t="s">
        <v>120</v>
      </c>
      <c r="AR1058" s="51" t="str">
        <f t="shared" si="1217"/>
        <v>JD8G-9032-BB</v>
      </c>
      <c r="AS1058" s="3"/>
      <c r="AT1058" s="22">
        <v>1</v>
      </c>
      <c r="AU1058" s="22">
        <v>1</v>
      </c>
      <c r="AV1058" s="22">
        <v>1</v>
      </c>
      <c r="AW1058" s="22">
        <v>1</v>
      </c>
      <c r="AX1058" s="22">
        <v>0</v>
      </c>
      <c r="AY1058" s="22">
        <v>0</v>
      </c>
      <c r="AZ1058" s="22">
        <v>1</v>
      </c>
      <c r="BA1058" s="22">
        <v>0</v>
      </c>
      <c r="BB1058" s="64">
        <f t="shared" si="1218"/>
        <v>0.72000000000000008</v>
      </c>
      <c r="BD1058" s="60">
        <v>-120.84</v>
      </c>
      <c r="BE1058" s="60">
        <v>-1.8</v>
      </c>
      <c r="BF1058" s="60">
        <v>-2.2200000000000002</v>
      </c>
      <c r="BG1058" s="60">
        <v>0</v>
      </c>
      <c r="BH1058" s="60">
        <v>-8.3720428525900328</v>
      </c>
      <c r="BI1058" s="8">
        <f t="shared" si="1219"/>
        <v>-133.23204285259004</v>
      </c>
      <c r="BJ1058" s="2" t="s">
        <v>91</v>
      </c>
      <c r="BK1058" s="61">
        <v>-1119671</v>
      </c>
      <c r="BL1058" s="61">
        <v>-1119671</v>
      </c>
      <c r="BM1058" s="61">
        <v>-1119671</v>
      </c>
      <c r="BN1058" s="6"/>
      <c r="BO1058" s="61">
        <v>-341504</v>
      </c>
      <c r="BP1058" s="61">
        <v>40791</v>
      </c>
      <c r="BQ1058" s="61"/>
      <c r="BS1058" s="61">
        <f t="shared" si="1204"/>
        <v>-22.349999999999994</v>
      </c>
      <c r="BT1058" s="61">
        <f t="shared" si="1204"/>
        <v>0</v>
      </c>
      <c r="BU1058" s="61">
        <f t="shared" si="1204"/>
        <v>0</v>
      </c>
      <c r="BV1058" s="61">
        <f t="shared" si="1204"/>
        <v>0</v>
      </c>
      <c r="BW1058" s="61">
        <f t="shared" si="1204"/>
        <v>0</v>
      </c>
      <c r="BX1058" s="61">
        <f t="shared" si="1204"/>
        <v>-22.349999999999994</v>
      </c>
      <c r="BY1058" s="61" t="s">
        <v>91</v>
      </c>
      <c r="CA1058" s="61">
        <f t="shared" si="1211"/>
        <v>-3.3624191364525342</v>
      </c>
      <c r="CB1058" s="61">
        <f t="shared" si="1211"/>
        <v>-3.3624191364525342</v>
      </c>
      <c r="CC1058" s="61">
        <f t="shared" si="1211"/>
        <v>-3.3624191364525342</v>
      </c>
      <c r="CD1058" s="61">
        <f t="shared" si="1211"/>
        <v>-3.3624191364525342</v>
      </c>
      <c r="CE1058" s="61">
        <f t="shared" si="1211"/>
        <v>0</v>
      </c>
      <c r="CF1058" s="61">
        <f t="shared" si="1211"/>
        <v>0</v>
      </c>
      <c r="CG1058" s="61">
        <f t="shared" si="1211"/>
        <v>-3.3624191364525342</v>
      </c>
      <c r="CH1058" s="61">
        <f t="shared" si="1209"/>
        <v>0</v>
      </c>
      <c r="CI1058" s="61">
        <f t="shared" si="1165"/>
        <v>-2.4209417782458251</v>
      </c>
      <c r="CJ1058" s="61"/>
      <c r="CK1058" s="61">
        <f t="shared" si="1212"/>
        <v>-3.3624191364525342</v>
      </c>
      <c r="CL1058" s="61">
        <f t="shared" si="1212"/>
        <v>-3.3624191364525342</v>
      </c>
      <c r="CM1058" s="61">
        <f t="shared" si="1212"/>
        <v>-3.3624191364525342</v>
      </c>
      <c r="CN1058" s="61">
        <f t="shared" si="1212"/>
        <v>-3.3624191364525342</v>
      </c>
      <c r="CO1058" s="61">
        <f t="shared" si="1212"/>
        <v>0</v>
      </c>
      <c r="CP1058" s="61">
        <f t="shared" si="1212"/>
        <v>0</v>
      </c>
      <c r="CQ1058" s="61">
        <f t="shared" si="1212"/>
        <v>-3.3624191364525342</v>
      </c>
      <c r="CR1058" s="61">
        <f t="shared" si="1210"/>
        <v>0</v>
      </c>
      <c r="CS1058" s="61">
        <f t="shared" si="1167"/>
        <v>-2.4209417782458251</v>
      </c>
      <c r="CT1058" s="101">
        <f t="shared" si="1173"/>
        <v>-16.091999999999999</v>
      </c>
      <c r="CV1058" s="61">
        <f>SUM(AF1058)-SUM(BL1058)</f>
        <v>0</v>
      </c>
      <c r="CW1058" s="61">
        <f t="shared" ref="CW1058" si="1227">SUM(AH1058)-SUM(BM1058)</f>
        <v>-28000</v>
      </c>
      <c r="CX1058" s="61"/>
      <c r="CY1058" s="61">
        <f t="shared" si="1225"/>
        <v>0</v>
      </c>
      <c r="CZ1058" s="61">
        <f t="shared" si="1186"/>
        <v>0</v>
      </c>
      <c r="DA1058" s="61">
        <f t="shared" si="1186"/>
        <v>0</v>
      </c>
      <c r="DB1058" s="2" t="s">
        <v>102</v>
      </c>
      <c r="DC1058" s="2" t="s">
        <v>85</v>
      </c>
      <c r="DD1058" s="2" t="s">
        <v>142</v>
      </c>
      <c r="DE1058" s="2" t="s">
        <v>106</v>
      </c>
      <c r="DF1058" s="3" t="s">
        <v>86</v>
      </c>
      <c r="DG1058" s="62">
        <v>43125</v>
      </c>
      <c r="EC1058" s="60" t="str">
        <f>VLOOKUP($M1058,[1]Detail!$M:$BO,1,0)</f>
        <v>JD8G-9032-BC</v>
      </c>
      <c r="ED1058" s="60">
        <f>VLOOKUP($M1058,[1]Detail!$M:$BO,22,0)</f>
        <v>-155.58204285259004</v>
      </c>
      <c r="EE1058" s="60">
        <f>VLOOKUP($M1058,[1]Detail!$M:$BO,42,0)</f>
        <v>-1147671</v>
      </c>
      <c r="EF1058" s="60">
        <f>VLOOKUP($M1058,[1]Detail!$M:$BO,45,0)</f>
        <v>-341504</v>
      </c>
      <c r="EH1058" s="60">
        <f t="shared" ref="EH1058:EH1060" si="1228">ED1058-AD1058</f>
        <v>0</v>
      </c>
      <c r="EI1058" s="60">
        <f t="shared" ref="EI1058:EI1060" si="1229">EE1058-AG1058</f>
        <v>0</v>
      </c>
      <c r="EJ1058" s="60">
        <f t="shared" ref="EJ1058:EJ1060" si="1230">EF1058-AJ1058</f>
        <v>0</v>
      </c>
    </row>
    <row r="1059" spans="2:140" ht="12.75" hidden="1" customHeight="1">
      <c r="B1059" s="1" t="s">
        <v>1705</v>
      </c>
      <c r="C1059" s="2" t="s">
        <v>1706</v>
      </c>
      <c r="D1059" s="1" t="s">
        <v>1707</v>
      </c>
      <c r="E1059" s="2" t="s">
        <v>1005</v>
      </c>
      <c r="F1059" s="2" t="s">
        <v>330</v>
      </c>
      <c r="G1059" s="1" t="s">
        <v>331</v>
      </c>
      <c r="J1059" s="22" t="s">
        <v>1074</v>
      </c>
      <c r="K1059" s="23" t="s">
        <v>1708</v>
      </c>
      <c r="L1059" s="22" t="s">
        <v>1709</v>
      </c>
      <c r="M1059" s="51" t="str">
        <f t="shared" si="1179"/>
        <v>JX61-5F228-SA</v>
      </c>
      <c r="O1059" s="89">
        <v>1</v>
      </c>
      <c r="P1059" s="89">
        <v>1</v>
      </c>
      <c r="Q1059" s="89">
        <v>1</v>
      </c>
      <c r="R1059" s="89">
        <v>1</v>
      </c>
      <c r="S1059" s="89">
        <v>0</v>
      </c>
      <c r="T1059" s="89">
        <v>0</v>
      </c>
      <c r="U1059" s="89">
        <v>1</v>
      </c>
      <c r="V1059" s="89">
        <v>0</v>
      </c>
      <c r="W1059" s="64">
        <f t="shared" si="1199"/>
        <v>0.72000000000000008</v>
      </c>
      <c r="Y1059" s="63">
        <v>-700.29</v>
      </c>
      <c r="Z1059" s="63">
        <v>0</v>
      </c>
      <c r="AA1059" s="63">
        <v>0</v>
      </c>
      <c r="AB1059" s="60">
        <v>0</v>
      </c>
      <c r="AC1059" s="63">
        <v>0</v>
      </c>
      <c r="AD1059" s="8">
        <f t="shared" si="1188"/>
        <v>-700.29</v>
      </c>
      <c r="AE1059" s="2" t="s">
        <v>91</v>
      </c>
      <c r="AG1059" s="71">
        <v>0</v>
      </c>
      <c r="AH1059" s="71">
        <v>0</v>
      </c>
      <c r="AJ1059" s="71">
        <v>0</v>
      </c>
      <c r="AK1059" s="71">
        <v>0</v>
      </c>
      <c r="AM1059" s="22"/>
      <c r="AO1059" s="23" t="s">
        <v>1074</v>
      </c>
      <c r="AP1059" s="23" t="s">
        <v>1708</v>
      </c>
      <c r="AQ1059" s="23" t="s">
        <v>1709</v>
      </c>
      <c r="AR1059" s="51" t="str">
        <f t="shared" si="1217"/>
        <v>JX61-5F228-SA</v>
      </c>
      <c r="AT1059" s="56">
        <v>1</v>
      </c>
      <c r="AU1059" s="56">
        <v>1</v>
      </c>
      <c r="AV1059" s="56">
        <v>1</v>
      </c>
      <c r="AW1059" s="56">
        <v>1</v>
      </c>
      <c r="AX1059" s="56">
        <v>0</v>
      </c>
      <c r="AY1059" s="56">
        <v>0</v>
      </c>
      <c r="AZ1059" s="56">
        <v>1</v>
      </c>
      <c r="BA1059" s="56">
        <v>0</v>
      </c>
      <c r="BB1059" s="64">
        <f t="shared" si="1218"/>
        <v>0.72000000000000008</v>
      </c>
      <c r="BD1059" s="60">
        <v>-700.29</v>
      </c>
      <c r="BE1059" s="60">
        <v>0</v>
      </c>
      <c r="BF1059" s="60">
        <v>0</v>
      </c>
      <c r="BG1059" s="60">
        <v>0</v>
      </c>
      <c r="BH1059" s="71">
        <v>0</v>
      </c>
      <c r="BI1059" s="8">
        <f t="shared" si="1219"/>
        <v>-700.29</v>
      </c>
      <c r="BJ1059" s="2" t="s">
        <v>91</v>
      </c>
      <c r="BO1059" s="71">
        <v>0</v>
      </c>
      <c r="BP1059" s="71">
        <v>0</v>
      </c>
      <c r="BQ1059" s="61"/>
      <c r="BS1059" s="61">
        <f t="shared" si="1204"/>
        <v>0</v>
      </c>
      <c r="BT1059" s="61">
        <f t="shared" si="1204"/>
        <v>0</v>
      </c>
      <c r="BU1059" s="61">
        <f t="shared" si="1204"/>
        <v>0</v>
      </c>
      <c r="BV1059" s="61">
        <f t="shared" si="1204"/>
        <v>0</v>
      </c>
      <c r="BW1059" s="61">
        <f t="shared" si="1204"/>
        <v>0</v>
      </c>
      <c r="BX1059" s="61">
        <f t="shared" si="1204"/>
        <v>0</v>
      </c>
      <c r="BY1059" s="61" t="s">
        <v>91</v>
      </c>
      <c r="CA1059" s="61">
        <f t="shared" si="1211"/>
        <v>0</v>
      </c>
      <c r="CB1059" s="61">
        <f t="shared" si="1211"/>
        <v>0</v>
      </c>
      <c r="CC1059" s="61">
        <f t="shared" si="1211"/>
        <v>0</v>
      </c>
      <c r="CD1059" s="61">
        <f t="shared" si="1211"/>
        <v>0</v>
      </c>
      <c r="CE1059" s="61">
        <f t="shared" si="1211"/>
        <v>0</v>
      </c>
      <c r="CF1059" s="61">
        <f t="shared" si="1211"/>
        <v>0</v>
      </c>
      <c r="CG1059" s="61">
        <f t="shared" si="1211"/>
        <v>0</v>
      </c>
      <c r="CH1059" s="61">
        <f t="shared" si="1209"/>
        <v>0</v>
      </c>
      <c r="CI1059" s="61">
        <f t="shared" si="1165"/>
        <v>0</v>
      </c>
      <c r="CJ1059" s="61"/>
      <c r="CK1059" s="61">
        <f t="shared" si="1212"/>
        <v>0</v>
      </c>
      <c r="CL1059" s="61">
        <f t="shared" si="1212"/>
        <v>0</v>
      </c>
      <c r="CM1059" s="61">
        <f t="shared" si="1212"/>
        <v>0</v>
      </c>
      <c r="CN1059" s="61">
        <f t="shared" si="1212"/>
        <v>0</v>
      </c>
      <c r="CO1059" s="61">
        <f t="shared" si="1212"/>
        <v>0</v>
      </c>
      <c r="CP1059" s="61">
        <f t="shared" si="1212"/>
        <v>0</v>
      </c>
      <c r="CQ1059" s="61">
        <f t="shared" si="1212"/>
        <v>0</v>
      </c>
      <c r="CR1059" s="61">
        <f t="shared" si="1210"/>
        <v>0</v>
      </c>
      <c r="CS1059" s="61">
        <f t="shared" si="1167"/>
        <v>0</v>
      </c>
      <c r="CT1059" s="61">
        <f t="shared" si="1173"/>
        <v>0</v>
      </c>
      <c r="CV1059" s="61">
        <f t="shared" si="1221"/>
        <v>0</v>
      </c>
      <c r="CW1059" s="61">
        <f t="shared" si="1222"/>
        <v>0</v>
      </c>
      <c r="CX1059" s="61"/>
      <c r="CY1059" s="61">
        <f t="shared" si="1186"/>
        <v>0</v>
      </c>
      <c r="CZ1059" s="61">
        <f t="shared" si="1186"/>
        <v>0</v>
      </c>
      <c r="DA1059" s="61">
        <f t="shared" si="1186"/>
        <v>0</v>
      </c>
      <c r="DB1059" s="2" t="s">
        <v>102</v>
      </c>
      <c r="DC1059" s="2" t="s">
        <v>102</v>
      </c>
      <c r="DD1059" s="2" t="s">
        <v>142</v>
      </c>
      <c r="DE1059" s="2" t="s">
        <v>257</v>
      </c>
      <c r="DF1059" s="3" t="s">
        <v>102</v>
      </c>
      <c r="DG1059" s="62">
        <v>42816</v>
      </c>
      <c r="EC1059" s="60" t="str">
        <f>VLOOKUP($M1059,[1]Detail!$M:$BO,1,0)</f>
        <v>JX61-5F228-SA</v>
      </c>
      <c r="ED1059" s="60">
        <f>VLOOKUP($M1059,[1]Detail!$M:$BO,22,0)</f>
        <v>-700.29100000000005</v>
      </c>
      <c r="EE1059" s="60">
        <f>VLOOKUP($M1059,[1]Detail!$M:$BO,42,0)</f>
        <v>0</v>
      </c>
      <c r="EF1059" s="60">
        <f>VLOOKUP($M1059,[1]Detail!$M:$BO,45,0)</f>
        <v>0</v>
      </c>
      <c r="EH1059" s="60">
        <f t="shared" si="1228"/>
        <v>-1.00000000009004E-3</v>
      </c>
      <c r="EI1059" s="60">
        <f t="shared" si="1229"/>
        <v>0</v>
      </c>
      <c r="EJ1059" s="60">
        <f t="shared" si="1230"/>
        <v>0</v>
      </c>
    </row>
    <row r="1060" spans="2:140" ht="12.75" hidden="1" customHeight="1">
      <c r="B1060" s="1" t="s">
        <v>1710</v>
      </c>
      <c r="C1060" s="2" t="s">
        <v>1711</v>
      </c>
      <c r="D1060" s="1" t="s">
        <v>1707</v>
      </c>
      <c r="E1060" s="2" t="s">
        <v>1005</v>
      </c>
      <c r="F1060" s="2" t="s">
        <v>330</v>
      </c>
      <c r="G1060" s="1" t="s">
        <v>331</v>
      </c>
      <c r="J1060" s="22" t="s">
        <v>1074</v>
      </c>
      <c r="K1060" s="23" t="s">
        <v>1708</v>
      </c>
      <c r="L1060" s="22" t="s">
        <v>1712</v>
      </c>
      <c r="M1060" s="51" t="str">
        <f t="shared" si="1179"/>
        <v>JX61-5F228-RB</v>
      </c>
      <c r="O1060" s="89">
        <v>1</v>
      </c>
      <c r="P1060" s="89">
        <v>1</v>
      </c>
      <c r="Q1060" s="89">
        <v>1</v>
      </c>
      <c r="R1060" s="89">
        <v>1</v>
      </c>
      <c r="S1060" s="89">
        <v>0</v>
      </c>
      <c r="T1060" s="89">
        <v>0</v>
      </c>
      <c r="U1060" s="89">
        <v>1</v>
      </c>
      <c r="V1060" s="89">
        <v>0</v>
      </c>
      <c r="W1060" s="64">
        <f t="shared" si="1199"/>
        <v>0.72000000000000008</v>
      </c>
      <c r="Y1060" s="63">
        <v>-446.16</v>
      </c>
      <c r="Z1060" s="63">
        <v>0</v>
      </c>
      <c r="AA1060" s="63">
        <v>0</v>
      </c>
      <c r="AB1060" s="60">
        <v>0</v>
      </c>
      <c r="AC1060" s="63">
        <v>0</v>
      </c>
      <c r="AD1060" s="8">
        <f t="shared" si="1188"/>
        <v>-446.16</v>
      </c>
      <c r="AE1060" s="2" t="s">
        <v>91</v>
      </c>
      <c r="AG1060" s="71">
        <v>0</v>
      </c>
      <c r="AH1060" s="71">
        <v>0</v>
      </c>
      <c r="AJ1060" s="71">
        <v>0</v>
      </c>
      <c r="AK1060" s="71">
        <v>0</v>
      </c>
      <c r="AM1060" s="22"/>
      <c r="AO1060" s="23" t="s">
        <v>1074</v>
      </c>
      <c r="AP1060" s="23" t="s">
        <v>1708</v>
      </c>
      <c r="AQ1060" s="23" t="s">
        <v>1712</v>
      </c>
      <c r="AR1060" s="51" t="str">
        <f t="shared" si="1217"/>
        <v>JX61-5F228-RB</v>
      </c>
      <c r="AT1060" s="56">
        <v>1</v>
      </c>
      <c r="AU1060" s="56">
        <v>1</v>
      </c>
      <c r="AV1060" s="56">
        <v>1</v>
      </c>
      <c r="AW1060" s="56">
        <v>1</v>
      </c>
      <c r="AX1060" s="56">
        <v>0</v>
      </c>
      <c r="AY1060" s="56">
        <v>0</v>
      </c>
      <c r="AZ1060" s="56">
        <v>1</v>
      </c>
      <c r="BA1060" s="56">
        <v>0</v>
      </c>
      <c r="BB1060" s="64">
        <f t="shared" si="1218"/>
        <v>0.72000000000000008</v>
      </c>
      <c r="BD1060" s="60">
        <v>-446.16</v>
      </c>
      <c r="BE1060" s="60">
        <v>0</v>
      </c>
      <c r="BF1060" s="60">
        <v>0</v>
      </c>
      <c r="BG1060" s="60">
        <v>0</v>
      </c>
      <c r="BH1060" s="71">
        <v>0</v>
      </c>
      <c r="BI1060" s="8">
        <f t="shared" si="1219"/>
        <v>-446.16</v>
      </c>
      <c r="BO1060" s="71">
        <v>0</v>
      </c>
      <c r="BP1060" s="71">
        <v>0</v>
      </c>
      <c r="BQ1060" s="61"/>
      <c r="BS1060" s="61">
        <f t="shared" si="1204"/>
        <v>0</v>
      </c>
      <c r="BT1060" s="61">
        <f t="shared" si="1204"/>
        <v>0</v>
      </c>
      <c r="BU1060" s="61">
        <f t="shared" si="1204"/>
        <v>0</v>
      </c>
      <c r="BV1060" s="61">
        <f t="shared" si="1204"/>
        <v>0</v>
      </c>
      <c r="BW1060" s="61">
        <f t="shared" si="1204"/>
        <v>0</v>
      </c>
      <c r="BX1060" s="61">
        <f t="shared" si="1204"/>
        <v>0</v>
      </c>
      <c r="BY1060" s="61" t="s">
        <v>91</v>
      </c>
      <c r="CA1060" s="61">
        <f t="shared" si="1211"/>
        <v>0</v>
      </c>
      <c r="CB1060" s="61">
        <f t="shared" si="1211"/>
        <v>0</v>
      </c>
      <c r="CC1060" s="61">
        <f t="shared" si="1211"/>
        <v>0</v>
      </c>
      <c r="CD1060" s="61">
        <f t="shared" si="1211"/>
        <v>0</v>
      </c>
      <c r="CE1060" s="61">
        <f t="shared" si="1211"/>
        <v>0</v>
      </c>
      <c r="CF1060" s="61">
        <f t="shared" si="1211"/>
        <v>0</v>
      </c>
      <c r="CG1060" s="61">
        <f t="shared" si="1211"/>
        <v>0</v>
      </c>
      <c r="CH1060" s="61">
        <f t="shared" si="1209"/>
        <v>0</v>
      </c>
      <c r="CI1060" s="61">
        <f t="shared" si="1165"/>
        <v>0</v>
      </c>
      <c r="CJ1060" s="61"/>
      <c r="CK1060" s="61">
        <f t="shared" si="1212"/>
        <v>0</v>
      </c>
      <c r="CL1060" s="61">
        <f t="shared" si="1212"/>
        <v>0</v>
      </c>
      <c r="CM1060" s="61">
        <f t="shared" si="1212"/>
        <v>0</v>
      </c>
      <c r="CN1060" s="61">
        <f t="shared" si="1212"/>
        <v>0</v>
      </c>
      <c r="CO1060" s="61">
        <f t="shared" si="1212"/>
        <v>0</v>
      </c>
      <c r="CP1060" s="61">
        <f t="shared" si="1212"/>
        <v>0</v>
      </c>
      <c r="CQ1060" s="61">
        <f t="shared" si="1212"/>
        <v>0</v>
      </c>
      <c r="CR1060" s="61">
        <f t="shared" si="1210"/>
        <v>0</v>
      </c>
      <c r="CS1060" s="61">
        <f t="shared" si="1167"/>
        <v>0</v>
      </c>
      <c r="CT1060" s="61">
        <f t="shared" si="1173"/>
        <v>0</v>
      </c>
      <c r="CV1060" s="61">
        <f t="shared" si="1221"/>
        <v>0</v>
      </c>
      <c r="CW1060" s="61">
        <f t="shared" si="1222"/>
        <v>0</v>
      </c>
      <c r="CX1060" s="61"/>
      <c r="CY1060" s="61">
        <f t="shared" si="1186"/>
        <v>0</v>
      </c>
      <c r="CZ1060" s="61">
        <f t="shared" si="1186"/>
        <v>0</v>
      </c>
      <c r="DA1060" s="61">
        <f t="shared" si="1186"/>
        <v>0</v>
      </c>
      <c r="DB1060" s="2" t="s">
        <v>102</v>
      </c>
      <c r="DC1060" s="2" t="s">
        <v>102</v>
      </c>
      <c r="DD1060" s="2" t="s">
        <v>142</v>
      </c>
      <c r="DE1060" s="2" t="s">
        <v>257</v>
      </c>
      <c r="DF1060" s="3" t="s">
        <v>102</v>
      </c>
      <c r="DG1060" s="62">
        <v>42816</v>
      </c>
      <c r="EC1060" s="60" t="str">
        <f>VLOOKUP($M1060,[1]Detail!$M:$BO,1,0)</f>
        <v>JX61-5F228-RB</v>
      </c>
      <c r="ED1060" s="60">
        <f>VLOOKUP($M1060,[1]Detail!$M:$BO,22,0)</f>
        <v>-446.16</v>
      </c>
      <c r="EE1060" s="60">
        <f>VLOOKUP($M1060,[1]Detail!$M:$BO,42,0)</f>
        <v>0</v>
      </c>
      <c r="EF1060" s="60">
        <f>VLOOKUP($M1060,[1]Detail!$M:$BO,45,0)</f>
        <v>0</v>
      </c>
      <c r="EH1060" s="60">
        <f t="shared" si="1228"/>
        <v>0</v>
      </c>
      <c r="EI1060" s="60">
        <f t="shared" si="1229"/>
        <v>0</v>
      </c>
      <c r="EJ1060" s="60">
        <f t="shared" si="1230"/>
        <v>0</v>
      </c>
    </row>
    <row r="1061" spans="2:140" ht="12.75" hidden="1" customHeight="1">
      <c r="B1061" s="1" t="s">
        <v>1713</v>
      </c>
      <c r="C1061" s="2" t="s">
        <v>1134</v>
      </c>
      <c r="D1061" s="149" t="s">
        <v>1131</v>
      </c>
      <c r="E1061" s="2" t="s">
        <v>1005</v>
      </c>
      <c r="F1061" s="2" t="s">
        <v>330</v>
      </c>
      <c r="G1061" s="1" t="s">
        <v>331</v>
      </c>
      <c r="J1061" s="22" t="s">
        <v>427</v>
      </c>
      <c r="K1061" s="23" t="s">
        <v>1132</v>
      </c>
      <c r="L1061" s="22" t="s">
        <v>182</v>
      </c>
      <c r="M1061" s="51" t="str">
        <f t="shared" si="1179"/>
        <v>JD8G-3B436-BA</v>
      </c>
      <c r="O1061" s="89">
        <v>0</v>
      </c>
      <c r="P1061" s="89">
        <v>1</v>
      </c>
      <c r="Q1061" s="89">
        <v>0</v>
      </c>
      <c r="R1061" s="89">
        <v>1</v>
      </c>
      <c r="S1061" s="89">
        <v>0</v>
      </c>
      <c r="T1061" s="89">
        <v>1</v>
      </c>
      <c r="U1061" s="89">
        <v>1</v>
      </c>
      <c r="V1061" s="89">
        <v>1</v>
      </c>
      <c r="W1061" s="64">
        <f t="shared" si="1199"/>
        <v>0.63000000000000012</v>
      </c>
      <c r="Y1061" s="60">
        <v>-360.96</v>
      </c>
      <c r="Z1061" s="67">
        <v>-1.5</v>
      </c>
      <c r="AA1061" s="67">
        <v>-1.6</v>
      </c>
      <c r="AB1061" s="60">
        <v>0</v>
      </c>
      <c r="AC1061" s="63">
        <v>0</v>
      </c>
      <c r="AD1061" s="8">
        <f t="shared" si="1188"/>
        <v>-364.06</v>
      </c>
      <c r="AE1061" s="2" t="s">
        <v>91</v>
      </c>
      <c r="AG1061" s="67">
        <v>-168750</v>
      </c>
      <c r="AH1061" s="67">
        <v>-168750</v>
      </c>
      <c r="AI1061" s="6"/>
      <c r="AJ1061" s="67">
        <v>0</v>
      </c>
      <c r="AK1061" s="67">
        <v>0</v>
      </c>
      <c r="AL1061" s="67"/>
      <c r="AM1061" s="22"/>
      <c r="AO1061" s="23" t="s">
        <v>427</v>
      </c>
      <c r="AP1061" s="23" t="s">
        <v>1132</v>
      </c>
      <c r="AQ1061" s="23" t="s">
        <v>182</v>
      </c>
      <c r="AR1061" s="51" t="str">
        <f t="shared" si="1217"/>
        <v>JD8G-3B436-BA</v>
      </c>
      <c r="AT1061" s="56">
        <v>0</v>
      </c>
      <c r="AU1061" s="56">
        <v>1</v>
      </c>
      <c r="AV1061" s="56">
        <v>0</v>
      </c>
      <c r="AW1061" s="56">
        <v>1</v>
      </c>
      <c r="AX1061" s="56">
        <v>0</v>
      </c>
      <c r="AY1061" s="56">
        <v>1</v>
      </c>
      <c r="AZ1061" s="56">
        <v>1</v>
      </c>
      <c r="BA1061" s="56">
        <v>1</v>
      </c>
      <c r="BB1061" s="64">
        <f t="shared" si="1218"/>
        <v>0.63000000000000012</v>
      </c>
      <c r="BD1061" s="60">
        <v>-360.96</v>
      </c>
      <c r="BE1061" s="60">
        <v>-1.5</v>
      </c>
      <c r="BF1061" s="60">
        <v>-1.6</v>
      </c>
      <c r="BG1061" s="60">
        <v>0</v>
      </c>
      <c r="BH1061" s="71">
        <v>0</v>
      </c>
      <c r="BI1061" s="8">
        <f t="shared" si="1219"/>
        <v>-364.06</v>
      </c>
      <c r="BJ1061" s="2" t="s">
        <v>91</v>
      </c>
      <c r="BL1061" s="61">
        <v>-168750</v>
      </c>
      <c r="BM1061" s="61">
        <v>-168750</v>
      </c>
      <c r="BO1061" s="71">
        <v>0</v>
      </c>
      <c r="BP1061" s="71">
        <v>0</v>
      </c>
      <c r="BQ1061" s="61"/>
      <c r="BS1061" s="61">
        <f t="shared" si="1204"/>
        <v>0</v>
      </c>
      <c r="BT1061" s="61">
        <f t="shared" si="1204"/>
        <v>0</v>
      </c>
      <c r="BU1061" s="61">
        <f t="shared" si="1204"/>
        <v>0</v>
      </c>
      <c r="BV1061" s="61">
        <f t="shared" si="1204"/>
        <v>0</v>
      </c>
      <c r="BW1061" s="61">
        <f t="shared" si="1204"/>
        <v>0</v>
      </c>
      <c r="BX1061" s="61">
        <f t="shared" si="1204"/>
        <v>0</v>
      </c>
      <c r="BY1061" s="61" t="s">
        <v>91</v>
      </c>
      <c r="CA1061" s="61">
        <f t="shared" si="1211"/>
        <v>0</v>
      </c>
      <c r="CB1061" s="61">
        <f t="shared" si="1211"/>
        <v>0</v>
      </c>
      <c r="CC1061" s="61">
        <f t="shared" si="1211"/>
        <v>0</v>
      </c>
      <c r="CD1061" s="61">
        <f t="shared" si="1211"/>
        <v>0</v>
      </c>
      <c r="CE1061" s="61">
        <f t="shared" si="1211"/>
        <v>0</v>
      </c>
      <c r="CF1061" s="61">
        <f t="shared" si="1211"/>
        <v>0</v>
      </c>
      <c r="CG1061" s="61">
        <f t="shared" si="1211"/>
        <v>0</v>
      </c>
      <c r="CH1061" s="61">
        <f t="shared" si="1209"/>
        <v>0</v>
      </c>
      <c r="CI1061" s="61">
        <f t="shared" si="1165"/>
        <v>0</v>
      </c>
      <c r="CJ1061" s="61"/>
      <c r="CK1061" s="61">
        <f t="shared" si="1212"/>
        <v>0</v>
      </c>
      <c r="CL1061" s="61">
        <f t="shared" si="1212"/>
        <v>0</v>
      </c>
      <c r="CM1061" s="61">
        <f t="shared" si="1212"/>
        <v>0</v>
      </c>
      <c r="CN1061" s="61">
        <f t="shared" si="1212"/>
        <v>0</v>
      </c>
      <c r="CO1061" s="61">
        <f t="shared" si="1212"/>
        <v>0</v>
      </c>
      <c r="CP1061" s="61">
        <f t="shared" si="1212"/>
        <v>0</v>
      </c>
      <c r="CQ1061" s="61">
        <f t="shared" si="1212"/>
        <v>0</v>
      </c>
      <c r="CR1061" s="61">
        <f t="shared" si="1210"/>
        <v>0</v>
      </c>
      <c r="CS1061" s="61">
        <f t="shared" si="1167"/>
        <v>0</v>
      </c>
      <c r="CT1061" s="61">
        <f t="shared" si="1173"/>
        <v>0</v>
      </c>
      <c r="CV1061" s="61">
        <f t="shared" si="1221"/>
        <v>0</v>
      </c>
      <c r="CW1061" s="61">
        <f t="shared" si="1222"/>
        <v>0</v>
      </c>
      <c r="CX1061" s="61"/>
      <c r="CY1061" s="61">
        <f t="shared" si="1186"/>
        <v>0</v>
      </c>
      <c r="CZ1061" s="61">
        <f t="shared" si="1186"/>
        <v>0</v>
      </c>
      <c r="DA1061" s="61">
        <f t="shared" si="1186"/>
        <v>0</v>
      </c>
      <c r="DB1061" s="2" t="s">
        <v>85</v>
      </c>
      <c r="DC1061" s="2" t="s">
        <v>102</v>
      </c>
      <c r="DD1061" s="2" t="s">
        <v>142</v>
      </c>
      <c r="DE1061" s="2" t="s">
        <v>257</v>
      </c>
      <c r="DF1061" s="3" t="s">
        <v>102</v>
      </c>
      <c r="DG1061" s="62">
        <v>42824</v>
      </c>
      <c r="EC1061" s="60"/>
      <c r="ED1061" s="60"/>
      <c r="EE1061" s="60"/>
      <c r="EF1061" s="60"/>
    </row>
    <row r="1062" spans="2:140" ht="12.75" hidden="1" customHeight="1">
      <c r="B1062" s="1" t="s">
        <v>1713</v>
      </c>
      <c r="C1062" s="2" t="s">
        <v>1134</v>
      </c>
      <c r="D1062" s="1" t="s">
        <v>1714</v>
      </c>
      <c r="E1062" s="2" t="s">
        <v>1005</v>
      </c>
      <c r="F1062" s="2" t="s">
        <v>330</v>
      </c>
      <c r="G1062" s="1" t="s">
        <v>331</v>
      </c>
      <c r="J1062" s="22" t="s">
        <v>427</v>
      </c>
      <c r="K1062" s="23" t="s">
        <v>1715</v>
      </c>
      <c r="L1062" s="22" t="s">
        <v>182</v>
      </c>
      <c r="M1062" s="51" t="str">
        <f t="shared" si="1179"/>
        <v>JD8G-3B437-BA</v>
      </c>
      <c r="O1062" s="89">
        <v>0</v>
      </c>
      <c r="P1062" s="89">
        <v>1</v>
      </c>
      <c r="Q1062" s="89">
        <v>0</v>
      </c>
      <c r="R1062" s="89">
        <v>1</v>
      </c>
      <c r="S1062" s="89">
        <v>0</v>
      </c>
      <c r="T1062" s="89">
        <v>1</v>
      </c>
      <c r="U1062" s="89">
        <v>1</v>
      </c>
      <c r="V1062" s="89">
        <v>1</v>
      </c>
      <c r="W1062" s="64">
        <f t="shared" si="1199"/>
        <v>0.63000000000000012</v>
      </c>
      <c r="Y1062" s="63">
        <v>-310.69</v>
      </c>
      <c r="Z1062" s="63">
        <v>-1.5</v>
      </c>
      <c r="AA1062" s="63">
        <v>-1.6</v>
      </c>
      <c r="AB1062" s="60">
        <v>0</v>
      </c>
      <c r="AC1062" s="63">
        <v>0</v>
      </c>
      <c r="AD1062" s="8">
        <f t="shared" si="1188"/>
        <v>-313.79000000000002</v>
      </c>
      <c r="AE1062" s="2" t="s">
        <v>91</v>
      </c>
      <c r="AG1062" s="71">
        <v>-168750</v>
      </c>
      <c r="AH1062" s="71">
        <v>-168750</v>
      </c>
      <c r="AI1062" s="6"/>
      <c r="AJ1062" s="71">
        <v>0</v>
      </c>
      <c r="AK1062" s="71">
        <v>0</v>
      </c>
      <c r="AM1062" s="22"/>
      <c r="AO1062" s="23" t="s">
        <v>427</v>
      </c>
      <c r="AP1062" s="23" t="s">
        <v>1715</v>
      </c>
      <c r="AQ1062" s="23" t="s">
        <v>182</v>
      </c>
      <c r="AR1062" s="51" t="str">
        <f t="shared" si="1217"/>
        <v>JD8G-3B437-BA</v>
      </c>
      <c r="AT1062" s="56">
        <v>0</v>
      </c>
      <c r="AU1062" s="56">
        <v>1</v>
      </c>
      <c r="AV1062" s="56">
        <v>0</v>
      </c>
      <c r="AW1062" s="56">
        <v>1</v>
      </c>
      <c r="AX1062" s="56">
        <v>0</v>
      </c>
      <c r="AY1062" s="56">
        <v>1</v>
      </c>
      <c r="AZ1062" s="56">
        <v>1</v>
      </c>
      <c r="BA1062" s="56">
        <v>1</v>
      </c>
      <c r="BB1062" s="64">
        <f t="shared" si="1218"/>
        <v>0.63000000000000012</v>
      </c>
      <c r="BD1062" s="60">
        <v>-310.69</v>
      </c>
      <c r="BE1062" s="60">
        <v>-1.5</v>
      </c>
      <c r="BF1062" s="60">
        <v>-1.6</v>
      </c>
      <c r="BG1062" s="60">
        <v>0</v>
      </c>
      <c r="BH1062" s="71">
        <v>0</v>
      </c>
      <c r="BI1062" s="8">
        <f t="shared" si="1219"/>
        <v>-313.79000000000002</v>
      </c>
      <c r="BJ1062" s="2" t="s">
        <v>91</v>
      </c>
      <c r="BL1062" s="61">
        <v>-168750</v>
      </c>
      <c r="BM1062" s="61">
        <v>-168750</v>
      </c>
      <c r="BO1062" s="71">
        <v>0</v>
      </c>
      <c r="BP1062" s="71">
        <v>0</v>
      </c>
      <c r="BQ1062" s="61"/>
      <c r="BS1062" s="61">
        <f t="shared" si="1204"/>
        <v>0</v>
      </c>
      <c r="BT1062" s="61">
        <f t="shared" si="1204"/>
        <v>0</v>
      </c>
      <c r="BU1062" s="61">
        <f t="shared" si="1204"/>
        <v>0</v>
      </c>
      <c r="BV1062" s="61">
        <f t="shared" si="1204"/>
        <v>0</v>
      </c>
      <c r="BW1062" s="61">
        <f t="shared" si="1204"/>
        <v>0</v>
      </c>
      <c r="BX1062" s="61">
        <f t="shared" si="1204"/>
        <v>0</v>
      </c>
      <c r="BY1062" s="61" t="s">
        <v>91</v>
      </c>
      <c r="CA1062" s="61">
        <f t="shared" si="1211"/>
        <v>0</v>
      </c>
      <c r="CB1062" s="61">
        <f t="shared" si="1211"/>
        <v>0</v>
      </c>
      <c r="CC1062" s="61">
        <f t="shared" si="1211"/>
        <v>0</v>
      </c>
      <c r="CD1062" s="61">
        <f t="shared" si="1211"/>
        <v>0</v>
      </c>
      <c r="CE1062" s="61">
        <f t="shared" si="1211"/>
        <v>0</v>
      </c>
      <c r="CF1062" s="61">
        <f t="shared" si="1211"/>
        <v>0</v>
      </c>
      <c r="CG1062" s="61">
        <f t="shared" si="1211"/>
        <v>0</v>
      </c>
      <c r="CH1062" s="61">
        <f t="shared" si="1209"/>
        <v>0</v>
      </c>
      <c r="CI1062" s="61">
        <f t="shared" si="1165"/>
        <v>0</v>
      </c>
      <c r="CJ1062" s="61"/>
      <c r="CK1062" s="61">
        <f t="shared" si="1212"/>
        <v>0</v>
      </c>
      <c r="CL1062" s="61">
        <f t="shared" si="1212"/>
        <v>0</v>
      </c>
      <c r="CM1062" s="61">
        <f t="shared" si="1212"/>
        <v>0</v>
      </c>
      <c r="CN1062" s="61">
        <f t="shared" si="1212"/>
        <v>0</v>
      </c>
      <c r="CO1062" s="61">
        <f t="shared" si="1212"/>
        <v>0</v>
      </c>
      <c r="CP1062" s="61">
        <f t="shared" si="1212"/>
        <v>0</v>
      </c>
      <c r="CQ1062" s="61">
        <f t="shared" si="1212"/>
        <v>0</v>
      </c>
      <c r="CR1062" s="61">
        <f t="shared" si="1210"/>
        <v>0</v>
      </c>
      <c r="CS1062" s="61">
        <f t="shared" si="1167"/>
        <v>0</v>
      </c>
      <c r="CT1062" s="61">
        <f t="shared" si="1173"/>
        <v>0</v>
      </c>
      <c r="CV1062" s="61">
        <f t="shared" si="1221"/>
        <v>0</v>
      </c>
      <c r="CW1062" s="61">
        <f t="shared" si="1222"/>
        <v>0</v>
      </c>
      <c r="CX1062" s="61"/>
      <c r="CY1062" s="61">
        <f t="shared" si="1186"/>
        <v>0</v>
      </c>
      <c r="CZ1062" s="61">
        <f t="shared" si="1186"/>
        <v>0</v>
      </c>
      <c r="DA1062" s="61">
        <f t="shared" si="1186"/>
        <v>0</v>
      </c>
      <c r="DB1062" s="2" t="s">
        <v>85</v>
      </c>
      <c r="DC1062" s="2" t="s">
        <v>102</v>
      </c>
      <c r="DD1062" s="2" t="s">
        <v>142</v>
      </c>
      <c r="DE1062" s="2" t="s">
        <v>257</v>
      </c>
      <c r="DF1062" s="3" t="s">
        <v>102</v>
      </c>
      <c r="DG1062" s="62">
        <v>42824</v>
      </c>
      <c r="EC1062" s="60"/>
      <c r="ED1062" s="60"/>
      <c r="EE1062" s="60"/>
      <c r="EF1062" s="60"/>
    </row>
    <row r="1063" spans="2:140" ht="12.75" hidden="1" customHeight="1">
      <c r="B1063" s="1" t="s">
        <v>1136</v>
      </c>
      <c r="C1063" s="2" t="s">
        <v>1134</v>
      </c>
      <c r="D1063" s="1" t="s">
        <v>1714</v>
      </c>
      <c r="E1063" s="2" t="s">
        <v>1005</v>
      </c>
      <c r="F1063" s="2" t="s">
        <v>330</v>
      </c>
      <c r="G1063" s="1" t="s">
        <v>331</v>
      </c>
      <c r="J1063" s="22" t="s">
        <v>427</v>
      </c>
      <c r="K1063" s="23" t="s">
        <v>1715</v>
      </c>
      <c r="L1063" s="22" t="s">
        <v>182</v>
      </c>
      <c r="M1063" s="51" t="str">
        <f t="shared" si="1179"/>
        <v>JD8G-3B437-BA</v>
      </c>
      <c r="O1063" s="89">
        <v>0</v>
      </c>
      <c r="P1063" s="89">
        <v>1</v>
      </c>
      <c r="Q1063" s="89">
        <v>0</v>
      </c>
      <c r="R1063" s="89">
        <v>1</v>
      </c>
      <c r="S1063" s="89">
        <v>0</v>
      </c>
      <c r="T1063" s="89">
        <v>1</v>
      </c>
      <c r="U1063" s="89">
        <v>1</v>
      </c>
      <c r="V1063" s="89">
        <v>1</v>
      </c>
      <c r="W1063" s="64">
        <f t="shared" si="1199"/>
        <v>0.63000000000000012</v>
      </c>
      <c r="Y1063" s="63">
        <f>-310.69+16.01</f>
        <v>-294.68</v>
      </c>
      <c r="Z1063" s="63">
        <v>-1.5</v>
      </c>
      <c r="AA1063" s="63">
        <v>-1.6</v>
      </c>
      <c r="AB1063" s="60">
        <v>0</v>
      </c>
      <c r="AC1063" s="63">
        <v>0</v>
      </c>
      <c r="AD1063" s="8">
        <f t="shared" ref="AD1063" si="1231">SUM(Y1063:AC1063)</f>
        <v>-297.78000000000003</v>
      </c>
      <c r="AE1063" s="2" t="s">
        <v>91</v>
      </c>
      <c r="AG1063" s="71">
        <v>-168750</v>
      </c>
      <c r="AH1063" s="71">
        <v>-168750</v>
      </c>
      <c r="AI1063" s="6"/>
      <c r="AJ1063" s="71">
        <v>0</v>
      </c>
      <c r="AK1063" s="71">
        <v>0</v>
      </c>
      <c r="AM1063" s="22"/>
      <c r="AO1063" s="22" t="s">
        <v>427</v>
      </c>
      <c r="AP1063" s="23" t="s">
        <v>1715</v>
      </c>
      <c r="AQ1063" s="22" t="s">
        <v>182</v>
      </c>
      <c r="AR1063" s="51" t="str">
        <f t="shared" si="1217"/>
        <v>JD8G-3B437-BA</v>
      </c>
      <c r="AS1063" s="3"/>
      <c r="AT1063" s="89">
        <v>0</v>
      </c>
      <c r="AU1063" s="89">
        <v>1</v>
      </c>
      <c r="AV1063" s="89">
        <v>0</v>
      </c>
      <c r="AW1063" s="89">
        <v>1</v>
      </c>
      <c r="AX1063" s="89">
        <v>0</v>
      </c>
      <c r="AY1063" s="89">
        <v>1</v>
      </c>
      <c r="AZ1063" s="89">
        <v>1</v>
      </c>
      <c r="BA1063" s="89">
        <v>1</v>
      </c>
      <c r="BB1063" s="64">
        <f t="shared" si="1218"/>
        <v>0.63000000000000012</v>
      </c>
      <c r="BD1063" s="63">
        <v>-310.69</v>
      </c>
      <c r="BE1063" s="63">
        <v>-1.5</v>
      </c>
      <c r="BF1063" s="63">
        <v>-1.6</v>
      </c>
      <c r="BG1063" s="60">
        <v>0</v>
      </c>
      <c r="BH1063" s="63">
        <v>0</v>
      </c>
      <c r="BI1063" s="8">
        <f t="shared" si="1219"/>
        <v>-313.79000000000002</v>
      </c>
      <c r="BJ1063" s="2" t="s">
        <v>91</v>
      </c>
      <c r="BL1063" s="71">
        <v>-168750</v>
      </c>
      <c r="BM1063" s="71">
        <v>-168750</v>
      </c>
      <c r="BO1063" s="71">
        <v>0</v>
      </c>
      <c r="BP1063" s="71">
        <v>0</v>
      </c>
      <c r="BQ1063" s="61"/>
      <c r="BS1063" s="61">
        <f t="shared" si="1204"/>
        <v>16.009999999999991</v>
      </c>
      <c r="BT1063" s="61">
        <f t="shared" si="1204"/>
        <v>0</v>
      </c>
      <c r="BU1063" s="61">
        <f t="shared" si="1204"/>
        <v>0</v>
      </c>
      <c r="BV1063" s="61">
        <f t="shared" si="1204"/>
        <v>0</v>
      </c>
      <c r="BW1063" s="61">
        <f t="shared" si="1204"/>
        <v>0</v>
      </c>
      <c r="BX1063" s="61">
        <f t="shared" si="1204"/>
        <v>16.009999999999991</v>
      </c>
      <c r="BY1063" s="61" t="s">
        <v>91</v>
      </c>
      <c r="CA1063" s="61">
        <f t="shared" si="1211"/>
        <v>0</v>
      </c>
      <c r="CB1063" s="61">
        <f t="shared" si="1211"/>
        <v>2.4086053858883694</v>
      </c>
      <c r="CC1063" s="61">
        <f t="shared" si="1211"/>
        <v>0</v>
      </c>
      <c r="CD1063" s="61">
        <f t="shared" si="1211"/>
        <v>2.4086053858883694</v>
      </c>
      <c r="CE1063" s="61">
        <f t="shared" si="1211"/>
        <v>0</v>
      </c>
      <c r="CF1063" s="61">
        <f t="shared" si="1211"/>
        <v>2.4086053858883694</v>
      </c>
      <c r="CG1063" s="61">
        <f t="shared" si="1211"/>
        <v>2.4086053858883694</v>
      </c>
      <c r="CH1063" s="61">
        <f t="shared" si="1209"/>
        <v>2.4086053858883694</v>
      </c>
      <c r="CI1063" s="61">
        <f t="shared" si="1165"/>
        <v>1.5174213931096729</v>
      </c>
      <c r="CJ1063" s="61"/>
      <c r="CK1063" s="61">
        <f t="shared" si="1212"/>
        <v>0</v>
      </c>
      <c r="CL1063" s="61">
        <f t="shared" si="1212"/>
        <v>2.4086053858883694</v>
      </c>
      <c r="CM1063" s="61">
        <f t="shared" si="1212"/>
        <v>0</v>
      </c>
      <c r="CN1063" s="61">
        <f t="shared" si="1212"/>
        <v>2.4086053858883694</v>
      </c>
      <c r="CO1063" s="61">
        <f t="shared" si="1212"/>
        <v>0</v>
      </c>
      <c r="CP1063" s="61">
        <f t="shared" si="1212"/>
        <v>2.4086053858883694</v>
      </c>
      <c r="CQ1063" s="61">
        <f t="shared" si="1212"/>
        <v>2.4086053858883694</v>
      </c>
      <c r="CR1063" s="61">
        <f t="shared" si="1210"/>
        <v>2.4086053858883694</v>
      </c>
      <c r="CS1063" s="61">
        <f t="shared" si="1167"/>
        <v>1.5174213931096729</v>
      </c>
      <c r="CT1063" s="61">
        <f t="shared" si="1173"/>
        <v>10.086299999999996</v>
      </c>
      <c r="CV1063" s="61">
        <f t="shared" ref="CV1063" si="1232">SUM(AG1063)-SUM(BL1063)</f>
        <v>0</v>
      </c>
      <c r="CW1063" s="61">
        <f t="shared" ref="CW1063" si="1233">SUM(AH1063)-SUM(BM1063)</f>
        <v>0</v>
      </c>
      <c r="CX1063" s="61"/>
      <c r="CY1063" s="61">
        <f t="shared" si="1186"/>
        <v>0</v>
      </c>
      <c r="CZ1063" s="61">
        <f t="shared" si="1186"/>
        <v>0</v>
      </c>
      <c r="DA1063" s="61">
        <f t="shared" si="1186"/>
        <v>0</v>
      </c>
      <c r="DB1063" s="2" t="s">
        <v>102</v>
      </c>
      <c r="DC1063" s="2" t="s">
        <v>85</v>
      </c>
      <c r="DD1063" s="2" t="s">
        <v>142</v>
      </c>
      <c r="DE1063" s="2" t="s">
        <v>106</v>
      </c>
      <c r="DG1063" s="62"/>
      <c r="DZ1063" s="3" t="e">
        <v>#N/A</v>
      </c>
      <c r="EC1063" s="60" t="str">
        <f>VLOOKUP($M1063,[1]Detail!$M:$BO,1,0)</f>
        <v>JD8G-3B437-BA</v>
      </c>
      <c r="ED1063" s="60">
        <f>VLOOKUP($M1063,[1]Detail!$M:$BO,22,0)</f>
        <v>-297.78000000000003</v>
      </c>
      <c r="EE1063" s="60">
        <f>VLOOKUP($M1063,[1]Detail!$M:$BO,42,0)</f>
        <v>0</v>
      </c>
      <c r="EF1063" s="60">
        <f>VLOOKUP($M1063,[1]Detail!$M:$BO,45,0)</f>
        <v>0</v>
      </c>
      <c r="EH1063" s="60">
        <f t="shared" ref="EH1063:EH1065" si="1234">ED1063-AD1063</f>
        <v>0</v>
      </c>
      <c r="EI1063" s="60">
        <f t="shared" ref="EI1063:EI1065" si="1235">EE1063-AG1063</f>
        <v>168750</v>
      </c>
      <c r="EJ1063" s="60">
        <f t="shared" ref="EJ1063:EJ1065" si="1236">EF1063-AJ1063</f>
        <v>0</v>
      </c>
    </row>
    <row r="1064" spans="2:140" ht="12.75" hidden="1" customHeight="1">
      <c r="B1064" s="1" t="s">
        <v>1716</v>
      </c>
      <c r="C1064" s="2" t="s">
        <v>1134</v>
      </c>
      <c r="D1064" s="1" t="s">
        <v>1714</v>
      </c>
      <c r="E1064" s="2" t="s">
        <v>1005</v>
      </c>
      <c r="F1064" s="2" t="s">
        <v>330</v>
      </c>
      <c r="G1064" s="1" t="s">
        <v>331</v>
      </c>
      <c r="J1064" s="22" t="s">
        <v>427</v>
      </c>
      <c r="K1064" s="23" t="s">
        <v>1715</v>
      </c>
      <c r="L1064" s="22" t="s">
        <v>253</v>
      </c>
      <c r="M1064" s="51" t="str">
        <f t="shared" si="1179"/>
        <v>JD8G-3B437-CA</v>
      </c>
      <c r="O1064" s="89">
        <v>0</v>
      </c>
      <c r="P1064" s="89">
        <v>0</v>
      </c>
      <c r="Q1064" s="89">
        <v>0</v>
      </c>
      <c r="R1064" s="89">
        <v>0</v>
      </c>
      <c r="S1064" s="89">
        <v>1</v>
      </c>
      <c r="T1064" s="89">
        <v>0</v>
      </c>
      <c r="U1064" s="89">
        <v>0</v>
      </c>
      <c r="V1064" s="89">
        <v>0</v>
      </c>
      <c r="W1064" s="64">
        <f t="shared" si="1199"/>
        <v>0.09</v>
      </c>
      <c r="Y1064" s="63">
        <v>-292.76</v>
      </c>
      <c r="Z1064" s="63">
        <v>-1.5</v>
      </c>
      <c r="AA1064" s="63">
        <v>-1.6</v>
      </c>
      <c r="AB1064" s="60">
        <v>0</v>
      </c>
      <c r="AC1064" s="63">
        <v>0</v>
      </c>
      <c r="AD1064" s="8">
        <f t="shared" si="1188"/>
        <v>-295.86</v>
      </c>
      <c r="AE1064" s="2" t="s">
        <v>91</v>
      </c>
      <c r="AG1064" s="71">
        <v>-168750</v>
      </c>
      <c r="AH1064" s="71">
        <v>-168750</v>
      </c>
      <c r="AI1064" s="6"/>
      <c r="AJ1064" s="71">
        <v>0</v>
      </c>
      <c r="AK1064" s="71">
        <v>0</v>
      </c>
      <c r="AM1064" s="22"/>
      <c r="AO1064" s="23" t="s">
        <v>427</v>
      </c>
      <c r="AP1064" s="23" t="s">
        <v>1715</v>
      </c>
      <c r="AQ1064" s="23" t="s">
        <v>253</v>
      </c>
      <c r="AR1064" s="51" t="str">
        <f t="shared" si="1217"/>
        <v>JD8G-3B437-CA</v>
      </c>
      <c r="AT1064" s="56">
        <v>0</v>
      </c>
      <c r="AU1064" s="56">
        <v>0</v>
      </c>
      <c r="AV1064" s="56">
        <v>0</v>
      </c>
      <c r="AW1064" s="56">
        <v>0</v>
      </c>
      <c r="AX1064" s="56">
        <v>1</v>
      </c>
      <c r="AY1064" s="56">
        <v>0</v>
      </c>
      <c r="AZ1064" s="56">
        <v>0</v>
      </c>
      <c r="BA1064" s="56">
        <v>0</v>
      </c>
      <c r="BB1064" s="64">
        <f t="shared" si="1218"/>
        <v>0.09</v>
      </c>
      <c r="BD1064" s="60">
        <v>-292.76</v>
      </c>
      <c r="BE1064" s="60">
        <v>-1.5</v>
      </c>
      <c r="BF1064" s="60">
        <v>-1.6</v>
      </c>
      <c r="BG1064" s="60">
        <v>0</v>
      </c>
      <c r="BH1064" s="71">
        <v>0</v>
      </c>
      <c r="BI1064" s="8">
        <f t="shared" si="1219"/>
        <v>-295.86</v>
      </c>
      <c r="BJ1064" s="2" t="s">
        <v>91</v>
      </c>
      <c r="BL1064" s="61">
        <v>-168750</v>
      </c>
      <c r="BM1064" s="61">
        <v>-168750</v>
      </c>
      <c r="BO1064" s="71">
        <v>0</v>
      </c>
      <c r="BP1064" s="71">
        <v>0</v>
      </c>
      <c r="BQ1064" s="61"/>
      <c r="BS1064" s="61">
        <f t="shared" si="1204"/>
        <v>0</v>
      </c>
      <c r="BT1064" s="61">
        <f t="shared" si="1204"/>
        <v>0</v>
      </c>
      <c r="BU1064" s="61">
        <f t="shared" si="1204"/>
        <v>0</v>
      </c>
      <c r="BV1064" s="61">
        <f t="shared" si="1204"/>
        <v>0</v>
      </c>
      <c r="BW1064" s="61">
        <f t="shared" si="1204"/>
        <v>0</v>
      </c>
      <c r="BX1064" s="61">
        <f t="shared" si="1204"/>
        <v>0</v>
      </c>
      <c r="BY1064" s="61" t="s">
        <v>91</v>
      </c>
      <c r="CA1064" s="61">
        <f t="shared" si="1211"/>
        <v>0</v>
      </c>
      <c r="CB1064" s="61">
        <f t="shared" si="1211"/>
        <v>0</v>
      </c>
      <c r="CC1064" s="61">
        <f t="shared" si="1211"/>
        <v>0</v>
      </c>
      <c r="CD1064" s="61">
        <f t="shared" si="1211"/>
        <v>0</v>
      </c>
      <c r="CE1064" s="61">
        <f t="shared" si="1211"/>
        <v>0</v>
      </c>
      <c r="CF1064" s="61">
        <f t="shared" si="1211"/>
        <v>0</v>
      </c>
      <c r="CG1064" s="61">
        <f t="shared" si="1211"/>
        <v>0</v>
      </c>
      <c r="CH1064" s="61">
        <f t="shared" si="1209"/>
        <v>0</v>
      </c>
      <c r="CI1064" s="61">
        <f t="shared" si="1165"/>
        <v>0</v>
      </c>
      <c r="CJ1064" s="61"/>
      <c r="CK1064" s="61">
        <f t="shared" si="1212"/>
        <v>0</v>
      </c>
      <c r="CL1064" s="61">
        <f t="shared" si="1212"/>
        <v>0</v>
      </c>
      <c r="CM1064" s="61">
        <f t="shared" si="1212"/>
        <v>0</v>
      </c>
      <c r="CN1064" s="61">
        <f t="shared" si="1212"/>
        <v>0</v>
      </c>
      <c r="CO1064" s="61">
        <f t="shared" si="1212"/>
        <v>0</v>
      </c>
      <c r="CP1064" s="61">
        <f t="shared" si="1212"/>
        <v>0</v>
      </c>
      <c r="CQ1064" s="61">
        <f t="shared" si="1212"/>
        <v>0</v>
      </c>
      <c r="CR1064" s="61">
        <f t="shared" si="1210"/>
        <v>0</v>
      </c>
      <c r="CS1064" s="61">
        <f t="shared" si="1167"/>
        <v>0</v>
      </c>
      <c r="CT1064" s="61">
        <f t="shared" si="1173"/>
        <v>0</v>
      </c>
      <c r="CV1064" s="61">
        <f t="shared" si="1221"/>
        <v>0</v>
      </c>
      <c r="CW1064" s="61">
        <f t="shared" si="1222"/>
        <v>0</v>
      </c>
      <c r="CX1064" s="61"/>
      <c r="CY1064" s="61">
        <f t="shared" si="1186"/>
        <v>0</v>
      </c>
      <c r="CZ1064" s="61">
        <f t="shared" si="1186"/>
        <v>0</v>
      </c>
      <c r="DA1064" s="61">
        <f t="shared" si="1186"/>
        <v>0</v>
      </c>
      <c r="DB1064" s="2" t="s">
        <v>102</v>
      </c>
      <c r="DC1064" s="2" t="s">
        <v>102</v>
      </c>
      <c r="DD1064" s="2" t="s">
        <v>142</v>
      </c>
      <c r="DE1064" s="2" t="s">
        <v>257</v>
      </c>
      <c r="DF1064" s="3" t="s">
        <v>102</v>
      </c>
      <c r="DG1064" s="62">
        <v>42824</v>
      </c>
      <c r="EC1064" s="60" t="str">
        <f>VLOOKUP($M1064,[1]Detail!$M:$BO,1,0)</f>
        <v>JD8G-3B437-CA</v>
      </c>
      <c r="ED1064" s="60">
        <f>VLOOKUP($M1064,[1]Detail!$M:$BO,22,0)</f>
        <v>-295.86</v>
      </c>
      <c r="EE1064" s="60">
        <f>VLOOKUP($M1064,[1]Detail!$M:$BO,42,0)</f>
        <v>-168750</v>
      </c>
      <c r="EF1064" s="60">
        <f>VLOOKUP($M1064,[1]Detail!$M:$BO,45,0)</f>
        <v>0</v>
      </c>
      <c r="EH1064" s="60">
        <f t="shared" si="1234"/>
        <v>0</v>
      </c>
      <c r="EI1064" s="60">
        <f t="shared" si="1235"/>
        <v>0</v>
      </c>
      <c r="EJ1064" s="60">
        <f t="shared" si="1236"/>
        <v>0</v>
      </c>
    </row>
    <row r="1065" spans="2:140" ht="12.75" hidden="1" customHeight="1">
      <c r="B1065" s="1" t="s">
        <v>1717</v>
      </c>
      <c r="C1065" s="2" t="s">
        <v>1130</v>
      </c>
      <c r="D1065" s="1" t="s">
        <v>1131</v>
      </c>
      <c r="E1065" s="2" t="s">
        <v>1005</v>
      </c>
      <c r="F1065" s="2" t="s">
        <v>330</v>
      </c>
      <c r="G1065" s="1" t="s">
        <v>331</v>
      </c>
      <c r="J1065" s="22" t="s">
        <v>427</v>
      </c>
      <c r="K1065" s="23" t="s">
        <v>1718</v>
      </c>
      <c r="L1065" s="22" t="s">
        <v>180</v>
      </c>
      <c r="M1065" s="51" t="str">
        <f t="shared" si="1179"/>
        <v>JD8G-3B437-AA</v>
      </c>
      <c r="O1065" s="89">
        <v>0</v>
      </c>
      <c r="P1065" s="89">
        <v>0</v>
      </c>
      <c r="Q1065" s="89">
        <v>1</v>
      </c>
      <c r="R1065" s="89">
        <v>0</v>
      </c>
      <c r="S1065" s="89">
        <v>1</v>
      </c>
      <c r="T1065" s="89">
        <v>0</v>
      </c>
      <c r="U1065" s="89">
        <v>0</v>
      </c>
      <c r="V1065" s="89">
        <v>0</v>
      </c>
      <c r="W1065" s="64">
        <f t="shared" si="1199"/>
        <v>0.23</v>
      </c>
      <c r="Y1065" s="63">
        <v>-281.66000000000003</v>
      </c>
      <c r="Z1065" s="63">
        <v>-1.5</v>
      </c>
      <c r="AA1065" s="63">
        <v>-1.6</v>
      </c>
      <c r="AB1065" s="60">
        <v>0</v>
      </c>
      <c r="AC1065" s="63">
        <v>0</v>
      </c>
      <c r="AD1065" s="8">
        <f t="shared" si="1188"/>
        <v>-284.76000000000005</v>
      </c>
      <c r="AE1065" s="2" t="s">
        <v>91</v>
      </c>
      <c r="AG1065" s="71">
        <v>-168750</v>
      </c>
      <c r="AH1065" s="71">
        <v>-168750</v>
      </c>
      <c r="AI1065" s="6"/>
      <c r="AJ1065" s="71">
        <v>0</v>
      </c>
      <c r="AK1065" s="71">
        <v>0</v>
      </c>
      <c r="AM1065" s="22"/>
      <c r="AO1065" s="23" t="s">
        <v>427</v>
      </c>
      <c r="AP1065" s="23" t="s">
        <v>1718</v>
      </c>
      <c r="AQ1065" s="23" t="s">
        <v>180</v>
      </c>
      <c r="AR1065" s="51" t="str">
        <f t="shared" si="1217"/>
        <v>JD8G-3B437-AA</v>
      </c>
      <c r="AT1065" s="56">
        <v>0</v>
      </c>
      <c r="AU1065" s="56">
        <v>0</v>
      </c>
      <c r="AV1065" s="56">
        <v>1</v>
      </c>
      <c r="AW1065" s="56">
        <v>0</v>
      </c>
      <c r="AX1065" s="56">
        <v>1</v>
      </c>
      <c r="AY1065" s="56">
        <v>0</v>
      </c>
      <c r="AZ1065" s="56">
        <v>0</v>
      </c>
      <c r="BA1065" s="56">
        <v>0</v>
      </c>
      <c r="BB1065" s="64">
        <f t="shared" si="1218"/>
        <v>0.23</v>
      </c>
      <c r="BD1065" s="60">
        <v>-281.66000000000003</v>
      </c>
      <c r="BE1065" s="60">
        <v>-1.5</v>
      </c>
      <c r="BF1065" s="60">
        <v>-1.6</v>
      </c>
      <c r="BG1065" s="60">
        <v>0</v>
      </c>
      <c r="BH1065" s="71">
        <v>0</v>
      </c>
      <c r="BI1065" s="8">
        <f t="shared" si="1219"/>
        <v>-284.76000000000005</v>
      </c>
      <c r="BJ1065" s="2" t="s">
        <v>91</v>
      </c>
      <c r="BL1065" s="61">
        <v>-168750</v>
      </c>
      <c r="BM1065" s="61">
        <v>-168750</v>
      </c>
      <c r="BO1065" s="71">
        <v>0</v>
      </c>
      <c r="BP1065" s="71">
        <v>0</v>
      </c>
      <c r="BQ1065" s="61"/>
      <c r="BS1065" s="61">
        <f t="shared" si="1204"/>
        <v>0</v>
      </c>
      <c r="BT1065" s="61">
        <f t="shared" si="1204"/>
        <v>0</v>
      </c>
      <c r="BU1065" s="61">
        <f t="shared" si="1204"/>
        <v>0</v>
      </c>
      <c r="BV1065" s="61">
        <f t="shared" si="1204"/>
        <v>0</v>
      </c>
      <c r="BW1065" s="61">
        <f t="shared" si="1204"/>
        <v>0</v>
      </c>
      <c r="BX1065" s="61">
        <f t="shared" si="1204"/>
        <v>0</v>
      </c>
      <c r="BY1065" s="61" t="s">
        <v>91</v>
      </c>
      <c r="CA1065" s="61">
        <f t="shared" si="1211"/>
        <v>0</v>
      </c>
      <c r="CB1065" s="61">
        <f t="shared" si="1211"/>
        <v>0</v>
      </c>
      <c r="CC1065" s="61">
        <f t="shared" si="1211"/>
        <v>0</v>
      </c>
      <c r="CD1065" s="61">
        <f t="shared" si="1211"/>
        <v>0</v>
      </c>
      <c r="CE1065" s="61">
        <f t="shared" si="1211"/>
        <v>0</v>
      </c>
      <c r="CF1065" s="61">
        <f t="shared" si="1211"/>
        <v>0</v>
      </c>
      <c r="CG1065" s="61">
        <f t="shared" si="1211"/>
        <v>0</v>
      </c>
      <c r="CH1065" s="61">
        <f t="shared" si="1209"/>
        <v>0</v>
      </c>
      <c r="CI1065" s="61">
        <f t="shared" si="1165"/>
        <v>0</v>
      </c>
      <c r="CJ1065" s="61"/>
      <c r="CK1065" s="61">
        <f t="shared" si="1212"/>
        <v>0</v>
      </c>
      <c r="CL1065" s="61">
        <f t="shared" si="1212"/>
        <v>0</v>
      </c>
      <c r="CM1065" s="61">
        <f t="shared" si="1212"/>
        <v>0</v>
      </c>
      <c r="CN1065" s="61">
        <f t="shared" si="1212"/>
        <v>0</v>
      </c>
      <c r="CO1065" s="61">
        <f t="shared" si="1212"/>
        <v>0</v>
      </c>
      <c r="CP1065" s="61">
        <f t="shared" si="1212"/>
        <v>0</v>
      </c>
      <c r="CQ1065" s="61">
        <f t="shared" si="1212"/>
        <v>0</v>
      </c>
      <c r="CR1065" s="61">
        <f t="shared" si="1210"/>
        <v>0</v>
      </c>
      <c r="CS1065" s="61">
        <f t="shared" si="1167"/>
        <v>0</v>
      </c>
      <c r="CT1065" s="61">
        <f t="shared" si="1173"/>
        <v>0</v>
      </c>
      <c r="CV1065" s="61">
        <f t="shared" si="1221"/>
        <v>0</v>
      </c>
      <c r="CW1065" s="61">
        <f t="shared" si="1222"/>
        <v>0</v>
      </c>
      <c r="CX1065" s="61"/>
      <c r="CY1065" s="61">
        <f t="shared" si="1186"/>
        <v>0</v>
      </c>
      <c r="CZ1065" s="61">
        <f t="shared" si="1186"/>
        <v>0</v>
      </c>
      <c r="DA1065" s="61">
        <f t="shared" si="1186"/>
        <v>0</v>
      </c>
      <c r="DB1065" s="2" t="s">
        <v>102</v>
      </c>
      <c r="DC1065" s="2" t="s">
        <v>102</v>
      </c>
      <c r="DD1065" s="2" t="s">
        <v>142</v>
      </c>
      <c r="DE1065" s="2" t="s">
        <v>257</v>
      </c>
      <c r="DF1065" s="3" t="s">
        <v>102</v>
      </c>
      <c r="DG1065" s="62">
        <v>42824</v>
      </c>
      <c r="EC1065" s="60" t="str">
        <f>VLOOKUP($M1065,[1]Detail!$M:$BO,1,0)</f>
        <v>JD8G-3B437-AA</v>
      </c>
      <c r="ED1065" s="60">
        <f>VLOOKUP($M1065,[1]Detail!$M:$BO,22,0)</f>
        <v>-284.76000000000005</v>
      </c>
      <c r="EE1065" s="60">
        <f>VLOOKUP($M1065,[1]Detail!$M:$BO,42,0)</f>
        <v>0</v>
      </c>
      <c r="EF1065" s="60">
        <f>VLOOKUP($M1065,[1]Detail!$M:$BO,45,0)</f>
        <v>0</v>
      </c>
      <c r="EH1065" s="60">
        <f t="shared" si="1234"/>
        <v>0</v>
      </c>
      <c r="EI1065" s="60">
        <f t="shared" si="1235"/>
        <v>168750</v>
      </c>
      <c r="EJ1065" s="60">
        <f t="shared" si="1236"/>
        <v>0</v>
      </c>
    </row>
    <row r="1066" spans="2:140" ht="12.75" hidden="1" customHeight="1">
      <c r="B1066" s="1" t="s">
        <v>1717</v>
      </c>
      <c r="C1066" s="2" t="s">
        <v>1130</v>
      </c>
      <c r="D1066" s="1" t="s">
        <v>1131</v>
      </c>
      <c r="E1066" s="2" t="s">
        <v>1005</v>
      </c>
      <c r="F1066" s="2" t="s">
        <v>330</v>
      </c>
      <c r="G1066" s="1" t="s">
        <v>331</v>
      </c>
      <c r="J1066" s="22" t="s">
        <v>427</v>
      </c>
      <c r="K1066" s="23" t="s">
        <v>1719</v>
      </c>
      <c r="L1066" s="22" t="s">
        <v>180</v>
      </c>
      <c r="M1066" s="51" t="str">
        <f t="shared" si="1179"/>
        <v>JD8G-3B436-AA</v>
      </c>
      <c r="O1066" s="89">
        <v>1</v>
      </c>
      <c r="P1066" s="89">
        <v>0</v>
      </c>
      <c r="Q1066" s="89">
        <v>1</v>
      </c>
      <c r="R1066" s="89">
        <v>0</v>
      </c>
      <c r="S1066" s="89">
        <v>0</v>
      </c>
      <c r="T1066" s="89">
        <v>0</v>
      </c>
      <c r="U1066" s="89">
        <v>0</v>
      </c>
      <c r="V1066" s="89">
        <v>0</v>
      </c>
      <c r="W1066" s="64">
        <f t="shared" si="1199"/>
        <v>0.28000000000000003</v>
      </c>
      <c r="Y1066" s="63">
        <v>-326.98</v>
      </c>
      <c r="Z1066" s="63">
        <v>-1.5</v>
      </c>
      <c r="AA1066" s="63">
        <v>-1.6</v>
      </c>
      <c r="AB1066" s="60">
        <v>0</v>
      </c>
      <c r="AC1066" s="63">
        <v>0</v>
      </c>
      <c r="AD1066" s="8">
        <f t="shared" si="1188"/>
        <v>-330.08000000000004</v>
      </c>
      <c r="AE1066" s="2" t="s">
        <v>91</v>
      </c>
      <c r="AG1066" s="71">
        <v>-168750</v>
      </c>
      <c r="AH1066" s="71">
        <v>-168750</v>
      </c>
      <c r="AI1066" s="6"/>
      <c r="AJ1066" s="71">
        <v>0</v>
      </c>
      <c r="AK1066" s="71">
        <v>0</v>
      </c>
      <c r="AM1066" s="22"/>
      <c r="AO1066" s="23" t="s">
        <v>427</v>
      </c>
      <c r="AP1066" s="23" t="s">
        <v>1719</v>
      </c>
      <c r="AQ1066" s="23" t="s">
        <v>180</v>
      </c>
      <c r="AR1066" s="51" t="str">
        <f t="shared" si="1217"/>
        <v>JD8G-3B436-AA</v>
      </c>
      <c r="AT1066" s="56">
        <v>1</v>
      </c>
      <c r="AU1066" s="56">
        <v>0</v>
      </c>
      <c r="AV1066" s="56">
        <v>1</v>
      </c>
      <c r="AW1066" s="56">
        <v>0</v>
      </c>
      <c r="AX1066" s="56">
        <v>0</v>
      </c>
      <c r="AY1066" s="56">
        <v>0</v>
      </c>
      <c r="AZ1066" s="56">
        <v>0</v>
      </c>
      <c r="BA1066" s="56">
        <v>0</v>
      </c>
      <c r="BB1066" s="64">
        <f t="shared" si="1218"/>
        <v>0.28000000000000003</v>
      </c>
      <c r="BD1066" s="60">
        <v>-326.98</v>
      </c>
      <c r="BE1066" s="60">
        <v>-1.5</v>
      </c>
      <c r="BF1066" s="60">
        <v>-1.6</v>
      </c>
      <c r="BG1066" s="60">
        <v>0</v>
      </c>
      <c r="BH1066" s="71">
        <v>0</v>
      </c>
      <c r="BI1066" s="8">
        <f t="shared" si="1219"/>
        <v>-330.08000000000004</v>
      </c>
      <c r="BJ1066" s="2" t="s">
        <v>91</v>
      </c>
      <c r="BL1066" s="61">
        <v>-168750</v>
      </c>
      <c r="BM1066" s="61">
        <v>-168750</v>
      </c>
      <c r="BO1066" s="71">
        <v>0</v>
      </c>
      <c r="BP1066" s="71">
        <v>0</v>
      </c>
      <c r="BQ1066" s="61"/>
      <c r="BS1066" s="61">
        <f t="shared" si="1204"/>
        <v>0</v>
      </c>
      <c r="BT1066" s="61">
        <f t="shared" si="1204"/>
        <v>0</v>
      </c>
      <c r="BU1066" s="61">
        <f t="shared" si="1204"/>
        <v>0</v>
      </c>
      <c r="BV1066" s="61">
        <f t="shared" si="1204"/>
        <v>0</v>
      </c>
      <c r="BW1066" s="61">
        <f t="shared" si="1204"/>
        <v>0</v>
      </c>
      <c r="BX1066" s="61">
        <f t="shared" si="1204"/>
        <v>0</v>
      </c>
      <c r="BY1066" s="61" t="s">
        <v>91</v>
      </c>
      <c r="CA1066" s="61">
        <f t="shared" si="1211"/>
        <v>0</v>
      </c>
      <c r="CB1066" s="61">
        <f t="shared" si="1211"/>
        <v>0</v>
      </c>
      <c r="CC1066" s="61">
        <f t="shared" si="1211"/>
        <v>0</v>
      </c>
      <c r="CD1066" s="61">
        <f t="shared" si="1211"/>
        <v>0</v>
      </c>
      <c r="CE1066" s="61">
        <f t="shared" si="1211"/>
        <v>0</v>
      </c>
      <c r="CF1066" s="61">
        <f t="shared" si="1211"/>
        <v>0</v>
      </c>
      <c r="CG1066" s="61">
        <f t="shared" si="1211"/>
        <v>0</v>
      </c>
      <c r="CH1066" s="61">
        <f t="shared" si="1209"/>
        <v>0</v>
      </c>
      <c r="CI1066" s="61">
        <f t="shared" si="1165"/>
        <v>0</v>
      </c>
      <c r="CJ1066" s="61"/>
      <c r="CK1066" s="61">
        <f t="shared" si="1212"/>
        <v>0</v>
      </c>
      <c r="CL1066" s="61">
        <f t="shared" si="1212"/>
        <v>0</v>
      </c>
      <c r="CM1066" s="61">
        <f t="shared" si="1212"/>
        <v>0</v>
      </c>
      <c r="CN1066" s="61">
        <f t="shared" si="1212"/>
        <v>0</v>
      </c>
      <c r="CO1066" s="61">
        <f t="shared" si="1212"/>
        <v>0</v>
      </c>
      <c r="CP1066" s="61">
        <f t="shared" si="1212"/>
        <v>0</v>
      </c>
      <c r="CQ1066" s="61">
        <f t="shared" si="1212"/>
        <v>0</v>
      </c>
      <c r="CR1066" s="61">
        <f t="shared" si="1210"/>
        <v>0</v>
      </c>
      <c r="CS1066" s="61">
        <f t="shared" si="1167"/>
        <v>0</v>
      </c>
      <c r="CT1066" s="61">
        <f t="shared" si="1173"/>
        <v>0</v>
      </c>
      <c r="CV1066" s="61">
        <f t="shared" si="1221"/>
        <v>0</v>
      </c>
      <c r="CW1066" s="61">
        <f t="shared" si="1222"/>
        <v>0</v>
      </c>
      <c r="CX1066" s="61"/>
      <c r="CY1066" s="61">
        <f t="shared" si="1186"/>
        <v>0</v>
      </c>
      <c r="CZ1066" s="61">
        <f t="shared" si="1186"/>
        <v>0</v>
      </c>
      <c r="DA1066" s="61">
        <f t="shared" si="1186"/>
        <v>0</v>
      </c>
      <c r="DB1066" s="2" t="s">
        <v>85</v>
      </c>
      <c r="DC1066" s="2" t="s">
        <v>102</v>
      </c>
      <c r="DD1066" s="2" t="s">
        <v>142</v>
      </c>
      <c r="DE1066" s="2" t="s">
        <v>257</v>
      </c>
      <c r="DF1066" s="3" t="s">
        <v>102</v>
      </c>
      <c r="DG1066" s="62">
        <v>42824</v>
      </c>
      <c r="EC1066" s="60"/>
      <c r="ED1066" s="60"/>
      <c r="EE1066" s="60"/>
      <c r="EF1066" s="60"/>
    </row>
    <row r="1067" spans="2:140" ht="12.75" hidden="1" customHeight="1">
      <c r="B1067" s="1" t="s">
        <v>1720</v>
      </c>
      <c r="C1067" s="2" t="s">
        <v>1721</v>
      </c>
      <c r="D1067" s="1" t="s">
        <v>1722</v>
      </c>
      <c r="E1067" s="2" t="s">
        <v>1661</v>
      </c>
      <c r="F1067" s="2" t="s">
        <v>969</v>
      </c>
      <c r="G1067" s="1" t="s">
        <v>331</v>
      </c>
      <c r="J1067" s="22" t="s">
        <v>81</v>
      </c>
      <c r="K1067" s="23" t="s">
        <v>1723</v>
      </c>
      <c r="L1067" s="22" t="s">
        <v>180</v>
      </c>
      <c r="M1067" s="51" t="str">
        <f t="shared" si="1179"/>
        <v>JD8T-10849-AA</v>
      </c>
      <c r="O1067" s="89">
        <v>1</v>
      </c>
      <c r="P1067" s="89">
        <v>1</v>
      </c>
      <c r="Q1067" s="89">
        <v>0</v>
      </c>
      <c r="R1067" s="89">
        <v>0</v>
      </c>
      <c r="S1067" s="89">
        <v>0</v>
      </c>
      <c r="T1067" s="89">
        <v>0</v>
      </c>
      <c r="U1067" s="89">
        <v>0</v>
      </c>
      <c r="V1067" s="89">
        <v>0</v>
      </c>
      <c r="W1067" s="64">
        <f t="shared" si="1199"/>
        <v>0.30000000000000004</v>
      </c>
      <c r="Y1067" s="63">
        <v>-479.14</v>
      </c>
      <c r="Z1067" s="63">
        <v>-15.23</v>
      </c>
      <c r="AA1067" s="63">
        <v>0</v>
      </c>
      <c r="AB1067" s="60">
        <v>0</v>
      </c>
      <c r="AC1067" s="63">
        <v>-10.015759289892699</v>
      </c>
      <c r="AD1067" s="8">
        <f t="shared" si="1188"/>
        <v>-504.38575928989269</v>
      </c>
      <c r="AE1067" s="2" t="s">
        <v>91</v>
      </c>
      <c r="AG1067" s="71">
        <v>-375000</v>
      </c>
      <c r="AH1067" s="71">
        <v>-375000</v>
      </c>
      <c r="AI1067" s="6"/>
      <c r="AJ1067" s="71">
        <v>0</v>
      </c>
      <c r="AK1067" s="71">
        <v>0</v>
      </c>
      <c r="AM1067" s="22"/>
      <c r="AO1067" s="23" t="s">
        <v>81</v>
      </c>
      <c r="AP1067" s="23" t="s">
        <v>1723</v>
      </c>
      <c r="AQ1067" s="23" t="s">
        <v>180</v>
      </c>
      <c r="AR1067" s="51" t="str">
        <f t="shared" si="1217"/>
        <v>JD8T-10849-AA</v>
      </c>
      <c r="AT1067" s="56">
        <v>1</v>
      </c>
      <c r="AU1067" s="56">
        <v>1</v>
      </c>
      <c r="AV1067" s="56">
        <v>0</v>
      </c>
      <c r="AW1067" s="56">
        <v>0</v>
      </c>
      <c r="AX1067" s="56">
        <v>0</v>
      </c>
      <c r="AY1067" s="56">
        <v>0</v>
      </c>
      <c r="AZ1067" s="56">
        <v>0</v>
      </c>
      <c r="BA1067" s="56">
        <v>0</v>
      </c>
      <c r="BB1067" s="64">
        <f t="shared" si="1218"/>
        <v>0.30000000000000004</v>
      </c>
      <c r="BD1067" s="60">
        <v>-479.14</v>
      </c>
      <c r="BE1067" s="60">
        <v>-15.23</v>
      </c>
      <c r="BF1067" s="60">
        <v>0</v>
      </c>
      <c r="BG1067" s="60">
        <v>0</v>
      </c>
      <c r="BH1067" s="71">
        <v>-10.015759289892699</v>
      </c>
      <c r="BI1067" s="8">
        <f t="shared" si="1219"/>
        <v>-504.38575928989269</v>
      </c>
      <c r="BJ1067" s="2" t="s">
        <v>91</v>
      </c>
      <c r="BL1067" s="61">
        <v>-375000</v>
      </c>
      <c r="BM1067" s="61">
        <v>-375000</v>
      </c>
      <c r="BO1067" s="71">
        <v>0</v>
      </c>
      <c r="BP1067" s="71">
        <v>0</v>
      </c>
      <c r="BQ1067" s="61"/>
      <c r="BS1067" s="61">
        <f t="shared" si="1204"/>
        <v>0</v>
      </c>
      <c r="BT1067" s="61">
        <f t="shared" si="1204"/>
        <v>0</v>
      </c>
      <c r="BU1067" s="61">
        <f t="shared" si="1204"/>
        <v>0</v>
      </c>
      <c r="BV1067" s="61">
        <f t="shared" si="1204"/>
        <v>0</v>
      </c>
      <c r="BW1067" s="61">
        <f t="shared" si="1204"/>
        <v>0</v>
      </c>
      <c r="BX1067" s="61">
        <f t="shared" si="1204"/>
        <v>0</v>
      </c>
      <c r="BY1067" s="61" t="s">
        <v>91</v>
      </c>
      <c r="CA1067" s="61">
        <f t="shared" si="1211"/>
        <v>0</v>
      </c>
      <c r="CB1067" s="61">
        <f t="shared" si="1211"/>
        <v>0</v>
      </c>
      <c r="CC1067" s="61">
        <f t="shared" si="1211"/>
        <v>0</v>
      </c>
      <c r="CD1067" s="61">
        <f t="shared" si="1211"/>
        <v>0</v>
      </c>
      <c r="CE1067" s="61">
        <f t="shared" si="1211"/>
        <v>0</v>
      </c>
      <c r="CF1067" s="61">
        <f t="shared" si="1211"/>
        <v>0</v>
      </c>
      <c r="CG1067" s="61">
        <f t="shared" si="1211"/>
        <v>0</v>
      </c>
      <c r="CH1067" s="61">
        <f t="shared" si="1209"/>
        <v>0</v>
      </c>
      <c r="CI1067" s="61">
        <f t="shared" si="1165"/>
        <v>0</v>
      </c>
      <c r="CJ1067" s="61"/>
      <c r="CK1067" s="61">
        <f t="shared" si="1212"/>
        <v>0</v>
      </c>
      <c r="CL1067" s="61">
        <f t="shared" si="1212"/>
        <v>0</v>
      </c>
      <c r="CM1067" s="61">
        <f t="shared" si="1212"/>
        <v>0</v>
      </c>
      <c r="CN1067" s="61">
        <f t="shared" si="1212"/>
        <v>0</v>
      </c>
      <c r="CO1067" s="61">
        <f t="shared" si="1212"/>
        <v>0</v>
      </c>
      <c r="CP1067" s="61">
        <f t="shared" si="1212"/>
        <v>0</v>
      </c>
      <c r="CQ1067" s="61">
        <f t="shared" si="1212"/>
        <v>0</v>
      </c>
      <c r="CR1067" s="61">
        <f t="shared" si="1210"/>
        <v>0</v>
      </c>
      <c r="CS1067" s="61">
        <f t="shared" si="1167"/>
        <v>0</v>
      </c>
      <c r="CT1067" s="61">
        <f t="shared" si="1173"/>
        <v>0</v>
      </c>
      <c r="CV1067" s="61">
        <f t="shared" si="1221"/>
        <v>0</v>
      </c>
      <c r="CW1067" s="61">
        <f t="shared" si="1222"/>
        <v>0</v>
      </c>
      <c r="CX1067" s="61"/>
      <c r="CY1067" s="61">
        <f t="shared" si="1186"/>
        <v>0</v>
      </c>
      <c r="CZ1067" s="61">
        <f t="shared" si="1186"/>
        <v>0</v>
      </c>
      <c r="DA1067" s="61">
        <f t="shared" si="1186"/>
        <v>0</v>
      </c>
      <c r="DB1067" s="2" t="s">
        <v>85</v>
      </c>
      <c r="DC1067" s="2" t="s">
        <v>102</v>
      </c>
      <c r="DD1067" s="2" t="s">
        <v>142</v>
      </c>
      <c r="DE1067" s="2" t="s">
        <v>257</v>
      </c>
      <c r="DF1067" s="3" t="s">
        <v>86</v>
      </c>
      <c r="DG1067" s="62">
        <v>42833</v>
      </c>
      <c r="EC1067" s="60"/>
      <c r="ED1067" s="60"/>
      <c r="EE1067" s="60"/>
      <c r="EF1067" s="60"/>
    </row>
    <row r="1068" spans="2:140" ht="12.75" hidden="1" customHeight="1">
      <c r="B1068" s="1" t="s">
        <v>1720</v>
      </c>
      <c r="C1068" s="2" t="s">
        <v>1721</v>
      </c>
      <c r="D1068" s="1" t="s">
        <v>1722</v>
      </c>
      <c r="E1068" s="2" t="s">
        <v>1661</v>
      </c>
      <c r="F1068" s="2" t="s">
        <v>969</v>
      </c>
      <c r="G1068" s="1" t="s">
        <v>331</v>
      </c>
      <c r="J1068" s="22" t="s">
        <v>81</v>
      </c>
      <c r="K1068" s="23" t="s">
        <v>1723</v>
      </c>
      <c r="L1068" s="22" t="s">
        <v>182</v>
      </c>
      <c r="M1068" s="51" t="str">
        <f t="shared" si="1179"/>
        <v>JD8T-10849-BA</v>
      </c>
      <c r="O1068" s="89">
        <v>0</v>
      </c>
      <c r="P1068" s="89">
        <v>0</v>
      </c>
      <c r="Q1068" s="89">
        <v>1</v>
      </c>
      <c r="R1068" s="89">
        <v>1</v>
      </c>
      <c r="S1068" s="89">
        <v>1</v>
      </c>
      <c r="T1068" s="89">
        <v>1</v>
      </c>
      <c r="U1068" s="89">
        <v>1</v>
      </c>
      <c r="V1068" s="89">
        <v>1</v>
      </c>
      <c r="W1068" s="64">
        <f t="shared" si="1199"/>
        <v>0.70000000000000007</v>
      </c>
      <c r="Y1068" s="63">
        <v>-485.95</v>
      </c>
      <c r="Z1068" s="63">
        <v>-15.23</v>
      </c>
      <c r="AA1068" s="63">
        <v>0</v>
      </c>
      <c r="AB1068" s="60">
        <v>0</v>
      </c>
      <c r="AC1068" s="63">
        <v>-10.015759289892699</v>
      </c>
      <c r="AD1068" s="8">
        <f t="shared" si="1188"/>
        <v>-511.19575928989269</v>
      </c>
      <c r="AE1068" s="2" t="s">
        <v>91</v>
      </c>
      <c r="AG1068" s="71">
        <v>-3730508</v>
      </c>
      <c r="AH1068" s="71">
        <v>-3730508</v>
      </c>
      <c r="AI1068" s="6"/>
      <c r="AJ1068" s="71">
        <v>-5748030</v>
      </c>
      <c r="AK1068" s="71">
        <v>574899</v>
      </c>
      <c r="AM1068" s="22"/>
      <c r="AO1068" s="23" t="s">
        <v>81</v>
      </c>
      <c r="AP1068" s="23" t="s">
        <v>1723</v>
      </c>
      <c r="AQ1068" s="23" t="s">
        <v>182</v>
      </c>
      <c r="AR1068" s="51" t="str">
        <f t="shared" si="1217"/>
        <v>JD8T-10849-BA</v>
      </c>
      <c r="AT1068" s="56">
        <v>0</v>
      </c>
      <c r="AU1068" s="56">
        <v>0</v>
      </c>
      <c r="AV1068" s="56">
        <v>1</v>
      </c>
      <c r="AW1068" s="56">
        <v>1</v>
      </c>
      <c r="AX1068" s="56">
        <v>1</v>
      </c>
      <c r="AY1068" s="56">
        <v>1</v>
      </c>
      <c r="AZ1068" s="56">
        <v>1</v>
      </c>
      <c r="BA1068" s="56">
        <v>1</v>
      </c>
      <c r="BB1068" s="64">
        <f t="shared" si="1218"/>
        <v>0.70000000000000007</v>
      </c>
      <c r="BD1068" s="60">
        <v>-485.95</v>
      </c>
      <c r="BE1068" s="60">
        <v>-15.23</v>
      </c>
      <c r="BF1068" s="60">
        <v>0</v>
      </c>
      <c r="BG1068" s="60">
        <v>0</v>
      </c>
      <c r="BH1068" s="71">
        <v>-10.015759289892699</v>
      </c>
      <c r="BI1068" s="8">
        <f t="shared" si="1219"/>
        <v>-511.19575928989269</v>
      </c>
      <c r="BJ1068" s="2" t="s">
        <v>91</v>
      </c>
      <c r="BL1068" s="61">
        <v>-3730508</v>
      </c>
      <c r="BM1068" s="61">
        <v>-3730508</v>
      </c>
      <c r="BO1068" s="71">
        <v>-5748030</v>
      </c>
      <c r="BP1068" s="71">
        <v>574899</v>
      </c>
      <c r="BQ1068" s="61"/>
      <c r="BS1068" s="61">
        <f t="shared" si="1204"/>
        <v>0</v>
      </c>
      <c r="BT1068" s="61">
        <f t="shared" si="1204"/>
        <v>0</v>
      </c>
      <c r="BU1068" s="61">
        <f t="shared" si="1204"/>
        <v>0</v>
      </c>
      <c r="BV1068" s="61">
        <f t="shared" si="1204"/>
        <v>0</v>
      </c>
      <c r="BW1068" s="61">
        <f t="shared" si="1204"/>
        <v>0</v>
      </c>
      <c r="BX1068" s="61">
        <f t="shared" si="1204"/>
        <v>0</v>
      </c>
      <c r="BY1068" s="61" t="s">
        <v>91</v>
      </c>
      <c r="CA1068" s="61">
        <f t="shared" si="1211"/>
        <v>0</v>
      </c>
      <c r="CB1068" s="61">
        <f t="shared" si="1211"/>
        <v>0</v>
      </c>
      <c r="CC1068" s="61">
        <f t="shared" si="1211"/>
        <v>0</v>
      </c>
      <c r="CD1068" s="61">
        <f t="shared" si="1211"/>
        <v>0</v>
      </c>
      <c r="CE1068" s="61">
        <f t="shared" si="1211"/>
        <v>0</v>
      </c>
      <c r="CF1068" s="61">
        <f t="shared" si="1211"/>
        <v>0</v>
      </c>
      <c r="CG1068" s="61">
        <f t="shared" si="1211"/>
        <v>0</v>
      </c>
      <c r="CH1068" s="61">
        <f t="shared" si="1209"/>
        <v>0</v>
      </c>
      <c r="CI1068" s="61">
        <f t="shared" si="1165"/>
        <v>0</v>
      </c>
      <c r="CJ1068" s="61"/>
      <c r="CK1068" s="61">
        <f t="shared" si="1212"/>
        <v>0</v>
      </c>
      <c r="CL1068" s="61">
        <f t="shared" si="1212"/>
        <v>0</v>
      </c>
      <c r="CM1068" s="61">
        <f t="shared" si="1212"/>
        <v>0</v>
      </c>
      <c r="CN1068" s="61">
        <f t="shared" si="1212"/>
        <v>0</v>
      </c>
      <c r="CO1068" s="61">
        <f t="shared" si="1212"/>
        <v>0</v>
      </c>
      <c r="CP1068" s="61">
        <f t="shared" si="1212"/>
        <v>0</v>
      </c>
      <c r="CQ1068" s="61">
        <f t="shared" si="1212"/>
        <v>0</v>
      </c>
      <c r="CR1068" s="61">
        <f t="shared" si="1210"/>
        <v>0</v>
      </c>
      <c r="CS1068" s="61">
        <f t="shared" si="1167"/>
        <v>0</v>
      </c>
      <c r="CT1068" s="61">
        <f t="shared" si="1173"/>
        <v>0</v>
      </c>
      <c r="CV1068" s="61">
        <f t="shared" si="1221"/>
        <v>0</v>
      </c>
      <c r="CW1068" s="61">
        <f t="shared" si="1222"/>
        <v>0</v>
      </c>
      <c r="CX1068" s="61"/>
      <c r="CY1068" s="61">
        <f t="shared" ref="CY1068:DA1090" si="1237">SUM(AJ1068)-SUM(BO1068)</f>
        <v>0</v>
      </c>
      <c r="CZ1068" s="61">
        <f t="shared" si="1237"/>
        <v>0</v>
      </c>
      <c r="DA1068" s="61">
        <f t="shared" si="1237"/>
        <v>0</v>
      </c>
      <c r="DB1068" s="2" t="s">
        <v>85</v>
      </c>
      <c r="DC1068" s="2" t="s">
        <v>102</v>
      </c>
      <c r="DD1068" s="2" t="s">
        <v>142</v>
      </c>
      <c r="DE1068" s="2" t="s">
        <v>257</v>
      </c>
      <c r="DF1068" s="3" t="s">
        <v>86</v>
      </c>
      <c r="DG1068" s="62">
        <v>42833</v>
      </c>
      <c r="EC1068" s="60"/>
      <c r="ED1068" s="60"/>
      <c r="EE1068" s="60"/>
      <c r="EF1068" s="60"/>
    </row>
    <row r="1069" spans="2:140" ht="12.75" hidden="1" customHeight="1">
      <c r="B1069" s="1" t="s">
        <v>1724</v>
      </c>
      <c r="C1069" s="2" t="s">
        <v>1721</v>
      </c>
      <c r="D1069" s="1" t="s">
        <v>1722</v>
      </c>
      <c r="E1069" s="2" t="s">
        <v>1661</v>
      </c>
      <c r="F1069" s="2" t="s">
        <v>969</v>
      </c>
      <c r="G1069" s="1" t="s">
        <v>331</v>
      </c>
      <c r="J1069" s="22" t="s">
        <v>81</v>
      </c>
      <c r="K1069" s="23" t="s">
        <v>1723</v>
      </c>
      <c r="L1069" s="22" t="s">
        <v>180</v>
      </c>
      <c r="M1069" s="51" t="str">
        <f t="shared" si="1179"/>
        <v>JD8T-10849-AA</v>
      </c>
      <c r="O1069" s="89">
        <v>1</v>
      </c>
      <c r="P1069" s="89">
        <v>1</v>
      </c>
      <c r="Q1069" s="89">
        <v>0</v>
      </c>
      <c r="R1069" s="89">
        <v>0</v>
      </c>
      <c r="S1069" s="89">
        <v>0</v>
      </c>
      <c r="T1069" s="89">
        <v>0</v>
      </c>
      <c r="U1069" s="89">
        <v>0</v>
      </c>
      <c r="V1069" s="89">
        <v>0</v>
      </c>
      <c r="W1069" s="64">
        <f t="shared" si="1199"/>
        <v>0.30000000000000004</v>
      </c>
      <c r="Y1069" s="63">
        <v>-479.14</v>
      </c>
      <c r="Z1069" s="63">
        <v>-15.23</v>
      </c>
      <c r="AA1069" s="63">
        <v>0</v>
      </c>
      <c r="AB1069" s="60">
        <v>0</v>
      </c>
      <c r="AC1069" s="63">
        <v>-10.015759289892699</v>
      </c>
      <c r="AD1069" s="8">
        <f t="shared" si="1188"/>
        <v>-504.38575928989269</v>
      </c>
      <c r="AE1069" s="2" t="s">
        <v>91</v>
      </c>
      <c r="AG1069" s="71">
        <v>-357000</v>
      </c>
      <c r="AH1069" s="71">
        <v>-357000</v>
      </c>
      <c r="AI1069" s="6"/>
      <c r="AJ1069" s="71">
        <v>0</v>
      </c>
      <c r="AK1069" s="71">
        <v>0</v>
      </c>
      <c r="AM1069" s="22"/>
      <c r="AO1069" s="23" t="s">
        <v>81</v>
      </c>
      <c r="AP1069" s="23" t="s">
        <v>1723</v>
      </c>
      <c r="AQ1069" s="23" t="s">
        <v>180</v>
      </c>
      <c r="AR1069" s="51" t="str">
        <f t="shared" si="1217"/>
        <v>JD8T-10849-AA</v>
      </c>
      <c r="AT1069" s="56">
        <v>1</v>
      </c>
      <c r="AU1069" s="56">
        <v>1</v>
      </c>
      <c r="AV1069" s="56">
        <v>0</v>
      </c>
      <c r="AW1069" s="56">
        <v>0</v>
      </c>
      <c r="AX1069" s="56">
        <v>0</v>
      </c>
      <c r="AY1069" s="56">
        <v>0</v>
      </c>
      <c r="AZ1069" s="56">
        <v>0</v>
      </c>
      <c r="BA1069" s="56">
        <v>0</v>
      </c>
      <c r="BB1069" s="64">
        <f t="shared" si="1218"/>
        <v>0.30000000000000004</v>
      </c>
      <c r="BD1069" s="60">
        <v>-479.14</v>
      </c>
      <c r="BE1069" s="60">
        <v>-15.23</v>
      </c>
      <c r="BF1069" s="60">
        <v>0</v>
      </c>
      <c r="BG1069" s="60">
        <v>0</v>
      </c>
      <c r="BH1069" s="71">
        <v>-10.015759289892699</v>
      </c>
      <c r="BI1069" s="8">
        <f t="shared" si="1219"/>
        <v>-504.38575928989269</v>
      </c>
      <c r="BJ1069" s="2" t="s">
        <v>91</v>
      </c>
      <c r="BL1069" s="61">
        <v>-375000</v>
      </c>
      <c r="BM1069" s="61">
        <v>-375000</v>
      </c>
      <c r="BO1069" s="71">
        <v>0</v>
      </c>
      <c r="BP1069" s="71">
        <v>0</v>
      </c>
      <c r="BQ1069" s="61"/>
      <c r="BS1069" s="61">
        <f t="shared" si="1204"/>
        <v>0</v>
      </c>
      <c r="BT1069" s="61">
        <f t="shared" si="1204"/>
        <v>0</v>
      </c>
      <c r="BU1069" s="61">
        <f t="shared" si="1204"/>
        <v>0</v>
      </c>
      <c r="BV1069" s="61">
        <f t="shared" si="1204"/>
        <v>0</v>
      </c>
      <c r="BW1069" s="61">
        <f t="shared" si="1204"/>
        <v>0</v>
      </c>
      <c r="BX1069" s="61">
        <f t="shared" si="1204"/>
        <v>0</v>
      </c>
      <c r="BY1069" s="61" t="s">
        <v>91</v>
      </c>
      <c r="CA1069" s="61">
        <f t="shared" si="1211"/>
        <v>0</v>
      </c>
      <c r="CB1069" s="61">
        <f t="shared" si="1211"/>
        <v>0</v>
      </c>
      <c r="CC1069" s="61">
        <f t="shared" si="1211"/>
        <v>0</v>
      </c>
      <c r="CD1069" s="61">
        <f t="shared" si="1211"/>
        <v>0</v>
      </c>
      <c r="CE1069" s="61">
        <f t="shared" si="1211"/>
        <v>0</v>
      </c>
      <c r="CF1069" s="61">
        <f t="shared" si="1211"/>
        <v>0</v>
      </c>
      <c r="CG1069" s="61">
        <f t="shared" si="1211"/>
        <v>0</v>
      </c>
      <c r="CH1069" s="61">
        <f t="shared" si="1209"/>
        <v>0</v>
      </c>
      <c r="CI1069" s="61">
        <f t="shared" si="1165"/>
        <v>0</v>
      </c>
      <c r="CJ1069" s="61"/>
      <c r="CK1069" s="61">
        <f t="shared" si="1212"/>
        <v>0</v>
      </c>
      <c r="CL1069" s="61">
        <f t="shared" si="1212"/>
        <v>0</v>
      </c>
      <c r="CM1069" s="61">
        <f t="shared" si="1212"/>
        <v>0</v>
      </c>
      <c r="CN1069" s="61">
        <f t="shared" si="1212"/>
        <v>0</v>
      </c>
      <c r="CO1069" s="61">
        <f t="shared" si="1212"/>
        <v>0</v>
      </c>
      <c r="CP1069" s="61">
        <f t="shared" si="1212"/>
        <v>0</v>
      </c>
      <c r="CQ1069" s="61">
        <f t="shared" si="1212"/>
        <v>0</v>
      </c>
      <c r="CR1069" s="61">
        <f t="shared" si="1210"/>
        <v>0</v>
      </c>
      <c r="CS1069" s="61">
        <f t="shared" si="1167"/>
        <v>0</v>
      </c>
      <c r="CT1069" s="61">
        <f t="shared" si="1173"/>
        <v>0</v>
      </c>
      <c r="CV1069" s="61">
        <f t="shared" si="1221"/>
        <v>18000</v>
      </c>
      <c r="CW1069" s="61">
        <f t="shared" si="1222"/>
        <v>18000</v>
      </c>
      <c r="CX1069" s="61"/>
      <c r="CY1069" s="61">
        <f t="shared" si="1237"/>
        <v>0</v>
      </c>
      <c r="CZ1069" s="61">
        <f t="shared" si="1237"/>
        <v>0</v>
      </c>
      <c r="DA1069" s="61">
        <f t="shared" si="1237"/>
        <v>0</v>
      </c>
      <c r="DB1069" s="2" t="s">
        <v>85</v>
      </c>
      <c r="DC1069" s="2" t="s">
        <v>85</v>
      </c>
      <c r="DD1069" s="2" t="s">
        <v>142</v>
      </c>
      <c r="DE1069" s="2" t="s">
        <v>257</v>
      </c>
      <c r="DF1069" s="3" t="s">
        <v>86</v>
      </c>
      <c r="DG1069" s="62">
        <v>42858</v>
      </c>
      <c r="EC1069" s="60"/>
      <c r="ED1069" s="60"/>
      <c r="EE1069" s="60"/>
      <c r="EF1069" s="60"/>
    </row>
    <row r="1070" spans="2:140" ht="12.75" hidden="1" customHeight="1">
      <c r="B1070" s="1" t="s">
        <v>1724</v>
      </c>
      <c r="C1070" s="2" t="s">
        <v>1721</v>
      </c>
      <c r="D1070" s="1" t="s">
        <v>1722</v>
      </c>
      <c r="E1070" s="2" t="s">
        <v>1661</v>
      </c>
      <c r="F1070" s="2" t="s">
        <v>969</v>
      </c>
      <c r="G1070" s="1" t="s">
        <v>331</v>
      </c>
      <c r="J1070" s="22" t="s">
        <v>81</v>
      </c>
      <c r="K1070" s="23" t="s">
        <v>1723</v>
      </c>
      <c r="L1070" s="22" t="s">
        <v>182</v>
      </c>
      <c r="M1070" s="51" t="str">
        <f t="shared" si="1179"/>
        <v>JD8T-10849-BA</v>
      </c>
      <c r="O1070" s="89">
        <v>0</v>
      </c>
      <c r="P1070" s="89">
        <v>0</v>
      </c>
      <c r="Q1070" s="89">
        <v>1</v>
      </c>
      <c r="R1070" s="89">
        <v>1</v>
      </c>
      <c r="S1070" s="89">
        <v>1</v>
      </c>
      <c r="T1070" s="89">
        <v>1</v>
      </c>
      <c r="U1070" s="89">
        <v>1</v>
      </c>
      <c r="V1070" s="89">
        <v>1</v>
      </c>
      <c r="W1070" s="64">
        <f t="shared" si="1199"/>
        <v>0.70000000000000007</v>
      </c>
      <c r="Y1070" s="63">
        <v>-485.95</v>
      </c>
      <c r="Z1070" s="63">
        <v>-15.23</v>
      </c>
      <c r="AA1070" s="63">
        <v>0</v>
      </c>
      <c r="AB1070" s="60">
        <v>0</v>
      </c>
      <c r="AC1070" s="63">
        <v>-10.015759289892699</v>
      </c>
      <c r="AD1070" s="8">
        <f t="shared" si="1188"/>
        <v>-511.19575928989269</v>
      </c>
      <c r="AE1070" s="2" t="s">
        <v>91</v>
      </c>
      <c r="AG1070" s="71">
        <v>-3730508</v>
      </c>
      <c r="AH1070" s="71">
        <v>-3730508</v>
      </c>
      <c r="AI1070" s="6"/>
      <c r="AJ1070" s="71">
        <v>-5748030</v>
      </c>
      <c r="AK1070" s="71">
        <v>574899</v>
      </c>
      <c r="AM1070" s="22"/>
      <c r="AO1070" s="23" t="s">
        <v>81</v>
      </c>
      <c r="AP1070" s="23" t="s">
        <v>1723</v>
      </c>
      <c r="AQ1070" s="23" t="s">
        <v>182</v>
      </c>
      <c r="AR1070" s="51" t="str">
        <f t="shared" si="1217"/>
        <v>JD8T-10849-BA</v>
      </c>
      <c r="AT1070" s="56">
        <v>0</v>
      </c>
      <c r="AU1070" s="56">
        <v>0</v>
      </c>
      <c r="AV1070" s="56">
        <v>1</v>
      </c>
      <c r="AW1070" s="56">
        <v>1</v>
      </c>
      <c r="AX1070" s="56">
        <v>1</v>
      </c>
      <c r="AY1070" s="56">
        <v>1</v>
      </c>
      <c r="AZ1070" s="56">
        <v>1</v>
      </c>
      <c r="BA1070" s="56">
        <v>1</v>
      </c>
      <c r="BB1070" s="64">
        <f t="shared" si="1218"/>
        <v>0.70000000000000007</v>
      </c>
      <c r="BD1070" s="60">
        <v>-485.95</v>
      </c>
      <c r="BE1070" s="60">
        <v>-15.23</v>
      </c>
      <c r="BF1070" s="60">
        <v>0</v>
      </c>
      <c r="BG1070" s="60">
        <v>0</v>
      </c>
      <c r="BH1070" s="71">
        <v>-10.015759289892699</v>
      </c>
      <c r="BI1070" s="8">
        <f t="shared" si="1219"/>
        <v>-511.19575928989269</v>
      </c>
      <c r="BJ1070" s="2" t="s">
        <v>91</v>
      </c>
      <c r="BL1070" s="61">
        <v>-3730508</v>
      </c>
      <c r="BM1070" s="61">
        <v>-3730508</v>
      </c>
      <c r="BO1070" s="71">
        <v>-5748030</v>
      </c>
      <c r="BP1070" s="71">
        <v>574899</v>
      </c>
      <c r="BQ1070" s="61"/>
      <c r="BS1070" s="61">
        <f t="shared" ref="BS1070:BX1098" si="1238">Y1070-BD1070</f>
        <v>0</v>
      </c>
      <c r="BT1070" s="61">
        <f t="shared" si="1238"/>
        <v>0</v>
      </c>
      <c r="BU1070" s="61">
        <f t="shared" si="1238"/>
        <v>0</v>
      </c>
      <c r="BV1070" s="61">
        <f t="shared" si="1238"/>
        <v>0</v>
      </c>
      <c r="BW1070" s="61">
        <f t="shared" si="1238"/>
        <v>0</v>
      </c>
      <c r="BX1070" s="61">
        <f t="shared" si="1238"/>
        <v>0</v>
      </c>
      <c r="BY1070" s="61" t="s">
        <v>91</v>
      </c>
      <c r="CA1070" s="61">
        <f t="shared" si="1211"/>
        <v>0</v>
      </c>
      <c r="CB1070" s="61">
        <f t="shared" si="1211"/>
        <v>0</v>
      </c>
      <c r="CC1070" s="61">
        <f t="shared" si="1211"/>
        <v>0</v>
      </c>
      <c r="CD1070" s="61">
        <f t="shared" si="1211"/>
        <v>0</v>
      </c>
      <c r="CE1070" s="61">
        <f t="shared" si="1211"/>
        <v>0</v>
      </c>
      <c r="CF1070" s="61">
        <f t="shared" si="1211"/>
        <v>0</v>
      </c>
      <c r="CG1070" s="61">
        <f t="shared" si="1211"/>
        <v>0</v>
      </c>
      <c r="CH1070" s="61">
        <f t="shared" si="1209"/>
        <v>0</v>
      </c>
      <c r="CI1070" s="61">
        <f t="shared" si="1165"/>
        <v>0</v>
      </c>
      <c r="CJ1070" s="61"/>
      <c r="CK1070" s="61">
        <f t="shared" si="1212"/>
        <v>0</v>
      </c>
      <c r="CL1070" s="61">
        <f t="shared" si="1212"/>
        <v>0</v>
      </c>
      <c r="CM1070" s="61">
        <f t="shared" si="1212"/>
        <v>0</v>
      </c>
      <c r="CN1070" s="61">
        <f t="shared" si="1212"/>
        <v>0</v>
      </c>
      <c r="CO1070" s="61">
        <f t="shared" si="1212"/>
        <v>0</v>
      </c>
      <c r="CP1070" s="61">
        <f t="shared" si="1212"/>
        <v>0</v>
      </c>
      <c r="CQ1070" s="61">
        <f t="shared" si="1212"/>
        <v>0</v>
      </c>
      <c r="CR1070" s="61">
        <f t="shared" si="1210"/>
        <v>0</v>
      </c>
      <c r="CS1070" s="61">
        <f t="shared" si="1167"/>
        <v>0</v>
      </c>
      <c r="CT1070" s="61">
        <f t="shared" si="1173"/>
        <v>0</v>
      </c>
      <c r="CV1070" s="61">
        <f t="shared" si="1221"/>
        <v>0</v>
      </c>
      <c r="CW1070" s="61">
        <f t="shared" si="1222"/>
        <v>0</v>
      </c>
      <c r="CX1070" s="61"/>
      <c r="CY1070" s="61">
        <f t="shared" si="1237"/>
        <v>0</v>
      </c>
      <c r="CZ1070" s="61">
        <f t="shared" si="1237"/>
        <v>0</v>
      </c>
      <c r="DA1070" s="61">
        <f t="shared" si="1237"/>
        <v>0</v>
      </c>
      <c r="DB1070" s="2" t="s">
        <v>85</v>
      </c>
      <c r="DC1070" s="2" t="s">
        <v>85</v>
      </c>
      <c r="DD1070" s="2" t="s">
        <v>142</v>
      </c>
      <c r="DE1070" s="2" t="s">
        <v>257</v>
      </c>
      <c r="DF1070" s="3" t="s">
        <v>86</v>
      </c>
      <c r="DG1070" s="62">
        <v>42858</v>
      </c>
      <c r="EC1070" s="60"/>
      <c r="ED1070" s="60"/>
      <c r="EE1070" s="60"/>
      <c r="EF1070" s="60"/>
    </row>
    <row r="1071" spans="2:140" ht="12.75" hidden="1" customHeight="1">
      <c r="B1071" s="1" t="s">
        <v>1725</v>
      </c>
      <c r="C1071" s="2" t="s">
        <v>1721</v>
      </c>
      <c r="D1071" s="1" t="s">
        <v>1722</v>
      </c>
      <c r="E1071" s="2" t="s">
        <v>1661</v>
      </c>
      <c r="F1071" s="2" t="s">
        <v>969</v>
      </c>
      <c r="G1071" s="1" t="s">
        <v>331</v>
      </c>
      <c r="J1071" s="22" t="s">
        <v>81</v>
      </c>
      <c r="K1071" s="23" t="s">
        <v>1723</v>
      </c>
      <c r="L1071" s="22" t="s">
        <v>180</v>
      </c>
      <c r="M1071" s="51" t="str">
        <f t="shared" si="1179"/>
        <v>JD8T-10849-AA</v>
      </c>
      <c r="O1071" s="89">
        <v>1</v>
      </c>
      <c r="P1071" s="89">
        <v>1</v>
      </c>
      <c r="Q1071" s="89">
        <v>0</v>
      </c>
      <c r="R1071" s="89">
        <v>0</v>
      </c>
      <c r="S1071" s="89">
        <v>0</v>
      </c>
      <c r="T1071" s="89">
        <v>0</v>
      </c>
      <c r="U1071" s="89">
        <v>0</v>
      </c>
      <c r="V1071" s="89">
        <v>0</v>
      </c>
      <c r="W1071" s="64">
        <f t="shared" si="1199"/>
        <v>0.30000000000000004</v>
      </c>
      <c r="Y1071" s="63">
        <f>-479.14+2.23</f>
        <v>-476.90999999999997</v>
      </c>
      <c r="Z1071" s="63">
        <v>-15.23</v>
      </c>
      <c r="AA1071" s="63">
        <v>0</v>
      </c>
      <c r="AB1071" s="60">
        <v>0</v>
      </c>
      <c r="AC1071" s="63">
        <v>-10.015759289892699</v>
      </c>
      <c r="AD1071" s="8">
        <f t="shared" si="1188"/>
        <v>-502.15575928989267</v>
      </c>
      <c r="AE1071" s="2" t="s">
        <v>91</v>
      </c>
      <c r="AG1071" s="71">
        <v>0</v>
      </c>
      <c r="AH1071" s="71">
        <v>0</v>
      </c>
      <c r="AI1071" s="6"/>
      <c r="AJ1071" s="71">
        <v>0</v>
      </c>
      <c r="AK1071" s="71">
        <v>0</v>
      </c>
      <c r="AM1071" s="22"/>
      <c r="AO1071" s="23" t="s">
        <v>81</v>
      </c>
      <c r="AP1071" s="23" t="s">
        <v>1723</v>
      </c>
      <c r="AQ1071" s="23" t="s">
        <v>180</v>
      </c>
      <c r="AR1071" s="51" t="s">
        <v>1726</v>
      </c>
      <c r="AT1071" s="56">
        <v>1</v>
      </c>
      <c r="AU1071" s="56">
        <v>1</v>
      </c>
      <c r="AV1071" s="56">
        <v>0</v>
      </c>
      <c r="AW1071" s="56">
        <v>0</v>
      </c>
      <c r="AX1071" s="56">
        <v>0</v>
      </c>
      <c r="AY1071" s="56">
        <v>0</v>
      </c>
      <c r="AZ1071" s="56">
        <v>0</v>
      </c>
      <c r="BA1071" s="56">
        <v>0</v>
      </c>
      <c r="BB1071" s="64">
        <v>0.30000000000000004</v>
      </c>
      <c r="BD1071" s="60">
        <v>-479.14</v>
      </c>
      <c r="BE1071" s="60">
        <v>-15.23</v>
      </c>
      <c r="BF1071" s="60">
        <v>0</v>
      </c>
      <c r="BG1071" s="60">
        <v>0</v>
      </c>
      <c r="BH1071" s="71">
        <v>-10.015759289892699</v>
      </c>
      <c r="BI1071" s="8">
        <v>-504.38575928989269</v>
      </c>
      <c r="BJ1071" s="2" t="s">
        <v>91</v>
      </c>
      <c r="BL1071" s="2">
        <v>-357000</v>
      </c>
      <c r="BM1071" s="2">
        <v>-357000</v>
      </c>
      <c r="BO1071" s="71">
        <v>0</v>
      </c>
      <c r="BP1071" s="71">
        <v>0</v>
      </c>
      <c r="BQ1071" s="61"/>
      <c r="BS1071" s="61">
        <f t="shared" si="1238"/>
        <v>2.2300000000000182</v>
      </c>
      <c r="BT1071" s="61">
        <f t="shared" si="1238"/>
        <v>0</v>
      </c>
      <c r="BU1071" s="61">
        <f t="shared" si="1238"/>
        <v>0</v>
      </c>
      <c r="BV1071" s="61">
        <f t="shared" si="1238"/>
        <v>0</v>
      </c>
      <c r="BW1071" s="61">
        <f t="shared" si="1238"/>
        <v>0</v>
      </c>
      <c r="BX1071" s="61">
        <f t="shared" si="1238"/>
        <v>2.2300000000000182</v>
      </c>
      <c r="BY1071" s="61" t="s">
        <v>91</v>
      </c>
      <c r="CA1071" s="61">
        <f t="shared" si="1211"/>
        <v>0.33548969459906997</v>
      </c>
      <c r="CB1071" s="61">
        <f t="shared" si="1211"/>
        <v>0.33548969459906997</v>
      </c>
      <c r="CC1071" s="61">
        <f t="shared" si="1211"/>
        <v>0</v>
      </c>
      <c r="CD1071" s="61">
        <f t="shared" si="1211"/>
        <v>0</v>
      </c>
      <c r="CE1071" s="61">
        <f t="shared" si="1211"/>
        <v>0</v>
      </c>
      <c r="CF1071" s="61">
        <f t="shared" si="1211"/>
        <v>0</v>
      </c>
      <c r="CG1071" s="61">
        <f t="shared" si="1211"/>
        <v>0</v>
      </c>
      <c r="CH1071" s="61">
        <f t="shared" si="1209"/>
        <v>0</v>
      </c>
      <c r="CI1071" s="61">
        <f t="shared" si="1165"/>
        <v>0.100646908379721</v>
      </c>
      <c r="CJ1071" s="61"/>
      <c r="CK1071" s="61">
        <f t="shared" si="1212"/>
        <v>0.33548969459906997</v>
      </c>
      <c r="CL1071" s="61">
        <f t="shared" si="1212"/>
        <v>0.33548969459906997</v>
      </c>
      <c r="CM1071" s="61">
        <f t="shared" si="1212"/>
        <v>0</v>
      </c>
      <c r="CN1071" s="61">
        <f t="shared" si="1212"/>
        <v>0</v>
      </c>
      <c r="CO1071" s="61">
        <f t="shared" si="1212"/>
        <v>0</v>
      </c>
      <c r="CP1071" s="61">
        <f t="shared" si="1212"/>
        <v>0</v>
      </c>
      <c r="CQ1071" s="61">
        <f t="shared" si="1212"/>
        <v>0</v>
      </c>
      <c r="CR1071" s="61">
        <f t="shared" si="1210"/>
        <v>0</v>
      </c>
      <c r="CS1071" s="61">
        <f t="shared" si="1167"/>
        <v>0.100646908379721</v>
      </c>
      <c r="CT1071" s="67">
        <f t="shared" si="1173"/>
        <v>0.66900000000000548</v>
      </c>
      <c r="CV1071" s="61">
        <f t="shared" si="1221"/>
        <v>357000</v>
      </c>
      <c r="CW1071" s="61">
        <f t="shared" si="1222"/>
        <v>357000</v>
      </c>
      <c r="CX1071" s="61"/>
      <c r="CY1071" s="61">
        <f t="shared" si="1237"/>
        <v>0</v>
      </c>
      <c r="CZ1071" s="61">
        <f t="shared" si="1237"/>
        <v>0</v>
      </c>
      <c r="DA1071" s="61">
        <f t="shared" si="1237"/>
        <v>0</v>
      </c>
      <c r="DB1071" s="2" t="s">
        <v>134</v>
      </c>
      <c r="DC1071" s="2" t="s">
        <v>85</v>
      </c>
      <c r="DD1071" s="2" t="s">
        <v>142</v>
      </c>
      <c r="DE1071" s="2" t="s">
        <v>257</v>
      </c>
      <c r="DF1071" s="3" t="s">
        <v>86</v>
      </c>
      <c r="DG1071" s="62">
        <v>42985</v>
      </c>
      <c r="EC1071" s="60"/>
      <c r="ED1071" s="60"/>
      <c r="EE1071" s="60"/>
      <c r="EF1071" s="60"/>
      <c r="EH1071" s="60"/>
      <c r="EI1071" s="60"/>
      <c r="EJ1071" s="60"/>
    </row>
    <row r="1072" spans="2:140" ht="12.75" hidden="1" customHeight="1">
      <c r="B1072" s="1" t="s">
        <v>1725</v>
      </c>
      <c r="C1072" s="2" t="s">
        <v>1721</v>
      </c>
      <c r="D1072" s="1" t="s">
        <v>1722</v>
      </c>
      <c r="E1072" s="2" t="s">
        <v>1661</v>
      </c>
      <c r="F1072" s="2" t="s">
        <v>969</v>
      </c>
      <c r="G1072" s="1" t="s">
        <v>331</v>
      </c>
      <c r="J1072" s="22" t="s">
        <v>81</v>
      </c>
      <c r="K1072" s="23" t="s">
        <v>1723</v>
      </c>
      <c r="L1072" s="22" t="s">
        <v>182</v>
      </c>
      <c r="M1072" s="51" t="str">
        <f t="shared" si="1179"/>
        <v>JD8T-10849-BA</v>
      </c>
      <c r="O1072" s="89">
        <v>0</v>
      </c>
      <c r="P1072" s="89">
        <v>0</v>
      </c>
      <c r="Q1072" s="89">
        <v>1</v>
      </c>
      <c r="R1072" s="89">
        <v>1</v>
      </c>
      <c r="S1072" s="89">
        <v>1</v>
      </c>
      <c r="T1072" s="89">
        <v>1</v>
      </c>
      <c r="U1072" s="89">
        <v>1</v>
      </c>
      <c r="V1072" s="89">
        <v>1</v>
      </c>
      <c r="W1072" s="64">
        <f t="shared" si="1199"/>
        <v>0.70000000000000007</v>
      </c>
      <c r="Y1072" s="63">
        <f>-485.95+3.98</f>
        <v>-481.96999999999997</v>
      </c>
      <c r="Z1072" s="63">
        <v>-15.23</v>
      </c>
      <c r="AA1072" s="63">
        <v>0</v>
      </c>
      <c r="AB1072" s="60">
        <v>0</v>
      </c>
      <c r="AC1072" s="63">
        <v>-10.015759289892699</v>
      </c>
      <c r="AD1072" s="8">
        <f t="shared" si="1188"/>
        <v>-507.21575928989267</v>
      </c>
      <c r="AE1072" s="2" t="s">
        <v>91</v>
      </c>
      <c r="AG1072" s="71">
        <v>-3730508</v>
      </c>
      <c r="AH1072" s="71">
        <v>-3730508</v>
      </c>
      <c r="AI1072" s="6"/>
      <c r="AJ1072" s="71">
        <v>-5748030</v>
      </c>
      <c r="AK1072" s="71">
        <v>574899</v>
      </c>
      <c r="AM1072" s="22"/>
      <c r="AO1072" s="23" t="s">
        <v>81</v>
      </c>
      <c r="AP1072" s="23" t="s">
        <v>1723</v>
      </c>
      <c r="AQ1072" s="23" t="s">
        <v>182</v>
      </c>
      <c r="AR1072" s="51" t="s">
        <v>1727</v>
      </c>
      <c r="AT1072" s="56">
        <v>0</v>
      </c>
      <c r="AU1072" s="56">
        <v>0</v>
      </c>
      <c r="AV1072" s="56">
        <v>1</v>
      </c>
      <c r="AW1072" s="56">
        <v>1</v>
      </c>
      <c r="AX1072" s="56">
        <v>1</v>
      </c>
      <c r="AY1072" s="56">
        <v>1</v>
      </c>
      <c r="AZ1072" s="56">
        <v>1</v>
      </c>
      <c r="BA1072" s="56">
        <v>1</v>
      </c>
      <c r="BB1072" s="64">
        <v>0.70000000000000007</v>
      </c>
      <c r="BD1072" s="60">
        <v>-485.95</v>
      </c>
      <c r="BE1072" s="60">
        <v>-15.23</v>
      </c>
      <c r="BF1072" s="60">
        <v>0</v>
      </c>
      <c r="BG1072" s="60">
        <v>0</v>
      </c>
      <c r="BH1072" s="71">
        <v>-10.015759289892699</v>
      </c>
      <c r="BI1072" s="8">
        <v>-511.19575928989269</v>
      </c>
      <c r="BJ1072" s="2" t="s">
        <v>91</v>
      </c>
      <c r="BL1072" s="2">
        <v>-3730508</v>
      </c>
      <c r="BM1072" s="2">
        <v>-3730508</v>
      </c>
      <c r="BO1072" s="71">
        <v>-5748030</v>
      </c>
      <c r="BP1072" s="71">
        <v>574899</v>
      </c>
      <c r="BQ1072" s="61"/>
      <c r="BS1072" s="61">
        <f t="shared" si="1238"/>
        <v>3.9800000000000182</v>
      </c>
      <c r="BT1072" s="61">
        <f t="shared" si="1238"/>
        <v>0</v>
      </c>
      <c r="BU1072" s="61">
        <f t="shared" si="1238"/>
        <v>0</v>
      </c>
      <c r="BV1072" s="61">
        <f t="shared" si="1238"/>
        <v>0</v>
      </c>
      <c r="BW1072" s="61">
        <f t="shared" si="1238"/>
        <v>0</v>
      </c>
      <c r="BX1072" s="61">
        <f t="shared" si="1238"/>
        <v>3.9800000000000182</v>
      </c>
      <c r="BY1072" s="61" t="s">
        <v>91</v>
      </c>
      <c r="CA1072" s="61">
        <f t="shared" si="1211"/>
        <v>0</v>
      </c>
      <c r="CB1072" s="61">
        <f t="shared" si="1211"/>
        <v>0</v>
      </c>
      <c r="CC1072" s="61">
        <f t="shared" si="1211"/>
        <v>0.59876636076425727</v>
      </c>
      <c r="CD1072" s="61">
        <f t="shared" si="1211"/>
        <v>0.59876636076425727</v>
      </c>
      <c r="CE1072" s="61">
        <f t="shared" si="1211"/>
        <v>0.59876636076425727</v>
      </c>
      <c r="CF1072" s="61">
        <f t="shared" si="1211"/>
        <v>0.59876636076425727</v>
      </c>
      <c r="CG1072" s="61">
        <f t="shared" si="1211"/>
        <v>0.59876636076425727</v>
      </c>
      <c r="CH1072" s="61">
        <f t="shared" si="1209"/>
        <v>0.59876636076425727</v>
      </c>
      <c r="CI1072" s="61">
        <f t="shared" si="1165"/>
        <v>0.41913645253498011</v>
      </c>
      <c r="CJ1072" s="61"/>
      <c r="CK1072" s="61">
        <f t="shared" si="1212"/>
        <v>0</v>
      </c>
      <c r="CL1072" s="61">
        <f t="shared" si="1212"/>
        <v>0</v>
      </c>
      <c r="CM1072" s="61">
        <f t="shared" si="1212"/>
        <v>0.59876636076425727</v>
      </c>
      <c r="CN1072" s="61">
        <f t="shared" si="1212"/>
        <v>0.59876636076425727</v>
      </c>
      <c r="CO1072" s="61">
        <f t="shared" si="1212"/>
        <v>0.59876636076425727</v>
      </c>
      <c r="CP1072" s="61">
        <f t="shared" si="1212"/>
        <v>0.59876636076425727</v>
      </c>
      <c r="CQ1072" s="61">
        <f t="shared" si="1212"/>
        <v>0.59876636076425727</v>
      </c>
      <c r="CR1072" s="61">
        <f t="shared" si="1210"/>
        <v>0.59876636076425727</v>
      </c>
      <c r="CS1072" s="61">
        <f t="shared" si="1167"/>
        <v>0.41913645253498011</v>
      </c>
      <c r="CT1072" s="67">
        <f t="shared" si="1173"/>
        <v>2.7860000000000129</v>
      </c>
      <c r="CV1072" s="61">
        <f t="shared" si="1221"/>
        <v>0</v>
      </c>
      <c r="CW1072" s="61">
        <f t="shared" si="1222"/>
        <v>0</v>
      </c>
      <c r="CX1072" s="61"/>
      <c r="CY1072" s="61">
        <f t="shared" si="1237"/>
        <v>0</v>
      </c>
      <c r="CZ1072" s="61">
        <f t="shared" si="1237"/>
        <v>0</v>
      </c>
      <c r="DA1072" s="61">
        <f t="shared" ref="DA1072:DA1113" si="1239">SUM(AL1072)-SUM(BQ1072)</f>
        <v>0</v>
      </c>
      <c r="DB1072" s="2" t="s">
        <v>134</v>
      </c>
      <c r="DC1072" s="2" t="s">
        <v>85</v>
      </c>
      <c r="DD1072" s="2" t="s">
        <v>142</v>
      </c>
      <c r="DE1072" s="2" t="s">
        <v>257</v>
      </c>
      <c r="DF1072" s="3" t="s">
        <v>86</v>
      </c>
      <c r="DG1072" s="62">
        <v>42985</v>
      </c>
      <c r="EC1072" s="60"/>
      <c r="ED1072" s="60"/>
      <c r="EE1072" s="60"/>
      <c r="EF1072" s="60"/>
      <c r="EH1072" s="60"/>
      <c r="EI1072" s="60"/>
      <c r="EJ1072" s="60"/>
    </row>
    <row r="1073" spans="2:140" ht="12.75" hidden="1" customHeight="1">
      <c r="B1073" s="1" t="s">
        <v>1728</v>
      </c>
      <c r="C1073" s="2" t="s">
        <v>1721</v>
      </c>
      <c r="D1073" s="1" t="s">
        <v>1722</v>
      </c>
      <c r="E1073" s="2" t="s">
        <v>1661</v>
      </c>
      <c r="F1073" s="2" t="s">
        <v>969</v>
      </c>
      <c r="G1073" s="1" t="s">
        <v>331</v>
      </c>
      <c r="J1073" s="22" t="s">
        <v>81</v>
      </c>
      <c r="K1073" s="23" t="s">
        <v>1723</v>
      </c>
      <c r="L1073" s="22" t="s">
        <v>132</v>
      </c>
      <c r="M1073" s="51" t="str">
        <f t="shared" si="1179"/>
        <v>JD8T-10849-AB</v>
      </c>
      <c r="O1073" s="89">
        <v>1</v>
      </c>
      <c r="P1073" s="89">
        <v>1</v>
      </c>
      <c r="Q1073" s="89">
        <v>0</v>
      </c>
      <c r="R1073" s="89">
        <v>0</v>
      </c>
      <c r="S1073" s="89">
        <v>0</v>
      </c>
      <c r="T1073" s="89">
        <v>0</v>
      </c>
      <c r="U1073" s="89">
        <v>0</v>
      </c>
      <c r="V1073" s="89">
        <v>0</v>
      </c>
      <c r="W1073" s="64">
        <f t="shared" si="1199"/>
        <v>0.30000000000000004</v>
      </c>
      <c r="Y1073" s="63">
        <f>-479.14+2.23</f>
        <v>-476.90999999999997</v>
      </c>
      <c r="Z1073" s="63">
        <v>-15.23</v>
      </c>
      <c r="AA1073" s="63">
        <v>0</v>
      </c>
      <c r="AB1073" s="60">
        <v>0</v>
      </c>
      <c r="AC1073" s="63">
        <v>-10</v>
      </c>
      <c r="AD1073" s="8">
        <f t="shared" ref="AD1073:AD1078" si="1240">SUM(Y1073:AC1073)</f>
        <v>-502.14</v>
      </c>
      <c r="AE1073" s="2" t="s">
        <v>91</v>
      </c>
      <c r="AG1073" s="71">
        <v>0</v>
      </c>
      <c r="AH1073" s="71">
        <v>0</v>
      </c>
      <c r="AI1073" s="6"/>
      <c r="AJ1073" s="71">
        <v>-5748030</v>
      </c>
      <c r="AK1073" s="71">
        <v>574899</v>
      </c>
      <c r="AM1073" s="22"/>
      <c r="AO1073" s="22" t="s">
        <v>81</v>
      </c>
      <c r="AP1073" s="23" t="s">
        <v>1723</v>
      </c>
      <c r="AQ1073" s="22" t="s">
        <v>180</v>
      </c>
      <c r="AR1073" s="51" t="str">
        <f t="shared" ref="AR1073:AR1078" si="1241">TRIM(AO1073)&amp;"-"&amp;TRIM(AP1073)&amp;"-"&amp;TRIM(AQ1073)</f>
        <v>JD8T-10849-AA</v>
      </c>
      <c r="AS1073" s="3"/>
      <c r="AT1073" s="89">
        <v>1</v>
      </c>
      <c r="AU1073" s="89">
        <v>1</v>
      </c>
      <c r="AV1073" s="89">
        <v>0</v>
      </c>
      <c r="AW1073" s="89">
        <v>0</v>
      </c>
      <c r="AX1073" s="89">
        <v>0</v>
      </c>
      <c r="AY1073" s="89">
        <v>0</v>
      </c>
      <c r="AZ1073" s="89">
        <v>0</v>
      </c>
      <c r="BA1073" s="89">
        <v>0</v>
      </c>
      <c r="BB1073" s="64">
        <f t="shared" ref="BB1073:BB1082" si="1242">SUMPRODUCT(AT1073:BA1073,$O$6:$V$6)</f>
        <v>0.30000000000000004</v>
      </c>
      <c r="BD1073" s="63">
        <f>-479.14+2.23</f>
        <v>-476.90999999999997</v>
      </c>
      <c r="BE1073" s="63">
        <v>-15.23</v>
      </c>
      <c r="BF1073" s="63">
        <v>0</v>
      </c>
      <c r="BG1073" s="60">
        <v>0</v>
      </c>
      <c r="BH1073" s="63">
        <v>-10</v>
      </c>
      <c r="BI1073" s="8">
        <f t="shared" ref="BI1073:BI1078" si="1243">SUM(BD1073:BH1073)</f>
        <v>-502.14</v>
      </c>
      <c r="BJ1073" s="2" t="s">
        <v>91</v>
      </c>
      <c r="BL1073" s="71">
        <v>0</v>
      </c>
      <c r="BM1073" s="71">
        <v>0</v>
      </c>
      <c r="BN1073" s="6"/>
      <c r="BO1073" s="71">
        <v>0</v>
      </c>
      <c r="BP1073" s="71">
        <v>0</v>
      </c>
      <c r="BR1073" s="22"/>
      <c r="BS1073" s="61">
        <f t="shared" si="1238"/>
        <v>0</v>
      </c>
      <c r="BT1073" s="61">
        <f t="shared" si="1238"/>
        <v>0</v>
      </c>
      <c r="BU1073" s="61">
        <f t="shared" si="1238"/>
        <v>0</v>
      </c>
      <c r="BV1073" s="61">
        <f t="shared" si="1238"/>
        <v>0</v>
      </c>
      <c r="BW1073" s="61">
        <f t="shared" si="1238"/>
        <v>0</v>
      </c>
      <c r="BX1073" s="61">
        <f t="shared" si="1238"/>
        <v>0</v>
      </c>
      <c r="BY1073" s="61" t="s">
        <v>91</v>
      </c>
      <c r="CA1073" s="61">
        <f t="shared" si="1211"/>
        <v>0</v>
      </c>
      <c r="CB1073" s="61">
        <f t="shared" si="1211"/>
        <v>0</v>
      </c>
      <c r="CC1073" s="61">
        <f t="shared" si="1211"/>
        <v>0</v>
      </c>
      <c r="CD1073" s="61">
        <f t="shared" si="1211"/>
        <v>0</v>
      </c>
      <c r="CE1073" s="61">
        <f t="shared" si="1211"/>
        <v>0</v>
      </c>
      <c r="CF1073" s="61">
        <f t="shared" si="1211"/>
        <v>0</v>
      </c>
      <c r="CG1073" s="61">
        <f t="shared" si="1211"/>
        <v>0</v>
      </c>
      <c r="CH1073" s="61">
        <f t="shared" si="1209"/>
        <v>0</v>
      </c>
      <c r="CI1073" s="61">
        <f t="shared" si="1165"/>
        <v>0</v>
      </c>
      <c r="CJ1073" s="61"/>
      <c r="CK1073" s="61">
        <f t="shared" si="1212"/>
        <v>0</v>
      </c>
      <c r="CL1073" s="61">
        <f t="shared" si="1212"/>
        <v>0</v>
      </c>
      <c r="CM1073" s="61">
        <f t="shared" si="1212"/>
        <v>0</v>
      </c>
      <c r="CN1073" s="61">
        <f t="shared" si="1212"/>
        <v>0</v>
      </c>
      <c r="CO1073" s="61">
        <f t="shared" si="1212"/>
        <v>0</v>
      </c>
      <c r="CP1073" s="61">
        <f t="shared" si="1212"/>
        <v>0</v>
      </c>
      <c r="CQ1073" s="61">
        <f t="shared" si="1212"/>
        <v>0</v>
      </c>
      <c r="CR1073" s="61">
        <f t="shared" si="1210"/>
        <v>0</v>
      </c>
      <c r="CS1073" s="61">
        <f t="shared" si="1167"/>
        <v>0</v>
      </c>
      <c r="CT1073" s="67">
        <f t="shared" si="1173"/>
        <v>0</v>
      </c>
      <c r="CV1073" s="61">
        <f t="shared" ref="CV1073:CV1074" si="1244">SUM(AG1073)-SUM(BL1073)</f>
        <v>0</v>
      </c>
      <c r="CW1073" s="61">
        <f t="shared" ref="CW1073:CW1076" si="1245">SUM(AH1073)-SUM(BM1073)</f>
        <v>0</v>
      </c>
      <c r="CX1073" s="61"/>
      <c r="CY1073" s="61">
        <f t="shared" si="1237"/>
        <v>-5748030</v>
      </c>
      <c r="CZ1073" s="61">
        <f t="shared" si="1237"/>
        <v>574899</v>
      </c>
      <c r="DA1073" s="61">
        <f t="shared" si="1237"/>
        <v>0</v>
      </c>
      <c r="DB1073" s="2" t="s">
        <v>85</v>
      </c>
      <c r="DC1073" s="2" t="s">
        <v>85</v>
      </c>
      <c r="DD1073" s="2" t="s">
        <v>142</v>
      </c>
      <c r="DE1073" s="2" t="s">
        <v>257</v>
      </c>
      <c r="DF1073" s="3" t="s">
        <v>86</v>
      </c>
      <c r="DG1073" s="62">
        <v>42764</v>
      </c>
      <c r="EC1073" s="60"/>
      <c r="ED1073" s="60"/>
      <c r="EE1073" s="60"/>
      <c r="EF1073" s="60"/>
    </row>
    <row r="1074" spans="2:140" ht="12.75" hidden="1" customHeight="1">
      <c r="B1074" s="1" t="s">
        <v>1728</v>
      </c>
      <c r="C1074" s="2" t="s">
        <v>1721</v>
      </c>
      <c r="D1074" s="1" t="s">
        <v>1722</v>
      </c>
      <c r="E1074" s="2" t="s">
        <v>1661</v>
      </c>
      <c r="F1074" s="2" t="s">
        <v>969</v>
      </c>
      <c r="G1074" s="1" t="s">
        <v>331</v>
      </c>
      <c r="J1074" s="22" t="s">
        <v>81</v>
      </c>
      <c r="K1074" s="23" t="s">
        <v>1723</v>
      </c>
      <c r="L1074" s="22" t="s">
        <v>120</v>
      </c>
      <c r="M1074" s="51" t="str">
        <f t="shared" si="1179"/>
        <v>JD8T-10849-BB</v>
      </c>
      <c r="O1074" s="89">
        <v>0</v>
      </c>
      <c r="P1074" s="89">
        <v>0</v>
      </c>
      <c r="Q1074" s="89">
        <v>1</v>
      </c>
      <c r="R1074" s="89">
        <v>1</v>
      </c>
      <c r="S1074" s="89">
        <v>1</v>
      </c>
      <c r="T1074" s="89">
        <v>1</v>
      </c>
      <c r="U1074" s="89">
        <v>1</v>
      </c>
      <c r="V1074" s="89">
        <v>1</v>
      </c>
      <c r="W1074" s="64">
        <f t="shared" si="1199"/>
        <v>0.70000000000000007</v>
      </c>
      <c r="Y1074" s="63">
        <f>-485.95+3.98</f>
        <v>-481.96999999999997</v>
      </c>
      <c r="Z1074" s="63">
        <v>-15.23</v>
      </c>
      <c r="AA1074" s="63">
        <v>0</v>
      </c>
      <c r="AB1074" s="60">
        <v>0</v>
      </c>
      <c r="AC1074" s="63">
        <v>-10</v>
      </c>
      <c r="AD1074" s="8">
        <f t="shared" si="1240"/>
        <v>-507.2</v>
      </c>
      <c r="AE1074" s="2" t="s">
        <v>91</v>
      </c>
      <c r="AG1074" s="71">
        <v>-3730508</v>
      </c>
      <c r="AH1074" s="71">
        <v>-3730508</v>
      </c>
      <c r="AI1074" s="6"/>
      <c r="AM1074" s="22"/>
      <c r="AO1074" s="22" t="s">
        <v>81</v>
      </c>
      <c r="AP1074" s="23" t="s">
        <v>1723</v>
      </c>
      <c r="AQ1074" s="22" t="s">
        <v>182</v>
      </c>
      <c r="AR1074" s="51" t="str">
        <f t="shared" si="1241"/>
        <v>JD8T-10849-BA</v>
      </c>
      <c r="AS1074" s="3"/>
      <c r="AT1074" s="89">
        <v>0</v>
      </c>
      <c r="AU1074" s="89">
        <v>0</v>
      </c>
      <c r="AV1074" s="89">
        <v>1</v>
      </c>
      <c r="AW1074" s="89">
        <v>1</v>
      </c>
      <c r="AX1074" s="89">
        <v>1</v>
      </c>
      <c r="AY1074" s="89">
        <v>1</v>
      </c>
      <c r="AZ1074" s="89">
        <v>1</v>
      </c>
      <c r="BA1074" s="89">
        <v>1</v>
      </c>
      <c r="BB1074" s="64">
        <f t="shared" si="1242"/>
        <v>0.70000000000000007</v>
      </c>
      <c r="BD1074" s="63">
        <f>-485.95+3.98</f>
        <v>-481.96999999999997</v>
      </c>
      <c r="BE1074" s="63">
        <v>-15.23</v>
      </c>
      <c r="BF1074" s="63">
        <v>0</v>
      </c>
      <c r="BG1074" s="60">
        <v>0</v>
      </c>
      <c r="BH1074" s="63">
        <v>-10</v>
      </c>
      <c r="BI1074" s="8">
        <f t="shared" si="1243"/>
        <v>-507.2</v>
      </c>
      <c r="BJ1074" s="2" t="s">
        <v>91</v>
      </c>
      <c r="BL1074" s="71">
        <v>-3730508</v>
      </c>
      <c r="BM1074" s="71">
        <v>-3730508</v>
      </c>
      <c r="BN1074" s="6"/>
      <c r="BO1074" s="71">
        <v>-5748030</v>
      </c>
      <c r="BP1074" s="71">
        <v>574899</v>
      </c>
      <c r="BR1074" s="22"/>
      <c r="BS1074" s="61">
        <f t="shared" si="1238"/>
        <v>0</v>
      </c>
      <c r="BT1074" s="61">
        <f t="shared" si="1238"/>
        <v>0</v>
      </c>
      <c r="BU1074" s="61">
        <f t="shared" si="1238"/>
        <v>0</v>
      </c>
      <c r="BV1074" s="61">
        <f t="shared" si="1238"/>
        <v>0</v>
      </c>
      <c r="BW1074" s="61">
        <f t="shared" si="1238"/>
        <v>0</v>
      </c>
      <c r="BX1074" s="61">
        <f t="shared" si="1238"/>
        <v>0</v>
      </c>
      <c r="BY1074" s="61" t="s">
        <v>91</v>
      </c>
      <c r="CA1074" s="61">
        <f t="shared" ref="CA1074:CH1105" si="1246">($Y1074*O1074-AT1074*$BD1074)/$C$2</f>
        <v>0</v>
      </c>
      <c r="CB1074" s="61">
        <f t="shared" si="1246"/>
        <v>0</v>
      </c>
      <c r="CC1074" s="61">
        <f t="shared" si="1246"/>
        <v>0</v>
      </c>
      <c r="CD1074" s="61">
        <f t="shared" si="1246"/>
        <v>0</v>
      </c>
      <c r="CE1074" s="61">
        <f t="shared" si="1246"/>
        <v>0</v>
      </c>
      <c r="CF1074" s="61">
        <f t="shared" si="1246"/>
        <v>0</v>
      </c>
      <c r="CG1074" s="61">
        <f t="shared" si="1246"/>
        <v>0</v>
      </c>
      <c r="CH1074" s="61">
        <f t="shared" si="1209"/>
        <v>0</v>
      </c>
      <c r="CI1074" s="61">
        <f t="shared" ref="CI1074:CI1137" si="1247">SUMPRODUCT(CA1074:CH1074,$O$6:$V$6)</f>
        <v>0</v>
      </c>
      <c r="CJ1074" s="61"/>
      <c r="CK1074" s="61">
        <f t="shared" si="1212"/>
        <v>0</v>
      </c>
      <c r="CL1074" s="61">
        <f t="shared" si="1212"/>
        <v>0</v>
      </c>
      <c r="CM1074" s="61">
        <f t="shared" si="1212"/>
        <v>0</v>
      </c>
      <c r="CN1074" s="61">
        <f t="shared" si="1212"/>
        <v>0</v>
      </c>
      <c r="CO1074" s="61">
        <f t="shared" si="1212"/>
        <v>0</v>
      </c>
      <c r="CP1074" s="61">
        <f t="shared" si="1212"/>
        <v>0</v>
      </c>
      <c r="CQ1074" s="61">
        <f t="shared" si="1212"/>
        <v>0</v>
      </c>
      <c r="CR1074" s="61">
        <f t="shared" si="1210"/>
        <v>0</v>
      </c>
      <c r="CS1074" s="61">
        <f t="shared" ref="CS1074:CS1137" si="1248">SUMPRODUCT(CK1074:CR1074,$O$6:$V$6)</f>
        <v>0</v>
      </c>
      <c r="CT1074" s="67">
        <f t="shared" si="1173"/>
        <v>0</v>
      </c>
      <c r="CV1074" s="61">
        <f t="shared" si="1244"/>
        <v>0</v>
      </c>
      <c r="CW1074" s="61">
        <f t="shared" si="1245"/>
        <v>0</v>
      </c>
      <c r="CX1074" s="61"/>
      <c r="CY1074" s="61">
        <f t="shared" si="1237"/>
        <v>5748030</v>
      </c>
      <c r="CZ1074" s="61">
        <f t="shared" si="1237"/>
        <v>-574899</v>
      </c>
      <c r="DA1074" s="61">
        <f t="shared" ref="DA1074" si="1249">SUM(AL1074)-SUM(BQ1074)</f>
        <v>0</v>
      </c>
      <c r="DB1074" s="2" t="s">
        <v>85</v>
      </c>
      <c r="DC1074" s="2" t="s">
        <v>85</v>
      </c>
      <c r="DD1074" s="2" t="s">
        <v>142</v>
      </c>
      <c r="DE1074" s="2" t="s">
        <v>257</v>
      </c>
      <c r="DF1074" s="3" t="s">
        <v>86</v>
      </c>
      <c r="DG1074" s="62">
        <v>42764</v>
      </c>
      <c r="EC1074" s="60"/>
      <c r="ED1074" s="60"/>
      <c r="EE1074" s="60"/>
      <c r="EF1074" s="60"/>
    </row>
    <row r="1075" spans="2:140" ht="12.75" hidden="1" customHeight="1">
      <c r="B1075" s="1" t="s">
        <v>1729</v>
      </c>
      <c r="C1075" s="2" t="s">
        <v>1721</v>
      </c>
      <c r="D1075" s="1" t="s">
        <v>1722</v>
      </c>
      <c r="E1075" s="2" t="s">
        <v>1661</v>
      </c>
      <c r="F1075" s="2" t="s">
        <v>969</v>
      </c>
      <c r="G1075" s="1" t="s">
        <v>331</v>
      </c>
      <c r="J1075" s="22" t="s">
        <v>81</v>
      </c>
      <c r="K1075" s="23" t="s">
        <v>1723</v>
      </c>
      <c r="L1075" s="22" t="s">
        <v>132</v>
      </c>
      <c r="M1075" s="51" t="str">
        <f t="shared" si="1179"/>
        <v>JD8T-10849-AB</v>
      </c>
      <c r="O1075" s="89">
        <v>1</v>
      </c>
      <c r="P1075" s="89">
        <v>1</v>
      </c>
      <c r="Q1075" s="89">
        <v>0</v>
      </c>
      <c r="R1075" s="89">
        <v>0</v>
      </c>
      <c r="S1075" s="89">
        <v>0</v>
      </c>
      <c r="T1075" s="89">
        <v>0</v>
      </c>
      <c r="U1075" s="89">
        <v>0</v>
      </c>
      <c r="V1075" s="89">
        <v>0</v>
      </c>
      <c r="W1075" s="64">
        <f t="shared" si="1199"/>
        <v>0.30000000000000004</v>
      </c>
      <c r="Y1075" s="63">
        <f>-479.14+2.23</f>
        <v>-476.90999999999997</v>
      </c>
      <c r="Z1075" s="63">
        <v>-15.23</v>
      </c>
      <c r="AA1075" s="63">
        <v>0</v>
      </c>
      <c r="AB1075" s="60">
        <v>0</v>
      </c>
      <c r="AC1075" s="63">
        <v>-10</v>
      </c>
      <c r="AD1075" s="8">
        <f t="shared" si="1240"/>
        <v>-502.14</v>
      </c>
      <c r="AE1075" s="2" t="s">
        <v>91</v>
      </c>
      <c r="AG1075" s="71">
        <v>0</v>
      </c>
      <c r="AH1075" s="71">
        <v>0</v>
      </c>
      <c r="AI1075" s="6"/>
      <c r="AJ1075" s="71">
        <v>-5883261</v>
      </c>
      <c r="AK1075" s="71">
        <v>574899</v>
      </c>
      <c r="AM1075" s="22"/>
      <c r="AO1075" s="22" t="s">
        <v>81</v>
      </c>
      <c r="AP1075" s="23" t="s">
        <v>1723</v>
      </c>
      <c r="AQ1075" s="22" t="s">
        <v>180</v>
      </c>
      <c r="AR1075" s="51" t="str">
        <f t="shared" si="1241"/>
        <v>JD8T-10849-AA</v>
      </c>
      <c r="AS1075" s="3"/>
      <c r="AT1075" s="89">
        <v>1</v>
      </c>
      <c r="AU1075" s="89">
        <v>1</v>
      </c>
      <c r="AV1075" s="89">
        <v>0</v>
      </c>
      <c r="AW1075" s="89">
        <v>0</v>
      </c>
      <c r="AX1075" s="89">
        <v>0</v>
      </c>
      <c r="AY1075" s="89">
        <v>0</v>
      </c>
      <c r="AZ1075" s="89">
        <v>0</v>
      </c>
      <c r="BA1075" s="89">
        <v>0</v>
      </c>
      <c r="BB1075" s="64">
        <f t="shared" si="1242"/>
        <v>0.30000000000000004</v>
      </c>
      <c r="BD1075" s="63">
        <f>-479.14+2.23</f>
        <v>-476.90999999999997</v>
      </c>
      <c r="BE1075" s="63">
        <v>-15.23</v>
      </c>
      <c r="BF1075" s="63">
        <v>0</v>
      </c>
      <c r="BG1075" s="60">
        <v>0</v>
      </c>
      <c r="BH1075" s="63">
        <v>-10</v>
      </c>
      <c r="BI1075" s="8">
        <f t="shared" si="1243"/>
        <v>-502.14</v>
      </c>
      <c r="BJ1075" s="2" t="s">
        <v>91</v>
      </c>
      <c r="BL1075" s="71">
        <v>0</v>
      </c>
      <c r="BM1075" s="71">
        <v>0</v>
      </c>
      <c r="BN1075" s="6"/>
      <c r="BO1075" s="71">
        <v>-5748030</v>
      </c>
      <c r="BP1075" s="71">
        <v>574899</v>
      </c>
      <c r="BR1075" s="22"/>
      <c r="BS1075" s="61">
        <f t="shared" si="1238"/>
        <v>0</v>
      </c>
      <c r="BT1075" s="61">
        <f t="shared" si="1238"/>
        <v>0</v>
      </c>
      <c r="BU1075" s="61">
        <f t="shared" si="1238"/>
        <v>0</v>
      </c>
      <c r="BV1075" s="61">
        <f t="shared" si="1238"/>
        <v>0</v>
      </c>
      <c r="BW1075" s="61">
        <f t="shared" si="1238"/>
        <v>0</v>
      </c>
      <c r="BX1075" s="61">
        <f t="shared" si="1238"/>
        <v>0</v>
      </c>
      <c r="BY1075" s="61" t="s">
        <v>91</v>
      </c>
      <c r="CA1075" s="61">
        <f t="shared" si="1246"/>
        <v>0</v>
      </c>
      <c r="CB1075" s="61">
        <f t="shared" si="1246"/>
        <v>0</v>
      </c>
      <c r="CC1075" s="61">
        <f t="shared" si="1246"/>
        <v>0</v>
      </c>
      <c r="CD1075" s="61">
        <f t="shared" si="1246"/>
        <v>0</v>
      </c>
      <c r="CE1075" s="61">
        <f t="shared" si="1246"/>
        <v>0</v>
      </c>
      <c r="CF1075" s="61">
        <f t="shared" si="1246"/>
        <v>0</v>
      </c>
      <c r="CG1075" s="61">
        <f t="shared" si="1246"/>
        <v>0</v>
      </c>
      <c r="CH1075" s="61">
        <f t="shared" si="1209"/>
        <v>0</v>
      </c>
      <c r="CI1075" s="61">
        <f t="shared" si="1247"/>
        <v>0</v>
      </c>
      <c r="CJ1075" s="61"/>
      <c r="CK1075" s="61">
        <f t="shared" si="1212"/>
        <v>0</v>
      </c>
      <c r="CL1075" s="61">
        <f t="shared" si="1212"/>
        <v>0</v>
      </c>
      <c r="CM1075" s="61">
        <f t="shared" si="1212"/>
        <v>0</v>
      </c>
      <c r="CN1075" s="61">
        <f t="shared" si="1212"/>
        <v>0</v>
      </c>
      <c r="CO1075" s="61">
        <f t="shared" si="1212"/>
        <v>0</v>
      </c>
      <c r="CP1075" s="61">
        <f t="shared" si="1212"/>
        <v>0</v>
      </c>
      <c r="CQ1075" s="61">
        <f t="shared" si="1212"/>
        <v>0</v>
      </c>
      <c r="CR1075" s="61">
        <f t="shared" si="1210"/>
        <v>0</v>
      </c>
      <c r="CS1075" s="61">
        <f t="shared" si="1248"/>
        <v>0</v>
      </c>
      <c r="CT1075" s="67">
        <f t="shared" si="1173"/>
        <v>0</v>
      </c>
      <c r="CV1075" s="61">
        <f t="shared" ref="CV1075:CV1076" si="1250">SUM(AG1075)-SUM(BL1075)</f>
        <v>0</v>
      </c>
      <c r="CW1075" s="61">
        <f t="shared" si="1245"/>
        <v>0</v>
      </c>
      <c r="CX1075" s="61"/>
      <c r="CY1075" s="61">
        <f t="shared" si="1237"/>
        <v>-135231</v>
      </c>
      <c r="CZ1075" s="61">
        <f t="shared" si="1237"/>
        <v>0</v>
      </c>
      <c r="DA1075" s="61">
        <f t="shared" si="1237"/>
        <v>0</v>
      </c>
      <c r="DB1075" s="2" t="s">
        <v>134</v>
      </c>
      <c r="DC1075" s="2" t="s">
        <v>85</v>
      </c>
      <c r="DD1075" s="2" t="s">
        <v>142</v>
      </c>
      <c r="DE1075" s="2" t="s">
        <v>257</v>
      </c>
      <c r="DF1075" s="3" t="s">
        <v>86</v>
      </c>
      <c r="DG1075" s="62">
        <v>43129</v>
      </c>
      <c r="EC1075" s="60"/>
      <c r="ED1075" s="60"/>
      <c r="EE1075" s="60"/>
      <c r="EF1075" s="60"/>
      <c r="EH1075" s="60"/>
      <c r="EI1075" s="60"/>
      <c r="EJ1075" s="60"/>
    </row>
    <row r="1076" spans="2:140" ht="12.75" hidden="1" customHeight="1">
      <c r="B1076" s="1" t="s">
        <v>1729</v>
      </c>
      <c r="C1076" s="2" t="s">
        <v>1721</v>
      </c>
      <c r="D1076" s="1" t="s">
        <v>1722</v>
      </c>
      <c r="E1076" s="2" t="s">
        <v>1661</v>
      </c>
      <c r="F1076" s="2" t="s">
        <v>969</v>
      </c>
      <c r="G1076" s="1" t="s">
        <v>331</v>
      </c>
      <c r="J1076" s="22" t="s">
        <v>81</v>
      </c>
      <c r="K1076" s="23" t="s">
        <v>1723</v>
      </c>
      <c r="L1076" s="22" t="s">
        <v>120</v>
      </c>
      <c r="M1076" s="51" t="str">
        <f t="shared" si="1179"/>
        <v>JD8T-10849-BB</v>
      </c>
      <c r="O1076" s="89">
        <v>0</v>
      </c>
      <c r="P1076" s="89">
        <v>0</v>
      </c>
      <c r="Q1076" s="89">
        <v>1</v>
      </c>
      <c r="R1076" s="89">
        <v>1</v>
      </c>
      <c r="S1076" s="89">
        <v>1</v>
      </c>
      <c r="T1076" s="89">
        <v>1</v>
      </c>
      <c r="U1076" s="89">
        <v>1</v>
      </c>
      <c r="V1076" s="89">
        <v>1</v>
      </c>
      <c r="W1076" s="64">
        <f t="shared" si="1199"/>
        <v>0.70000000000000007</v>
      </c>
      <c r="Y1076" s="63">
        <f>-485.95+3.98</f>
        <v>-481.96999999999997</v>
      </c>
      <c r="Z1076" s="63">
        <v>-15.23</v>
      </c>
      <c r="AA1076" s="63">
        <v>0</v>
      </c>
      <c r="AB1076" s="60">
        <v>0</v>
      </c>
      <c r="AC1076" s="63">
        <v>-10</v>
      </c>
      <c r="AD1076" s="8">
        <f t="shared" si="1240"/>
        <v>-507.2</v>
      </c>
      <c r="AE1076" s="2" t="s">
        <v>91</v>
      </c>
      <c r="AG1076" s="71">
        <v>-3730508</v>
      </c>
      <c r="AH1076" s="71">
        <v>-3730508</v>
      </c>
      <c r="AI1076" s="6"/>
      <c r="AM1076" s="22"/>
      <c r="AO1076" s="22" t="s">
        <v>81</v>
      </c>
      <c r="AP1076" s="23" t="s">
        <v>1723</v>
      </c>
      <c r="AQ1076" s="22" t="s">
        <v>182</v>
      </c>
      <c r="AR1076" s="51" t="str">
        <f t="shared" si="1241"/>
        <v>JD8T-10849-BA</v>
      </c>
      <c r="AS1076" s="3"/>
      <c r="AT1076" s="89">
        <v>0</v>
      </c>
      <c r="AU1076" s="89">
        <v>0</v>
      </c>
      <c r="AV1076" s="89">
        <v>1</v>
      </c>
      <c r="AW1076" s="89">
        <v>1</v>
      </c>
      <c r="AX1076" s="89">
        <v>1</v>
      </c>
      <c r="AY1076" s="89">
        <v>1</v>
      </c>
      <c r="AZ1076" s="89">
        <v>1</v>
      </c>
      <c r="BA1076" s="89">
        <v>1</v>
      </c>
      <c r="BB1076" s="64">
        <f t="shared" si="1242"/>
        <v>0.70000000000000007</v>
      </c>
      <c r="BD1076" s="63">
        <f>-485.95+3.98</f>
        <v>-481.96999999999997</v>
      </c>
      <c r="BE1076" s="63">
        <v>-15.23</v>
      </c>
      <c r="BF1076" s="63">
        <v>0</v>
      </c>
      <c r="BG1076" s="60">
        <v>0</v>
      </c>
      <c r="BH1076" s="63">
        <v>-10</v>
      </c>
      <c r="BI1076" s="8">
        <f t="shared" si="1243"/>
        <v>-507.2</v>
      </c>
      <c r="BJ1076" s="2" t="s">
        <v>91</v>
      </c>
      <c r="BL1076" s="71">
        <v>-3730508</v>
      </c>
      <c r="BM1076" s="71">
        <v>-3730508</v>
      </c>
      <c r="BN1076" s="6"/>
      <c r="BR1076" s="22"/>
      <c r="BS1076" s="61">
        <f t="shared" si="1238"/>
        <v>0</v>
      </c>
      <c r="BT1076" s="61">
        <f t="shared" si="1238"/>
        <v>0</v>
      </c>
      <c r="BU1076" s="61">
        <f t="shared" si="1238"/>
        <v>0</v>
      </c>
      <c r="BV1076" s="61">
        <f t="shared" si="1238"/>
        <v>0</v>
      </c>
      <c r="BW1076" s="61">
        <f t="shared" si="1238"/>
        <v>0</v>
      </c>
      <c r="BX1076" s="61">
        <f t="shared" si="1238"/>
        <v>0</v>
      </c>
      <c r="BY1076" s="61" t="s">
        <v>91</v>
      </c>
      <c r="CA1076" s="61">
        <f t="shared" si="1246"/>
        <v>0</v>
      </c>
      <c r="CB1076" s="61">
        <f t="shared" si="1246"/>
        <v>0</v>
      </c>
      <c r="CC1076" s="61">
        <f t="shared" si="1246"/>
        <v>0</v>
      </c>
      <c r="CD1076" s="61">
        <f t="shared" si="1246"/>
        <v>0</v>
      </c>
      <c r="CE1076" s="61">
        <f t="shared" si="1246"/>
        <v>0</v>
      </c>
      <c r="CF1076" s="61">
        <f t="shared" si="1246"/>
        <v>0</v>
      </c>
      <c r="CG1076" s="61">
        <f t="shared" si="1246"/>
        <v>0</v>
      </c>
      <c r="CH1076" s="61">
        <f t="shared" si="1209"/>
        <v>0</v>
      </c>
      <c r="CI1076" s="61">
        <f t="shared" si="1247"/>
        <v>0</v>
      </c>
      <c r="CJ1076" s="61"/>
      <c r="CK1076" s="61">
        <f t="shared" si="1212"/>
        <v>0</v>
      </c>
      <c r="CL1076" s="61">
        <f t="shared" si="1212"/>
        <v>0</v>
      </c>
      <c r="CM1076" s="61">
        <f t="shared" si="1212"/>
        <v>0</v>
      </c>
      <c r="CN1076" s="61">
        <f t="shared" si="1212"/>
        <v>0</v>
      </c>
      <c r="CO1076" s="61">
        <f t="shared" si="1212"/>
        <v>0</v>
      </c>
      <c r="CP1076" s="61">
        <f t="shared" si="1212"/>
        <v>0</v>
      </c>
      <c r="CQ1076" s="61">
        <f t="shared" si="1212"/>
        <v>0</v>
      </c>
      <c r="CR1076" s="61">
        <f t="shared" si="1210"/>
        <v>0</v>
      </c>
      <c r="CS1076" s="61">
        <f t="shared" si="1248"/>
        <v>0</v>
      </c>
      <c r="CT1076" s="67">
        <f t="shared" si="1173"/>
        <v>0</v>
      </c>
      <c r="CV1076" s="61">
        <f t="shared" si="1250"/>
        <v>0</v>
      </c>
      <c r="CW1076" s="61">
        <f t="shared" si="1245"/>
        <v>0</v>
      </c>
      <c r="CX1076" s="61"/>
      <c r="CY1076" s="61">
        <f t="shared" si="1237"/>
        <v>0</v>
      </c>
      <c r="CZ1076" s="61">
        <f t="shared" si="1237"/>
        <v>0</v>
      </c>
      <c r="DA1076" s="61">
        <f t="shared" ref="DA1076" si="1251">SUM(AL1076)-SUM(BQ1076)</f>
        <v>0</v>
      </c>
      <c r="DB1076" s="2" t="s">
        <v>134</v>
      </c>
      <c r="DC1076" s="2" t="s">
        <v>85</v>
      </c>
      <c r="DD1076" s="2" t="s">
        <v>142</v>
      </c>
      <c r="DE1076" s="2" t="s">
        <v>257</v>
      </c>
      <c r="DF1076" s="3" t="s">
        <v>86</v>
      </c>
      <c r="DG1076" s="62">
        <v>43129</v>
      </c>
      <c r="EC1076" s="60"/>
      <c r="ED1076" s="60"/>
      <c r="EE1076" s="60"/>
      <c r="EF1076" s="60"/>
      <c r="EH1076" s="60"/>
      <c r="EI1076" s="60"/>
      <c r="EJ1076" s="60"/>
    </row>
    <row r="1077" spans="2:140" ht="12.75" hidden="1" customHeight="1">
      <c r="B1077" s="1" t="s">
        <v>1730</v>
      </c>
      <c r="C1077" s="2" t="s">
        <v>1721</v>
      </c>
      <c r="D1077" s="1" t="s">
        <v>1722</v>
      </c>
      <c r="E1077" s="2" t="s">
        <v>1661</v>
      </c>
      <c r="F1077" s="2" t="s">
        <v>969</v>
      </c>
      <c r="G1077" s="1" t="s">
        <v>331</v>
      </c>
      <c r="J1077" s="22" t="s">
        <v>81</v>
      </c>
      <c r="K1077" s="23" t="s">
        <v>1723</v>
      </c>
      <c r="L1077" s="22" t="s">
        <v>234</v>
      </c>
      <c r="M1077" s="51" t="str">
        <f t="shared" si="1179"/>
        <v>JD8T-10849-AC</v>
      </c>
      <c r="O1077" s="89">
        <v>1</v>
      </c>
      <c r="P1077" s="89">
        <v>1</v>
      </c>
      <c r="Q1077" s="89">
        <v>0</v>
      </c>
      <c r="R1077" s="89">
        <v>0</v>
      </c>
      <c r="S1077" s="89">
        <v>0</v>
      </c>
      <c r="T1077" s="89">
        <v>0</v>
      </c>
      <c r="U1077" s="89">
        <v>0</v>
      </c>
      <c r="V1077" s="89">
        <v>0</v>
      </c>
      <c r="W1077" s="64">
        <f t="shared" si="1199"/>
        <v>0.30000000000000004</v>
      </c>
      <c r="Y1077" s="63">
        <f>-479.14+2.23-2.65</f>
        <v>-479.55999999999995</v>
      </c>
      <c r="Z1077" s="63">
        <v>-15.23</v>
      </c>
      <c r="AA1077" s="63">
        <v>0</v>
      </c>
      <c r="AB1077" s="60">
        <v>0</v>
      </c>
      <c r="AC1077" s="63">
        <f>AJ1075/AK1077</f>
        <v>-10.233555807193959</v>
      </c>
      <c r="AD1077" s="8">
        <f t="shared" si="1240"/>
        <v>-505.02355580719393</v>
      </c>
      <c r="AE1077" s="2" t="s">
        <v>91</v>
      </c>
      <c r="AG1077" s="71">
        <v>0</v>
      </c>
      <c r="AH1077" s="71">
        <v>0</v>
      </c>
      <c r="AI1077" s="6"/>
      <c r="AJ1077" s="71">
        <f>-5883261-758050</f>
        <v>-6641311</v>
      </c>
      <c r="AK1077" s="71">
        <v>574899</v>
      </c>
      <c r="AM1077" s="22"/>
      <c r="AO1077" s="22" t="s">
        <v>81</v>
      </c>
      <c r="AP1077" s="23" t="s">
        <v>1723</v>
      </c>
      <c r="AQ1077" s="22" t="s">
        <v>132</v>
      </c>
      <c r="AR1077" s="51" t="str">
        <f t="shared" si="1241"/>
        <v>JD8T-10849-AB</v>
      </c>
      <c r="AS1077" s="3"/>
      <c r="AT1077" s="89">
        <v>1</v>
      </c>
      <c r="AU1077" s="89">
        <v>1</v>
      </c>
      <c r="AV1077" s="89">
        <v>0</v>
      </c>
      <c r="AW1077" s="89">
        <v>0</v>
      </c>
      <c r="AX1077" s="89">
        <v>0</v>
      </c>
      <c r="AY1077" s="89">
        <v>0</v>
      </c>
      <c r="AZ1077" s="89">
        <v>0</v>
      </c>
      <c r="BA1077" s="89">
        <v>0</v>
      </c>
      <c r="BB1077" s="64">
        <f t="shared" si="1242"/>
        <v>0.30000000000000004</v>
      </c>
      <c r="BD1077" s="63">
        <f>-479.14+2.23</f>
        <v>-476.90999999999997</v>
      </c>
      <c r="BE1077" s="63">
        <v>-15.23</v>
      </c>
      <c r="BF1077" s="63">
        <v>0</v>
      </c>
      <c r="BG1077" s="60">
        <v>0</v>
      </c>
      <c r="BH1077" s="63">
        <f>BO1077/BP1077</f>
        <v>-10.233555807193959</v>
      </c>
      <c r="BI1077" s="8">
        <f t="shared" si="1243"/>
        <v>-502.37355580719395</v>
      </c>
      <c r="BJ1077" s="2" t="s">
        <v>91</v>
      </c>
      <c r="BL1077" s="71">
        <v>0</v>
      </c>
      <c r="BM1077" s="71">
        <v>0</v>
      </c>
      <c r="BN1077" s="6"/>
      <c r="BO1077" s="71">
        <v>-5883261</v>
      </c>
      <c r="BP1077" s="71">
        <v>574899</v>
      </c>
      <c r="BR1077" s="22"/>
      <c r="BS1077" s="61">
        <f t="shared" si="1238"/>
        <v>-2.6499999999999773</v>
      </c>
      <c r="BT1077" s="61">
        <f t="shared" si="1238"/>
        <v>0</v>
      </c>
      <c r="BU1077" s="61">
        <f t="shared" si="1238"/>
        <v>0</v>
      </c>
      <c r="BV1077" s="61">
        <f t="shared" si="1238"/>
        <v>0</v>
      </c>
      <c r="BW1077" s="61">
        <f t="shared" si="1238"/>
        <v>0</v>
      </c>
      <c r="BX1077" s="61">
        <f t="shared" si="1238"/>
        <v>-2.6499999999999773</v>
      </c>
      <c r="BY1077" s="61" t="s">
        <v>91</v>
      </c>
      <c r="CA1077" s="61">
        <f t="shared" si="1246"/>
        <v>-0.39867609447870878</v>
      </c>
      <c r="CB1077" s="61">
        <f t="shared" si="1246"/>
        <v>-0.39867609447870878</v>
      </c>
      <c r="CC1077" s="61">
        <f t="shared" si="1246"/>
        <v>0</v>
      </c>
      <c r="CD1077" s="61">
        <f t="shared" si="1246"/>
        <v>0</v>
      </c>
      <c r="CE1077" s="61">
        <f t="shared" si="1246"/>
        <v>0</v>
      </c>
      <c r="CF1077" s="61">
        <f t="shared" si="1246"/>
        <v>0</v>
      </c>
      <c r="CG1077" s="61">
        <f t="shared" si="1246"/>
        <v>0</v>
      </c>
      <c r="CH1077" s="61">
        <f t="shared" si="1209"/>
        <v>0</v>
      </c>
      <c r="CI1077" s="61">
        <f t="shared" si="1247"/>
        <v>-0.11960282834361263</v>
      </c>
      <c r="CJ1077" s="61"/>
      <c r="CK1077" s="61">
        <f t="shared" si="1212"/>
        <v>-0.39867609447870878</v>
      </c>
      <c r="CL1077" s="61">
        <f t="shared" si="1212"/>
        <v>-0.39867609447870878</v>
      </c>
      <c r="CM1077" s="61">
        <f t="shared" si="1212"/>
        <v>0</v>
      </c>
      <c r="CN1077" s="61">
        <f t="shared" si="1212"/>
        <v>0</v>
      </c>
      <c r="CO1077" s="61">
        <f t="shared" si="1212"/>
        <v>0</v>
      </c>
      <c r="CP1077" s="61">
        <f t="shared" si="1212"/>
        <v>0</v>
      </c>
      <c r="CQ1077" s="61">
        <f t="shared" si="1212"/>
        <v>0</v>
      </c>
      <c r="CR1077" s="61">
        <f t="shared" si="1210"/>
        <v>0</v>
      </c>
      <c r="CS1077" s="61">
        <f t="shared" si="1248"/>
        <v>-0.11960282834361263</v>
      </c>
      <c r="CT1077" s="101">
        <f t="shared" ref="CT1077:CT1140" si="1252">CS1077*$C$2</f>
        <v>-0.79499999999999316</v>
      </c>
      <c r="CV1077" s="61">
        <f t="shared" ref="CV1077:CV1078" si="1253">SUM(AG1077)-SUM(BL1077)</f>
        <v>0</v>
      </c>
      <c r="CW1077" s="61">
        <f t="shared" ref="CW1077:CW1078" si="1254">SUM(AH1077)-SUM(BM1077)</f>
        <v>0</v>
      </c>
      <c r="CX1077" s="61"/>
      <c r="CY1077" s="61">
        <f t="shared" si="1237"/>
        <v>-758050</v>
      </c>
      <c r="CZ1077" s="61">
        <f t="shared" si="1237"/>
        <v>0</v>
      </c>
      <c r="DA1077" s="61">
        <f t="shared" si="1237"/>
        <v>0</v>
      </c>
      <c r="DB1077" s="2" t="s">
        <v>86</v>
      </c>
      <c r="DC1077" s="2" t="s">
        <v>85</v>
      </c>
      <c r="DD1077" s="2" t="s">
        <v>142</v>
      </c>
      <c r="DE1077" s="2" t="s">
        <v>257</v>
      </c>
      <c r="DF1077" s="3" t="s">
        <v>86</v>
      </c>
      <c r="DG1077" s="62">
        <v>43129</v>
      </c>
      <c r="EC1077" s="60" t="str">
        <f>VLOOKUP($M1077,[1]Detail!$M:$BO,1,0)</f>
        <v>JD8T-10849-AC</v>
      </c>
      <c r="ED1077" s="60">
        <f>VLOOKUP($M1077,[1]Detail!$M:$BO,22,0)</f>
        <v>-505.02355580719393</v>
      </c>
      <c r="EE1077" s="60">
        <f>VLOOKUP($M1077,[1]Detail!$M:$BO,42,0)</f>
        <v>0</v>
      </c>
      <c r="EF1077" s="60">
        <f>VLOOKUP($M1077,[1]Detail!$M:$BO,45,0)</f>
        <v>-6641311</v>
      </c>
      <c r="EH1077" s="60">
        <f t="shared" ref="EH1077:EH1080" si="1255">ED1077-AD1077</f>
        <v>0</v>
      </c>
      <c r="EI1077" s="60">
        <f t="shared" ref="EI1077:EI1080" si="1256">EE1077-AG1077</f>
        <v>0</v>
      </c>
      <c r="EJ1077" s="60">
        <f t="shared" ref="EJ1077:EJ1080" si="1257">EF1077-AJ1077</f>
        <v>0</v>
      </c>
    </row>
    <row r="1078" spans="2:140" ht="12.75" hidden="1" customHeight="1">
      <c r="B1078" s="1" t="s">
        <v>1730</v>
      </c>
      <c r="C1078" s="2" t="s">
        <v>1721</v>
      </c>
      <c r="D1078" s="1" t="s">
        <v>1722</v>
      </c>
      <c r="E1078" s="2" t="s">
        <v>1661</v>
      </c>
      <c r="F1078" s="2" t="s">
        <v>969</v>
      </c>
      <c r="G1078" s="1" t="s">
        <v>331</v>
      </c>
      <c r="J1078" s="22" t="s">
        <v>81</v>
      </c>
      <c r="K1078" s="23" t="s">
        <v>1723</v>
      </c>
      <c r="L1078" s="22" t="s">
        <v>599</v>
      </c>
      <c r="M1078" s="51" t="str">
        <f t="shared" si="1179"/>
        <v>JD8T-10849-BC</v>
      </c>
      <c r="O1078" s="89">
        <v>0</v>
      </c>
      <c r="P1078" s="89">
        <v>0</v>
      </c>
      <c r="Q1078" s="89">
        <v>1</v>
      </c>
      <c r="R1078" s="89">
        <v>1</v>
      </c>
      <c r="S1078" s="89">
        <v>1</v>
      </c>
      <c r="T1078" s="89">
        <v>1</v>
      </c>
      <c r="U1078" s="89">
        <v>1</v>
      </c>
      <c r="V1078" s="89">
        <v>1</v>
      </c>
      <c r="W1078" s="64">
        <f t="shared" si="1199"/>
        <v>0.70000000000000007</v>
      </c>
      <c r="Y1078" s="63">
        <f>-485.95+3.98-2.65</f>
        <v>-484.61999999999995</v>
      </c>
      <c r="Z1078" s="63">
        <v>-15.23</v>
      </c>
      <c r="AA1078" s="63">
        <v>0</v>
      </c>
      <c r="AB1078" s="60">
        <v>0</v>
      </c>
      <c r="AC1078" s="63">
        <f>AJ1075/AK1077</f>
        <v>-10.233555807193959</v>
      </c>
      <c r="AD1078" s="8">
        <f t="shared" si="1240"/>
        <v>-510.08355580719393</v>
      </c>
      <c r="AE1078" s="2" t="s">
        <v>91</v>
      </c>
      <c r="AG1078" s="71">
        <f>-3730508-25000</f>
        <v>-3755508</v>
      </c>
      <c r="AH1078" s="71">
        <f>-3730508-25000</f>
        <v>-3755508</v>
      </c>
      <c r="AI1078" s="6"/>
      <c r="AJ1078" s="71"/>
      <c r="AM1078" s="22"/>
      <c r="AO1078" s="22" t="s">
        <v>81</v>
      </c>
      <c r="AP1078" s="23" t="s">
        <v>1723</v>
      </c>
      <c r="AQ1078" s="22" t="s">
        <v>120</v>
      </c>
      <c r="AR1078" s="51" t="str">
        <f t="shared" si="1241"/>
        <v>JD8T-10849-BB</v>
      </c>
      <c r="AS1078" s="3"/>
      <c r="AT1078" s="89">
        <v>0</v>
      </c>
      <c r="AU1078" s="89">
        <v>0</v>
      </c>
      <c r="AV1078" s="89">
        <v>1</v>
      </c>
      <c r="AW1078" s="89">
        <v>1</v>
      </c>
      <c r="AX1078" s="89">
        <v>1</v>
      </c>
      <c r="AY1078" s="89">
        <v>1</v>
      </c>
      <c r="AZ1078" s="89">
        <v>1</v>
      </c>
      <c r="BA1078" s="89">
        <v>1</v>
      </c>
      <c r="BB1078" s="64">
        <f t="shared" si="1242"/>
        <v>0.70000000000000007</v>
      </c>
      <c r="BD1078" s="63">
        <f>-485.95+3.98</f>
        <v>-481.96999999999997</v>
      </c>
      <c r="BE1078" s="63">
        <v>-15.23</v>
      </c>
      <c r="BF1078" s="63">
        <v>0</v>
      </c>
      <c r="BG1078" s="60">
        <v>0</v>
      </c>
      <c r="BH1078" s="63">
        <f>BO1077/BP1077</f>
        <v>-10.233555807193959</v>
      </c>
      <c r="BI1078" s="8">
        <f t="shared" si="1243"/>
        <v>-507.43355580719395</v>
      </c>
      <c r="BJ1078" s="2" t="s">
        <v>91</v>
      </c>
      <c r="BL1078" s="71">
        <v>-3730508</v>
      </c>
      <c r="BM1078" s="71">
        <v>-3730508</v>
      </c>
      <c r="BN1078" s="6"/>
      <c r="BR1078" s="22"/>
      <c r="BS1078" s="61">
        <f t="shared" si="1238"/>
        <v>-2.6499999999999773</v>
      </c>
      <c r="BT1078" s="61">
        <f t="shared" si="1238"/>
        <v>0</v>
      </c>
      <c r="BU1078" s="61">
        <f t="shared" si="1238"/>
        <v>0</v>
      </c>
      <c r="BV1078" s="61">
        <f t="shared" si="1238"/>
        <v>0</v>
      </c>
      <c r="BW1078" s="61">
        <f t="shared" si="1238"/>
        <v>0</v>
      </c>
      <c r="BX1078" s="61">
        <f t="shared" si="1238"/>
        <v>-2.6499999999999773</v>
      </c>
      <c r="BY1078" s="61" t="s">
        <v>91</v>
      </c>
      <c r="CA1078" s="61">
        <f t="shared" si="1246"/>
        <v>0</v>
      </c>
      <c r="CB1078" s="61">
        <f t="shared" si="1246"/>
        <v>0</v>
      </c>
      <c r="CC1078" s="61">
        <f t="shared" si="1246"/>
        <v>-0.39867609447870878</v>
      </c>
      <c r="CD1078" s="61">
        <f t="shared" si="1246"/>
        <v>-0.39867609447870878</v>
      </c>
      <c r="CE1078" s="61">
        <f t="shared" si="1246"/>
        <v>-0.39867609447870878</v>
      </c>
      <c r="CF1078" s="61">
        <f t="shared" si="1246"/>
        <v>-0.39867609447870878</v>
      </c>
      <c r="CG1078" s="61">
        <f t="shared" si="1246"/>
        <v>-0.39867609447870878</v>
      </c>
      <c r="CH1078" s="61">
        <f t="shared" si="1209"/>
        <v>-0.39867609447870878</v>
      </c>
      <c r="CI1078" s="61">
        <f t="shared" si="1247"/>
        <v>-0.2790732661350962</v>
      </c>
      <c r="CJ1078" s="61"/>
      <c r="CK1078" s="61">
        <f t="shared" si="1212"/>
        <v>0</v>
      </c>
      <c r="CL1078" s="61">
        <f t="shared" si="1212"/>
        <v>0</v>
      </c>
      <c r="CM1078" s="61">
        <f t="shared" si="1212"/>
        <v>-0.39867609447870878</v>
      </c>
      <c r="CN1078" s="61">
        <f t="shared" ref="CN1078:CR1141" si="1258">(R1078*$AD1078-AW1078*$BI1078)/$C$2</f>
        <v>-0.39867609447870878</v>
      </c>
      <c r="CO1078" s="61">
        <f t="shared" si="1258"/>
        <v>-0.39867609447870878</v>
      </c>
      <c r="CP1078" s="61">
        <f t="shared" si="1258"/>
        <v>-0.39867609447870878</v>
      </c>
      <c r="CQ1078" s="61">
        <f t="shared" si="1258"/>
        <v>-0.39867609447870878</v>
      </c>
      <c r="CR1078" s="61">
        <f t="shared" si="1210"/>
        <v>-0.39867609447870878</v>
      </c>
      <c r="CS1078" s="61">
        <f t="shared" si="1248"/>
        <v>-0.2790732661350962</v>
      </c>
      <c r="CT1078" s="244">
        <f t="shared" si="1252"/>
        <v>-1.8549999999999844</v>
      </c>
      <c r="CV1078" s="61">
        <f t="shared" si="1253"/>
        <v>-25000</v>
      </c>
      <c r="CW1078" s="61">
        <f t="shared" si="1254"/>
        <v>-25000</v>
      </c>
      <c r="CX1078" s="61"/>
      <c r="CY1078" s="61">
        <f>SUM(AJ1075)-SUM(BO1077)</f>
        <v>0</v>
      </c>
      <c r="CZ1078" s="61">
        <f>SUM(AK1077)-SUM(BP1077)</f>
        <v>0</v>
      </c>
      <c r="DA1078" s="61">
        <f t="shared" ref="DA1078" si="1259">SUM(AL1078)-SUM(BQ1078)</f>
        <v>0</v>
      </c>
      <c r="DB1078" s="2" t="s">
        <v>86</v>
      </c>
      <c r="DC1078" s="2" t="s">
        <v>85</v>
      </c>
      <c r="DD1078" s="2" t="s">
        <v>142</v>
      </c>
      <c r="DE1078" s="2" t="s">
        <v>257</v>
      </c>
      <c r="DF1078" s="3" t="s">
        <v>86</v>
      </c>
      <c r="DG1078" s="62">
        <v>43129</v>
      </c>
      <c r="EC1078" s="60" t="str">
        <f>VLOOKUP($M1078,[1]Detail!$M:$BO,1,0)</f>
        <v>JD8T-10849-BC</v>
      </c>
      <c r="ED1078" s="60">
        <f>VLOOKUP($M1078,[1]Detail!$M:$BO,22,0)</f>
        <v>-510.08355580719393</v>
      </c>
      <c r="EE1078" s="60">
        <f>VLOOKUP($M1078,[1]Detail!$M:$BO,42,0)</f>
        <v>-3755508</v>
      </c>
      <c r="EF1078" s="60" t="str">
        <f>VLOOKUP($M1078,[1]Detail!$M:$BO,45,0)</f>
        <v>incl. in above</v>
      </c>
      <c r="EH1078" s="60">
        <f t="shared" si="1255"/>
        <v>0</v>
      </c>
      <c r="EI1078" s="60">
        <f t="shared" si="1256"/>
        <v>0</v>
      </c>
      <c r="EJ1078" s="60">
        <f>SUM(EF1078)-SUM(AJ1078)</f>
        <v>0</v>
      </c>
    </row>
    <row r="1079" spans="2:140" ht="12.75" hidden="1" customHeight="1">
      <c r="B1079" s="1" t="s">
        <v>1731</v>
      </c>
      <c r="C1079" s="2" t="s">
        <v>1732</v>
      </c>
      <c r="D1079" s="1" t="s">
        <v>1733</v>
      </c>
      <c r="E1079" s="2" t="s">
        <v>1661</v>
      </c>
      <c r="F1079" s="2" t="s">
        <v>969</v>
      </c>
      <c r="G1079" s="1" t="s">
        <v>1262</v>
      </c>
      <c r="J1079" s="22" t="s">
        <v>1634</v>
      </c>
      <c r="K1079" s="23" t="s">
        <v>1734</v>
      </c>
      <c r="L1079" s="22" t="s">
        <v>219</v>
      </c>
      <c r="M1079" s="51" t="str">
        <f t="shared" si="1179"/>
        <v>ED8T -15K859-ACW</v>
      </c>
      <c r="O1079" s="89">
        <v>3</v>
      </c>
      <c r="P1079" s="89">
        <v>3</v>
      </c>
      <c r="Q1079" s="89">
        <v>3</v>
      </c>
      <c r="R1079" s="89">
        <v>3</v>
      </c>
      <c r="S1079" s="89">
        <v>3</v>
      </c>
      <c r="T1079" s="89">
        <v>3</v>
      </c>
      <c r="U1079" s="89">
        <v>3</v>
      </c>
      <c r="V1079" s="89">
        <v>3</v>
      </c>
      <c r="W1079" s="64">
        <f t="shared" si="1199"/>
        <v>3</v>
      </c>
      <c r="Y1079" s="63">
        <v>-33.200000000000003</v>
      </c>
      <c r="Z1079" s="63">
        <v>-0.11</v>
      </c>
      <c r="AA1079" s="63">
        <v>-0.26</v>
      </c>
      <c r="AB1079" s="60">
        <v>0</v>
      </c>
      <c r="AC1079" s="63">
        <v>0</v>
      </c>
      <c r="AD1079" s="8">
        <f t="shared" si="1188"/>
        <v>-33.57</v>
      </c>
      <c r="AE1079" s="2" t="s">
        <v>91</v>
      </c>
      <c r="AG1079" s="71">
        <v>0</v>
      </c>
      <c r="AH1079" s="71">
        <v>0</v>
      </c>
      <c r="AJ1079" s="71">
        <v>0</v>
      </c>
      <c r="AK1079" s="71">
        <v>0</v>
      </c>
      <c r="AM1079" s="22"/>
      <c r="AO1079" s="23" t="s">
        <v>1735</v>
      </c>
      <c r="AP1079" s="23" t="s">
        <v>1734</v>
      </c>
      <c r="AQ1079" s="23" t="s">
        <v>565</v>
      </c>
      <c r="AR1079" s="51" t="str">
        <f>TRIM(AO1079)&amp;"-"&amp;TRIM(AP1079)&amp;"-"&amp;TRIM(AQ1079)</f>
        <v>ED8T -15K859-ACW</v>
      </c>
      <c r="AT1079" s="56">
        <v>3</v>
      </c>
      <c r="AU1079" s="56">
        <v>3</v>
      </c>
      <c r="AV1079" s="56">
        <v>3</v>
      </c>
      <c r="AW1079" s="56">
        <v>3</v>
      </c>
      <c r="AX1079" s="56">
        <v>3</v>
      </c>
      <c r="AY1079" s="56">
        <v>3</v>
      </c>
      <c r="AZ1079" s="56">
        <v>3</v>
      </c>
      <c r="BA1079" s="56">
        <v>3</v>
      </c>
      <c r="BB1079" s="64">
        <f t="shared" si="1242"/>
        <v>3</v>
      </c>
      <c r="BD1079" s="60">
        <f>-33.2-3.73</f>
        <v>-36.93</v>
      </c>
      <c r="BE1079" s="60">
        <v>-0.11</v>
      </c>
      <c r="BF1079" s="60">
        <v>-0.26</v>
      </c>
      <c r="BG1079" s="60">
        <v>0</v>
      </c>
      <c r="BH1079" s="71">
        <v>0</v>
      </c>
      <c r="BI1079" s="8">
        <f>SUM(BD1079:BH1079)</f>
        <v>-37.299999999999997</v>
      </c>
      <c r="BJ1079" s="2" t="s">
        <v>91</v>
      </c>
      <c r="BL1079" s="2">
        <v>0</v>
      </c>
      <c r="BM1079" s="2">
        <v>0</v>
      </c>
      <c r="BO1079" s="71">
        <v>0</v>
      </c>
      <c r="BP1079" s="71">
        <v>0</v>
      </c>
      <c r="BQ1079" s="61"/>
      <c r="BS1079" s="61">
        <f t="shared" si="1238"/>
        <v>3.7299999999999969</v>
      </c>
      <c r="BT1079" s="61">
        <f t="shared" si="1238"/>
        <v>0</v>
      </c>
      <c r="BU1079" s="61">
        <f t="shared" si="1238"/>
        <v>0</v>
      </c>
      <c r="BV1079" s="61">
        <f t="shared" si="1238"/>
        <v>0</v>
      </c>
      <c r="BW1079" s="61">
        <f t="shared" si="1238"/>
        <v>0</v>
      </c>
      <c r="BX1079" s="61">
        <f t="shared" si="1238"/>
        <v>3.7299999999999969</v>
      </c>
      <c r="BY1079" s="61" t="s">
        <v>91</v>
      </c>
      <c r="CA1079" s="61">
        <f t="shared" si="1246"/>
        <v>1.6834662253648236</v>
      </c>
      <c r="CB1079" s="61">
        <f t="shared" si="1246"/>
        <v>1.6834662253648236</v>
      </c>
      <c r="CC1079" s="61">
        <f t="shared" si="1246"/>
        <v>1.6834662253648236</v>
      </c>
      <c r="CD1079" s="61">
        <f t="shared" si="1246"/>
        <v>1.6834662253648236</v>
      </c>
      <c r="CE1079" s="61">
        <f t="shared" si="1246"/>
        <v>1.6834662253648236</v>
      </c>
      <c r="CF1079" s="61">
        <f t="shared" si="1246"/>
        <v>1.6834662253648236</v>
      </c>
      <c r="CG1079" s="61">
        <f t="shared" si="1246"/>
        <v>1.6834662253648236</v>
      </c>
      <c r="CH1079" s="61">
        <f t="shared" si="1209"/>
        <v>1.6834662253648236</v>
      </c>
      <c r="CI1079" s="61">
        <f t="shared" si="1247"/>
        <v>1.6834662253648238</v>
      </c>
      <c r="CJ1079" s="61"/>
      <c r="CK1079" s="61">
        <f t="shared" ref="CK1079:CO1142" si="1260">(O1079*$AD1079-AT1079*$BI1079)/$C$2</f>
        <v>1.6834662253648236</v>
      </c>
      <c r="CL1079" s="61">
        <f t="shared" si="1260"/>
        <v>1.6834662253648236</v>
      </c>
      <c r="CM1079" s="61">
        <f t="shared" si="1260"/>
        <v>1.6834662253648236</v>
      </c>
      <c r="CN1079" s="61">
        <f t="shared" si="1258"/>
        <v>1.6834662253648236</v>
      </c>
      <c r="CO1079" s="61">
        <f t="shared" si="1258"/>
        <v>1.6834662253648236</v>
      </c>
      <c r="CP1079" s="61">
        <f t="shared" si="1258"/>
        <v>1.6834662253648236</v>
      </c>
      <c r="CQ1079" s="61">
        <f t="shared" si="1258"/>
        <v>1.6834662253648236</v>
      </c>
      <c r="CR1079" s="61">
        <f t="shared" si="1210"/>
        <v>1.6834662253648236</v>
      </c>
      <c r="CS1079" s="61">
        <f t="shared" si="1248"/>
        <v>1.6834662253648238</v>
      </c>
      <c r="CT1079" s="61">
        <f t="shared" si="1252"/>
        <v>11.189999999999984</v>
      </c>
      <c r="CV1079" s="61">
        <f t="shared" si="1221"/>
        <v>0</v>
      </c>
      <c r="CW1079" s="61">
        <f t="shared" si="1222"/>
        <v>0</v>
      </c>
      <c r="CX1079" s="61"/>
      <c r="CY1079" s="61">
        <f t="shared" ref="CY1079:CY1114" si="1261">SUM(AJ1079)-SUM(BO1079)</f>
        <v>0</v>
      </c>
      <c r="CZ1079" s="61">
        <f t="shared" ref="CZ1079:CZ1113" si="1262">SUM(AK1079)-SUM(BP1079)</f>
        <v>0</v>
      </c>
      <c r="DA1079" s="61">
        <f t="shared" si="1239"/>
        <v>0</v>
      </c>
      <c r="DB1079" s="2" t="s">
        <v>102</v>
      </c>
      <c r="DC1079" s="2" t="s">
        <v>102</v>
      </c>
      <c r="DD1079" s="2" t="s">
        <v>142</v>
      </c>
      <c r="DE1079" s="2" t="s">
        <v>257</v>
      </c>
      <c r="DF1079" s="3" t="s">
        <v>102</v>
      </c>
      <c r="DG1079" s="62">
        <v>42823</v>
      </c>
      <c r="EC1079" s="60" t="str">
        <f>VLOOKUP($M1079,[1]Detail!$M:$BO,1,0)</f>
        <v>ED8T -15K859-ACW</v>
      </c>
      <c r="ED1079" s="60">
        <f>VLOOKUP($M1079,[1]Detail!$M:$BO,22,0)</f>
        <v>-33.57</v>
      </c>
      <c r="EE1079" s="60">
        <f>VLOOKUP($M1079,[1]Detail!$M:$BO,42,0)</f>
        <v>0</v>
      </c>
      <c r="EF1079" s="60">
        <f>VLOOKUP($M1079,[1]Detail!$M:$BO,45,0)</f>
        <v>0</v>
      </c>
      <c r="EH1079" s="60">
        <f t="shared" si="1255"/>
        <v>0</v>
      </c>
      <c r="EI1079" s="60">
        <f t="shared" si="1256"/>
        <v>0</v>
      </c>
      <c r="EJ1079" s="60">
        <f t="shared" si="1257"/>
        <v>0</v>
      </c>
    </row>
    <row r="1080" spans="2:140" ht="12.75" hidden="1" customHeight="1">
      <c r="B1080" s="1" t="s">
        <v>1731</v>
      </c>
      <c r="C1080" s="2" t="s">
        <v>1732</v>
      </c>
      <c r="D1080" s="1" t="s">
        <v>1733</v>
      </c>
      <c r="E1080" s="2" t="s">
        <v>1661</v>
      </c>
      <c r="F1080" s="2" t="s">
        <v>969</v>
      </c>
      <c r="G1080" s="1" t="s">
        <v>1262</v>
      </c>
      <c r="J1080" s="22" t="s">
        <v>81</v>
      </c>
      <c r="K1080" s="23" t="s">
        <v>1736</v>
      </c>
      <c r="L1080" s="22" t="s">
        <v>100</v>
      </c>
      <c r="M1080" s="51" t="str">
        <f t="shared" si="1179"/>
        <v>JD8T-15T850-AA</v>
      </c>
      <c r="O1080" s="89">
        <v>1</v>
      </c>
      <c r="P1080" s="89">
        <v>1</v>
      </c>
      <c r="Q1080" s="89">
        <v>1</v>
      </c>
      <c r="R1080" s="89">
        <v>1</v>
      </c>
      <c r="S1080" s="89">
        <v>1</v>
      </c>
      <c r="T1080" s="89">
        <v>1</v>
      </c>
      <c r="U1080" s="89">
        <v>1</v>
      </c>
      <c r="V1080" s="89">
        <v>1</v>
      </c>
      <c r="W1080" s="64">
        <f t="shared" si="1199"/>
        <v>1</v>
      </c>
      <c r="Y1080" s="63">
        <v>-54.56</v>
      </c>
      <c r="Z1080" s="63">
        <v>-0.32</v>
      </c>
      <c r="AA1080" s="63">
        <v>-0.39</v>
      </c>
      <c r="AB1080" s="60">
        <v>0</v>
      </c>
      <c r="AC1080" s="63">
        <v>0</v>
      </c>
      <c r="AD1080" s="8">
        <f t="shared" si="1188"/>
        <v>-55.27</v>
      </c>
      <c r="AE1080" s="2" t="s">
        <v>91</v>
      </c>
      <c r="AG1080" s="71">
        <v>0</v>
      </c>
      <c r="AH1080" s="71">
        <v>0</v>
      </c>
      <c r="AJ1080" s="71">
        <v>0</v>
      </c>
      <c r="AK1080" s="71">
        <v>0</v>
      </c>
      <c r="AM1080" s="22"/>
      <c r="AO1080" s="23" t="s">
        <v>1735</v>
      </c>
      <c r="AP1080" s="23" t="s">
        <v>1736</v>
      </c>
      <c r="AQ1080" s="23" t="s">
        <v>162</v>
      </c>
      <c r="AR1080" s="51" t="str">
        <f>TRIM(AO1080)&amp;"-"&amp;TRIM(AP1080)&amp;"-"&amp;TRIM(AQ1080)</f>
        <v>ED8T -15T850-AD</v>
      </c>
      <c r="AT1080" s="56">
        <v>1</v>
      </c>
      <c r="AU1080" s="56">
        <v>1</v>
      </c>
      <c r="AV1080" s="56">
        <v>1</v>
      </c>
      <c r="AW1080" s="56">
        <v>1</v>
      </c>
      <c r="AX1080" s="56">
        <v>1</v>
      </c>
      <c r="AY1080" s="56">
        <v>1</v>
      </c>
      <c r="AZ1080" s="56">
        <v>1</v>
      </c>
      <c r="BA1080" s="56">
        <v>1</v>
      </c>
      <c r="BB1080" s="64">
        <f t="shared" si="1242"/>
        <v>1</v>
      </c>
      <c r="BD1080" s="60">
        <f>-54.56-6.14</f>
        <v>-60.7</v>
      </c>
      <c r="BE1080" s="60">
        <v>-0.32</v>
      </c>
      <c r="BF1080" s="60">
        <v>-0.39</v>
      </c>
      <c r="BG1080" s="60">
        <v>0</v>
      </c>
      <c r="BH1080" s="71">
        <v>0</v>
      </c>
      <c r="BI1080" s="8">
        <f>SUM(BD1080:BH1080)</f>
        <v>-61.410000000000004</v>
      </c>
      <c r="BJ1080" s="2" t="s">
        <v>91</v>
      </c>
      <c r="BL1080" s="2">
        <v>0</v>
      </c>
      <c r="BM1080" s="2">
        <v>0</v>
      </c>
      <c r="BO1080" s="71">
        <v>0</v>
      </c>
      <c r="BP1080" s="71">
        <v>0</v>
      </c>
      <c r="BQ1080" s="61"/>
      <c r="BS1080" s="61">
        <f t="shared" si="1238"/>
        <v>6.1400000000000006</v>
      </c>
      <c r="BT1080" s="61">
        <f t="shared" si="1238"/>
        <v>0</v>
      </c>
      <c r="BU1080" s="61">
        <f t="shared" si="1238"/>
        <v>0</v>
      </c>
      <c r="BV1080" s="61">
        <f t="shared" si="1238"/>
        <v>0</v>
      </c>
      <c r="BW1080" s="61">
        <f t="shared" si="1238"/>
        <v>0</v>
      </c>
      <c r="BX1080" s="61">
        <f t="shared" si="1238"/>
        <v>6.1400000000000006</v>
      </c>
      <c r="BY1080" s="61" t="s">
        <v>91</v>
      </c>
      <c r="CA1080" s="61">
        <f t="shared" si="1246"/>
        <v>0.92372498871671438</v>
      </c>
      <c r="CB1080" s="61">
        <f t="shared" si="1246"/>
        <v>0.92372498871671438</v>
      </c>
      <c r="CC1080" s="61">
        <f t="shared" si="1246"/>
        <v>0.92372498871671438</v>
      </c>
      <c r="CD1080" s="61">
        <f t="shared" si="1246"/>
        <v>0.92372498871671438</v>
      </c>
      <c r="CE1080" s="61">
        <f t="shared" si="1246"/>
        <v>0.92372498871671438</v>
      </c>
      <c r="CF1080" s="61">
        <f t="shared" si="1246"/>
        <v>0.92372498871671438</v>
      </c>
      <c r="CG1080" s="61">
        <f t="shared" si="1246"/>
        <v>0.92372498871671438</v>
      </c>
      <c r="CH1080" s="61">
        <f t="shared" si="1209"/>
        <v>0.92372498871671438</v>
      </c>
      <c r="CI1080" s="61">
        <f t="shared" si="1247"/>
        <v>0.92372498871671438</v>
      </c>
      <c r="CJ1080" s="61"/>
      <c r="CK1080" s="61">
        <f t="shared" si="1260"/>
        <v>0.92372498871671438</v>
      </c>
      <c r="CL1080" s="61">
        <f t="shared" si="1260"/>
        <v>0.92372498871671438</v>
      </c>
      <c r="CM1080" s="61">
        <f t="shared" si="1260"/>
        <v>0.92372498871671438</v>
      </c>
      <c r="CN1080" s="61">
        <f t="shared" si="1258"/>
        <v>0.92372498871671438</v>
      </c>
      <c r="CO1080" s="61">
        <f t="shared" si="1258"/>
        <v>0.92372498871671438</v>
      </c>
      <c r="CP1080" s="61">
        <f t="shared" si="1258"/>
        <v>0.92372498871671438</v>
      </c>
      <c r="CQ1080" s="61">
        <f t="shared" si="1258"/>
        <v>0.92372498871671438</v>
      </c>
      <c r="CR1080" s="61">
        <f t="shared" si="1210"/>
        <v>0.92372498871671438</v>
      </c>
      <c r="CS1080" s="61">
        <f t="shared" si="1248"/>
        <v>0.92372498871671438</v>
      </c>
      <c r="CT1080" s="61">
        <f t="shared" si="1252"/>
        <v>6.1400000000000006</v>
      </c>
      <c r="CV1080" s="61">
        <f t="shared" si="1221"/>
        <v>0</v>
      </c>
      <c r="CW1080" s="61">
        <f t="shared" si="1222"/>
        <v>0</v>
      </c>
      <c r="CX1080" s="61"/>
      <c r="CY1080" s="61">
        <f t="shared" si="1261"/>
        <v>0</v>
      </c>
      <c r="CZ1080" s="61">
        <f t="shared" si="1262"/>
        <v>0</v>
      </c>
      <c r="DA1080" s="61">
        <f t="shared" si="1239"/>
        <v>0</v>
      </c>
      <c r="DB1080" s="2" t="s">
        <v>102</v>
      </c>
      <c r="DC1080" s="2" t="s">
        <v>102</v>
      </c>
      <c r="DD1080" s="2" t="s">
        <v>142</v>
      </c>
      <c r="DE1080" s="2" t="s">
        <v>257</v>
      </c>
      <c r="DF1080" s="3" t="s">
        <v>102</v>
      </c>
      <c r="DG1080" s="62">
        <v>42823</v>
      </c>
      <c r="EC1080" s="60" t="str">
        <f>VLOOKUP($M1080,[1]Detail!$M:$BO,1,0)</f>
        <v>JD8T-15T850-AA</v>
      </c>
      <c r="ED1080" s="60">
        <f>VLOOKUP($M1080,[1]Detail!$M:$BO,22,0)</f>
        <v>-55.27</v>
      </c>
      <c r="EE1080" s="60">
        <f>VLOOKUP($M1080,[1]Detail!$M:$BO,42,0)</f>
        <v>0</v>
      </c>
      <c r="EF1080" s="60">
        <f>VLOOKUP($M1080,[1]Detail!$M:$BO,45,0)</f>
        <v>0</v>
      </c>
      <c r="EH1080" s="60">
        <f t="shared" si="1255"/>
        <v>0</v>
      </c>
      <c r="EI1080" s="60">
        <f t="shared" si="1256"/>
        <v>0</v>
      </c>
      <c r="EJ1080" s="60">
        <f t="shared" si="1257"/>
        <v>0</v>
      </c>
    </row>
    <row r="1081" spans="2:140" ht="12.75" hidden="1" customHeight="1">
      <c r="B1081" s="1" t="s">
        <v>1731</v>
      </c>
      <c r="C1081" s="2" t="s">
        <v>1732</v>
      </c>
      <c r="D1081" s="1" t="s">
        <v>1733</v>
      </c>
      <c r="E1081" s="2" t="s">
        <v>1661</v>
      </c>
      <c r="F1081" s="2" t="s">
        <v>969</v>
      </c>
      <c r="G1081" s="1" t="s">
        <v>1262</v>
      </c>
      <c r="J1081" s="22" t="s">
        <v>81</v>
      </c>
      <c r="K1081" s="23" t="s">
        <v>1737</v>
      </c>
      <c r="L1081" s="22" t="s">
        <v>180</v>
      </c>
      <c r="M1081" s="51" t="str">
        <f t="shared" si="1179"/>
        <v>JD8T-15K872-AA</v>
      </c>
      <c r="O1081" s="89">
        <v>1</v>
      </c>
      <c r="P1081" s="89">
        <v>1</v>
      </c>
      <c r="Q1081" s="89">
        <v>1</v>
      </c>
      <c r="R1081" s="89">
        <v>1</v>
      </c>
      <c r="S1081" s="89">
        <v>1</v>
      </c>
      <c r="T1081" s="89">
        <v>1</v>
      </c>
      <c r="U1081" s="89">
        <v>1</v>
      </c>
      <c r="V1081" s="89">
        <v>1</v>
      </c>
      <c r="W1081" s="64">
        <f t="shared" si="1199"/>
        <v>1</v>
      </c>
      <c r="Y1081" s="63">
        <v>-0.78</v>
      </c>
      <c r="Z1081" s="63">
        <v>-0.18</v>
      </c>
      <c r="AA1081" s="63">
        <v>-0.17</v>
      </c>
      <c r="AB1081" s="60">
        <v>0</v>
      </c>
      <c r="AC1081" s="63">
        <v>0</v>
      </c>
      <c r="AD1081" s="8">
        <f t="shared" si="1188"/>
        <v>-1.1299999999999999</v>
      </c>
      <c r="AE1081" s="2" t="s">
        <v>91</v>
      </c>
      <c r="AG1081" s="71">
        <v>0</v>
      </c>
      <c r="AH1081" s="71">
        <v>0</v>
      </c>
      <c r="AJ1081" s="71">
        <v>0</v>
      </c>
      <c r="AK1081" s="71">
        <v>0</v>
      </c>
      <c r="AM1081" s="22"/>
      <c r="AO1081" s="23" t="s">
        <v>1735</v>
      </c>
      <c r="AP1081" s="23" t="s">
        <v>1737</v>
      </c>
      <c r="AQ1081" s="23" t="s">
        <v>100</v>
      </c>
      <c r="AR1081" s="51" t="str">
        <f>TRIM(AO1081)&amp;"-"&amp;TRIM(AP1081)&amp;"-"&amp;TRIM(AQ1081)</f>
        <v>ED8T -15K872-AA</v>
      </c>
      <c r="AT1081" s="56">
        <v>1</v>
      </c>
      <c r="AU1081" s="56">
        <v>1</v>
      </c>
      <c r="AV1081" s="56">
        <v>1</v>
      </c>
      <c r="AW1081" s="56">
        <v>1</v>
      </c>
      <c r="AX1081" s="56">
        <v>1</v>
      </c>
      <c r="AY1081" s="56">
        <v>1</v>
      </c>
      <c r="AZ1081" s="56">
        <v>1</v>
      </c>
      <c r="BA1081" s="56">
        <v>1</v>
      </c>
      <c r="BB1081" s="64">
        <f t="shared" si="1242"/>
        <v>1</v>
      </c>
      <c r="BD1081" s="60">
        <v>-0.78</v>
      </c>
      <c r="BE1081" s="60">
        <v>-0.18</v>
      </c>
      <c r="BF1081" s="60">
        <v>-0.17</v>
      </c>
      <c r="BG1081" s="60">
        <v>0</v>
      </c>
      <c r="BH1081" s="71">
        <v>0</v>
      </c>
      <c r="BI1081" s="8">
        <f>SUM(BD1081:BH1081)</f>
        <v>-1.1299999999999999</v>
      </c>
      <c r="BJ1081" s="2" t="s">
        <v>91</v>
      </c>
      <c r="BL1081" s="2">
        <v>0</v>
      </c>
      <c r="BM1081" s="2">
        <v>0</v>
      </c>
      <c r="BO1081" s="71">
        <v>0</v>
      </c>
      <c r="BP1081" s="71">
        <v>0</v>
      </c>
      <c r="BQ1081" s="61"/>
      <c r="BS1081" s="61">
        <f t="shared" si="1238"/>
        <v>0</v>
      </c>
      <c r="BT1081" s="61">
        <f t="shared" si="1238"/>
        <v>0</v>
      </c>
      <c r="BU1081" s="61">
        <f t="shared" si="1238"/>
        <v>0</v>
      </c>
      <c r="BV1081" s="61">
        <f t="shared" si="1238"/>
        <v>0</v>
      </c>
      <c r="BW1081" s="61">
        <f t="shared" si="1238"/>
        <v>0</v>
      </c>
      <c r="BX1081" s="61">
        <f t="shared" si="1238"/>
        <v>0</v>
      </c>
      <c r="BY1081" s="61" t="s">
        <v>91</v>
      </c>
      <c r="CA1081" s="61">
        <f t="shared" si="1246"/>
        <v>0</v>
      </c>
      <c r="CB1081" s="61">
        <f t="shared" si="1246"/>
        <v>0</v>
      </c>
      <c r="CC1081" s="61">
        <f t="shared" si="1246"/>
        <v>0</v>
      </c>
      <c r="CD1081" s="61">
        <f t="shared" si="1246"/>
        <v>0</v>
      </c>
      <c r="CE1081" s="61">
        <f t="shared" si="1246"/>
        <v>0</v>
      </c>
      <c r="CF1081" s="61">
        <f t="shared" si="1246"/>
        <v>0</v>
      </c>
      <c r="CG1081" s="61">
        <f t="shared" si="1246"/>
        <v>0</v>
      </c>
      <c r="CH1081" s="61">
        <f t="shared" si="1209"/>
        <v>0</v>
      </c>
      <c r="CI1081" s="61">
        <f t="shared" si="1247"/>
        <v>0</v>
      </c>
      <c r="CJ1081" s="61"/>
      <c r="CK1081" s="61">
        <f t="shared" si="1260"/>
        <v>0</v>
      </c>
      <c r="CL1081" s="61">
        <f t="shared" si="1260"/>
        <v>0</v>
      </c>
      <c r="CM1081" s="61">
        <f t="shared" si="1260"/>
        <v>0</v>
      </c>
      <c r="CN1081" s="61">
        <f t="shared" si="1258"/>
        <v>0</v>
      </c>
      <c r="CO1081" s="61">
        <f t="shared" si="1258"/>
        <v>0</v>
      </c>
      <c r="CP1081" s="61">
        <f t="shared" si="1258"/>
        <v>0</v>
      </c>
      <c r="CQ1081" s="61">
        <f t="shared" si="1258"/>
        <v>0</v>
      </c>
      <c r="CR1081" s="61">
        <f t="shared" si="1210"/>
        <v>0</v>
      </c>
      <c r="CS1081" s="61">
        <f t="shared" si="1248"/>
        <v>0</v>
      </c>
      <c r="CT1081" s="61">
        <f t="shared" si="1252"/>
        <v>0</v>
      </c>
      <c r="CV1081" s="61">
        <f t="shared" si="1221"/>
        <v>0</v>
      </c>
      <c r="CW1081" s="61">
        <f t="shared" si="1222"/>
        <v>0</v>
      </c>
      <c r="CX1081" s="61"/>
      <c r="CY1081" s="61">
        <f t="shared" si="1261"/>
        <v>0</v>
      </c>
      <c r="CZ1081" s="61">
        <f t="shared" si="1262"/>
        <v>0</v>
      </c>
      <c r="DA1081" s="61">
        <f t="shared" si="1239"/>
        <v>0</v>
      </c>
      <c r="DB1081" s="2" t="s">
        <v>85</v>
      </c>
      <c r="DC1081" s="2" t="s">
        <v>102</v>
      </c>
      <c r="DD1081" s="2" t="s">
        <v>142</v>
      </c>
      <c r="DE1081" s="2" t="s">
        <v>257</v>
      </c>
      <c r="DF1081" s="3" t="s">
        <v>102</v>
      </c>
      <c r="DG1081" s="62">
        <v>42823</v>
      </c>
      <c r="EC1081" s="60"/>
      <c r="ED1081" s="60"/>
      <c r="EE1081" s="60"/>
      <c r="EF1081" s="60"/>
    </row>
    <row r="1082" spans="2:140" ht="12.75" hidden="1" customHeight="1">
      <c r="B1082" s="1" t="s">
        <v>1731</v>
      </c>
      <c r="C1082" s="2" t="s">
        <v>1732</v>
      </c>
      <c r="D1082" s="149" t="s">
        <v>1733</v>
      </c>
      <c r="E1082" s="2" t="s">
        <v>1661</v>
      </c>
      <c r="F1082" s="2" t="s">
        <v>969</v>
      </c>
      <c r="G1082" s="1" t="s">
        <v>1262</v>
      </c>
      <c r="J1082" s="22" t="s">
        <v>81</v>
      </c>
      <c r="K1082" s="23" t="s">
        <v>1738</v>
      </c>
      <c r="L1082" s="22" t="s">
        <v>180</v>
      </c>
      <c r="M1082" s="51" t="str">
        <f t="shared" si="1179"/>
        <v>JD8T-15K870-AA</v>
      </c>
      <c r="O1082" s="89">
        <v>2</v>
      </c>
      <c r="P1082" s="89">
        <v>2</v>
      </c>
      <c r="Q1082" s="89">
        <v>2</v>
      </c>
      <c r="R1082" s="89">
        <v>2</v>
      </c>
      <c r="S1082" s="89">
        <v>2</v>
      </c>
      <c r="T1082" s="89">
        <v>2</v>
      </c>
      <c r="U1082" s="89">
        <v>2</v>
      </c>
      <c r="V1082" s="89">
        <v>2</v>
      </c>
      <c r="W1082" s="64">
        <f t="shared" si="1199"/>
        <v>2</v>
      </c>
      <c r="Y1082" s="63">
        <v>-0.78</v>
      </c>
      <c r="Z1082" s="67">
        <v>-0.18</v>
      </c>
      <c r="AA1082" s="67">
        <v>-0.17</v>
      </c>
      <c r="AB1082" s="60">
        <v>0</v>
      </c>
      <c r="AC1082" s="63">
        <v>0</v>
      </c>
      <c r="AD1082" s="8">
        <f t="shared" si="1188"/>
        <v>-1.1299999999999999</v>
      </c>
      <c r="AE1082" s="2" t="s">
        <v>91</v>
      </c>
      <c r="AG1082" s="67">
        <v>0</v>
      </c>
      <c r="AH1082" s="67">
        <v>0</v>
      </c>
      <c r="AI1082" s="67"/>
      <c r="AJ1082" s="67">
        <v>0</v>
      </c>
      <c r="AK1082" s="67">
        <v>0</v>
      </c>
      <c r="AL1082" s="67"/>
      <c r="AM1082" s="22"/>
      <c r="AO1082" s="23" t="s">
        <v>1735</v>
      </c>
      <c r="AP1082" s="23" t="s">
        <v>1739</v>
      </c>
      <c r="AQ1082" s="23" t="s">
        <v>100</v>
      </c>
      <c r="AR1082" s="51" t="str">
        <f>TRIM(AO1082)&amp;"-"&amp;TRIM(AP1082)&amp;"-"&amp;TRIM(AQ1082)</f>
        <v>ED8T -15K870-AA</v>
      </c>
      <c r="AT1082" s="56">
        <v>2</v>
      </c>
      <c r="AU1082" s="56">
        <v>2</v>
      </c>
      <c r="AV1082" s="56">
        <v>2</v>
      </c>
      <c r="AW1082" s="56">
        <v>2</v>
      </c>
      <c r="AX1082" s="56">
        <v>2</v>
      </c>
      <c r="AY1082" s="56">
        <v>2</v>
      </c>
      <c r="AZ1082" s="56">
        <v>2</v>
      </c>
      <c r="BA1082" s="56">
        <v>2</v>
      </c>
      <c r="BB1082" s="64">
        <f t="shared" si="1242"/>
        <v>2</v>
      </c>
      <c r="BD1082" s="60">
        <v>-0.78</v>
      </c>
      <c r="BE1082" s="60">
        <v>-0.18</v>
      </c>
      <c r="BF1082" s="60">
        <v>-0.17</v>
      </c>
      <c r="BG1082" s="60">
        <v>0</v>
      </c>
      <c r="BH1082" s="71">
        <v>0</v>
      </c>
      <c r="BI1082" s="8">
        <f>SUM(BD1082:BH1082)</f>
        <v>-1.1299999999999999</v>
      </c>
      <c r="BJ1082" s="2" t="s">
        <v>91</v>
      </c>
      <c r="BL1082" s="61">
        <v>0</v>
      </c>
      <c r="BM1082" s="61">
        <v>0</v>
      </c>
      <c r="BO1082" s="71">
        <v>0</v>
      </c>
      <c r="BP1082" s="71">
        <v>0</v>
      </c>
      <c r="BQ1082" s="61"/>
      <c r="BS1082" s="61">
        <f t="shared" si="1238"/>
        <v>0</v>
      </c>
      <c r="BT1082" s="61">
        <f t="shared" si="1238"/>
        <v>0</v>
      </c>
      <c r="BU1082" s="61">
        <f t="shared" si="1238"/>
        <v>0</v>
      </c>
      <c r="BV1082" s="61">
        <f t="shared" si="1238"/>
        <v>0</v>
      </c>
      <c r="BW1082" s="61">
        <f t="shared" si="1238"/>
        <v>0</v>
      </c>
      <c r="BX1082" s="61">
        <f t="shared" si="1238"/>
        <v>0</v>
      </c>
      <c r="BY1082" s="61" t="s">
        <v>91</v>
      </c>
      <c r="CA1082" s="61">
        <f t="shared" si="1246"/>
        <v>0</v>
      </c>
      <c r="CB1082" s="61">
        <f t="shared" si="1246"/>
        <v>0</v>
      </c>
      <c r="CC1082" s="61">
        <f t="shared" si="1246"/>
        <v>0</v>
      </c>
      <c r="CD1082" s="61">
        <f t="shared" si="1246"/>
        <v>0</v>
      </c>
      <c r="CE1082" s="61">
        <f t="shared" si="1246"/>
        <v>0</v>
      </c>
      <c r="CF1082" s="61">
        <f t="shared" si="1246"/>
        <v>0</v>
      </c>
      <c r="CG1082" s="61">
        <f t="shared" si="1246"/>
        <v>0</v>
      </c>
      <c r="CH1082" s="61">
        <f t="shared" si="1209"/>
        <v>0</v>
      </c>
      <c r="CI1082" s="61">
        <f t="shared" si="1247"/>
        <v>0</v>
      </c>
      <c r="CJ1082" s="61"/>
      <c r="CK1082" s="61">
        <f t="shared" si="1260"/>
        <v>0</v>
      </c>
      <c r="CL1082" s="61">
        <f t="shared" si="1260"/>
        <v>0</v>
      </c>
      <c r="CM1082" s="61">
        <f t="shared" si="1260"/>
        <v>0</v>
      </c>
      <c r="CN1082" s="61">
        <f t="shared" si="1258"/>
        <v>0</v>
      </c>
      <c r="CO1082" s="61">
        <f t="shared" si="1258"/>
        <v>0</v>
      </c>
      <c r="CP1082" s="61">
        <f t="shared" si="1258"/>
        <v>0</v>
      </c>
      <c r="CQ1082" s="61">
        <f t="shared" si="1258"/>
        <v>0</v>
      </c>
      <c r="CR1082" s="61">
        <f t="shared" si="1210"/>
        <v>0</v>
      </c>
      <c r="CS1082" s="61">
        <f t="shared" si="1248"/>
        <v>0</v>
      </c>
      <c r="CT1082" s="61">
        <f t="shared" si="1252"/>
        <v>0</v>
      </c>
      <c r="CV1082" s="61">
        <f t="shared" si="1221"/>
        <v>0</v>
      </c>
      <c r="CW1082" s="61">
        <f t="shared" si="1222"/>
        <v>0</v>
      </c>
      <c r="CX1082" s="61"/>
      <c r="CY1082" s="61">
        <f t="shared" si="1261"/>
        <v>0</v>
      </c>
      <c r="CZ1082" s="61">
        <f t="shared" si="1262"/>
        <v>0</v>
      </c>
      <c r="DA1082" s="61">
        <f t="shared" si="1239"/>
        <v>0</v>
      </c>
      <c r="DB1082" s="2" t="s">
        <v>85</v>
      </c>
      <c r="DC1082" s="2" t="s">
        <v>102</v>
      </c>
      <c r="DD1082" s="2" t="s">
        <v>142</v>
      </c>
      <c r="DE1082" s="2" t="s">
        <v>257</v>
      </c>
      <c r="DF1082" s="3" t="s">
        <v>102</v>
      </c>
      <c r="DG1082" s="62">
        <v>42823</v>
      </c>
      <c r="EC1082" s="60"/>
      <c r="ED1082" s="60"/>
      <c r="EE1082" s="60"/>
      <c r="EF1082" s="60"/>
    </row>
    <row r="1083" spans="2:140" ht="12.75" hidden="1" customHeight="1">
      <c r="B1083" s="1" t="s">
        <v>1740</v>
      </c>
      <c r="C1083" s="2" t="s">
        <v>1732</v>
      </c>
      <c r="D1083" s="1" t="s">
        <v>1733</v>
      </c>
      <c r="E1083" s="1" t="s">
        <v>1661</v>
      </c>
      <c r="F1083" s="1" t="s">
        <v>969</v>
      </c>
      <c r="G1083" s="1" t="s">
        <v>1262</v>
      </c>
      <c r="J1083" s="87">
        <v>0</v>
      </c>
      <c r="K1083" s="1">
        <v>0</v>
      </c>
      <c r="L1083" s="87">
        <v>0</v>
      </c>
      <c r="M1083" s="90" t="str">
        <f t="shared" ref="M1083:M1146" si="1263">TRIM(J1083)&amp;"-"&amp;TRIM(K1083)&amp;"-"&amp;TRIM(L1083)</f>
        <v>0-0-0</v>
      </c>
      <c r="O1083" s="89">
        <v>0</v>
      </c>
      <c r="P1083" s="89">
        <v>0</v>
      </c>
      <c r="Q1083" s="89">
        <v>0</v>
      </c>
      <c r="R1083" s="89">
        <v>0</v>
      </c>
      <c r="S1083" s="89">
        <v>0</v>
      </c>
      <c r="T1083" s="89">
        <v>0</v>
      </c>
      <c r="U1083" s="89">
        <v>0</v>
      </c>
      <c r="V1083" s="89">
        <v>0</v>
      </c>
      <c r="W1083" s="64">
        <f t="shared" si="1199"/>
        <v>0</v>
      </c>
      <c r="Y1083" s="63">
        <f>-0.78+0.03</f>
        <v>-0.75</v>
      </c>
      <c r="Z1083" s="63">
        <v>-0.18</v>
      </c>
      <c r="AA1083" s="63">
        <v>-0.17</v>
      </c>
      <c r="AB1083" s="63">
        <v>0</v>
      </c>
      <c r="AC1083" s="63">
        <v>0</v>
      </c>
      <c r="AD1083" s="8">
        <f t="shared" si="1188"/>
        <v>-1.0999999999999999</v>
      </c>
      <c r="AE1083" s="2" t="s">
        <v>91</v>
      </c>
      <c r="AG1083" s="67">
        <v>0</v>
      </c>
      <c r="AH1083" s="67">
        <v>0</v>
      </c>
      <c r="AI1083" s="67"/>
      <c r="AJ1083" s="67">
        <v>0</v>
      </c>
      <c r="AK1083" s="67">
        <v>0</v>
      </c>
      <c r="AM1083" s="22"/>
      <c r="AO1083" s="23" t="s">
        <v>81</v>
      </c>
      <c r="AP1083" s="3" t="s">
        <v>1737</v>
      </c>
      <c r="AQ1083" s="1" t="s">
        <v>180</v>
      </c>
      <c r="AR1083" s="51" t="s">
        <v>1741</v>
      </c>
      <c r="AT1083" s="56">
        <v>1</v>
      </c>
      <c r="AU1083" s="56">
        <v>1</v>
      </c>
      <c r="AV1083" s="56">
        <v>1</v>
      </c>
      <c r="AW1083" s="56">
        <v>1</v>
      </c>
      <c r="AX1083" s="56">
        <v>1</v>
      </c>
      <c r="AY1083" s="56">
        <v>1</v>
      </c>
      <c r="AZ1083" s="56">
        <v>1</v>
      </c>
      <c r="BA1083" s="56">
        <v>1</v>
      </c>
      <c r="BB1083" s="64">
        <v>1</v>
      </c>
      <c r="BD1083" s="63">
        <v>-0.78</v>
      </c>
      <c r="BE1083" s="63">
        <v>-0.18</v>
      </c>
      <c r="BF1083" s="63">
        <v>-0.17</v>
      </c>
      <c r="BG1083" s="63">
        <v>0</v>
      </c>
      <c r="BH1083" s="63">
        <v>0</v>
      </c>
      <c r="BI1083" s="8">
        <v>-1.1299999999999999</v>
      </c>
      <c r="BJ1083" s="2" t="s">
        <v>91</v>
      </c>
      <c r="BL1083" s="61">
        <v>0</v>
      </c>
      <c r="BM1083" s="61">
        <v>0</v>
      </c>
      <c r="BN1083" s="61"/>
      <c r="BO1083" s="61">
        <v>0</v>
      </c>
      <c r="BP1083" s="61">
        <v>0</v>
      </c>
      <c r="BS1083" s="63">
        <f t="shared" si="1238"/>
        <v>3.0000000000000027E-2</v>
      </c>
      <c r="BT1083" s="61">
        <f t="shared" si="1238"/>
        <v>0</v>
      </c>
      <c r="BU1083" s="61">
        <f t="shared" si="1238"/>
        <v>0</v>
      </c>
      <c r="BV1083" s="61">
        <f t="shared" si="1238"/>
        <v>0</v>
      </c>
      <c r="BW1083" s="61">
        <f t="shared" si="1238"/>
        <v>0</v>
      </c>
      <c r="BX1083" s="61">
        <f t="shared" si="1238"/>
        <v>3.0000000000000027E-2</v>
      </c>
      <c r="BY1083" s="61" t="s">
        <v>91</v>
      </c>
      <c r="CA1083" s="61">
        <f t="shared" si="1246"/>
        <v>0.11734617120505492</v>
      </c>
      <c r="CB1083" s="61">
        <f t="shared" si="1246"/>
        <v>0.11734617120505492</v>
      </c>
      <c r="CC1083" s="61">
        <f t="shared" si="1246"/>
        <v>0.11734617120505492</v>
      </c>
      <c r="CD1083" s="61">
        <f t="shared" si="1246"/>
        <v>0.11734617120505492</v>
      </c>
      <c r="CE1083" s="61">
        <f t="shared" si="1246"/>
        <v>0.11734617120505492</v>
      </c>
      <c r="CF1083" s="61">
        <f t="shared" si="1246"/>
        <v>0.11734617120505492</v>
      </c>
      <c r="CG1083" s="61">
        <f t="shared" si="1246"/>
        <v>0.11734617120505492</v>
      </c>
      <c r="CH1083" s="61">
        <f t="shared" si="1209"/>
        <v>0.11734617120505492</v>
      </c>
      <c r="CI1083" s="61">
        <f t="shared" si="1247"/>
        <v>0.11734617120505492</v>
      </c>
      <c r="CJ1083" s="61"/>
      <c r="CK1083" s="61">
        <f t="shared" si="1260"/>
        <v>0.17000150443809234</v>
      </c>
      <c r="CL1083" s="61">
        <f t="shared" si="1260"/>
        <v>0.17000150443809234</v>
      </c>
      <c r="CM1083" s="61">
        <f t="shared" si="1260"/>
        <v>0.17000150443809234</v>
      </c>
      <c r="CN1083" s="61">
        <f t="shared" si="1258"/>
        <v>0.17000150443809234</v>
      </c>
      <c r="CO1083" s="61">
        <f t="shared" si="1258"/>
        <v>0.17000150443809234</v>
      </c>
      <c r="CP1083" s="61">
        <f t="shared" si="1258"/>
        <v>0.17000150443809234</v>
      </c>
      <c r="CQ1083" s="61">
        <f t="shared" si="1258"/>
        <v>0.17000150443809234</v>
      </c>
      <c r="CR1083" s="61">
        <f t="shared" si="1210"/>
        <v>0.17000150443809234</v>
      </c>
      <c r="CS1083" s="61">
        <f t="shared" si="1248"/>
        <v>0.17000150443809237</v>
      </c>
      <c r="CT1083" s="61">
        <f t="shared" si="1252"/>
        <v>1.1299999999999999</v>
      </c>
      <c r="CV1083" s="61">
        <f t="shared" si="1221"/>
        <v>0</v>
      </c>
      <c r="CW1083" s="61">
        <f t="shared" si="1222"/>
        <v>0</v>
      </c>
      <c r="CX1083" s="61"/>
      <c r="CY1083" s="61">
        <f t="shared" si="1261"/>
        <v>0</v>
      </c>
      <c r="CZ1083" s="61">
        <f t="shared" si="1262"/>
        <v>0</v>
      </c>
      <c r="DA1083" s="61">
        <f t="shared" si="1239"/>
        <v>0</v>
      </c>
      <c r="DB1083" s="2" t="s">
        <v>102</v>
      </c>
      <c r="DC1083" s="2" t="s">
        <v>85</v>
      </c>
      <c r="DD1083" s="2" t="s">
        <v>142</v>
      </c>
      <c r="DE1083" s="2" t="s">
        <v>257</v>
      </c>
      <c r="DF1083" s="3" t="s">
        <v>102</v>
      </c>
      <c r="DG1083" s="62">
        <v>42823</v>
      </c>
      <c r="EC1083" s="60" t="str">
        <f>VLOOKUP($M1083,[1]Detail!$M:$BO,1,0)</f>
        <v>0-0-0</v>
      </c>
      <c r="ED1083" s="60">
        <f>VLOOKUP($M1083,[1]Detail!$M:$BO,22,0)</f>
        <v>0</v>
      </c>
      <c r="EE1083" s="60">
        <f>VLOOKUP($M1083,[1]Detail!$M:$BO,42,0)</f>
        <v>0</v>
      </c>
      <c r="EF1083" s="60">
        <f>VLOOKUP($M1083,[1]Detail!$M:$BO,45,0)</f>
        <v>0</v>
      </c>
      <c r="EH1083" s="60">
        <f t="shared" ref="EH1083:EH1087" si="1264">ED1083-AD1083</f>
        <v>1.0999999999999999</v>
      </c>
      <c r="EI1083" s="60">
        <f t="shared" ref="EI1083:EI1087" si="1265">EE1083-AG1083</f>
        <v>0</v>
      </c>
      <c r="EJ1083" s="60">
        <f t="shared" ref="EJ1083:EJ1087" si="1266">EF1083-AJ1083</f>
        <v>0</v>
      </c>
    </row>
    <row r="1084" spans="2:140" ht="12.75" hidden="1" customHeight="1">
      <c r="B1084" s="1" t="s">
        <v>1740</v>
      </c>
      <c r="C1084" s="2" t="s">
        <v>1732</v>
      </c>
      <c r="D1084" s="1" t="s">
        <v>1733</v>
      </c>
      <c r="E1084" s="1" t="s">
        <v>1661</v>
      </c>
      <c r="F1084" s="1" t="s">
        <v>969</v>
      </c>
      <c r="G1084" s="1" t="s">
        <v>1262</v>
      </c>
      <c r="J1084" s="245" t="s">
        <v>81</v>
      </c>
      <c r="K1084" s="23" t="s">
        <v>1738</v>
      </c>
      <c r="L1084" s="245" t="s">
        <v>180</v>
      </c>
      <c r="M1084" s="90" t="str">
        <f t="shared" si="1263"/>
        <v>JD8T-15K870-AA</v>
      </c>
      <c r="O1084" s="89">
        <v>3</v>
      </c>
      <c r="P1084" s="89">
        <v>3</v>
      </c>
      <c r="Q1084" s="89">
        <v>3</v>
      </c>
      <c r="R1084" s="89">
        <v>3</v>
      </c>
      <c r="S1084" s="89">
        <v>3</v>
      </c>
      <c r="T1084" s="89">
        <v>3</v>
      </c>
      <c r="U1084" s="89">
        <v>3</v>
      </c>
      <c r="V1084" s="89">
        <v>3</v>
      </c>
      <c r="W1084" s="64">
        <f t="shared" si="1199"/>
        <v>3</v>
      </c>
      <c r="Y1084" s="63">
        <f>-0.78+0.03</f>
        <v>-0.75</v>
      </c>
      <c r="Z1084" s="63">
        <v>-0.18</v>
      </c>
      <c r="AA1084" s="63">
        <v>-0.17</v>
      </c>
      <c r="AB1084" s="63">
        <v>0</v>
      </c>
      <c r="AC1084" s="63">
        <v>0</v>
      </c>
      <c r="AD1084" s="8">
        <f t="shared" si="1188"/>
        <v>-1.0999999999999999</v>
      </c>
      <c r="AE1084" s="2" t="s">
        <v>91</v>
      </c>
      <c r="AG1084" s="67">
        <v>0</v>
      </c>
      <c r="AH1084" s="67">
        <v>0</v>
      </c>
      <c r="AI1084" s="67"/>
      <c r="AJ1084" s="67">
        <v>0</v>
      </c>
      <c r="AK1084" s="67">
        <v>0</v>
      </c>
      <c r="AM1084" s="22"/>
      <c r="AO1084" s="23" t="s">
        <v>81</v>
      </c>
      <c r="AP1084" s="3" t="s">
        <v>1738</v>
      </c>
      <c r="AQ1084" s="1" t="s">
        <v>180</v>
      </c>
      <c r="AR1084" s="51" t="s">
        <v>1742</v>
      </c>
      <c r="AT1084" s="56">
        <v>2</v>
      </c>
      <c r="AU1084" s="56">
        <v>2</v>
      </c>
      <c r="AV1084" s="56">
        <v>2</v>
      </c>
      <c r="AW1084" s="56">
        <v>2</v>
      </c>
      <c r="AX1084" s="56">
        <v>2</v>
      </c>
      <c r="AY1084" s="56">
        <v>2</v>
      </c>
      <c r="AZ1084" s="56">
        <v>2</v>
      </c>
      <c r="BA1084" s="56">
        <v>2</v>
      </c>
      <c r="BB1084" s="64">
        <v>2</v>
      </c>
      <c r="BD1084" s="63">
        <v>-0.78</v>
      </c>
      <c r="BE1084" s="63">
        <v>-0.18</v>
      </c>
      <c r="BF1084" s="63">
        <v>-0.17</v>
      </c>
      <c r="BG1084" s="63">
        <v>0</v>
      </c>
      <c r="BH1084" s="63">
        <v>0</v>
      </c>
      <c r="BI1084" s="8">
        <v>-1.1299999999999999</v>
      </c>
      <c r="BJ1084" s="2" t="s">
        <v>91</v>
      </c>
      <c r="BL1084" s="61">
        <v>0</v>
      </c>
      <c r="BM1084" s="61">
        <v>0</v>
      </c>
      <c r="BN1084" s="61"/>
      <c r="BO1084" s="61">
        <v>0</v>
      </c>
      <c r="BP1084" s="61">
        <v>0</v>
      </c>
      <c r="BS1084" s="63">
        <f t="shared" si="1238"/>
        <v>3.0000000000000027E-2</v>
      </c>
      <c r="BT1084" s="61">
        <f t="shared" si="1238"/>
        <v>0</v>
      </c>
      <c r="BU1084" s="61">
        <f t="shared" si="1238"/>
        <v>0</v>
      </c>
      <c r="BV1084" s="61">
        <f t="shared" si="1238"/>
        <v>0</v>
      </c>
      <c r="BW1084" s="61">
        <f t="shared" si="1238"/>
        <v>0</v>
      </c>
      <c r="BX1084" s="61">
        <f t="shared" si="1238"/>
        <v>3.0000000000000027E-2</v>
      </c>
      <c r="BY1084" s="61" t="s">
        <v>91</v>
      </c>
      <c r="CA1084" s="61">
        <f t="shared" si="1246"/>
        <v>-0.10380622837370242</v>
      </c>
      <c r="CB1084" s="61">
        <f t="shared" si="1246"/>
        <v>-0.10380622837370242</v>
      </c>
      <c r="CC1084" s="61">
        <f t="shared" si="1246"/>
        <v>-0.10380622837370242</v>
      </c>
      <c r="CD1084" s="61">
        <f t="shared" si="1246"/>
        <v>-0.10380622837370242</v>
      </c>
      <c r="CE1084" s="61">
        <f t="shared" si="1246"/>
        <v>-0.10380622837370242</v>
      </c>
      <c r="CF1084" s="61">
        <f t="shared" si="1246"/>
        <v>-0.10380622837370242</v>
      </c>
      <c r="CG1084" s="61">
        <f t="shared" si="1246"/>
        <v>-0.10380622837370242</v>
      </c>
      <c r="CH1084" s="61">
        <f t="shared" si="1209"/>
        <v>-0.10380622837370242</v>
      </c>
      <c r="CI1084" s="61">
        <f t="shared" si="1247"/>
        <v>-0.10380622837370242</v>
      </c>
      <c r="CJ1084" s="61"/>
      <c r="CK1084" s="61">
        <f t="shared" si="1260"/>
        <v>-0.15646156160673988</v>
      </c>
      <c r="CL1084" s="61">
        <f t="shared" si="1260"/>
        <v>-0.15646156160673988</v>
      </c>
      <c r="CM1084" s="61">
        <f t="shared" si="1260"/>
        <v>-0.15646156160673988</v>
      </c>
      <c r="CN1084" s="61">
        <f t="shared" si="1258"/>
        <v>-0.15646156160673988</v>
      </c>
      <c r="CO1084" s="61">
        <f t="shared" si="1258"/>
        <v>-0.15646156160673988</v>
      </c>
      <c r="CP1084" s="61">
        <f t="shared" si="1258"/>
        <v>-0.15646156160673988</v>
      </c>
      <c r="CQ1084" s="61">
        <f t="shared" si="1258"/>
        <v>-0.15646156160673988</v>
      </c>
      <c r="CR1084" s="61">
        <f t="shared" si="1210"/>
        <v>-0.15646156160673988</v>
      </c>
      <c r="CS1084" s="61">
        <f t="shared" si="1248"/>
        <v>-0.15646156160673988</v>
      </c>
      <c r="CT1084" s="61">
        <f t="shared" si="1252"/>
        <v>-1.04</v>
      </c>
      <c r="CV1084" s="61">
        <f t="shared" si="1221"/>
        <v>0</v>
      </c>
      <c r="CW1084" s="61">
        <f t="shared" si="1222"/>
        <v>0</v>
      </c>
      <c r="CX1084" s="61"/>
      <c r="CY1084" s="61">
        <f t="shared" si="1261"/>
        <v>0</v>
      </c>
      <c r="CZ1084" s="61">
        <f t="shared" si="1262"/>
        <v>0</v>
      </c>
      <c r="DA1084" s="61">
        <f t="shared" si="1239"/>
        <v>0</v>
      </c>
      <c r="DB1084" s="2" t="s">
        <v>102</v>
      </c>
      <c r="DC1084" s="2" t="s">
        <v>85</v>
      </c>
      <c r="DD1084" s="2" t="s">
        <v>142</v>
      </c>
      <c r="DE1084" s="2" t="s">
        <v>257</v>
      </c>
      <c r="DF1084" s="3" t="s">
        <v>102</v>
      </c>
      <c r="DG1084" s="62">
        <v>42823</v>
      </c>
      <c r="EC1084" s="60" t="str">
        <f>VLOOKUP($M1084,[1]Detail!$M:$BO,1,0)</f>
        <v>JD8T-15K870-AA</v>
      </c>
      <c r="ED1084" s="60">
        <f>VLOOKUP($M1084,[1]Detail!$M:$BO,22,0)</f>
        <v>-1.0999999999999999</v>
      </c>
      <c r="EE1084" s="60">
        <f>VLOOKUP($M1084,[1]Detail!$M:$BO,42,0)</f>
        <v>0</v>
      </c>
      <c r="EF1084" s="60">
        <f>VLOOKUP($M1084,[1]Detail!$M:$BO,45,0)</f>
        <v>0</v>
      </c>
      <c r="EH1084" s="60">
        <f t="shared" si="1264"/>
        <v>0</v>
      </c>
      <c r="EI1084" s="60">
        <f t="shared" si="1265"/>
        <v>0</v>
      </c>
      <c r="EJ1084" s="60">
        <f t="shared" si="1266"/>
        <v>0</v>
      </c>
    </row>
    <row r="1085" spans="2:140" s="115" customFormat="1" ht="12.75" hidden="1" customHeight="1">
      <c r="B1085" s="122" t="s">
        <v>1743</v>
      </c>
      <c r="C1085" s="115" t="s">
        <v>1061</v>
      </c>
      <c r="D1085" s="122" t="s">
        <v>1744</v>
      </c>
      <c r="E1085" s="122" t="s">
        <v>523</v>
      </c>
      <c r="F1085" s="115" t="s">
        <v>330</v>
      </c>
      <c r="G1085" s="122" t="s">
        <v>331</v>
      </c>
      <c r="J1085" s="99" t="s">
        <v>1745</v>
      </c>
      <c r="K1085" s="122" t="s">
        <v>1746</v>
      </c>
      <c r="L1085" s="99" t="s">
        <v>1602</v>
      </c>
      <c r="M1085" s="90" t="str">
        <f t="shared" si="1263"/>
        <v>E1GA-9Y460 -GA </v>
      </c>
      <c r="N1085" s="123"/>
      <c r="O1085" s="89">
        <v>0</v>
      </c>
      <c r="P1085" s="89">
        <v>0</v>
      </c>
      <c r="Q1085" s="89">
        <v>0</v>
      </c>
      <c r="R1085" s="89">
        <v>0</v>
      </c>
      <c r="S1085" s="89">
        <v>1</v>
      </c>
      <c r="T1085" s="89">
        <v>1</v>
      </c>
      <c r="U1085" s="89">
        <v>0</v>
      </c>
      <c r="V1085" s="89">
        <v>0</v>
      </c>
      <c r="W1085" s="125">
        <f t="shared" si="1199"/>
        <v>0.23</v>
      </c>
      <c r="Y1085" s="63">
        <v>-134.69999999999999</v>
      </c>
      <c r="Z1085" s="63">
        <v>0</v>
      </c>
      <c r="AA1085" s="63">
        <v>-1.27</v>
      </c>
      <c r="AB1085" s="63">
        <v>0</v>
      </c>
      <c r="AC1085" s="63">
        <v>0</v>
      </c>
      <c r="AD1085" s="126">
        <f t="shared" si="1188"/>
        <v>-135.97</v>
      </c>
      <c r="AE1085" s="115" t="s">
        <v>91</v>
      </c>
      <c r="AG1085" s="67">
        <v>0</v>
      </c>
      <c r="AH1085" s="67">
        <v>0</v>
      </c>
      <c r="AI1085" s="67"/>
      <c r="AJ1085" s="67">
        <v>0</v>
      </c>
      <c r="AK1085" s="67">
        <v>0</v>
      </c>
      <c r="AO1085" s="99" t="s">
        <v>1745</v>
      </c>
      <c r="AP1085" s="99" t="s">
        <v>1746</v>
      </c>
      <c r="AQ1085" s="99" t="s">
        <v>1602</v>
      </c>
      <c r="AR1085" s="115" t="s">
        <v>1727</v>
      </c>
      <c r="AS1085" s="123"/>
      <c r="AT1085" s="89">
        <v>0</v>
      </c>
      <c r="AU1085" s="89">
        <v>0</v>
      </c>
      <c r="AV1085" s="89">
        <v>0</v>
      </c>
      <c r="AW1085" s="89">
        <v>0</v>
      </c>
      <c r="AX1085" s="89">
        <v>1</v>
      </c>
      <c r="AY1085" s="89">
        <v>1</v>
      </c>
      <c r="AZ1085" s="89">
        <v>0</v>
      </c>
      <c r="BA1085" s="89">
        <v>0</v>
      </c>
      <c r="BB1085" s="125">
        <f t="shared" ref="BB1085:BB1101" si="1267">SUMPRODUCT(AT1085:BA1085,$O$6:$V$6)</f>
        <v>0.23</v>
      </c>
      <c r="BD1085" s="63">
        <v>-134.69999999999999</v>
      </c>
      <c r="BE1085" s="63">
        <v>0</v>
      </c>
      <c r="BF1085" s="63">
        <v>-1.27</v>
      </c>
      <c r="BG1085" s="63">
        <v>0</v>
      </c>
      <c r="BH1085" s="63">
        <v>0</v>
      </c>
      <c r="BI1085" s="126">
        <f>SUM(BD1085:BH1085)</f>
        <v>-135.97</v>
      </c>
      <c r="BJ1085" s="115" t="s">
        <v>91</v>
      </c>
      <c r="BL1085" s="67">
        <v>0</v>
      </c>
      <c r="BM1085" s="67">
        <v>0</v>
      </c>
      <c r="BN1085" s="67"/>
      <c r="BO1085" s="67">
        <v>0</v>
      </c>
      <c r="BP1085" s="67">
        <v>0</v>
      </c>
      <c r="BS1085" s="61">
        <f t="shared" si="1238"/>
        <v>0</v>
      </c>
      <c r="BT1085" s="61">
        <f t="shared" si="1238"/>
        <v>0</v>
      </c>
      <c r="BU1085" s="61">
        <f t="shared" si="1238"/>
        <v>0</v>
      </c>
      <c r="BV1085" s="61">
        <f t="shared" si="1238"/>
        <v>0</v>
      </c>
      <c r="BW1085" s="61">
        <f t="shared" si="1238"/>
        <v>0</v>
      </c>
      <c r="BX1085" s="61">
        <f t="shared" si="1238"/>
        <v>0</v>
      </c>
      <c r="BY1085" s="61" t="s">
        <v>91</v>
      </c>
      <c r="CA1085" s="61">
        <f t="shared" si="1246"/>
        <v>0</v>
      </c>
      <c r="CB1085" s="61">
        <f t="shared" si="1246"/>
        <v>0</v>
      </c>
      <c r="CC1085" s="61">
        <f t="shared" si="1246"/>
        <v>0</v>
      </c>
      <c r="CD1085" s="61">
        <f t="shared" si="1246"/>
        <v>0</v>
      </c>
      <c r="CE1085" s="61">
        <f t="shared" si="1246"/>
        <v>0</v>
      </c>
      <c r="CF1085" s="61">
        <f t="shared" si="1246"/>
        <v>0</v>
      </c>
      <c r="CG1085" s="61">
        <f t="shared" si="1246"/>
        <v>0</v>
      </c>
      <c r="CH1085" s="61">
        <f t="shared" si="1209"/>
        <v>0</v>
      </c>
      <c r="CI1085" s="61">
        <f t="shared" si="1247"/>
        <v>0</v>
      </c>
      <c r="CJ1085" s="61"/>
      <c r="CK1085" s="61">
        <f t="shared" si="1260"/>
        <v>0</v>
      </c>
      <c r="CL1085" s="61">
        <f t="shared" si="1260"/>
        <v>0</v>
      </c>
      <c r="CM1085" s="61">
        <f t="shared" si="1260"/>
        <v>0</v>
      </c>
      <c r="CN1085" s="61">
        <f t="shared" si="1258"/>
        <v>0</v>
      </c>
      <c r="CO1085" s="61">
        <f t="shared" si="1258"/>
        <v>0</v>
      </c>
      <c r="CP1085" s="61">
        <f t="shared" si="1258"/>
        <v>0</v>
      </c>
      <c r="CQ1085" s="61">
        <f t="shared" si="1258"/>
        <v>0</v>
      </c>
      <c r="CR1085" s="61">
        <f t="shared" si="1210"/>
        <v>0</v>
      </c>
      <c r="CS1085" s="61">
        <f t="shared" si="1248"/>
        <v>0</v>
      </c>
      <c r="CT1085" s="61">
        <f t="shared" si="1252"/>
        <v>0</v>
      </c>
      <c r="CV1085" s="61">
        <f t="shared" si="1221"/>
        <v>0</v>
      </c>
      <c r="CW1085" s="61">
        <f t="shared" si="1222"/>
        <v>0</v>
      </c>
      <c r="CX1085" s="61"/>
      <c r="CY1085" s="61">
        <f t="shared" si="1261"/>
        <v>0</v>
      </c>
      <c r="CZ1085" s="61">
        <f t="shared" si="1262"/>
        <v>0</v>
      </c>
      <c r="DA1085" s="61">
        <f t="shared" si="1239"/>
        <v>0</v>
      </c>
      <c r="DB1085" s="115" t="s">
        <v>102</v>
      </c>
      <c r="DC1085" s="115" t="s">
        <v>102</v>
      </c>
      <c r="DD1085" s="115" t="s">
        <v>142</v>
      </c>
      <c r="DE1085" s="115" t="s">
        <v>257</v>
      </c>
      <c r="DF1085" s="3" t="s">
        <v>86</v>
      </c>
      <c r="DG1085" s="62">
        <v>42833</v>
      </c>
      <c r="DZ1085" s="3"/>
      <c r="EC1085" s="60" t="str">
        <f>VLOOKUP($M1085,[1]Detail!$M:$BO,1,0)</f>
        <v>E1GA-9Y460 -GA </v>
      </c>
      <c r="ED1085" s="60">
        <f>VLOOKUP($M1085,[1]Detail!$M:$BO,22,0)</f>
        <v>-135.97</v>
      </c>
      <c r="EE1085" s="60">
        <f>VLOOKUP($M1085,[1]Detail!$M:$BO,42,0)</f>
        <v>0</v>
      </c>
      <c r="EF1085" s="60">
        <f>VLOOKUP($M1085,[1]Detail!$M:$BO,45,0)</f>
        <v>0</v>
      </c>
      <c r="EH1085" s="60">
        <f t="shared" si="1264"/>
        <v>0</v>
      </c>
      <c r="EI1085" s="60">
        <f t="shared" si="1265"/>
        <v>0</v>
      </c>
      <c r="EJ1085" s="60">
        <f t="shared" si="1266"/>
        <v>0</v>
      </c>
    </row>
    <row r="1086" spans="2:140" s="115" customFormat="1" ht="12.75" hidden="1" customHeight="1">
      <c r="B1086" s="122" t="s">
        <v>1747</v>
      </c>
      <c r="C1086" s="115" t="s">
        <v>1748</v>
      </c>
      <c r="D1086" s="115" t="s">
        <v>1749</v>
      </c>
      <c r="E1086" s="122" t="s">
        <v>523</v>
      </c>
      <c r="F1086" s="115" t="s">
        <v>330</v>
      </c>
      <c r="G1086" s="99" t="s">
        <v>339</v>
      </c>
      <c r="J1086" s="122" t="s">
        <v>1750</v>
      </c>
      <c r="K1086" s="122" t="s">
        <v>1751</v>
      </c>
      <c r="L1086" s="122" t="s">
        <v>180</v>
      </c>
      <c r="M1086" s="90" t="str">
        <f t="shared" si="1263"/>
        <v>JD8P -7B147-AA</v>
      </c>
      <c r="N1086" s="123"/>
      <c r="O1086" s="89">
        <v>0</v>
      </c>
      <c r="P1086" s="89">
        <v>0</v>
      </c>
      <c r="Q1086" s="89">
        <v>0</v>
      </c>
      <c r="R1086" s="89">
        <v>0</v>
      </c>
      <c r="S1086" s="89">
        <v>0</v>
      </c>
      <c r="T1086" s="89">
        <v>1</v>
      </c>
      <c r="U1086" s="89">
        <v>0</v>
      </c>
      <c r="V1086" s="89">
        <v>1</v>
      </c>
      <c r="W1086" s="125">
        <f t="shared" si="1199"/>
        <v>0.19</v>
      </c>
      <c r="Y1086" s="63">
        <v>-8.19</v>
      </c>
      <c r="Z1086" s="63">
        <v>-0.129</v>
      </c>
      <c r="AA1086" s="63">
        <v>-7.3999999999999996E-2</v>
      </c>
      <c r="AB1086" s="63">
        <v>0</v>
      </c>
      <c r="AC1086" s="63">
        <v>0</v>
      </c>
      <c r="AD1086" s="126">
        <f t="shared" si="1188"/>
        <v>-8.3929999999999989</v>
      </c>
      <c r="AE1086" s="115" t="s">
        <v>91</v>
      </c>
      <c r="AG1086" s="67">
        <v>-396700</v>
      </c>
      <c r="AH1086" s="67">
        <v>-396700</v>
      </c>
      <c r="AI1086" s="6"/>
      <c r="AJ1086" s="67">
        <v>0</v>
      </c>
      <c r="AK1086" s="67">
        <v>0</v>
      </c>
      <c r="AO1086" s="122" t="s">
        <v>1750</v>
      </c>
      <c r="AP1086" s="122" t="s">
        <v>1751</v>
      </c>
      <c r="AQ1086" s="122" t="s">
        <v>180</v>
      </c>
      <c r="AR1086" s="115" t="s">
        <v>1727</v>
      </c>
      <c r="AS1086" s="123"/>
      <c r="AT1086" s="89">
        <v>0</v>
      </c>
      <c r="AU1086" s="89">
        <v>0</v>
      </c>
      <c r="AV1086" s="89">
        <v>0</v>
      </c>
      <c r="AW1086" s="89">
        <v>0</v>
      </c>
      <c r="AX1086" s="89">
        <v>0</v>
      </c>
      <c r="AY1086" s="89">
        <v>1</v>
      </c>
      <c r="AZ1086" s="89">
        <v>0</v>
      </c>
      <c r="BA1086" s="89">
        <v>1</v>
      </c>
      <c r="BB1086" s="125">
        <f t="shared" si="1267"/>
        <v>0.19</v>
      </c>
      <c r="BD1086" s="63">
        <v>-8.19</v>
      </c>
      <c r="BE1086" s="63">
        <v>-0.129</v>
      </c>
      <c r="BF1086" s="63">
        <v>-7.3999999999999996E-2</v>
      </c>
      <c r="BG1086" s="63">
        <v>0</v>
      </c>
      <c r="BH1086" s="63">
        <v>0</v>
      </c>
      <c r="BI1086" s="126">
        <f>SUM(BD1086:BH1086)</f>
        <v>-8.3929999999999989</v>
      </c>
      <c r="BJ1086" s="115" t="s">
        <v>91</v>
      </c>
      <c r="BL1086" s="67">
        <v>-396700</v>
      </c>
      <c r="BM1086" s="67">
        <v>-396700</v>
      </c>
      <c r="BN1086" s="246"/>
      <c r="BO1086" s="67">
        <v>0</v>
      </c>
      <c r="BP1086" s="67">
        <v>0</v>
      </c>
      <c r="BS1086" s="61">
        <f t="shared" si="1238"/>
        <v>0</v>
      </c>
      <c r="BT1086" s="61">
        <f t="shared" si="1238"/>
        <v>0</v>
      </c>
      <c r="BU1086" s="61">
        <f t="shared" si="1238"/>
        <v>0</v>
      </c>
      <c r="BV1086" s="61">
        <f t="shared" si="1238"/>
        <v>0</v>
      </c>
      <c r="BW1086" s="61">
        <f t="shared" si="1238"/>
        <v>0</v>
      </c>
      <c r="BX1086" s="61">
        <f t="shared" si="1238"/>
        <v>0</v>
      </c>
      <c r="BY1086" s="61" t="s">
        <v>91</v>
      </c>
      <c r="CA1086" s="61">
        <f t="shared" si="1246"/>
        <v>0</v>
      </c>
      <c r="CB1086" s="61">
        <f t="shared" si="1246"/>
        <v>0</v>
      </c>
      <c r="CC1086" s="61">
        <f t="shared" si="1246"/>
        <v>0</v>
      </c>
      <c r="CD1086" s="61">
        <f t="shared" si="1246"/>
        <v>0</v>
      </c>
      <c r="CE1086" s="61">
        <f t="shared" si="1246"/>
        <v>0</v>
      </c>
      <c r="CF1086" s="61">
        <f t="shared" si="1246"/>
        <v>0</v>
      </c>
      <c r="CG1086" s="61">
        <f t="shared" si="1246"/>
        <v>0</v>
      </c>
      <c r="CH1086" s="61">
        <f t="shared" si="1209"/>
        <v>0</v>
      </c>
      <c r="CI1086" s="61">
        <f t="shared" si="1247"/>
        <v>0</v>
      </c>
      <c r="CJ1086" s="61"/>
      <c r="CK1086" s="61">
        <f t="shared" si="1260"/>
        <v>0</v>
      </c>
      <c r="CL1086" s="61">
        <f t="shared" si="1260"/>
        <v>0</v>
      </c>
      <c r="CM1086" s="61">
        <f t="shared" si="1260"/>
        <v>0</v>
      </c>
      <c r="CN1086" s="61">
        <f t="shared" si="1258"/>
        <v>0</v>
      </c>
      <c r="CO1086" s="61">
        <f t="shared" si="1258"/>
        <v>0</v>
      </c>
      <c r="CP1086" s="61">
        <f t="shared" si="1258"/>
        <v>0</v>
      </c>
      <c r="CQ1086" s="61">
        <f t="shared" si="1258"/>
        <v>0</v>
      </c>
      <c r="CR1086" s="61">
        <f t="shared" si="1210"/>
        <v>0</v>
      </c>
      <c r="CS1086" s="61">
        <f t="shared" si="1248"/>
        <v>0</v>
      </c>
      <c r="CT1086" s="61">
        <f t="shared" si="1252"/>
        <v>0</v>
      </c>
      <c r="CV1086" s="61">
        <f t="shared" si="1221"/>
        <v>0</v>
      </c>
      <c r="CW1086" s="61">
        <f t="shared" si="1222"/>
        <v>0</v>
      </c>
      <c r="CX1086" s="61"/>
      <c r="CY1086" s="61">
        <f t="shared" si="1261"/>
        <v>0</v>
      </c>
      <c r="CZ1086" s="61">
        <f t="shared" si="1262"/>
        <v>0</v>
      </c>
      <c r="DA1086" s="61">
        <f t="shared" si="1239"/>
        <v>0</v>
      </c>
      <c r="DB1086" s="115" t="s">
        <v>102</v>
      </c>
      <c r="DC1086" s="115" t="s">
        <v>102</v>
      </c>
      <c r="DD1086" s="115" t="s">
        <v>142</v>
      </c>
      <c r="DE1086" s="115" t="s">
        <v>257</v>
      </c>
      <c r="DF1086" s="3" t="s">
        <v>86</v>
      </c>
      <c r="DG1086" s="62">
        <v>42839</v>
      </c>
      <c r="DZ1086" s="3"/>
      <c r="EC1086" s="60" t="str">
        <f>VLOOKUP($M1086,[1]Detail!$M:$BO,1,0)</f>
        <v>JD8P -7B147-AA</v>
      </c>
      <c r="ED1086" s="60">
        <f>VLOOKUP($M1086,[1]Detail!$M:$BO,22,0)</f>
        <v>-8.4</v>
      </c>
      <c r="EE1086" s="60">
        <f>VLOOKUP($M1086,[1]Detail!$M:$BO,42,0)</f>
        <v>-396700</v>
      </c>
      <c r="EF1086" s="60">
        <f>VLOOKUP($M1086,[1]Detail!$M:$BO,45,0)</f>
        <v>0</v>
      </c>
      <c r="EH1086" s="60">
        <f t="shared" si="1264"/>
        <v>-7.0000000000014495E-3</v>
      </c>
      <c r="EI1086" s="60">
        <f t="shared" si="1265"/>
        <v>0</v>
      </c>
      <c r="EJ1086" s="60">
        <f t="shared" si="1266"/>
        <v>0</v>
      </c>
    </row>
    <row r="1087" spans="2:140" ht="12.75" hidden="1" customHeight="1">
      <c r="B1087" s="23" t="s">
        <v>1752</v>
      </c>
      <c r="C1087" s="2" t="s">
        <v>1198</v>
      </c>
      <c r="D1087" s="2" t="s">
        <v>1753</v>
      </c>
      <c r="E1087" s="1" t="s">
        <v>1005</v>
      </c>
      <c r="F1087" s="2" t="s">
        <v>330</v>
      </c>
      <c r="G1087" s="87" t="s">
        <v>331</v>
      </c>
      <c r="J1087" s="87" t="s">
        <v>864</v>
      </c>
      <c r="K1087" s="1" t="s">
        <v>1754</v>
      </c>
      <c r="L1087" s="87" t="s">
        <v>253</v>
      </c>
      <c r="M1087" s="90" t="str">
        <f t="shared" si="1263"/>
        <v>JD81-6F012-CA</v>
      </c>
      <c r="O1087" s="89">
        <v>1</v>
      </c>
      <c r="P1087" s="89">
        <v>1</v>
      </c>
      <c r="Q1087" s="89">
        <v>1</v>
      </c>
      <c r="R1087" s="89">
        <v>1</v>
      </c>
      <c r="S1087" s="89">
        <v>0</v>
      </c>
      <c r="T1087" s="89">
        <v>0</v>
      </c>
      <c r="U1087" s="89">
        <v>1</v>
      </c>
      <c r="V1087" s="89">
        <v>0</v>
      </c>
      <c r="W1087" s="64">
        <f t="shared" si="1199"/>
        <v>0.72000000000000008</v>
      </c>
      <c r="Y1087" s="63">
        <v>-101.3</v>
      </c>
      <c r="Z1087" s="63">
        <v>-1.9</v>
      </c>
      <c r="AA1087" s="63">
        <v>-1.73</v>
      </c>
      <c r="AB1087" s="63">
        <v>0</v>
      </c>
      <c r="AC1087" s="63">
        <v>-1.06</v>
      </c>
      <c r="AD1087" s="8">
        <f t="shared" si="1188"/>
        <v>-105.99000000000001</v>
      </c>
      <c r="AE1087" s="2" t="s">
        <v>91</v>
      </c>
      <c r="AG1087" s="67">
        <v>-791180</v>
      </c>
      <c r="AH1087" s="67">
        <v>-791180</v>
      </c>
      <c r="AI1087" s="6"/>
      <c r="AJ1087" s="67">
        <v>-436726.37</v>
      </c>
      <c r="AK1087" s="67">
        <v>413928</v>
      </c>
      <c r="AM1087" s="22"/>
      <c r="AO1087" s="87" t="s">
        <v>864</v>
      </c>
      <c r="AP1087" s="87" t="s">
        <v>1754</v>
      </c>
      <c r="AQ1087" s="87" t="s">
        <v>253</v>
      </c>
      <c r="AR1087" s="2" t="s">
        <v>1755</v>
      </c>
      <c r="AS1087" s="3"/>
      <c r="AT1087" s="89">
        <v>1</v>
      </c>
      <c r="AU1087" s="89">
        <v>1</v>
      </c>
      <c r="AV1087" s="89">
        <v>1</v>
      </c>
      <c r="AW1087" s="89">
        <v>1</v>
      </c>
      <c r="AX1087" s="89">
        <v>0</v>
      </c>
      <c r="AY1087" s="89">
        <v>0</v>
      </c>
      <c r="AZ1087" s="89">
        <v>1</v>
      </c>
      <c r="BA1087" s="89">
        <v>0</v>
      </c>
      <c r="BB1087" s="64">
        <f t="shared" si="1267"/>
        <v>0.72000000000000008</v>
      </c>
      <c r="BD1087" s="63">
        <v>-101.3</v>
      </c>
      <c r="BE1087" s="63">
        <v>-1.9</v>
      </c>
      <c r="BF1087" s="63">
        <v>-1.73</v>
      </c>
      <c r="BG1087" s="63">
        <v>0</v>
      </c>
      <c r="BH1087" s="63">
        <v>-1.06</v>
      </c>
      <c r="BI1087" s="95">
        <v>-105.99000000000001</v>
      </c>
      <c r="BJ1087" s="2" t="s">
        <v>91</v>
      </c>
      <c r="BL1087" s="67">
        <v>-791180</v>
      </c>
      <c r="BM1087" s="67">
        <v>-791180</v>
      </c>
      <c r="BN1087" s="246"/>
      <c r="BO1087" s="67">
        <v>-436726.37</v>
      </c>
      <c r="BP1087" s="67">
        <v>413928</v>
      </c>
      <c r="BS1087" s="61">
        <f t="shared" si="1238"/>
        <v>0</v>
      </c>
      <c r="BT1087" s="61">
        <f t="shared" si="1238"/>
        <v>0</v>
      </c>
      <c r="BU1087" s="61">
        <f t="shared" si="1238"/>
        <v>0</v>
      </c>
      <c r="BV1087" s="61">
        <f t="shared" si="1238"/>
        <v>0</v>
      </c>
      <c r="BW1087" s="61">
        <f t="shared" si="1238"/>
        <v>0</v>
      </c>
      <c r="BX1087" s="61">
        <f t="shared" si="1238"/>
        <v>0</v>
      </c>
      <c r="BY1087" s="61" t="s">
        <v>91</v>
      </c>
      <c r="CA1087" s="61">
        <f t="shared" si="1246"/>
        <v>0</v>
      </c>
      <c r="CB1087" s="61">
        <f t="shared" si="1246"/>
        <v>0</v>
      </c>
      <c r="CC1087" s="61">
        <f t="shared" si="1246"/>
        <v>0</v>
      </c>
      <c r="CD1087" s="61">
        <f t="shared" si="1246"/>
        <v>0</v>
      </c>
      <c r="CE1087" s="61">
        <f t="shared" si="1246"/>
        <v>0</v>
      </c>
      <c r="CF1087" s="61">
        <f t="shared" si="1246"/>
        <v>0</v>
      </c>
      <c r="CG1087" s="61">
        <f t="shared" si="1246"/>
        <v>0</v>
      </c>
      <c r="CH1087" s="61">
        <f t="shared" si="1209"/>
        <v>0</v>
      </c>
      <c r="CI1087" s="61">
        <f t="shared" si="1247"/>
        <v>0</v>
      </c>
      <c r="CJ1087" s="61"/>
      <c r="CK1087" s="61">
        <f t="shared" si="1260"/>
        <v>0</v>
      </c>
      <c r="CL1087" s="61">
        <f t="shared" si="1260"/>
        <v>0</v>
      </c>
      <c r="CM1087" s="61">
        <f t="shared" si="1260"/>
        <v>0</v>
      </c>
      <c r="CN1087" s="61">
        <f t="shared" si="1258"/>
        <v>0</v>
      </c>
      <c r="CO1087" s="61">
        <f t="shared" si="1258"/>
        <v>0</v>
      </c>
      <c r="CP1087" s="61">
        <f t="shared" si="1258"/>
        <v>0</v>
      </c>
      <c r="CQ1087" s="61">
        <f t="shared" si="1258"/>
        <v>0</v>
      </c>
      <c r="CR1087" s="61">
        <f t="shared" si="1210"/>
        <v>0</v>
      </c>
      <c r="CS1087" s="61">
        <f t="shared" si="1248"/>
        <v>0</v>
      </c>
      <c r="CT1087" s="61">
        <f t="shared" si="1252"/>
        <v>0</v>
      </c>
      <c r="CV1087" s="61">
        <f t="shared" si="1221"/>
        <v>0</v>
      </c>
      <c r="CW1087" s="61">
        <f t="shared" si="1222"/>
        <v>0</v>
      </c>
      <c r="CX1087" s="61"/>
      <c r="CY1087" s="61">
        <f t="shared" si="1261"/>
        <v>0</v>
      </c>
      <c r="CZ1087" s="61">
        <f t="shared" si="1262"/>
        <v>0</v>
      </c>
      <c r="DA1087" s="61">
        <f t="shared" si="1239"/>
        <v>0</v>
      </c>
      <c r="DB1087" s="2" t="s">
        <v>102</v>
      </c>
      <c r="DC1087" s="2" t="s">
        <v>102</v>
      </c>
      <c r="DD1087" s="2" t="s">
        <v>142</v>
      </c>
      <c r="DE1087" s="2" t="s">
        <v>257</v>
      </c>
      <c r="DF1087" s="3" t="s">
        <v>86</v>
      </c>
      <c r="DG1087" s="62">
        <v>42850</v>
      </c>
      <c r="EC1087" s="60" t="str">
        <f>VLOOKUP($M1087,[1]Detail!$M:$BO,1,0)</f>
        <v>JD81-6F012-CA</v>
      </c>
      <c r="ED1087" s="60">
        <f>VLOOKUP($M1087,[1]Detail!$M:$BO,22,0)</f>
        <v>-105.99000000000001</v>
      </c>
      <c r="EE1087" s="60">
        <f>VLOOKUP($M1087,[1]Detail!$M:$BO,42,0)</f>
        <v>-791180</v>
      </c>
      <c r="EF1087" s="60">
        <f>VLOOKUP($M1087,[1]Detail!$M:$BO,45,0)</f>
        <v>-436726.37</v>
      </c>
      <c r="EH1087" s="60">
        <f t="shared" si="1264"/>
        <v>0</v>
      </c>
      <c r="EI1087" s="60">
        <f t="shared" si="1265"/>
        <v>0</v>
      </c>
      <c r="EJ1087" s="60">
        <f t="shared" si="1266"/>
        <v>0</v>
      </c>
    </row>
    <row r="1088" spans="2:140" ht="12.75" hidden="1" customHeight="1">
      <c r="B1088" s="23" t="s">
        <v>1752</v>
      </c>
      <c r="C1088" s="2" t="s">
        <v>1198</v>
      </c>
      <c r="D1088" s="86" t="s">
        <v>1753</v>
      </c>
      <c r="E1088" s="86" t="s">
        <v>1005</v>
      </c>
      <c r="F1088" s="87" t="s">
        <v>330</v>
      </c>
      <c r="G1088" s="87" t="s">
        <v>331</v>
      </c>
      <c r="J1088" s="87" t="s">
        <v>1756</v>
      </c>
      <c r="K1088" s="1" t="s">
        <v>1757</v>
      </c>
      <c r="L1088" s="87" t="s">
        <v>1758</v>
      </c>
      <c r="M1088" s="90" t="str">
        <f t="shared" si="1263"/>
        <v>F1F1-7M121-HB</v>
      </c>
      <c r="O1088" s="89">
        <v>1</v>
      </c>
      <c r="P1088" s="89">
        <v>1</v>
      </c>
      <c r="Q1088" s="89">
        <v>1</v>
      </c>
      <c r="R1088" s="89">
        <v>1</v>
      </c>
      <c r="S1088" s="89">
        <v>1</v>
      </c>
      <c r="T1088" s="89">
        <v>1</v>
      </c>
      <c r="U1088" s="89">
        <v>1</v>
      </c>
      <c r="V1088" s="89">
        <v>1</v>
      </c>
      <c r="W1088" s="64">
        <f t="shared" si="1199"/>
        <v>1</v>
      </c>
      <c r="Y1088" s="95">
        <v>-68.38</v>
      </c>
      <c r="Z1088" s="95">
        <v>-2.1</v>
      </c>
      <c r="AA1088" s="95">
        <v>-1.23</v>
      </c>
      <c r="AB1088" s="95">
        <v>0</v>
      </c>
      <c r="AC1088" s="95">
        <v>0</v>
      </c>
      <c r="AD1088" s="8">
        <f t="shared" si="1188"/>
        <v>-71.709999999999994</v>
      </c>
      <c r="AE1088" s="2" t="s">
        <v>91</v>
      </c>
      <c r="AG1088" s="246">
        <v>-179170</v>
      </c>
      <c r="AH1088" s="246">
        <v>-179170</v>
      </c>
      <c r="AI1088" s="6"/>
      <c r="AJ1088" s="246">
        <v>0</v>
      </c>
      <c r="AK1088" s="246">
        <v>0</v>
      </c>
      <c r="AM1088" s="22"/>
      <c r="AO1088" s="87" t="s">
        <v>1756</v>
      </c>
      <c r="AP1088" s="87" t="s">
        <v>1757</v>
      </c>
      <c r="AQ1088" s="87" t="s">
        <v>1758</v>
      </c>
      <c r="AR1088" s="2" t="s">
        <v>1759</v>
      </c>
      <c r="AS1088" s="87"/>
      <c r="AT1088" s="91">
        <v>1</v>
      </c>
      <c r="AU1088" s="91">
        <v>1</v>
      </c>
      <c r="AV1088" s="91">
        <v>1</v>
      </c>
      <c r="AW1088" s="91">
        <v>1</v>
      </c>
      <c r="AX1088" s="91">
        <v>1</v>
      </c>
      <c r="AY1088" s="91">
        <v>1</v>
      </c>
      <c r="AZ1088" s="91">
        <v>1</v>
      </c>
      <c r="BA1088" s="91">
        <v>1</v>
      </c>
      <c r="BB1088" s="92">
        <f t="shared" si="1267"/>
        <v>1</v>
      </c>
      <c r="BD1088" s="95">
        <v>-68.38</v>
      </c>
      <c r="BE1088" s="95">
        <v>-2.1</v>
      </c>
      <c r="BF1088" s="95">
        <v>-1.23</v>
      </c>
      <c r="BG1088" s="95">
        <v>0</v>
      </c>
      <c r="BH1088" s="95">
        <v>0</v>
      </c>
      <c r="BI1088" s="95">
        <v>-71.709999999999994</v>
      </c>
      <c r="BJ1088" s="2" t="s">
        <v>91</v>
      </c>
      <c r="BL1088" s="246">
        <v>-179170</v>
      </c>
      <c r="BM1088" s="246">
        <v>-179170</v>
      </c>
      <c r="BN1088" s="246"/>
      <c r="BO1088" s="246">
        <v>0</v>
      </c>
      <c r="BP1088" s="246">
        <v>0</v>
      </c>
      <c r="BS1088" s="61">
        <f t="shared" si="1238"/>
        <v>0</v>
      </c>
      <c r="BT1088" s="61">
        <f t="shared" si="1238"/>
        <v>0</v>
      </c>
      <c r="BU1088" s="61">
        <f t="shared" si="1238"/>
        <v>0</v>
      </c>
      <c r="BV1088" s="61">
        <f t="shared" si="1238"/>
        <v>0</v>
      </c>
      <c r="BW1088" s="61">
        <f t="shared" si="1238"/>
        <v>0</v>
      </c>
      <c r="BX1088" s="61">
        <f t="shared" si="1238"/>
        <v>0</v>
      </c>
      <c r="BY1088" s="61" t="s">
        <v>91</v>
      </c>
      <c r="CA1088" s="61">
        <f t="shared" si="1246"/>
        <v>0</v>
      </c>
      <c r="CB1088" s="61">
        <f t="shared" si="1246"/>
        <v>0</v>
      </c>
      <c r="CC1088" s="61">
        <f t="shared" si="1246"/>
        <v>0</v>
      </c>
      <c r="CD1088" s="61">
        <f t="shared" si="1246"/>
        <v>0</v>
      </c>
      <c r="CE1088" s="61">
        <f t="shared" si="1246"/>
        <v>0</v>
      </c>
      <c r="CF1088" s="61">
        <f t="shared" si="1246"/>
        <v>0</v>
      </c>
      <c r="CG1088" s="61">
        <f t="shared" si="1246"/>
        <v>0</v>
      </c>
      <c r="CH1088" s="61">
        <f t="shared" si="1209"/>
        <v>0</v>
      </c>
      <c r="CI1088" s="61">
        <f t="shared" si="1247"/>
        <v>0</v>
      </c>
      <c r="CJ1088" s="61"/>
      <c r="CK1088" s="61">
        <f t="shared" si="1260"/>
        <v>0</v>
      </c>
      <c r="CL1088" s="61">
        <f t="shared" si="1260"/>
        <v>0</v>
      </c>
      <c r="CM1088" s="61">
        <f t="shared" si="1260"/>
        <v>0</v>
      </c>
      <c r="CN1088" s="61">
        <f t="shared" si="1258"/>
        <v>0</v>
      </c>
      <c r="CO1088" s="61">
        <f t="shared" si="1258"/>
        <v>0</v>
      </c>
      <c r="CP1088" s="61">
        <f t="shared" si="1258"/>
        <v>0</v>
      </c>
      <c r="CQ1088" s="61">
        <f t="shared" si="1258"/>
        <v>0</v>
      </c>
      <c r="CR1088" s="61">
        <f t="shared" si="1210"/>
        <v>0</v>
      </c>
      <c r="CS1088" s="61">
        <f t="shared" si="1248"/>
        <v>0</v>
      </c>
      <c r="CT1088" s="61">
        <f t="shared" si="1252"/>
        <v>0</v>
      </c>
      <c r="CV1088" s="61">
        <f t="shared" si="1221"/>
        <v>0</v>
      </c>
      <c r="CW1088" s="61">
        <f t="shared" si="1222"/>
        <v>0</v>
      </c>
      <c r="CX1088" s="61"/>
      <c r="CY1088" s="61">
        <f t="shared" si="1261"/>
        <v>0</v>
      </c>
      <c r="CZ1088" s="61">
        <f t="shared" si="1262"/>
        <v>0</v>
      </c>
      <c r="DA1088" s="61">
        <f t="shared" si="1239"/>
        <v>0</v>
      </c>
      <c r="DB1088" s="2" t="s">
        <v>85</v>
      </c>
      <c r="DC1088" s="2" t="s">
        <v>102</v>
      </c>
      <c r="DD1088" s="2" t="s">
        <v>142</v>
      </c>
      <c r="DE1088" s="2" t="s">
        <v>257</v>
      </c>
      <c r="DF1088" s="3" t="s">
        <v>86</v>
      </c>
      <c r="DG1088" s="62">
        <v>42850</v>
      </c>
      <c r="EC1088" s="60"/>
      <c r="ED1088" s="60"/>
      <c r="EE1088" s="60"/>
      <c r="EF1088" s="60"/>
    </row>
    <row r="1089" spans="1:140" ht="12.75" hidden="1" customHeight="1">
      <c r="B1089" s="23" t="s">
        <v>1587</v>
      </c>
      <c r="C1089" s="2" t="s">
        <v>1198</v>
      </c>
      <c r="D1089" s="86" t="s">
        <v>1753</v>
      </c>
      <c r="E1089" s="86" t="s">
        <v>1005</v>
      </c>
      <c r="F1089" s="87" t="s">
        <v>330</v>
      </c>
      <c r="G1089" s="87" t="s">
        <v>331</v>
      </c>
      <c r="J1089" s="87" t="s">
        <v>1760</v>
      </c>
      <c r="K1089" s="1" t="s">
        <v>1757</v>
      </c>
      <c r="L1089" s="87" t="s">
        <v>362</v>
      </c>
      <c r="M1089" s="90" t="str">
        <f t="shared" si="1263"/>
        <v>JD81 -7M121-EA</v>
      </c>
      <c r="O1089" s="89">
        <v>1</v>
      </c>
      <c r="P1089" s="89">
        <v>1</v>
      </c>
      <c r="Q1089" s="89">
        <v>1</v>
      </c>
      <c r="R1089" s="89">
        <v>0</v>
      </c>
      <c r="S1089" s="89">
        <v>1</v>
      </c>
      <c r="T1089" s="89">
        <v>1</v>
      </c>
      <c r="U1089" s="89">
        <v>1</v>
      </c>
      <c r="V1089" s="89">
        <v>0</v>
      </c>
      <c r="W1089" s="64">
        <f t="shared" si="1199"/>
        <v>0.72000000000000008</v>
      </c>
      <c r="Y1089" s="95">
        <f>-68.38-5.52</f>
        <v>-73.899999999999991</v>
      </c>
      <c r="Z1089" s="95">
        <v>-2.1</v>
      </c>
      <c r="AA1089" s="95">
        <v>-1.23</v>
      </c>
      <c r="AB1089" s="95">
        <v>0</v>
      </c>
      <c r="AC1089" s="95">
        <v>0</v>
      </c>
      <c r="AD1089" s="8">
        <f t="shared" ref="AD1089:AD1090" si="1268">SUM(Y1089:AC1089)</f>
        <v>-77.22999999999999</v>
      </c>
      <c r="AE1089" s="2" t="s">
        <v>91</v>
      </c>
      <c r="AG1089" s="246">
        <f>-179170-242620</f>
        <v>-421790</v>
      </c>
      <c r="AH1089" s="246">
        <f>-179170-242620</f>
        <v>-421790</v>
      </c>
      <c r="AI1089" s="6"/>
      <c r="AJ1089" s="246">
        <v>0</v>
      </c>
      <c r="AK1089" s="246">
        <v>0</v>
      </c>
      <c r="AM1089" s="22"/>
      <c r="AO1089" s="87" t="s">
        <v>1756</v>
      </c>
      <c r="AP1089" s="1" t="s">
        <v>1757</v>
      </c>
      <c r="AQ1089" s="87" t="s">
        <v>1758</v>
      </c>
      <c r="AR1089" s="90" t="str">
        <f t="shared" ref="AR1089:AR1090" si="1269">TRIM(AO1089)&amp;"-"&amp;TRIM(AP1089)&amp;"-"&amp;TRIM(AQ1089)</f>
        <v>F1F1-7M121-HB</v>
      </c>
      <c r="AS1089" s="87"/>
      <c r="AT1089" s="89">
        <v>1</v>
      </c>
      <c r="AU1089" s="89">
        <v>1</v>
      </c>
      <c r="AV1089" s="89">
        <v>1</v>
      </c>
      <c r="AW1089" s="89">
        <v>0</v>
      </c>
      <c r="AX1089" s="89">
        <v>1</v>
      </c>
      <c r="AY1089" s="89">
        <v>1</v>
      </c>
      <c r="AZ1089" s="89">
        <v>1</v>
      </c>
      <c r="BA1089" s="89">
        <v>0</v>
      </c>
      <c r="BB1089" s="64">
        <f t="shared" si="1267"/>
        <v>0.72000000000000008</v>
      </c>
      <c r="BD1089" s="95">
        <v>-68.38</v>
      </c>
      <c r="BE1089" s="95">
        <v>-2.1</v>
      </c>
      <c r="BF1089" s="95">
        <v>-1.23</v>
      </c>
      <c r="BG1089" s="95">
        <v>0</v>
      </c>
      <c r="BH1089" s="95">
        <v>0</v>
      </c>
      <c r="BI1089" s="95">
        <v>-71.709999999999994</v>
      </c>
      <c r="BJ1089" s="2" t="s">
        <v>91</v>
      </c>
      <c r="BL1089" s="246">
        <v>-179170</v>
      </c>
      <c r="BM1089" s="246">
        <v>-179170</v>
      </c>
      <c r="BN1089" s="246"/>
      <c r="BO1089" s="246">
        <v>0</v>
      </c>
      <c r="BP1089" s="246">
        <v>0</v>
      </c>
      <c r="BS1089" s="61">
        <f t="shared" si="1238"/>
        <v>-5.519999999999996</v>
      </c>
      <c r="BT1089" s="61">
        <f t="shared" si="1238"/>
        <v>0</v>
      </c>
      <c r="BU1089" s="61">
        <f t="shared" si="1238"/>
        <v>0</v>
      </c>
      <c r="BV1089" s="61">
        <f t="shared" si="1238"/>
        <v>0</v>
      </c>
      <c r="BW1089" s="61">
        <f t="shared" si="1238"/>
        <v>0</v>
      </c>
      <c r="BX1089" s="61">
        <f t="shared" si="1238"/>
        <v>-5.519999999999996</v>
      </c>
      <c r="BY1089" s="61" t="s">
        <v>91</v>
      </c>
      <c r="CA1089" s="61">
        <f t="shared" si="1246"/>
        <v>-0.83044982698961878</v>
      </c>
      <c r="CB1089" s="61">
        <f t="shared" si="1246"/>
        <v>-0.83044982698961878</v>
      </c>
      <c r="CC1089" s="61">
        <f t="shared" si="1246"/>
        <v>-0.83044982698961878</v>
      </c>
      <c r="CD1089" s="61">
        <f t="shared" si="1246"/>
        <v>0</v>
      </c>
      <c r="CE1089" s="61">
        <f t="shared" si="1246"/>
        <v>-0.83044982698961878</v>
      </c>
      <c r="CF1089" s="61">
        <f t="shared" si="1246"/>
        <v>-0.83044982698961878</v>
      </c>
      <c r="CG1089" s="61">
        <f t="shared" si="1246"/>
        <v>-0.83044982698961878</v>
      </c>
      <c r="CH1089" s="61">
        <f t="shared" si="1209"/>
        <v>0</v>
      </c>
      <c r="CI1089" s="61">
        <f t="shared" si="1247"/>
        <v>-0.59792387543252545</v>
      </c>
      <c r="CJ1089" s="61"/>
      <c r="CK1089" s="61">
        <f t="shared" si="1260"/>
        <v>-0.83044982698961878</v>
      </c>
      <c r="CL1089" s="61">
        <f t="shared" si="1260"/>
        <v>-0.83044982698961878</v>
      </c>
      <c r="CM1089" s="61">
        <f t="shared" si="1260"/>
        <v>-0.83044982698961878</v>
      </c>
      <c r="CN1089" s="61">
        <f t="shared" si="1258"/>
        <v>0</v>
      </c>
      <c r="CO1089" s="61">
        <f t="shared" si="1258"/>
        <v>-0.83044982698961878</v>
      </c>
      <c r="CP1089" s="61">
        <f t="shared" si="1258"/>
        <v>-0.83044982698961878</v>
      </c>
      <c r="CQ1089" s="61">
        <f t="shared" si="1258"/>
        <v>-0.83044982698961878</v>
      </c>
      <c r="CR1089" s="61">
        <f t="shared" si="1210"/>
        <v>0</v>
      </c>
      <c r="CS1089" s="61">
        <f t="shared" si="1248"/>
        <v>-0.59792387543252545</v>
      </c>
      <c r="CT1089" s="241">
        <f t="shared" si="1252"/>
        <v>-3.974399999999997</v>
      </c>
      <c r="CV1089" s="61">
        <f t="shared" ref="CV1089:CV1090" si="1270">SUM(AG1089)-SUM(BL1089)</f>
        <v>-242620</v>
      </c>
      <c r="CW1089" s="61">
        <f t="shared" ref="CW1089:CW1090" si="1271">SUM(AH1089)-SUM(BM1089)</f>
        <v>-242620</v>
      </c>
      <c r="CX1089" s="61"/>
      <c r="CY1089" s="61">
        <f t="shared" ref="CY1089:DA1090" si="1272">SUM(AJ1089)-SUM(BO1089)</f>
        <v>0</v>
      </c>
      <c r="CZ1089" s="61">
        <f t="shared" si="1272"/>
        <v>0</v>
      </c>
      <c r="DA1089" s="61">
        <f t="shared" si="1272"/>
        <v>0</v>
      </c>
      <c r="DB1089" s="2" t="s">
        <v>102</v>
      </c>
      <c r="DC1089" s="2" t="s">
        <v>102</v>
      </c>
      <c r="DD1089" s="2" t="s">
        <v>142</v>
      </c>
      <c r="DE1089" s="2" t="s">
        <v>106</v>
      </c>
      <c r="DG1089" s="62"/>
      <c r="DZ1089" s="3" t="e">
        <v>#N/A</v>
      </c>
      <c r="EC1089" s="60" t="str">
        <f>VLOOKUP($M1089,[1]Detail!$M:$BO,1,0)</f>
        <v>JD81 -7M121-EA</v>
      </c>
      <c r="ED1089" s="60">
        <f>VLOOKUP($M1089,[1]Detail!$M:$BO,22,0)</f>
        <v>-77.22999999999999</v>
      </c>
      <c r="EE1089" s="247">
        <f>VLOOKUP($M1089,[1]Detail!$M:$BO,42,0)</f>
        <v>-421790</v>
      </c>
      <c r="EF1089" s="60">
        <f>VLOOKUP($M1089,[1]Detail!$M:$BO,45,0)</f>
        <v>0</v>
      </c>
      <c r="EH1089" s="60">
        <f t="shared" ref="EH1089:EH1100" si="1273">ED1089-AD1089</f>
        <v>0</v>
      </c>
      <c r="EI1089" s="60">
        <f t="shared" ref="EI1089:EI1100" si="1274">EE1089-AG1089</f>
        <v>0</v>
      </c>
      <c r="EJ1089" s="60">
        <f t="shared" ref="EJ1089:EJ1100" si="1275">EF1089-AJ1089</f>
        <v>0</v>
      </c>
    </row>
    <row r="1090" spans="1:140" ht="12.75" hidden="1" customHeight="1">
      <c r="B1090" s="23" t="s">
        <v>1587</v>
      </c>
      <c r="C1090" s="2" t="s">
        <v>1198</v>
      </c>
      <c r="D1090" s="86" t="s">
        <v>1753</v>
      </c>
      <c r="E1090" s="86" t="s">
        <v>1005</v>
      </c>
      <c r="F1090" s="87" t="s">
        <v>330</v>
      </c>
      <c r="G1090" s="87" t="s">
        <v>331</v>
      </c>
      <c r="J1090" s="87" t="s">
        <v>1760</v>
      </c>
      <c r="K1090" s="1" t="s">
        <v>1757</v>
      </c>
      <c r="L1090" s="87" t="s">
        <v>306</v>
      </c>
      <c r="M1090" s="90" t="str">
        <f t="shared" si="1263"/>
        <v>JD81 -7M121-FA</v>
      </c>
      <c r="O1090" s="89">
        <v>0</v>
      </c>
      <c r="P1090" s="89">
        <v>0</v>
      </c>
      <c r="Q1090" s="89">
        <v>0</v>
      </c>
      <c r="R1090" s="89">
        <v>1</v>
      </c>
      <c r="S1090" s="89">
        <v>0</v>
      </c>
      <c r="T1090" s="89">
        <v>0</v>
      </c>
      <c r="U1090" s="89">
        <v>0</v>
      </c>
      <c r="V1090" s="89">
        <v>1</v>
      </c>
      <c r="W1090" s="64">
        <f t="shared" si="1199"/>
        <v>0.28000000000000003</v>
      </c>
      <c r="Y1090" s="95">
        <f>-68.38-5.59</f>
        <v>-73.97</v>
      </c>
      <c r="Z1090" s="95">
        <v>-2.1</v>
      </c>
      <c r="AA1090" s="95">
        <v>-1.23</v>
      </c>
      <c r="AB1090" s="95">
        <v>0</v>
      </c>
      <c r="AC1090" s="95">
        <v>0</v>
      </c>
      <c r="AD1090" s="8">
        <f t="shared" si="1268"/>
        <v>-77.3</v>
      </c>
      <c r="AE1090" s="2" t="s">
        <v>91</v>
      </c>
      <c r="AG1090" s="246">
        <v>-111860</v>
      </c>
      <c r="AH1090" s="246">
        <v>-111860</v>
      </c>
      <c r="AI1090" s="6"/>
      <c r="AJ1090" s="246">
        <v>0</v>
      </c>
      <c r="AK1090" s="246">
        <v>0</v>
      </c>
      <c r="AM1090" s="22"/>
      <c r="AO1090" s="87" t="s">
        <v>1756</v>
      </c>
      <c r="AP1090" s="1" t="s">
        <v>1757</v>
      </c>
      <c r="AQ1090" s="87" t="s">
        <v>1758</v>
      </c>
      <c r="AR1090" s="90" t="str">
        <f t="shared" si="1269"/>
        <v>F1F1-7M121-HB</v>
      </c>
      <c r="AS1090" s="87"/>
      <c r="AT1090" s="89">
        <v>0</v>
      </c>
      <c r="AU1090" s="89">
        <v>0</v>
      </c>
      <c r="AV1090" s="89">
        <v>0</v>
      </c>
      <c r="AW1090" s="89">
        <v>1</v>
      </c>
      <c r="AX1090" s="89">
        <v>0</v>
      </c>
      <c r="AY1090" s="89">
        <v>0</v>
      </c>
      <c r="AZ1090" s="89">
        <v>0</v>
      </c>
      <c r="BA1090" s="89">
        <v>1</v>
      </c>
      <c r="BB1090" s="64">
        <f t="shared" si="1267"/>
        <v>0.28000000000000003</v>
      </c>
      <c r="BD1090" s="95">
        <v>-68.38</v>
      </c>
      <c r="BE1090" s="95">
        <v>-2.1</v>
      </c>
      <c r="BF1090" s="95">
        <v>-1.23</v>
      </c>
      <c r="BG1090" s="95">
        <v>0</v>
      </c>
      <c r="BH1090" s="95">
        <v>0</v>
      </c>
      <c r="BI1090" s="95">
        <v>-71.709999999999994</v>
      </c>
      <c r="BJ1090" s="2" t="s">
        <v>91</v>
      </c>
      <c r="BL1090" s="246">
        <v>0</v>
      </c>
      <c r="BM1090" s="246">
        <v>0</v>
      </c>
      <c r="BN1090" s="246"/>
      <c r="BO1090" s="246">
        <v>0</v>
      </c>
      <c r="BP1090" s="246">
        <v>0</v>
      </c>
      <c r="BS1090" s="61">
        <f t="shared" si="1238"/>
        <v>-5.5900000000000034</v>
      </c>
      <c r="BT1090" s="61">
        <f t="shared" si="1238"/>
        <v>0</v>
      </c>
      <c r="BU1090" s="61">
        <f t="shared" si="1238"/>
        <v>0</v>
      </c>
      <c r="BV1090" s="61">
        <f t="shared" si="1238"/>
        <v>0</v>
      </c>
      <c r="BW1090" s="61">
        <f t="shared" si="1238"/>
        <v>0</v>
      </c>
      <c r="BX1090" s="61">
        <f t="shared" si="1238"/>
        <v>-5.5900000000000034</v>
      </c>
      <c r="BY1090" s="61" t="s">
        <v>91</v>
      </c>
      <c r="CA1090" s="61">
        <f t="shared" si="1246"/>
        <v>0</v>
      </c>
      <c r="CB1090" s="61">
        <f t="shared" si="1246"/>
        <v>0</v>
      </c>
      <c r="CC1090" s="61">
        <f t="shared" si="1246"/>
        <v>0</v>
      </c>
      <c r="CD1090" s="61">
        <f t="shared" si="1246"/>
        <v>-0.8409808936362273</v>
      </c>
      <c r="CE1090" s="61">
        <f t="shared" si="1246"/>
        <v>0</v>
      </c>
      <c r="CF1090" s="61">
        <f t="shared" si="1246"/>
        <v>0</v>
      </c>
      <c r="CG1090" s="61">
        <f t="shared" si="1246"/>
        <v>0</v>
      </c>
      <c r="CH1090" s="61">
        <f t="shared" si="1209"/>
        <v>-0.8409808936362273</v>
      </c>
      <c r="CI1090" s="61">
        <f t="shared" si="1247"/>
        <v>-0.23547465021814365</v>
      </c>
      <c r="CJ1090" s="61"/>
      <c r="CK1090" s="61">
        <f t="shared" si="1260"/>
        <v>0</v>
      </c>
      <c r="CL1090" s="61">
        <f t="shared" si="1260"/>
        <v>0</v>
      </c>
      <c r="CM1090" s="61">
        <f t="shared" si="1260"/>
        <v>0</v>
      </c>
      <c r="CN1090" s="61">
        <f t="shared" si="1258"/>
        <v>-0.8409808936362273</v>
      </c>
      <c r="CO1090" s="61">
        <f t="shared" si="1258"/>
        <v>0</v>
      </c>
      <c r="CP1090" s="61">
        <f t="shared" si="1258"/>
        <v>0</v>
      </c>
      <c r="CQ1090" s="61">
        <f t="shared" si="1258"/>
        <v>0</v>
      </c>
      <c r="CR1090" s="61">
        <f t="shared" si="1210"/>
        <v>-0.8409808936362273</v>
      </c>
      <c r="CS1090" s="61">
        <f t="shared" si="1248"/>
        <v>-0.23547465021814365</v>
      </c>
      <c r="CT1090" s="241">
        <f t="shared" si="1252"/>
        <v>-1.5652000000000008</v>
      </c>
      <c r="CV1090" s="61">
        <f t="shared" si="1270"/>
        <v>-111860</v>
      </c>
      <c r="CW1090" s="61">
        <f t="shared" si="1271"/>
        <v>-111860</v>
      </c>
      <c r="CX1090" s="61"/>
      <c r="CY1090" s="61">
        <f t="shared" si="1272"/>
        <v>0</v>
      </c>
      <c r="CZ1090" s="61">
        <f t="shared" si="1272"/>
        <v>0</v>
      </c>
      <c r="DA1090" s="61">
        <f t="shared" si="1272"/>
        <v>0</v>
      </c>
      <c r="DB1090" s="2" t="s">
        <v>102</v>
      </c>
      <c r="DC1090" s="2" t="s">
        <v>102</v>
      </c>
      <c r="DD1090" s="2" t="s">
        <v>142</v>
      </c>
      <c r="DE1090" s="2" t="s">
        <v>106</v>
      </c>
      <c r="DG1090" s="62"/>
      <c r="DZ1090" s="3" t="e">
        <v>#N/A</v>
      </c>
      <c r="EC1090" s="60" t="str">
        <f>VLOOKUP($M1090,[1]Detail!$M:$BO,1,0)</f>
        <v>JD81 -7M121-FA</v>
      </c>
      <c r="ED1090" s="60">
        <f>VLOOKUP($M1090,[1]Detail!$M:$BO,22,0)</f>
        <v>-77.3</v>
      </c>
      <c r="EE1090" s="247">
        <f>VLOOKUP($M1090,[1]Detail!$M:$BO,42,0)</f>
        <v>-111860</v>
      </c>
      <c r="EF1090" s="60">
        <f>VLOOKUP($M1090,[1]Detail!$M:$BO,45,0)</f>
        <v>0</v>
      </c>
      <c r="EH1090" s="60">
        <f t="shared" si="1273"/>
        <v>0</v>
      </c>
      <c r="EI1090" s="60">
        <f t="shared" si="1274"/>
        <v>0</v>
      </c>
      <c r="EJ1090" s="60">
        <f t="shared" si="1275"/>
        <v>0</v>
      </c>
    </row>
    <row r="1091" spans="1:140" ht="12.75" hidden="1" customHeight="1">
      <c r="B1091" s="23" t="s">
        <v>1752</v>
      </c>
      <c r="C1091" s="2" t="s">
        <v>1198</v>
      </c>
      <c r="D1091" s="2" t="s">
        <v>1753</v>
      </c>
      <c r="E1091" s="1" t="s">
        <v>1005</v>
      </c>
      <c r="F1091" s="2" t="s">
        <v>330</v>
      </c>
      <c r="G1091" s="87" t="s">
        <v>331</v>
      </c>
      <c r="J1091" s="87" t="s">
        <v>864</v>
      </c>
      <c r="K1091" s="1" t="s">
        <v>1761</v>
      </c>
      <c r="L1091" s="87" t="s">
        <v>878</v>
      </c>
      <c r="M1091" s="90" t="str">
        <f t="shared" si="1263"/>
        <v>JD81-6P082-CB</v>
      </c>
      <c r="O1091" s="89">
        <v>1</v>
      </c>
      <c r="P1091" s="89">
        <v>1</v>
      </c>
      <c r="Q1091" s="89">
        <v>1</v>
      </c>
      <c r="R1091" s="89">
        <v>1</v>
      </c>
      <c r="S1091" s="89">
        <v>1</v>
      </c>
      <c r="T1091" s="89">
        <v>1</v>
      </c>
      <c r="U1091" s="89">
        <v>1</v>
      </c>
      <c r="V1091" s="89">
        <v>1</v>
      </c>
      <c r="W1091" s="64">
        <f t="shared" si="1199"/>
        <v>1</v>
      </c>
      <c r="Y1091" s="63">
        <v>-32.229999999999997</v>
      </c>
      <c r="Z1091" s="63">
        <v>-0.9</v>
      </c>
      <c r="AA1091" s="63">
        <v>-0.62</v>
      </c>
      <c r="AB1091" s="63">
        <v>0</v>
      </c>
      <c r="AC1091" s="63">
        <v>0</v>
      </c>
      <c r="AD1091" s="8">
        <f t="shared" ref="AD1091:AD1153" si="1276">SUM(Y1091:AC1091)</f>
        <v>-33.749999999999993</v>
      </c>
      <c r="AE1091" s="2" t="s">
        <v>91</v>
      </c>
      <c r="AG1091" s="67">
        <v>-206960</v>
      </c>
      <c r="AH1091" s="67">
        <v>-206960</v>
      </c>
      <c r="AI1091" s="6"/>
      <c r="AJ1091" s="67">
        <v>0</v>
      </c>
      <c r="AK1091" s="67">
        <v>0</v>
      </c>
      <c r="AM1091" s="22"/>
      <c r="AO1091" s="87" t="s">
        <v>864</v>
      </c>
      <c r="AP1091" s="87" t="s">
        <v>1761</v>
      </c>
      <c r="AQ1091" s="87" t="s">
        <v>878</v>
      </c>
      <c r="AR1091" s="2" t="s">
        <v>1762</v>
      </c>
      <c r="AS1091" s="3"/>
      <c r="AT1091" s="89">
        <v>1</v>
      </c>
      <c r="AU1091" s="89">
        <v>1</v>
      </c>
      <c r="AV1091" s="89">
        <v>1</v>
      </c>
      <c r="AW1091" s="89">
        <v>1</v>
      </c>
      <c r="AX1091" s="89">
        <v>1</v>
      </c>
      <c r="AY1091" s="89">
        <v>1</v>
      </c>
      <c r="AZ1091" s="89">
        <v>1</v>
      </c>
      <c r="BA1091" s="89">
        <v>1</v>
      </c>
      <c r="BB1091" s="92">
        <f t="shared" si="1267"/>
        <v>1</v>
      </c>
      <c r="BD1091" s="63">
        <v>-32.229999999999997</v>
      </c>
      <c r="BE1091" s="63">
        <v>-0.9</v>
      </c>
      <c r="BF1091" s="63">
        <v>-0.62</v>
      </c>
      <c r="BG1091" s="63">
        <v>0</v>
      </c>
      <c r="BH1091" s="63">
        <v>0</v>
      </c>
      <c r="BI1091" s="95">
        <v>-33.749999999999993</v>
      </c>
      <c r="BJ1091" s="2" t="s">
        <v>91</v>
      </c>
      <c r="BL1091" s="67">
        <v>-206960</v>
      </c>
      <c r="BM1091" s="67">
        <v>-206960</v>
      </c>
      <c r="BN1091" s="246"/>
      <c r="BO1091" s="67">
        <v>0</v>
      </c>
      <c r="BP1091" s="67">
        <v>0</v>
      </c>
      <c r="BS1091" s="61">
        <f t="shared" si="1238"/>
        <v>0</v>
      </c>
      <c r="BT1091" s="61">
        <f t="shared" si="1238"/>
        <v>0</v>
      </c>
      <c r="BU1091" s="61">
        <f t="shared" si="1238"/>
        <v>0</v>
      </c>
      <c r="BV1091" s="61">
        <f t="shared" si="1238"/>
        <v>0</v>
      </c>
      <c r="BW1091" s="61">
        <f t="shared" si="1238"/>
        <v>0</v>
      </c>
      <c r="BX1091" s="61">
        <f t="shared" si="1238"/>
        <v>0</v>
      </c>
      <c r="BY1091" s="61" t="s">
        <v>91</v>
      </c>
      <c r="CA1091" s="61">
        <f t="shared" si="1246"/>
        <v>0</v>
      </c>
      <c r="CB1091" s="61">
        <f t="shared" si="1246"/>
        <v>0</v>
      </c>
      <c r="CC1091" s="61">
        <f t="shared" si="1246"/>
        <v>0</v>
      </c>
      <c r="CD1091" s="61">
        <f t="shared" si="1246"/>
        <v>0</v>
      </c>
      <c r="CE1091" s="61">
        <f t="shared" si="1246"/>
        <v>0</v>
      </c>
      <c r="CF1091" s="61">
        <f t="shared" si="1246"/>
        <v>0</v>
      </c>
      <c r="CG1091" s="61">
        <f t="shared" si="1246"/>
        <v>0</v>
      </c>
      <c r="CH1091" s="61">
        <f t="shared" si="1209"/>
        <v>0</v>
      </c>
      <c r="CI1091" s="61">
        <f t="shared" si="1247"/>
        <v>0</v>
      </c>
      <c r="CJ1091" s="61"/>
      <c r="CK1091" s="61">
        <f t="shared" si="1260"/>
        <v>0</v>
      </c>
      <c r="CL1091" s="61">
        <f t="shared" si="1260"/>
        <v>0</v>
      </c>
      <c r="CM1091" s="61">
        <f t="shared" si="1260"/>
        <v>0</v>
      </c>
      <c r="CN1091" s="61">
        <f t="shared" si="1258"/>
        <v>0</v>
      </c>
      <c r="CO1091" s="61">
        <f t="shared" si="1258"/>
        <v>0</v>
      </c>
      <c r="CP1091" s="61">
        <f t="shared" si="1258"/>
        <v>0</v>
      </c>
      <c r="CQ1091" s="61">
        <f t="shared" si="1258"/>
        <v>0</v>
      </c>
      <c r="CR1091" s="61">
        <f t="shared" si="1210"/>
        <v>0</v>
      </c>
      <c r="CS1091" s="61">
        <f t="shared" si="1248"/>
        <v>0</v>
      </c>
      <c r="CT1091" s="61">
        <f t="shared" si="1252"/>
        <v>0</v>
      </c>
      <c r="CV1091" s="61">
        <f t="shared" si="1221"/>
        <v>0</v>
      </c>
      <c r="CW1091" s="61">
        <f t="shared" si="1222"/>
        <v>0</v>
      </c>
      <c r="CX1091" s="61"/>
      <c r="CY1091" s="61">
        <f t="shared" si="1261"/>
        <v>0</v>
      </c>
      <c r="CZ1091" s="61">
        <f t="shared" si="1262"/>
        <v>0</v>
      </c>
      <c r="DA1091" s="61">
        <f t="shared" si="1239"/>
        <v>0</v>
      </c>
      <c r="DB1091" s="2" t="s">
        <v>102</v>
      </c>
      <c r="DC1091" s="2" t="s">
        <v>102</v>
      </c>
      <c r="DD1091" s="2" t="s">
        <v>142</v>
      </c>
      <c r="DE1091" s="2" t="s">
        <v>257</v>
      </c>
      <c r="DF1091" s="3" t="s">
        <v>86</v>
      </c>
      <c r="DG1091" s="62">
        <v>42850</v>
      </c>
      <c r="EC1091" s="60" t="str">
        <f>VLOOKUP($M1091,[1]Detail!$M:$BO,1,0)</f>
        <v>JD81-6P082-CB</v>
      </c>
      <c r="ED1091" s="60">
        <f>VLOOKUP($M1091,[1]Detail!$M:$BO,22,0)</f>
        <v>-33.749999999999993</v>
      </c>
      <c r="EE1091" s="60">
        <f>VLOOKUP($M1091,[1]Detail!$M:$BO,42,0)</f>
        <v>-206960</v>
      </c>
      <c r="EF1091" s="60">
        <f>VLOOKUP($M1091,[1]Detail!$M:$BO,45,0)</f>
        <v>0</v>
      </c>
      <c r="EH1091" s="60">
        <f t="shared" si="1273"/>
        <v>0</v>
      </c>
      <c r="EI1091" s="60">
        <f t="shared" si="1274"/>
        <v>0</v>
      </c>
      <c r="EJ1091" s="60">
        <f t="shared" si="1275"/>
        <v>0</v>
      </c>
    </row>
    <row r="1092" spans="1:140" ht="12.75" hidden="1" customHeight="1">
      <c r="B1092" s="23" t="s">
        <v>1752</v>
      </c>
      <c r="C1092" s="2" t="s">
        <v>1198</v>
      </c>
      <c r="D1092" s="86" t="s">
        <v>1753</v>
      </c>
      <c r="E1092" s="86" t="s">
        <v>1005</v>
      </c>
      <c r="F1092" s="87" t="s">
        <v>330</v>
      </c>
      <c r="G1092" s="87" t="s">
        <v>331</v>
      </c>
      <c r="J1092" s="87" t="s">
        <v>864</v>
      </c>
      <c r="K1092" s="1" t="s">
        <v>1763</v>
      </c>
      <c r="L1092" s="87" t="s">
        <v>880</v>
      </c>
      <c r="M1092" s="90" t="str">
        <f t="shared" si="1263"/>
        <v>JD81-6P093-DA</v>
      </c>
      <c r="O1092" s="89">
        <v>1</v>
      </c>
      <c r="P1092" s="89">
        <v>0</v>
      </c>
      <c r="Q1092" s="89">
        <v>1</v>
      </c>
      <c r="R1092" s="89">
        <v>0</v>
      </c>
      <c r="S1092" s="89">
        <v>0</v>
      </c>
      <c r="T1092" s="89">
        <v>0</v>
      </c>
      <c r="U1092" s="89">
        <v>0</v>
      </c>
      <c r="V1092" s="89">
        <v>0</v>
      </c>
      <c r="W1092" s="64">
        <f t="shared" si="1199"/>
        <v>0.28000000000000003</v>
      </c>
      <c r="Y1092" s="95">
        <v>-29.21</v>
      </c>
      <c r="Z1092" s="95">
        <v>-0.9</v>
      </c>
      <c r="AA1092" s="95">
        <v>-0.53</v>
      </c>
      <c r="AB1092" s="63">
        <v>0</v>
      </c>
      <c r="AC1092" s="95">
        <v>-1.1399999999999999</v>
      </c>
      <c r="AD1092" s="8">
        <f t="shared" si="1276"/>
        <v>-31.78</v>
      </c>
      <c r="AE1092" s="2" t="s">
        <v>91</v>
      </c>
      <c r="AG1092" s="246">
        <v>-262100</v>
      </c>
      <c r="AH1092" s="246">
        <v>-262100</v>
      </c>
      <c r="AI1092" s="6"/>
      <c r="AJ1092" s="246">
        <v>-183209.37</v>
      </c>
      <c r="AK1092" s="246">
        <v>160972</v>
      </c>
      <c r="AM1092" s="22"/>
      <c r="AO1092" s="87" t="s">
        <v>864</v>
      </c>
      <c r="AP1092" s="87" t="s">
        <v>1763</v>
      </c>
      <c r="AQ1092" s="87" t="s">
        <v>880</v>
      </c>
      <c r="AR1092" s="2" t="s">
        <v>1764</v>
      </c>
      <c r="AS1092" s="87"/>
      <c r="AT1092" s="91">
        <v>1</v>
      </c>
      <c r="AU1092" s="91">
        <v>0</v>
      </c>
      <c r="AV1092" s="91">
        <v>1</v>
      </c>
      <c r="AW1092" s="91">
        <v>0</v>
      </c>
      <c r="AX1092" s="91">
        <v>0</v>
      </c>
      <c r="AY1092" s="91">
        <v>0</v>
      </c>
      <c r="AZ1092" s="91">
        <v>0</v>
      </c>
      <c r="BA1092" s="91">
        <v>0</v>
      </c>
      <c r="BB1092" s="92">
        <f t="shared" si="1267"/>
        <v>0.28000000000000003</v>
      </c>
      <c r="BD1092" s="95">
        <v>-29.21</v>
      </c>
      <c r="BE1092" s="95">
        <v>-0.9</v>
      </c>
      <c r="BF1092" s="95">
        <v>-0.53</v>
      </c>
      <c r="BG1092" s="95">
        <v>0</v>
      </c>
      <c r="BH1092" s="95">
        <v>-1.1399999999999999</v>
      </c>
      <c r="BI1092" s="95">
        <v>-31.78</v>
      </c>
      <c r="BJ1092" s="2" t="s">
        <v>91</v>
      </c>
      <c r="BL1092" s="246">
        <v>-262100</v>
      </c>
      <c r="BM1092" s="246">
        <v>-262100</v>
      </c>
      <c r="BN1092" s="246"/>
      <c r="BO1092" s="246">
        <v>-183209.37</v>
      </c>
      <c r="BP1092" s="246">
        <v>160972</v>
      </c>
      <c r="BS1092" s="61">
        <f t="shared" si="1238"/>
        <v>0</v>
      </c>
      <c r="BT1092" s="61">
        <f t="shared" si="1238"/>
        <v>0</v>
      </c>
      <c r="BU1092" s="61">
        <f t="shared" si="1238"/>
        <v>0</v>
      </c>
      <c r="BV1092" s="61">
        <f t="shared" si="1238"/>
        <v>0</v>
      </c>
      <c r="BW1092" s="61">
        <f t="shared" si="1238"/>
        <v>0</v>
      </c>
      <c r="BX1092" s="61">
        <f t="shared" si="1238"/>
        <v>0</v>
      </c>
      <c r="BY1092" s="61" t="s">
        <v>91</v>
      </c>
      <c r="CA1092" s="61">
        <f t="shared" si="1246"/>
        <v>0</v>
      </c>
      <c r="CB1092" s="61">
        <f t="shared" si="1246"/>
        <v>0</v>
      </c>
      <c r="CC1092" s="61">
        <f t="shared" si="1246"/>
        <v>0</v>
      </c>
      <c r="CD1092" s="61">
        <f t="shared" si="1246"/>
        <v>0</v>
      </c>
      <c r="CE1092" s="61">
        <f t="shared" si="1246"/>
        <v>0</v>
      </c>
      <c r="CF1092" s="61">
        <f t="shared" si="1246"/>
        <v>0</v>
      </c>
      <c r="CG1092" s="61">
        <f t="shared" si="1246"/>
        <v>0</v>
      </c>
      <c r="CH1092" s="61">
        <f t="shared" si="1209"/>
        <v>0</v>
      </c>
      <c r="CI1092" s="61">
        <f t="shared" si="1247"/>
        <v>0</v>
      </c>
      <c r="CJ1092" s="61"/>
      <c r="CK1092" s="61">
        <f t="shared" si="1260"/>
        <v>0</v>
      </c>
      <c r="CL1092" s="61">
        <f t="shared" si="1260"/>
        <v>0</v>
      </c>
      <c r="CM1092" s="61">
        <f t="shared" si="1260"/>
        <v>0</v>
      </c>
      <c r="CN1092" s="61">
        <f t="shared" si="1258"/>
        <v>0</v>
      </c>
      <c r="CO1092" s="61">
        <f t="shared" si="1258"/>
        <v>0</v>
      </c>
      <c r="CP1092" s="61">
        <f t="shared" si="1258"/>
        <v>0</v>
      </c>
      <c r="CQ1092" s="61">
        <f t="shared" si="1258"/>
        <v>0</v>
      </c>
      <c r="CR1092" s="61">
        <f t="shared" si="1210"/>
        <v>0</v>
      </c>
      <c r="CS1092" s="61">
        <f t="shared" si="1248"/>
        <v>0</v>
      </c>
      <c r="CT1092" s="61">
        <f t="shared" si="1252"/>
        <v>0</v>
      </c>
      <c r="CV1092" s="61">
        <f t="shared" si="1221"/>
        <v>0</v>
      </c>
      <c r="CW1092" s="61">
        <f t="shared" si="1222"/>
        <v>0</v>
      </c>
      <c r="CX1092" s="61"/>
      <c r="CY1092" s="61">
        <f t="shared" si="1261"/>
        <v>0</v>
      </c>
      <c r="CZ1092" s="61">
        <f t="shared" si="1262"/>
        <v>0</v>
      </c>
      <c r="DA1092" s="61">
        <f t="shared" si="1239"/>
        <v>0</v>
      </c>
      <c r="DB1092" s="2" t="s">
        <v>134</v>
      </c>
      <c r="DC1092" s="2" t="s">
        <v>102</v>
      </c>
      <c r="DD1092" s="2" t="s">
        <v>142</v>
      </c>
      <c r="DE1092" s="2" t="s">
        <v>257</v>
      </c>
      <c r="DF1092" s="3" t="s">
        <v>86</v>
      </c>
      <c r="DG1092" s="62">
        <v>42850</v>
      </c>
      <c r="EC1092" s="60"/>
      <c r="ED1092" s="60"/>
      <c r="EE1092" s="60"/>
      <c r="EF1092" s="60"/>
      <c r="EH1092" s="60"/>
      <c r="EI1092" s="60"/>
      <c r="EJ1092" s="60"/>
    </row>
    <row r="1093" spans="1:140" ht="12.75" hidden="1" customHeight="1">
      <c r="A1093" s="248"/>
      <c r="B1093" s="249" t="s">
        <v>1752</v>
      </c>
      <c r="C1093" s="248" t="s">
        <v>1198</v>
      </c>
      <c r="D1093" s="248" t="s">
        <v>1753</v>
      </c>
      <c r="E1093" s="250" t="s">
        <v>1005</v>
      </c>
      <c r="F1093" s="248" t="s">
        <v>330</v>
      </c>
      <c r="G1093" s="251" t="s">
        <v>331</v>
      </c>
      <c r="I1093" s="248"/>
      <c r="J1093" s="251" t="s">
        <v>864</v>
      </c>
      <c r="K1093" s="250" t="s">
        <v>1763</v>
      </c>
      <c r="L1093" s="251" t="s">
        <v>253</v>
      </c>
      <c r="M1093" s="252" t="str">
        <f t="shared" si="1263"/>
        <v>JD81-6P093-CA</v>
      </c>
      <c r="N1093" s="253"/>
      <c r="O1093" s="254">
        <v>0</v>
      </c>
      <c r="P1093" s="254">
        <v>1</v>
      </c>
      <c r="Q1093" s="254">
        <v>0</v>
      </c>
      <c r="R1093" s="254">
        <v>1</v>
      </c>
      <c r="S1093" s="254">
        <v>0</v>
      </c>
      <c r="T1093" s="254">
        <v>0</v>
      </c>
      <c r="U1093" s="254">
        <v>1</v>
      </c>
      <c r="V1093" s="254">
        <v>0</v>
      </c>
      <c r="W1093" s="255">
        <f t="shared" si="1199"/>
        <v>0.44</v>
      </c>
      <c r="X1093" s="248"/>
      <c r="Y1093" s="256">
        <v>-29.77</v>
      </c>
      <c r="Z1093" s="256">
        <v>-0.9</v>
      </c>
      <c r="AA1093" s="256">
        <v>-0.63</v>
      </c>
      <c r="AB1093" s="256">
        <v>0</v>
      </c>
      <c r="AC1093" s="256">
        <v>-0.73</v>
      </c>
      <c r="AD1093" s="257">
        <f t="shared" si="1276"/>
        <v>-32.029999999999994</v>
      </c>
      <c r="AE1093" s="248" t="s">
        <v>91</v>
      </c>
      <c r="AF1093" s="248"/>
      <c r="AG1093" s="258">
        <v>-304600</v>
      </c>
      <c r="AH1093" s="258">
        <v>-304600</v>
      </c>
      <c r="AI1093" s="259"/>
      <c r="AJ1093" s="258">
        <v>-183992.46</v>
      </c>
      <c r="AK1093" s="258">
        <v>252956</v>
      </c>
      <c r="AL1093" s="248"/>
      <c r="AM1093" s="260"/>
      <c r="AN1093" s="248"/>
      <c r="AO1093" s="251" t="s">
        <v>864</v>
      </c>
      <c r="AP1093" s="251" t="s">
        <v>1763</v>
      </c>
      <c r="AQ1093" s="251" t="s">
        <v>253</v>
      </c>
      <c r="AR1093" s="248" t="s">
        <v>1765</v>
      </c>
      <c r="AS1093" s="253"/>
      <c r="AT1093" s="254">
        <v>0</v>
      </c>
      <c r="AU1093" s="254">
        <v>1</v>
      </c>
      <c r="AV1093" s="254">
        <v>0</v>
      </c>
      <c r="AW1093" s="254">
        <v>1</v>
      </c>
      <c r="AX1093" s="254">
        <v>0</v>
      </c>
      <c r="AY1093" s="254">
        <v>0</v>
      </c>
      <c r="AZ1093" s="254">
        <v>1</v>
      </c>
      <c r="BA1093" s="254">
        <v>0</v>
      </c>
      <c r="BB1093" s="261">
        <f t="shared" si="1267"/>
        <v>0.44</v>
      </c>
      <c r="BC1093" s="248"/>
      <c r="BD1093" s="256">
        <v>-29.77</v>
      </c>
      <c r="BE1093" s="256">
        <v>-0.9</v>
      </c>
      <c r="BF1093" s="256">
        <v>-0.63</v>
      </c>
      <c r="BG1093" s="256">
        <v>0</v>
      </c>
      <c r="BH1093" s="256">
        <v>-0.73</v>
      </c>
      <c r="BI1093" s="262">
        <v>-32.029999999999994</v>
      </c>
      <c r="BJ1093" s="248" t="s">
        <v>91</v>
      </c>
      <c r="BK1093" s="248"/>
      <c r="BL1093" s="258">
        <v>-304600</v>
      </c>
      <c r="BM1093" s="258">
        <v>-304600</v>
      </c>
      <c r="BN1093" s="263"/>
      <c r="BO1093" s="258">
        <v>-183992.46</v>
      </c>
      <c r="BP1093" s="258">
        <v>252956</v>
      </c>
      <c r="BQ1093" s="248"/>
      <c r="BR1093" s="248"/>
      <c r="BS1093" s="61">
        <f t="shared" si="1238"/>
        <v>0</v>
      </c>
      <c r="BT1093" s="61">
        <f t="shared" si="1238"/>
        <v>0</v>
      </c>
      <c r="BU1093" s="61">
        <f t="shared" si="1238"/>
        <v>0</v>
      </c>
      <c r="BV1093" s="61">
        <f t="shared" si="1238"/>
        <v>0</v>
      </c>
      <c r="BW1093" s="61">
        <f t="shared" si="1238"/>
        <v>0</v>
      </c>
      <c r="BX1093" s="61">
        <f t="shared" si="1238"/>
        <v>0</v>
      </c>
      <c r="BY1093" s="61" t="s">
        <v>91</v>
      </c>
      <c r="CA1093" s="61">
        <f t="shared" si="1246"/>
        <v>0</v>
      </c>
      <c r="CB1093" s="61">
        <f t="shared" si="1246"/>
        <v>0</v>
      </c>
      <c r="CC1093" s="61">
        <f t="shared" si="1246"/>
        <v>0</v>
      </c>
      <c r="CD1093" s="61">
        <f t="shared" si="1246"/>
        <v>0</v>
      </c>
      <c r="CE1093" s="61">
        <f t="shared" si="1246"/>
        <v>0</v>
      </c>
      <c r="CF1093" s="61">
        <f t="shared" si="1246"/>
        <v>0</v>
      </c>
      <c r="CG1093" s="61">
        <f t="shared" si="1246"/>
        <v>0</v>
      </c>
      <c r="CH1093" s="61">
        <f t="shared" si="1209"/>
        <v>0</v>
      </c>
      <c r="CI1093" s="61">
        <f t="shared" si="1247"/>
        <v>0</v>
      </c>
      <c r="CJ1093" s="61"/>
      <c r="CK1093" s="61">
        <f t="shared" si="1260"/>
        <v>0</v>
      </c>
      <c r="CL1093" s="61">
        <f t="shared" si="1260"/>
        <v>0</v>
      </c>
      <c r="CM1093" s="61">
        <f t="shared" si="1260"/>
        <v>0</v>
      </c>
      <c r="CN1093" s="61">
        <f t="shared" si="1258"/>
        <v>0</v>
      </c>
      <c r="CO1093" s="61">
        <f t="shared" si="1258"/>
        <v>0</v>
      </c>
      <c r="CP1093" s="61">
        <f t="shared" si="1258"/>
        <v>0</v>
      </c>
      <c r="CQ1093" s="61">
        <f t="shared" si="1258"/>
        <v>0</v>
      </c>
      <c r="CR1093" s="61">
        <f t="shared" si="1210"/>
        <v>0</v>
      </c>
      <c r="CS1093" s="61">
        <f t="shared" si="1248"/>
        <v>0</v>
      </c>
      <c r="CT1093" s="61">
        <f t="shared" si="1252"/>
        <v>0</v>
      </c>
      <c r="CV1093" s="61">
        <f t="shared" si="1221"/>
        <v>0</v>
      </c>
      <c r="CW1093" s="61">
        <f t="shared" si="1222"/>
        <v>0</v>
      </c>
      <c r="CX1093" s="61"/>
      <c r="CY1093" s="61">
        <f t="shared" si="1261"/>
        <v>0</v>
      </c>
      <c r="CZ1093" s="61">
        <f t="shared" si="1262"/>
        <v>0</v>
      </c>
      <c r="DA1093" s="61">
        <f t="shared" si="1239"/>
        <v>0</v>
      </c>
      <c r="DB1093" s="248" t="s">
        <v>102</v>
      </c>
      <c r="DC1093" s="248" t="s">
        <v>102</v>
      </c>
      <c r="DD1093" s="248" t="s">
        <v>142</v>
      </c>
      <c r="DE1093" s="248" t="s">
        <v>257</v>
      </c>
      <c r="DF1093" s="253" t="s">
        <v>86</v>
      </c>
      <c r="DG1093" s="264">
        <v>42850</v>
      </c>
      <c r="DH1093" s="248"/>
      <c r="EC1093" s="60" t="str">
        <f>VLOOKUP($M1093,[1]Detail!$M:$BO,1,0)</f>
        <v>JD81-6P093-CA</v>
      </c>
      <c r="ED1093" s="60">
        <f>VLOOKUP($M1093,[1]Detail!$M:$BO,22,0)</f>
        <v>-32.029999999999994</v>
      </c>
      <c r="EE1093" s="60">
        <f>VLOOKUP($M1093,[1]Detail!$M:$BO,42,0)</f>
        <v>-304600</v>
      </c>
      <c r="EF1093" s="60">
        <f>VLOOKUP($M1093,[1]Detail!$M:$BO,45,0)</f>
        <v>-183992.46</v>
      </c>
      <c r="EH1093" s="60">
        <f t="shared" si="1273"/>
        <v>0</v>
      </c>
      <c r="EI1093" s="60">
        <f t="shared" si="1274"/>
        <v>0</v>
      </c>
      <c r="EJ1093" s="60">
        <f t="shared" si="1275"/>
        <v>0</v>
      </c>
    </row>
    <row r="1094" spans="1:140" ht="12.75" hidden="1" customHeight="1">
      <c r="B1094" s="23" t="s">
        <v>1752</v>
      </c>
      <c r="C1094" s="2" t="s">
        <v>1198</v>
      </c>
      <c r="D1094" s="86" t="s">
        <v>1753</v>
      </c>
      <c r="E1094" s="86" t="s">
        <v>1005</v>
      </c>
      <c r="F1094" s="87" t="s">
        <v>330</v>
      </c>
      <c r="G1094" s="87" t="s">
        <v>331</v>
      </c>
      <c r="J1094" s="87" t="s">
        <v>864</v>
      </c>
      <c r="K1094" s="1" t="s">
        <v>1754</v>
      </c>
      <c r="L1094" s="87" t="s">
        <v>180</v>
      </c>
      <c r="M1094" s="90" t="str">
        <f t="shared" si="1263"/>
        <v>JD81-6F012-AA</v>
      </c>
      <c r="O1094" s="89">
        <v>0</v>
      </c>
      <c r="P1094" s="89">
        <v>0</v>
      </c>
      <c r="Q1094" s="89">
        <v>0</v>
      </c>
      <c r="R1094" s="89">
        <v>0</v>
      </c>
      <c r="S1094" s="89">
        <v>1</v>
      </c>
      <c r="T1094" s="89">
        <v>1</v>
      </c>
      <c r="U1094" s="89">
        <v>0</v>
      </c>
      <c r="V1094" s="89">
        <v>1</v>
      </c>
      <c r="W1094" s="64">
        <f t="shared" si="1199"/>
        <v>0.28000000000000003</v>
      </c>
      <c r="Y1094" s="95">
        <v>-95.16</v>
      </c>
      <c r="Z1094" s="95">
        <v>-1.9</v>
      </c>
      <c r="AA1094" s="95">
        <v>-1.5</v>
      </c>
      <c r="AB1094" s="63">
        <v>0</v>
      </c>
      <c r="AC1094" s="95">
        <v>-2.7</v>
      </c>
      <c r="AD1094" s="8">
        <f t="shared" si="1276"/>
        <v>-101.26</v>
      </c>
      <c r="AE1094" s="2" t="s">
        <v>91</v>
      </c>
      <c r="AG1094" s="246">
        <v>-763700</v>
      </c>
      <c r="AH1094" s="246">
        <v>-763700</v>
      </c>
      <c r="AI1094" s="6"/>
      <c r="AJ1094" s="246">
        <v>-434272.98</v>
      </c>
      <c r="AK1094" s="246">
        <v>160972</v>
      </c>
      <c r="AM1094" s="22"/>
      <c r="AO1094" s="87" t="s">
        <v>864</v>
      </c>
      <c r="AP1094" s="87" t="s">
        <v>1754</v>
      </c>
      <c r="AQ1094" s="87" t="s">
        <v>180</v>
      </c>
      <c r="AR1094" s="2" t="s">
        <v>1766</v>
      </c>
      <c r="AS1094" s="87"/>
      <c r="AT1094" s="91">
        <v>0</v>
      </c>
      <c r="AU1094" s="91">
        <v>0</v>
      </c>
      <c r="AV1094" s="91">
        <v>0</v>
      </c>
      <c r="AW1094" s="91">
        <v>0</v>
      </c>
      <c r="AX1094" s="91">
        <v>1</v>
      </c>
      <c r="AY1094" s="91">
        <v>1</v>
      </c>
      <c r="AZ1094" s="91">
        <v>0</v>
      </c>
      <c r="BA1094" s="91">
        <v>1</v>
      </c>
      <c r="BB1094" s="92">
        <f t="shared" si="1267"/>
        <v>0.28000000000000003</v>
      </c>
      <c r="BD1094" s="95">
        <v>-95.16</v>
      </c>
      <c r="BE1094" s="95">
        <v>-1.9</v>
      </c>
      <c r="BF1094" s="95">
        <v>-1.5</v>
      </c>
      <c r="BG1094" s="95"/>
      <c r="BH1094" s="95">
        <v>-2.7</v>
      </c>
      <c r="BI1094" s="95">
        <v>-101.26</v>
      </c>
      <c r="BJ1094" s="2" t="s">
        <v>91</v>
      </c>
      <c r="BL1094" s="246">
        <v>-763700</v>
      </c>
      <c r="BM1094" s="246">
        <v>-763700</v>
      </c>
      <c r="BN1094" s="246"/>
      <c r="BO1094" s="246">
        <v>-434272.98</v>
      </c>
      <c r="BP1094" s="246">
        <v>160972</v>
      </c>
      <c r="BS1094" s="61">
        <f t="shared" si="1238"/>
        <v>0</v>
      </c>
      <c r="BT1094" s="61">
        <f t="shared" si="1238"/>
        <v>0</v>
      </c>
      <c r="BU1094" s="61">
        <f t="shared" si="1238"/>
        <v>0</v>
      </c>
      <c r="BV1094" s="61">
        <f t="shared" si="1238"/>
        <v>0</v>
      </c>
      <c r="BW1094" s="61">
        <f t="shared" si="1238"/>
        <v>0</v>
      </c>
      <c r="BX1094" s="61">
        <f t="shared" si="1238"/>
        <v>0</v>
      </c>
      <c r="BY1094" s="61" t="s">
        <v>91</v>
      </c>
      <c r="CA1094" s="61">
        <f t="shared" si="1246"/>
        <v>0</v>
      </c>
      <c r="CB1094" s="61">
        <f t="shared" si="1246"/>
        <v>0</v>
      </c>
      <c r="CC1094" s="61">
        <f t="shared" si="1246"/>
        <v>0</v>
      </c>
      <c r="CD1094" s="61">
        <f t="shared" si="1246"/>
        <v>0</v>
      </c>
      <c r="CE1094" s="61">
        <f t="shared" si="1246"/>
        <v>0</v>
      </c>
      <c r="CF1094" s="61">
        <f t="shared" si="1246"/>
        <v>0</v>
      </c>
      <c r="CG1094" s="61">
        <f t="shared" si="1246"/>
        <v>0</v>
      </c>
      <c r="CH1094" s="61">
        <f t="shared" si="1209"/>
        <v>0</v>
      </c>
      <c r="CI1094" s="61">
        <f t="shared" si="1247"/>
        <v>0</v>
      </c>
      <c r="CJ1094" s="61"/>
      <c r="CK1094" s="61">
        <f t="shared" si="1260"/>
        <v>0</v>
      </c>
      <c r="CL1094" s="61">
        <f t="shared" si="1260"/>
        <v>0</v>
      </c>
      <c r="CM1094" s="61">
        <f t="shared" si="1260"/>
        <v>0</v>
      </c>
      <c r="CN1094" s="61">
        <f t="shared" si="1258"/>
        <v>0</v>
      </c>
      <c r="CO1094" s="61">
        <f t="shared" si="1258"/>
        <v>0</v>
      </c>
      <c r="CP1094" s="61">
        <f t="shared" si="1258"/>
        <v>0</v>
      </c>
      <c r="CQ1094" s="61">
        <f t="shared" si="1258"/>
        <v>0</v>
      </c>
      <c r="CR1094" s="61">
        <f t="shared" si="1210"/>
        <v>0</v>
      </c>
      <c r="CS1094" s="61">
        <f t="shared" si="1248"/>
        <v>0</v>
      </c>
      <c r="CT1094" s="61">
        <f t="shared" si="1252"/>
        <v>0</v>
      </c>
      <c r="CV1094" s="61">
        <f t="shared" si="1221"/>
        <v>0</v>
      </c>
      <c r="CW1094" s="61">
        <f t="shared" si="1222"/>
        <v>0</v>
      </c>
      <c r="CX1094" s="61"/>
      <c r="CY1094" s="61">
        <f t="shared" si="1261"/>
        <v>0</v>
      </c>
      <c r="CZ1094" s="61">
        <f t="shared" si="1262"/>
        <v>0</v>
      </c>
      <c r="DA1094" s="61">
        <f t="shared" si="1239"/>
        <v>0</v>
      </c>
      <c r="DB1094" s="2" t="s">
        <v>102</v>
      </c>
      <c r="DC1094" s="2" t="s">
        <v>102</v>
      </c>
      <c r="DD1094" s="2" t="s">
        <v>142</v>
      </c>
      <c r="DE1094" s="2" t="s">
        <v>257</v>
      </c>
      <c r="DF1094" s="3" t="s">
        <v>86</v>
      </c>
      <c r="DG1094" s="62">
        <v>42850</v>
      </c>
      <c r="EC1094" s="60" t="str">
        <f>VLOOKUP($M1094,[1]Detail!$M:$BO,1,0)</f>
        <v>JD81-6F012-AA</v>
      </c>
      <c r="ED1094" s="60">
        <f>VLOOKUP($M1094,[1]Detail!$M:$BO,22,0)</f>
        <v>-101.26</v>
      </c>
      <c r="EE1094" s="60">
        <f>VLOOKUP($M1094,[1]Detail!$M:$BO,42,0)</f>
        <v>-763700</v>
      </c>
      <c r="EF1094" s="60">
        <f>VLOOKUP($M1094,[1]Detail!$M:$BO,45,0)</f>
        <v>-434272.98</v>
      </c>
      <c r="EH1094" s="60">
        <f t="shared" si="1273"/>
        <v>0</v>
      </c>
      <c r="EI1094" s="60">
        <f t="shared" si="1274"/>
        <v>0</v>
      </c>
      <c r="EJ1094" s="60">
        <f t="shared" si="1275"/>
        <v>0</v>
      </c>
    </row>
    <row r="1095" spans="1:140" ht="12.75" hidden="1" customHeight="1">
      <c r="B1095" s="23" t="s">
        <v>1752</v>
      </c>
      <c r="C1095" s="2" t="s">
        <v>1198</v>
      </c>
      <c r="D1095" s="2" t="s">
        <v>1753</v>
      </c>
      <c r="E1095" s="1" t="s">
        <v>1005</v>
      </c>
      <c r="F1095" s="2" t="s">
        <v>330</v>
      </c>
      <c r="G1095" s="87" t="s">
        <v>331</v>
      </c>
      <c r="J1095" s="87" t="s">
        <v>864</v>
      </c>
      <c r="K1095" s="1" t="s">
        <v>1763</v>
      </c>
      <c r="L1095" s="87" t="s">
        <v>182</v>
      </c>
      <c r="M1095" s="90" t="str">
        <f t="shared" si="1263"/>
        <v>JD81-6P093-BA</v>
      </c>
      <c r="O1095" s="89">
        <v>0</v>
      </c>
      <c r="P1095" s="89">
        <v>0</v>
      </c>
      <c r="Q1095" s="89">
        <v>0</v>
      </c>
      <c r="R1095" s="89">
        <v>0</v>
      </c>
      <c r="S1095" s="89">
        <v>1</v>
      </c>
      <c r="T1095" s="89">
        <v>0</v>
      </c>
      <c r="U1095" s="89">
        <v>0</v>
      </c>
      <c r="V1095" s="89">
        <v>0</v>
      </c>
      <c r="W1095" s="64">
        <f t="shared" si="1199"/>
        <v>0.09</v>
      </c>
      <c r="Y1095" s="63">
        <v>-34.630000000000003</v>
      </c>
      <c r="Z1095" s="63">
        <v>-0.9</v>
      </c>
      <c r="AA1095" s="63">
        <v>-0.63</v>
      </c>
      <c r="AB1095" s="63">
        <v>0</v>
      </c>
      <c r="AC1095" s="63">
        <v>-3.58</v>
      </c>
      <c r="AD1095" s="8">
        <f t="shared" si="1276"/>
        <v>-39.74</v>
      </c>
      <c r="AE1095" s="2" t="s">
        <v>91</v>
      </c>
      <c r="AG1095" s="67">
        <v>-262100</v>
      </c>
      <c r="AH1095" s="67">
        <v>-262100</v>
      </c>
      <c r="AI1095" s="6"/>
      <c r="AJ1095" s="67">
        <v>-185370.65</v>
      </c>
      <c r="AK1095" s="67">
        <v>51741</v>
      </c>
      <c r="AM1095" s="22"/>
      <c r="AO1095" s="87" t="s">
        <v>864</v>
      </c>
      <c r="AP1095" s="87" t="s">
        <v>1763</v>
      </c>
      <c r="AQ1095" s="87" t="s">
        <v>182</v>
      </c>
      <c r="AR1095" s="2" t="s">
        <v>1767</v>
      </c>
      <c r="AS1095" s="3"/>
      <c r="AT1095" s="89">
        <v>0</v>
      </c>
      <c r="AU1095" s="89">
        <v>0</v>
      </c>
      <c r="AV1095" s="89">
        <v>0</v>
      </c>
      <c r="AW1095" s="89">
        <v>0</v>
      </c>
      <c r="AX1095" s="89">
        <v>1</v>
      </c>
      <c r="AY1095" s="89">
        <v>0</v>
      </c>
      <c r="AZ1095" s="89">
        <v>0</v>
      </c>
      <c r="BA1095" s="89">
        <v>0</v>
      </c>
      <c r="BB1095" s="92">
        <f t="shared" si="1267"/>
        <v>0.09</v>
      </c>
      <c r="BD1095" s="63">
        <v>-34.630000000000003</v>
      </c>
      <c r="BE1095" s="63">
        <v>-0.9</v>
      </c>
      <c r="BF1095" s="63">
        <v>-0.63</v>
      </c>
      <c r="BG1095" s="63">
        <v>0</v>
      </c>
      <c r="BH1095" s="63">
        <v>-3.58</v>
      </c>
      <c r="BI1095" s="63">
        <v>-39.74</v>
      </c>
      <c r="BJ1095" s="2" t="s">
        <v>91</v>
      </c>
      <c r="BL1095" s="67">
        <v>-262100</v>
      </c>
      <c r="BM1095" s="67">
        <v>-262100</v>
      </c>
      <c r="BN1095" s="246"/>
      <c r="BO1095" s="67">
        <v>-185370.65</v>
      </c>
      <c r="BP1095" s="67">
        <v>51741</v>
      </c>
      <c r="BS1095" s="61">
        <f t="shared" si="1238"/>
        <v>0</v>
      </c>
      <c r="BT1095" s="61">
        <f t="shared" si="1238"/>
        <v>0</v>
      </c>
      <c r="BU1095" s="61">
        <f t="shared" si="1238"/>
        <v>0</v>
      </c>
      <c r="BV1095" s="61">
        <f t="shared" si="1238"/>
        <v>0</v>
      </c>
      <c r="BW1095" s="61">
        <f t="shared" si="1238"/>
        <v>0</v>
      </c>
      <c r="BX1095" s="61">
        <f t="shared" si="1238"/>
        <v>0</v>
      </c>
      <c r="BY1095" s="61" t="s">
        <v>91</v>
      </c>
      <c r="CA1095" s="61">
        <f t="shared" si="1246"/>
        <v>0</v>
      </c>
      <c r="CB1095" s="61">
        <f t="shared" si="1246"/>
        <v>0</v>
      </c>
      <c r="CC1095" s="61">
        <f t="shared" si="1246"/>
        <v>0</v>
      </c>
      <c r="CD1095" s="61">
        <f t="shared" si="1246"/>
        <v>0</v>
      </c>
      <c r="CE1095" s="61">
        <f t="shared" si="1246"/>
        <v>0</v>
      </c>
      <c r="CF1095" s="61">
        <f t="shared" si="1246"/>
        <v>0</v>
      </c>
      <c r="CG1095" s="61">
        <f t="shared" si="1246"/>
        <v>0</v>
      </c>
      <c r="CH1095" s="61">
        <f t="shared" si="1209"/>
        <v>0</v>
      </c>
      <c r="CI1095" s="61">
        <f t="shared" si="1247"/>
        <v>0</v>
      </c>
      <c r="CJ1095" s="61"/>
      <c r="CK1095" s="61">
        <f t="shared" si="1260"/>
        <v>0</v>
      </c>
      <c r="CL1095" s="61">
        <f t="shared" si="1260"/>
        <v>0</v>
      </c>
      <c r="CM1095" s="61">
        <f t="shared" si="1260"/>
        <v>0</v>
      </c>
      <c r="CN1095" s="61">
        <f t="shared" si="1258"/>
        <v>0</v>
      </c>
      <c r="CO1095" s="61">
        <f t="shared" si="1258"/>
        <v>0</v>
      </c>
      <c r="CP1095" s="61">
        <f t="shared" si="1258"/>
        <v>0</v>
      </c>
      <c r="CQ1095" s="61">
        <f t="shared" si="1258"/>
        <v>0</v>
      </c>
      <c r="CR1095" s="61">
        <f t="shared" si="1210"/>
        <v>0</v>
      </c>
      <c r="CS1095" s="61">
        <f t="shared" si="1248"/>
        <v>0</v>
      </c>
      <c r="CT1095" s="61">
        <f t="shared" si="1252"/>
        <v>0</v>
      </c>
      <c r="CV1095" s="61">
        <f t="shared" si="1221"/>
        <v>0</v>
      </c>
      <c r="CW1095" s="61">
        <f t="shared" si="1222"/>
        <v>0</v>
      </c>
      <c r="CX1095" s="61"/>
      <c r="CY1095" s="61">
        <f t="shared" si="1261"/>
        <v>0</v>
      </c>
      <c r="CZ1095" s="61">
        <f t="shared" si="1262"/>
        <v>0</v>
      </c>
      <c r="DA1095" s="61">
        <f t="shared" si="1239"/>
        <v>0</v>
      </c>
      <c r="DB1095" s="2" t="s">
        <v>102</v>
      </c>
      <c r="DC1095" s="2" t="s">
        <v>102</v>
      </c>
      <c r="DD1095" s="2" t="s">
        <v>142</v>
      </c>
      <c r="DE1095" s="2" t="s">
        <v>257</v>
      </c>
      <c r="DF1095" s="3" t="s">
        <v>86</v>
      </c>
      <c r="DG1095" s="62">
        <v>42850</v>
      </c>
      <c r="EC1095" s="60" t="str">
        <f>VLOOKUP($M1095,[1]Detail!$M:$BO,1,0)</f>
        <v>JD81-6P093-BA</v>
      </c>
      <c r="ED1095" s="60">
        <f>VLOOKUP($M1095,[1]Detail!$M:$BO,22,0)</f>
        <v>-39.74</v>
      </c>
      <c r="EE1095" s="60">
        <f>VLOOKUP($M1095,[1]Detail!$M:$BO,42,0)</f>
        <v>-262100</v>
      </c>
      <c r="EF1095" s="60">
        <f>VLOOKUP($M1095,[1]Detail!$M:$BO,45,0)</f>
        <v>-185370.65</v>
      </c>
      <c r="EH1095" s="60">
        <f t="shared" si="1273"/>
        <v>0</v>
      </c>
      <c r="EI1095" s="60">
        <f t="shared" si="1274"/>
        <v>0</v>
      </c>
      <c r="EJ1095" s="60">
        <f t="shared" si="1275"/>
        <v>0</v>
      </c>
    </row>
    <row r="1096" spans="1:140" ht="12.75" hidden="1" customHeight="1">
      <c r="B1096" s="23" t="s">
        <v>1752</v>
      </c>
      <c r="C1096" s="2" t="s">
        <v>1198</v>
      </c>
      <c r="D1096" s="2" t="s">
        <v>1753</v>
      </c>
      <c r="E1096" s="1" t="s">
        <v>1005</v>
      </c>
      <c r="F1096" s="2" t="s">
        <v>330</v>
      </c>
      <c r="G1096" s="87" t="s">
        <v>331</v>
      </c>
      <c r="J1096" s="87" t="s">
        <v>864</v>
      </c>
      <c r="K1096" s="1" t="s">
        <v>1763</v>
      </c>
      <c r="L1096" s="87" t="s">
        <v>180</v>
      </c>
      <c r="M1096" s="90" t="str">
        <f t="shared" si="1263"/>
        <v>JD81-6P093-AA</v>
      </c>
      <c r="O1096" s="89">
        <v>0</v>
      </c>
      <c r="P1096" s="89">
        <v>0</v>
      </c>
      <c r="Q1096" s="89">
        <v>0</v>
      </c>
      <c r="R1096" s="89">
        <v>0</v>
      </c>
      <c r="S1096" s="89">
        <v>0</v>
      </c>
      <c r="T1096" s="89">
        <v>1</v>
      </c>
      <c r="U1096" s="89">
        <v>0</v>
      </c>
      <c r="V1096" s="89">
        <v>1</v>
      </c>
      <c r="W1096" s="64">
        <f t="shared" si="1199"/>
        <v>0.19</v>
      </c>
      <c r="Y1096" s="63">
        <v>-30.65</v>
      </c>
      <c r="Z1096" s="63">
        <v>-0.9</v>
      </c>
      <c r="AA1096" s="63">
        <v>-0.63</v>
      </c>
      <c r="AB1096" s="63">
        <v>0</v>
      </c>
      <c r="AC1096" s="63">
        <v>-1.69</v>
      </c>
      <c r="AD1096" s="8">
        <f t="shared" si="1276"/>
        <v>-33.869999999999997</v>
      </c>
      <c r="AE1096" s="2" t="s">
        <v>91</v>
      </c>
      <c r="AG1096" s="67">
        <v>-308100</v>
      </c>
      <c r="AH1096" s="67">
        <v>-308100</v>
      </c>
      <c r="AI1096" s="6"/>
      <c r="AJ1096" s="67">
        <v>-184389.71</v>
      </c>
      <c r="AK1096" s="67">
        <v>109231</v>
      </c>
      <c r="AM1096" s="22"/>
      <c r="AO1096" s="87" t="s">
        <v>864</v>
      </c>
      <c r="AP1096" s="87" t="s">
        <v>1763</v>
      </c>
      <c r="AQ1096" s="87" t="s">
        <v>180</v>
      </c>
      <c r="AR1096" s="2" t="s">
        <v>1768</v>
      </c>
      <c r="AS1096" s="3"/>
      <c r="AT1096" s="89">
        <v>0</v>
      </c>
      <c r="AU1096" s="89">
        <v>0</v>
      </c>
      <c r="AV1096" s="89">
        <v>0</v>
      </c>
      <c r="AW1096" s="89">
        <v>0</v>
      </c>
      <c r="AX1096" s="89">
        <v>0</v>
      </c>
      <c r="AY1096" s="89">
        <v>1</v>
      </c>
      <c r="AZ1096" s="89">
        <v>0</v>
      </c>
      <c r="BA1096" s="89">
        <v>1</v>
      </c>
      <c r="BB1096" s="92">
        <f t="shared" si="1267"/>
        <v>0.19</v>
      </c>
      <c r="BD1096" s="63">
        <v>-30.65</v>
      </c>
      <c r="BE1096" s="63">
        <v>-0.9</v>
      </c>
      <c r="BF1096" s="63">
        <v>-0.63</v>
      </c>
      <c r="BG1096" s="63">
        <v>0</v>
      </c>
      <c r="BH1096" s="63">
        <v>-1.69</v>
      </c>
      <c r="BI1096" s="63">
        <v>-33.869999999999997</v>
      </c>
      <c r="BJ1096" s="2" t="s">
        <v>91</v>
      </c>
      <c r="BL1096" s="67">
        <v>-308100</v>
      </c>
      <c r="BM1096" s="67">
        <v>-308100</v>
      </c>
      <c r="BN1096" s="246"/>
      <c r="BO1096" s="67">
        <v>-184389.71</v>
      </c>
      <c r="BP1096" s="67">
        <v>109231</v>
      </c>
      <c r="BS1096" s="61">
        <f t="shared" si="1238"/>
        <v>0</v>
      </c>
      <c r="BT1096" s="61">
        <f t="shared" si="1238"/>
        <v>0</v>
      </c>
      <c r="BU1096" s="61">
        <f t="shared" si="1238"/>
        <v>0</v>
      </c>
      <c r="BV1096" s="61">
        <f t="shared" si="1238"/>
        <v>0</v>
      </c>
      <c r="BW1096" s="61">
        <f t="shared" si="1238"/>
        <v>0</v>
      </c>
      <c r="BX1096" s="61">
        <f t="shared" si="1238"/>
        <v>0</v>
      </c>
      <c r="BY1096" s="61" t="s">
        <v>91</v>
      </c>
      <c r="CA1096" s="61">
        <f t="shared" si="1246"/>
        <v>0</v>
      </c>
      <c r="CB1096" s="61">
        <f t="shared" si="1246"/>
        <v>0</v>
      </c>
      <c r="CC1096" s="61">
        <f t="shared" si="1246"/>
        <v>0</v>
      </c>
      <c r="CD1096" s="61">
        <f t="shared" si="1246"/>
        <v>0</v>
      </c>
      <c r="CE1096" s="61">
        <f t="shared" si="1246"/>
        <v>0</v>
      </c>
      <c r="CF1096" s="61">
        <f t="shared" si="1246"/>
        <v>0</v>
      </c>
      <c r="CG1096" s="61">
        <f t="shared" si="1246"/>
        <v>0</v>
      </c>
      <c r="CH1096" s="61">
        <f t="shared" si="1209"/>
        <v>0</v>
      </c>
      <c r="CI1096" s="61">
        <f t="shared" si="1247"/>
        <v>0</v>
      </c>
      <c r="CJ1096" s="61"/>
      <c r="CK1096" s="61">
        <f t="shared" si="1260"/>
        <v>0</v>
      </c>
      <c r="CL1096" s="61">
        <f t="shared" si="1260"/>
        <v>0</v>
      </c>
      <c r="CM1096" s="61">
        <f t="shared" si="1260"/>
        <v>0</v>
      </c>
      <c r="CN1096" s="61">
        <f t="shared" si="1258"/>
        <v>0</v>
      </c>
      <c r="CO1096" s="61">
        <f t="shared" si="1258"/>
        <v>0</v>
      </c>
      <c r="CP1096" s="61">
        <f t="shared" si="1258"/>
        <v>0</v>
      </c>
      <c r="CQ1096" s="61">
        <f t="shared" si="1258"/>
        <v>0</v>
      </c>
      <c r="CR1096" s="61">
        <f t="shared" si="1210"/>
        <v>0</v>
      </c>
      <c r="CS1096" s="61">
        <f t="shared" si="1248"/>
        <v>0</v>
      </c>
      <c r="CT1096" s="61">
        <f t="shared" si="1252"/>
        <v>0</v>
      </c>
      <c r="CV1096" s="61">
        <f t="shared" si="1221"/>
        <v>0</v>
      </c>
      <c r="CW1096" s="61">
        <f t="shared" si="1222"/>
        <v>0</v>
      </c>
      <c r="CX1096" s="61"/>
      <c r="CY1096" s="61">
        <f t="shared" si="1261"/>
        <v>0</v>
      </c>
      <c r="CZ1096" s="61">
        <f t="shared" si="1262"/>
        <v>0</v>
      </c>
      <c r="DA1096" s="61">
        <f t="shared" si="1239"/>
        <v>0</v>
      </c>
      <c r="DB1096" s="2" t="s">
        <v>102</v>
      </c>
      <c r="DC1096" s="2" t="s">
        <v>102</v>
      </c>
      <c r="DD1096" s="2" t="s">
        <v>142</v>
      </c>
      <c r="DE1096" s="2" t="s">
        <v>257</v>
      </c>
      <c r="DF1096" s="3" t="s">
        <v>86</v>
      </c>
      <c r="DG1096" s="62">
        <v>42850</v>
      </c>
      <c r="EC1096" s="60" t="str">
        <f>VLOOKUP($M1096,[1]Detail!$M:$BO,1,0)</f>
        <v>JD81-6P093-AA</v>
      </c>
      <c r="ED1096" s="60">
        <f>VLOOKUP($M1096,[1]Detail!$M:$BO,22,0)</f>
        <v>-33.869999999999997</v>
      </c>
      <c r="EE1096" s="60">
        <f>VLOOKUP($M1096,[1]Detail!$M:$BO,42,0)</f>
        <v>-308100</v>
      </c>
      <c r="EF1096" s="60">
        <f>VLOOKUP($M1096,[1]Detail!$M:$BO,45,0)</f>
        <v>-184389.71</v>
      </c>
      <c r="EH1096" s="60">
        <f t="shared" si="1273"/>
        <v>0</v>
      </c>
      <c r="EI1096" s="60">
        <f t="shared" si="1274"/>
        <v>0</v>
      </c>
      <c r="EJ1096" s="60">
        <f t="shared" si="1275"/>
        <v>0</v>
      </c>
    </row>
    <row r="1097" spans="1:140" s="248" customFormat="1" ht="12.75" hidden="1" customHeight="1">
      <c r="A1097" s="2"/>
      <c r="B1097" s="23" t="s">
        <v>1769</v>
      </c>
      <c r="C1097" s="2" t="s">
        <v>1770</v>
      </c>
      <c r="D1097" s="86" t="s">
        <v>1771</v>
      </c>
      <c r="E1097" s="87" t="s">
        <v>338</v>
      </c>
      <c r="F1097" s="2" t="s">
        <v>330</v>
      </c>
      <c r="G1097" s="1" t="s">
        <v>339</v>
      </c>
      <c r="H1097" s="2"/>
      <c r="I1097" s="2"/>
      <c r="J1097" s="1" t="s">
        <v>333</v>
      </c>
      <c r="K1097" s="1">
        <v>1125</v>
      </c>
      <c r="L1097" s="1" t="s">
        <v>180</v>
      </c>
      <c r="M1097" s="90" t="str">
        <f t="shared" si="1263"/>
        <v>JD8C-1125-AA</v>
      </c>
      <c r="N1097" s="3"/>
      <c r="O1097" s="89">
        <v>2</v>
      </c>
      <c r="P1097" s="89">
        <v>2</v>
      </c>
      <c r="Q1097" s="89">
        <v>2</v>
      </c>
      <c r="R1097" s="89">
        <v>2</v>
      </c>
      <c r="S1097" s="89">
        <v>2</v>
      </c>
      <c r="T1097" s="89">
        <v>2</v>
      </c>
      <c r="U1097" s="89">
        <v>2</v>
      </c>
      <c r="V1097" s="89">
        <v>2</v>
      </c>
      <c r="W1097" s="64">
        <f t="shared" si="1199"/>
        <v>2</v>
      </c>
      <c r="X1097" s="2"/>
      <c r="Y1097" s="63">
        <v>-89.34</v>
      </c>
      <c r="Z1097" s="63">
        <v>-0.98</v>
      </c>
      <c r="AA1097" s="63">
        <v>-1.37</v>
      </c>
      <c r="AB1097" s="63">
        <v>0</v>
      </c>
      <c r="AC1097" s="63">
        <v>0</v>
      </c>
      <c r="AD1097" s="8">
        <f t="shared" si="1276"/>
        <v>-91.690000000000012</v>
      </c>
      <c r="AE1097" s="2" t="s">
        <v>91</v>
      </c>
      <c r="AF1097" s="2"/>
      <c r="AG1097" s="67">
        <v>0</v>
      </c>
      <c r="AH1097" s="67">
        <v>0</v>
      </c>
      <c r="AI1097" s="67"/>
      <c r="AJ1097" s="67">
        <v>0</v>
      </c>
      <c r="AK1097" s="67">
        <v>0</v>
      </c>
      <c r="AL1097" s="2"/>
      <c r="AM1097" s="22"/>
      <c r="AN1097" s="2"/>
      <c r="AO1097" s="87" t="s">
        <v>333</v>
      </c>
      <c r="AP1097" s="1">
        <v>1125</v>
      </c>
      <c r="AQ1097" s="1" t="s">
        <v>180</v>
      </c>
      <c r="AR1097" s="2" t="s">
        <v>1772</v>
      </c>
      <c r="AS1097" s="87"/>
      <c r="AT1097" s="164">
        <v>2</v>
      </c>
      <c r="AU1097" s="164">
        <v>2</v>
      </c>
      <c r="AV1097" s="164">
        <v>2</v>
      </c>
      <c r="AW1097" s="164">
        <v>2</v>
      </c>
      <c r="AX1097" s="164">
        <v>2</v>
      </c>
      <c r="AY1097" s="164">
        <v>2</v>
      </c>
      <c r="AZ1097" s="91">
        <v>2</v>
      </c>
      <c r="BA1097" s="91">
        <v>2</v>
      </c>
      <c r="BB1097" s="92">
        <f t="shared" si="1267"/>
        <v>2</v>
      </c>
      <c r="BC1097" s="2"/>
      <c r="BD1097" s="63">
        <v>-89.34</v>
      </c>
      <c r="BE1097" s="63">
        <v>-0.98</v>
      </c>
      <c r="BF1097" s="63">
        <v>-1.37</v>
      </c>
      <c r="BG1097" s="63">
        <v>0</v>
      </c>
      <c r="BH1097" s="63">
        <v>0</v>
      </c>
      <c r="BI1097" s="63">
        <v>-91.690000000000012</v>
      </c>
      <c r="BJ1097" s="2" t="s">
        <v>91</v>
      </c>
      <c r="BK1097" s="2"/>
      <c r="BL1097" s="67">
        <v>0</v>
      </c>
      <c r="BM1097" s="67">
        <v>0</v>
      </c>
      <c r="BN1097" s="67"/>
      <c r="BO1097" s="67">
        <v>0</v>
      </c>
      <c r="BP1097" s="67">
        <v>0</v>
      </c>
      <c r="BQ1097" s="2"/>
      <c r="BR1097" s="2"/>
      <c r="BS1097" s="61">
        <f t="shared" si="1238"/>
        <v>0</v>
      </c>
      <c r="BT1097" s="61">
        <f t="shared" si="1238"/>
        <v>0</v>
      </c>
      <c r="BU1097" s="61">
        <f t="shared" si="1238"/>
        <v>0</v>
      </c>
      <c r="BV1097" s="61">
        <f t="shared" si="1238"/>
        <v>0</v>
      </c>
      <c r="BW1097" s="61">
        <f t="shared" si="1238"/>
        <v>0</v>
      </c>
      <c r="BX1097" s="61">
        <f t="shared" si="1238"/>
        <v>0</v>
      </c>
      <c r="BY1097" s="61" t="s">
        <v>91</v>
      </c>
      <c r="BZ1097" s="2"/>
      <c r="CA1097" s="61">
        <f t="shared" si="1246"/>
        <v>0</v>
      </c>
      <c r="CB1097" s="61">
        <f t="shared" si="1246"/>
        <v>0</v>
      </c>
      <c r="CC1097" s="61">
        <f t="shared" si="1246"/>
        <v>0</v>
      </c>
      <c r="CD1097" s="61">
        <f t="shared" si="1246"/>
        <v>0</v>
      </c>
      <c r="CE1097" s="61">
        <f t="shared" si="1246"/>
        <v>0</v>
      </c>
      <c r="CF1097" s="61">
        <f t="shared" si="1246"/>
        <v>0</v>
      </c>
      <c r="CG1097" s="61">
        <f t="shared" si="1246"/>
        <v>0</v>
      </c>
      <c r="CH1097" s="61">
        <f t="shared" si="1209"/>
        <v>0</v>
      </c>
      <c r="CI1097" s="61">
        <f t="shared" si="1247"/>
        <v>0</v>
      </c>
      <c r="CJ1097" s="61"/>
      <c r="CK1097" s="61">
        <f t="shared" si="1260"/>
        <v>0</v>
      </c>
      <c r="CL1097" s="61">
        <f t="shared" si="1260"/>
        <v>0</v>
      </c>
      <c r="CM1097" s="61">
        <f t="shared" si="1260"/>
        <v>0</v>
      </c>
      <c r="CN1097" s="61">
        <f t="shared" si="1258"/>
        <v>0</v>
      </c>
      <c r="CO1097" s="61">
        <f t="shared" si="1258"/>
        <v>0</v>
      </c>
      <c r="CP1097" s="61">
        <f t="shared" si="1258"/>
        <v>0</v>
      </c>
      <c r="CQ1097" s="61">
        <f t="shared" si="1258"/>
        <v>0</v>
      </c>
      <c r="CR1097" s="61">
        <f t="shared" si="1210"/>
        <v>0</v>
      </c>
      <c r="CS1097" s="61">
        <f t="shared" si="1248"/>
        <v>0</v>
      </c>
      <c r="CT1097" s="61">
        <f t="shared" si="1252"/>
        <v>0</v>
      </c>
      <c r="CU1097" s="2"/>
      <c r="CV1097" s="61">
        <f t="shared" si="1221"/>
        <v>0</v>
      </c>
      <c r="CW1097" s="61">
        <f t="shared" si="1222"/>
        <v>0</v>
      </c>
      <c r="CX1097" s="61"/>
      <c r="CY1097" s="61">
        <f t="shared" si="1261"/>
        <v>0</v>
      </c>
      <c r="CZ1097" s="61">
        <f t="shared" si="1262"/>
        <v>0</v>
      </c>
      <c r="DA1097" s="61">
        <f t="shared" si="1239"/>
        <v>0</v>
      </c>
      <c r="DB1097" s="2" t="s">
        <v>102</v>
      </c>
      <c r="DC1097" s="2" t="s">
        <v>102</v>
      </c>
      <c r="DD1097" s="2" t="s">
        <v>142</v>
      </c>
      <c r="DE1097" s="2" t="s">
        <v>257</v>
      </c>
      <c r="DF1097" s="3" t="s">
        <v>86</v>
      </c>
      <c r="DG1097" s="62">
        <v>42822</v>
      </c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53"/>
      <c r="EC1097" s="144" t="str">
        <f>VLOOKUP($M1097,[1]Detail!$M:$BO,1,0)</f>
        <v>JD8C-1125-AA</v>
      </c>
      <c r="ED1097" s="144">
        <f>VLOOKUP($M1097,[1]Detail!$M:$BO,22,0)</f>
        <v>-91.690000000000012</v>
      </c>
      <c r="EE1097" s="144">
        <f>VLOOKUP($M1097,[1]Detail!$M:$BO,42,0)</f>
        <v>0</v>
      </c>
      <c r="EF1097" s="144">
        <f>VLOOKUP($M1097,[1]Detail!$M:$BO,45,0)</f>
        <v>0</v>
      </c>
      <c r="EH1097" s="144">
        <f t="shared" si="1273"/>
        <v>0</v>
      </c>
      <c r="EI1097" s="144">
        <f t="shared" si="1274"/>
        <v>0</v>
      </c>
      <c r="EJ1097" s="144">
        <f t="shared" si="1275"/>
        <v>0</v>
      </c>
    </row>
    <row r="1098" spans="1:140" ht="12.75" hidden="1" customHeight="1">
      <c r="B1098" s="23" t="s">
        <v>1769</v>
      </c>
      <c r="C1098" s="2" t="s">
        <v>1770</v>
      </c>
      <c r="D1098" s="86" t="s">
        <v>1771</v>
      </c>
      <c r="E1098" s="87" t="s">
        <v>338</v>
      </c>
      <c r="F1098" s="2" t="s">
        <v>330</v>
      </c>
      <c r="G1098" s="1" t="s">
        <v>339</v>
      </c>
      <c r="J1098" s="1" t="s">
        <v>333</v>
      </c>
      <c r="K1098" s="1" t="s">
        <v>1773</v>
      </c>
      <c r="L1098" s="1" t="s">
        <v>180</v>
      </c>
      <c r="M1098" s="90" t="str">
        <f t="shared" si="1263"/>
        <v>JD8C-2A315-AA</v>
      </c>
      <c r="O1098" s="89">
        <v>2</v>
      </c>
      <c r="P1098" s="89">
        <v>2</v>
      </c>
      <c r="Q1098" s="89">
        <v>2</v>
      </c>
      <c r="R1098" s="89">
        <v>2</v>
      </c>
      <c r="S1098" s="89">
        <v>2</v>
      </c>
      <c r="T1098" s="89">
        <v>2</v>
      </c>
      <c r="U1098" s="89">
        <v>2</v>
      </c>
      <c r="V1098" s="89">
        <v>2</v>
      </c>
      <c r="W1098" s="64">
        <f t="shared" ref="W1098:W1142" si="1277">SUMPRODUCT(O1098:V1098,$O$6:$V$6)</f>
        <v>2</v>
      </c>
      <c r="Y1098" s="63">
        <v>-69.177999999999997</v>
      </c>
      <c r="Z1098" s="63">
        <v>-0.93</v>
      </c>
      <c r="AA1098" s="63">
        <v>-1.06</v>
      </c>
      <c r="AB1098" s="63">
        <v>0</v>
      </c>
      <c r="AC1098" s="63">
        <v>0</v>
      </c>
      <c r="AD1098" s="8">
        <f t="shared" si="1276"/>
        <v>-71.168000000000006</v>
      </c>
      <c r="AE1098" s="2" t="s">
        <v>91</v>
      </c>
      <c r="AG1098" s="67">
        <v>0</v>
      </c>
      <c r="AH1098" s="67">
        <v>0</v>
      </c>
      <c r="AI1098" s="67"/>
      <c r="AJ1098" s="67">
        <v>0</v>
      </c>
      <c r="AK1098" s="67">
        <v>0</v>
      </c>
      <c r="AM1098" s="22"/>
      <c r="AO1098" s="1" t="s">
        <v>333</v>
      </c>
      <c r="AP1098" s="87" t="s">
        <v>1773</v>
      </c>
      <c r="AQ1098" s="1" t="s">
        <v>180</v>
      </c>
      <c r="AR1098" s="2" t="s">
        <v>1774</v>
      </c>
      <c r="AS1098" s="3"/>
      <c r="AT1098" s="89">
        <v>2</v>
      </c>
      <c r="AU1098" s="89">
        <v>2</v>
      </c>
      <c r="AV1098" s="89">
        <v>2</v>
      </c>
      <c r="AW1098" s="89">
        <v>2</v>
      </c>
      <c r="AX1098" s="89">
        <v>2</v>
      </c>
      <c r="AY1098" s="89">
        <v>2</v>
      </c>
      <c r="AZ1098" s="89">
        <v>2</v>
      </c>
      <c r="BA1098" s="89">
        <v>2</v>
      </c>
      <c r="BB1098" s="92">
        <f t="shared" si="1267"/>
        <v>2</v>
      </c>
      <c r="BD1098" s="63">
        <v>-69.177999999999997</v>
      </c>
      <c r="BE1098" s="63">
        <v>-0.93</v>
      </c>
      <c r="BF1098" s="63">
        <v>-1.06</v>
      </c>
      <c r="BG1098" s="63">
        <v>0</v>
      </c>
      <c r="BH1098" s="63">
        <v>0</v>
      </c>
      <c r="BI1098" s="63">
        <v>-71.168000000000006</v>
      </c>
      <c r="BJ1098" s="2" t="s">
        <v>91</v>
      </c>
      <c r="BL1098" s="67">
        <v>0</v>
      </c>
      <c r="BM1098" s="67">
        <v>0</v>
      </c>
      <c r="BN1098" s="67"/>
      <c r="BO1098" s="67">
        <v>0</v>
      </c>
      <c r="BP1098" s="67">
        <v>0</v>
      </c>
      <c r="BS1098" s="61">
        <f t="shared" si="1238"/>
        <v>0</v>
      </c>
      <c r="BT1098" s="61">
        <f t="shared" si="1238"/>
        <v>0</v>
      </c>
      <c r="BU1098" s="61">
        <f t="shared" si="1238"/>
        <v>0</v>
      </c>
      <c r="BV1098" s="61">
        <f t="shared" si="1238"/>
        <v>0</v>
      </c>
      <c r="BW1098" s="61">
        <f t="shared" si="1238"/>
        <v>0</v>
      </c>
      <c r="BX1098" s="61">
        <f t="shared" si="1238"/>
        <v>0</v>
      </c>
      <c r="BY1098" s="61" t="s">
        <v>91</v>
      </c>
      <c r="CA1098" s="61">
        <f t="shared" si="1246"/>
        <v>0</v>
      </c>
      <c r="CB1098" s="61">
        <f t="shared" si="1246"/>
        <v>0</v>
      </c>
      <c r="CC1098" s="61">
        <f t="shared" si="1246"/>
        <v>0</v>
      </c>
      <c r="CD1098" s="61">
        <f t="shared" si="1246"/>
        <v>0</v>
      </c>
      <c r="CE1098" s="61">
        <f t="shared" si="1246"/>
        <v>0</v>
      </c>
      <c r="CF1098" s="61">
        <f t="shared" si="1246"/>
        <v>0</v>
      </c>
      <c r="CG1098" s="61">
        <f t="shared" si="1246"/>
        <v>0</v>
      </c>
      <c r="CH1098" s="61">
        <f t="shared" si="1209"/>
        <v>0</v>
      </c>
      <c r="CI1098" s="61">
        <f t="shared" si="1247"/>
        <v>0</v>
      </c>
      <c r="CJ1098" s="61"/>
      <c r="CK1098" s="61">
        <f t="shared" si="1260"/>
        <v>0</v>
      </c>
      <c r="CL1098" s="61">
        <f t="shared" si="1260"/>
        <v>0</v>
      </c>
      <c r="CM1098" s="61">
        <f t="shared" si="1260"/>
        <v>0</v>
      </c>
      <c r="CN1098" s="61">
        <f t="shared" si="1258"/>
        <v>0</v>
      </c>
      <c r="CO1098" s="61">
        <f t="shared" si="1258"/>
        <v>0</v>
      </c>
      <c r="CP1098" s="61">
        <f t="shared" si="1258"/>
        <v>0</v>
      </c>
      <c r="CQ1098" s="61">
        <f t="shared" si="1258"/>
        <v>0</v>
      </c>
      <c r="CR1098" s="61">
        <f t="shared" si="1210"/>
        <v>0</v>
      </c>
      <c r="CS1098" s="61">
        <f t="shared" si="1248"/>
        <v>0</v>
      </c>
      <c r="CT1098" s="61">
        <f t="shared" si="1252"/>
        <v>0</v>
      </c>
      <c r="CV1098" s="61">
        <f t="shared" si="1221"/>
        <v>0</v>
      </c>
      <c r="CW1098" s="61">
        <f t="shared" si="1222"/>
        <v>0</v>
      </c>
      <c r="CX1098" s="61"/>
      <c r="CY1098" s="61">
        <f t="shared" si="1261"/>
        <v>0</v>
      </c>
      <c r="CZ1098" s="61">
        <f t="shared" si="1262"/>
        <v>0</v>
      </c>
      <c r="DA1098" s="61">
        <f t="shared" si="1239"/>
        <v>0</v>
      </c>
      <c r="DB1098" s="2" t="s">
        <v>102</v>
      </c>
      <c r="DC1098" s="2" t="s">
        <v>102</v>
      </c>
      <c r="DD1098" s="2" t="s">
        <v>142</v>
      </c>
      <c r="DE1098" s="2" t="s">
        <v>257</v>
      </c>
      <c r="DF1098" s="3" t="s">
        <v>86</v>
      </c>
      <c r="DG1098" s="62">
        <v>42822</v>
      </c>
      <c r="EC1098" s="60" t="str">
        <f>VLOOKUP($M1098,[1]Detail!$M:$BO,1,0)</f>
        <v>JD8C-2A315-AA</v>
      </c>
      <c r="ED1098" s="60">
        <f>VLOOKUP($M1098,[1]Detail!$M:$BO,22,0)</f>
        <v>-71.168000000000006</v>
      </c>
      <c r="EE1098" s="60">
        <f>VLOOKUP($M1098,[1]Detail!$M:$BO,42,0)</f>
        <v>0</v>
      </c>
      <c r="EF1098" s="60">
        <f>VLOOKUP($M1098,[1]Detail!$M:$BO,45,0)</f>
        <v>0</v>
      </c>
      <c r="EH1098" s="60">
        <f t="shared" si="1273"/>
        <v>0</v>
      </c>
      <c r="EI1098" s="60">
        <f t="shared" si="1274"/>
        <v>0</v>
      </c>
      <c r="EJ1098" s="60">
        <f t="shared" si="1275"/>
        <v>0</v>
      </c>
    </row>
    <row r="1099" spans="1:140" ht="12.75" hidden="1" customHeight="1">
      <c r="B1099" s="99" t="s">
        <v>1775</v>
      </c>
      <c r="C1099" s="22" t="s">
        <v>1776</v>
      </c>
      <c r="D1099" s="22" t="s">
        <v>1777</v>
      </c>
      <c r="E1099" s="2" t="s">
        <v>1661</v>
      </c>
      <c r="F1099" s="2" t="s">
        <v>969</v>
      </c>
      <c r="G1099" s="2" t="str">
        <f>VLOOKUP($C1099,[1]Detail!$C:$AK,5,0)</f>
        <v>B</v>
      </c>
      <c r="J1099" s="22" t="s">
        <v>1778</v>
      </c>
      <c r="K1099" s="23" t="s">
        <v>1779</v>
      </c>
      <c r="L1099" s="22" t="s">
        <v>180</v>
      </c>
      <c r="M1099" s="51" t="str">
        <f t="shared" si="1263"/>
        <v>HS7T-14B006-AA</v>
      </c>
      <c r="O1099" s="22">
        <v>3</v>
      </c>
      <c r="P1099" s="22">
        <v>3</v>
      </c>
      <c r="Q1099" s="22">
        <v>3</v>
      </c>
      <c r="R1099" s="22">
        <v>3</v>
      </c>
      <c r="S1099" s="22">
        <v>3</v>
      </c>
      <c r="T1099" s="22">
        <v>3</v>
      </c>
      <c r="U1099" s="22">
        <v>3</v>
      </c>
      <c r="V1099" s="22">
        <v>3</v>
      </c>
      <c r="W1099" s="64">
        <f t="shared" si="1277"/>
        <v>3</v>
      </c>
      <c r="Y1099" s="60">
        <v>-20.81</v>
      </c>
      <c r="Z1099" s="60">
        <v>-0.4</v>
      </c>
      <c r="AA1099" s="95">
        <v>-0.7</v>
      </c>
      <c r="AB1099" s="95">
        <v>0</v>
      </c>
      <c r="AC1099" s="95">
        <v>0</v>
      </c>
      <c r="AD1099" s="8">
        <f t="shared" si="1276"/>
        <v>-21.909999999999997</v>
      </c>
      <c r="AE1099" s="2" t="s">
        <v>91</v>
      </c>
      <c r="AG1099" s="70">
        <v>0</v>
      </c>
      <c r="AH1099" s="70">
        <v>0</v>
      </c>
      <c r="AJ1099" s="70">
        <v>-4260503.71</v>
      </c>
      <c r="AK1099" s="70">
        <v>574899</v>
      </c>
      <c r="AL1099" s="72">
        <v>0</v>
      </c>
      <c r="AM1099" s="22"/>
      <c r="AO1099" s="22" t="s">
        <v>1778</v>
      </c>
      <c r="AP1099" s="87" t="s">
        <v>1779</v>
      </c>
      <c r="AQ1099" s="22" t="s">
        <v>180</v>
      </c>
      <c r="AR1099" s="51" t="s">
        <v>1780</v>
      </c>
      <c r="AS1099" s="3"/>
      <c r="AT1099" s="22">
        <v>3</v>
      </c>
      <c r="AU1099" s="22">
        <v>3</v>
      </c>
      <c r="AV1099" s="22">
        <v>3</v>
      </c>
      <c r="AW1099" s="22">
        <v>3</v>
      </c>
      <c r="AX1099" s="22">
        <v>3</v>
      </c>
      <c r="AY1099" s="22">
        <v>3</v>
      </c>
      <c r="AZ1099" s="22">
        <v>3</v>
      </c>
      <c r="BA1099" s="22">
        <v>3</v>
      </c>
      <c r="BB1099" s="92">
        <f t="shared" si="1267"/>
        <v>3</v>
      </c>
      <c r="BD1099" s="63">
        <v>-20.81</v>
      </c>
      <c r="BE1099" s="63">
        <v>-0.4</v>
      </c>
      <c r="BF1099" s="63">
        <v>-0.7</v>
      </c>
      <c r="BG1099" s="63">
        <v>0</v>
      </c>
      <c r="BH1099" s="63">
        <v>0</v>
      </c>
      <c r="BI1099" s="63">
        <v>-21.909999999999997</v>
      </c>
      <c r="BJ1099" s="2" t="s">
        <v>91</v>
      </c>
      <c r="BL1099" s="70">
        <v>0</v>
      </c>
      <c r="BM1099" s="70">
        <v>0</v>
      </c>
      <c r="BO1099" s="70">
        <v>-4260503.71</v>
      </c>
      <c r="BP1099" s="70">
        <v>574899</v>
      </c>
      <c r="BQ1099" s="72">
        <v>0</v>
      </c>
      <c r="BS1099" s="61">
        <f t="shared" ref="BS1099:BX1102" si="1278">SUM(Y1099)-SUM(BD1099)</f>
        <v>0</v>
      </c>
      <c r="BT1099" s="61">
        <f t="shared" si="1278"/>
        <v>0</v>
      </c>
      <c r="BU1099" s="61">
        <f t="shared" si="1278"/>
        <v>0</v>
      </c>
      <c r="BV1099" s="61">
        <f t="shared" si="1278"/>
        <v>0</v>
      </c>
      <c r="BW1099" s="61">
        <f t="shared" si="1278"/>
        <v>0</v>
      </c>
      <c r="BX1099" s="61">
        <f t="shared" si="1278"/>
        <v>0</v>
      </c>
      <c r="BY1099" s="61" t="s">
        <v>91</v>
      </c>
      <c r="CA1099" s="61">
        <f t="shared" si="1246"/>
        <v>0</v>
      </c>
      <c r="CB1099" s="61">
        <f t="shared" si="1246"/>
        <v>0</v>
      </c>
      <c r="CC1099" s="61">
        <f t="shared" si="1246"/>
        <v>0</v>
      </c>
      <c r="CD1099" s="61">
        <f t="shared" si="1246"/>
        <v>0</v>
      </c>
      <c r="CE1099" s="61">
        <f t="shared" si="1246"/>
        <v>0</v>
      </c>
      <c r="CF1099" s="61">
        <f t="shared" si="1246"/>
        <v>0</v>
      </c>
      <c r="CG1099" s="61">
        <f t="shared" si="1246"/>
        <v>0</v>
      </c>
      <c r="CH1099" s="61">
        <f t="shared" si="1209"/>
        <v>0</v>
      </c>
      <c r="CI1099" s="61">
        <f t="shared" si="1247"/>
        <v>0</v>
      </c>
      <c r="CJ1099" s="61"/>
      <c r="CK1099" s="61">
        <f t="shared" si="1260"/>
        <v>0</v>
      </c>
      <c r="CL1099" s="61">
        <f t="shared" si="1260"/>
        <v>0</v>
      </c>
      <c r="CM1099" s="61">
        <f t="shared" si="1260"/>
        <v>0</v>
      </c>
      <c r="CN1099" s="61">
        <f t="shared" si="1258"/>
        <v>0</v>
      </c>
      <c r="CO1099" s="61">
        <f t="shared" si="1258"/>
        <v>0</v>
      </c>
      <c r="CP1099" s="61">
        <f t="shared" si="1258"/>
        <v>0</v>
      </c>
      <c r="CQ1099" s="61">
        <f t="shared" si="1258"/>
        <v>0</v>
      </c>
      <c r="CR1099" s="61">
        <f t="shared" si="1210"/>
        <v>0</v>
      </c>
      <c r="CS1099" s="61">
        <f t="shared" si="1248"/>
        <v>0</v>
      </c>
      <c r="CT1099" s="61">
        <f t="shared" si="1252"/>
        <v>0</v>
      </c>
      <c r="CV1099" s="61">
        <f t="shared" si="1221"/>
        <v>0</v>
      </c>
      <c r="CW1099" s="61">
        <f t="shared" si="1222"/>
        <v>0</v>
      </c>
      <c r="CX1099" s="61"/>
      <c r="CY1099" s="61">
        <f t="shared" si="1261"/>
        <v>0</v>
      </c>
      <c r="CZ1099" s="61">
        <f t="shared" si="1262"/>
        <v>0</v>
      </c>
      <c r="DA1099" s="61">
        <f t="shared" si="1239"/>
        <v>0</v>
      </c>
      <c r="DB1099" s="2" t="s">
        <v>102</v>
      </c>
      <c r="DC1099" s="2" t="s">
        <v>102</v>
      </c>
      <c r="DD1099" s="2" t="s">
        <v>142</v>
      </c>
      <c r="DE1099" s="2" t="s">
        <v>257</v>
      </c>
      <c r="DG1099" s="62"/>
      <c r="DZ1099" s="3" t="e">
        <v>#N/A</v>
      </c>
      <c r="EC1099" s="60" t="str">
        <f>VLOOKUP($M1099,[1]Detail!$M:$BO,1,0)</f>
        <v>HS7T-14B006-AA</v>
      </c>
      <c r="ED1099" s="60">
        <f>VLOOKUP($M1099,[1]Detail!$M:$BO,22,0)</f>
        <v>-21.909999999999997</v>
      </c>
      <c r="EE1099" s="60">
        <f>VLOOKUP($M1099,[1]Detail!$M:$BO,42,0)</f>
        <v>0</v>
      </c>
      <c r="EF1099" s="60">
        <f>VLOOKUP($M1099,[1]Detail!$M:$BO,45,0)</f>
        <v>0</v>
      </c>
      <c r="EH1099" s="60">
        <f t="shared" si="1273"/>
        <v>0</v>
      </c>
      <c r="EI1099" s="60">
        <f t="shared" si="1274"/>
        <v>0</v>
      </c>
      <c r="EJ1099" s="60">
        <f t="shared" si="1275"/>
        <v>4260503.71</v>
      </c>
    </row>
    <row r="1100" spans="1:140" ht="12.75" hidden="1" customHeight="1">
      <c r="B1100" s="99" t="s">
        <v>1775</v>
      </c>
      <c r="C1100" s="22" t="s">
        <v>1776</v>
      </c>
      <c r="D1100" s="22" t="s">
        <v>1777</v>
      </c>
      <c r="E1100" s="2" t="s">
        <v>1661</v>
      </c>
      <c r="F1100" s="2" t="s">
        <v>969</v>
      </c>
      <c r="G1100" s="2" t="str">
        <f>VLOOKUP($C1100,[1]Detail!$C:$AK,5,0)</f>
        <v>B</v>
      </c>
      <c r="J1100" s="22">
        <v>0</v>
      </c>
      <c r="K1100" s="23">
        <v>0</v>
      </c>
      <c r="L1100" s="22">
        <v>0</v>
      </c>
      <c r="M1100" s="51" t="str">
        <f t="shared" si="1263"/>
        <v>0-0-0</v>
      </c>
      <c r="O1100" s="22">
        <v>0</v>
      </c>
      <c r="P1100" s="22">
        <v>0</v>
      </c>
      <c r="Q1100" s="22">
        <v>0</v>
      </c>
      <c r="R1100" s="22">
        <v>0</v>
      </c>
      <c r="S1100" s="22">
        <v>0</v>
      </c>
      <c r="T1100" s="22">
        <v>0</v>
      </c>
      <c r="U1100" s="22">
        <v>0</v>
      </c>
      <c r="V1100" s="22">
        <v>0</v>
      </c>
      <c r="W1100" s="64">
        <f t="shared" si="1277"/>
        <v>0</v>
      </c>
      <c r="Y1100" s="60">
        <v>-183</v>
      </c>
      <c r="Z1100" s="60">
        <v>-0.8</v>
      </c>
      <c r="AA1100" s="95">
        <v>-3.8</v>
      </c>
      <c r="AB1100" s="95">
        <v>0</v>
      </c>
      <c r="AC1100" s="95">
        <v>-7.41</v>
      </c>
      <c r="AD1100" s="8">
        <f t="shared" si="1276"/>
        <v>-195.01000000000002</v>
      </c>
      <c r="AE1100" s="2" t="s">
        <v>91</v>
      </c>
      <c r="AG1100" s="70">
        <v>0</v>
      </c>
      <c r="AH1100" s="70">
        <v>0</v>
      </c>
      <c r="AJ1100" s="70">
        <v>0</v>
      </c>
      <c r="AK1100" s="70">
        <v>0</v>
      </c>
      <c r="AL1100" s="72">
        <v>0</v>
      </c>
      <c r="AM1100" s="22"/>
      <c r="AO1100" s="22" t="s">
        <v>81</v>
      </c>
      <c r="AP1100" s="87" t="s">
        <v>1781</v>
      </c>
      <c r="AQ1100" s="22" t="s">
        <v>182</v>
      </c>
      <c r="AR1100" s="51" t="s">
        <v>1782</v>
      </c>
      <c r="AS1100" s="3"/>
      <c r="AT1100" s="22">
        <v>0</v>
      </c>
      <c r="AU1100" s="22">
        <v>0</v>
      </c>
      <c r="AV1100" s="22">
        <v>0</v>
      </c>
      <c r="AW1100" s="22">
        <v>0</v>
      </c>
      <c r="AX1100" s="22">
        <v>0</v>
      </c>
      <c r="AY1100" s="22">
        <v>0</v>
      </c>
      <c r="AZ1100" s="22">
        <v>0</v>
      </c>
      <c r="BA1100" s="22">
        <v>0</v>
      </c>
      <c r="BB1100" s="92">
        <f t="shared" si="1267"/>
        <v>0</v>
      </c>
      <c r="BD1100" s="63">
        <v>-183</v>
      </c>
      <c r="BE1100" s="63">
        <v>-0.8</v>
      </c>
      <c r="BF1100" s="63">
        <v>-3.8</v>
      </c>
      <c r="BG1100" s="63">
        <v>0</v>
      </c>
      <c r="BH1100" s="63">
        <v>-7.41</v>
      </c>
      <c r="BI1100" s="63">
        <v>-195.01000000000002</v>
      </c>
      <c r="BJ1100" s="2" t="s">
        <v>91</v>
      </c>
      <c r="BL1100" s="70">
        <v>0</v>
      </c>
      <c r="BM1100" s="70">
        <v>0</v>
      </c>
      <c r="BO1100" s="70">
        <v>0</v>
      </c>
      <c r="BP1100" s="70">
        <v>0</v>
      </c>
      <c r="BQ1100" s="72">
        <v>0</v>
      </c>
      <c r="BS1100" s="61">
        <f t="shared" si="1278"/>
        <v>0</v>
      </c>
      <c r="BT1100" s="61">
        <f t="shared" si="1278"/>
        <v>0</v>
      </c>
      <c r="BU1100" s="61">
        <f t="shared" si="1278"/>
        <v>0</v>
      </c>
      <c r="BV1100" s="61">
        <f t="shared" si="1278"/>
        <v>0</v>
      </c>
      <c r="BW1100" s="61">
        <f t="shared" si="1278"/>
        <v>0</v>
      </c>
      <c r="BX1100" s="61">
        <f t="shared" si="1278"/>
        <v>0</v>
      </c>
      <c r="BY1100" s="61" t="s">
        <v>91</v>
      </c>
      <c r="CA1100" s="61">
        <f t="shared" si="1246"/>
        <v>0</v>
      </c>
      <c r="CB1100" s="61">
        <f t="shared" si="1246"/>
        <v>0</v>
      </c>
      <c r="CC1100" s="61">
        <f t="shared" si="1246"/>
        <v>0</v>
      </c>
      <c r="CD1100" s="61">
        <f t="shared" si="1246"/>
        <v>0</v>
      </c>
      <c r="CE1100" s="61">
        <f t="shared" si="1246"/>
        <v>0</v>
      </c>
      <c r="CF1100" s="61">
        <f t="shared" si="1246"/>
        <v>0</v>
      </c>
      <c r="CG1100" s="61">
        <f t="shared" si="1246"/>
        <v>0</v>
      </c>
      <c r="CH1100" s="61">
        <f t="shared" si="1209"/>
        <v>0</v>
      </c>
      <c r="CI1100" s="61">
        <f t="shared" si="1247"/>
        <v>0</v>
      </c>
      <c r="CJ1100" s="61"/>
      <c r="CK1100" s="61">
        <f t="shared" si="1260"/>
        <v>0</v>
      </c>
      <c r="CL1100" s="61">
        <f t="shared" si="1260"/>
        <v>0</v>
      </c>
      <c r="CM1100" s="61">
        <f t="shared" si="1260"/>
        <v>0</v>
      </c>
      <c r="CN1100" s="61">
        <f t="shared" si="1258"/>
        <v>0</v>
      </c>
      <c r="CO1100" s="61">
        <f t="shared" si="1258"/>
        <v>0</v>
      </c>
      <c r="CP1100" s="61">
        <f t="shared" si="1258"/>
        <v>0</v>
      </c>
      <c r="CQ1100" s="61">
        <f t="shared" si="1258"/>
        <v>0</v>
      </c>
      <c r="CR1100" s="61">
        <f t="shared" si="1210"/>
        <v>0</v>
      </c>
      <c r="CS1100" s="61">
        <f t="shared" si="1248"/>
        <v>0</v>
      </c>
      <c r="CT1100" s="61">
        <f t="shared" si="1252"/>
        <v>0</v>
      </c>
      <c r="CV1100" s="61">
        <f t="shared" si="1221"/>
        <v>0</v>
      </c>
      <c r="CW1100" s="61">
        <f t="shared" si="1222"/>
        <v>0</v>
      </c>
      <c r="CX1100" s="61"/>
      <c r="CY1100" s="61">
        <f t="shared" si="1261"/>
        <v>0</v>
      </c>
      <c r="CZ1100" s="61">
        <f t="shared" si="1262"/>
        <v>0</v>
      </c>
      <c r="DA1100" s="61">
        <f t="shared" si="1239"/>
        <v>0</v>
      </c>
      <c r="DB1100" s="2" t="s">
        <v>102</v>
      </c>
      <c r="DC1100" s="2" t="s">
        <v>102</v>
      </c>
      <c r="DD1100" s="2" t="s">
        <v>142</v>
      </c>
      <c r="DE1100" s="2" t="s">
        <v>257</v>
      </c>
      <c r="DG1100" s="62"/>
      <c r="DZ1100" s="3" t="e">
        <v>#N/A</v>
      </c>
      <c r="EC1100" s="60" t="str">
        <f>VLOOKUP($M1100,[1]Detail!$M:$BO,1,0)</f>
        <v>0-0-0</v>
      </c>
      <c r="ED1100" s="60">
        <f>VLOOKUP($M1100,[1]Detail!$M:$BO,22,0)</f>
        <v>0</v>
      </c>
      <c r="EE1100" s="60">
        <f>VLOOKUP($M1100,[1]Detail!$M:$BO,42,0)</f>
        <v>0</v>
      </c>
      <c r="EF1100" s="60">
        <f>VLOOKUP($M1100,[1]Detail!$M:$BO,45,0)</f>
        <v>0</v>
      </c>
      <c r="EH1100" s="60">
        <f t="shared" si="1273"/>
        <v>195.01000000000002</v>
      </c>
      <c r="EI1100" s="60">
        <f t="shared" si="1274"/>
        <v>0</v>
      </c>
      <c r="EJ1100" s="60">
        <f t="shared" si="1275"/>
        <v>0</v>
      </c>
    </row>
    <row r="1101" spans="1:140" ht="12.75" hidden="1" customHeight="1">
      <c r="B1101" s="99" t="s">
        <v>1775</v>
      </c>
      <c r="C1101" s="22" t="s">
        <v>1776</v>
      </c>
      <c r="D1101" s="22" t="s">
        <v>1777</v>
      </c>
      <c r="E1101" s="2" t="s">
        <v>1661</v>
      </c>
      <c r="F1101" s="2" t="s">
        <v>969</v>
      </c>
      <c r="G1101" s="2" t="str">
        <f>VLOOKUP($C1101,[1]Detail!$C:$AK,5,0)</f>
        <v>B</v>
      </c>
      <c r="J1101" s="22" t="s">
        <v>81</v>
      </c>
      <c r="K1101" s="23" t="s">
        <v>1781</v>
      </c>
      <c r="L1101" s="22" t="s">
        <v>113</v>
      </c>
      <c r="M1101" s="51" t="str">
        <f t="shared" si="1263"/>
        <v>JD8T-14B321-CA</v>
      </c>
      <c r="O1101" s="22">
        <v>1</v>
      </c>
      <c r="P1101" s="22">
        <v>1</v>
      </c>
      <c r="Q1101" s="22">
        <v>1</v>
      </c>
      <c r="R1101" s="22">
        <v>1</v>
      </c>
      <c r="S1101" s="22">
        <v>1</v>
      </c>
      <c r="T1101" s="22">
        <v>1</v>
      </c>
      <c r="U1101" s="22">
        <v>1</v>
      </c>
      <c r="V1101" s="22">
        <v>1</v>
      </c>
      <c r="W1101" s="64">
        <f t="shared" si="1277"/>
        <v>1</v>
      </c>
      <c r="Y1101" s="60">
        <f>-192.79+4.41</f>
        <v>-188.38</v>
      </c>
      <c r="Z1101" s="60">
        <v>-0.8</v>
      </c>
      <c r="AA1101" s="95">
        <v>-3.8</v>
      </c>
      <c r="AB1101" s="95">
        <v>0</v>
      </c>
      <c r="AC1101" s="95">
        <f>-7.41+3.18</f>
        <v>-4.2300000000000004</v>
      </c>
      <c r="AD1101" s="8">
        <f t="shared" si="1276"/>
        <v>-197.21</v>
      </c>
      <c r="AE1101" s="2" t="s">
        <v>91</v>
      </c>
      <c r="AG1101" s="70">
        <v>0</v>
      </c>
      <c r="AH1101" s="70">
        <v>0</v>
      </c>
      <c r="AJ1101" s="70">
        <v>0</v>
      </c>
      <c r="AK1101" s="70">
        <v>0</v>
      </c>
      <c r="AL1101" s="72">
        <v>0</v>
      </c>
      <c r="AM1101" s="22"/>
      <c r="AO1101" s="22" t="s">
        <v>81</v>
      </c>
      <c r="AP1101" s="87" t="s">
        <v>1781</v>
      </c>
      <c r="AQ1101" s="22" t="s">
        <v>253</v>
      </c>
      <c r="AR1101" s="51" t="s">
        <v>1783</v>
      </c>
      <c r="AS1101" s="3"/>
      <c r="AT1101" s="22">
        <v>1</v>
      </c>
      <c r="AU1101" s="22">
        <v>1</v>
      </c>
      <c r="AV1101" s="22">
        <v>1</v>
      </c>
      <c r="AW1101" s="22">
        <v>1</v>
      </c>
      <c r="AX1101" s="22">
        <v>1</v>
      </c>
      <c r="AY1101" s="22">
        <v>1</v>
      </c>
      <c r="AZ1101" s="22">
        <v>1</v>
      </c>
      <c r="BA1101" s="22">
        <v>1</v>
      </c>
      <c r="BB1101" s="92">
        <f t="shared" si="1267"/>
        <v>1</v>
      </c>
      <c r="BD1101" s="63">
        <v>-192.79</v>
      </c>
      <c r="BE1101" s="63">
        <v>-0.8</v>
      </c>
      <c r="BF1101" s="63">
        <v>-3.8</v>
      </c>
      <c r="BG1101" s="63">
        <v>0</v>
      </c>
      <c r="BH1101" s="63">
        <v>-7.41</v>
      </c>
      <c r="BI1101" s="63">
        <v>-204.8</v>
      </c>
      <c r="BJ1101" s="2" t="s">
        <v>91</v>
      </c>
      <c r="BL1101" s="70">
        <v>0</v>
      </c>
      <c r="BM1101" s="70">
        <v>0</v>
      </c>
      <c r="BO1101" s="70">
        <v>0</v>
      </c>
      <c r="BP1101" s="70">
        <v>0</v>
      </c>
      <c r="BQ1101" s="72">
        <v>0</v>
      </c>
      <c r="BS1101" s="61">
        <f t="shared" si="1278"/>
        <v>4.4099999999999966</v>
      </c>
      <c r="BT1101" s="61">
        <f t="shared" si="1278"/>
        <v>0</v>
      </c>
      <c r="BU1101" s="61">
        <f t="shared" si="1278"/>
        <v>0</v>
      </c>
      <c r="BV1101" s="61">
        <f t="shared" si="1278"/>
        <v>0</v>
      </c>
      <c r="BW1101" s="61">
        <f t="shared" si="1278"/>
        <v>3.1799999999999997</v>
      </c>
      <c r="BX1101" s="61">
        <f t="shared" si="1278"/>
        <v>7.5900000000000034</v>
      </c>
      <c r="BY1101" s="61" t="s">
        <v>91</v>
      </c>
      <c r="CA1101" s="61">
        <f t="shared" si="1246"/>
        <v>0.66345719873627151</v>
      </c>
      <c r="CB1101" s="61">
        <f t="shared" si="1246"/>
        <v>0.66345719873627151</v>
      </c>
      <c r="CC1101" s="61">
        <f t="shared" si="1246"/>
        <v>0.66345719873627151</v>
      </c>
      <c r="CD1101" s="61">
        <f t="shared" si="1246"/>
        <v>0.66345719873627151</v>
      </c>
      <c r="CE1101" s="61">
        <f t="shared" si="1246"/>
        <v>0.66345719873627151</v>
      </c>
      <c r="CF1101" s="61">
        <f t="shared" si="1246"/>
        <v>0.66345719873627151</v>
      </c>
      <c r="CG1101" s="61">
        <f t="shared" si="1246"/>
        <v>0.66345719873627151</v>
      </c>
      <c r="CH1101" s="61">
        <f t="shared" si="1209"/>
        <v>0.66345719873627151</v>
      </c>
      <c r="CI1101" s="61">
        <f t="shared" si="1247"/>
        <v>0.66345719873627174</v>
      </c>
      <c r="CJ1101" s="61"/>
      <c r="CK1101" s="61">
        <f t="shared" si="1260"/>
        <v>1.141868512110727</v>
      </c>
      <c r="CL1101" s="61">
        <f t="shared" si="1260"/>
        <v>1.141868512110727</v>
      </c>
      <c r="CM1101" s="61">
        <f t="shared" si="1260"/>
        <v>1.141868512110727</v>
      </c>
      <c r="CN1101" s="61">
        <f t="shared" si="1258"/>
        <v>1.141868512110727</v>
      </c>
      <c r="CO1101" s="61">
        <f t="shared" si="1258"/>
        <v>1.141868512110727</v>
      </c>
      <c r="CP1101" s="61">
        <f t="shared" si="1258"/>
        <v>1.141868512110727</v>
      </c>
      <c r="CQ1101" s="61">
        <f t="shared" si="1258"/>
        <v>1.141868512110727</v>
      </c>
      <c r="CR1101" s="61">
        <f t="shared" si="1210"/>
        <v>1.141868512110727</v>
      </c>
      <c r="CS1101" s="61">
        <f t="shared" si="1248"/>
        <v>1.1418685121107273</v>
      </c>
      <c r="CT1101" s="61">
        <f t="shared" si="1252"/>
        <v>7.5900000000000043</v>
      </c>
      <c r="CV1101" s="61">
        <f t="shared" si="1221"/>
        <v>0</v>
      </c>
      <c r="CW1101" s="61">
        <f t="shared" si="1222"/>
        <v>0</v>
      </c>
      <c r="CX1101" s="61"/>
      <c r="CY1101" s="61">
        <f t="shared" si="1261"/>
        <v>0</v>
      </c>
      <c r="CZ1101" s="61">
        <f t="shared" si="1262"/>
        <v>0</v>
      </c>
      <c r="DA1101" s="61">
        <f t="shared" si="1239"/>
        <v>0</v>
      </c>
      <c r="DB1101" s="2" t="s">
        <v>85</v>
      </c>
      <c r="DC1101" s="2" t="s">
        <v>102</v>
      </c>
      <c r="DD1101" s="2" t="s">
        <v>142</v>
      </c>
      <c r="DE1101" s="2" t="s">
        <v>257</v>
      </c>
      <c r="DG1101" s="62"/>
      <c r="DZ1101" s="3" t="e">
        <v>#N/A</v>
      </c>
      <c r="EC1101" s="60"/>
      <c r="ED1101" s="60"/>
      <c r="EE1101" s="60"/>
      <c r="EF1101" s="60"/>
    </row>
    <row r="1102" spans="1:140" ht="12.75" hidden="1" customHeight="1">
      <c r="B1102" s="99" t="s">
        <v>1784</v>
      </c>
      <c r="C1102" s="22" t="s">
        <v>1776</v>
      </c>
      <c r="D1102" s="22" t="s">
        <v>1777</v>
      </c>
      <c r="E1102" s="2" t="s">
        <v>1661</v>
      </c>
      <c r="F1102" s="2" t="s">
        <v>969</v>
      </c>
      <c r="G1102" s="2" t="str">
        <f>VLOOKUP($C1102,[1]Detail!$C:$AK,5,0)</f>
        <v>B</v>
      </c>
      <c r="J1102" s="22" t="s">
        <v>81</v>
      </c>
      <c r="K1102" s="23" t="s">
        <v>1781</v>
      </c>
      <c r="L1102" s="22" t="s">
        <v>122</v>
      </c>
      <c r="M1102" s="51" t="str">
        <f t="shared" si="1263"/>
        <v>JD8T-14B321-CB</v>
      </c>
      <c r="O1102" s="22">
        <v>1</v>
      </c>
      <c r="P1102" s="22">
        <v>1</v>
      </c>
      <c r="Q1102" s="22">
        <v>1</v>
      </c>
      <c r="R1102" s="22">
        <v>1</v>
      </c>
      <c r="S1102" s="22">
        <v>1</v>
      </c>
      <c r="T1102" s="22">
        <v>1</v>
      </c>
      <c r="U1102" s="22">
        <v>1</v>
      </c>
      <c r="V1102" s="22">
        <v>1</v>
      </c>
      <c r="W1102" s="64">
        <f t="shared" si="1277"/>
        <v>1</v>
      </c>
      <c r="Y1102" s="60">
        <f>-192.79+4.41</f>
        <v>-188.38</v>
      </c>
      <c r="Z1102" s="60">
        <v>-0.8</v>
      </c>
      <c r="AA1102" s="95">
        <v>-3.8</v>
      </c>
      <c r="AB1102" s="95">
        <v>0</v>
      </c>
      <c r="AC1102" s="95">
        <f>-7.41+3.18</f>
        <v>-4.2300000000000004</v>
      </c>
      <c r="AD1102" s="8">
        <f t="shared" si="1276"/>
        <v>-197.21</v>
      </c>
      <c r="AE1102" s="2" t="s">
        <v>91</v>
      </c>
      <c r="AG1102" s="70">
        <v>0</v>
      </c>
      <c r="AH1102" s="70">
        <v>0</v>
      </c>
      <c r="AJ1102" s="70">
        <v>0</v>
      </c>
      <c r="AK1102" s="70">
        <v>0</v>
      </c>
      <c r="AL1102" s="72">
        <v>0</v>
      </c>
      <c r="AM1102" s="22"/>
      <c r="AO1102" s="22" t="s">
        <v>81</v>
      </c>
      <c r="AP1102" s="87" t="s">
        <v>1781</v>
      </c>
      <c r="AQ1102" s="22" t="s">
        <v>253</v>
      </c>
      <c r="AR1102" s="51" t="s">
        <v>1783</v>
      </c>
      <c r="AS1102" s="3"/>
      <c r="AT1102" s="22">
        <v>1</v>
      </c>
      <c r="AU1102" s="22">
        <v>1</v>
      </c>
      <c r="AV1102" s="22">
        <v>1</v>
      </c>
      <c r="AW1102" s="22">
        <v>1</v>
      </c>
      <c r="AX1102" s="22">
        <v>1</v>
      </c>
      <c r="AY1102" s="22">
        <v>1</v>
      </c>
      <c r="AZ1102" s="22">
        <v>1</v>
      </c>
      <c r="BA1102" s="22">
        <v>1</v>
      </c>
      <c r="BB1102" s="92">
        <v>1</v>
      </c>
      <c r="BD1102" s="63">
        <v>-188.38</v>
      </c>
      <c r="BE1102" s="63">
        <v>-0.8</v>
      </c>
      <c r="BF1102" s="63">
        <v>-3.8</v>
      </c>
      <c r="BG1102" s="63">
        <v>0</v>
      </c>
      <c r="BH1102" s="63">
        <v>-4.2300000000000004</v>
      </c>
      <c r="BI1102" s="63">
        <v>-197.21</v>
      </c>
      <c r="BJ1102" s="2" t="s">
        <v>91</v>
      </c>
      <c r="BL1102" s="70">
        <v>0</v>
      </c>
      <c r="BM1102" s="70">
        <v>0</v>
      </c>
      <c r="BO1102" s="70">
        <v>0</v>
      </c>
      <c r="BP1102" s="70">
        <v>0</v>
      </c>
      <c r="BQ1102" s="72">
        <v>0</v>
      </c>
      <c r="BS1102" s="61">
        <f t="shared" si="1278"/>
        <v>0</v>
      </c>
      <c r="BT1102" s="61">
        <f t="shared" si="1278"/>
        <v>0</v>
      </c>
      <c r="BU1102" s="61">
        <f t="shared" si="1278"/>
        <v>0</v>
      </c>
      <c r="BV1102" s="61">
        <f t="shared" si="1278"/>
        <v>0</v>
      </c>
      <c r="BW1102" s="61">
        <f t="shared" si="1278"/>
        <v>0</v>
      </c>
      <c r="BX1102" s="61">
        <f t="shared" si="1278"/>
        <v>0</v>
      </c>
      <c r="BY1102" s="61" t="s">
        <v>91</v>
      </c>
      <c r="CA1102" s="61">
        <f t="shared" si="1246"/>
        <v>0</v>
      </c>
      <c r="CB1102" s="61">
        <f t="shared" si="1246"/>
        <v>0</v>
      </c>
      <c r="CC1102" s="61">
        <f t="shared" si="1246"/>
        <v>0</v>
      </c>
      <c r="CD1102" s="61">
        <f t="shared" si="1246"/>
        <v>0</v>
      </c>
      <c r="CE1102" s="61">
        <f t="shared" si="1246"/>
        <v>0</v>
      </c>
      <c r="CF1102" s="61">
        <f t="shared" si="1246"/>
        <v>0</v>
      </c>
      <c r="CG1102" s="61">
        <f t="shared" si="1246"/>
        <v>0</v>
      </c>
      <c r="CH1102" s="61">
        <f t="shared" si="1209"/>
        <v>0</v>
      </c>
      <c r="CI1102" s="61">
        <f t="shared" si="1247"/>
        <v>0</v>
      </c>
      <c r="CJ1102" s="61"/>
      <c r="CK1102" s="61">
        <f t="shared" si="1260"/>
        <v>0</v>
      </c>
      <c r="CL1102" s="61">
        <f t="shared" si="1260"/>
        <v>0</v>
      </c>
      <c r="CM1102" s="61">
        <f t="shared" si="1260"/>
        <v>0</v>
      </c>
      <c r="CN1102" s="61">
        <f t="shared" si="1258"/>
        <v>0</v>
      </c>
      <c r="CO1102" s="61">
        <f t="shared" si="1258"/>
        <v>0</v>
      </c>
      <c r="CP1102" s="61">
        <f t="shared" si="1258"/>
        <v>0</v>
      </c>
      <c r="CQ1102" s="61">
        <f t="shared" si="1258"/>
        <v>0</v>
      </c>
      <c r="CR1102" s="61">
        <f t="shared" si="1210"/>
        <v>0</v>
      </c>
      <c r="CS1102" s="61">
        <f t="shared" si="1248"/>
        <v>0</v>
      </c>
      <c r="CT1102" s="61">
        <f t="shared" si="1252"/>
        <v>0</v>
      </c>
      <c r="CV1102" s="61">
        <f t="shared" si="1221"/>
        <v>0</v>
      </c>
      <c r="CW1102" s="61">
        <f t="shared" si="1222"/>
        <v>0</v>
      </c>
      <c r="CX1102" s="61"/>
      <c r="CY1102" s="61">
        <f t="shared" si="1261"/>
        <v>0</v>
      </c>
      <c r="CZ1102" s="61">
        <f t="shared" si="1262"/>
        <v>0</v>
      </c>
      <c r="DA1102" s="61">
        <f t="shared" si="1239"/>
        <v>0</v>
      </c>
      <c r="DB1102" s="2" t="s">
        <v>102</v>
      </c>
      <c r="DC1102" s="2" t="s">
        <v>85</v>
      </c>
      <c r="DD1102" s="2" t="s">
        <v>142</v>
      </c>
      <c r="DE1102" s="2" t="s">
        <v>257</v>
      </c>
      <c r="DF1102" s="3" t="s">
        <v>86</v>
      </c>
      <c r="DG1102" s="62">
        <v>42893</v>
      </c>
      <c r="EC1102" s="60" t="str">
        <f>VLOOKUP($M1102,[1]Detail!$M:$BO,1,0)</f>
        <v>JD8T-14B321-CB</v>
      </c>
      <c r="ED1102" s="60">
        <f>VLOOKUP($M1102,[1]Detail!$M:$BO,22,0)</f>
        <v>0</v>
      </c>
      <c r="EE1102" s="60">
        <f>VLOOKUP($M1102,[1]Detail!$M:$BO,42,0)</f>
        <v>0</v>
      </c>
      <c r="EF1102" s="60">
        <f>VLOOKUP($M1102,[1]Detail!$M:$BO,45,0)</f>
        <v>0</v>
      </c>
      <c r="EH1102" s="60">
        <f>ED1102-AD1102</f>
        <v>197.21</v>
      </c>
      <c r="EI1102" s="60">
        <f>EE1102-AG1102</f>
        <v>0</v>
      </c>
      <c r="EJ1102" s="60">
        <f>EF1102-AJ1102</f>
        <v>0</v>
      </c>
    </row>
    <row r="1103" spans="1:140" ht="12.75" hidden="1" customHeight="1">
      <c r="B1103" s="1" t="s">
        <v>1785</v>
      </c>
      <c r="C1103" s="2" t="s">
        <v>1786</v>
      </c>
      <c r="D1103" s="86" t="s">
        <v>1787</v>
      </c>
      <c r="E1103" s="87" t="s">
        <v>1661</v>
      </c>
      <c r="F1103" s="87" t="s">
        <v>969</v>
      </c>
      <c r="G1103" s="1" t="s">
        <v>1788</v>
      </c>
      <c r="J1103" s="87" t="s">
        <v>1789</v>
      </c>
      <c r="K1103" s="1" t="s">
        <v>1790</v>
      </c>
      <c r="L1103" s="87" t="s">
        <v>1791</v>
      </c>
      <c r="M1103" s="90" t="str">
        <f t="shared" si="1263"/>
        <v>F2GT -1A180-CC </v>
      </c>
      <c r="O1103" s="89">
        <v>0</v>
      </c>
      <c r="P1103" s="89">
        <v>0</v>
      </c>
      <c r="Q1103" s="89">
        <v>4</v>
      </c>
      <c r="R1103" s="89">
        <v>4</v>
      </c>
      <c r="S1103" s="89">
        <v>4</v>
      </c>
      <c r="T1103" s="89">
        <v>4</v>
      </c>
      <c r="U1103" s="89">
        <v>4</v>
      </c>
      <c r="V1103" s="89">
        <v>4</v>
      </c>
      <c r="W1103" s="64">
        <f t="shared" si="1277"/>
        <v>2.8000000000000003</v>
      </c>
      <c r="Y1103" s="95">
        <v>-30.25</v>
      </c>
      <c r="Z1103" s="95">
        <v>-0.3</v>
      </c>
      <c r="AA1103" s="95">
        <v>-0.7</v>
      </c>
      <c r="AB1103" s="95">
        <v>0</v>
      </c>
      <c r="AC1103" s="95">
        <v>0</v>
      </c>
      <c r="AD1103" s="8">
        <f t="shared" si="1276"/>
        <v>-31.25</v>
      </c>
      <c r="AE1103" s="2" t="s">
        <v>91</v>
      </c>
      <c r="AG1103" s="96">
        <v>0</v>
      </c>
      <c r="AH1103" s="96">
        <v>0</v>
      </c>
      <c r="AJ1103" s="96">
        <v>0</v>
      </c>
      <c r="AK1103" s="96">
        <v>0</v>
      </c>
      <c r="AM1103" s="22"/>
      <c r="AO1103" s="1" t="s">
        <v>1789</v>
      </c>
      <c r="AP1103" s="87" t="s">
        <v>1790</v>
      </c>
      <c r="AQ1103" s="1" t="s">
        <v>1791</v>
      </c>
      <c r="AR1103" s="87" t="s">
        <v>1792</v>
      </c>
      <c r="AS1103" s="87"/>
      <c r="AT1103" s="164">
        <v>0</v>
      </c>
      <c r="AU1103" s="164">
        <v>0</v>
      </c>
      <c r="AV1103" s="265">
        <v>4</v>
      </c>
      <c r="AW1103" s="91">
        <v>4</v>
      </c>
      <c r="AX1103" s="91">
        <v>4</v>
      </c>
      <c r="AY1103" s="91">
        <v>4</v>
      </c>
      <c r="AZ1103" s="164">
        <v>4</v>
      </c>
      <c r="BA1103" s="164">
        <v>4</v>
      </c>
      <c r="BB1103" s="92">
        <f t="shared" ref="BB1103:BB1149" si="1279">SUMPRODUCT(AT1103:BA1103,$O$6:$V$6)</f>
        <v>2.8000000000000003</v>
      </c>
      <c r="BD1103" s="63">
        <v>-30.25</v>
      </c>
      <c r="BE1103" s="63">
        <v>-0.3</v>
      </c>
      <c r="BF1103" s="63">
        <v>-0.7</v>
      </c>
      <c r="BG1103" s="63">
        <v>0</v>
      </c>
      <c r="BH1103" s="63">
        <v>0</v>
      </c>
      <c r="BI1103" s="63">
        <v>-31.25</v>
      </c>
      <c r="BJ1103" s="2" t="s">
        <v>91</v>
      </c>
      <c r="BL1103" s="67">
        <v>0</v>
      </c>
      <c r="BM1103" s="67">
        <v>0</v>
      </c>
      <c r="BN1103" s="67"/>
      <c r="BO1103" s="67">
        <v>0</v>
      </c>
      <c r="BP1103" s="67">
        <v>0</v>
      </c>
      <c r="BS1103" s="61">
        <f t="shared" ref="BS1103:BX1134" si="1280">Y1103-BD1103</f>
        <v>0</v>
      </c>
      <c r="BT1103" s="61">
        <f t="shared" si="1280"/>
        <v>0</v>
      </c>
      <c r="BU1103" s="61">
        <f t="shared" si="1280"/>
        <v>0</v>
      </c>
      <c r="BV1103" s="61">
        <f t="shared" si="1280"/>
        <v>0</v>
      </c>
      <c r="BW1103" s="61">
        <f t="shared" si="1280"/>
        <v>0</v>
      </c>
      <c r="BX1103" s="61">
        <f t="shared" si="1280"/>
        <v>0</v>
      </c>
      <c r="BY1103" s="61" t="s">
        <v>91</v>
      </c>
      <c r="CA1103" s="61">
        <f t="shared" si="1246"/>
        <v>0</v>
      </c>
      <c r="CB1103" s="61">
        <f t="shared" si="1246"/>
        <v>0</v>
      </c>
      <c r="CC1103" s="61">
        <f t="shared" si="1246"/>
        <v>0</v>
      </c>
      <c r="CD1103" s="61">
        <f t="shared" si="1246"/>
        <v>0</v>
      </c>
      <c r="CE1103" s="61">
        <f t="shared" si="1246"/>
        <v>0</v>
      </c>
      <c r="CF1103" s="61">
        <f t="shared" si="1246"/>
        <v>0</v>
      </c>
      <c r="CG1103" s="61">
        <f t="shared" si="1246"/>
        <v>0</v>
      </c>
      <c r="CH1103" s="61">
        <f t="shared" si="1209"/>
        <v>0</v>
      </c>
      <c r="CI1103" s="61">
        <f t="shared" si="1247"/>
        <v>0</v>
      </c>
      <c r="CJ1103" s="61"/>
      <c r="CK1103" s="61">
        <f t="shared" si="1260"/>
        <v>0</v>
      </c>
      <c r="CL1103" s="61">
        <f t="shared" si="1260"/>
        <v>0</v>
      </c>
      <c r="CM1103" s="61">
        <f t="shared" si="1260"/>
        <v>0</v>
      </c>
      <c r="CN1103" s="61">
        <f t="shared" si="1258"/>
        <v>0</v>
      </c>
      <c r="CO1103" s="61">
        <f t="shared" si="1258"/>
        <v>0</v>
      </c>
      <c r="CP1103" s="61">
        <f t="shared" si="1258"/>
        <v>0</v>
      </c>
      <c r="CQ1103" s="61">
        <f t="shared" si="1258"/>
        <v>0</v>
      </c>
      <c r="CR1103" s="61">
        <f t="shared" si="1210"/>
        <v>0</v>
      </c>
      <c r="CS1103" s="61">
        <f t="shared" si="1248"/>
        <v>0</v>
      </c>
      <c r="CT1103" s="61">
        <f t="shared" si="1252"/>
        <v>0</v>
      </c>
      <c r="CV1103" s="61">
        <f t="shared" si="1221"/>
        <v>0</v>
      </c>
      <c r="CW1103" s="61">
        <f t="shared" si="1222"/>
        <v>0</v>
      </c>
      <c r="CX1103" s="61"/>
      <c r="CY1103" s="61">
        <f t="shared" si="1261"/>
        <v>0</v>
      </c>
      <c r="CZ1103" s="61">
        <f t="shared" si="1262"/>
        <v>0</v>
      </c>
      <c r="DA1103" s="61">
        <f t="shared" si="1239"/>
        <v>0</v>
      </c>
      <c r="DB1103" s="2" t="s">
        <v>85</v>
      </c>
      <c r="DC1103" s="2" t="s">
        <v>102</v>
      </c>
      <c r="DD1103" s="2" t="s">
        <v>142</v>
      </c>
      <c r="DE1103" s="2" t="s">
        <v>257</v>
      </c>
      <c r="DF1103" s="3" t="s">
        <v>86</v>
      </c>
      <c r="DG1103" s="62">
        <v>42823</v>
      </c>
      <c r="EC1103" s="60"/>
      <c r="ED1103" s="60"/>
      <c r="EE1103" s="60"/>
      <c r="EF1103" s="60"/>
    </row>
    <row r="1104" spans="1:140" ht="12.75" hidden="1" customHeight="1">
      <c r="B1104" s="1" t="s">
        <v>1793</v>
      </c>
      <c r="C1104" s="2" t="s">
        <v>1786</v>
      </c>
      <c r="D1104" s="86" t="s">
        <v>1787</v>
      </c>
      <c r="E1104" s="87" t="s">
        <v>1661</v>
      </c>
      <c r="F1104" s="87" t="s">
        <v>969</v>
      </c>
      <c r="G1104" s="1" t="s">
        <v>1788</v>
      </c>
      <c r="J1104" s="87" t="s">
        <v>1789</v>
      </c>
      <c r="K1104" s="1" t="s">
        <v>1790</v>
      </c>
      <c r="L1104" s="87" t="s">
        <v>927</v>
      </c>
      <c r="M1104" s="90" t="str">
        <f t="shared" si="1263"/>
        <v>F2GT -1A180-CD</v>
      </c>
      <c r="O1104" s="89">
        <v>0</v>
      </c>
      <c r="P1104" s="89">
        <v>0</v>
      </c>
      <c r="Q1104" s="89">
        <v>4</v>
      </c>
      <c r="R1104" s="89">
        <v>4</v>
      </c>
      <c r="S1104" s="89">
        <v>4</v>
      </c>
      <c r="T1104" s="89">
        <v>4</v>
      </c>
      <c r="U1104" s="89">
        <v>4</v>
      </c>
      <c r="V1104" s="89">
        <v>4</v>
      </c>
      <c r="W1104" s="64">
        <f t="shared" si="1277"/>
        <v>2.8000000000000003</v>
      </c>
      <c r="Y1104" s="95">
        <f>-29.34</f>
        <v>-29.34</v>
      </c>
      <c r="Z1104" s="95">
        <v>-0.3</v>
      </c>
      <c r="AA1104" s="95">
        <v>-0.7</v>
      </c>
      <c r="AB1104" s="95">
        <v>0</v>
      </c>
      <c r="AC1104" s="95">
        <v>0</v>
      </c>
      <c r="AD1104" s="8">
        <f t="shared" si="1276"/>
        <v>-30.34</v>
      </c>
      <c r="AE1104" s="2" t="s">
        <v>91</v>
      </c>
      <c r="AG1104" s="96">
        <v>0</v>
      </c>
      <c r="AH1104" s="96">
        <v>0</v>
      </c>
      <c r="AJ1104" s="96">
        <v>0</v>
      </c>
      <c r="AK1104" s="96">
        <v>0</v>
      </c>
      <c r="AM1104" s="22"/>
      <c r="AO1104" s="1" t="s">
        <v>1789</v>
      </c>
      <c r="AP1104" s="87" t="s">
        <v>1790</v>
      </c>
      <c r="AQ1104" s="1" t="s">
        <v>1791</v>
      </c>
      <c r="AR1104" s="87" t="s">
        <v>1792</v>
      </c>
      <c r="AS1104" s="87"/>
      <c r="AT1104" s="164">
        <v>0</v>
      </c>
      <c r="AU1104" s="164">
        <v>0</v>
      </c>
      <c r="AV1104" s="265">
        <v>4</v>
      </c>
      <c r="AW1104" s="91">
        <v>4</v>
      </c>
      <c r="AX1104" s="91">
        <v>4</v>
      </c>
      <c r="AY1104" s="91">
        <v>4</v>
      </c>
      <c r="AZ1104" s="164">
        <v>4</v>
      </c>
      <c r="BA1104" s="164">
        <v>4</v>
      </c>
      <c r="BB1104" s="92">
        <f t="shared" si="1279"/>
        <v>2.8000000000000003</v>
      </c>
      <c r="BD1104" s="95">
        <v>-30.25</v>
      </c>
      <c r="BE1104" s="95">
        <v>-0.3</v>
      </c>
      <c r="BF1104" s="95">
        <v>-0.7</v>
      </c>
      <c r="BG1104" s="95">
        <v>0</v>
      </c>
      <c r="BH1104" s="95">
        <v>0</v>
      </c>
      <c r="BI1104" s="8">
        <f t="shared" ref="BI1104" si="1281">SUM(BD1104:BH1104)</f>
        <v>-31.25</v>
      </c>
      <c r="BJ1104" s="2" t="s">
        <v>91</v>
      </c>
      <c r="BL1104" s="67">
        <v>0</v>
      </c>
      <c r="BM1104" s="67">
        <v>0</v>
      </c>
      <c r="BN1104" s="67"/>
      <c r="BO1104" s="67">
        <v>0</v>
      </c>
      <c r="BP1104" s="67">
        <v>0</v>
      </c>
      <c r="BS1104" s="61">
        <f t="shared" si="1280"/>
        <v>0.91000000000000014</v>
      </c>
      <c r="BT1104" s="61">
        <f t="shared" si="1280"/>
        <v>0</v>
      </c>
      <c r="BU1104" s="61">
        <f t="shared" si="1280"/>
        <v>0</v>
      </c>
      <c r="BV1104" s="61">
        <f t="shared" si="1280"/>
        <v>0</v>
      </c>
      <c r="BW1104" s="61">
        <f t="shared" si="1280"/>
        <v>0</v>
      </c>
      <c r="BX1104" s="61">
        <f t="shared" si="1280"/>
        <v>0.91000000000000014</v>
      </c>
      <c r="BY1104" s="61" t="s">
        <v>91</v>
      </c>
      <c r="CA1104" s="61">
        <f t="shared" si="1246"/>
        <v>0</v>
      </c>
      <c r="CB1104" s="61">
        <f t="shared" si="1246"/>
        <v>0</v>
      </c>
      <c r="CC1104" s="61">
        <f t="shared" si="1246"/>
        <v>0.54761546562358965</v>
      </c>
      <c r="CD1104" s="61">
        <f t="shared" si="1246"/>
        <v>0.54761546562358965</v>
      </c>
      <c r="CE1104" s="61">
        <f t="shared" si="1246"/>
        <v>0.54761546562358965</v>
      </c>
      <c r="CF1104" s="61">
        <f t="shared" si="1246"/>
        <v>0.54761546562358965</v>
      </c>
      <c r="CG1104" s="61">
        <f t="shared" si="1246"/>
        <v>0.54761546562358965</v>
      </c>
      <c r="CH1104" s="61">
        <f t="shared" si="1209"/>
        <v>0.54761546562358965</v>
      </c>
      <c r="CI1104" s="61">
        <f t="shared" si="1247"/>
        <v>0.3833308259365128</v>
      </c>
      <c r="CJ1104" s="61"/>
      <c r="CK1104" s="61">
        <f t="shared" si="1260"/>
        <v>0</v>
      </c>
      <c r="CL1104" s="61">
        <f t="shared" si="1260"/>
        <v>0</v>
      </c>
      <c r="CM1104" s="61">
        <f t="shared" si="1260"/>
        <v>0.54761546562358965</v>
      </c>
      <c r="CN1104" s="61">
        <f t="shared" si="1258"/>
        <v>0.54761546562358965</v>
      </c>
      <c r="CO1104" s="61">
        <f t="shared" si="1258"/>
        <v>0.54761546562358965</v>
      </c>
      <c r="CP1104" s="61">
        <f t="shared" si="1258"/>
        <v>0.54761546562358965</v>
      </c>
      <c r="CQ1104" s="61">
        <f t="shared" si="1258"/>
        <v>0.54761546562358965</v>
      </c>
      <c r="CR1104" s="61">
        <f t="shared" si="1210"/>
        <v>0.54761546562358965</v>
      </c>
      <c r="CS1104" s="61">
        <f t="shared" si="1248"/>
        <v>0.3833308259365128</v>
      </c>
      <c r="CT1104" s="61">
        <f t="shared" si="1252"/>
        <v>2.5480000000000005</v>
      </c>
      <c r="CV1104" s="61">
        <f t="shared" ref="CV1104" si="1282">SUM(AG1104)-SUM(BL1104)</f>
        <v>0</v>
      </c>
      <c r="CW1104" s="61">
        <f t="shared" ref="CW1104:CW1105" si="1283">SUM(AH1104)-SUM(BM1104)</f>
        <v>0</v>
      </c>
      <c r="CX1104" s="61"/>
      <c r="CY1104" s="61">
        <f t="shared" ref="CY1104:DA1105" si="1284">SUM(AJ1104)-SUM(BO1104)</f>
        <v>0</v>
      </c>
      <c r="CZ1104" s="61">
        <f t="shared" si="1284"/>
        <v>0</v>
      </c>
      <c r="DA1104" s="61">
        <f t="shared" si="1284"/>
        <v>0</v>
      </c>
      <c r="DB1104" s="2" t="s">
        <v>85</v>
      </c>
      <c r="DC1104" s="2" t="s">
        <v>85</v>
      </c>
      <c r="DD1104" s="2" t="s">
        <v>142</v>
      </c>
      <c r="DE1104" s="2" t="s">
        <v>106</v>
      </c>
      <c r="DG1104" s="62"/>
      <c r="DZ1104" s="3" t="e">
        <v>#N/A</v>
      </c>
      <c r="EC1104" s="60"/>
      <c r="ED1104" s="60"/>
      <c r="EE1104" s="60"/>
      <c r="EF1104" s="60"/>
    </row>
    <row r="1105" spans="2:140" ht="12.75" hidden="1" customHeight="1">
      <c r="B1105" s="1" t="s">
        <v>1794</v>
      </c>
      <c r="C1105" s="2" t="s">
        <v>1786</v>
      </c>
      <c r="D1105" s="86" t="s">
        <v>1787</v>
      </c>
      <c r="E1105" s="87" t="s">
        <v>1661</v>
      </c>
      <c r="F1105" s="87" t="s">
        <v>969</v>
      </c>
      <c r="G1105" s="1" t="s">
        <v>1788</v>
      </c>
      <c r="J1105" s="87" t="s">
        <v>1789</v>
      </c>
      <c r="K1105" s="1" t="s">
        <v>1790</v>
      </c>
      <c r="L1105" s="87" t="s">
        <v>927</v>
      </c>
      <c r="M1105" s="90" t="str">
        <f t="shared" si="1263"/>
        <v>F2GT -1A180-CD</v>
      </c>
      <c r="O1105" s="89">
        <v>0</v>
      </c>
      <c r="P1105" s="89">
        <v>0</v>
      </c>
      <c r="Q1105" s="89">
        <v>4</v>
      </c>
      <c r="R1105" s="89">
        <v>4</v>
      </c>
      <c r="S1105" s="89">
        <v>4</v>
      </c>
      <c r="T1105" s="89">
        <v>4</v>
      </c>
      <c r="U1105" s="89">
        <v>4</v>
      </c>
      <c r="V1105" s="89">
        <v>4</v>
      </c>
      <c r="W1105" s="64">
        <f t="shared" si="1277"/>
        <v>2.8000000000000003</v>
      </c>
      <c r="Y1105" s="95">
        <f>-29.34</f>
        <v>-29.34</v>
      </c>
      <c r="Z1105" s="95">
        <v>-0.3</v>
      </c>
      <c r="AA1105" s="95">
        <v>-0.7</v>
      </c>
      <c r="AB1105" s="95">
        <v>0</v>
      </c>
      <c r="AC1105" s="95">
        <v>0</v>
      </c>
      <c r="AD1105" s="8">
        <f t="shared" ref="AD1105" si="1285">SUM(Y1105:AC1105)</f>
        <v>-30.34</v>
      </c>
      <c r="AE1105" s="2" t="s">
        <v>91</v>
      </c>
      <c r="AG1105" s="96">
        <v>0</v>
      </c>
      <c r="AH1105" s="96">
        <v>0</v>
      </c>
      <c r="AJ1105" s="96">
        <v>0</v>
      </c>
      <c r="AK1105" s="96">
        <v>0</v>
      </c>
      <c r="AM1105" s="22"/>
      <c r="AO1105" s="87" t="s">
        <v>1789</v>
      </c>
      <c r="AP1105" s="1" t="s">
        <v>1790</v>
      </c>
      <c r="AQ1105" s="87" t="s">
        <v>927</v>
      </c>
      <c r="AR1105" s="90" t="str">
        <f t="shared" ref="AR1105" si="1286">TRIM(AO1105)&amp;"-"&amp;TRIM(AP1105)&amp;"-"&amp;TRIM(AQ1105)</f>
        <v>F2GT -1A180-CD</v>
      </c>
      <c r="AS1105" s="3"/>
      <c r="AT1105" s="89">
        <v>0</v>
      </c>
      <c r="AU1105" s="89">
        <v>0</v>
      </c>
      <c r="AV1105" s="89">
        <v>4</v>
      </c>
      <c r="AW1105" s="89">
        <v>4</v>
      </c>
      <c r="AX1105" s="89">
        <v>4</v>
      </c>
      <c r="AY1105" s="89">
        <v>4</v>
      </c>
      <c r="AZ1105" s="89">
        <v>4</v>
      </c>
      <c r="BA1105" s="89">
        <v>4</v>
      </c>
      <c r="BB1105" s="64">
        <f t="shared" si="1279"/>
        <v>2.8000000000000003</v>
      </c>
      <c r="BD1105" s="95">
        <f>-29.34</f>
        <v>-29.34</v>
      </c>
      <c r="BE1105" s="95">
        <v>-0.3</v>
      </c>
      <c r="BF1105" s="95">
        <v>-0.7</v>
      </c>
      <c r="BG1105" s="95">
        <v>0</v>
      </c>
      <c r="BH1105" s="95">
        <v>0</v>
      </c>
      <c r="BI1105" s="8">
        <f t="shared" ref="BI1105" si="1287">SUM(BD1105:BH1105)</f>
        <v>-30.34</v>
      </c>
      <c r="BJ1105" s="2" t="s">
        <v>91</v>
      </c>
      <c r="BL1105" s="67">
        <v>0</v>
      </c>
      <c r="BM1105" s="67">
        <v>0</v>
      </c>
      <c r="BN1105" s="67"/>
      <c r="BO1105" s="67">
        <v>0</v>
      </c>
      <c r="BP1105" s="67">
        <v>0</v>
      </c>
      <c r="BS1105" s="61">
        <f t="shared" si="1280"/>
        <v>0</v>
      </c>
      <c r="BT1105" s="61">
        <f t="shared" si="1280"/>
        <v>0</v>
      </c>
      <c r="BU1105" s="61">
        <f t="shared" si="1280"/>
        <v>0</v>
      </c>
      <c r="BV1105" s="61">
        <f t="shared" si="1280"/>
        <v>0</v>
      </c>
      <c r="BW1105" s="61">
        <f t="shared" si="1280"/>
        <v>0</v>
      </c>
      <c r="BX1105" s="61">
        <f t="shared" si="1280"/>
        <v>0</v>
      </c>
      <c r="BY1105" s="61" t="s">
        <v>91</v>
      </c>
      <c r="CA1105" s="61">
        <f t="shared" si="1246"/>
        <v>0</v>
      </c>
      <c r="CB1105" s="61">
        <f t="shared" si="1246"/>
        <v>0</v>
      </c>
      <c r="CC1105" s="61">
        <f t="shared" si="1246"/>
        <v>0</v>
      </c>
      <c r="CD1105" s="61">
        <f t="shared" si="1246"/>
        <v>0</v>
      </c>
      <c r="CE1105" s="61">
        <f t="shared" si="1246"/>
        <v>0</v>
      </c>
      <c r="CF1105" s="61">
        <f t="shared" si="1246"/>
        <v>0</v>
      </c>
      <c r="CG1105" s="61">
        <f t="shared" si="1246"/>
        <v>0</v>
      </c>
      <c r="CH1105" s="61">
        <f t="shared" si="1246"/>
        <v>0</v>
      </c>
      <c r="CI1105" s="61">
        <f t="shared" si="1247"/>
        <v>0</v>
      </c>
      <c r="CJ1105" s="61"/>
      <c r="CK1105" s="61">
        <f t="shared" si="1260"/>
        <v>0</v>
      </c>
      <c r="CL1105" s="61">
        <f t="shared" si="1260"/>
        <v>0</v>
      </c>
      <c r="CM1105" s="61">
        <f t="shared" si="1260"/>
        <v>0</v>
      </c>
      <c r="CN1105" s="61">
        <f t="shared" si="1258"/>
        <v>0</v>
      </c>
      <c r="CO1105" s="61">
        <f t="shared" si="1258"/>
        <v>0</v>
      </c>
      <c r="CP1105" s="61">
        <f t="shared" si="1258"/>
        <v>0</v>
      </c>
      <c r="CQ1105" s="61">
        <f t="shared" si="1258"/>
        <v>0</v>
      </c>
      <c r="CR1105" s="61">
        <f t="shared" si="1258"/>
        <v>0</v>
      </c>
      <c r="CS1105" s="61">
        <f t="shared" si="1248"/>
        <v>0</v>
      </c>
      <c r="CT1105" s="61">
        <f t="shared" si="1252"/>
        <v>0</v>
      </c>
      <c r="CV1105" s="61">
        <f t="shared" ref="CV1105" si="1288">SUM(AG1105)-SUM(BL1105)</f>
        <v>0</v>
      </c>
      <c r="CW1105" s="61">
        <f t="shared" si="1283"/>
        <v>0</v>
      </c>
      <c r="CX1105" s="61"/>
      <c r="CY1105" s="61">
        <f t="shared" si="1284"/>
        <v>0</v>
      </c>
      <c r="CZ1105" s="61">
        <f t="shared" si="1284"/>
        <v>0</v>
      </c>
      <c r="DA1105" s="61">
        <f t="shared" si="1284"/>
        <v>0</v>
      </c>
      <c r="DB1105" s="2" t="s">
        <v>102</v>
      </c>
      <c r="DC1105" s="2" t="s">
        <v>85</v>
      </c>
      <c r="DD1105" s="2" t="s">
        <v>142</v>
      </c>
      <c r="DE1105" s="2" t="s">
        <v>106</v>
      </c>
      <c r="DG1105" s="62"/>
      <c r="DZ1105" s="3" t="e">
        <v>#N/A</v>
      </c>
      <c r="EC1105" s="60" t="str">
        <f>VLOOKUP($M1105,[1]Detail!$M:$BO,1,0)</f>
        <v>F2GT -1A180-CD</v>
      </c>
      <c r="ED1105" s="60">
        <f>VLOOKUP($M1105,[1]Detail!$M:$BO,22,0)</f>
        <v>-30.34</v>
      </c>
      <c r="EE1105" s="60">
        <f>VLOOKUP($M1105,[1]Detail!$M:$BO,42,0)</f>
        <v>0</v>
      </c>
      <c r="EF1105" s="60">
        <f>VLOOKUP($M1105,[1]Detail!$M:$BO,45,0)</f>
        <v>0</v>
      </c>
      <c r="EH1105" s="60">
        <f>ED1105-AD1105</f>
        <v>0</v>
      </c>
      <c r="EI1105" s="60">
        <f>EE1105-AG1105</f>
        <v>0</v>
      </c>
      <c r="EJ1105" s="60">
        <f>EF1105-AJ1105</f>
        <v>0</v>
      </c>
    </row>
    <row r="1106" spans="2:140" ht="12.75" hidden="1" customHeight="1">
      <c r="B1106" s="122" t="s">
        <v>1795</v>
      </c>
      <c r="C1106" s="2" t="s">
        <v>1796</v>
      </c>
      <c r="D1106" s="1" t="s">
        <v>1797</v>
      </c>
      <c r="E1106" s="86" t="s">
        <v>1005</v>
      </c>
      <c r="F1106" s="2" t="s">
        <v>330</v>
      </c>
      <c r="G1106" s="1" t="s">
        <v>1087</v>
      </c>
      <c r="J1106" s="1" t="s">
        <v>427</v>
      </c>
      <c r="K1106" s="1" t="s">
        <v>1798</v>
      </c>
      <c r="L1106" s="1" t="s">
        <v>180</v>
      </c>
      <c r="M1106" s="90" t="str">
        <f t="shared" si="1263"/>
        <v>JD8G-9F931-AA</v>
      </c>
      <c r="O1106" s="89">
        <v>1</v>
      </c>
      <c r="P1106" s="89">
        <v>0</v>
      </c>
      <c r="Q1106" s="89">
        <v>1</v>
      </c>
      <c r="R1106" s="89">
        <v>0</v>
      </c>
      <c r="S1106" s="89">
        <v>0</v>
      </c>
      <c r="T1106" s="89">
        <v>0</v>
      </c>
      <c r="U1106" s="89">
        <v>0</v>
      </c>
      <c r="V1106" s="89">
        <v>0</v>
      </c>
      <c r="W1106" s="64">
        <f t="shared" si="1277"/>
        <v>0.28000000000000003</v>
      </c>
      <c r="Y1106" s="63">
        <v>-2.65</v>
      </c>
      <c r="Z1106" s="63">
        <v>-0.05</v>
      </c>
      <c r="AA1106" s="63">
        <v>-0.04</v>
      </c>
      <c r="AB1106" s="63">
        <v>0</v>
      </c>
      <c r="AC1106" s="63">
        <v>0</v>
      </c>
      <c r="AD1106" s="8">
        <f t="shared" si="1276"/>
        <v>-2.7399999999999998</v>
      </c>
      <c r="AE1106" s="2" t="s">
        <v>91</v>
      </c>
      <c r="AG1106" s="67">
        <v>-31798</v>
      </c>
      <c r="AH1106" s="67">
        <v>-31798</v>
      </c>
      <c r="AI1106" s="6"/>
      <c r="AJ1106" s="67">
        <v>0</v>
      </c>
      <c r="AK1106" s="67">
        <v>0</v>
      </c>
      <c r="AL1106" s="2">
        <v>0</v>
      </c>
      <c r="AM1106" s="22"/>
      <c r="AO1106" s="1" t="s">
        <v>427</v>
      </c>
      <c r="AP1106" s="87" t="s">
        <v>1798</v>
      </c>
      <c r="AQ1106" s="1" t="s">
        <v>180</v>
      </c>
      <c r="AR1106" s="86" t="s">
        <v>1799</v>
      </c>
      <c r="AS1106" s="3"/>
      <c r="AT1106" s="89">
        <v>1</v>
      </c>
      <c r="AU1106" s="89">
        <v>0</v>
      </c>
      <c r="AV1106" s="89">
        <v>1</v>
      </c>
      <c r="AW1106" s="89">
        <v>0</v>
      </c>
      <c r="AX1106" s="89">
        <v>1</v>
      </c>
      <c r="AY1106" s="89">
        <v>0</v>
      </c>
      <c r="AZ1106" s="89">
        <v>0</v>
      </c>
      <c r="BA1106" s="89">
        <v>0</v>
      </c>
      <c r="BB1106" s="92">
        <f t="shared" si="1279"/>
        <v>0.37</v>
      </c>
      <c r="BD1106" s="63">
        <v>-2.65</v>
      </c>
      <c r="BE1106" s="63">
        <v>-0.05</v>
      </c>
      <c r="BF1106" s="63">
        <v>-0.04</v>
      </c>
      <c r="BG1106" s="63">
        <v>0</v>
      </c>
      <c r="BH1106" s="63">
        <v>0</v>
      </c>
      <c r="BI1106" s="63">
        <v>-2.7399999999999998</v>
      </c>
      <c r="BJ1106" s="2" t="s">
        <v>91</v>
      </c>
      <c r="BL1106" s="67">
        <v>-31798</v>
      </c>
      <c r="BM1106" s="67">
        <v>-31798</v>
      </c>
      <c r="BN1106" s="67"/>
      <c r="BO1106" s="67">
        <v>0</v>
      </c>
      <c r="BP1106" s="67">
        <v>0</v>
      </c>
      <c r="BS1106" s="61">
        <f t="shared" si="1280"/>
        <v>0</v>
      </c>
      <c r="BT1106" s="61">
        <f t="shared" si="1280"/>
        <v>0</v>
      </c>
      <c r="BU1106" s="61">
        <f t="shared" si="1280"/>
        <v>0</v>
      </c>
      <c r="BV1106" s="61">
        <f t="shared" si="1280"/>
        <v>0</v>
      </c>
      <c r="BW1106" s="61">
        <f t="shared" si="1280"/>
        <v>0</v>
      </c>
      <c r="BX1106" s="61">
        <f t="shared" si="1280"/>
        <v>0</v>
      </c>
      <c r="BY1106" s="61" t="s">
        <v>91</v>
      </c>
      <c r="CA1106" s="61">
        <f t="shared" ref="CA1106:CH1137" si="1289">($Y1106*O1106-AT1106*$BD1106)/$C$2</f>
        <v>0</v>
      </c>
      <c r="CB1106" s="61">
        <f t="shared" si="1289"/>
        <v>0</v>
      </c>
      <c r="CC1106" s="61">
        <f t="shared" si="1289"/>
        <v>0</v>
      </c>
      <c r="CD1106" s="61">
        <f t="shared" si="1289"/>
        <v>0</v>
      </c>
      <c r="CE1106" s="61">
        <f t="shared" si="1289"/>
        <v>0.39867609447871216</v>
      </c>
      <c r="CF1106" s="61">
        <f t="shared" si="1289"/>
        <v>0</v>
      </c>
      <c r="CG1106" s="61">
        <f t="shared" si="1289"/>
        <v>0</v>
      </c>
      <c r="CH1106" s="61">
        <f t="shared" si="1289"/>
        <v>0</v>
      </c>
      <c r="CI1106" s="61">
        <f t="shared" si="1247"/>
        <v>3.5880848503084095E-2</v>
      </c>
      <c r="CJ1106" s="61"/>
      <c r="CK1106" s="61">
        <f t="shared" si="1260"/>
        <v>0</v>
      </c>
      <c r="CL1106" s="61">
        <f t="shared" si="1260"/>
        <v>0</v>
      </c>
      <c r="CM1106" s="61">
        <f t="shared" si="1260"/>
        <v>0</v>
      </c>
      <c r="CN1106" s="61">
        <f t="shared" si="1258"/>
        <v>0</v>
      </c>
      <c r="CO1106" s="61">
        <f t="shared" si="1258"/>
        <v>0.41221603731006462</v>
      </c>
      <c r="CP1106" s="61">
        <f t="shared" si="1258"/>
        <v>0</v>
      </c>
      <c r="CQ1106" s="61">
        <f t="shared" si="1258"/>
        <v>0</v>
      </c>
      <c r="CR1106" s="61">
        <f t="shared" si="1258"/>
        <v>0</v>
      </c>
      <c r="CS1106" s="61">
        <f t="shared" si="1248"/>
        <v>3.7099443357905812E-2</v>
      </c>
      <c r="CT1106" s="61">
        <f t="shared" si="1252"/>
        <v>0.24659999999999993</v>
      </c>
      <c r="CV1106" s="61">
        <f t="shared" si="1221"/>
        <v>0</v>
      </c>
      <c r="CW1106" s="61">
        <f t="shared" si="1222"/>
        <v>0</v>
      </c>
      <c r="CX1106" s="61"/>
      <c r="CY1106" s="61">
        <f t="shared" si="1261"/>
        <v>0</v>
      </c>
      <c r="CZ1106" s="61">
        <f t="shared" si="1262"/>
        <v>0</v>
      </c>
      <c r="DA1106" s="61">
        <f t="shared" si="1239"/>
        <v>0</v>
      </c>
      <c r="DB1106" s="2" t="s">
        <v>85</v>
      </c>
      <c r="DC1106" s="2" t="s">
        <v>102</v>
      </c>
      <c r="DD1106" s="2" t="s">
        <v>142</v>
      </c>
      <c r="DE1106" s="2" t="s">
        <v>257</v>
      </c>
      <c r="DF1106" s="3" t="s">
        <v>86</v>
      </c>
      <c r="DG1106" s="62">
        <v>42850</v>
      </c>
      <c r="EC1106" s="60"/>
      <c r="ED1106" s="60"/>
      <c r="EE1106" s="60"/>
      <c r="EF1106" s="60"/>
    </row>
    <row r="1107" spans="2:140" ht="12.75" hidden="1" customHeight="1">
      <c r="B1107" s="122" t="s">
        <v>1461</v>
      </c>
      <c r="C1107" s="2" t="s">
        <v>1796</v>
      </c>
      <c r="D1107" s="1" t="s">
        <v>1797</v>
      </c>
      <c r="E1107" s="86" t="s">
        <v>1005</v>
      </c>
      <c r="F1107" s="2" t="s">
        <v>330</v>
      </c>
      <c r="G1107" s="1" t="s">
        <v>1087</v>
      </c>
      <c r="J1107" s="1" t="s">
        <v>427</v>
      </c>
      <c r="K1107" s="1" t="s">
        <v>1798</v>
      </c>
      <c r="L1107" s="1" t="s">
        <v>180</v>
      </c>
      <c r="M1107" s="90" t="str">
        <f t="shared" si="1263"/>
        <v>JD8G-9F931-AA</v>
      </c>
      <c r="O1107" s="89">
        <v>1</v>
      </c>
      <c r="P1107" s="89">
        <v>0</v>
      </c>
      <c r="Q1107" s="89">
        <v>1</v>
      </c>
      <c r="R1107" s="89">
        <v>0</v>
      </c>
      <c r="S1107" s="89">
        <v>0</v>
      </c>
      <c r="T1107" s="89">
        <v>0</v>
      </c>
      <c r="U1107" s="89">
        <v>0</v>
      </c>
      <c r="V1107" s="89">
        <v>0</v>
      </c>
      <c r="W1107" s="64">
        <f t="shared" si="1277"/>
        <v>0.28000000000000003</v>
      </c>
      <c r="Y1107" s="63">
        <v>-2.65</v>
      </c>
      <c r="Z1107" s="63">
        <v>-0.05</v>
      </c>
      <c r="AA1107" s="63">
        <v>-0.04</v>
      </c>
      <c r="AB1107" s="63">
        <v>0</v>
      </c>
      <c r="AC1107" s="63">
        <v>0</v>
      </c>
      <c r="AD1107" s="8">
        <f t="shared" ref="AD1107" si="1290">SUM(Y1107:AC1107)</f>
        <v>-2.7399999999999998</v>
      </c>
      <c r="AE1107" s="2" t="s">
        <v>91</v>
      </c>
      <c r="AG1107" s="67">
        <v>-31798</v>
      </c>
      <c r="AH1107" s="67">
        <v>-31798</v>
      </c>
      <c r="AI1107" s="6"/>
      <c r="AJ1107" s="67">
        <v>0</v>
      </c>
      <c r="AK1107" s="67">
        <v>0</v>
      </c>
      <c r="AL1107" s="2">
        <v>0</v>
      </c>
      <c r="AM1107" s="22"/>
      <c r="AO1107" s="1" t="s">
        <v>427</v>
      </c>
      <c r="AP1107" s="1" t="s">
        <v>1798</v>
      </c>
      <c r="AQ1107" s="1" t="s">
        <v>180</v>
      </c>
      <c r="AR1107" s="90" t="str">
        <f t="shared" ref="AR1107:AR1149" si="1291">TRIM(AO1107)&amp;"-"&amp;TRIM(AP1107)&amp;"-"&amp;TRIM(AQ1107)</f>
        <v>JD8G-9F931-AA</v>
      </c>
      <c r="AS1107" s="3"/>
      <c r="AT1107" s="89">
        <v>1</v>
      </c>
      <c r="AU1107" s="89">
        <v>0</v>
      </c>
      <c r="AV1107" s="89">
        <v>1</v>
      </c>
      <c r="AW1107" s="89">
        <v>0</v>
      </c>
      <c r="AX1107" s="89">
        <v>0</v>
      </c>
      <c r="AY1107" s="89">
        <v>0</v>
      </c>
      <c r="AZ1107" s="89">
        <v>0</v>
      </c>
      <c r="BA1107" s="89">
        <v>0</v>
      </c>
      <c r="BB1107" s="64">
        <f t="shared" si="1279"/>
        <v>0.28000000000000003</v>
      </c>
      <c r="BD1107" s="63">
        <v>-2.65</v>
      </c>
      <c r="BE1107" s="63">
        <v>-0.05</v>
      </c>
      <c r="BF1107" s="63">
        <v>-0.04</v>
      </c>
      <c r="BG1107" s="63">
        <v>0</v>
      </c>
      <c r="BH1107" s="63">
        <v>0</v>
      </c>
      <c r="BI1107" s="8">
        <f t="shared" ref="BI1107" si="1292">SUM(BD1107:BH1107)</f>
        <v>-2.7399999999999998</v>
      </c>
      <c r="BJ1107" s="2" t="s">
        <v>91</v>
      </c>
      <c r="BL1107" s="67">
        <v>-31798</v>
      </c>
      <c r="BM1107" s="67">
        <v>-31798</v>
      </c>
      <c r="BN1107" s="67"/>
      <c r="BO1107" s="67">
        <v>0</v>
      </c>
      <c r="BP1107" s="67">
        <v>0</v>
      </c>
      <c r="BS1107" s="61">
        <f t="shared" si="1280"/>
        <v>0</v>
      </c>
      <c r="BT1107" s="61">
        <f t="shared" si="1280"/>
        <v>0</v>
      </c>
      <c r="BU1107" s="61">
        <f t="shared" si="1280"/>
        <v>0</v>
      </c>
      <c r="BV1107" s="61">
        <f t="shared" si="1280"/>
        <v>0</v>
      </c>
      <c r="BW1107" s="61">
        <f t="shared" si="1280"/>
        <v>0</v>
      </c>
      <c r="BX1107" s="61">
        <f t="shared" si="1280"/>
        <v>0</v>
      </c>
      <c r="BY1107" s="61" t="s">
        <v>91</v>
      </c>
      <c r="CA1107" s="61">
        <f t="shared" si="1289"/>
        <v>0</v>
      </c>
      <c r="CB1107" s="61">
        <f t="shared" si="1289"/>
        <v>0</v>
      </c>
      <c r="CC1107" s="61">
        <f t="shared" si="1289"/>
        <v>0</v>
      </c>
      <c r="CD1107" s="61">
        <f t="shared" si="1289"/>
        <v>0</v>
      </c>
      <c r="CE1107" s="61">
        <f t="shared" si="1289"/>
        <v>0</v>
      </c>
      <c r="CF1107" s="61">
        <f t="shared" si="1289"/>
        <v>0</v>
      </c>
      <c r="CG1107" s="61">
        <f t="shared" si="1289"/>
        <v>0</v>
      </c>
      <c r="CH1107" s="61">
        <f t="shared" si="1289"/>
        <v>0</v>
      </c>
      <c r="CI1107" s="61">
        <f t="shared" si="1247"/>
        <v>0</v>
      </c>
      <c r="CJ1107" s="61"/>
      <c r="CK1107" s="61">
        <f t="shared" si="1260"/>
        <v>0</v>
      </c>
      <c r="CL1107" s="61">
        <f t="shared" si="1260"/>
        <v>0</v>
      </c>
      <c r="CM1107" s="61">
        <f t="shared" si="1260"/>
        <v>0</v>
      </c>
      <c r="CN1107" s="61">
        <f t="shared" si="1258"/>
        <v>0</v>
      </c>
      <c r="CO1107" s="61">
        <f t="shared" si="1258"/>
        <v>0</v>
      </c>
      <c r="CP1107" s="61">
        <f t="shared" si="1258"/>
        <v>0</v>
      </c>
      <c r="CQ1107" s="61">
        <f t="shared" si="1258"/>
        <v>0</v>
      </c>
      <c r="CR1107" s="61">
        <f t="shared" si="1258"/>
        <v>0</v>
      </c>
      <c r="CS1107" s="61">
        <f t="shared" si="1248"/>
        <v>0</v>
      </c>
      <c r="CT1107" s="61">
        <f t="shared" si="1252"/>
        <v>0</v>
      </c>
      <c r="CV1107" s="61">
        <f t="shared" ref="CV1107" si="1293">SUM(AG1107)-SUM(BL1107)</f>
        <v>0</v>
      </c>
      <c r="CW1107" s="61">
        <f t="shared" ref="CW1107" si="1294">SUM(AH1107)-SUM(BM1107)</f>
        <v>0</v>
      </c>
      <c r="CX1107" s="61"/>
      <c r="CY1107" s="61">
        <f t="shared" ref="CY1107:DA1107" si="1295">SUM(AJ1107)-SUM(BO1107)</f>
        <v>0</v>
      </c>
      <c r="CZ1107" s="61">
        <f t="shared" si="1295"/>
        <v>0</v>
      </c>
      <c r="DA1107" s="61">
        <f t="shared" si="1295"/>
        <v>0</v>
      </c>
      <c r="DB1107" s="2" t="s">
        <v>102</v>
      </c>
      <c r="DC1107" s="2" t="s">
        <v>85</v>
      </c>
      <c r="DD1107" s="2" t="s">
        <v>142</v>
      </c>
      <c r="DE1107" s="2" t="s">
        <v>106</v>
      </c>
      <c r="DF1107" s="3" t="s">
        <v>86</v>
      </c>
      <c r="DG1107" s="62" t="s">
        <v>929</v>
      </c>
      <c r="EC1107" s="60" t="str">
        <f>VLOOKUP($M1107,[1]Detail!$M:$BO,1,0)</f>
        <v>JD8G-9F931-AA</v>
      </c>
      <c r="ED1107" s="60">
        <f>VLOOKUP($M1107,[1]Detail!$M:$BO,22,0)</f>
        <v>-2.7399999999999998</v>
      </c>
      <c r="EE1107" s="60">
        <f>VLOOKUP($M1107,[1]Detail!$M:$BO,42,0)</f>
        <v>-31798</v>
      </c>
      <c r="EF1107" s="60">
        <f>VLOOKUP($M1107,[1]Detail!$M:$BO,45,0)</f>
        <v>0</v>
      </c>
      <c r="EH1107" s="60">
        <f>ED1107-AD1107</f>
        <v>0</v>
      </c>
      <c r="EI1107" s="60">
        <f>EE1107-AG1107</f>
        <v>0</v>
      </c>
      <c r="EJ1107" s="60">
        <f>EF1107-AJ1107</f>
        <v>0</v>
      </c>
    </row>
    <row r="1108" spans="2:140" ht="12.75" hidden="1" customHeight="1">
      <c r="B1108" s="23" t="s">
        <v>1800</v>
      </c>
      <c r="C1108" s="2" t="s">
        <v>1801</v>
      </c>
      <c r="D1108" s="86" t="s">
        <v>1802</v>
      </c>
      <c r="E1108" s="1" t="s">
        <v>1005</v>
      </c>
      <c r="F1108" s="2" t="s">
        <v>330</v>
      </c>
      <c r="G1108" s="87" t="s">
        <v>331</v>
      </c>
      <c r="J1108" s="1" t="s">
        <v>864</v>
      </c>
      <c r="K1108" s="1" t="s">
        <v>1077</v>
      </c>
      <c r="L1108" s="1" t="s">
        <v>1803</v>
      </c>
      <c r="M1108" s="90" t="str">
        <f t="shared" si="1263"/>
        <v>JD81-5E211-AB</v>
      </c>
      <c r="O1108" s="89">
        <v>0</v>
      </c>
      <c r="P1108" s="89">
        <v>0</v>
      </c>
      <c r="Q1108" s="89">
        <v>0</v>
      </c>
      <c r="R1108" s="89">
        <v>0</v>
      </c>
      <c r="S1108" s="89">
        <v>1</v>
      </c>
      <c r="T1108" s="89">
        <v>1</v>
      </c>
      <c r="U1108" s="89">
        <v>0</v>
      </c>
      <c r="V1108" s="89">
        <v>1</v>
      </c>
      <c r="W1108" s="64">
        <f t="shared" si="1277"/>
        <v>0.28000000000000003</v>
      </c>
      <c r="Y1108" s="60">
        <v>-407.45</v>
      </c>
      <c r="Z1108" s="60">
        <v>-4.97</v>
      </c>
      <c r="AA1108" s="60">
        <v>-6.59</v>
      </c>
      <c r="AB1108" s="60"/>
      <c r="AC1108" s="60">
        <v>-5.31</v>
      </c>
      <c r="AD1108" s="8">
        <f t="shared" si="1276"/>
        <v>-424.32</v>
      </c>
      <c r="AE1108" s="2" t="s">
        <v>91</v>
      </c>
      <c r="AG1108" s="61">
        <v>-115000</v>
      </c>
      <c r="AH1108" s="61">
        <v>-3786000</v>
      </c>
      <c r="AI1108" s="6"/>
      <c r="AJ1108" s="61">
        <v>-826122</v>
      </c>
      <c r="AK1108" s="61">
        <v>155639</v>
      </c>
      <c r="AL1108" s="67"/>
      <c r="AM1108" s="67"/>
      <c r="AO1108" s="1" t="s">
        <v>864</v>
      </c>
      <c r="AP1108" s="87" t="s">
        <v>1077</v>
      </c>
      <c r="AQ1108" s="1" t="s">
        <v>1804</v>
      </c>
      <c r="AR1108" s="90" t="str">
        <f t="shared" si="1291"/>
        <v>JD81-5E211-AA</v>
      </c>
      <c r="AS1108" s="87"/>
      <c r="AT1108" s="91">
        <v>0</v>
      </c>
      <c r="AU1108" s="91">
        <v>0</v>
      </c>
      <c r="AV1108" s="91">
        <v>0</v>
      </c>
      <c r="AW1108" s="91">
        <v>0</v>
      </c>
      <c r="AX1108" s="91">
        <v>1</v>
      </c>
      <c r="AY1108" s="91">
        <v>1</v>
      </c>
      <c r="AZ1108" s="91">
        <v>0</v>
      </c>
      <c r="BA1108" s="91">
        <v>1</v>
      </c>
      <c r="BB1108" s="92">
        <f t="shared" si="1279"/>
        <v>0.28000000000000003</v>
      </c>
      <c r="BC1108" s="56"/>
      <c r="BD1108" s="63">
        <v>-407.45</v>
      </c>
      <c r="BE1108" s="63">
        <v>-4.97</v>
      </c>
      <c r="BF1108" s="63">
        <v>-6.59</v>
      </c>
      <c r="BG1108" s="63">
        <v>0</v>
      </c>
      <c r="BH1108" s="63">
        <v>-5.31</v>
      </c>
      <c r="BI1108" s="63">
        <f>SUM(BD1108:BH1108)</f>
        <v>-424.32</v>
      </c>
      <c r="BJ1108" s="2" t="s">
        <v>91</v>
      </c>
      <c r="BL1108" s="61">
        <v>-115000</v>
      </c>
      <c r="BM1108" s="61">
        <v>-3786000</v>
      </c>
      <c r="BN1108" s="61"/>
      <c r="BO1108" s="61">
        <v>-826122</v>
      </c>
      <c r="BP1108" s="61">
        <v>155639</v>
      </c>
      <c r="BS1108" s="61">
        <f t="shared" si="1280"/>
        <v>0</v>
      </c>
      <c r="BT1108" s="61">
        <f t="shared" si="1280"/>
        <v>0</v>
      </c>
      <c r="BU1108" s="61">
        <f t="shared" si="1280"/>
        <v>0</v>
      </c>
      <c r="BV1108" s="61">
        <f t="shared" si="1280"/>
        <v>0</v>
      </c>
      <c r="BW1108" s="61">
        <f t="shared" si="1280"/>
        <v>0</v>
      </c>
      <c r="BX1108" s="61">
        <f t="shared" si="1280"/>
        <v>0</v>
      </c>
      <c r="BY1108" s="61" t="s">
        <v>91</v>
      </c>
      <c r="CA1108" s="61">
        <f t="shared" si="1289"/>
        <v>0</v>
      </c>
      <c r="CB1108" s="61">
        <f t="shared" si="1289"/>
        <v>0</v>
      </c>
      <c r="CC1108" s="61">
        <f t="shared" si="1289"/>
        <v>0</v>
      </c>
      <c r="CD1108" s="61">
        <f t="shared" si="1289"/>
        <v>0</v>
      </c>
      <c r="CE1108" s="61">
        <f t="shared" si="1289"/>
        <v>0</v>
      </c>
      <c r="CF1108" s="61">
        <f t="shared" si="1289"/>
        <v>0</v>
      </c>
      <c r="CG1108" s="61">
        <f t="shared" si="1289"/>
        <v>0</v>
      </c>
      <c r="CH1108" s="61">
        <f t="shared" si="1289"/>
        <v>0</v>
      </c>
      <c r="CI1108" s="61">
        <f t="shared" si="1247"/>
        <v>0</v>
      </c>
      <c r="CJ1108" s="61"/>
      <c r="CK1108" s="61">
        <f t="shared" si="1260"/>
        <v>0</v>
      </c>
      <c r="CL1108" s="61">
        <f t="shared" si="1260"/>
        <v>0</v>
      </c>
      <c r="CM1108" s="61">
        <f t="shared" si="1260"/>
        <v>0</v>
      </c>
      <c r="CN1108" s="61">
        <f t="shared" si="1258"/>
        <v>0</v>
      </c>
      <c r="CO1108" s="61">
        <f t="shared" si="1258"/>
        <v>0</v>
      </c>
      <c r="CP1108" s="61">
        <f t="shared" si="1258"/>
        <v>0</v>
      </c>
      <c r="CQ1108" s="61">
        <f t="shared" si="1258"/>
        <v>0</v>
      </c>
      <c r="CR1108" s="61">
        <f t="shared" si="1258"/>
        <v>0</v>
      </c>
      <c r="CS1108" s="61">
        <f t="shared" si="1248"/>
        <v>0</v>
      </c>
      <c r="CT1108" s="61">
        <f t="shared" si="1252"/>
        <v>0</v>
      </c>
      <c r="CV1108" s="61">
        <f t="shared" si="1221"/>
        <v>0</v>
      </c>
      <c r="CW1108" s="61">
        <f t="shared" si="1222"/>
        <v>0</v>
      </c>
      <c r="CX1108" s="61"/>
      <c r="CY1108" s="61">
        <f t="shared" si="1261"/>
        <v>0</v>
      </c>
      <c r="CZ1108" s="61">
        <f t="shared" si="1262"/>
        <v>0</v>
      </c>
      <c r="DA1108" s="61">
        <f t="shared" si="1239"/>
        <v>0</v>
      </c>
      <c r="DB1108" s="2" t="s">
        <v>85</v>
      </c>
      <c r="DC1108" s="2" t="s">
        <v>102</v>
      </c>
      <c r="DD1108" s="2" t="s">
        <v>142</v>
      </c>
      <c r="DE1108" s="2" t="s">
        <v>257</v>
      </c>
      <c r="DF1108" s="3" t="s">
        <v>86</v>
      </c>
      <c r="DG1108" s="62">
        <v>42839</v>
      </c>
      <c r="EC1108" s="60"/>
      <c r="ED1108" s="60"/>
      <c r="EE1108" s="60"/>
      <c r="EF1108" s="60"/>
    </row>
    <row r="1109" spans="2:140" ht="12.75" hidden="1" customHeight="1">
      <c r="B1109" s="122" t="s">
        <v>1805</v>
      </c>
      <c r="C1109" s="2" t="s">
        <v>1806</v>
      </c>
      <c r="D1109" s="2" t="s">
        <v>1807</v>
      </c>
      <c r="E1109" s="1" t="s">
        <v>347</v>
      </c>
      <c r="F1109" s="2" t="s">
        <v>348</v>
      </c>
      <c r="G1109" s="87" t="s">
        <v>331</v>
      </c>
      <c r="J1109" s="1" t="s">
        <v>1808</v>
      </c>
      <c r="K1109" s="1" t="s">
        <v>1809</v>
      </c>
      <c r="L1109" s="1" t="s">
        <v>1082</v>
      </c>
      <c r="M1109" s="90" t="str">
        <f t="shared" si="1263"/>
        <v>HS7T -15K601 -DC</v>
      </c>
      <c r="O1109" s="89">
        <v>0</v>
      </c>
      <c r="P1109" s="89">
        <v>0</v>
      </c>
      <c r="Q1109" s="89">
        <v>0</v>
      </c>
      <c r="R1109" s="89">
        <v>0</v>
      </c>
      <c r="S1109" s="89">
        <v>2</v>
      </c>
      <c r="T1109" s="89">
        <v>2</v>
      </c>
      <c r="U1109" s="89">
        <v>2</v>
      </c>
      <c r="V1109" s="89">
        <v>2</v>
      </c>
      <c r="W1109" s="64">
        <f t="shared" si="1277"/>
        <v>0.66</v>
      </c>
      <c r="Y1109" s="63">
        <v>-76.3</v>
      </c>
      <c r="Z1109" s="63">
        <f>-1.05</f>
        <v>-1.05</v>
      </c>
      <c r="AA1109" s="63">
        <v>-1.32</v>
      </c>
      <c r="AB1109" s="63"/>
      <c r="AC1109" s="63"/>
      <c r="AD1109" s="8">
        <f t="shared" si="1276"/>
        <v>-78.669999999999987</v>
      </c>
      <c r="AE1109" s="2" t="s">
        <v>91</v>
      </c>
      <c r="AG1109" s="61">
        <v>-2898894</v>
      </c>
      <c r="AH1109" s="61">
        <f>AG1109</f>
        <v>-2898894</v>
      </c>
      <c r="AI1109" s="6"/>
      <c r="AJ1109" s="67">
        <v>0</v>
      </c>
      <c r="AK1109" s="67">
        <v>0</v>
      </c>
      <c r="AM1109" s="22"/>
      <c r="AO1109" s="1" t="s">
        <v>1808</v>
      </c>
      <c r="AP1109" s="1" t="s">
        <v>1809</v>
      </c>
      <c r="AQ1109" s="1" t="s">
        <v>1091</v>
      </c>
      <c r="AR1109" s="90" t="str">
        <f t="shared" si="1291"/>
        <v>HS7T -15K601 -DC</v>
      </c>
      <c r="AS1109" s="3"/>
      <c r="AT1109" s="89">
        <v>0</v>
      </c>
      <c r="AU1109" s="89">
        <v>0</v>
      </c>
      <c r="AV1109" s="89">
        <v>0</v>
      </c>
      <c r="AW1109" s="89">
        <v>0</v>
      </c>
      <c r="AX1109" s="89">
        <v>2</v>
      </c>
      <c r="AY1109" s="89">
        <v>2</v>
      </c>
      <c r="AZ1109" s="89">
        <v>2</v>
      </c>
      <c r="BA1109" s="89">
        <v>2</v>
      </c>
      <c r="BB1109" s="92">
        <f t="shared" si="1279"/>
        <v>0.66</v>
      </c>
      <c r="BD1109" s="63">
        <v>-76.3</v>
      </c>
      <c r="BE1109" s="63">
        <v>-1.05</v>
      </c>
      <c r="BF1109" s="63">
        <v>-1.32</v>
      </c>
      <c r="BG1109" s="63">
        <v>0</v>
      </c>
      <c r="BH1109" s="63"/>
      <c r="BI1109" s="63">
        <v>-78.669999999999987</v>
      </c>
      <c r="BJ1109" s="2" t="s">
        <v>91</v>
      </c>
      <c r="BL1109" s="67">
        <v>-2898894</v>
      </c>
      <c r="BM1109" s="67">
        <v>-2898894</v>
      </c>
      <c r="BO1109" s="67">
        <v>0</v>
      </c>
      <c r="BP1109" s="67">
        <v>0</v>
      </c>
      <c r="BS1109" s="61">
        <f t="shared" si="1280"/>
        <v>0</v>
      </c>
      <c r="BT1109" s="61">
        <f t="shared" si="1280"/>
        <v>0</v>
      </c>
      <c r="BU1109" s="61">
        <f t="shared" si="1280"/>
        <v>0</v>
      </c>
      <c r="BV1109" s="61">
        <f t="shared" si="1280"/>
        <v>0</v>
      </c>
      <c r="BW1109" s="61">
        <f t="shared" si="1280"/>
        <v>0</v>
      </c>
      <c r="BX1109" s="61">
        <f t="shared" si="1280"/>
        <v>0</v>
      </c>
      <c r="BY1109" s="61" t="s">
        <v>91</v>
      </c>
      <c r="CA1109" s="61">
        <f t="shared" si="1289"/>
        <v>0</v>
      </c>
      <c r="CB1109" s="61">
        <f t="shared" si="1289"/>
        <v>0</v>
      </c>
      <c r="CC1109" s="61">
        <f t="shared" si="1289"/>
        <v>0</v>
      </c>
      <c r="CD1109" s="61">
        <f t="shared" si="1289"/>
        <v>0</v>
      </c>
      <c r="CE1109" s="61">
        <f t="shared" si="1289"/>
        <v>0</v>
      </c>
      <c r="CF1109" s="61">
        <f t="shared" si="1289"/>
        <v>0</v>
      </c>
      <c r="CG1109" s="61">
        <f t="shared" si="1289"/>
        <v>0</v>
      </c>
      <c r="CH1109" s="61">
        <f t="shared" si="1289"/>
        <v>0</v>
      </c>
      <c r="CI1109" s="61">
        <f t="shared" si="1247"/>
        <v>0</v>
      </c>
      <c r="CJ1109" s="61"/>
      <c r="CK1109" s="61">
        <f t="shared" si="1260"/>
        <v>0</v>
      </c>
      <c r="CL1109" s="61">
        <f t="shared" si="1260"/>
        <v>0</v>
      </c>
      <c r="CM1109" s="61">
        <f t="shared" si="1260"/>
        <v>0</v>
      </c>
      <c r="CN1109" s="61">
        <f t="shared" si="1258"/>
        <v>0</v>
      </c>
      <c r="CO1109" s="61">
        <f t="shared" si="1258"/>
        <v>0</v>
      </c>
      <c r="CP1109" s="61">
        <f t="shared" si="1258"/>
        <v>0</v>
      </c>
      <c r="CQ1109" s="61">
        <f t="shared" si="1258"/>
        <v>0</v>
      </c>
      <c r="CR1109" s="61">
        <f t="shared" si="1258"/>
        <v>0</v>
      </c>
      <c r="CS1109" s="61">
        <f t="shared" si="1248"/>
        <v>0</v>
      </c>
      <c r="CT1109" s="61">
        <f t="shared" si="1252"/>
        <v>0</v>
      </c>
      <c r="CV1109" s="61">
        <f t="shared" si="1221"/>
        <v>0</v>
      </c>
      <c r="CW1109" s="61">
        <f t="shared" si="1222"/>
        <v>0</v>
      </c>
      <c r="CX1109" s="61"/>
      <c r="CY1109" s="61">
        <f t="shared" si="1261"/>
        <v>0</v>
      </c>
      <c r="CZ1109" s="61">
        <f t="shared" si="1262"/>
        <v>0</v>
      </c>
      <c r="DA1109" s="61">
        <f t="shared" si="1239"/>
        <v>0</v>
      </c>
      <c r="DB1109" s="2" t="s">
        <v>289</v>
      </c>
      <c r="DC1109" s="2" t="s">
        <v>102</v>
      </c>
      <c r="DD1109" s="2" t="s">
        <v>142</v>
      </c>
      <c r="DE1109" s="2" t="s">
        <v>257</v>
      </c>
      <c r="DF1109" s="3" t="s">
        <v>86</v>
      </c>
      <c r="DG1109" s="62">
        <v>42879</v>
      </c>
      <c r="EC1109" s="60"/>
      <c r="ED1109" s="60"/>
      <c r="EE1109" s="60"/>
      <c r="EF1109" s="60"/>
    </row>
    <row r="1110" spans="2:140" ht="12.75" hidden="1" customHeight="1">
      <c r="B1110" s="122" t="s">
        <v>1810</v>
      </c>
      <c r="C1110" s="2" t="s">
        <v>1806</v>
      </c>
      <c r="D1110" s="2" t="s">
        <v>1807</v>
      </c>
      <c r="E1110" s="1" t="s">
        <v>347</v>
      </c>
      <c r="F1110" s="2" t="s">
        <v>348</v>
      </c>
      <c r="G1110" s="87" t="s">
        <v>331</v>
      </c>
      <c r="J1110" s="1" t="s">
        <v>1808</v>
      </c>
      <c r="K1110" s="1" t="s">
        <v>1809</v>
      </c>
      <c r="L1110" s="1" t="s">
        <v>1082</v>
      </c>
      <c r="M1110" s="90" t="str">
        <f t="shared" si="1263"/>
        <v>HS7T -15K601 -DC</v>
      </c>
      <c r="O1110" s="89">
        <v>0</v>
      </c>
      <c r="P1110" s="89">
        <v>0</v>
      </c>
      <c r="Q1110" s="89">
        <v>0</v>
      </c>
      <c r="R1110" s="89">
        <v>0</v>
      </c>
      <c r="S1110" s="89">
        <v>2</v>
      </c>
      <c r="T1110" s="89">
        <v>2</v>
      </c>
      <c r="U1110" s="89">
        <v>2</v>
      </c>
      <c r="V1110" s="89">
        <v>2</v>
      </c>
      <c r="W1110" s="64">
        <f t="shared" si="1277"/>
        <v>0.66</v>
      </c>
      <c r="Y1110" s="63">
        <f>-76.3+0.39</f>
        <v>-75.91</v>
      </c>
      <c r="Z1110" s="63">
        <f>-1.05</f>
        <v>-1.05</v>
      </c>
      <c r="AA1110" s="63">
        <v>-1.32</v>
      </c>
      <c r="AB1110" s="63"/>
      <c r="AC1110" s="63"/>
      <c r="AD1110" s="8">
        <f t="shared" ref="AD1110" si="1296">SUM(Y1110:AC1110)</f>
        <v>-78.279999999999987</v>
      </c>
      <c r="AE1110" s="2" t="s">
        <v>91</v>
      </c>
      <c r="AG1110" s="61">
        <v>-2898894</v>
      </c>
      <c r="AH1110" s="61">
        <f>AG1110</f>
        <v>-2898894</v>
      </c>
      <c r="AI1110" s="6"/>
      <c r="AJ1110" s="67">
        <v>0</v>
      </c>
      <c r="AK1110" s="67">
        <v>0</v>
      </c>
      <c r="AM1110" s="22"/>
      <c r="AO1110" s="1" t="s">
        <v>1808</v>
      </c>
      <c r="AP1110" s="1" t="s">
        <v>1809</v>
      </c>
      <c r="AQ1110" s="1" t="s">
        <v>1082</v>
      </c>
      <c r="AR1110" s="90" t="str">
        <f t="shared" si="1291"/>
        <v>HS7T -15K601 -DC</v>
      </c>
      <c r="AS1110" s="3"/>
      <c r="AT1110" s="89">
        <v>0</v>
      </c>
      <c r="AU1110" s="89">
        <v>0</v>
      </c>
      <c r="AV1110" s="89">
        <v>0</v>
      </c>
      <c r="AW1110" s="89">
        <v>0</v>
      </c>
      <c r="AX1110" s="89">
        <v>2</v>
      </c>
      <c r="AY1110" s="89">
        <v>2</v>
      </c>
      <c r="AZ1110" s="89">
        <v>2</v>
      </c>
      <c r="BA1110" s="89">
        <v>2</v>
      </c>
      <c r="BB1110" s="64">
        <f t="shared" si="1279"/>
        <v>0.66</v>
      </c>
      <c r="BD1110" s="63">
        <v>-76.3</v>
      </c>
      <c r="BE1110" s="63">
        <f>-1.05</f>
        <v>-1.05</v>
      </c>
      <c r="BF1110" s="63">
        <v>-1.32</v>
      </c>
      <c r="BG1110" s="63"/>
      <c r="BH1110" s="63"/>
      <c r="BI1110" s="8">
        <f t="shared" ref="BI1110" si="1297">SUM(BD1110:BH1110)</f>
        <v>-78.669999999999987</v>
      </c>
      <c r="BJ1110" s="2" t="s">
        <v>91</v>
      </c>
      <c r="BL1110" s="67">
        <v>-2898894</v>
      </c>
      <c r="BM1110" s="67">
        <v>-2898894</v>
      </c>
      <c r="BO1110" s="67">
        <v>0</v>
      </c>
      <c r="BP1110" s="67">
        <v>0</v>
      </c>
      <c r="BS1110" s="61">
        <f t="shared" si="1280"/>
        <v>0.39000000000000057</v>
      </c>
      <c r="BT1110" s="61">
        <f t="shared" si="1280"/>
        <v>0</v>
      </c>
      <c r="BU1110" s="61">
        <f t="shared" si="1280"/>
        <v>0</v>
      </c>
      <c r="BV1110" s="61">
        <f t="shared" si="1280"/>
        <v>0</v>
      </c>
      <c r="BW1110" s="61">
        <f t="shared" si="1280"/>
        <v>0</v>
      </c>
      <c r="BX1110" s="61">
        <f t="shared" si="1280"/>
        <v>0.39000000000000057</v>
      </c>
      <c r="BY1110" s="61" t="s">
        <v>91</v>
      </c>
      <c r="CA1110" s="61">
        <f t="shared" si="1289"/>
        <v>0</v>
      </c>
      <c r="CB1110" s="61">
        <f t="shared" si="1289"/>
        <v>0</v>
      </c>
      <c r="CC1110" s="61">
        <f t="shared" si="1289"/>
        <v>0</v>
      </c>
      <c r="CD1110" s="61">
        <f t="shared" si="1289"/>
        <v>0</v>
      </c>
      <c r="CE1110" s="61">
        <f t="shared" si="1289"/>
        <v>0.11734617120505508</v>
      </c>
      <c r="CF1110" s="61">
        <f t="shared" si="1289"/>
        <v>0.11734617120505508</v>
      </c>
      <c r="CG1110" s="61">
        <f t="shared" si="1289"/>
        <v>0.11734617120505508</v>
      </c>
      <c r="CH1110" s="61">
        <f t="shared" si="1289"/>
        <v>0.11734617120505508</v>
      </c>
      <c r="CI1110" s="61">
        <f t="shared" si="1247"/>
        <v>3.872423649766818E-2</v>
      </c>
      <c r="CJ1110" s="61"/>
      <c r="CK1110" s="61">
        <f t="shared" si="1260"/>
        <v>0</v>
      </c>
      <c r="CL1110" s="61">
        <f t="shared" si="1260"/>
        <v>0</v>
      </c>
      <c r="CM1110" s="61">
        <f t="shared" si="1260"/>
        <v>0</v>
      </c>
      <c r="CN1110" s="61">
        <f t="shared" si="1258"/>
        <v>0</v>
      </c>
      <c r="CO1110" s="61">
        <f t="shared" si="1258"/>
        <v>0.11734617120505508</v>
      </c>
      <c r="CP1110" s="61">
        <f t="shared" si="1258"/>
        <v>0.11734617120505508</v>
      </c>
      <c r="CQ1110" s="61">
        <f t="shared" si="1258"/>
        <v>0.11734617120505508</v>
      </c>
      <c r="CR1110" s="61">
        <f t="shared" si="1258"/>
        <v>0.11734617120505508</v>
      </c>
      <c r="CS1110" s="61">
        <f t="shared" si="1248"/>
        <v>3.872423649766818E-2</v>
      </c>
      <c r="CT1110" s="67">
        <f t="shared" si="1252"/>
        <v>0.25740000000000041</v>
      </c>
      <c r="CV1110" s="61">
        <f t="shared" ref="CV1110" si="1298">SUM(AG1110)-SUM(BL1110)</f>
        <v>0</v>
      </c>
      <c r="CW1110" s="61">
        <f t="shared" ref="CW1110" si="1299">SUM(AH1110)-SUM(BM1110)</f>
        <v>0</v>
      </c>
      <c r="CX1110" s="61"/>
      <c r="CY1110" s="61">
        <f t="shared" ref="CY1110:DA1110" si="1300">SUM(AJ1110)-SUM(BO1110)</f>
        <v>0</v>
      </c>
      <c r="CZ1110" s="61">
        <f t="shared" si="1300"/>
        <v>0</v>
      </c>
      <c r="DA1110" s="61">
        <f t="shared" si="1300"/>
        <v>0</v>
      </c>
      <c r="DB1110" s="2" t="s">
        <v>102</v>
      </c>
      <c r="DC1110" s="2" t="s">
        <v>85</v>
      </c>
      <c r="DD1110" s="2" t="s">
        <v>142</v>
      </c>
      <c r="DE1110" s="2" t="s">
        <v>106</v>
      </c>
      <c r="DG1110" s="62"/>
      <c r="DZ1110" s="3" t="e">
        <v>#N/A</v>
      </c>
      <c r="EC1110" s="60" t="str">
        <f>VLOOKUP($M1110,[1]Detail!$M:$BO,1,0)</f>
        <v>HS7T -15K601 -DC</v>
      </c>
      <c r="ED1110" s="60">
        <f>VLOOKUP($M1110,[1]Detail!$M:$BO,22,0)</f>
        <v>-78.279999999999987</v>
      </c>
      <c r="EE1110" s="60">
        <f>VLOOKUP($M1110,[1]Detail!$M:$BO,42,0)</f>
        <v>-2898894</v>
      </c>
      <c r="EF1110" s="60">
        <f>VLOOKUP($M1110,[1]Detail!$M:$BO,45,0)</f>
        <v>0</v>
      </c>
      <c r="EH1110" s="60">
        <f t="shared" ref="EH1110:EH1115" si="1301">ED1110-AD1110</f>
        <v>0</v>
      </c>
      <c r="EI1110" s="60">
        <f t="shared" ref="EI1110:EI1115" si="1302">EE1110-AG1110</f>
        <v>0</v>
      </c>
      <c r="EJ1110" s="60">
        <f t="shared" ref="EJ1110:EJ1115" si="1303">EF1110-AJ1110</f>
        <v>0</v>
      </c>
    </row>
    <row r="1111" spans="2:140" ht="12.75" hidden="1" customHeight="1">
      <c r="B1111" s="23" t="s">
        <v>1811</v>
      </c>
      <c r="C1111" s="2" t="s">
        <v>454</v>
      </c>
      <c r="D1111" s="86" t="s">
        <v>1812</v>
      </c>
      <c r="E1111" s="87" t="s">
        <v>1005</v>
      </c>
      <c r="F1111" s="87" t="s">
        <v>330</v>
      </c>
      <c r="G1111" s="2" t="s">
        <v>994</v>
      </c>
      <c r="J1111" s="85" t="s">
        <v>456</v>
      </c>
      <c r="K1111" s="23" t="s">
        <v>1813</v>
      </c>
      <c r="L1111" s="85" t="s">
        <v>141</v>
      </c>
      <c r="M1111" s="90" t="str">
        <f t="shared" si="1263"/>
        <v>JD8P-7A031-AB</v>
      </c>
      <c r="O1111" s="22">
        <v>0</v>
      </c>
      <c r="P1111" s="22">
        <v>0</v>
      </c>
      <c r="Q1111" s="22">
        <v>0</v>
      </c>
      <c r="R1111" s="22">
        <v>0</v>
      </c>
      <c r="S1111" s="22">
        <v>0</v>
      </c>
      <c r="T1111" s="22">
        <v>1</v>
      </c>
      <c r="U1111" s="22">
        <v>0</v>
      </c>
      <c r="V1111" s="22">
        <v>1</v>
      </c>
      <c r="W1111" s="64">
        <f t="shared" si="1277"/>
        <v>0.19</v>
      </c>
      <c r="Y1111" s="114">
        <f>BD1111+2</f>
        <v>-46.98</v>
      </c>
      <c r="Z1111" s="114">
        <f t="shared" ref="Z1111:AC1115" si="1304">BE1111</f>
        <v>-1.76</v>
      </c>
      <c r="AA1111" s="114">
        <f t="shared" si="1304"/>
        <v>-4.76</v>
      </c>
      <c r="AB1111" s="114">
        <f t="shared" si="1304"/>
        <v>0</v>
      </c>
      <c r="AC1111" s="114">
        <f t="shared" si="1304"/>
        <v>-0.71</v>
      </c>
      <c r="AD1111" s="8">
        <f t="shared" si="1276"/>
        <v>-54.209999999999994</v>
      </c>
      <c r="AE1111" s="2" t="s">
        <v>91</v>
      </c>
      <c r="AG1111" s="266">
        <f>BL1111+19964</f>
        <v>-425362</v>
      </c>
      <c r="AH1111" s="266">
        <f>BM1111</f>
        <v>-445326</v>
      </c>
      <c r="AI1111" s="6"/>
      <c r="AJ1111" s="266">
        <f t="shared" ref="AJ1111:AK1115" si="1305">BO1111</f>
        <v>-77736</v>
      </c>
      <c r="AK1111" s="266">
        <f t="shared" si="1305"/>
        <v>109231</v>
      </c>
      <c r="AM1111" s="22"/>
      <c r="AO1111" s="87" t="s">
        <v>456</v>
      </c>
      <c r="AP1111" s="87" t="s">
        <v>1813</v>
      </c>
      <c r="AQ1111" s="87" t="s">
        <v>141</v>
      </c>
      <c r="AR1111" s="90" t="str">
        <f t="shared" si="1291"/>
        <v>JD8P-7A031-AB</v>
      </c>
      <c r="AS1111" s="87"/>
      <c r="AT1111" s="22">
        <v>0</v>
      </c>
      <c r="AU1111" s="22">
        <v>0</v>
      </c>
      <c r="AV1111" s="22">
        <v>0</v>
      </c>
      <c r="AW1111" s="22">
        <v>0</v>
      </c>
      <c r="AX1111" s="22">
        <v>0</v>
      </c>
      <c r="AY1111" s="22">
        <v>1</v>
      </c>
      <c r="AZ1111" s="22">
        <v>0</v>
      </c>
      <c r="BA1111" s="22">
        <v>1</v>
      </c>
      <c r="BB1111" s="92">
        <f t="shared" si="1279"/>
        <v>0.19</v>
      </c>
      <c r="BD1111" s="63">
        <v>-48.98</v>
      </c>
      <c r="BE1111" s="63">
        <v>-1.76</v>
      </c>
      <c r="BF1111" s="63">
        <v>-4.76</v>
      </c>
      <c r="BG1111" s="63">
        <v>0</v>
      </c>
      <c r="BH1111" s="63">
        <v>-0.71</v>
      </c>
      <c r="BI1111" s="63">
        <f t="shared" ref="BI1111:BI1149" si="1306">SUM(BD1111:BH1111)</f>
        <v>-56.209999999999994</v>
      </c>
      <c r="BJ1111" s="2" t="s">
        <v>91</v>
      </c>
      <c r="BL1111" s="61">
        <v>-445326</v>
      </c>
      <c r="BM1111" s="61">
        <v>-445326</v>
      </c>
      <c r="BO1111" s="70">
        <v>-77736</v>
      </c>
      <c r="BP1111" s="70">
        <v>109231</v>
      </c>
      <c r="BS1111" s="61">
        <f t="shared" si="1280"/>
        <v>2</v>
      </c>
      <c r="BT1111" s="61">
        <f t="shared" si="1280"/>
        <v>0</v>
      </c>
      <c r="BU1111" s="61">
        <f t="shared" si="1280"/>
        <v>0</v>
      </c>
      <c r="BV1111" s="61">
        <f t="shared" si="1280"/>
        <v>0</v>
      </c>
      <c r="BW1111" s="61">
        <f t="shared" si="1280"/>
        <v>0</v>
      </c>
      <c r="BX1111" s="61">
        <f t="shared" si="1280"/>
        <v>2</v>
      </c>
      <c r="BY1111" s="61" t="s">
        <v>91</v>
      </c>
      <c r="CA1111" s="61">
        <f t="shared" si="1289"/>
        <v>0</v>
      </c>
      <c r="CB1111" s="61">
        <f t="shared" si="1289"/>
        <v>0</v>
      </c>
      <c r="CC1111" s="61">
        <f t="shared" si="1289"/>
        <v>0</v>
      </c>
      <c r="CD1111" s="61">
        <f t="shared" si="1289"/>
        <v>0</v>
      </c>
      <c r="CE1111" s="61">
        <f t="shared" si="1289"/>
        <v>0</v>
      </c>
      <c r="CF1111" s="61">
        <f t="shared" si="1289"/>
        <v>0.30088761847449974</v>
      </c>
      <c r="CG1111" s="61">
        <f t="shared" si="1289"/>
        <v>0</v>
      </c>
      <c r="CH1111" s="61">
        <f t="shared" si="1289"/>
        <v>0.30088761847449974</v>
      </c>
      <c r="CI1111" s="61">
        <f t="shared" si="1247"/>
        <v>5.7168647510154956E-2</v>
      </c>
      <c r="CJ1111" s="61"/>
      <c r="CK1111" s="61">
        <f t="shared" si="1260"/>
        <v>0</v>
      </c>
      <c r="CL1111" s="61">
        <f t="shared" si="1260"/>
        <v>0</v>
      </c>
      <c r="CM1111" s="61">
        <f t="shared" si="1260"/>
        <v>0</v>
      </c>
      <c r="CN1111" s="61">
        <f t="shared" si="1258"/>
        <v>0</v>
      </c>
      <c r="CO1111" s="61">
        <f t="shared" si="1258"/>
        <v>0</v>
      </c>
      <c r="CP1111" s="61">
        <f t="shared" si="1258"/>
        <v>0.30088761847449974</v>
      </c>
      <c r="CQ1111" s="61">
        <f t="shared" si="1258"/>
        <v>0</v>
      </c>
      <c r="CR1111" s="61">
        <f t="shared" si="1258"/>
        <v>0.30088761847449974</v>
      </c>
      <c r="CS1111" s="61">
        <f t="shared" si="1248"/>
        <v>5.7168647510154956E-2</v>
      </c>
      <c r="CT1111" s="61">
        <f t="shared" si="1252"/>
        <v>0.38</v>
      </c>
      <c r="CV1111" s="61">
        <f t="shared" si="1221"/>
        <v>19964</v>
      </c>
      <c r="CW1111" s="61">
        <f t="shared" si="1222"/>
        <v>0</v>
      </c>
      <c r="CX1111" s="61"/>
      <c r="CY1111" s="61">
        <f t="shared" si="1261"/>
        <v>0</v>
      </c>
      <c r="CZ1111" s="61">
        <f t="shared" si="1262"/>
        <v>0</v>
      </c>
      <c r="DA1111" s="61">
        <f t="shared" si="1239"/>
        <v>0</v>
      </c>
      <c r="DB1111" s="2" t="s">
        <v>102</v>
      </c>
      <c r="DC1111" s="2" t="s">
        <v>102</v>
      </c>
      <c r="DD1111" s="2" t="s">
        <v>142</v>
      </c>
      <c r="DE1111" s="2" t="s">
        <v>257</v>
      </c>
      <c r="DZ1111" s="3" t="e">
        <v>#N/A</v>
      </c>
      <c r="EC1111" s="60" t="str">
        <f>VLOOKUP($M1111,[1]Detail!$M:$BO,1,0)</f>
        <v>JD8P-7A031-AB</v>
      </c>
      <c r="ED1111" s="60">
        <f>VLOOKUP($M1111,[1]Detail!$M:$BO,22,0)</f>
        <v>-54.209999999999994</v>
      </c>
      <c r="EE1111" s="60">
        <f>VLOOKUP($M1111,[1]Detail!$M:$BO,42,0)</f>
        <v>-425362</v>
      </c>
      <c r="EF1111" s="60">
        <f>VLOOKUP($M1111,[1]Detail!$M:$BO,45,0)</f>
        <v>-77736</v>
      </c>
      <c r="EH1111" s="60">
        <f t="shared" si="1301"/>
        <v>0</v>
      </c>
      <c r="EI1111" s="60">
        <f t="shared" si="1302"/>
        <v>0</v>
      </c>
      <c r="EJ1111" s="60">
        <f t="shared" si="1303"/>
        <v>0</v>
      </c>
    </row>
    <row r="1112" spans="2:140" ht="12.75" hidden="1" customHeight="1">
      <c r="B1112" s="23" t="s">
        <v>1811</v>
      </c>
      <c r="C1112" s="2" t="s">
        <v>454</v>
      </c>
      <c r="D1112" s="86" t="s">
        <v>1812</v>
      </c>
      <c r="E1112" s="87" t="s">
        <v>1005</v>
      </c>
      <c r="F1112" s="87" t="s">
        <v>330</v>
      </c>
      <c r="G1112" s="2" t="s">
        <v>994</v>
      </c>
      <c r="J1112" s="85" t="s">
        <v>456</v>
      </c>
      <c r="K1112" s="23" t="s">
        <v>1814</v>
      </c>
      <c r="L1112" s="85" t="s">
        <v>970</v>
      </c>
      <c r="M1112" s="90" t="str">
        <f t="shared" si="1263"/>
        <v>JD8P-7H420-BB</v>
      </c>
      <c r="O1112" s="22">
        <v>0</v>
      </c>
      <c r="P1112" s="22">
        <v>1</v>
      </c>
      <c r="Q1112" s="22">
        <v>0</v>
      </c>
      <c r="R1112" s="22">
        <v>1</v>
      </c>
      <c r="S1112" s="22">
        <v>0</v>
      </c>
      <c r="T1112" s="22">
        <v>0</v>
      </c>
      <c r="U1112" s="22">
        <v>1</v>
      </c>
      <c r="V1112" s="22">
        <v>0</v>
      </c>
      <c r="W1112" s="64">
        <f t="shared" si="1277"/>
        <v>0.44</v>
      </c>
      <c r="Y1112" s="114">
        <f>BD1112</f>
        <v>-233.21</v>
      </c>
      <c r="Z1112" s="114">
        <f t="shared" si="1304"/>
        <v>-1.75</v>
      </c>
      <c r="AA1112" s="114">
        <f t="shared" si="1304"/>
        <v>-12.42</v>
      </c>
      <c r="AB1112" s="114">
        <f t="shared" si="1304"/>
        <v>0</v>
      </c>
      <c r="AC1112" s="114">
        <f t="shared" si="1304"/>
        <v>-1.07</v>
      </c>
      <c r="AD1112" s="8">
        <f t="shared" si="1276"/>
        <v>-248.45</v>
      </c>
      <c r="AE1112" s="2" t="s">
        <v>91</v>
      </c>
      <c r="AG1112" s="266">
        <f>BL1112</f>
        <v>-2635727</v>
      </c>
      <c r="AH1112" s="266">
        <f>BM1112</f>
        <v>-2635727</v>
      </c>
      <c r="AI1112" s="6"/>
      <c r="AJ1112" s="266">
        <f t="shared" si="1305"/>
        <v>-269916</v>
      </c>
      <c r="AK1112" s="266">
        <f t="shared" si="1305"/>
        <v>252956</v>
      </c>
      <c r="AM1112" s="22"/>
      <c r="AO1112" s="87" t="s">
        <v>456</v>
      </c>
      <c r="AP1112" s="87" t="s">
        <v>1814</v>
      </c>
      <c r="AQ1112" s="87" t="s">
        <v>970</v>
      </c>
      <c r="AR1112" s="90" t="str">
        <f t="shared" si="1291"/>
        <v>JD8P-7H420-BB</v>
      </c>
      <c r="AS1112" s="3"/>
      <c r="AT1112" s="22">
        <v>0</v>
      </c>
      <c r="AU1112" s="22">
        <v>1</v>
      </c>
      <c r="AV1112" s="22">
        <v>0</v>
      </c>
      <c r="AW1112" s="22">
        <v>1</v>
      </c>
      <c r="AX1112" s="22">
        <v>0</v>
      </c>
      <c r="AY1112" s="22">
        <v>0</v>
      </c>
      <c r="AZ1112" s="22">
        <v>1</v>
      </c>
      <c r="BA1112" s="22">
        <v>0</v>
      </c>
      <c r="BB1112" s="92">
        <f t="shared" si="1279"/>
        <v>0.44</v>
      </c>
      <c r="BD1112" s="63">
        <v>-233.21</v>
      </c>
      <c r="BE1112" s="63">
        <v>-1.75</v>
      </c>
      <c r="BF1112" s="63">
        <v>-12.42</v>
      </c>
      <c r="BG1112" s="63">
        <v>0</v>
      </c>
      <c r="BH1112" s="63">
        <v>-1.07</v>
      </c>
      <c r="BI1112" s="63">
        <f t="shared" si="1306"/>
        <v>-248.45</v>
      </c>
      <c r="BJ1112" s="2" t="s">
        <v>91</v>
      </c>
      <c r="BL1112" s="61">
        <v>-2635727</v>
      </c>
      <c r="BM1112" s="61">
        <v>-2635727</v>
      </c>
      <c r="BO1112" s="70">
        <v>-269916</v>
      </c>
      <c r="BP1112" s="70">
        <v>252956</v>
      </c>
      <c r="BS1112" s="61">
        <f t="shared" si="1280"/>
        <v>0</v>
      </c>
      <c r="BT1112" s="61">
        <f t="shared" si="1280"/>
        <v>0</v>
      </c>
      <c r="BU1112" s="61">
        <f t="shared" si="1280"/>
        <v>0</v>
      </c>
      <c r="BV1112" s="61">
        <f t="shared" si="1280"/>
        <v>0</v>
      </c>
      <c r="BW1112" s="61">
        <f t="shared" si="1280"/>
        <v>0</v>
      </c>
      <c r="BX1112" s="61">
        <f t="shared" si="1280"/>
        <v>0</v>
      </c>
      <c r="BY1112" s="61" t="s">
        <v>91</v>
      </c>
      <c r="CA1112" s="61">
        <f t="shared" si="1289"/>
        <v>0</v>
      </c>
      <c r="CB1112" s="61">
        <f t="shared" si="1289"/>
        <v>0</v>
      </c>
      <c r="CC1112" s="61">
        <f t="shared" si="1289"/>
        <v>0</v>
      </c>
      <c r="CD1112" s="61">
        <f t="shared" si="1289"/>
        <v>0</v>
      </c>
      <c r="CE1112" s="61">
        <f t="shared" si="1289"/>
        <v>0</v>
      </c>
      <c r="CF1112" s="61">
        <f t="shared" si="1289"/>
        <v>0</v>
      </c>
      <c r="CG1112" s="61">
        <f t="shared" si="1289"/>
        <v>0</v>
      </c>
      <c r="CH1112" s="61">
        <f t="shared" si="1289"/>
        <v>0</v>
      </c>
      <c r="CI1112" s="61">
        <f t="shared" si="1247"/>
        <v>0</v>
      </c>
      <c r="CJ1112" s="61"/>
      <c r="CK1112" s="61">
        <f t="shared" si="1260"/>
        <v>0</v>
      </c>
      <c r="CL1112" s="61">
        <f t="shared" si="1260"/>
        <v>0</v>
      </c>
      <c r="CM1112" s="61">
        <f t="shared" si="1260"/>
        <v>0</v>
      </c>
      <c r="CN1112" s="61">
        <f t="shared" si="1258"/>
        <v>0</v>
      </c>
      <c r="CO1112" s="61">
        <f t="shared" si="1258"/>
        <v>0</v>
      </c>
      <c r="CP1112" s="61">
        <f t="shared" si="1258"/>
        <v>0</v>
      </c>
      <c r="CQ1112" s="61">
        <f t="shared" si="1258"/>
        <v>0</v>
      </c>
      <c r="CR1112" s="61">
        <f t="shared" si="1258"/>
        <v>0</v>
      </c>
      <c r="CS1112" s="61">
        <f t="shared" si="1248"/>
        <v>0</v>
      </c>
      <c r="CT1112" s="61">
        <f t="shared" si="1252"/>
        <v>0</v>
      </c>
      <c r="CV1112" s="61">
        <f t="shared" ref="CV1112:CV1168" si="1307">SUM(AG1112)-SUM(BL1112)</f>
        <v>0</v>
      </c>
      <c r="CW1112" s="61">
        <f t="shared" ref="CW1112:CW1168" si="1308">SUM(AH1112)-SUM(BM1112)</f>
        <v>0</v>
      </c>
      <c r="CX1112" s="61"/>
      <c r="CY1112" s="61">
        <f t="shared" si="1261"/>
        <v>0</v>
      </c>
      <c r="CZ1112" s="61">
        <f t="shared" si="1262"/>
        <v>0</v>
      </c>
      <c r="DA1112" s="61">
        <f t="shared" si="1239"/>
        <v>0</v>
      </c>
      <c r="DB1112" s="2" t="s">
        <v>102</v>
      </c>
      <c r="DC1112" s="2" t="s">
        <v>102</v>
      </c>
      <c r="DD1112" s="2" t="s">
        <v>142</v>
      </c>
      <c r="DE1112" s="2" t="s">
        <v>257</v>
      </c>
      <c r="DZ1112" s="3" t="e">
        <v>#N/A</v>
      </c>
      <c r="EC1112" s="60" t="str">
        <f>VLOOKUP($M1112,[1]Detail!$M:$BO,1,0)</f>
        <v>JD8P-7H420-BB</v>
      </c>
      <c r="ED1112" s="60">
        <f>VLOOKUP($M1112,[1]Detail!$M:$BO,22,0)</f>
        <v>-248.45</v>
      </c>
      <c r="EE1112" s="60">
        <f>VLOOKUP($M1112,[1]Detail!$M:$BO,42,0)</f>
        <v>-2635727</v>
      </c>
      <c r="EF1112" s="60">
        <f>VLOOKUP($M1112,[1]Detail!$M:$BO,45,0)</f>
        <v>-269916</v>
      </c>
      <c r="EH1112" s="60">
        <f t="shared" si="1301"/>
        <v>0</v>
      </c>
      <c r="EI1112" s="60">
        <f t="shared" si="1302"/>
        <v>0</v>
      </c>
      <c r="EJ1112" s="60">
        <f t="shared" si="1303"/>
        <v>0</v>
      </c>
    </row>
    <row r="1113" spans="2:140" ht="12.75" hidden="1" customHeight="1">
      <c r="B1113" s="23" t="s">
        <v>1811</v>
      </c>
      <c r="C1113" s="2" t="s">
        <v>454</v>
      </c>
      <c r="D1113" s="86" t="s">
        <v>1812</v>
      </c>
      <c r="E1113" s="87" t="s">
        <v>1005</v>
      </c>
      <c r="F1113" s="87" t="s">
        <v>330</v>
      </c>
      <c r="G1113" s="2" t="s">
        <v>994</v>
      </c>
      <c r="J1113" s="85" t="s">
        <v>456</v>
      </c>
      <c r="K1113" s="23" t="s">
        <v>1814</v>
      </c>
      <c r="L1113" s="85" t="s">
        <v>141</v>
      </c>
      <c r="M1113" s="90" t="str">
        <f t="shared" si="1263"/>
        <v>JD8P-7H420-AB</v>
      </c>
      <c r="O1113" s="22">
        <v>0</v>
      </c>
      <c r="P1113" s="22">
        <v>0</v>
      </c>
      <c r="Q1113" s="22">
        <v>0</v>
      </c>
      <c r="R1113" s="22">
        <v>0</v>
      </c>
      <c r="S1113" s="22">
        <v>0</v>
      </c>
      <c r="T1113" s="22">
        <v>1</v>
      </c>
      <c r="U1113" s="22">
        <v>0</v>
      </c>
      <c r="V1113" s="22">
        <v>1</v>
      </c>
      <c r="W1113" s="64">
        <f t="shared" si="1277"/>
        <v>0.19</v>
      </c>
      <c r="Y1113" s="114">
        <f>BD1113</f>
        <v>-201.93</v>
      </c>
      <c r="Z1113" s="114">
        <f t="shared" si="1304"/>
        <v>-1.98</v>
      </c>
      <c r="AA1113" s="114">
        <f t="shared" si="1304"/>
        <v>-9.2899999999999991</v>
      </c>
      <c r="AB1113" s="114">
        <f t="shared" si="1304"/>
        <v>0</v>
      </c>
      <c r="AC1113" s="114">
        <f t="shared" si="1304"/>
        <v>-0.71</v>
      </c>
      <c r="AD1113" s="8">
        <f t="shared" si="1276"/>
        <v>-213.91</v>
      </c>
      <c r="AE1113" s="2" t="s">
        <v>91</v>
      </c>
      <c r="AG1113" s="266">
        <f>BL1113</f>
        <v>-1971250</v>
      </c>
      <c r="AH1113" s="266">
        <f>BM1113</f>
        <v>-1971250</v>
      </c>
      <c r="AI1113" s="6"/>
      <c r="AJ1113" s="266">
        <f t="shared" si="1305"/>
        <v>-77736</v>
      </c>
      <c r="AK1113" s="266">
        <f t="shared" si="1305"/>
        <v>109231</v>
      </c>
      <c r="AM1113" s="22"/>
      <c r="AO1113" s="87" t="s">
        <v>456</v>
      </c>
      <c r="AP1113" s="87" t="s">
        <v>1814</v>
      </c>
      <c r="AQ1113" s="87" t="s">
        <v>141</v>
      </c>
      <c r="AR1113" s="90" t="str">
        <f t="shared" si="1291"/>
        <v>JD8P-7H420-AB</v>
      </c>
      <c r="AS1113" s="87"/>
      <c r="AT1113" s="22">
        <v>0</v>
      </c>
      <c r="AU1113" s="22">
        <v>0</v>
      </c>
      <c r="AV1113" s="22">
        <v>0</v>
      </c>
      <c r="AW1113" s="22">
        <v>0</v>
      </c>
      <c r="AX1113" s="22">
        <v>0</v>
      </c>
      <c r="AY1113" s="22">
        <v>1</v>
      </c>
      <c r="AZ1113" s="22">
        <v>0</v>
      </c>
      <c r="BA1113" s="22">
        <v>1</v>
      </c>
      <c r="BB1113" s="92">
        <f t="shared" si="1279"/>
        <v>0.19</v>
      </c>
      <c r="BD1113" s="63">
        <v>-201.93</v>
      </c>
      <c r="BE1113" s="63">
        <v>-1.98</v>
      </c>
      <c r="BF1113" s="63">
        <v>-9.2899999999999991</v>
      </c>
      <c r="BG1113" s="63">
        <v>0</v>
      </c>
      <c r="BH1113" s="63">
        <v>-0.71</v>
      </c>
      <c r="BI1113" s="63">
        <f t="shared" si="1306"/>
        <v>-213.91</v>
      </c>
      <c r="BJ1113" s="2" t="s">
        <v>91</v>
      </c>
      <c r="BL1113" s="61">
        <v>-1971250</v>
      </c>
      <c r="BM1113" s="61">
        <v>-1971250</v>
      </c>
      <c r="BO1113" s="70">
        <v>-77736</v>
      </c>
      <c r="BP1113" s="70">
        <v>109231</v>
      </c>
      <c r="BS1113" s="61">
        <f t="shared" si="1280"/>
        <v>0</v>
      </c>
      <c r="BT1113" s="61">
        <f t="shared" si="1280"/>
        <v>0</v>
      </c>
      <c r="BU1113" s="61">
        <f t="shared" si="1280"/>
        <v>0</v>
      </c>
      <c r="BV1113" s="61">
        <f t="shared" si="1280"/>
        <v>0</v>
      </c>
      <c r="BW1113" s="61">
        <f t="shared" si="1280"/>
        <v>0</v>
      </c>
      <c r="BX1113" s="61">
        <f t="shared" si="1280"/>
        <v>0</v>
      </c>
      <c r="BY1113" s="61" t="s">
        <v>91</v>
      </c>
      <c r="CA1113" s="61">
        <f t="shared" si="1289"/>
        <v>0</v>
      </c>
      <c r="CB1113" s="61">
        <f t="shared" si="1289"/>
        <v>0</v>
      </c>
      <c r="CC1113" s="61">
        <f t="shared" si="1289"/>
        <v>0</v>
      </c>
      <c r="CD1113" s="61">
        <f t="shared" si="1289"/>
        <v>0</v>
      </c>
      <c r="CE1113" s="61">
        <f t="shared" si="1289"/>
        <v>0</v>
      </c>
      <c r="CF1113" s="61">
        <f t="shared" si="1289"/>
        <v>0</v>
      </c>
      <c r="CG1113" s="61">
        <f t="shared" si="1289"/>
        <v>0</v>
      </c>
      <c r="CH1113" s="61">
        <f t="shared" si="1289"/>
        <v>0</v>
      </c>
      <c r="CI1113" s="61">
        <f t="shared" si="1247"/>
        <v>0</v>
      </c>
      <c r="CJ1113" s="61"/>
      <c r="CK1113" s="61">
        <f t="shared" si="1260"/>
        <v>0</v>
      </c>
      <c r="CL1113" s="61">
        <f t="shared" si="1260"/>
        <v>0</v>
      </c>
      <c r="CM1113" s="61">
        <f t="shared" si="1260"/>
        <v>0</v>
      </c>
      <c r="CN1113" s="61">
        <f t="shared" si="1258"/>
        <v>0</v>
      </c>
      <c r="CO1113" s="61">
        <f t="shared" si="1258"/>
        <v>0</v>
      </c>
      <c r="CP1113" s="61">
        <f t="shared" si="1258"/>
        <v>0</v>
      </c>
      <c r="CQ1113" s="61">
        <f t="shared" si="1258"/>
        <v>0</v>
      </c>
      <c r="CR1113" s="61">
        <f t="shared" si="1258"/>
        <v>0</v>
      </c>
      <c r="CS1113" s="61">
        <f t="shared" si="1248"/>
        <v>0</v>
      </c>
      <c r="CT1113" s="61">
        <f t="shared" si="1252"/>
        <v>0</v>
      </c>
      <c r="CV1113" s="61">
        <f t="shared" si="1307"/>
        <v>0</v>
      </c>
      <c r="CW1113" s="61">
        <f t="shared" si="1308"/>
        <v>0</v>
      </c>
      <c r="CX1113" s="61"/>
      <c r="CY1113" s="61">
        <f t="shared" si="1261"/>
        <v>0</v>
      </c>
      <c r="CZ1113" s="61">
        <f t="shared" si="1262"/>
        <v>0</v>
      </c>
      <c r="DA1113" s="61">
        <f t="shared" si="1239"/>
        <v>0</v>
      </c>
      <c r="DB1113" s="2" t="s">
        <v>102</v>
      </c>
      <c r="DC1113" s="2" t="s">
        <v>102</v>
      </c>
      <c r="DD1113" s="2" t="s">
        <v>142</v>
      </c>
      <c r="DE1113" s="2" t="s">
        <v>257</v>
      </c>
      <c r="DZ1113" s="3" t="e">
        <v>#N/A</v>
      </c>
      <c r="EC1113" s="60" t="str">
        <f>VLOOKUP($M1113,[1]Detail!$M:$BO,1,0)</f>
        <v>JD8P-7H420-AB</v>
      </c>
      <c r="ED1113" s="60">
        <f>VLOOKUP($M1113,[1]Detail!$M:$BO,22,0)</f>
        <v>-213.91</v>
      </c>
      <c r="EE1113" s="60">
        <f>VLOOKUP($M1113,[1]Detail!$M:$BO,42,0)</f>
        <v>-1971250</v>
      </c>
      <c r="EF1113" s="60">
        <f>VLOOKUP($M1113,[1]Detail!$M:$BO,45,0)</f>
        <v>-77736</v>
      </c>
      <c r="EH1113" s="60">
        <f t="shared" si="1301"/>
        <v>0</v>
      </c>
      <c r="EI1113" s="60">
        <f t="shared" si="1302"/>
        <v>0</v>
      </c>
      <c r="EJ1113" s="60">
        <f t="shared" si="1303"/>
        <v>0</v>
      </c>
    </row>
    <row r="1114" spans="2:140" ht="12.75" hidden="1" customHeight="1">
      <c r="B1114" s="23" t="s">
        <v>1811</v>
      </c>
      <c r="C1114" s="2" t="s">
        <v>454</v>
      </c>
      <c r="D1114" s="86" t="s">
        <v>1812</v>
      </c>
      <c r="E1114" s="87" t="s">
        <v>1005</v>
      </c>
      <c r="F1114" s="87" t="s">
        <v>330</v>
      </c>
      <c r="G1114" s="2" t="s">
        <v>994</v>
      </c>
      <c r="J1114" s="85" t="s">
        <v>456</v>
      </c>
      <c r="K1114" s="23" t="s">
        <v>1815</v>
      </c>
      <c r="L1114" s="85" t="s">
        <v>180</v>
      </c>
      <c r="M1114" s="90" t="str">
        <f t="shared" si="1263"/>
        <v>JD8P-7R081-AA</v>
      </c>
      <c r="O1114" s="22">
        <v>0</v>
      </c>
      <c r="P1114" s="22">
        <v>0</v>
      </c>
      <c r="Q1114" s="22">
        <v>0</v>
      </c>
      <c r="R1114" s="22">
        <v>0</v>
      </c>
      <c r="S1114" s="22">
        <v>0</v>
      </c>
      <c r="T1114" s="22">
        <v>1</v>
      </c>
      <c r="U1114" s="22">
        <v>0</v>
      </c>
      <c r="V1114" s="22">
        <v>1</v>
      </c>
      <c r="W1114" s="64">
        <f t="shared" si="1277"/>
        <v>0.19</v>
      </c>
      <c r="Y1114" s="114">
        <f>BD1114</f>
        <v>-73.099999999999994</v>
      </c>
      <c r="Z1114" s="114">
        <f t="shared" si="1304"/>
        <v>-1.62</v>
      </c>
      <c r="AA1114" s="114">
        <f t="shared" si="1304"/>
        <v>-1.57</v>
      </c>
      <c r="AB1114" s="114">
        <f t="shared" si="1304"/>
        <v>0</v>
      </c>
      <c r="AC1114" s="114">
        <f t="shared" si="1304"/>
        <v>-0.71</v>
      </c>
      <c r="AD1114" s="8">
        <f t="shared" si="1276"/>
        <v>-76.999999999999986</v>
      </c>
      <c r="AE1114" s="2" t="s">
        <v>91</v>
      </c>
      <c r="AG1114" s="266">
        <f>BL1114</f>
        <v>-501837</v>
      </c>
      <c r="AH1114" s="266">
        <f>BM1114</f>
        <v>-501837</v>
      </c>
      <c r="AI1114" s="6"/>
      <c r="AJ1114" s="266">
        <f t="shared" si="1305"/>
        <v>-77736</v>
      </c>
      <c r="AK1114" s="266">
        <f t="shared" si="1305"/>
        <v>109231</v>
      </c>
      <c r="AM1114" s="22"/>
      <c r="AO1114" s="87" t="s">
        <v>456</v>
      </c>
      <c r="AP1114" s="87" t="s">
        <v>1815</v>
      </c>
      <c r="AQ1114" s="87" t="s">
        <v>180</v>
      </c>
      <c r="AR1114" s="90" t="str">
        <f t="shared" si="1291"/>
        <v>JD8P-7R081-AA</v>
      </c>
      <c r="AS1114" s="3"/>
      <c r="AT1114" s="22">
        <v>0</v>
      </c>
      <c r="AU1114" s="22">
        <v>0</v>
      </c>
      <c r="AV1114" s="22">
        <v>0</v>
      </c>
      <c r="AW1114" s="22">
        <v>0</v>
      </c>
      <c r="AX1114" s="22">
        <v>0</v>
      </c>
      <c r="AY1114" s="22">
        <v>1</v>
      </c>
      <c r="AZ1114" s="22">
        <v>0</v>
      </c>
      <c r="BA1114" s="22">
        <v>1</v>
      </c>
      <c r="BB1114" s="92">
        <f t="shared" si="1279"/>
        <v>0.19</v>
      </c>
      <c r="BD1114" s="63">
        <v>-73.099999999999994</v>
      </c>
      <c r="BE1114" s="63">
        <v>-1.62</v>
      </c>
      <c r="BF1114" s="63">
        <v>-1.57</v>
      </c>
      <c r="BG1114" s="63">
        <v>0</v>
      </c>
      <c r="BH1114" s="63">
        <v>-0.71</v>
      </c>
      <c r="BI1114" s="63">
        <f t="shared" si="1306"/>
        <v>-76.999999999999986</v>
      </c>
      <c r="BJ1114" s="2" t="s">
        <v>91</v>
      </c>
      <c r="BL1114" s="61">
        <v>-501837</v>
      </c>
      <c r="BM1114" s="61">
        <v>-501837</v>
      </c>
      <c r="BO1114" s="70">
        <v>-77736</v>
      </c>
      <c r="BP1114" s="70">
        <v>109231</v>
      </c>
      <c r="BS1114" s="61">
        <f t="shared" si="1280"/>
        <v>0</v>
      </c>
      <c r="BT1114" s="61">
        <f t="shared" si="1280"/>
        <v>0</v>
      </c>
      <c r="BU1114" s="61">
        <f t="shared" si="1280"/>
        <v>0</v>
      </c>
      <c r="BV1114" s="61">
        <f t="shared" si="1280"/>
        <v>0</v>
      </c>
      <c r="BW1114" s="61">
        <f t="shared" si="1280"/>
        <v>0</v>
      </c>
      <c r="BX1114" s="61">
        <f t="shared" si="1280"/>
        <v>0</v>
      </c>
      <c r="BY1114" s="61" t="s">
        <v>91</v>
      </c>
      <c r="CA1114" s="61">
        <f t="shared" si="1289"/>
        <v>0</v>
      </c>
      <c r="CB1114" s="61">
        <f t="shared" si="1289"/>
        <v>0</v>
      </c>
      <c r="CC1114" s="61">
        <f t="shared" si="1289"/>
        <v>0</v>
      </c>
      <c r="CD1114" s="61">
        <f t="shared" si="1289"/>
        <v>0</v>
      </c>
      <c r="CE1114" s="61">
        <f t="shared" si="1289"/>
        <v>0</v>
      </c>
      <c r="CF1114" s="61">
        <f t="shared" si="1289"/>
        <v>0</v>
      </c>
      <c r="CG1114" s="61">
        <f t="shared" si="1289"/>
        <v>0</v>
      </c>
      <c r="CH1114" s="61">
        <f t="shared" si="1289"/>
        <v>0</v>
      </c>
      <c r="CI1114" s="61">
        <f t="shared" si="1247"/>
        <v>0</v>
      </c>
      <c r="CJ1114" s="61"/>
      <c r="CK1114" s="61">
        <f t="shared" si="1260"/>
        <v>0</v>
      </c>
      <c r="CL1114" s="61">
        <f t="shared" si="1260"/>
        <v>0</v>
      </c>
      <c r="CM1114" s="61">
        <f t="shared" si="1260"/>
        <v>0</v>
      </c>
      <c r="CN1114" s="61">
        <f t="shared" si="1258"/>
        <v>0</v>
      </c>
      <c r="CO1114" s="61">
        <f t="shared" si="1258"/>
        <v>0</v>
      </c>
      <c r="CP1114" s="61">
        <f t="shared" si="1258"/>
        <v>0</v>
      </c>
      <c r="CQ1114" s="61">
        <f t="shared" si="1258"/>
        <v>0</v>
      </c>
      <c r="CR1114" s="61">
        <f t="shared" si="1258"/>
        <v>0</v>
      </c>
      <c r="CS1114" s="61">
        <f t="shared" si="1248"/>
        <v>0</v>
      </c>
      <c r="CT1114" s="61">
        <f t="shared" si="1252"/>
        <v>0</v>
      </c>
      <c r="CV1114" s="61">
        <f t="shared" si="1307"/>
        <v>0</v>
      </c>
      <c r="CW1114" s="61">
        <f t="shared" si="1308"/>
        <v>0</v>
      </c>
      <c r="CX1114" s="61"/>
      <c r="CY1114" s="61">
        <f t="shared" si="1261"/>
        <v>0</v>
      </c>
      <c r="CZ1114" s="61">
        <f t="shared" ref="CZ1114:CZ1171" si="1309">SUM(AK1114)-SUM(BP1114)</f>
        <v>0</v>
      </c>
      <c r="DA1114" s="61">
        <f t="shared" ref="DA1114:DA1171" si="1310">SUM(AL1114)-SUM(BQ1114)</f>
        <v>0</v>
      </c>
      <c r="DB1114" s="2" t="s">
        <v>102</v>
      </c>
      <c r="DC1114" s="2" t="s">
        <v>102</v>
      </c>
      <c r="DD1114" s="2" t="s">
        <v>142</v>
      </c>
      <c r="DE1114" s="2" t="s">
        <v>257</v>
      </c>
      <c r="DZ1114" s="3" t="e">
        <v>#N/A</v>
      </c>
      <c r="EC1114" s="60" t="str">
        <f>VLOOKUP($M1114,[1]Detail!$M:$BO,1,0)</f>
        <v>JD8P-7R081-AA</v>
      </c>
      <c r="ED1114" s="60">
        <f>VLOOKUP($M1114,[1]Detail!$M:$BO,22,0)</f>
        <v>-76.999999999999986</v>
      </c>
      <c r="EE1114" s="60">
        <f>VLOOKUP($M1114,[1]Detail!$M:$BO,42,0)</f>
        <v>-501837</v>
      </c>
      <c r="EF1114" s="60">
        <f>VLOOKUP($M1114,[1]Detail!$M:$BO,45,0)</f>
        <v>-77736</v>
      </c>
      <c r="EH1114" s="60">
        <f t="shared" si="1301"/>
        <v>0</v>
      </c>
      <c r="EI1114" s="60">
        <f t="shared" si="1302"/>
        <v>0</v>
      </c>
      <c r="EJ1114" s="60">
        <f t="shared" si="1303"/>
        <v>0</v>
      </c>
    </row>
    <row r="1115" spans="2:140" ht="12.75" hidden="1" customHeight="1">
      <c r="B1115" s="23" t="s">
        <v>1811</v>
      </c>
      <c r="C1115" s="2" t="s">
        <v>454</v>
      </c>
      <c r="D1115" s="86" t="s">
        <v>1812</v>
      </c>
      <c r="E1115" s="87" t="s">
        <v>1005</v>
      </c>
      <c r="F1115" s="87" t="s">
        <v>330</v>
      </c>
      <c r="G1115" s="2" t="s">
        <v>994</v>
      </c>
      <c r="J1115" s="85" t="s">
        <v>456</v>
      </c>
      <c r="K1115" s="23" t="s">
        <v>1813</v>
      </c>
      <c r="L1115" s="85" t="s">
        <v>970</v>
      </c>
      <c r="M1115" s="90" t="str">
        <f t="shared" si="1263"/>
        <v>JD8P-7A031-BB</v>
      </c>
      <c r="O1115" s="22">
        <v>0</v>
      </c>
      <c r="P1115" s="22">
        <v>1</v>
      </c>
      <c r="Q1115" s="22">
        <v>0</v>
      </c>
      <c r="R1115" s="22">
        <v>1</v>
      </c>
      <c r="S1115" s="22">
        <v>0</v>
      </c>
      <c r="T1115" s="22">
        <v>0</v>
      </c>
      <c r="U1115" s="22">
        <v>1</v>
      </c>
      <c r="V1115" s="22">
        <v>0</v>
      </c>
      <c r="W1115" s="64">
        <f t="shared" si="1277"/>
        <v>0.44</v>
      </c>
      <c r="Y1115" s="114">
        <f>BD1115</f>
        <v>-27.64</v>
      </c>
      <c r="Z1115" s="114">
        <f t="shared" si="1304"/>
        <v>-1.1599999999999999</v>
      </c>
      <c r="AA1115" s="114">
        <f t="shared" si="1304"/>
        <v>-2.09</v>
      </c>
      <c r="AB1115" s="114">
        <f t="shared" si="1304"/>
        <v>0</v>
      </c>
      <c r="AC1115" s="114">
        <f t="shared" si="1304"/>
        <v>-1.07</v>
      </c>
      <c r="AD1115" s="8">
        <f t="shared" si="1276"/>
        <v>-31.96</v>
      </c>
      <c r="AE1115" s="2" t="s">
        <v>91</v>
      </c>
      <c r="AG1115" s="266">
        <f>BL1115</f>
        <v>-142002</v>
      </c>
      <c r="AH1115" s="266">
        <f>BM1115</f>
        <v>-142002</v>
      </c>
      <c r="AI1115" s="6"/>
      <c r="AJ1115" s="266">
        <f t="shared" si="1305"/>
        <v>-269916</v>
      </c>
      <c r="AK1115" s="266">
        <f t="shared" si="1305"/>
        <v>252956</v>
      </c>
      <c r="AM1115" s="22"/>
      <c r="AO1115" s="87" t="s">
        <v>456</v>
      </c>
      <c r="AP1115" s="87" t="s">
        <v>1813</v>
      </c>
      <c r="AQ1115" s="87" t="s">
        <v>970</v>
      </c>
      <c r="AR1115" s="90" t="str">
        <f t="shared" si="1291"/>
        <v>JD8P-7A031-BB</v>
      </c>
      <c r="AS1115" s="87"/>
      <c r="AT1115" s="22">
        <v>0</v>
      </c>
      <c r="AU1115" s="22">
        <v>1</v>
      </c>
      <c r="AV1115" s="22">
        <v>0</v>
      </c>
      <c r="AW1115" s="22">
        <v>1</v>
      </c>
      <c r="AX1115" s="22">
        <v>0</v>
      </c>
      <c r="AY1115" s="22">
        <v>0</v>
      </c>
      <c r="AZ1115" s="22">
        <v>1</v>
      </c>
      <c r="BA1115" s="22">
        <v>0</v>
      </c>
      <c r="BB1115" s="92">
        <f t="shared" si="1279"/>
        <v>0.44</v>
      </c>
      <c r="BD1115" s="63">
        <v>-27.64</v>
      </c>
      <c r="BE1115" s="63">
        <v>-1.1599999999999999</v>
      </c>
      <c r="BF1115" s="63">
        <v>-2.09</v>
      </c>
      <c r="BG1115" s="63">
        <v>0</v>
      </c>
      <c r="BH1115" s="63">
        <v>-1.07</v>
      </c>
      <c r="BI1115" s="63">
        <f t="shared" si="1306"/>
        <v>-31.96</v>
      </c>
      <c r="BJ1115" s="2" t="s">
        <v>91</v>
      </c>
      <c r="BL1115" s="61">
        <v>-142002</v>
      </c>
      <c r="BM1115" s="61">
        <v>-142002</v>
      </c>
      <c r="BO1115" s="70">
        <v>-269916</v>
      </c>
      <c r="BP1115" s="70">
        <v>252956</v>
      </c>
      <c r="BS1115" s="61">
        <f t="shared" si="1280"/>
        <v>0</v>
      </c>
      <c r="BT1115" s="61">
        <f t="shared" si="1280"/>
        <v>0</v>
      </c>
      <c r="BU1115" s="61">
        <f t="shared" si="1280"/>
        <v>0</v>
      </c>
      <c r="BV1115" s="61">
        <f t="shared" si="1280"/>
        <v>0</v>
      </c>
      <c r="BW1115" s="61">
        <f t="shared" si="1280"/>
        <v>0</v>
      </c>
      <c r="BX1115" s="61">
        <f t="shared" si="1280"/>
        <v>0</v>
      </c>
      <c r="BY1115" s="61" t="s">
        <v>91</v>
      </c>
      <c r="CA1115" s="61">
        <f t="shared" si="1289"/>
        <v>0</v>
      </c>
      <c r="CB1115" s="61">
        <f t="shared" si="1289"/>
        <v>0</v>
      </c>
      <c r="CC1115" s="61">
        <f t="shared" si="1289"/>
        <v>0</v>
      </c>
      <c r="CD1115" s="61">
        <f t="shared" si="1289"/>
        <v>0</v>
      </c>
      <c r="CE1115" s="61">
        <f t="shared" si="1289"/>
        <v>0</v>
      </c>
      <c r="CF1115" s="61">
        <f t="shared" si="1289"/>
        <v>0</v>
      </c>
      <c r="CG1115" s="61">
        <f t="shared" si="1289"/>
        <v>0</v>
      </c>
      <c r="CH1115" s="61">
        <f t="shared" si="1289"/>
        <v>0</v>
      </c>
      <c r="CI1115" s="61">
        <f t="shared" si="1247"/>
        <v>0</v>
      </c>
      <c r="CJ1115" s="61"/>
      <c r="CK1115" s="61">
        <f t="shared" si="1260"/>
        <v>0</v>
      </c>
      <c r="CL1115" s="61">
        <f t="shared" si="1260"/>
        <v>0</v>
      </c>
      <c r="CM1115" s="61">
        <f t="shared" si="1260"/>
        <v>0</v>
      </c>
      <c r="CN1115" s="61">
        <f t="shared" si="1258"/>
        <v>0</v>
      </c>
      <c r="CO1115" s="61">
        <f t="shared" si="1258"/>
        <v>0</v>
      </c>
      <c r="CP1115" s="61">
        <f t="shared" si="1258"/>
        <v>0</v>
      </c>
      <c r="CQ1115" s="61">
        <f t="shared" si="1258"/>
        <v>0</v>
      </c>
      <c r="CR1115" s="61">
        <f t="shared" si="1258"/>
        <v>0</v>
      </c>
      <c r="CS1115" s="61">
        <f t="shared" si="1248"/>
        <v>0</v>
      </c>
      <c r="CT1115" s="61">
        <f t="shared" si="1252"/>
        <v>0</v>
      </c>
      <c r="CV1115" s="61">
        <f t="shared" si="1307"/>
        <v>0</v>
      </c>
      <c r="CW1115" s="61">
        <f t="shared" si="1308"/>
        <v>0</v>
      </c>
      <c r="CX1115" s="61"/>
      <c r="CY1115" s="61">
        <f t="shared" ref="CY1115:CY1172" si="1311">SUM(AJ1115)-SUM(BO1115)</f>
        <v>0</v>
      </c>
      <c r="CZ1115" s="61">
        <f t="shared" si="1309"/>
        <v>0</v>
      </c>
      <c r="DA1115" s="61">
        <f t="shared" si="1310"/>
        <v>0</v>
      </c>
      <c r="DB1115" s="2" t="s">
        <v>102</v>
      </c>
      <c r="DC1115" s="2" t="s">
        <v>102</v>
      </c>
      <c r="DD1115" s="2" t="s">
        <v>142</v>
      </c>
      <c r="DE1115" s="2" t="s">
        <v>257</v>
      </c>
      <c r="DZ1115" s="3" t="e">
        <v>#N/A</v>
      </c>
      <c r="EC1115" s="60" t="str">
        <f>VLOOKUP($M1115,[1]Detail!$M:$BO,1,0)</f>
        <v>JD8P-7A031-BB</v>
      </c>
      <c r="ED1115" s="60">
        <f>VLOOKUP($M1115,[1]Detail!$M:$BO,22,0)</f>
        <v>-31.96</v>
      </c>
      <c r="EE1115" s="60">
        <f>VLOOKUP($M1115,[1]Detail!$M:$BO,42,0)</f>
        <v>-142002</v>
      </c>
      <c r="EF1115" s="60">
        <f>VLOOKUP($M1115,[1]Detail!$M:$BO,45,0)</f>
        <v>-269916</v>
      </c>
      <c r="EH1115" s="60">
        <f t="shared" si="1301"/>
        <v>0</v>
      </c>
      <c r="EI1115" s="60">
        <f t="shared" si="1302"/>
        <v>0</v>
      </c>
      <c r="EJ1115" s="60">
        <f t="shared" si="1303"/>
        <v>0</v>
      </c>
    </row>
    <row r="1116" spans="2:140" ht="12.75" hidden="1" customHeight="1">
      <c r="B1116" s="1" t="s">
        <v>1816</v>
      </c>
      <c r="C1116" s="2" t="s">
        <v>1817</v>
      </c>
      <c r="D1116" s="2" t="s">
        <v>1818</v>
      </c>
      <c r="E1116" s="87" t="s">
        <v>338</v>
      </c>
      <c r="F1116" s="2" t="s">
        <v>330</v>
      </c>
      <c r="G1116" s="87" t="s">
        <v>1262</v>
      </c>
      <c r="J1116" s="1" t="s">
        <v>98</v>
      </c>
      <c r="K1116" s="1">
        <v>2780</v>
      </c>
      <c r="L1116" s="1" t="s">
        <v>1819</v>
      </c>
      <c r="M1116" s="90" t="str">
        <f t="shared" si="1263"/>
        <v>JD8C-2780-AA3JM7</v>
      </c>
      <c r="O1116" s="22">
        <v>0</v>
      </c>
      <c r="P1116" s="22">
        <v>0</v>
      </c>
      <c r="Q1116" s="22">
        <v>0</v>
      </c>
      <c r="R1116" s="22">
        <v>0</v>
      </c>
      <c r="S1116" s="22">
        <v>0</v>
      </c>
      <c r="T1116" s="22">
        <v>0</v>
      </c>
      <c r="U1116" s="22">
        <v>1</v>
      </c>
      <c r="V1116" s="22">
        <v>1</v>
      </c>
      <c r="W1116" s="64">
        <f t="shared" si="1277"/>
        <v>0.1</v>
      </c>
      <c r="Y1116" s="63">
        <v>-107.6777093</v>
      </c>
      <c r="Z1116" s="63">
        <v>-1</v>
      </c>
      <c r="AA1116" s="63">
        <v>-1.3</v>
      </c>
      <c r="AB1116" s="63">
        <v>-1.25</v>
      </c>
      <c r="AC1116" s="63">
        <v>-2.62</v>
      </c>
      <c r="AD1116" s="8">
        <f t="shared" si="1276"/>
        <v>-113.84770930000001</v>
      </c>
      <c r="AE1116" s="2" t="s">
        <v>91</v>
      </c>
      <c r="AG1116" s="67">
        <v>-985000</v>
      </c>
      <c r="AH1116" s="67">
        <f>AG1116</f>
        <v>-985000</v>
      </c>
      <c r="AI1116" s="6"/>
      <c r="AJ1116" s="67">
        <v>-78700</v>
      </c>
      <c r="AK1116" s="67">
        <v>57490</v>
      </c>
      <c r="AM1116" s="22"/>
      <c r="AO1116" s="1" t="s">
        <v>1820</v>
      </c>
      <c r="AP1116" s="1">
        <v>2780</v>
      </c>
      <c r="AQ1116" s="1" t="s">
        <v>132</v>
      </c>
      <c r="AR1116" s="90" t="str">
        <f t="shared" si="1291"/>
        <v>ED8C -2780-AB</v>
      </c>
      <c r="AS1116" s="3"/>
      <c r="AT1116" s="89">
        <v>0</v>
      </c>
      <c r="AU1116" s="89">
        <v>0</v>
      </c>
      <c r="AV1116" s="89">
        <v>0</v>
      </c>
      <c r="AW1116" s="89">
        <v>0</v>
      </c>
      <c r="AX1116" s="89">
        <v>0</v>
      </c>
      <c r="AY1116" s="89">
        <v>0</v>
      </c>
      <c r="AZ1116" s="89">
        <v>1</v>
      </c>
      <c r="BA1116" s="89">
        <v>1</v>
      </c>
      <c r="BB1116" s="92">
        <f t="shared" si="1279"/>
        <v>0.1</v>
      </c>
      <c r="BD1116" s="63">
        <f>-107.6777093+25.66+1.67</f>
        <v>-80.347709300000005</v>
      </c>
      <c r="BE1116" s="63">
        <v>-1</v>
      </c>
      <c r="BF1116" s="63">
        <v>-1.3</v>
      </c>
      <c r="BG1116" s="63">
        <v>-2.62</v>
      </c>
      <c r="BH1116" s="63"/>
      <c r="BI1116" s="8">
        <f t="shared" si="1306"/>
        <v>-85.267709300000007</v>
      </c>
      <c r="BJ1116" s="2" t="s">
        <v>91</v>
      </c>
      <c r="BL1116" s="67">
        <v>0</v>
      </c>
      <c r="BM1116" s="67">
        <v>0</v>
      </c>
      <c r="BO1116" s="67">
        <v>0</v>
      </c>
      <c r="BP1116" s="67">
        <v>0</v>
      </c>
      <c r="BS1116" s="61">
        <f t="shared" si="1280"/>
        <v>-27.33</v>
      </c>
      <c r="BT1116" s="61">
        <f t="shared" si="1280"/>
        <v>0</v>
      </c>
      <c r="BU1116" s="61">
        <f t="shared" si="1280"/>
        <v>0</v>
      </c>
      <c r="BV1116" s="61">
        <f t="shared" si="1280"/>
        <v>1.37</v>
      </c>
      <c r="BW1116" s="61">
        <f t="shared" si="1280"/>
        <v>-2.62</v>
      </c>
      <c r="BX1116" s="61">
        <f t="shared" si="1280"/>
        <v>-28.58</v>
      </c>
      <c r="BY1116" s="61" t="s">
        <v>91</v>
      </c>
      <c r="CA1116" s="61">
        <f t="shared" si="1289"/>
        <v>0</v>
      </c>
      <c r="CB1116" s="61">
        <f t="shared" si="1289"/>
        <v>0</v>
      </c>
      <c r="CC1116" s="61">
        <f t="shared" si="1289"/>
        <v>0</v>
      </c>
      <c r="CD1116" s="61">
        <f t="shared" si="1289"/>
        <v>0</v>
      </c>
      <c r="CE1116" s="61">
        <f t="shared" si="1289"/>
        <v>0</v>
      </c>
      <c r="CF1116" s="61">
        <f t="shared" si="1289"/>
        <v>0</v>
      </c>
      <c r="CG1116" s="61">
        <f t="shared" si="1289"/>
        <v>-4.1116293064540388</v>
      </c>
      <c r="CH1116" s="61">
        <f t="shared" si="1289"/>
        <v>-4.1116293064540388</v>
      </c>
      <c r="CI1116" s="61">
        <f t="shared" si="1247"/>
        <v>-0.41116293064540388</v>
      </c>
      <c r="CJ1116" s="61"/>
      <c r="CK1116" s="61">
        <f t="shared" si="1260"/>
        <v>0</v>
      </c>
      <c r="CL1116" s="61">
        <f t="shared" si="1260"/>
        <v>0</v>
      </c>
      <c r="CM1116" s="61">
        <f t="shared" si="1260"/>
        <v>0</v>
      </c>
      <c r="CN1116" s="61">
        <f t="shared" si="1258"/>
        <v>0</v>
      </c>
      <c r="CO1116" s="61">
        <f t="shared" si="1258"/>
        <v>0</v>
      </c>
      <c r="CP1116" s="61">
        <f t="shared" si="1258"/>
        <v>0</v>
      </c>
      <c r="CQ1116" s="61">
        <f t="shared" si="1258"/>
        <v>-4.2996840680006017</v>
      </c>
      <c r="CR1116" s="61">
        <f t="shared" si="1258"/>
        <v>-4.2996840680006017</v>
      </c>
      <c r="CS1116" s="61">
        <f t="shared" si="1248"/>
        <v>-0.42996840680006021</v>
      </c>
      <c r="CT1116" s="61">
        <f t="shared" si="1252"/>
        <v>-2.8580000000000005</v>
      </c>
      <c r="CV1116" s="61">
        <f t="shared" si="1307"/>
        <v>-985000</v>
      </c>
      <c r="CW1116" s="61">
        <f t="shared" si="1308"/>
        <v>-985000</v>
      </c>
      <c r="CX1116" s="61"/>
      <c r="CY1116" s="61">
        <f t="shared" si="1311"/>
        <v>-78700</v>
      </c>
      <c r="CZ1116" s="61">
        <f t="shared" si="1309"/>
        <v>57490</v>
      </c>
      <c r="DA1116" s="61">
        <f t="shared" si="1310"/>
        <v>0</v>
      </c>
      <c r="DB1116" s="2" t="s">
        <v>85</v>
      </c>
      <c r="DC1116" s="2" t="s">
        <v>102</v>
      </c>
      <c r="DD1116" s="2" t="s">
        <v>142</v>
      </c>
      <c r="DE1116" s="2" t="s">
        <v>257</v>
      </c>
      <c r="DF1116" s="3" t="s">
        <v>86</v>
      </c>
      <c r="DG1116" s="62">
        <v>42929</v>
      </c>
      <c r="EC1116" s="60"/>
      <c r="ED1116" s="60"/>
      <c r="EE1116" s="60"/>
      <c r="EF1116" s="60"/>
    </row>
    <row r="1117" spans="2:140" ht="12.75" hidden="1" customHeight="1">
      <c r="B1117" s="1" t="s">
        <v>1816</v>
      </c>
      <c r="C1117" s="2" t="s">
        <v>1817</v>
      </c>
      <c r="D1117" s="2" t="s">
        <v>1818</v>
      </c>
      <c r="E1117" s="87" t="s">
        <v>338</v>
      </c>
      <c r="F1117" s="2" t="s">
        <v>330</v>
      </c>
      <c r="G1117" s="87" t="s">
        <v>1262</v>
      </c>
      <c r="J1117" s="1" t="s">
        <v>98</v>
      </c>
      <c r="K1117" s="1">
        <v>2780</v>
      </c>
      <c r="L1117" s="1" t="s">
        <v>1821</v>
      </c>
      <c r="M1117" s="90" t="str">
        <f t="shared" si="1263"/>
        <v>JD8C-2780-AA3JU6</v>
      </c>
      <c r="O1117" s="22">
        <v>0</v>
      </c>
      <c r="P1117" s="22">
        <v>0</v>
      </c>
      <c r="Q1117" s="22">
        <v>0</v>
      </c>
      <c r="R1117" s="22">
        <v>0</v>
      </c>
      <c r="S1117" s="22">
        <v>0</v>
      </c>
      <c r="T1117" s="22">
        <v>0</v>
      </c>
      <c r="U1117" s="22">
        <v>1</v>
      </c>
      <c r="V1117" s="22">
        <v>1</v>
      </c>
      <c r="W1117" s="64">
        <f t="shared" si="1277"/>
        <v>0.1</v>
      </c>
      <c r="Y1117" s="63">
        <v>-107.6777093</v>
      </c>
      <c r="Z1117" s="63">
        <v>-1</v>
      </c>
      <c r="AA1117" s="63">
        <v>-1.3</v>
      </c>
      <c r="AB1117" s="63">
        <v>-1.25</v>
      </c>
      <c r="AC1117" s="63">
        <v>-2.62</v>
      </c>
      <c r="AD1117" s="8">
        <f t="shared" ref="AD1117:AD1118" si="1312">SUM(Y1117:AC1117)</f>
        <v>-113.84770930000001</v>
      </c>
      <c r="AE1117" s="2" t="s">
        <v>91</v>
      </c>
      <c r="AG1117" s="67">
        <v>0</v>
      </c>
      <c r="AH1117" s="67">
        <v>0</v>
      </c>
      <c r="AI1117" s="6"/>
      <c r="AJ1117" s="67">
        <v>0</v>
      </c>
      <c r="AK1117" s="67">
        <v>0</v>
      </c>
      <c r="AM1117" s="22"/>
      <c r="AO1117" s="1" t="s">
        <v>1820</v>
      </c>
      <c r="AP1117" s="1">
        <v>2780</v>
      </c>
      <c r="AQ1117" s="1" t="s">
        <v>132</v>
      </c>
      <c r="AR1117" s="90" t="str">
        <f t="shared" si="1291"/>
        <v>ED8C -2780-AB</v>
      </c>
      <c r="AS1117" s="3"/>
      <c r="AT1117" s="89">
        <v>0</v>
      </c>
      <c r="AU1117" s="89">
        <v>0</v>
      </c>
      <c r="AV1117" s="89">
        <v>0</v>
      </c>
      <c r="AW1117" s="89">
        <v>0</v>
      </c>
      <c r="AX1117" s="89">
        <v>0</v>
      </c>
      <c r="AY1117" s="89">
        <v>0</v>
      </c>
      <c r="AZ1117" s="89">
        <v>1</v>
      </c>
      <c r="BA1117" s="89">
        <v>1</v>
      </c>
      <c r="BB1117" s="92">
        <f t="shared" si="1279"/>
        <v>0.1</v>
      </c>
      <c r="BD1117" s="63">
        <f>-107.6777093+25.66+1.67</f>
        <v>-80.347709300000005</v>
      </c>
      <c r="BE1117" s="63">
        <v>-1</v>
      </c>
      <c r="BF1117" s="63">
        <v>-1.3</v>
      </c>
      <c r="BG1117" s="63">
        <v>-2.62</v>
      </c>
      <c r="BH1117" s="63"/>
      <c r="BI1117" s="8">
        <f t="shared" ref="BI1117" si="1313">SUM(BD1117:BH1117)</f>
        <v>-85.267709300000007</v>
      </c>
      <c r="BJ1117" s="2" t="s">
        <v>91</v>
      </c>
      <c r="BL1117" s="67">
        <v>0</v>
      </c>
      <c r="BM1117" s="67">
        <v>0</v>
      </c>
      <c r="BO1117" s="67">
        <v>0</v>
      </c>
      <c r="BP1117" s="67">
        <v>0</v>
      </c>
      <c r="BS1117" s="61">
        <f t="shared" si="1280"/>
        <v>-27.33</v>
      </c>
      <c r="BT1117" s="61">
        <f t="shared" si="1280"/>
        <v>0</v>
      </c>
      <c r="BU1117" s="61">
        <f t="shared" si="1280"/>
        <v>0</v>
      </c>
      <c r="BV1117" s="61">
        <f t="shared" si="1280"/>
        <v>1.37</v>
      </c>
      <c r="BW1117" s="61">
        <f t="shared" si="1280"/>
        <v>-2.62</v>
      </c>
      <c r="BX1117" s="61">
        <f t="shared" si="1280"/>
        <v>-28.58</v>
      </c>
      <c r="BY1117" s="61" t="s">
        <v>91</v>
      </c>
      <c r="CA1117" s="61">
        <f t="shared" si="1289"/>
        <v>0</v>
      </c>
      <c r="CB1117" s="61">
        <f t="shared" si="1289"/>
        <v>0</v>
      </c>
      <c r="CC1117" s="61">
        <f t="shared" si="1289"/>
        <v>0</v>
      </c>
      <c r="CD1117" s="61">
        <f t="shared" si="1289"/>
        <v>0</v>
      </c>
      <c r="CE1117" s="61">
        <f t="shared" si="1289"/>
        <v>0</v>
      </c>
      <c r="CF1117" s="61">
        <f t="shared" si="1289"/>
        <v>0</v>
      </c>
      <c r="CG1117" s="61">
        <f t="shared" si="1289"/>
        <v>-4.1116293064540388</v>
      </c>
      <c r="CH1117" s="61">
        <f t="shared" si="1289"/>
        <v>-4.1116293064540388</v>
      </c>
      <c r="CI1117" s="61">
        <f t="shared" si="1247"/>
        <v>-0.41116293064540388</v>
      </c>
      <c r="CJ1117" s="61"/>
      <c r="CK1117" s="61">
        <f t="shared" si="1260"/>
        <v>0</v>
      </c>
      <c r="CL1117" s="61">
        <f t="shared" si="1260"/>
        <v>0</v>
      </c>
      <c r="CM1117" s="61">
        <f t="shared" si="1260"/>
        <v>0</v>
      </c>
      <c r="CN1117" s="61">
        <f t="shared" si="1258"/>
        <v>0</v>
      </c>
      <c r="CO1117" s="61">
        <f t="shared" si="1258"/>
        <v>0</v>
      </c>
      <c r="CP1117" s="61">
        <f t="shared" si="1258"/>
        <v>0</v>
      </c>
      <c r="CQ1117" s="61">
        <f t="shared" si="1258"/>
        <v>-4.2996840680006017</v>
      </c>
      <c r="CR1117" s="61">
        <f t="shared" si="1258"/>
        <v>-4.2996840680006017</v>
      </c>
      <c r="CS1117" s="61">
        <f t="shared" si="1248"/>
        <v>-0.42996840680006021</v>
      </c>
      <c r="CT1117" s="61">
        <f t="shared" si="1252"/>
        <v>-2.8580000000000005</v>
      </c>
      <c r="CV1117" s="61">
        <f t="shared" ref="CV1117:CV1118" si="1314">SUM(AG1117)-SUM(BL1117)</f>
        <v>0</v>
      </c>
      <c r="CW1117" s="61">
        <f t="shared" si="1308"/>
        <v>0</v>
      </c>
      <c r="CX1117" s="61"/>
      <c r="CY1117" s="61">
        <f t="shared" ref="CY1117:DA1119" si="1315">SUM(AJ1117)-SUM(BO1117)</f>
        <v>0</v>
      </c>
      <c r="CZ1117" s="61">
        <f t="shared" si="1315"/>
        <v>0</v>
      </c>
      <c r="DA1117" s="61">
        <f t="shared" si="1315"/>
        <v>0</v>
      </c>
      <c r="DB1117" s="2" t="s">
        <v>85</v>
      </c>
      <c r="DC1117" s="2" t="s">
        <v>102</v>
      </c>
      <c r="DD1117" s="2" t="s">
        <v>142</v>
      </c>
      <c r="DE1117" s="2" t="s">
        <v>257</v>
      </c>
      <c r="DF1117" s="3" t="s">
        <v>86</v>
      </c>
      <c r="DG1117" s="62">
        <v>42929</v>
      </c>
      <c r="EC1117" s="60"/>
      <c r="ED1117" s="60"/>
      <c r="EE1117" s="60"/>
      <c r="EF1117" s="60"/>
    </row>
    <row r="1118" spans="2:140" ht="12.75" hidden="1" customHeight="1">
      <c r="B1118" s="1" t="s">
        <v>1822</v>
      </c>
      <c r="C1118" s="2" t="s">
        <v>1817</v>
      </c>
      <c r="D1118" s="2" t="s">
        <v>1818</v>
      </c>
      <c r="E1118" s="87" t="s">
        <v>338</v>
      </c>
      <c r="F1118" s="2" t="s">
        <v>330</v>
      </c>
      <c r="G1118" s="87" t="s">
        <v>1262</v>
      </c>
      <c r="J1118" s="1" t="s">
        <v>98</v>
      </c>
      <c r="K1118" s="1">
        <v>2780</v>
      </c>
      <c r="L1118" s="1" t="s">
        <v>1819</v>
      </c>
      <c r="M1118" s="90" t="str">
        <f t="shared" si="1263"/>
        <v>JD8C-2780-AA3JM7</v>
      </c>
      <c r="O1118" s="22">
        <v>0</v>
      </c>
      <c r="P1118" s="22">
        <v>0</v>
      </c>
      <c r="Q1118" s="22">
        <v>0</v>
      </c>
      <c r="R1118" s="22">
        <v>0</v>
      </c>
      <c r="S1118" s="22">
        <v>0</v>
      </c>
      <c r="T1118" s="22">
        <v>0</v>
      </c>
      <c r="U1118" s="22">
        <v>1</v>
      </c>
      <c r="V1118" s="22">
        <v>1</v>
      </c>
      <c r="W1118" s="64">
        <f t="shared" si="1277"/>
        <v>0.1</v>
      </c>
      <c r="Y1118" s="63">
        <v>-107.6777093</v>
      </c>
      <c r="Z1118" s="63">
        <v>-1</v>
      </c>
      <c r="AA1118" s="63">
        <v>-1.3</v>
      </c>
      <c r="AB1118" s="63">
        <v>-1.25</v>
      </c>
      <c r="AC1118" s="63">
        <v>-2.62</v>
      </c>
      <c r="AD1118" s="8">
        <f t="shared" si="1312"/>
        <v>-113.84770930000001</v>
      </c>
      <c r="AE1118" s="2" t="s">
        <v>91</v>
      </c>
      <c r="AG1118" s="67">
        <v>-985000</v>
      </c>
      <c r="AH1118" s="67">
        <f>AG1118</f>
        <v>-985000</v>
      </c>
      <c r="AI1118" s="6"/>
      <c r="AJ1118" s="67">
        <v>-78700</v>
      </c>
      <c r="AK1118" s="67">
        <v>57490</v>
      </c>
      <c r="AM1118" s="22"/>
      <c r="AO1118" s="1" t="s">
        <v>98</v>
      </c>
      <c r="AP1118" s="1">
        <v>2780</v>
      </c>
      <c r="AQ1118" s="1" t="s">
        <v>1819</v>
      </c>
      <c r="AR1118" s="90" t="str">
        <f t="shared" si="1291"/>
        <v>JD8C-2780-AA3JM7</v>
      </c>
      <c r="AS1118" s="3"/>
      <c r="AT1118" s="22">
        <v>0</v>
      </c>
      <c r="AU1118" s="22">
        <v>0</v>
      </c>
      <c r="AV1118" s="22">
        <v>0</v>
      </c>
      <c r="AW1118" s="22">
        <v>0</v>
      </c>
      <c r="AX1118" s="22">
        <v>0</v>
      </c>
      <c r="AY1118" s="22">
        <v>0</v>
      </c>
      <c r="AZ1118" s="22">
        <v>1</v>
      </c>
      <c r="BA1118" s="22">
        <v>1</v>
      </c>
      <c r="BB1118" s="64">
        <f t="shared" si="1279"/>
        <v>0.1</v>
      </c>
      <c r="BD1118" s="63">
        <v>-107.6777093</v>
      </c>
      <c r="BE1118" s="63">
        <v>-1</v>
      </c>
      <c r="BF1118" s="63">
        <v>-1.3</v>
      </c>
      <c r="BG1118" s="63">
        <v>-1.25</v>
      </c>
      <c r="BH1118" s="63">
        <v>-2.62</v>
      </c>
      <c r="BI1118" s="8">
        <f t="shared" ref="BI1118:BI1119" si="1316">SUM(BD1118:BH1118)</f>
        <v>-113.84770930000001</v>
      </c>
      <c r="BJ1118" s="2" t="s">
        <v>91</v>
      </c>
      <c r="BL1118" s="67">
        <v>-985000</v>
      </c>
      <c r="BM1118" s="67">
        <f>BL1118</f>
        <v>-985000</v>
      </c>
      <c r="BN1118" s="6"/>
      <c r="BO1118" s="67">
        <v>-78700</v>
      </c>
      <c r="BP1118" s="67">
        <v>57490</v>
      </c>
      <c r="BS1118" s="61">
        <f t="shared" si="1280"/>
        <v>0</v>
      </c>
      <c r="BT1118" s="61">
        <f t="shared" si="1280"/>
        <v>0</v>
      </c>
      <c r="BU1118" s="61">
        <f t="shared" si="1280"/>
        <v>0</v>
      </c>
      <c r="BV1118" s="61">
        <f t="shared" si="1280"/>
        <v>0</v>
      </c>
      <c r="BW1118" s="61">
        <f t="shared" si="1280"/>
        <v>0</v>
      </c>
      <c r="BX1118" s="61">
        <f t="shared" si="1280"/>
        <v>0</v>
      </c>
      <c r="BY1118" s="61" t="s">
        <v>91</v>
      </c>
      <c r="CA1118" s="61">
        <f t="shared" si="1289"/>
        <v>0</v>
      </c>
      <c r="CB1118" s="61">
        <f t="shared" si="1289"/>
        <v>0</v>
      </c>
      <c r="CC1118" s="61">
        <f t="shared" si="1289"/>
        <v>0</v>
      </c>
      <c r="CD1118" s="61">
        <f t="shared" si="1289"/>
        <v>0</v>
      </c>
      <c r="CE1118" s="61">
        <f t="shared" si="1289"/>
        <v>0</v>
      </c>
      <c r="CF1118" s="61">
        <f t="shared" si="1289"/>
        <v>0</v>
      </c>
      <c r="CG1118" s="61">
        <f t="shared" si="1289"/>
        <v>0</v>
      </c>
      <c r="CH1118" s="61">
        <f t="shared" si="1289"/>
        <v>0</v>
      </c>
      <c r="CI1118" s="61">
        <f t="shared" si="1247"/>
        <v>0</v>
      </c>
      <c r="CJ1118" s="61"/>
      <c r="CK1118" s="61">
        <f t="shared" si="1260"/>
        <v>0</v>
      </c>
      <c r="CL1118" s="61">
        <f t="shared" si="1260"/>
        <v>0</v>
      </c>
      <c r="CM1118" s="61">
        <f t="shared" si="1260"/>
        <v>0</v>
      </c>
      <c r="CN1118" s="61">
        <f t="shared" si="1258"/>
        <v>0</v>
      </c>
      <c r="CO1118" s="61">
        <f t="shared" si="1258"/>
        <v>0</v>
      </c>
      <c r="CP1118" s="61">
        <f t="shared" si="1258"/>
        <v>0</v>
      </c>
      <c r="CQ1118" s="61">
        <f t="shared" si="1258"/>
        <v>0</v>
      </c>
      <c r="CR1118" s="61">
        <f t="shared" si="1258"/>
        <v>0</v>
      </c>
      <c r="CS1118" s="61">
        <f t="shared" si="1248"/>
        <v>0</v>
      </c>
      <c r="CT1118" s="61">
        <f t="shared" si="1252"/>
        <v>0</v>
      </c>
      <c r="CV1118" s="61">
        <f t="shared" si="1314"/>
        <v>0</v>
      </c>
      <c r="CW1118" s="61">
        <f t="shared" si="1308"/>
        <v>0</v>
      </c>
      <c r="CX1118" s="61"/>
      <c r="CY1118" s="61">
        <f t="shared" si="1315"/>
        <v>0</v>
      </c>
      <c r="CZ1118" s="61">
        <f t="shared" si="1315"/>
        <v>0</v>
      </c>
      <c r="DA1118" s="61">
        <f t="shared" si="1315"/>
        <v>0</v>
      </c>
      <c r="DB1118" s="2" t="s">
        <v>102</v>
      </c>
      <c r="DC1118" s="2" t="s">
        <v>85</v>
      </c>
      <c r="DD1118" s="2" t="s">
        <v>142</v>
      </c>
      <c r="DE1118" s="2" t="s">
        <v>106</v>
      </c>
      <c r="DF1118" s="3" t="s">
        <v>86</v>
      </c>
      <c r="DG1118" s="62">
        <v>42779</v>
      </c>
      <c r="EC1118" s="60" t="str">
        <f>VLOOKUP($M1118,[1]Detail!$M:$BO,1,0)</f>
        <v>JD8C-2780-AA3JM7</v>
      </c>
      <c r="ED1118" s="60">
        <f>VLOOKUP($M1118,[1]Detail!$M:$BO,22,0)</f>
        <v>-85.267709300000007</v>
      </c>
      <c r="EE1118" s="60">
        <f>VLOOKUP($M1118,[1]Detail!$M:$BO,42,0)</f>
        <v>-985000</v>
      </c>
      <c r="EF1118" s="60">
        <f>VLOOKUP($M1118,[1]Detail!$M:$BO,45,0)</f>
        <v>-78700</v>
      </c>
      <c r="EH1118" s="60">
        <f t="shared" ref="EH1118:EH1119" si="1317">ED1118-AD1118</f>
        <v>28.58</v>
      </c>
      <c r="EI1118" s="60">
        <f t="shared" ref="EI1118:EI1119" si="1318">EE1118-AG1118</f>
        <v>0</v>
      </c>
      <c r="EJ1118" s="60">
        <f t="shared" ref="EJ1118:EJ1119" si="1319">EF1118-AJ1118</f>
        <v>0</v>
      </c>
    </row>
    <row r="1119" spans="2:140" ht="12.75" hidden="1" customHeight="1">
      <c r="B1119" s="1" t="s">
        <v>1822</v>
      </c>
      <c r="C1119" s="2" t="s">
        <v>1817</v>
      </c>
      <c r="D1119" s="2" t="s">
        <v>1818</v>
      </c>
      <c r="E1119" s="87" t="s">
        <v>338</v>
      </c>
      <c r="F1119" s="2" t="s">
        <v>330</v>
      </c>
      <c r="G1119" s="87" t="s">
        <v>1262</v>
      </c>
      <c r="J1119" s="1" t="s">
        <v>98</v>
      </c>
      <c r="K1119" s="1">
        <v>2780</v>
      </c>
      <c r="L1119" s="1" t="s">
        <v>1821</v>
      </c>
      <c r="M1119" s="90" t="str">
        <f t="shared" si="1263"/>
        <v>JD8C-2780-AA3JU6</v>
      </c>
      <c r="O1119" s="22">
        <v>0</v>
      </c>
      <c r="P1119" s="22">
        <v>0</v>
      </c>
      <c r="Q1119" s="22">
        <v>0</v>
      </c>
      <c r="R1119" s="22">
        <v>0</v>
      </c>
      <c r="S1119" s="22">
        <v>0</v>
      </c>
      <c r="T1119" s="22">
        <v>0</v>
      </c>
      <c r="U1119" s="22">
        <v>1</v>
      </c>
      <c r="V1119" s="22">
        <v>1</v>
      </c>
      <c r="W1119" s="64">
        <f t="shared" si="1277"/>
        <v>0.1</v>
      </c>
      <c r="Y1119" s="63">
        <v>-107.6777093</v>
      </c>
      <c r="Z1119" s="63">
        <v>-1</v>
      </c>
      <c r="AA1119" s="63">
        <v>-1.3</v>
      </c>
      <c r="AB1119" s="63">
        <v>-1.25</v>
      </c>
      <c r="AC1119" s="63">
        <v>-2.62</v>
      </c>
      <c r="AD1119" s="8">
        <f t="shared" ref="AD1119" si="1320">SUM(Y1119:AC1119)</f>
        <v>-113.84770930000001</v>
      </c>
      <c r="AE1119" s="2" t="s">
        <v>91</v>
      </c>
      <c r="AG1119" s="67">
        <v>0</v>
      </c>
      <c r="AH1119" s="67">
        <v>0</v>
      </c>
      <c r="AI1119" s="6"/>
      <c r="AJ1119" s="67">
        <v>0</v>
      </c>
      <c r="AK1119" s="67">
        <v>0</v>
      </c>
      <c r="AM1119" s="22"/>
      <c r="AO1119" s="1" t="s">
        <v>98</v>
      </c>
      <c r="AP1119" s="1">
        <v>2780</v>
      </c>
      <c r="AQ1119" s="1" t="s">
        <v>1821</v>
      </c>
      <c r="AR1119" s="90" t="str">
        <f t="shared" si="1291"/>
        <v>JD8C-2780-AA3JU6</v>
      </c>
      <c r="AS1119" s="3"/>
      <c r="AT1119" s="22">
        <v>0</v>
      </c>
      <c r="AU1119" s="22">
        <v>0</v>
      </c>
      <c r="AV1119" s="22">
        <v>0</v>
      </c>
      <c r="AW1119" s="22">
        <v>0</v>
      </c>
      <c r="AX1119" s="22">
        <v>0</v>
      </c>
      <c r="AY1119" s="22">
        <v>0</v>
      </c>
      <c r="AZ1119" s="22">
        <v>1</v>
      </c>
      <c r="BA1119" s="22">
        <v>1</v>
      </c>
      <c r="BB1119" s="64">
        <f t="shared" si="1279"/>
        <v>0.1</v>
      </c>
      <c r="BD1119" s="63">
        <v>-107.6777093</v>
      </c>
      <c r="BE1119" s="63">
        <v>-1</v>
      </c>
      <c r="BF1119" s="63">
        <v>-1.3</v>
      </c>
      <c r="BG1119" s="63">
        <v>-1.25</v>
      </c>
      <c r="BH1119" s="63">
        <v>-2.62</v>
      </c>
      <c r="BI1119" s="8">
        <f t="shared" si="1316"/>
        <v>-113.84770930000001</v>
      </c>
      <c r="BJ1119" s="2" t="s">
        <v>91</v>
      </c>
      <c r="BL1119" s="67">
        <v>0</v>
      </c>
      <c r="BM1119" s="67">
        <v>0</v>
      </c>
      <c r="BN1119" s="6"/>
      <c r="BO1119" s="67">
        <v>0</v>
      </c>
      <c r="BP1119" s="67">
        <v>0</v>
      </c>
      <c r="BS1119" s="61">
        <f t="shared" si="1280"/>
        <v>0</v>
      </c>
      <c r="BT1119" s="61">
        <f t="shared" si="1280"/>
        <v>0</v>
      </c>
      <c r="BU1119" s="61">
        <f t="shared" si="1280"/>
        <v>0</v>
      </c>
      <c r="BV1119" s="61">
        <f t="shared" si="1280"/>
        <v>0</v>
      </c>
      <c r="BW1119" s="61">
        <f t="shared" si="1280"/>
        <v>0</v>
      </c>
      <c r="BX1119" s="61">
        <f t="shared" si="1280"/>
        <v>0</v>
      </c>
      <c r="BY1119" s="61" t="s">
        <v>91</v>
      </c>
      <c r="CA1119" s="61">
        <f t="shared" si="1289"/>
        <v>0</v>
      </c>
      <c r="CB1119" s="61">
        <f t="shared" si="1289"/>
        <v>0</v>
      </c>
      <c r="CC1119" s="61">
        <f t="shared" si="1289"/>
        <v>0</v>
      </c>
      <c r="CD1119" s="61">
        <f t="shared" si="1289"/>
        <v>0</v>
      </c>
      <c r="CE1119" s="61">
        <f t="shared" si="1289"/>
        <v>0</v>
      </c>
      <c r="CF1119" s="61">
        <f t="shared" si="1289"/>
        <v>0</v>
      </c>
      <c r="CG1119" s="61">
        <f t="shared" si="1289"/>
        <v>0</v>
      </c>
      <c r="CH1119" s="61">
        <f t="shared" si="1289"/>
        <v>0</v>
      </c>
      <c r="CI1119" s="61">
        <f t="shared" si="1247"/>
        <v>0</v>
      </c>
      <c r="CJ1119" s="61"/>
      <c r="CK1119" s="61">
        <f t="shared" si="1260"/>
        <v>0</v>
      </c>
      <c r="CL1119" s="61">
        <f t="shared" si="1260"/>
        <v>0</v>
      </c>
      <c r="CM1119" s="61">
        <f t="shared" si="1260"/>
        <v>0</v>
      </c>
      <c r="CN1119" s="61">
        <f t="shared" si="1258"/>
        <v>0</v>
      </c>
      <c r="CO1119" s="61">
        <f t="shared" si="1258"/>
        <v>0</v>
      </c>
      <c r="CP1119" s="61">
        <f t="shared" si="1258"/>
        <v>0</v>
      </c>
      <c r="CQ1119" s="61">
        <f t="shared" si="1258"/>
        <v>0</v>
      </c>
      <c r="CR1119" s="61">
        <f t="shared" si="1258"/>
        <v>0</v>
      </c>
      <c r="CS1119" s="61">
        <f t="shared" si="1248"/>
        <v>0</v>
      </c>
      <c r="CT1119" s="61">
        <f t="shared" si="1252"/>
        <v>0</v>
      </c>
      <c r="CV1119" s="61">
        <f t="shared" ref="CV1119" si="1321">SUM(AG1119)-SUM(BL1119)</f>
        <v>0</v>
      </c>
      <c r="CW1119" s="61">
        <f t="shared" si="1308"/>
        <v>0</v>
      </c>
      <c r="CX1119" s="61"/>
      <c r="CY1119" s="61">
        <f t="shared" si="1315"/>
        <v>0</v>
      </c>
      <c r="CZ1119" s="61">
        <f t="shared" si="1315"/>
        <v>0</v>
      </c>
      <c r="DA1119" s="61">
        <f t="shared" si="1315"/>
        <v>0</v>
      </c>
      <c r="DB1119" s="2" t="s">
        <v>102</v>
      </c>
      <c r="DC1119" s="2" t="s">
        <v>85</v>
      </c>
      <c r="DD1119" s="2" t="s">
        <v>142</v>
      </c>
      <c r="DE1119" s="2" t="s">
        <v>106</v>
      </c>
      <c r="DF1119" s="3" t="s">
        <v>86</v>
      </c>
      <c r="DG1119" s="62">
        <v>42779</v>
      </c>
      <c r="EC1119" s="60" t="str">
        <f>VLOOKUP($M1119,[1]Detail!$M:$BO,1,0)</f>
        <v>JD8C-2780-AA3JU6</v>
      </c>
      <c r="ED1119" s="60">
        <f>VLOOKUP($M1119,[1]Detail!$M:$BO,22,0)</f>
        <v>-85.267709300000007</v>
      </c>
      <c r="EE1119" s="60">
        <f>VLOOKUP($M1119,[1]Detail!$M:$BO,42,0)</f>
        <v>0</v>
      </c>
      <c r="EF1119" s="60">
        <f>VLOOKUP($M1119,[1]Detail!$M:$BO,45,0)</f>
        <v>0</v>
      </c>
      <c r="EH1119" s="60">
        <f t="shared" si="1317"/>
        <v>28.58</v>
      </c>
      <c r="EI1119" s="60">
        <f t="shared" si="1318"/>
        <v>0</v>
      </c>
      <c r="EJ1119" s="60">
        <f t="shared" si="1319"/>
        <v>0</v>
      </c>
    </row>
    <row r="1120" spans="2:140" ht="12.75" hidden="1" customHeight="1">
      <c r="B1120" s="23" t="s">
        <v>1823</v>
      </c>
      <c r="C1120" s="2" t="s">
        <v>1824</v>
      </c>
      <c r="D1120" s="86" t="s">
        <v>1825</v>
      </c>
      <c r="E1120" s="87" t="s">
        <v>338</v>
      </c>
      <c r="F1120" s="2" t="s">
        <v>330</v>
      </c>
      <c r="G1120" s="87" t="s">
        <v>1262</v>
      </c>
      <c r="J1120" s="1" t="s">
        <v>98</v>
      </c>
      <c r="K1120" s="1">
        <v>5310</v>
      </c>
      <c r="L1120" s="1" t="s">
        <v>100</v>
      </c>
      <c r="M1120" s="90" t="str">
        <f t="shared" si="1263"/>
        <v>JD8C-5310-AA</v>
      </c>
      <c r="O1120" s="89">
        <v>2</v>
      </c>
      <c r="P1120" s="89">
        <v>0</v>
      </c>
      <c r="Q1120" s="89">
        <v>2</v>
      </c>
      <c r="R1120" s="89">
        <v>0</v>
      </c>
      <c r="S1120" s="89">
        <v>2</v>
      </c>
      <c r="T1120" s="89">
        <v>0</v>
      </c>
      <c r="U1120" s="89">
        <v>0</v>
      </c>
      <c r="V1120" s="89">
        <v>0</v>
      </c>
      <c r="W1120" s="64">
        <f t="shared" si="1277"/>
        <v>0.74</v>
      </c>
      <c r="Y1120" s="63">
        <v>-37.43</v>
      </c>
      <c r="Z1120" s="63">
        <v>-1.86</v>
      </c>
      <c r="AA1120" s="63">
        <v>-3.47</v>
      </c>
      <c r="AB1120" s="63">
        <v>-0.18</v>
      </c>
      <c r="AC1120" s="63">
        <v>0</v>
      </c>
      <c r="AD1120" s="8">
        <f t="shared" si="1276"/>
        <v>-42.94</v>
      </c>
      <c r="AE1120" s="2" t="s">
        <v>91</v>
      </c>
      <c r="AG1120" s="70">
        <v>0</v>
      </c>
      <c r="AH1120" s="70">
        <v>0</v>
      </c>
      <c r="AI1120" s="70"/>
      <c r="AJ1120" s="70">
        <v>0</v>
      </c>
      <c r="AK1120" s="70">
        <v>0</v>
      </c>
      <c r="AM1120" s="22"/>
      <c r="AO1120" s="1" t="s">
        <v>1820</v>
      </c>
      <c r="AP1120" s="1">
        <v>5310</v>
      </c>
      <c r="AQ1120" s="1" t="s">
        <v>151</v>
      </c>
      <c r="AR1120" s="90" t="str">
        <f t="shared" si="1291"/>
        <v>ED8C -5310-AG</v>
      </c>
      <c r="AS1120" s="87"/>
      <c r="AT1120" s="89">
        <v>2</v>
      </c>
      <c r="AU1120" s="89">
        <v>0</v>
      </c>
      <c r="AV1120" s="89">
        <v>2</v>
      </c>
      <c r="AW1120" s="89">
        <v>0</v>
      </c>
      <c r="AX1120" s="89">
        <v>2</v>
      </c>
      <c r="AY1120" s="89">
        <v>0</v>
      </c>
      <c r="AZ1120" s="89">
        <v>0</v>
      </c>
      <c r="BA1120" s="89">
        <v>0</v>
      </c>
      <c r="BB1120" s="92">
        <f t="shared" si="1279"/>
        <v>0.74</v>
      </c>
      <c r="BD1120" s="63">
        <v>-42.94</v>
      </c>
      <c r="BE1120" s="63">
        <v>-1.86</v>
      </c>
      <c r="BF1120" s="63">
        <v>-3.47</v>
      </c>
      <c r="BG1120" s="63">
        <v>-0.18</v>
      </c>
      <c r="BH1120" s="63">
        <v>0</v>
      </c>
      <c r="BI1120" s="63">
        <f t="shared" si="1306"/>
        <v>-48.449999999999996</v>
      </c>
      <c r="BJ1120" s="2" t="s">
        <v>91</v>
      </c>
      <c r="BL1120" s="70">
        <v>0</v>
      </c>
      <c r="BM1120" s="70">
        <v>0</v>
      </c>
      <c r="BN1120" s="70"/>
      <c r="BO1120" s="70">
        <v>0</v>
      </c>
      <c r="BP1120" s="70">
        <v>0</v>
      </c>
      <c r="BS1120" s="61">
        <f t="shared" si="1280"/>
        <v>5.509999999999998</v>
      </c>
      <c r="BT1120" s="61">
        <f t="shared" si="1280"/>
        <v>0</v>
      </c>
      <c r="BU1120" s="61">
        <f t="shared" si="1280"/>
        <v>0</v>
      </c>
      <c r="BV1120" s="61">
        <f t="shared" si="1280"/>
        <v>0</v>
      </c>
      <c r="BW1120" s="61">
        <f t="shared" si="1280"/>
        <v>0</v>
      </c>
      <c r="BX1120" s="61">
        <f t="shared" si="1280"/>
        <v>5.509999999999998</v>
      </c>
      <c r="BY1120" s="61" t="s">
        <v>91</v>
      </c>
      <c r="CA1120" s="61">
        <f t="shared" si="1289"/>
        <v>1.6578907777944931</v>
      </c>
      <c r="CB1120" s="61">
        <f t="shared" si="1289"/>
        <v>0</v>
      </c>
      <c r="CC1120" s="61">
        <f t="shared" si="1289"/>
        <v>1.6578907777944931</v>
      </c>
      <c r="CD1120" s="61">
        <f t="shared" si="1289"/>
        <v>0</v>
      </c>
      <c r="CE1120" s="61">
        <f t="shared" si="1289"/>
        <v>1.6578907777944931</v>
      </c>
      <c r="CF1120" s="61">
        <f t="shared" si="1289"/>
        <v>0</v>
      </c>
      <c r="CG1120" s="61">
        <f t="shared" si="1289"/>
        <v>0</v>
      </c>
      <c r="CH1120" s="61">
        <f t="shared" si="1289"/>
        <v>0</v>
      </c>
      <c r="CI1120" s="61">
        <f t="shared" si="1247"/>
        <v>0.61341958778396255</v>
      </c>
      <c r="CJ1120" s="61"/>
      <c r="CK1120" s="61">
        <f t="shared" si="1260"/>
        <v>1.6578907777944931</v>
      </c>
      <c r="CL1120" s="61">
        <f t="shared" si="1260"/>
        <v>0</v>
      </c>
      <c r="CM1120" s="61">
        <f t="shared" si="1260"/>
        <v>1.6578907777944931</v>
      </c>
      <c r="CN1120" s="61">
        <f t="shared" si="1258"/>
        <v>0</v>
      </c>
      <c r="CO1120" s="61">
        <f t="shared" si="1258"/>
        <v>1.6578907777944931</v>
      </c>
      <c r="CP1120" s="61">
        <f t="shared" si="1258"/>
        <v>0</v>
      </c>
      <c r="CQ1120" s="61">
        <f t="shared" si="1258"/>
        <v>0</v>
      </c>
      <c r="CR1120" s="61">
        <f t="shared" si="1258"/>
        <v>0</v>
      </c>
      <c r="CS1120" s="61">
        <f t="shared" si="1248"/>
        <v>0.61341958778396255</v>
      </c>
      <c r="CT1120" s="61">
        <f t="shared" si="1252"/>
        <v>4.077399999999999</v>
      </c>
      <c r="CV1120" s="61">
        <f t="shared" si="1307"/>
        <v>0</v>
      </c>
      <c r="CW1120" s="61">
        <f t="shared" si="1308"/>
        <v>0</v>
      </c>
      <c r="CX1120" s="61"/>
      <c r="CY1120" s="61">
        <f t="shared" si="1311"/>
        <v>0</v>
      </c>
      <c r="CZ1120" s="61">
        <f t="shared" si="1309"/>
        <v>0</v>
      </c>
      <c r="DA1120" s="61">
        <f t="shared" si="1310"/>
        <v>0</v>
      </c>
      <c r="DB1120" s="2" t="s">
        <v>134</v>
      </c>
      <c r="DC1120" s="2" t="s">
        <v>102</v>
      </c>
      <c r="DD1120" s="2" t="s">
        <v>142</v>
      </c>
      <c r="DE1120" s="2" t="s">
        <v>257</v>
      </c>
      <c r="DF1120" s="3" t="s">
        <v>86</v>
      </c>
      <c r="DG1120" s="62">
        <v>42915</v>
      </c>
      <c r="EC1120" s="60"/>
      <c r="ED1120" s="60"/>
      <c r="EE1120" s="60"/>
      <c r="EF1120" s="60"/>
      <c r="EH1120" s="60"/>
      <c r="EI1120" s="60"/>
      <c r="EJ1120" s="60"/>
    </row>
    <row r="1121" spans="2:140" ht="12.75" hidden="1" customHeight="1">
      <c r="B1121" s="122" t="s">
        <v>1826</v>
      </c>
      <c r="C1121" s="2" t="s">
        <v>1824</v>
      </c>
      <c r="D1121" s="86" t="s">
        <v>1825</v>
      </c>
      <c r="E1121" s="87" t="s">
        <v>338</v>
      </c>
      <c r="F1121" s="2" t="s">
        <v>330</v>
      </c>
      <c r="G1121" s="87" t="s">
        <v>1262</v>
      </c>
      <c r="J1121" s="1" t="s">
        <v>98</v>
      </c>
      <c r="K1121" s="1">
        <v>5310</v>
      </c>
      <c r="L1121" s="1" t="s">
        <v>111</v>
      </c>
      <c r="M1121" s="90" t="str">
        <f t="shared" si="1263"/>
        <v>JD8C-5310-BA</v>
      </c>
      <c r="O1121" s="89">
        <v>0</v>
      </c>
      <c r="P1121" s="89">
        <v>2</v>
      </c>
      <c r="Q1121" s="89">
        <v>0</v>
      </c>
      <c r="R1121" s="89">
        <v>2</v>
      </c>
      <c r="S1121" s="89">
        <v>0</v>
      </c>
      <c r="T1121" s="89">
        <v>0</v>
      </c>
      <c r="U1121" s="89">
        <v>0</v>
      </c>
      <c r="V1121" s="89">
        <v>0</v>
      </c>
      <c r="W1121" s="64">
        <f t="shared" si="1277"/>
        <v>0.78</v>
      </c>
      <c r="Y1121" s="63">
        <v>-39.31</v>
      </c>
      <c r="Z1121" s="63">
        <v>-1.86</v>
      </c>
      <c r="AA1121" s="63">
        <v>-3.63</v>
      </c>
      <c r="AB1121" s="63">
        <v>-0.18</v>
      </c>
      <c r="AC1121" s="63">
        <v>0</v>
      </c>
      <c r="AD1121" s="8">
        <f t="shared" si="1276"/>
        <v>-44.980000000000004</v>
      </c>
      <c r="AE1121" s="2" t="s">
        <v>91</v>
      </c>
      <c r="AG1121" s="70">
        <v>0</v>
      </c>
      <c r="AH1121" s="70">
        <v>0</v>
      </c>
      <c r="AI1121" s="70"/>
      <c r="AJ1121" s="70">
        <v>0</v>
      </c>
      <c r="AK1121" s="70">
        <v>0</v>
      </c>
      <c r="AM1121" s="22"/>
      <c r="AO1121" s="1" t="s">
        <v>1820</v>
      </c>
      <c r="AP1121" s="1">
        <v>5310</v>
      </c>
      <c r="AQ1121" s="1" t="s">
        <v>1272</v>
      </c>
      <c r="AR1121" s="90" t="str">
        <f t="shared" si="1291"/>
        <v>ED8C -5310-BF</v>
      </c>
      <c r="AS1121" s="3"/>
      <c r="AT1121" s="89">
        <v>0</v>
      </c>
      <c r="AU1121" s="89">
        <v>2</v>
      </c>
      <c r="AV1121" s="89">
        <v>0</v>
      </c>
      <c r="AW1121" s="89">
        <v>2</v>
      </c>
      <c r="AX1121" s="89">
        <v>0</v>
      </c>
      <c r="AY1121" s="89">
        <v>0</v>
      </c>
      <c r="AZ1121" s="89">
        <v>0</v>
      </c>
      <c r="BA1121" s="89">
        <v>0</v>
      </c>
      <c r="BB1121" s="92">
        <f t="shared" si="1279"/>
        <v>0.78</v>
      </c>
      <c r="BD1121" s="63">
        <v>-39.31</v>
      </c>
      <c r="BE1121" s="63">
        <v>-1.86</v>
      </c>
      <c r="BF1121" s="63">
        <v>-3.63</v>
      </c>
      <c r="BG1121" s="63">
        <v>-0.18</v>
      </c>
      <c r="BH1121" s="63">
        <v>0</v>
      </c>
      <c r="BI1121" s="63">
        <f t="shared" si="1306"/>
        <v>-44.980000000000004</v>
      </c>
      <c r="BJ1121" s="2" t="s">
        <v>91</v>
      </c>
      <c r="BL1121" s="70">
        <v>0</v>
      </c>
      <c r="BM1121" s="70">
        <v>0</v>
      </c>
      <c r="BN1121" s="70"/>
      <c r="BO1121" s="70">
        <v>0</v>
      </c>
      <c r="BP1121" s="70">
        <v>0</v>
      </c>
      <c r="BS1121" s="61">
        <f t="shared" si="1280"/>
        <v>0</v>
      </c>
      <c r="BT1121" s="61">
        <f t="shared" si="1280"/>
        <v>0</v>
      </c>
      <c r="BU1121" s="61">
        <f t="shared" si="1280"/>
        <v>0</v>
      </c>
      <c r="BV1121" s="61">
        <f t="shared" si="1280"/>
        <v>0</v>
      </c>
      <c r="BW1121" s="61">
        <f t="shared" si="1280"/>
        <v>0</v>
      </c>
      <c r="BX1121" s="61">
        <f t="shared" si="1280"/>
        <v>0</v>
      </c>
      <c r="BY1121" s="61" t="s">
        <v>91</v>
      </c>
      <c r="CA1121" s="61">
        <f t="shared" si="1289"/>
        <v>0</v>
      </c>
      <c r="CB1121" s="61">
        <f t="shared" si="1289"/>
        <v>0</v>
      </c>
      <c r="CC1121" s="61">
        <f t="shared" si="1289"/>
        <v>0</v>
      </c>
      <c r="CD1121" s="61">
        <f t="shared" si="1289"/>
        <v>0</v>
      </c>
      <c r="CE1121" s="61">
        <f t="shared" si="1289"/>
        <v>0</v>
      </c>
      <c r="CF1121" s="61">
        <f t="shared" si="1289"/>
        <v>0</v>
      </c>
      <c r="CG1121" s="61">
        <f t="shared" si="1289"/>
        <v>0</v>
      </c>
      <c r="CH1121" s="61">
        <f t="shared" si="1289"/>
        <v>0</v>
      </c>
      <c r="CI1121" s="61">
        <f t="shared" si="1247"/>
        <v>0</v>
      </c>
      <c r="CJ1121" s="61"/>
      <c r="CK1121" s="61">
        <f t="shared" si="1260"/>
        <v>0</v>
      </c>
      <c r="CL1121" s="61">
        <f t="shared" si="1260"/>
        <v>0</v>
      </c>
      <c r="CM1121" s="61">
        <f t="shared" si="1260"/>
        <v>0</v>
      </c>
      <c r="CN1121" s="61">
        <f t="shared" si="1258"/>
        <v>0</v>
      </c>
      <c r="CO1121" s="61">
        <f t="shared" si="1258"/>
        <v>0</v>
      </c>
      <c r="CP1121" s="61">
        <f t="shared" si="1258"/>
        <v>0</v>
      </c>
      <c r="CQ1121" s="61">
        <f t="shared" si="1258"/>
        <v>0</v>
      </c>
      <c r="CR1121" s="61">
        <f t="shared" si="1258"/>
        <v>0</v>
      </c>
      <c r="CS1121" s="61">
        <f t="shared" si="1248"/>
        <v>0</v>
      </c>
      <c r="CT1121" s="61">
        <f t="shared" si="1252"/>
        <v>0</v>
      </c>
      <c r="CV1121" s="61">
        <f t="shared" si="1307"/>
        <v>0</v>
      </c>
      <c r="CW1121" s="61">
        <f t="shared" si="1308"/>
        <v>0</v>
      </c>
      <c r="CX1121" s="61"/>
      <c r="CY1121" s="61">
        <f t="shared" si="1311"/>
        <v>0</v>
      </c>
      <c r="CZ1121" s="61">
        <f t="shared" si="1309"/>
        <v>0</v>
      </c>
      <c r="DA1121" s="61">
        <f t="shared" si="1310"/>
        <v>0</v>
      </c>
      <c r="DB1121" s="2" t="s">
        <v>134</v>
      </c>
      <c r="DC1121" s="2" t="s">
        <v>102</v>
      </c>
      <c r="DD1121" s="2" t="s">
        <v>142</v>
      </c>
      <c r="DE1121" s="2" t="s">
        <v>257</v>
      </c>
      <c r="DF1121" s="3" t="s">
        <v>86</v>
      </c>
      <c r="DG1121" s="62">
        <v>42915</v>
      </c>
      <c r="EC1121" s="60"/>
      <c r="ED1121" s="60"/>
      <c r="EE1121" s="60"/>
      <c r="EF1121" s="60"/>
      <c r="EH1121" s="60"/>
      <c r="EI1121" s="60"/>
      <c r="EJ1121" s="60"/>
    </row>
    <row r="1122" spans="2:140" ht="12.75" hidden="1" customHeight="1">
      <c r="B1122" s="122" t="s">
        <v>1826</v>
      </c>
      <c r="C1122" s="2" t="s">
        <v>1824</v>
      </c>
      <c r="D1122" s="86" t="s">
        <v>1825</v>
      </c>
      <c r="E1122" s="87" t="s">
        <v>338</v>
      </c>
      <c r="F1122" s="2" t="s">
        <v>330</v>
      </c>
      <c r="G1122" s="87" t="s">
        <v>1262</v>
      </c>
      <c r="J1122" s="1" t="s">
        <v>98</v>
      </c>
      <c r="K1122" s="1">
        <v>5310</v>
      </c>
      <c r="L1122" s="1" t="s">
        <v>113</v>
      </c>
      <c r="M1122" s="90" t="str">
        <f t="shared" si="1263"/>
        <v>JD8C-5310-CA</v>
      </c>
      <c r="O1122" s="89">
        <v>0</v>
      </c>
      <c r="P1122" s="89">
        <v>0</v>
      </c>
      <c r="Q1122" s="89">
        <v>0</v>
      </c>
      <c r="R1122" s="89">
        <v>0</v>
      </c>
      <c r="S1122" s="89">
        <v>0</v>
      </c>
      <c r="T1122" s="89">
        <v>2</v>
      </c>
      <c r="U1122" s="89">
        <v>2</v>
      </c>
      <c r="V1122" s="89">
        <v>2</v>
      </c>
      <c r="W1122" s="64">
        <f t="shared" si="1277"/>
        <v>0.48</v>
      </c>
      <c r="Y1122" s="63">
        <f>-39.31-0.4</f>
        <v>-39.71</v>
      </c>
      <c r="Z1122" s="63">
        <v>-1.86</v>
      </c>
      <c r="AA1122" s="63">
        <v>-3.63</v>
      </c>
      <c r="AB1122" s="63">
        <v>-0.18</v>
      </c>
      <c r="AC1122" s="63">
        <v>0</v>
      </c>
      <c r="AD1122" s="8">
        <f t="shared" si="1276"/>
        <v>-45.38</v>
      </c>
      <c r="AE1122" s="2" t="s">
        <v>91</v>
      </c>
      <c r="AG1122" s="70">
        <v>0</v>
      </c>
      <c r="AH1122" s="70">
        <v>0</v>
      </c>
      <c r="AI1122" s="70"/>
      <c r="AJ1122" s="70">
        <v>0</v>
      </c>
      <c r="AK1122" s="70">
        <v>0</v>
      </c>
      <c r="AM1122" s="22"/>
      <c r="AO1122" s="1" t="s">
        <v>1820</v>
      </c>
      <c r="AP1122" s="1">
        <v>5310</v>
      </c>
      <c r="AQ1122" s="1" t="s">
        <v>1272</v>
      </c>
      <c r="AR1122" s="90" t="str">
        <f t="shared" si="1291"/>
        <v>ED8C -5310-BF</v>
      </c>
      <c r="AS1122" s="87"/>
      <c r="AT1122" s="89">
        <v>0</v>
      </c>
      <c r="AU1122" s="89">
        <v>0</v>
      </c>
      <c r="AV1122" s="89">
        <v>0</v>
      </c>
      <c r="AW1122" s="89">
        <v>0</v>
      </c>
      <c r="AX1122" s="89">
        <v>0</v>
      </c>
      <c r="AY1122" s="89">
        <v>2</v>
      </c>
      <c r="AZ1122" s="89">
        <v>2</v>
      </c>
      <c r="BA1122" s="89">
        <v>2</v>
      </c>
      <c r="BB1122" s="92">
        <f t="shared" si="1279"/>
        <v>0.48</v>
      </c>
      <c r="BD1122" s="63">
        <f>-39.71+0.4</f>
        <v>-39.31</v>
      </c>
      <c r="BE1122" s="63">
        <v>-1.86</v>
      </c>
      <c r="BF1122" s="63">
        <v>-3.63</v>
      </c>
      <c r="BG1122" s="63">
        <v>-0.18</v>
      </c>
      <c r="BH1122" s="63">
        <v>0</v>
      </c>
      <c r="BI1122" s="63">
        <f t="shared" si="1306"/>
        <v>-44.980000000000004</v>
      </c>
      <c r="BJ1122" s="2" t="s">
        <v>91</v>
      </c>
      <c r="BL1122" s="70">
        <v>0</v>
      </c>
      <c r="BM1122" s="70">
        <v>0</v>
      </c>
      <c r="BN1122" s="70"/>
      <c r="BO1122" s="70">
        <v>0</v>
      </c>
      <c r="BP1122" s="70">
        <v>0</v>
      </c>
      <c r="BS1122" s="61">
        <f t="shared" si="1280"/>
        <v>-0.39999999999999858</v>
      </c>
      <c r="BT1122" s="61">
        <f t="shared" si="1280"/>
        <v>0</v>
      </c>
      <c r="BU1122" s="61">
        <f t="shared" si="1280"/>
        <v>0</v>
      </c>
      <c r="BV1122" s="61">
        <f t="shared" si="1280"/>
        <v>0</v>
      </c>
      <c r="BW1122" s="61">
        <f t="shared" si="1280"/>
        <v>0</v>
      </c>
      <c r="BX1122" s="61">
        <f t="shared" si="1280"/>
        <v>-0.39999999999999858</v>
      </c>
      <c r="BY1122" s="61" t="s">
        <v>91</v>
      </c>
      <c r="CA1122" s="61">
        <f t="shared" si="1289"/>
        <v>0</v>
      </c>
      <c r="CB1122" s="61">
        <f t="shared" si="1289"/>
        <v>0</v>
      </c>
      <c r="CC1122" s="61">
        <f t="shared" si="1289"/>
        <v>0</v>
      </c>
      <c r="CD1122" s="61">
        <f t="shared" si="1289"/>
        <v>0</v>
      </c>
      <c r="CE1122" s="61">
        <f t="shared" si="1289"/>
        <v>0</v>
      </c>
      <c r="CF1122" s="61">
        <f t="shared" si="1289"/>
        <v>-0.12035504738979948</v>
      </c>
      <c r="CG1122" s="61">
        <f t="shared" si="1289"/>
        <v>-0.12035504738979948</v>
      </c>
      <c r="CH1122" s="61">
        <f t="shared" si="1289"/>
        <v>-0.12035504738979948</v>
      </c>
      <c r="CI1122" s="61">
        <f t="shared" si="1247"/>
        <v>-2.8885211373551878E-2</v>
      </c>
      <c r="CJ1122" s="61"/>
      <c r="CK1122" s="61">
        <f t="shared" si="1260"/>
        <v>0</v>
      </c>
      <c r="CL1122" s="61">
        <f t="shared" si="1260"/>
        <v>0</v>
      </c>
      <c r="CM1122" s="61">
        <f t="shared" si="1260"/>
        <v>0</v>
      </c>
      <c r="CN1122" s="61">
        <f t="shared" si="1258"/>
        <v>0</v>
      </c>
      <c r="CO1122" s="61">
        <f t="shared" si="1258"/>
        <v>0</v>
      </c>
      <c r="CP1122" s="61">
        <f t="shared" si="1258"/>
        <v>-0.12035504738979948</v>
      </c>
      <c r="CQ1122" s="61">
        <f t="shared" si="1258"/>
        <v>-0.12035504738979948</v>
      </c>
      <c r="CR1122" s="61">
        <f t="shared" si="1258"/>
        <v>-0.12035504738979948</v>
      </c>
      <c r="CS1122" s="61">
        <f t="shared" si="1248"/>
        <v>-2.8885211373551878E-2</v>
      </c>
      <c r="CT1122" s="61">
        <f t="shared" si="1252"/>
        <v>-0.19199999999999934</v>
      </c>
      <c r="CV1122" s="61">
        <f t="shared" si="1307"/>
        <v>0</v>
      </c>
      <c r="CW1122" s="61">
        <f t="shared" si="1308"/>
        <v>0</v>
      </c>
      <c r="CX1122" s="61"/>
      <c r="CY1122" s="61">
        <f t="shared" si="1311"/>
        <v>0</v>
      </c>
      <c r="CZ1122" s="61">
        <f t="shared" si="1309"/>
        <v>0</v>
      </c>
      <c r="DA1122" s="61">
        <f t="shared" si="1310"/>
        <v>0</v>
      </c>
      <c r="DB1122" s="2" t="s">
        <v>134</v>
      </c>
      <c r="DC1122" s="2" t="s">
        <v>102</v>
      </c>
      <c r="DD1122" s="2" t="s">
        <v>142</v>
      </c>
      <c r="DE1122" s="2" t="s">
        <v>257</v>
      </c>
      <c r="DF1122" s="3" t="s">
        <v>86</v>
      </c>
      <c r="DG1122" s="62">
        <v>42915</v>
      </c>
      <c r="EC1122" s="60"/>
      <c r="ED1122" s="60"/>
      <c r="EE1122" s="60"/>
      <c r="EF1122" s="60"/>
      <c r="EH1122" s="60"/>
      <c r="EI1122" s="60"/>
      <c r="EJ1122" s="60"/>
    </row>
    <row r="1123" spans="2:140" ht="12.75" hidden="1" customHeight="1">
      <c r="B1123" s="122" t="s">
        <v>1826</v>
      </c>
      <c r="C1123" s="2" t="s">
        <v>1824</v>
      </c>
      <c r="D1123" s="86" t="s">
        <v>1825</v>
      </c>
      <c r="E1123" s="87" t="s">
        <v>338</v>
      </c>
      <c r="F1123" s="2" t="s">
        <v>330</v>
      </c>
      <c r="G1123" s="87" t="s">
        <v>1262</v>
      </c>
      <c r="J1123" s="1" t="s">
        <v>98</v>
      </c>
      <c r="K1123" s="1">
        <v>5560</v>
      </c>
      <c r="L1123" s="1" t="s">
        <v>111</v>
      </c>
      <c r="M1123" s="90" t="str">
        <f t="shared" si="1263"/>
        <v>JD8C-5560-BA</v>
      </c>
      <c r="O1123" s="89">
        <v>2</v>
      </c>
      <c r="P1123" s="89">
        <v>2</v>
      </c>
      <c r="Q1123" s="89">
        <v>0</v>
      </c>
      <c r="R1123" s="89">
        <v>0</v>
      </c>
      <c r="S1123" s="89">
        <v>0</v>
      </c>
      <c r="T1123" s="89">
        <v>0</v>
      </c>
      <c r="U1123" s="89">
        <v>0</v>
      </c>
      <c r="V1123" s="89">
        <v>0</v>
      </c>
      <c r="W1123" s="64">
        <f t="shared" si="1277"/>
        <v>0.60000000000000009</v>
      </c>
      <c r="Y1123" s="63">
        <v>-37.19</v>
      </c>
      <c r="Z1123" s="63">
        <v>-1.86</v>
      </c>
      <c r="AA1123" s="63">
        <v>-3.31</v>
      </c>
      <c r="AB1123" s="63">
        <v>-0.17</v>
      </c>
      <c r="AC1123" s="63">
        <v>0</v>
      </c>
      <c r="AD1123" s="8">
        <f t="shared" si="1276"/>
        <v>-42.53</v>
      </c>
      <c r="AE1123" s="2" t="s">
        <v>91</v>
      </c>
      <c r="AG1123" s="70">
        <v>0</v>
      </c>
      <c r="AH1123" s="70">
        <v>0</v>
      </c>
      <c r="AI1123" s="70"/>
      <c r="AJ1123" s="70">
        <v>0</v>
      </c>
      <c r="AK1123" s="70">
        <v>0</v>
      </c>
      <c r="AM1123" s="22"/>
      <c r="AO1123" s="1" t="s">
        <v>1820</v>
      </c>
      <c r="AP1123" s="1">
        <v>5560</v>
      </c>
      <c r="AQ1123" s="1" t="s">
        <v>132</v>
      </c>
      <c r="AR1123" s="90" t="str">
        <f t="shared" si="1291"/>
        <v>ED8C -5560-AB</v>
      </c>
      <c r="AS1123" s="3"/>
      <c r="AT1123" s="89">
        <v>2</v>
      </c>
      <c r="AU1123" s="89">
        <v>2</v>
      </c>
      <c r="AV1123" s="89">
        <v>0</v>
      </c>
      <c r="AW1123" s="89">
        <v>0</v>
      </c>
      <c r="AX1123" s="89">
        <v>0</v>
      </c>
      <c r="AY1123" s="89">
        <v>0</v>
      </c>
      <c r="AZ1123" s="89">
        <v>0</v>
      </c>
      <c r="BA1123" s="89">
        <v>0</v>
      </c>
      <c r="BB1123" s="92">
        <f t="shared" si="1279"/>
        <v>0.60000000000000009</v>
      </c>
      <c r="BD1123" s="63">
        <v>-37.19</v>
      </c>
      <c r="BE1123" s="63">
        <v>-1.86</v>
      </c>
      <c r="BF1123" s="63">
        <v>-3.31</v>
      </c>
      <c r="BG1123" s="63">
        <v>-0.17</v>
      </c>
      <c r="BH1123" s="63">
        <v>0</v>
      </c>
      <c r="BI1123" s="8">
        <f t="shared" si="1306"/>
        <v>-42.53</v>
      </c>
      <c r="BJ1123" s="2" t="s">
        <v>91</v>
      </c>
      <c r="BL1123" s="70">
        <v>0</v>
      </c>
      <c r="BM1123" s="70">
        <v>0</v>
      </c>
      <c r="BN1123" s="70"/>
      <c r="BO1123" s="70">
        <v>0</v>
      </c>
      <c r="BP1123" s="70">
        <v>0</v>
      </c>
      <c r="BS1123" s="61">
        <f t="shared" si="1280"/>
        <v>0</v>
      </c>
      <c r="BT1123" s="61">
        <f t="shared" si="1280"/>
        <v>0</v>
      </c>
      <c r="BU1123" s="61">
        <f t="shared" si="1280"/>
        <v>0</v>
      </c>
      <c r="BV1123" s="61">
        <f t="shared" si="1280"/>
        <v>0</v>
      </c>
      <c r="BW1123" s="61">
        <f t="shared" si="1280"/>
        <v>0</v>
      </c>
      <c r="BX1123" s="61">
        <f t="shared" si="1280"/>
        <v>0</v>
      </c>
      <c r="BY1123" s="61" t="s">
        <v>91</v>
      </c>
      <c r="CA1123" s="61">
        <f t="shared" si="1289"/>
        <v>0</v>
      </c>
      <c r="CB1123" s="61">
        <f t="shared" si="1289"/>
        <v>0</v>
      </c>
      <c r="CC1123" s="61">
        <f t="shared" si="1289"/>
        <v>0</v>
      </c>
      <c r="CD1123" s="61">
        <f t="shared" si="1289"/>
        <v>0</v>
      </c>
      <c r="CE1123" s="61">
        <f t="shared" si="1289"/>
        <v>0</v>
      </c>
      <c r="CF1123" s="61">
        <f t="shared" si="1289"/>
        <v>0</v>
      </c>
      <c r="CG1123" s="61">
        <f t="shared" si="1289"/>
        <v>0</v>
      </c>
      <c r="CH1123" s="61">
        <f t="shared" si="1289"/>
        <v>0</v>
      </c>
      <c r="CI1123" s="61">
        <f t="shared" si="1247"/>
        <v>0</v>
      </c>
      <c r="CJ1123" s="61"/>
      <c r="CK1123" s="61">
        <f t="shared" si="1260"/>
        <v>0</v>
      </c>
      <c r="CL1123" s="61">
        <f t="shared" si="1260"/>
        <v>0</v>
      </c>
      <c r="CM1123" s="61">
        <f t="shared" si="1260"/>
        <v>0</v>
      </c>
      <c r="CN1123" s="61">
        <f t="shared" si="1258"/>
        <v>0</v>
      </c>
      <c r="CO1123" s="61">
        <f t="shared" si="1258"/>
        <v>0</v>
      </c>
      <c r="CP1123" s="61">
        <f t="shared" si="1258"/>
        <v>0</v>
      </c>
      <c r="CQ1123" s="61">
        <f t="shared" si="1258"/>
        <v>0</v>
      </c>
      <c r="CR1123" s="61">
        <f t="shared" si="1258"/>
        <v>0</v>
      </c>
      <c r="CS1123" s="61">
        <f t="shared" si="1248"/>
        <v>0</v>
      </c>
      <c r="CT1123" s="61">
        <f t="shared" si="1252"/>
        <v>0</v>
      </c>
      <c r="CV1123" s="61">
        <f t="shared" si="1307"/>
        <v>0</v>
      </c>
      <c r="CW1123" s="61">
        <f t="shared" si="1308"/>
        <v>0</v>
      </c>
      <c r="CX1123" s="61"/>
      <c r="CY1123" s="61">
        <f t="shared" si="1311"/>
        <v>0</v>
      </c>
      <c r="CZ1123" s="61">
        <f t="shared" si="1309"/>
        <v>0</v>
      </c>
      <c r="DA1123" s="61">
        <f t="shared" si="1310"/>
        <v>0</v>
      </c>
      <c r="DB1123" s="2" t="s">
        <v>134</v>
      </c>
      <c r="DC1123" s="2" t="s">
        <v>102</v>
      </c>
      <c r="DD1123" s="2" t="s">
        <v>142</v>
      </c>
      <c r="DE1123" s="2" t="s">
        <v>257</v>
      </c>
      <c r="DF1123" s="3" t="s">
        <v>86</v>
      </c>
      <c r="DG1123" s="62">
        <v>42915</v>
      </c>
      <c r="EC1123" s="60"/>
      <c r="ED1123" s="60"/>
      <c r="EE1123" s="60"/>
      <c r="EF1123" s="60"/>
      <c r="EH1123" s="60"/>
      <c r="EI1123" s="60"/>
      <c r="EJ1123" s="60"/>
    </row>
    <row r="1124" spans="2:140" ht="12.75" hidden="1" customHeight="1">
      <c r="B1124" s="122" t="s">
        <v>1826</v>
      </c>
      <c r="C1124" s="2" t="s">
        <v>1824</v>
      </c>
      <c r="D1124" s="86" t="s">
        <v>1825</v>
      </c>
      <c r="E1124" s="87" t="s">
        <v>338</v>
      </c>
      <c r="F1124" s="2" t="s">
        <v>330</v>
      </c>
      <c r="G1124" s="87" t="s">
        <v>1262</v>
      </c>
      <c r="J1124" s="1" t="s">
        <v>98</v>
      </c>
      <c r="K1124" s="1">
        <v>5560</v>
      </c>
      <c r="L1124" s="1" t="s">
        <v>100</v>
      </c>
      <c r="M1124" s="90" t="str">
        <f t="shared" si="1263"/>
        <v>JD8C-5560-AA</v>
      </c>
      <c r="O1124" s="89">
        <v>0</v>
      </c>
      <c r="P1124" s="89">
        <v>0</v>
      </c>
      <c r="Q1124" s="89">
        <v>2</v>
      </c>
      <c r="R1124" s="89">
        <v>2</v>
      </c>
      <c r="S1124" s="89">
        <v>2</v>
      </c>
      <c r="T1124" s="89">
        <v>2</v>
      </c>
      <c r="U1124" s="89">
        <v>2</v>
      </c>
      <c r="V1124" s="89">
        <v>2</v>
      </c>
      <c r="W1124" s="64">
        <f t="shared" si="1277"/>
        <v>1.4000000000000001</v>
      </c>
      <c r="Y1124" s="63">
        <f>-37.19-0.87</f>
        <v>-38.059999999999995</v>
      </c>
      <c r="Z1124" s="63">
        <v>-1.86</v>
      </c>
      <c r="AA1124" s="63">
        <v>-3.31</v>
      </c>
      <c r="AB1124" s="63">
        <v>-0.17</v>
      </c>
      <c r="AC1124" s="63">
        <v>0</v>
      </c>
      <c r="AD1124" s="8">
        <f t="shared" si="1276"/>
        <v>-43.4</v>
      </c>
      <c r="AE1124" s="2" t="s">
        <v>91</v>
      </c>
      <c r="AG1124" s="70">
        <v>0</v>
      </c>
      <c r="AH1124" s="70">
        <v>0</v>
      </c>
      <c r="AI1124" s="70"/>
      <c r="AJ1124" s="70">
        <v>0</v>
      </c>
      <c r="AK1124" s="70">
        <v>0</v>
      </c>
      <c r="AM1124" s="22"/>
      <c r="AO1124" s="1" t="s">
        <v>1820</v>
      </c>
      <c r="AP1124" s="1">
        <v>5560</v>
      </c>
      <c r="AQ1124" s="1" t="s">
        <v>132</v>
      </c>
      <c r="AR1124" s="90" t="str">
        <f t="shared" si="1291"/>
        <v>ED8C -5560-AB</v>
      </c>
      <c r="AS1124" s="87"/>
      <c r="AT1124" s="89">
        <v>0</v>
      </c>
      <c r="AU1124" s="89">
        <v>0</v>
      </c>
      <c r="AV1124" s="89">
        <v>2</v>
      </c>
      <c r="AW1124" s="89">
        <v>2</v>
      </c>
      <c r="AX1124" s="89">
        <v>2</v>
      </c>
      <c r="AY1124" s="89">
        <v>2</v>
      </c>
      <c r="AZ1124" s="89">
        <v>2</v>
      </c>
      <c r="BA1124" s="89">
        <v>2</v>
      </c>
      <c r="BB1124" s="92">
        <f t="shared" si="1279"/>
        <v>1.4000000000000001</v>
      </c>
      <c r="BD1124" s="63">
        <f>-38.06+0.87</f>
        <v>-37.190000000000005</v>
      </c>
      <c r="BE1124" s="63">
        <v>-1.86</v>
      </c>
      <c r="BF1124" s="63">
        <v>-3.31</v>
      </c>
      <c r="BG1124" s="63">
        <v>-0.17</v>
      </c>
      <c r="BH1124" s="63">
        <v>0</v>
      </c>
      <c r="BI1124" s="8">
        <f t="shared" si="1306"/>
        <v>-42.530000000000008</v>
      </c>
      <c r="BJ1124" s="2" t="s">
        <v>91</v>
      </c>
      <c r="BL1124" s="70">
        <v>0</v>
      </c>
      <c r="BM1124" s="70">
        <v>0</v>
      </c>
      <c r="BN1124" s="70"/>
      <c r="BO1124" s="70">
        <v>0</v>
      </c>
      <c r="BP1124" s="70">
        <v>0</v>
      </c>
      <c r="BS1124" s="61">
        <f t="shared" si="1280"/>
        <v>-0.86999999999999034</v>
      </c>
      <c r="BT1124" s="61">
        <f t="shared" si="1280"/>
        <v>0</v>
      </c>
      <c r="BU1124" s="61">
        <f t="shared" si="1280"/>
        <v>0</v>
      </c>
      <c r="BV1124" s="61">
        <f t="shared" si="1280"/>
        <v>0</v>
      </c>
      <c r="BW1124" s="61">
        <f t="shared" si="1280"/>
        <v>0</v>
      </c>
      <c r="BX1124" s="61">
        <f t="shared" si="1280"/>
        <v>-0.86999999999999034</v>
      </c>
      <c r="BY1124" s="61" t="s">
        <v>91</v>
      </c>
      <c r="CA1124" s="61">
        <f t="shared" si="1289"/>
        <v>0</v>
      </c>
      <c r="CB1124" s="61">
        <f t="shared" si="1289"/>
        <v>0</v>
      </c>
      <c r="CC1124" s="61">
        <f t="shared" si="1289"/>
        <v>-0.26177222807281186</v>
      </c>
      <c r="CD1124" s="61">
        <f t="shared" si="1289"/>
        <v>-0.26177222807281186</v>
      </c>
      <c r="CE1124" s="61">
        <f t="shared" si="1289"/>
        <v>-0.26177222807281186</v>
      </c>
      <c r="CF1124" s="61">
        <f t="shared" si="1289"/>
        <v>-0.26177222807281186</v>
      </c>
      <c r="CG1124" s="61">
        <f t="shared" si="1289"/>
        <v>-0.26177222807281186</v>
      </c>
      <c r="CH1124" s="61">
        <f t="shared" si="1289"/>
        <v>-0.26177222807281186</v>
      </c>
      <c r="CI1124" s="61">
        <f t="shared" si="1247"/>
        <v>-0.1832405596509683</v>
      </c>
      <c r="CJ1124" s="61"/>
      <c r="CK1124" s="61">
        <f t="shared" si="1260"/>
        <v>0</v>
      </c>
      <c r="CL1124" s="61">
        <f t="shared" si="1260"/>
        <v>0</v>
      </c>
      <c r="CM1124" s="61">
        <f t="shared" si="1260"/>
        <v>-0.26177222807281186</v>
      </c>
      <c r="CN1124" s="61">
        <f t="shared" si="1258"/>
        <v>-0.26177222807281186</v>
      </c>
      <c r="CO1124" s="61">
        <f t="shared" si="1258"/>
        <v>-0.26177222807281186</v>
      </c>
      <c r="CP1124" s="61">
        <f t="shared" si="1258"/>
        <v>-0.26177222807281186</v>
      </c>
      <c r="CQ1124" s="61">
        <f t="shared" si="1258"/>
        <v>-0.26177222807281186</v>
      </c>
      <c r="CR1124" s="61">
        <f t="shared" si="1258"/>
        <v>-0.26177222807281186</v>
      </c>
      <c r="CS1124" s="61">
        <f t="shared" si="1248"/>
        <v>-0.1832405596509683</v>
      </c>
      <c r="CT1124" s="61">
        <f t="shared" si="1252"/>
        <v>-1.2179999999999864</v>
      </c>
      <c r="CV1124" s="61">
        <f t="shared" si="1307"/>
        <v>0</v>
      </c>
      <c r="CW1124" s="61">
        <f t="shared" si="1308"/>
        <v>0</v>
      </c>
      <c r="CX1124" s="61"/>
      <c r="CY1124" s="61">
        <f t="shared" si="1311"/>
        <v>0</v>
      </c>
      <c r="CZ1124" s="61">
        <f t="shared" si="1309"/>
        <v>0</v>
      </c>
      <c r="DA1124" s="61">
        <f t="shared" si="1310"/>
        <v>0</v>
      </c>
      <c r="DB1124" s="2" t="s">
        <v>134</v>
      </c>
      <c r="DC1124" s="2" t="s">
        <v>102</v>
      </c>
      <c r="DD1124" s="2" t="s">
        <v>142</v>
      </c>
      <c r="DE1124" s="2" t="s">
        <v>257</v>
      </c>
      <c r="DF1124" s="3" t="s">
        <v>86</v>
      </c>
      <c r="DG1124" s="62">
        <v>42915</v>
      </c>
      <c r="EC1124" s="60"/>
      <c r="ED1124" s="60"/>
      <c r="EE1124" s="60"/>
      <c r="EF1124" s="60"/>
      <c r="EH1124" s="60"/>
      <c r="EI1124" s="60"/>
      <c r="EJ1124" s="60"/>
    </row>
    <row r="1125" spans="2:140" ht="12.75" hidden="1" customHeight="1">
      <c r="B1125" s="23" t="s">
        <v>1793</v>
      </c>
      <c r="C1125" s="2" t="s">
        <v>1824</v>
      </c>
      <c r="D1125" s="86" t="s">
        <v>1825</v>
      </c>
      <c r="E1125" s="87" t="s">
        <v>338</v>
      </c>
      <c r="F1125" s="2" t="s">
        <v>330</v>
      </c>
      <c r="G1125" s="87" t="s">
        <v>1262</v>
      </c>
      <c r="J1125" s="1" t="s">
        <v>98</v>
      </c>
      <c r="K1125" s="1">
        <v>5310</v>
      </c>
      <c r="L1125" s="1" t="s">
        <v>100</v>
      </c>
      <c r="M1125" s="90" t="str">
        <f t="shared" si="1263"/>
        <v>JD8C-5310-AA</v>
      </c>
      <c r="O1125" s="89">
        <v>2</v>
      </c>
      <c r="P1125" s="89">
        <v>0</v>
      </c>
      <c r="Q1125" s="89">
        <v>2</v>
      </c>
      <c r="R1125" s="89">
        <v>0</v>
      </c>
      <c r="S1125" s="89">
        <v>2</v>
      </c>
      <c r="T1125" s="89">
        <v>0</v>
      </c>
      <c r="U1125" s="89">
        <v>0</v>
      </c>
      <c r="V1125" s="89">
        <v>0</v>
      </c>
      <c r="W1125" s="64">
        <f t="shared" si="1277"/>
        <v>0.74</v>
      </c>
      <c r="Y1125" s="63">
        <f>-37.43+2.15</f>
        <v>-35.28</v>
      </c>
      <c r="Z1125" s="63">
        <v>-1.86</v>
      </c>
      <c r="AA1125" s="63">
        <v>-3.47</v>
      </c>
      <c r="AB1125" s="63">
        <v>-0.18</v>
      </c>
      <c r="AC1125" s="63">
        <v>0</v>
      </c>
      <c r="AD1125" s="8">
        <f t="shared" ref="AD1125:AD1135" si="1322">SUM(Y1125:AC1125)</f>
        <v>-40.79</v>
      </c>
      <c r="AE1125" s="2" t="s">
        <v>91</v>
      </c>
      <c r="AG1125" s="70">
        <v>0</v>
      </c>
      <c r="AH1125" s="70">
        <v>0</v>
      </c>
      <c r="AI1125" s="70"/>
      <c r="AJ1125" s="70">
        <v>0</v>
      </c>
      <c r="AK1125" s="70">
        <v>0</v>
      </c>
      <c r="AM1125" s="22" t="s">
        <v>1827</v>
      </c>
      <c r="AO1125" s="1" t="s">
        <v>98</v>
      </c>
      <c r="AP1125" s="1">
        <v>5310</v>
      </c>
      <c r="AQ1125" s="1" t="s">
        <v>100</v>
      </c>
      <c r="AR1125" s="90" t="str">
        <f t="shared" si="1291"/>
        <v>JD8C-5310-AA</v>
      </c>
      <c r="AS1125" s="3"/>
      <c r="AT1125" s="89">
        <v>2</v>
      </c>
      <c r="AU1125" s="89">
        <v>0</v>
      </c>
      <c r="AV1125" s="89">
        <v>2</v>
      </c>
      <c r="AW1125" s="89">
        <v>0</v>
      </c>
      <c r="AX1125" s="89">
        <v>2</v>
      </c>
      <c r="AY1125" s="89">
        <v>0</v>
      </c>
      <c r="AZ1125" s="89">
        <v>0</v>
      </c>
      <c r="BA1125" s="89">
        <v>0</v>
      </c>
      <c r="BB1125" s="64">
        <f t="shared" si="1279"/>
        <v>0.74</v>
      </c>
      <c r="BD1125" s="63">
        <v>-37.43</v>
      </c>
      <c r="BE1125" s="63">
        <v>-1.86</v>
      </c>
      <c r="BF1125" s="63">
        <v>-3.47</v>
      </c>
      <c r="BG1125" s="63">
        <v>-0.18</v>
      </c>
      <c r="BH1125" s="63">
        <v>0</v>
      </c>
      <c r="BI1125" s="8">
        <f t="shared" si="1306"/>
        <v>-42.94</v>
      </c>
      <c r="BJ1125" s="2" t="s">
        <v>91</v>
      </c>
      <c r="BL1125" s="70">
        <v>0</v>
      </c>
      <c r="BM1125" s="70">
        <v>0</v>
      </c>
      <c r="BN1125" s="70"/>
      <c r="BO1125" s="70">
        <v>0</v>
      </c>
      <c r="BP1125" s="70">
        <v>0</v>
      </c>
      <c r="BS1125" s="61">
        <f t="shared" si="1280"/>
        <v>2.1499999999999986</v>
      </c>
      <c r="BT1125" s="61">
        <f t="shared" si="1280"/>
        <v>0</v>
      </c>
      <c r="BU1125" s="61">
        <f t="shared" si="1280"/>
        <v>0</v>
      </c>
      <c r="BV1125" s="61">
        <f t="shared" si="1280"/>
        <v>0</v>
      </c>
      <c r="BW1125" s="61">
        <f t="shared" si="1280"/>
        <v>0</v>
      </c>
      <c r="BX1125" s="61">
        <f t="shared" si="1280"/>
        <v>2.1499999999999986</v>
      </c>
      <c r="BY1125" s="61" t="s">
        <v>91</v>
      </c>
      <c r="CA1125" s="61">
        <f t="shared" si="1289"/>
        <v>0.64690837972017401</v>
      </c>
      <c r="CB1125" s="61">
        <f t="shared" si="1289"/>
        <v>0</v>
      </c>
      <c r="CC1125" s="61">
        <f t="shared" si="1289"/>
        <v>0.64690837972017401</v>
      </c>
      <c r="CD1125" s="61">
        <f t="shared" si="1289"/>
        <v>0</v>
      </c>
      <c r="CE1125" s="61">
        <f t="shared" si="1289"/>
        <v>0.64690837972017401</v>
      </c>
      <c r="CF1125" s="61">
        <f t="shared" si="1289"/>
        <v>0</v>
      </c>
      <c r="CG1125" s="61">
        <f t="shared" si="1289"/>
        <v>0</v>
      </c>
      <c r="CH1125" s="61">
        <f t="shared" si="1289"/>
        <v>0</v>
      </c>
      <c r="CI1125" s="61">
        <f t="shared" si="1247"/>
        <v>0.23935610049646439</v>
      </c>
      <c r="CJ1125" s="61"/>
      <c r="CK1125" s="61">
        <f t="shared" si="1260"/>
        <v>0.64690837972017401</v>
      </c>
      <c r="CL1125" s="61">
        <f t="shared" si="1260"/>
        <v>0</v>
      </c>
      <c r="CM1125" s="61">
        <f t="shared" si="1260"/>
        <v>0.64690837972017401</v>
      </c>
      <c r="CN1125" s="61">
        <f t="shared" si="1258"/>
        <v>0</v>
      </c>
      <c r="CO1125" s="61">
        <f t="shared" si="1258"/>
        <v>0.64690837972017401</v>
      </c>
      <c r="CP1125" s="61">
        <f t="shared" si="1258"/>
        <v>0</v>
      </c>
      <c r="CQ1125" s="61">
        <f t="shared" si="1258"/>
        <v>0</v>
      </c>
      <c r="CR1125" s="61">
        <f t="shared" si="1258"/>
        <v>0</v>
      </c>
      <c r="CS1125" s="61">
        <f t="shared" si="1248"/>
        <v>0.23935610049646439</v>
      </c>
      <c r="CT1125" s="61">
        <f t="shared" si="1252"/>
        <v>1.5909999999999989</v>
      </c>
      <c r="CV1125" s="61">
        <f t="shared" si="1307"/>
        <v>0</v>
      </c>
      <c r="CW1125" s="61">
        <f t="shared" si="1308"/>
        <v>0</v>
      </c>
      <c r="CX1125" s="61"/>
      <c r="CY1125" s="61">
        <f t="shared" ref="CY1125:DA1133" si="1323">SUM(AJ1125)-SUM(BO1125)</f>
        <v>0</v>
      </c>
      <c r="CZ1125" s="61">
        <f t="shared" si="1323"/>
        <v>0</v>
      </c>
      <c r="DA1125" s="61">
        <f t="shared" si="1323"/>
        <v>0</v>
      </c>
      <c r="DB1125" s="2" t="s">
        <v>85</v>
      </c>
      <c r="DC1125" s="2" t="s">
        <v>85</v>
      </c>
      <c r="DD1125" s="2" t="s">
        <v>142</v>
      </c>
      <c r="DE1125" s="2" t="s">
        <v>257</v>
      </c>
      <c r="DG1125" s="62"/>
      <c r="EC1125" s="60"/>
      <c r="ED1125" s="60"/>
      <c r="EE1125" s="60"/>
      <c r="EF1125" s="60"/>
    </row>
    <row r="1126" spans="2:140" ht="12.75" hidden="1" customHeight="1">
      <c r="B1126" s="23" t="s">
        <v>1793</v>
      </c>
      <c r="C1126" s="2" t="s">
        <v>1824</v>
      </c>
      <c r="D1126" s="86" t="s">
        <v>1825</v>
      </c>
      <c r="E1126" s="87" t="s">
        <v>338</v>
      </c>
      <c r="F1126" s="2" t="s">
        <v>330</v>
      </c>
      <c r="G1126" s="87" t="s">
        <v>1262</v>
      </c>
      <c r="J1126" s="1" t="s">
        <v>98</v>
      </c>
      <c r="K1126" s="1">
        <v>5310</v>
      </c>
      <c r="L1126" s="1" t="s">
        <v>111</v>
      </c>
      <c r="M1126" s="90" t="str">
        <f t="shared" si="1263"/>
        <v>JD8C-5310-BA</v>
      </c>
      <c r="O1126" s="89">
        <v>0</v>
      </c>
      <c r="P1126" s="89">
        <v>2</v>
      </c>
      <c r="Q1126" s="89">
        <v>0</v>
      </c>
      <c r="R1126" s="89">
        <v>2</v>
      </c>
      <c r="S1126" s="89">
        <v>0</v>
      </c>
      <c r="T1126" s="89">
        <v>0</v>
      </c>
      <c r="U1126" s="89">
        <v>0</v>
      </c>
      <c r="V1126" s="89">
        <v>0</v>
      </c>
      <c r="W1126" s="64">
        <f t="shared" si="1277"/>
        <v>0.78</v>
      </c>
      <c r="Y1126" s="63">
        <f>-39.31+2.25</f>
        <v>-37.06</v>
      </c>
      <c r="Z1126" s="63">
        <v>-1.86</v>
      </c>
      <c r="AA1126" s="63">
        <v>-3.63</v>
      </c>
      <c r="AB1126" s="63">
        <v>-0.18</v>
      </c>
      <c r="AC1126" s="63">
        <v>0</v>
      </c>
      <c r="AD1126" s="8">
        <f t="shared" si="1322"/>
        <v>-42.730000000000004</v>
      </c>
      <c r="AE1126" s="2" t="s">
        <v>91</v>
      </c>
      <c r="AG1126" s="70">
        <v>0</v>
      </c>
      <c r="AH1126" s="70">
        <v>0</v>
      </c>
      <c r="AI1126" s="70"/>
      <c r="AJ1126" s="70">
        <v>0</v>
      </c>
      <c r="AK1126" s="70">
        <v>0</v>
      </c>
      <c r="AM1126" s="22" t="s">
        <v>1827</v>
      </c>
      <c r="AO1126" s="1" t="s">
        <v>98</v>
      </c>
      <c r="AP1126" s="1">
        <v>5310</v>
      </c>
      <c r="AQ1126" s="1" t="s">
        <v>111</v>
      </c>
      <c r="AR1126" s="90" t="str">
        <f t="shared" si="1291"/>
        <v>JD8C-5310-BA</v>
      </c>
      <c r="AS1126" s="3"/>
      <c r="AT1126" s="89">
        <v>0</v>
      </c>
      <c r="AU1126" s="89">
        <v>2</v>
      </c>
      <c r="AV1126" s="89">
        <v>0</v>
      </c>
      <c r="AW1126" s="89">
        <v>2</v>
      </c>
      <c r="AX1126" s="89">
        <v>0</v>
      </c>
      <c r="AY1126" s="89">
        <v>0</v>
      </c>
      <c r="AZ1126" s="89">
        <v>0</v>
      </c>
      <c r="BA1126" s="89">
        <v>0</v>
      </c>
      <c r="BB1126" s="64">
        <f t="shared" si="1279"/>
        <v>0.78</v>
      </c>
      <c r="BD1126" s="63">
        <v>-39.31</v>
      </c>
      <c r="BE1126" s="63">
        <v>-1.86</v>
      </c>
      <c r="BF1126" s="63">
        <v>-3.63</v>
      </c>
      <c r="BG1126" s="63">
        <v>-0.18</v>
      </c>
      <c r="BH1126" s="63">
        <v>0</v>
      </c>
      <c r="BI1126" s="8">
        <f t="shared" si="1306"/>
        <v>-44.980000000000004</v>
      </c>
      <c r="BJ1126" s="2" t="s">
        <v>91</v>
      </c>
      <c r="BL1126" s="70">
        <v>0</v>
      </c>
      <c r="BM1126" s="70">
        <v>0</v>
      </c>
      <c r="BN1126" s="70"/>
      <c r="BO1126" s="70">
        <v>0</v>
      </c>
      <c r="BP1126" s="70">
        <v>0</v>
      </c>
      <c r="BS1126" s="61">
        <f t="shared" si="1280"/>
        <v>2.25</v>
      </c>
      <c r="BT1126" s="61">
        <f t="shared" si="1280"/>
        <v>0</v>
      </c>
      <c r="BU1126" s="61">
        <f t="shared" si="1280"/>
        <v>0</v>
      </c>
      <c r="BV1126" s="61">
        <f t="shared" si="1280"/>
        <v>0</v>
      </c>
      <c r="BW1126" s="61">
        <f t="shared" si="1280"/>
        <v>0</v>
      </c>
      <c r="BX1126" s="61">
        <f t="shared" si="1280"/>
        <v>2.25</v>
      </c>
      <c r="BY1126" s="61" t="s">
        <v>91</v>
      </c>
      <c r="CA1126" s="61">
        <f t="shared" si="1289"/>
        <v>0</v>
      </c>
      <c r="CB1126" s="61">
        <f t="shared" si="1289"/>
        <v>0.67699714156762447</v>
      </c>
      <c r="CC1126" s="61">
        <f t="shared" si="1289"/>
        <v>0</v>
      </c>
      <c r="CD1126" s="61">
        <f t="shared" si="1289"/>
        <v>0.67699714156762447</v>
      </c>
      <c r="CE1126" s="61">
        <f t="shared" si="1289"/>
        <v>0</v>
      </c>
      <c r="CF1126" s="61">
        <f t="shared" si="1289"/>
        <v>0</v>
      </c>
      <c r="CG1126" s="61">
        <f t="shared" si="1289"/>
        <v>0</v>
      </c>
      <c r="CH1126" s="61">
        <f t="shared" si="1289"/>
        <v>0</v>
      </c>
      <c r="CI1126" s="61">
        <f t="shared" si="1247"/>
        <v>0.26402888521137358</v>
      </c>
      <c r="CJ1126" s="61"/>
      <c r="CK1126" s="61">
        <f t="shared" si="1260"/>
        <v>0</v>
      </c>
      <c r="CL1126" s="61">
        <f t="shared" si="1260"/>
        <v>0.67699714156762447</v>
      </c>
      <c r="CM1126" s="61">
        <f t="shared" si="1260"/>
        <v>0</v>
      </c>
      <c r="CN1126" s="61">
        <f t="shared" si="1258"/>
        <v>0.67699714156762447</v>
      </c>
      <c r="CO1126" s="61">
        <f t="shared" si="1258"/>
        <v>0</v>
      </c>
      <c r="CP1126" s="61">
        <f t="shared" si="1258"/>
        <v>0</v>
      </c>
      <c r="CQ1126" s="61">
        <f t="shared" si="1258"/>
        <v>0</v>
      </c>
      <c r="CR1126" s="61">
        <f t="shared" si="1258"/>
        <v>0</v>
      </c>
      <c r="CS1126" s="61">
        <f t="shared" si="1248"/>
        <v>0.26402888521137358</v>
      </c>
      <c r="CT1126" s="61">
        <f t="shared" si="1252"/>
        <v>1.7550000000000001</v>
      </c>
      <c r="CV1126" s="61">
        <f t="shared" si="1307"/>
        <v>0</v>
      </c>
      <c r="CW1126" s="61">
        <f t="shared" si="1308"/>
        <v>0</v>
      </c>
      <c r="CX1126" s="61"/>
      <c r="CY1126" s="61">
        <f t="shared" si="1323"/>
        <v>0</v>
      </c>
      <c r="CZ1126" s="61">
        <f t="shared" si="1323"/>
        <v>0</v>
      </c>
      <c r="DA1126" s="61">
        <f t="shared" si="1323"/>
        <v>0</v>
      </c>
      <c r="DB1126" s="2" t="s">
        <v>85</v>
      </c>
      <c r="DC1126" s="2" t="s">
        <v>85</v>
      </c>
      <c r="DD1126" s="2" t="s">
        <v>142</v>
      </c>
      <c r="DE1126" s="2" t="s">
        <v>257</v>
      </c>
      <c r="DG1126" s="62"/>
      <c r="EC1126" s="60"/>
      <c r="ED1126" s="60"/>
      <c r="EE1126" s="60"/>
      <c r="EF1126" s="60"/>
    </row>
    <row r="1127" spans="2:140" ht="12.75" hidden="1" customHeight="1">
      <c r="B1127" s="23" t="s">
        <v>1793</v>
      </c>
      <c r="C1127" s="2" t="s">
        <v>1824</v>
      </c>
      <c r="D1127" s="86" t="s">
        <v>1825</v>
      </c>
      <c r="E1127" s="87" t="s">
        <v>338</v>
      </c>
      <c r="F1127" s="2" t="s">
        <v>330</v>
      </c>
      <c r="G1127" s="87" t="s">
        <v>1262</v>
      </c>
      <c r="J1127" s="1" t="s">
        <v>98</v>
      </c>
      <c r="K1127" s="1">
        <v>5310</v>
      </c>
      <c r="L1127" s="1" t="s">
        <v>113</v>
      </c>
      <c r="M1127" s="90" t="str">
        <f t="shared" si="1263"/>
        <v>JD8C-5310-CA</v>
      </c>
      <c r="O1127" s="89">
        <v>0</v>
      </c>
      <c r="P1127" s="89">
        <v>0</v>
      </c>
      <c r="Q1127" s="89">
        <v>0</v>
      </c>
      <c r="R1127" s="89">
        <v>0</v>
      </c>
      <c r="S1127" s="89">
        <v>0</v>
      </c>
      <c r="T1127" s="89">
        <v>2</v>
      </c>
      <c r="U1127" s="89">
        <v>2</v>
      </c>
      <c r="V1127" s="89">
        <v>2</v>
      </c>
      <c r="W1127" s="64">
        <f t="shared" si="1277"/>
        <v>0.48</v>
      </c>
      <c r="Y1127" s="63">
        <f>-39.31-0.4+2.25</f>
        <v>-37.46</v>
      </c>
      <c r="Z1127" s="63">
        <v>-1.86</v>
      </c>
      <c r="AA1127" s="63">
        <v>-3.63</v>
      </c>
      <c r="AB1127" s="63">
        <v>-0.18</v>
      </c>
      <c r="AC1127" s="63">
        <v>0</v>
      </c>
      <c r="AD1127" s="8">
        <f t="shared" si="1322"/>
        <v>-43.13</v>
      </c>
      <c r="AE1127" s="2" t="s">
        <v>91</v>
      </c>
      <c r="AG1127" s="70">
        <v>0</v>
      </c>
      <c r="AH1127" s="70">
        <v>0</v>
      </c>
      <c r="AI1127" s="70"/>
      <c r="AJ1127" s="70">
        <v>0</v>
      </c>
      <c r="AK1127" s="70">
        <v>0</v>
      </c>
      <c r="AM1127" s="22" t="s">
        <v>1827</v>
      </c>
      <c r="AO1127" s="1" t="s">
        <v>98</v>
      </c>
      <c r="AP1127" s="1">
        <v>5310</v>
      </c>
      <c r="AQ1127" s="1" t="s">
        <v>113</v>
      </c>
      <c r="AR1127" s="90" t="str">
        <f t="shared" si="1291"/>
        <v>JD8C-5310-CA</v>
      </c>
      <c r="AS1127" s="3"/>
      <c r="AT1127" s="89">
        <v>0</v>
      </c>
      <c r="AU1127" s="89">
        <v>0</v>
      </c>
      <c r="AV1127" s="89">
        <v>0</v>
      </c>
      <c r="AW1127" s="89">
        <v>0</v>
      </c>
      <c r="AX1127" s="89">
        <v>0</v>
      </c>
      <c r="AY1127" s="89">
        <v>2</v>
      </c>
      <c r="AZ1127" s="89">
        <v>2</v>
      </c>
      <c r="BA1127" s="89">
        <v>2</v>
      </c>
      <c r="BB1127" s="64">
        <f t="shared" si="1279"/>
        <v>0.48</v>
      </c>
      <c r="BD1127" s="63">
        <f>-39.31-0.4</f>
        <v>-39.71</v>
      </c>
      <c r="BE1127" s="63">
        <v>-1.86</v>
      </c>
      <c r="BF1127" s="63">
        <v>-3.63</v>
      </c>
      <c r="BG1127" s="63">
        <v>-0.18</v>
      </c>
      <c r="BH1127" s="63">
        <v>0</v>
      </c>
      <c r="BI1127" s="8">
        <f t="shared" si="1306"/>
        <v>-45.38</v>
      </c>
      <c r="BJ1127" s="2" t="s">
        <v>91</v>
      </c>
      <c r="BL1127" s="70">
        <v>0</v>
      </c>
      <c r="BM1127" s="70">
        <v>0</v>
      </c>
      <c r="BN1127" s="70"/>
      <c r="BO1127" s="70">
        <v>0</v>
      </c>
      <c r="BP1127" s="70">
        <v>0</v>
      </c>
      <c r="BS1127" s="61">
        <f t="shared" si="1280"/>
        <v>2.25</v>
      </c>
      <c r="BT1127" s="61">
        <f t="shared" si="1280"/>
        <v>0</v>
      </c>
      <c r="BU1127" s="61">
        <f t="shared" si="1280"/>
        <v>0</v>
      </c>
      <c r="BV1127" s="61">
        <f t="shared" si="1280"/>
        <v>0</v>
      </c>
      <c r="BW1127" s="61">
        <f t="shared" si="1280"/>
        <v>0</v>
      </c>
      <c r="BX1127" s="61">
        <f t="shared" si="1280"/>
        <v>2.25</v>
      </c>
      <c r="BY1127" s="61" t="s">
        <v>91</v>
      </c>
      <c r="CA1127" s="61">
        <f t="shared" si="1289"/>
        <v>0</v>
      </c>
      <c r="CB1127" s="61">
        <f t="shared" si="1289"/>
        <v>0</v>
      </c>
      <c r="CC1127" s="61">
        <f t="shared" si="1289"/>
        <v>0</v>
      </c>
      <c r="CD1127" s="61">
        <f t="shared" si="1289"/>
        <v>0</v>
      </c>
      <c r="CE1127" s="61">
        <f t="shared" si="1289"/>
        <v>0</v>
      </c>
      <c r="CF1127" s="61">
        <f t="shared" si="1289"/>
        <v>0.67699714156762447</v>
      </c>
      <c r="CG1127" s="61">
        <f t="shared" si="1289"/>
        <v>0.67699714156762447</v>
      </c>
      <c r="CH1127" s="61">
        <f t="shared" si="1289"/>
        <v>0.67699714156762447</v>
      </c>
      <c r="CI1127" s="61">
        <f t="shared" si="1247"/>
        <v>0.16247931397622989</v>
      </c>
      <c r="CJ1127" s="61"/>
      <c r="CK1127" s="61">
        <f t="shared" si="1260"/>
        <v>0</v>
      </c>
      <c r="CL1127" s="61">
        <f t="shared" si="1260"/>
        <v>0</v>
      </c>
      <c r="CM1127" s="61">
        <f t="shared" si="1260"/>
        <v>0</v>
      </c>
      <c r="CN1127" s="61">
        <f t="shared" si="1258"/>
        <v>0</v>
      </c>
      <c r="CO1127" s="61">
        <f t="shared" si="1258"/>
        <v>0</v>
      </c>
      <c r="CP1127" s="61">
        <f t="shared" si="1258"/>
        <v>0.67699714156762447</v>
      </c>
      <c r="CQ1127" s="61">
        <f t="shared" si="1258"/>
        <v>0.67699714156762447</v>
      </c>
      <c r="CR1127" s="61">
        <f t="shared" si="1258"/>
        <v>0.67699714156762447</v>
      </c>
      <c r="CS1127" s="61">
        <f t="shared" si="1248"/>
        <v>0.16247931397622989</v>
      </c>
      <c r="CT1127" s="61">
        <f t="shared" si="1252"/>
        <v>1.08</v>
      </c>
      <c r="CV1127" s="61">
        <f t="shared" si="1307"/>
        <v>0</v>
      </c>
      <c r="CW1127" s="61">
        <f t="shared" si="1308"/>
        <v>0</v>
      </c>
      <c r="CX1127" s="61"/>
      <c r="CY1127" s="61">
        <f t="shared" si="1323"/>
        <v>0</v>
      </c>
      <c r="CZ1127" s="61">
        <f t="shared" si="1323"/>
        <v>0</v>
      </c>
      <c r="DA1127" s="61">
        <f t="shared" si="1323"/>
        <v>0</v>
      </c>
      <c r="DB1127" s="2" t="s">
        <v>85</v>
      </c>
      <c r="DC1127" s="2" t="s">
        <v>85</v>
      </c>
      <c r="DD1127" s="2" t="s">
        <v>142</v>
      </c>
      <c r="DE1127" s="2" t="s">
        <v>257</v>
      </c>
      <c r="DG1127" s="62"/>
      <c r="EC1127" s="60"/>
      <c r="ED1127" s="60"/>
      <c r="EE1127" s="60"/>
      <c r="EF1127" s="60"/>
    </row>
    <row r="1128" spans="2:140" ht="12.75" hidden="1" customHeight="1">
      <c r="B1128" s="23" t="s">
        <v>1793</v>
      </c>
      <c r="C1128" s="2" t="s">
        <v>1824</v>
      </c>
      <c r="D1128" s="86" t="s">
        <v>1825</v>
      </c>
      <c r="E1128" s="87" t="s">
        <v>338</v>
      </c>
      <c r="F1128" s="2" t="s">
        <v>330</v>
      </c>
      <c r="G1128" s="87" t="s">
        <v>1262</v>
      </c>
      <c r="J1128" s="1" t="s">
        <v>98</v>
      </c>
      <c r="K1128" s="1">
        <v>5560</v>
      </c>
      <c r="L1128" s="1" t="s">
        <v>100</v>
      </c>
      <c r="M1128" s="90" t="str">
        <f t="shared" si="1263"/>
        <v>JD8C-5560-AA</v>
      </c>
      <c r="O1128" s="89">
        <v>2</v>
      </c>
      <c r="P1128" s="89">
        <v>2</v>
      </c>
      <c r="Q1128" s="89">
        <v>0</v>
      </c>
      <c r="R1128" s="89">
        <v>0</v>
      </c>
      <c r="S1128" s="89">
        <v>0</v>
      </c>
      <c r="T1128" s="89">
        <v>0</v>
      </c>
      <c r="U1128" s="89">
        <v>0</v>
      </c>
      <c r="V1128" s="89">
        <v>0</v>
      </c>
      <c r="W1128" s="64">
        <f t="shared" si="1277"/>
        <v>0.60000000000000009</v>
      </c>
      <c r="Y1128" s="63">
        <f>-37.19-0.87+2.13</f>
        <v>-35.929999999999993</v>
      </c>
      <c r="Z1128" s="63">
        <v>-1.86</v>
      </c>
      <c r="AA1128" s="63">
        <v>-3.31</v>
      </c>
      <c r="AB1128" s="63">
        <v>-0.17</v>
      </c>
      <c r="AC1128" s="63">
        <v>0</v>
      </c>
      <c r="AD1128" s="8">
        <f t="shared" si="1322"/>
        <v>-41.269999999999996</v>
      </c>
      <c r="AE1128" s="2" t="s">
        <v>91</v>
      </c>
      <c r="AG1128" s="70">
        <v>0</v>
      </c>
      <c r="AH1128" s="70">
        <v>0</v>
      </c>
      <c r="AI1128" s="70"/>
      <c r="AJ1128" s="70">
        <v>0</v>
      </c>
      <c r="AK1128" s="70">
        <v>0</v>
      </c>
      <c r="AM1128" s="22" t="s">
        <v>1827</v>
      </c>
      <c r="AO1128" s="1" t="s">
        <v>98</v>
      </c>
      <c r="AP1128" s="1">
        <v>5560</v>
      </c>
      <c r="AQ1128" s="1" t="s">
        <v>111</v>
      </c>
      <c r="AR1128" s="90" t="str">
        <f t="shared" si="1291"/>
        <v>JD8C-5560-BA</v>
      </c>
      <c r="AS1128" s="3"/>
      <c r="AT1128" s="89">
        <v>2</v>
      </c>
      <c r="AU1128" s="89">
        <v>2</v>
      </c>
      <c r="AV1128" s="89">
        <v>0</v>
      </c>
      <c r="AW1128" s="89">
        <v>0</v>
      </c>
      <c r="AX1128" s="89">
        <v>0</v>
      </c>
      <c r="AY1128" s="89">
        <v>0</v>
      </c>
      <c r="AZ1128" s="89">
        <v>0</v>
      </c>
      <c r="BA1128" s="89">
        <v>0</v>
      </c>
      <c r="BB1128" s="64">
        <f t="shared" si="1279"/>
        <v>0.60000000000000009</v>
      </c>
      <c r="BD1128" s="63">
        <v>-37.19</v>
      </c>
      <c r="BE1128" s="63">
        <v>-1.86</v>
      </c>
      <c r="BF1128" s="63">
        <v>-3.31</v>
      </c>
      <c r="BG1128" s="63">
        <v>-0.17</v>
      </c>
      <c r="BH1128" s="63">
        <v>0</v>
      </c>
      <c r="BI1128" s="8">
        <f t="shared" si="1306"/>
        <v>-42.53</v>
      </c>
      <c r="BJ1128" s="2" t="s">
        <v>91</v>
      </c>
      <c r="BL1128" s="70">
        <v>0</v>
      </c>
      <c r="BM1128" s="70">
        <v>0</v>
      </c>
      <c r="BN1128" s="70"/>
      <c r="BO1128" s="70">
        <v>0</v>
      </c>
      <c r="BP1128" s="70">
        <v>0</v>
      </c>
      <c r="BS1128" s="61">
        <f t="shared" si="1280"/>
        <v>1.2600000000000051</v>
      </c>
      <c r="BT1128" s="61">
        <f t="shared" si="1280"/>
        <v>0</v>
      </c>
      <c r="BU1128" s="61">
        <f t="shared" si="1280"/>
        <v>0</v>
      </c>
      <c r="BV1128" s="61">
        <f t="shared" si="1280"/>
        <v>0</v>
      </c>
      <c r="BW1128" s="61">
        <f t="shared" si="1280"/>
        <v>0</v>
      </c>
      <c r="BX1128" s="61">
        <f t="shared" si="1280"/>
        <v>1.2600000000000051</v>
      </c>
      <c r="BY1128" s="61" t="s">
        <v>91</v>
      </c>
      <c r="CA1128" s="61">
        <f t="shared" si="1289"/>
        <v>0.37911839927787122</v>
      </c>
      <c r="CB1128" s="61">
        <f t="shared" si="1289"/>
        <v>0.37911839927787122</v>
      </c>
      <c r="CC1128" s="61">
        <f t="shared" si="1289"/>
        <v>0</v>
      </c>
      <c r="CD1128" s="61">
        <f t="shared" si="1289"/>
        <v>0</v>
      </c>
      <c r="CE1128" s="61">
        <f t="shared" si="1289"/>
        <v>0</v>
      </c>
      <c r="CF1128" s="61">
        <f t="shared" si="1289"/>
        <v>0</v>
      </c>
      <c r="CG1128" s="61">
        <f t="shared" si="1289"/>
        <v>0</v>
      </c>
      <c r="CH1128" s="61">
        <f t="shared" si="1289"/>
        <v>0</v>
      </c>
      <c r="CI1128" s="61">
        <f t="shared" si="1247"/>
        <v>0.11373551978336137</v>
      </c>
      <c r="CJ1128" s="61"/>
      <c r="CK1128" s="61">
        <f t="shared" si="1260"/>
        <v>0.37911839927787122</v>
      </c>
      <c r="CL1128" s="61">
        <f t="shared" si="1260"/>
        <v>0.37911839927787122</v>
      </c>
      <c r="CM1128" s="61">
        <f t="shared" si="1260"/>
        <v>0</v>
      </c>
      <c r="CN1128" s="61">
        <f t="shared" si="1258"/>
        <v>0</v>
      </c>
      <c r="CO1128" s="61">
        <f t="shared" si="1258"/>
        <v>0</v>
      </c>
      <c r="CP1128" s="61">
        <f t="shared" si="1258"/>
        <v>0</v>
      </c>
      <c r="CQ1128" s="61">
        <f t="shared" si="1258"/>
        <v>0</v>
      </c>
      <c r="CR1128" s="61">
        <f t="shared" si="1258"/>
        <v>0</v>
      </c>
      <c r="CS1128" s="61">
        <f t="shared" si="1248"/>
        <v>0.11373551978336137</v>
      </c>
      <c r="CT1128" s="61">
        <f t="shared" si="1252"/>
        <v>0.756000000000003</v>
      </c>
      <c r="CV1128" s="61">
        <f t="shared" si="1307"/>
        <v>0</v>
      </c>
      <c r="CW1128" s="61">
        <f t="shared" si="1308"/>
        <v>0</v>
      </c>
      <c r="CX1128" s="61"/>
      <c r="CY1128" s="61">
        <f t="shared" si="1323"/>
        <v>0</v>
      </c>
      <c r="CZ1128" s="61">
        <f t="shared" si="1323"/>
        <v>0</v>
      </c>
      <c r="DA1128" s="61">
        <f t="shared" si="1323"/>
        <v>0</v>
      </c>
      <c r="DB1128" s="2" t="s">
        <v>85</v>
      </c>
      <c r="DC1128" s="2" t="s">
        <v>85</v>
      </c>
      <c r="DD1128" s="2" t="s">
        <v>142</v>
      </c>
      <c r="DE1128" s="2" t="s">
        <v>257</v>
      </c>
      <c r="DG1128" s="62"/>
      <c r="DZ1128" s="3" t="e">
        <v>#N/A</v>
      </c>
      <c r="EC1128" s="60"/>
      <c r="ED1128" s="60"/>
      <c r="EE1128" s="60"/>
      <c r="EF1128" s="60"/>
    </row>
    <row r="1129" spans="2:140" ht="14.25" hidden="1" customHeight="1">
      <c r="B1129" s="23" t="s">
        <v>1828</v>
      </c>
      <c r="C1129" s="2" t="s">
        <v>1824</v>
      </c>
      <c r="D1129" s="86" t="s">
        <v>1825</v>
      </c>
      <c r="E1129" s="87" t="s">
        <v>338</v>
      </c>
      <c r="F1129" s="2" t="s">
        <v>330</v>
      </c>
      <c r="G1129" s="87" t="s">
        <v>1262</v>
      </c>
      <c r="J1129" s="1" t="s">
        <v>98</v>
      </c>
      <c r="K1129" s="1">
        <v>5310</v>
      </c>
      <c r="L1129" s="1" t="s">
        <v>132</v>
      </c>
      <c r="M1129" s="90" t="str">
        <f t="shared" si="1263"/>
        <v>JD8C-5310-AB</v>
      </c>
      <c r="O1129" s="89">
        <v>2</v>
      </c>
      <c r="P1129" s="89">
        <v>0</v>
      </c>
      <c r="Q1129" s="89">
        <v>2</v>
      </c>
      <c r="R1129" s="89">
        <v>0</v>
      </c>
      <c r="S1129" s="89">
        <v>2</v>
      </c>
      <c r="T1129" s="89">
        <v>0</v>
      </c>
      <c r="U1129" s="89">
        <v>0</v>
      </c>
      <c r="V1129" s="89">
        <v>0</v>
      </c>
      <c r="W1129" s="64">
        <f t="shared" si="1277"/>
        <v>0.74</v>
      </c>
      <c r="Y1129" s="63">
        <v>-35.28</v>
      </c>
      <c r="Z1129" s="63">
        <v>-1.86</v>
      </c>
      <c r="AA1129" s="63">
        <v>-3.47</v>
      </c>
      <c r="AB1129" s="63">
        <v>-0.18</v>
      </c>
      <c r="AC1129" s="63">
        <v>0</v>
      </c>
      <c r="AD1129" s="8">
        <f t="shared" si="1322"/>
        <v>-40.79</v>
      </c>
      <c r="AE1129" s="2" t="s">
        <v>91</v>
      </c>
      <c r="AG1129" s="70">
        <v>0</v>
      </c>
      <c r="AH1129" s="70">
        <v>0</v>
      </c>
      <c r="AI1129" s="70"/>
      <c r="AJ1129" s="70">
        <v>0</v>
      </c>
      <c r="AK1129" s="70">
        <v>0</v>
      </c>
      <c r="AM1129" s="22"/>
      <c r="AO1129" s="1" t="s">
        <v>98</v>
      </c>
      <c r="AP1129" s="1">
        <v>5310</v>
      </c>
      <c r="AQ1129" s="1" t="s">
        <v>100</v>
      </c>
      <c r="AR1129" s="90" t="str">
        <f t="shared" si="1291"/>
        <v>JD8C-5310-AA</v>
      </c>
      <c r="AS1129" s="3"/>
      <c r="AT1129" s="89">
        <v>2</v>
      </c>
      <c r="AU1129" s="89">
        <v>0</v>
      </c>
      <c r="AV1129" s="89">
        <v>2</v>
      </c>
      <c r="AW1129" s="89">
        <v>0</v>
      </c>
      <c r="AX1129" s="89">
        <v>2</v>
      </c>
      <c r="AY1129" s="89">
        <v>0</v>
      </c>
      <c r="AZ1129" s="89">
        <v>0</v>
      </c>
      <c r="BA1129" s="89">
        <v>0</v>
      </c>
      <c r="BB1129" s="64">
        <f t="shared" si="1279"/>
        <v>0.74</v>
      </c>
      <c r="BD1129" s="63">
        <f>-37.43+2.15</f>
        <v>-35.28</v>
      </c>
      <c r="BE1129" s="63">
        <v>-1.86</v>
      </c>
      <c r="BF1129" s="63">
        <v>-3.47</v>
      </c>
      <c r="BG1129" s="63">
        <v>-0.18</v>
      </c>
      <c r="BH1129" s="63">
        <v>0</v>
      </c>
      <c r="BI1129" s="8">
        <f t="shared" si="1306"/>
        <v>-40.79</v>
      </c>
      <c r="BJ1129" s="2" t="s">
        <v>91</v>
      </c>
      <c r="BL1129" s="70">
        <v>0</v>
      </c>
      <c r="BM1129" s="70">
        <v>0</v>
      </c>
      <c r="BN1129" s="70"/>
      <c r="BO1129" s="70">
        <v>0</v>
      </c>
      <c r="BP1129" s="70">
        <v>0</v>
      </c>
      <c r="BS1129" s="61">
        <f t="shared" si="1280"/>
        <v>0</v>
      </c>
      <c r="BT1129" s="61">
        <f t="shared" si="1280"/>
        <v>0</v>
      </c>
      <c r="BU1129" s="61">
        <f t="shared" si="1280"/>
        <v>0</v>
      </c>
      <c r="BV1129" s="61">
        <f t="shared" si="1280"/>
        <v>0</v>
      </c>
      <c r="BW1129" s="61">
        <f t="shared" si="1280"/>
        <v>0</v>
      </c>
      <c r="BX1129" s="61">
        <f t="shared" si="1280"/>
        <v>0</v>
      </c>
      <c r="BY1129" s="61" t="s">
        <v>91</v>
      </c>
      <c r="CA1129" s="61">
        <f t="shared" si="1289"/>
        <v>0</v>
      </c>
      <c r="CB1129" s="61">
        <f t="shared" si="1289"/>
        <v>0</v>
      </c>
      <c r="CC1129" s="61">
        <f t="shared" si="1289"/>
        <v>0</v>
      </c>
      <c r="CD1129" s="61">
        <f t="shared" si="1289"/>
        <v>0</v>
      </c>
      <c r="CE1129" s="61">
        <f t="shared" si="1289"/>
        <v>0</v>
      </c>
      <c r="CF1129" s="61">
        <f t="shared" si="1289"/>
        <v>0</v>
      </c>
      <c r="CG1129" s="61">
        <f t="shared" si="1289"/>
        <v>0</v>
      </c>
      <c r="CH1129" s="61">
        <f t="shared" si="1289"/>
        <v>0</v>
      </c>
      <c r="CI1129" s="61">
        <f t="shared" si="1247"/>
        <v>0</v>
      </c>
      <c r="CJ1129" s="61"/>
      <c r="CK1129" s="61">
        <f t="shared" si="1260"/>
        <v>0</v>
      </c>
      <c r="CL1129" s="61">
        <f t="shared" si="1260"/>
        <v>0</v>
      </c>
      <c r="CM1129" s="61">
        <f t="shared" si="1260"/>
        <v>0</v>
      </c>
      <c r="CN1129" s="61">
        <f t="shared" si="1258"/>
        <v>0</v>
      </c>
      <c r="CO1129" s="61">
        <f t="shared" si="1258"/>
        <v>0</v>
      </c>
      <c r="CP1129" s="61">
        <f t="shared" si="1258"/>
        <v>0</v>
      </c>
      <c r="CQ1129" s="61">
        <f t="shared" si="1258"/>
        <v>0</v>
      </c>
      <c r="CR1129" s="61">
        <f t="shared" si="1258"/>
        <v>0</v>
      </c>
      <c r="CS1129" s="61">
        <f t="shared" si="1248"/>
        <v>0</v>
      </c>
      <c r="CT1129" s="61">
        <f t="shared" si="1252"/>
        <v>0</v>
      </c>
      <c r="CV1129" s="61">
        <f t="shared" si="1307"/>
        <v>0</v>
      </c>
      <c r="CW1129" s="61">
        <f t="shared" si="1308"/>
        <v>0</v>
      </c>
      <c r="CX1129" s="61"/>
      <c r="CY1129" s="61">
        <f t="shared" si="1323"/>
        <v>0</v>
      </c>
      <c r="CZ1129" s="61">
        <f t="shared" ref="CZ1129:CZ1133" si="1324">SUM(AK1129)-SUM(BP1129)</f>
        <v>0</v>
      </c>
      <c r="DA1129" s="61">
        <f t="shared" ref="DA1129:DA1133" si="1325">SUM(AL1129)-SUM(BQ1129)</f>
        <v>0</v>
      </c>
      <c r="DB1129" s="2" t="s">
        <v>102</v>
      </c>
      <c r="DC1129" s="2" t="s">
        <v>85</v>
      </c>
      <c r="DD1129" s="2" t="s">
        <v>142</v>
      </c>
      <c r="DE1129" s="2" t="s">
        <v>257</v>
      </c>
      <c r="DF1129" s="3" t="s">
        <v>86</v>
      </c>
      <c r="DG1129" s="62">
        <v>43105</v>
      </c>
      <c r="EC1129" s="60" t="str">
        <f>VLOOKUP($M1129,[1]Detail!$M:$BO,1,0)</f>
        <v>JD8C-5310-AB</v>
      </c>
      <c r="ED1129" s="60">
        <f>VLOOKUP($M1129,[1]Detail!$M:$BO,22,0)</f>
        <v>-40.79</v>
      </c>
      <c r="EE1129" s="60">
        <f>VLOOKUP($M1129,[1]Detail!$M:$BO,42,0)</f>
        <v>0</v>
      </c>
      <c r="EF1129" s="60">
        <f>VLOOKUP($M1129,[1]Detail!$M:$BO,45,0)</f>
        <v>0</v>
      </c>
      <c r="EH1129" s="60">
        <f t="shared" ref="EH1129:EH1133" si="1326">ED1129-AD1129</f>
        <v>0</v>
      </c>
      <c r="EI1129" s="60">
        <f t="shared" ref="EI1129:EI1133" si="1327">EE1129-AG1129</f>
        <v>0</v>
      </c>
      <c r="EJ1129" s="60">
        <f t="shared" ref="EJ1129:EJ1133" si="1328">EF1129-AJ1129</f>
        <v>0</v>
      </c>
    </row>
    <row r="1130" spans="2:140" ht="14.25" hidden="1" customHeight="1">
      <c r="B1130" s="23" t="s">
        <v>1828</v>
      </c>
      <c r="C1130" s="2" t="s">
        <v>1824</v>
      </c>
      <c r="D1130" s="86" t="s">
        <v>1825</v>
      </c>
      <c r="E1130" s="87" t="s">
        <v>338</v>
      </c>
      <c r="F1130" s="2" t="s">
        <v>330</v>
      </c>
      <c r="G1130" s="87" t="s">
        <v>1262</v>
      </c>
      <c r="J1130" s="1" t="s">
        <v>98</v>
      </c>
      <c r="K1130" s="1">
        <v>5310</v>
      </c>
      <c r="L1130" s="1" t="s">
        <v>120</v>
      </c>
      <c r="M1130" s="90" t="str">
        <f t="shared" si="1263"/>
        <v>JD8C-5310-BB</v>
      </c>
      <c r="O1130" s="89">
        <v>0</v>
      </c>
      <c r="P1130" s="89">
        <v>2</v>
      </c>
      <c r="Q1130" s="89">
        <v>0</v>
      </c>
      <c r="R1130" s="89">
        <v>2</v>
      </c>
      <c r="S1130" s="89">
        <v>0</v>
      </c>
      <c r="T1130" s="89">
        <v>0</v>
      </c>
      <c r="U1130" s="89">
        <v>0</v>
      </c>
      <c r="V1130" s="89">
        <v>0</v>
      </c>
      <c r="W1130" s="64">
        <f t="shared" si="1277"/>
        <v>0.78</v>
      </c>
      <c r="Y1130" s="63">
        <v>-37.06</v>
      </c>
      <c r="Z1130" s="63">
        <v>-1.86</v>
      </c>
      <c r="AA1130" s="63">
        <v>-3.63</v>
      </c>
      <c r="AB1130" s="63">
        <v>-0.18</v>
      </c>
      <c r="AC1130" s="63">
        <v>0</v>
      </c>
      <c r="AD1130" s="8">
        <f t="shared" si="1322"/>
        <v>-42.730000000000004</v>
      </c>
      <c r="AE1130" s="2" t="s">
        <v>91</v>
      </c>
      <c r="AG1130" s="70">
        <v>0</v>
      </c>
      <c r="AH1130" s="70">
        <v>0</v>
      </c>
      <c r="AI1130" s="70"/>
      <c r="AJ1130" s="70">
        <v>0</v>
      </c>
      <c r="AK1130" s="70">
        <v>0</v>
      </c>
      <c r="AM1130" s="22"/>
      <c r="AO1130" s="1" t="s">
        <v>98</v>
      </c>
      <c r="AP1130" s="1">
        <v>5310</v>
      </c>
      <c r="AQ1130" s="1" t="s">
        <v>111</v>
      </c>
      <c r="AR1130" s="90" t="str">
        <f t="shared" si="1291"/>
        <v>JD8C-5310-BA</v>
      </c>
      <c r="AS1130" s="3"/>
      <c r="AT1130" s="89">
        <v>0</v>
      </c>
      <c r="AU1130" s="89">
        <v>2</v>
      </c>
      <c r="AV1130" s="89">
        <v>0</v>
      </c>
      <c r="AW1130" s="89">
        <v>2</v>
      </c>
      <c r="AX1130" s="89">
        <v>0</v>
      </c>
      <c r="AY1130" s="89">
        <v>0</v>
      </c>
      <c r="AZ1130" s="89">
        <v>0</v>
      </c>
      <c r="BA1130" s="89">
        <v>0</v>
      </c>
      <c r="BB1130" s="64">
        <f t="shared" si="1279"/>
        <v>0.78</v>
      </c>
      <c r="BD1130" s="63">
        <f>-39.31+2.25</f>
        <v>-37.06</v>
      </c>
      <c r="BE1130" s="63">
        <v>-1.86</v>
      </c>
      <c r="BF1130" s="63">
        <v>-3.63</v>
      </c>
      <c r="BG1130" s="63">
        <v>-0.18</v>
      </c>
      <c r="BH1130" s="63">
        <v>0</v>
      </c>
      <c r="BI1130" s="8">
        <f t="shared" si="1306"/>
        <v>-42.730000000000004</v>
      </c>
      <c r="BJ1130" s="2" t="s">
        <v>91</v>
      </c>
      <c r="BL1130" s="70">
        <v>0</v>
      </c>
      <c r="BM1130" s="70">
        <v>0</v>
      </c>
      <c r="BN1130" s="70"/>
      <c r="BO1130" s="70">
        <v>0</v>
      </c>
      <c r="BP1130" s="70">
        <v>0</v>
      </c>
      <c r="BS1130" s="61">
        <f t="shared" si="1280"/>
        <v>0</v>
      </c>
      <c r="BT1130" s="61">
        <f t="shared" si="1280"/>
        <v>0</v>
      </c>
      <c r="BU1130" s="61">
        <f t="shared" si="1280"/>
        <v>0</v>
      </c>
      <c r="BV1130" s="61">
        <f t="shared" si="1280"/>
        <v>0</v>
      </c>
      <c r="BW1130" s="61">
        <f t="shared" si="1280"/>
        <v>0</v>
      </c>
      <c r="BX1130" s="61">
        <f t="shared" si="1280"/>
        <v>0</v>
      </c>
      <c r="BY1130" s="61" t="s">
        <v>91</v>
      </c>
      <c r="CA1130" s="61">
        <f t="shared" si="1289"/>
        <v>0</v>
      </c>
      <c r="CB1130" s="61">
        <f t="shared" si="1289"/>
        <v>0</v>
      </c>
      <c r="CC1130" s="61">
        <f t="shared" si="1289"/>
        <v>0</v>
      </c>
      <c r="CD1130" s="61">
        <f t="shared" si="1289"/>
        <v>0</v>
      </c>
      <c r="CE1130" s="61">
        <f t="shared" si="1289"/>
        <v>0</v>
      </c>
      <c r="CF1130" s="61">
        <f t="shared" si="1289"/>
        <v>0</v>
      </c>
      <c r="CG1130" s="61">
        <f t="shared" si="1289"/>
        <v>0</v>
      </c>
      <c r="CH1130" s="61">
        <f t="shared" si="1289"/>
        <v>0</v>
      </c>
      <c r="CI1130" s="61">
        <f t="shared" si="1247"/>
        <v>0</v>
      </c>
      <c r="CJ1130" s="61"/>
      <c r="CK1130" s="61">
        <f t="shared" si="1260"/>
        <v>0</v>
      </c>
      <c r="CL1130" s="61">
        <f t="shared" si="1260"/>
        <v>0</v>
      </c>
      <c r="CM1130" s="61">
        <f t="shared" si="1260"/>
        <v>0</v>
      </c>
      <c r="CN1130" s="61">
        <f t="shared" si="1258"/>
        <v>0</v>
      </c>
      <c r="CO1130" s="61">
        <f t="shared" si="1258"/>
        <v>0</v>
      </c>
      <c r="CP1130" s="61">
        <f t="shared" si="1258"/>
        <v>0</v>
      </c>
      <c r="CQ1130" s="61">
        <f t="shared" si="1258"/>
        <v>0</v>
      </c>
      <c r="CR1130" s="61">
        <f t="shared" si="1258"/>
        <v>0</v>
      </c>
      <c r="CS1130" s="61">
        <f t="shared" si="1248"/>
        <v>0</v>
      </c>
      <c r="CT1130" s="61">
        <f t="shared" si="1252"/>
        <v>0</v>
      </c>
      <c r="CV1130" s="61">
        <f t="shared" si="1307"/>
        <v>0</v>
      </c>
      <c r="CW1130" s="61">
        <f t="shared" si="1308"/>
        <v>0</v>
      </c>
      <c r="CX1130" s="61"/>
      <c r="CY1130" s="61">
        <f t="shared" si="1323"/>
        <v>0</v>
      </c>
      <c r="CZ1130" s="61">
        <f t="shared" si="1324"/>
        <v>0</v>
      </c>
      <c r="DA1130" s="61">
        <f t="shared" si="1325"/>
        <v>0</v>
      </c>
      <c r="DB1130" s="2" t="s">
        <v>102</v>
      </c>
      <c r="DC1130" s="2" t="s">
        <v>85</v>
      </c>
      <c r="DD1130" s="2" t="s">
        <v>142</v>
      </c>
      <c r="DE1130" s="2" t="s">
        <v>257</v>
      </c>
      <c r="DF1130" s="3" t="s">
        <v>86</v>
      </c>
      <c r="DG1130" s="62">
        <v>43105</v>
      </c>
      <c r="EC1130" s="60" t="str">
        <f>VLOOKUP($M1130,[1]Detail!$M:$BO,1,0)</f>
        <v>JD8C-5310-BB</v>
      </c>
      <c r="ED1130" s="60">
        <f>VLOOKUP($M1130,[1]Detail!$M:$BO,22,0)</f>
        <v>-42.730000000000004</v>
      </c>
      <c r="EE1130" s="60">
        <f>VLOOKUP($M1130,[1]Detail!$M:$BO,42,0)</f>
        <v>0</v>
      </c>
      <c r="EF1130" s="60">
        <f>VLOOKUP($M1130,[1]Detail!$M:$BO,45,0)</f>
        <v>0</v>
      </c>
      <c r="EH1130" s="60">
        <f t="shared" si="1326"/>
        <v>0</v>
      </c>
      <c r="EI1130" s="60">
        <f t="shared" si="1327"/>
        <v>0</v>
      </c>
      <c r="EJ1130" s="60">
        <f t="shared" si="1328"/>
        <v>0</v>
      </c>
    </row>
    <row r="1131" spans="2:140" ht="14.25" hidden="1" customHeight="1">
      <c r="B1131" s="23" t="s">
        <v>1828</v>
      </c>
      <c r="C1131" s="2" t="s">
        <v>1824</v>
      </c>
      <c r="D1131" s="86" t="s">
        <v>1825</v>
      </c>
      <c r="E1131" s="87" t="s">
        <v>338</v>
      </c>
      <c r="F1131" s="2" t="s">
        <v>330</v>
      </c>
      <c r="G1131" s="87" t="s">
        <v>1262</v>
      </c>
      <c r="J1131" s="1" t="s">
        <v>98</v>
      </c>
      <c r="K1131" s="1">
        <v>5310</v>
      </c>
      <c r="L1131" s="1" t="s">
        <v>122</v>
      </c>
      <c r="M1131" s="90" t="str">
        <f t="shared" si="1263"/>
        <v>JD8C-5310-CB</v>
      </c>
      <c r="O1131" s="89">
        <v>0</v>
      </c>
      <c r="P1131" s="89">
        <v>0</v>
      </c>
      <c r="Q1131" s="89">
        <v>0</v>
      </c>
      <c r="R1131" s="89">
        <v>0</v>
      </c>
      <c r="S1131" s="89">
        <v>0</v>
      </c>
      <c r="T1131" s="89">
        <v>2</v>
      </c>
      <c r="U1131" s="89">
        <v>2</v>
      </c>
      <c r="V1131" s="89">
        <v>2</v>
      </c>
      <c r="W1131" s="64">
        <f t="shared" si="1277"/>
        <v>0.48</v>
      </c>
      <c r="Y1131" s="63">
        <v>-37.46</v>
      </c>
      <c r="Z1131" s="63">
        <v>-1.86</v>
      </c>
      <c r="AA1131" s="63">
        <v>-3.63</v>
      </c>
      <c r="AB1131" s="63">
        <v>-0.18</v>
      </c>
      <c r="AC1131" s="63">
        <v>0</v>
      </c>
      <c r="AD1131" s="8">
        <f t="shared" si="1322"/>
        <v>-43.13</v>
      </c>
      <c r="AE1131" s="2" t="s">
        <v>91</v>
      </c>
      <c r="AG1131" s="70">
        <v>0</v>
      </c>
      <c r="AH1131" s="70">
        <v>0</v>
      </c>
      <c r="AI1131" s="70"/>
      <c r="AJ1131" s="70">
        <v>0</v>
      </c>
      <c r="AK1131" s="70">
        <v>0</v>
      </c>
      <c r="AM1131" s="22"/>
      <c r="AO1131" s="1" t="s">
        <v>98</v>
      </c>
      <c r="AP1131" s="1">
        <v>5310</v>
      </c>
      <c r="AQ1131" s="1" t="s">
        <v>113</v>
      </c>
      <c r="AR1131" s="90" t="str">
        <f t="shared" si="1291"/>
        <v>JD8C-5310-CA</v>
      </c>
      <c r="AS1131" s="3"/>
      <c r="AT1131" s="89">
        <v>0</v>
      </c>
      <c r="AU1131" s="89">
        <v>0</v>
      </c>
      <c r="AV1131" s="89">
        <v>0</v>
      </c>
      <c r="AW1131" s="89">
        <v>0</v>
      </c>
      <c r="AX1131" s="89">
        <v>0</v>
      </c>
      <c r="AY1131" s="89">
        <v>2</v>
      </c>
      <c r="AZ1131" s="89">
        <v>2</v>
      </c>
      <c r="BA1131" s="89">
        <v>2</v>
      </c>
      <c r="BB1131" s="64">
        <f t="shared" si="1279"/>
        <v>0.48</v>
      </c>
      <c r="BD1131" s="63">
        <f>-39.31-0.4+2.25</f>
        <v>-37.46</v>
      </c>
      <c r="BE1131" s="63">
        <v>-1.86</v>
      </c>
      <c r="BF1131" s="63">
        <v>-3.63</v>
      </c>
      <c r="BG1131" s="63">
        <v>-0.18</v>
      </c>
      <c r="BH1131" s="63">
        <v>0</v>
      </c>
      <c r="BI1131" s="8">
        <f t="shared" si="1306"/>
        <v>-43.13</v>
      </c>
      <c r="BJ1131" s="2" t="s">
        <v>91</v>
      </c>
      <c r="BL1131" s="70">
        <v>0</v>
      </c>
      <c r="BM1131" s="70">
        <v>0</v>
      </c>
      <c r="BN1131" s="70"/>
      <c r="BO1131" s="70">
        <v>0</v>
      </c>
      <c r="BP1131" s="70">
        <v>0</v>
      </c>
      <c r="BS1131" s="61">
        <f t="shared" si="1280"/>
        <v>0</v>
      </c>
      <c r="BT1131" s="61">
        <f t="shared" si="1280"/>
        <v>0</v>
      </c>
      <c r="BU1131" s="61">
        <f t="shared" si="1280"/>
        <v>0</v>
      </c>
      <c r="BV1131" s="61">
        <f t="shared" si="1280"/>
        <v>0</v>
      </c>
      <c r="BW1131" s="61">
        <f t="shared" si="1280"/>
        <v>0</v>
      </c>
      <c r="BX1131" s="61">
        <f t="shared" si="1280"/>
        <v>0</v>
      </c>
      <c r="BY1131" s="61" t="s">
        <v>91</v>
      </c>
      <c r="CA1131" s="61">
        <f t="shared" si="1289"/>
        <v>0</v>
      </c>
      <c r="CB1131" s="61">
        <f t="shared" si="1289"/>
        <v>0</v>
      </c>
      <c r="CC1131" s="61">
        <f t="shared" si="1289"/>
        <v>0</v>
      </c>
      <c r="CD1131" s="61">
        <f t="shared" si="1289"/>
        <v>0</v>
      </c>
      <c r="CE1131" s="61">
        <f t="shared" si="1289"/>
        <v>0</v>
      </c>
      <c r="CF1131" s="61">
        <f t="shared" si="1289"/>
        <v>0</v>
      </c>
      <c r="CG1131" s="61">
        <f t="shared" si="1289"/>
        <v>0</v>
      </c>
      <c r="CH1131" s="61">
        <f t="shared" si="1289"/>
        <v>0</v>
      </c>
      <c r="CI1131" s="61">
        <f t="shared" si="1247"/>
        <v>0</v>
      </c>
      <c r="CJ1131" s="61"/>
      <c r="CK1131" s="61">
        <f t="shared" si="1260"/>
        <v>0</v>
      </c>
      <c r="CL1131" s="61">
        <f t="shared" si="1260"/>
        <v>0</v>
      </c>
      <c r="CM1131" s="61">
        <f t="shared" si="1260"/>
        <v>0</v>
      </c>
      <c r="CN1131" s="61">
        <f t="shared" si="1258"/>
        <v>0</v>
      </c>
      <c r="CO1131" s="61">
        <f t="shared" si="1258"/>
        <v>0</v>
      </c>
      <c r="CP1131" s="61">
        <f t="shared" si="1258"/>
        <v>0</v>
      </c>
      <c r="CQ1131" s="61">
        <f t="shared" si="1258"/>
        <v>0</v>
      </c>
      <c r="CR1131" s="61">
        <f t="shared" si="1258"/>
        <v>0</v>
      </c>
      <c r="CS1131" s="61">
        <f t="shared" si="1248"/>
        <v>0</v>
      </c>
      <c r="CT1131" s="61">
        <f t="shared" si="1252"/>
        <v>0</v>
      </c>
      <c r="CV1131" s="61">
        <f t="shared" si="1307"/>
        <v>0</v>
      </c>
      <c r="CW1131" s="61">
        <f t="shared" si="1308"/>
        <v>0</v>
      </c>
      <c r="CX1131" s="61"/>
      <c r="CY1131" s="61">
        <f t="shared" si="1323"/>
        <v>0</v>
      </c>
      <c r="CZ1131" s="61">
        <f t="shared" si="1324"/>
        <v>0</v>
      </c>
      <c r="DA1131" s="61">
        <f t="shared" si="1325"/>
        <v>0</v>
      </c>
      <c r="DB1131" s="2" t="s">
        <v>102</v>
      </c>
      <c r="DC1131" s="2" t="s">
        <v>85</v>
      </c>
      <c r="DD1131" s="2" t="s">
        <v>142</v>
      </c>
      <c r="DE1131" s="2" t="s">
        <v>257</v>
      </c>
      <c r="DF1131" s="3" t="s">
        <v>86</v>
      </c>
      <c r="DG1131" s="62">
        <v>43105</v>
      </c>
      <c r="EC1131" s="60" t="str">
        <f>VLOOKUP($M1131,[1]Detail!$M:$BO,1,0)</f>
        <v>JD8C-5310-CB</v>
      </c>
      <c r="ED1131" s="60">
        <f>VLOOKUP($M1131,[1]Detail!$M:$BO,22,0)</f>
        <v>-43.13</v>
      </c>
      <c r="EE1131" s="60">
        <f>VLOOKUP($M1131,[1]Detail!$M:$BO,42,0)</f>
        <v>0</v>
      </c>
      <c r="EF1131" s="60">
        <f>VLOOKUP($M1131,[1]Detail!$M:$BO,45,0)</f>
        <v>0</v>
      </c>
      <c r="EH1131" s="60">
        <f t="shared" si="1326"/>
        <v>0</v>
      </c>
      <c r="EI1131" s="60">
        <f t="shared" si="1327"/>
        <v>0</v>
      </c>
      <c r="EJ1131" s="60">
        <f t="shared" si="1328"/>
        <v>0</v>
      </c>
    </row>
    <row r="1132" spans="2:140" ht="14.25" hidden="1" customHeight="1">
      <c r="B1132" s="23" t="s">
        <v>1828</v>
      </c>
      <c r="C1132" s="2" t="s">
        <v>1824</v>
      </c>
      <c r="D1132" s="86" t="s">
        <v>1825</v>
      </c>
      <c r="E1132" s="87" t="s">
        <v>338</v>
      </c>
      <c r="F1132" s="2" t="s">
        <v>330</v>
      </c>
      <c r="G1132" s="87" t="s">
        <v>1262</v>
      </c>
      <c r="J1132" s="1" t="s">
        <v>98</v>
      </c>
      <c r="K1132" s="1">
        <v>5560</v>
      </c>
      <c r="L1132" s="1" t="s">
        <v>132</v>
      </c>
      <c r="M1132" s="90" t="str">
        <f t="shared" si="1263"/>
        <v>JD8C-5560-AB</v>
      </c>
      <c r="O1132" s="89">
        <v>2</v>
      </c>
      <c r="P1132" s="89">
        <v>2</v>
      </c>
      <c r="Q1132" s="89">
        <v>2</v>
      </c>
      <c r="R1132" s="89">
        <v>2</v>
      </c>
      <c r="S1132" s="89">
        <v>2</v>
      </c>
      <c r="T1132" s="89">
        <v>2</v>
      </c>
      <c r="U1132" s="89">
        <v>2</v>
      </c>
      <c r="V1132" s="89">
        <v>2</v>
      </c>
      <c r="W1132" s="64">
        <f t="shared" si="1277"/>
        <v>2</v>
      </c>
      <c r="Y1132" s="63">
        <v>-35.929999999999993</v>
      </c>
      <c r="Z1132" s="63">
        <v>-1.86</v>
      </c>
      <c r="AA1132" s="63">
        <v>-3.31</v>
      </c>
      <c r="AB1132" s="63">
        <v>-0.17</v>
      </c>
      <c r="AC1132" s="63">
        <v>0</v>
      </c>
      <c r="AD1132" s="8">
        <f t="shared" si="1322"/>
        <v>-41.269999999999996</v>
      </c>
      <c r="AE1132" s="2" t="s">
        <v>91</v>
      </c>
      <c r="AG1132" s="70">
        <v>0</v>
      </c>
      <c r="AH1132" s="70">
        <v>0</v>
      </c>
      <c r="AI1132" s="70"/>
      <c r="AJ1132" s="70">
        <v>0</v>
      </c>
      <c r="AK1132" s="70">
        <v>0</v>
      </c>
      <c r="AM1132" s="22"/>
      <c r="AO1132" s="1" t="s">
        <v>98</v>
      </c>
      <c r="AP1132" s="1">
        <v>5560</v>
      </c>
      <c r="AQ1132" s="1" t="s">
        <v>100</v>
      </c>
      <c r="AR1132" s="90" t="str">
        <f t="shared" si="1291"/>
        <v>JD8C-5560-AA</v>
      </c>
      <c r="AS1132" s="3"/>
      <c r="AT1132" s="89">
        <v>2</v>
      </c>
      <c r="AU1132" s="89">
        <v>2</v>
      </c>
      <c r="AV1132" s="89">
        <v>0</v>
      </c>
      <c r="AW1132" s="89">
        <v>0</v>
      </c>
      <c r="AX1132" s="89">
        <v>0</v>
      </c>
      <c r="AY1132" s="89">
        <v>0</v>
      </c>
      <c r="AZ1132" s="89">
        <v>0</v>
      </c>
      <c r="BA1132" s="89">
        <v>0</v>
      </c>
      <c r="BB1132" s="64">
        <f t="shared" si="1279"/>
        <v>0.60000000000000009</v>
      </c>
      <c r="BD1132" s="63">
        <f>-37.19-0.87+2.13</f>
        <v>-35.929999999999993</v>
      </c>
      <c r="BE1132" s="63">
        <v>-1.86</v>
      </c>
      <c r="BF1132" s="63">
        <v>-3.31</v>
      </c>
      <c r="BG1132" s="63">
        <v>-0.17</v>
      </c>
      <c r="BH1132" s="63">
        <v>0</v>
      </c>
      <c r="BI1132" s="8">
        <f t="shared" si="1306"/>
        <v>-41.269999999999996</v>
      </c>
      <c r="BJ1132" s="2" t="s">
        <v>91</v>
      </c>
      <c r="BL1132" s="70">
        <v>0</v>
      </c>
      <c r="BM1132" s="70">
        <v>0</v>
      </c>
      <c r="BN1132" s="70"/>
      <c r="BO1132" s="70">
        <v>0</v>
      </c>
      <c r="BP1132" s="70">
        <v>0</v>
      </c>
      <c r="BS1132" s="61">
        <f t="shared" si="1280"/>
        <v>0</v>
      </c>
      <c r="BT1132" s="61">
        <f t="shared" si="1280"/>
        <v>0</v>
      </c>
      <c r="BU1132" s="61">
        <f t="shared" si="1280"/>
        <v>0</v>
      </c>
      <c r="BV1132" s="61">
        <f t="shared" si="1280"/>
        <v>0</v>
      </c>
      <c r="BW1132" s="61">
        <f t="shared" si="1280"/>
        <v>0</v>
      </c>
      <c r="BX1132" s="61">
        <f t="shared" si="1280"/>
        <v>0</v>
      </c>
      <c r="BY1132" s="61" t="s">
        <v>91</v>
      </c>
      <c r="CA1132" s="61">
        <f t="shared" si="1289"/>
        <v>0</v>
      </c>
      <c r="CB1132" s="61">
        <f t="shared" si="1289"/>
        <v>0</v>
      </c>
      <c r="CC1132" s="61">
        <f t="shared" si="1289"/>
        <v>-10.810892131788775</v>
      </c>
      <c r="CD1132" s="61">
        <f t="shared" si="1289"/>
        <v>-10.810892131788775</v>
      </c>
      <c r="CE1132" s="61">
        <f t="shared" si="1289"/>
        <v>-10.810892131788775</v>
      </c>
      <c r="CF1132" s="61">
        <f t="shared" si="1289"/>
        <v>-10.810892131788775</v>
      </c>
      <c r="CG1132" s="61">
        <f t="shared" si="1289"/>
        <v>-10.810892131788775</v>
      </c>
      <c r="CH1132" s="61">
        <f t="shared" si="1289"/>
        <v>-10.810892131788775</v>
      </c>
      <c r="CI1132" s="61">
        <f t="shared" si="1247"/>
        <v>-7.5676244922521416</v>
      </c>
      <c r="CJ1132" s="61"/>
      <c r="CK1132" s="61">
        <f t="shared" si="1260"/>
        <v>0</v>
      </c>
      <c r="CL1132" s="61">
        <f t="shared" si="1260"/>
        <v>0</v>
      </c>
      <c r="CM1132" s="61">
        <f t="shared" si="1260"/>
        <v>-12.417632014442605</v>
      </c>
      <c r="CN1132" s="61">
        <f t="shared" si="1258"/>
        <v>-12.417632014442605</v>
      </c>
      <c r="CO1132" s="61">
        <f t="shared" si="1258"/>
        <v>-12.417632014442605</v>
      </c>
      <c r="CP1132" s="61">
        <f t="shared" si="1258"/>
        <v>-12.417632014442605</v>
      </c>
      <c r="CQ1132" s="61">
        <f t="shared" si="1258"/>
        <v>-12.417632014442605</v>
      </c>
      <c r="CR1132" s="61">
        <f t="shared" si="1258"/>
        <v>-12.417632014442605</v>
      </c>
      <c r="CS1132" s="61">
        <f t="shared" si="1248"/>
        <v>-8.6923424101098234</v>
      </c>
      <c r="CT1132" s="61">
        <f t="shared" si="1252"/>
        <v>-57.777999999999999</v>
      </c>
      <c r="CV1132" s="61">
        <f t="shared" si="1307"/>
        <v>0</v>
      </c>
      <c r="CW1132" s="61">
        <f t="shared" si="1308"/>
        <v>0</v>
      </c>
      <c r="CX1132" s="61"/>
      <c r="CY1132" s="61">
        <f t="shared" si="1323"/>
        <v>0</v>
      </c>
      <c r="CZ1132" s="61">
        <f t="shared" si="1324"/>
        <v>0</v>
      </c>
      <c r="DA1132" s="61">
        <f t="shared" si="1325"/>
        <v>0</v>
      </c>
      <c r="DB1132" s="2" t="s">
        <v>102</v>
      </c>
      <c r="DC1132" s="2" t="s">
        <v>85</v>
      </c>
      <c r="DD1132" s="2" t="s">
        <v>142</v>
      </c>
      <c r="DE1132" s="2" t="s">
        <v>257</v>
      </c>
      <c r="DF1132" s="3" t="s">
        <v>86</v>
      </c>
      <c r="DG1132" s="62">
        <v>43105</v>
      </c>
      <c r="EC1132" s="60" t="str">
        <f>VLOOKUP($M1132,[1]Detail!$M:$BO,1,0)</f>
        <v>JD8C-5560-AB</v>
      </c>
      <c r="ED1132" s="60">
        <f>VLOOKUP($M1132,[1]Detail!$M:$BO,22,0)</f>
        <v>-41.269999999999996</v>
      </c>
      <c r="EE1132" s="60">
        <f>VLOOKUP($M1132,[1]Detail!$M:$BO,42,0)</f>
        <v>0</v>
      </c>
      <c r="EF1132" s="60">
        <f>VLOOKUP($M1132,[1]Detail!$M:$BO,45,0)</f>
        <v>0</v>
      </c>
      <c r="EH1132" s="60">
        <f t="shared" si="1326"/>
        <v>0</v>
      </c>
      <c r="EI1132" s="60">
        <f t="shared" si="1327"/>
        <v>0</v>
      </c>
      <c r="EJ1132" s="60">
        <f t="shared" si="1328"/>
        <v>0</v>
      </c>
    </row>
    <row r="1133" spans="2:140" ht="12.75" hidden="1" customHeight="1">
      <c r="B1133" s="23" t="s">
        <v>1828</v>
      </c>
      <c r="C1133" s="2" t="s">
        <v>1824</v>
      </c>
      <c r="D1133" s="86" t="s">
        <v>1825</v>
      </c>
      <c r="E1133" s="87" t="s">
        <v>338</v>
      </c>
      <c r="F1133" s="2" t="s">
        <v>330</v>
      </c>
      <c r="G1133" s="87" t="s">
        <v>1262</v>
      </c>
      <c r="J1133" s="1">
        <v>0</v>
      </c>
      <c r="K1133" s="1">
        <v>0</v>
      </c>
      <c r="L1133" s="1">
        <v>0</v>
      </c>
      <c r="M1133" s="90" t="str">
        <f t="shared" si="1263"/>
        <v>0-0-0</v>
      </c>
      <c r="O1133" s="89">
        <v>0</v>
      </c>
      <c r="P1133" s="89">
        <v>0</v>
      </c>
      <c r="Q1133" s="89">
        <v>0</v>
      </c>
      <c r="R1133" s="89">
        <v>0</v>
      </c>
      <c r="S1133" s="89">
        <v>0</v>
      </c>
      <c r="T1133" s="89">
        <v>0</v>
      </c>
      <c r="U1133" s="89">
        <v>0</v>
      </c>
      <c r="V1133" s="89">
        <v>0</v>
      </c>
      <c r="W1133" s="64">
        <f t="shared" si="1277"/>
        <v>0</v>
      </c>
      <c r="Y1133" s="63">
        <f>-37.19-0.87</f>
        <v>-38.059999999999995</v>
      </c>
      <c r="Z1133" s="63">
        <v>-1.86</v>
      </c>
      <c r="AA1133" s="63">
        <v>-3.31</v>
      </c>
      <c r="AB1133" s="63">
        <v>-0.17</v>
      </c>
      <c r="AC1133" s="63">
        <v>0</v>
      </c>
      <c r="AD1133" s="8">
        <f t="shared" si="1322"/>
        <v>-43.4</v>
      </c>
      <c r="AE1133" s="2" t="s">
        <v>91</v>
      </c>
      <c r="AG1133" s="70">
        <v>0</v>
      </c>
      <c r="AH1133" s="70">
        <v>0</v>
      </c>
      <c r="AI1133" s="70"/>
      <c r="AJ1133" s="70">
        <v>0</v>
      </c>
      <c r="AK1133" s="70">
        <v>0</v>
      </c>
      <c r="AM1133" s="22"/>
      <c r="AO1133" s="1" t="s">
        <v>98</v>
      </c>
      <c r="AP1133" s="1">
        <v>5560</v>
      </c>
      <c r="AQ1133" s="1" t="s">
        <v>100</v>
      </c>
      <c r="AR1133" s="90" t="str">
        <f t="shared" si="1291"/>
        <v>JD8C-5560-AA</v>
      </c>
      <c r="AS1133" s="3"/>
      <c r="AT1133" s="89">
        <v>0</v>
      </c>
      <c r="AU1133" s="89">
        <v>0</v>
      </c>
      <c r="AV1133" s="89">
        <v>2</v>
      </c>
      <c r="AW1133" s="89">
        <v>2</v>
      </c>
      <c r="AX1133" s="89">
        <v>2</v>
      </c>
      <c r="AY1133" s="89">
        <v>2</v>
      </c>
      <c r="AZ1133" s="89">
        <v>2</v>
      </c>
      <c r="BA1133" s="89">
        <v>2</v>
      </c>
      <c r="BB1133" s="64">
        <f t="shared" si="1279"/>
        <v>1.4000000000000001</v>
      </c>
      <c r="BD1133" s="63">
        <f>-37.19-0.87</f>
        <v>-38.059999999999995</v>
      </c>
      <c r="BE1133" s="63">
        <v>-1.86</v>
      </c>
      <c r="BF1133" s="63">
        <v>-3.31</v>
      </c>
      <c r="BG1133" s="63">
        <v>-0.17</v>
      </c>
      <c r="BH1133" s="63">
        <v>0</v>
      </c>
      <c r="BI1133" s="8">
        <f t="shared" si="1306"/>
        <v>-43.4</v>
      </c>
      <c r="BJ1133" s="2" t="s">
        <v>91</v>
      </c>
      <c r="BL1133" s="70">
        <v>0</v>
      </c>
      <c r="BM1133" s="70">
        <v>0</v>
      </c>
      <c r="BN1133" s="70"/>
      <c r="BO1133" s="70">
        <v>0</v>
      </c>
      <c r="BP1133" s="70">
        <v>0</v>
      </c>
      <c r="BS1133" s="61">
        <f t="shared" si="1280"/>
        <v>0</v>
      </c>
      <c r="BT1133" s="61">
        <f t="shared" si="1280"/>
        <v>0</v>
      </c>
      <c r="BU1133" s="61">
        <f t="shared" si="1280"/>
        <v>0</v>
      </c>
      <c r="BV1133" s="61">
        <f t="shared" si="1280"/>
        <v>0</v>
      </c>
      <c r="BW1133" s="61">
        <f t="shared" si="1280"/>
        <v>0</v>
      </c>
      <c r="BX1133" s="61">
        <f t="shared" si="1280"/>
        <v>0</v>
      </c>
      <c r="BY1133" s="61" t="s">
        <v>91</v>
      </c>
      <c r="CA1133" s="61">
        <f t="shared" si="1289"/>
        <v>0</v>
      </c>
      <c r="CB1133" s="61">
        <f t="shared" si="1289"/>
        <v>0</v>
      </c>
      <c r="CC1133" s="61">
        <f t="shared" si="1289"/>
        <v>11.45178275913946</v>
      </c>
      <c r="CD1133" s="61">
        <f t="shared" si="1289"/>
        <v>11.45178275913946</v>
      </c>
      <c r="CE1133" s="61">
        <f t="shared" si="1289"/>
        <v>11.45178275913946</v>
      </c>
      <c r="CF1133" s="61">
        <f t="shared" si="1289"/>
        <v>11.45178275913946</v>
      </c>
      <c r="CG1133" s="61">
        <f t="shared" si="1289"/>
        <v>11.45178275913946</v>
      </c>
      <c r="CH1133" s="61">
        <f t="shared" si="1289"/>
        <v>11.45178275913946</v>
      </c>
      <c r="CI1133" s="61">
        <f t="shared" si="1247"/>
        <v>8.016247931397622</v>
      </c>
      <c r="CJ1133" s="61"/>
      <c r="CK1133" s="61">
        <f t="shared" si="1260"/>
        <v>0</v>
      </c>
      <c r="CL1133" s="61">
        <f t="shared" si="1260"/>
        <v>0</v>
      </c>
      <c r="CM1133" s="61">
        <f t="shared" si="1260"/>
        <v>13.058522641793289</v>
      </c>
      <c r="CN1133" s="61">
        <f t="shared" si="1258"/>
        <v>13.058522641793289</v>
      </c>
      <c r="CO1133" s="61">
        <f t="shared" si="1258"/>
        <v>13.058522641793289</v>
      </c>
      <c r="CP1133" s="61">
        <f t="shared" si="1258"/>
        <v>13.058522641793289</v>
      </c>
      <c r="CQ1133" s="61">
        <f t="shared" si="1258"/>
        <v>13.058522641793289</v>
      </c>
      <c r="CR1133" s="61">
        <f t="shared" si="1258"/>
        <v>13.058522641793289</v>
      </c>
      <c r="CS1133" s="61">
        <f t="shared" si="1248"/>
        <v>9.1409658492553021</v>
      </c>
      <c r="CT1133" s="61">
        <f t="shared" si="1252"/>
        <v>60.76</v>
      </c>
      <c r="CV1133" s="61">
        <f t="shared" si="1307"/>
        <v>0</v>
      </c>
      <c r="CW1133" s="61">
        <f t="shared" si="1308"/>
        <v>0</v>
      </c>
      <c r="CX1133" s="61"/>
      <c r="CY1133" s="61">
        <f t="shared" si="1323"/>
        <v>0</v>
      </c>
      <c r="CZ1133" s="61">
        <f t="shared" si="1324"/>
        <v>0</v>
      </c>
      <c r="DA1133" s="61">
        <f t="shared" si="1325"/>
        <v>0</v>
      </c>
      <c r="DB1133" s="2" t="s">
        <v>102</v>
      </c>
      <c r="DC1133" s="2" t="s">
        <v>85</v>
      </c>
      <c r="DD1133" s="2" t="s">
        <v>142</v>
      </c>
      <c r="DE1133" s="2" t="s">
        <v>257</v>
      </c>
      <c r="DF1133" s="3" t="s">
        <v>86</v>
      </c>
      <c r="DG1133" s="62">
        <v>43105</v>
      </c>
      <c r="EC1133" s="60" t="str">
        <f>VLOOKUP($M1133,[1]Detail!$M:$BO,1,0)</f>
        <v>0-0-0</v>
      </c>
      <c r="ED1133" s="60">
        <f>VLOOKUP($M1133,[1]Detail!$M:$BO,22,0)</f>
        <v>0</v>
      </c>
      <c r="EE1133" s="60">
        <f>VLOOKUP($M1133,[1]Detail!$M:$BO,42,0)</f>
        <v>0</v>
      </c>
      <c r="EF1133" s="60">
        <f>VLOOKUP($M1133,[1]Detail!$M:$BO,45,0)</f>
        <v>0</v>
      </c>
      <c r="EH1133" s="60">
        <f t="shared" si="1326"/>
        <v>43.4</v>
      </c>
      <c r="EI1133" s="60">
        <f t="shared" si="1327"/>
        <v>0</v>
      </c>
      <c r="EJ1133" s="60">
        <f t="shared" si="1328"/>
        <v>0</v>
      </c>
    </row>
    <row r="1134" spans="2:140" ht="12.75" hidden="1" customHeight="1">
      <c r="B1134" s="122" t="s">
        <v>1829</v>
      </c>
      <c r="C1134" s="2" t="s">
        <v>1830</v>
      </c>
      <c r="D1134" s="2" t="s">
        <v>1831</v>
      </c>
      <c r="E1134" s="1" t="s">
        <v>338</v>
      </c>
      <c r="F1134" s="2" t="s">
        <v>330</v>
      </c>
      <c r="G1134" s="87" t="s">
        <v>994</v>
      </c>
      <c r="J1134" s="1" t="s">
        <v>1832</v>
      </c>
      <c r="K1134" s="1" t="s">
        <v>1833</v>
      </c>
      <c r="L1134" s="1" t="s">
        <v>1834</v>
      </c>
      <c r="M1134" s="90" t="str">
        <f t="shared" si="1263"/>
        <v>GN15-3F880-C1A</v>
      </c>
      <c r="O1134" s="89">
        <v>0</v>
      </c>
      <c r="P1134" s="89">
        <v>0</v>
      </c>
      <c r="Q1134" s="89">
        <v>0</v>
      </c>
      <c r="R1134" s="89">
        <v>0</v>
      </c>
      <c r="S1134" s="89">
        <v>0</v>
      </c>
      <c r="T1134" s="89">
        <v>0</v>
      </c>
      <c r="U1134" s="89">
        <v>1</v>
      </c>
      <c r="V1134" s="89">
        <v>1</v>
      </c>
      <c r="W1134" s="64">
        <f t="shared" si="1277"/>
        <v>0.1</v>
      </c>
      <c r="Y1134" s="63">
        <v>-182.84</v>
      </c>
      <c r="Z1134" s="63">
        <v>-1.1000000000000001</v>
      </c>
      <c r="AA1134" s="63">
        <v>-2.2000000000000002</v>
      </c>
      <c r="AB1134" s="63">
        <v>0</v>
      </c>
      <c r="AC1134" s="63">
        <v>0</v>
      </c>
      <c r="AD1134" s="8">
        <f t="shared" si="1276"/>
        <v>-186.14</v>
      </c>
      <c r="AE1134" s="2" t="s">
        <v>91</v>
      </c>
      <c r="AG1134" s="70">
        <v>0</v>
      </c>
      <c r="AH1134" s="70">
        <v>0</v>
      </c>
      <c r="AI1134" s="70"/>
      <c r="AJ1134" s="70">
        <v>0</v>
      </c>
      <c r="AK1134" s="70">
        <v>0</v>
      </c>
      <c r="AM1134" s="22"/>
      <c r="AO1134" s="1" t="s">
        <v>1835</v>
      </c>
      <c r="AP1134" s="1" t="s">
        <v>1836</v>
      </c>
      <c r="AQ1134" s="1" t="s">
        <v>1834</v>
      </c>
      <c r="AR1134" s="90" t="str">
        <f t="shared" si="1291"/>
        <v>GN15-3F880-C1A</v>
      </c>
      <c r="AS1134" s="3"/>
      <c r="AT1134" s="89">
        <v>0</v>
      </c>
      <c r="AU1134" s="89">
        <v>0</v>
      </c>
      <c r="AV1134" s="89">
        <v>0</v>
      </c>
      <c r="AW1134" s="89">
        <v>0</v>
      </c>
      <c r="AX1134" s="89">
        <v>0</v>
      </c>
      <c r="AY1134" s="89">
        <v>0</v>
      </c>
      <c r="AZ1134" s="89">
        <v>1</v>
      </c>
      <c r="BA1134" s="89">
        <v>1</v>
      </c>
      <c r="BB1134" s="92">
        <f t="shared" si="1279"/>
        <v>0.1</v>
      </c>
      <c r="BD1134" s="63">
        <v>-182.84</v>
      </c>
      <c r="BE1134" s="63">
        <v>-1.1000000000000001</v>
      </c>
      <c r="BF1134" s="63">
        <v>-2.2000000000000002</v>
      </c>
      <c r="BG1134" s="63">
        <v>0</v>
      </c>
      <c r="BH1134" s="63">
        <v>0</v>
      </c>
      <c r="BI1134" s="8">
        <f t="shared" si="1306"/>
        <v>-186.14</v>
      </c>
      <c r="BJ1134" s="2" t="s">
        <v>91</v>
      </c>
      <c r="BL1134" s="67">
        <v>0</v>
      </c>
      <c r="BM1134" s="67">
        <v>0</v>
      </c>
      <c r="BO1134" s="67">
        <v>0</v>
      </c>
      <c r="BP1134" s="67">
        <v>0</v>
      </c>
      <c r="BS1134" s="61">
        <f t="shared" si="1280"/>
        <v>0</v>
      </c>
      <c r="BT1134" s="61">
        <f t="shared" si="1280"/>
        <v>0</v>
      </c>
      <c r="BU1134" s="61">
        <f t="shared" si="1280"/>
        <v>0</v>
      </c>
      <c r="BV1134" s="61">
        <f t="shared" si="1280"/>
        <v>0</v>
      </c>
      <c r="BW1134" s="61">
        <f t="shared" si="1280"/>
        <v>0</v>
      </c>
      <c r="BX1134" s="61">
        <f t="shared" si="1280"/>
        <v>0</v>
      </c>
      <c r="BY1134" s="61" t="s">
        <v>91</v>
      </c>
      <c r="CA1134" s="61">
        <f t="shared" si="1289"/>
        <v>0</v>
      </c>
      <c r="CB1134" s="61">
        <f t="shared" si="1289"/>
        <v>0</v>
      </c>
      <c r="CC1134" s="61">
        <f t="shared" si="1289"/>
        <v>0</v>
      </c>
      <c r="CD1134" s="61">
        <f t="shared" si="1289"/>
        <v>0</v>
      </c>
      <c r="CE1134" s="61">
        <f t="shared" si="1289"/>
        <v>0</v>
      </c>
      <c r="CF1134" s="61">
        <f t="shared" si="1289"/>
        <v>0</v>
      </c>
      <c r="CG1134" s="61">
        <f t="shared" si="1289"/>
        <v>0</v>
      </c>
      <c r="CH1134" s="61">
        <f t="shared" si="1289"/>
        <v>0</v>
      </c>
      <c r="CI1134" s="61">
        <f t="shared" si="1247"/>
        <v>0</v>
      </c>
      <c r="CJ1134" s="61"/>
      <c r="CK1134" s="61">
        <f t="shared" si="1260"/>
        <v>0</v>
      </c>
      <c r="CL1134" s="61">
        <f t="shared" si="1260"/>
        <v>0</v>
      </c>
      <c r="CM1134" s="61">
        <f t="shared" si="1260"/>
        <v>0</v>
      </c>
      <c r="CN1134" s="61">
        <f t="shared" si="1258"/>
        <v>0</v>
      </c>
      <c r="CO1134" s="61">
        <f t="shared" si="1258"/>
        <v>0</v>
      </c>
      <c r="CP1134" s="61">
        <f t="shared" ref="CP1134:CR1197" si="1329">(T1134*$AD1134-AY1134*$BI1134)/$C$2</f>
        <v>0</v>
      </c>
      <c r="CQ1134" s="61">
        <f t="shared" si="1329"/>
        <v>0</v>
      </c>
      <c r="CR1134" s="61">
        <f t="shared" si="1329"/>
        <v>0</v>
      </c>
      <c r="CS1134" s="61">
        <f t="shared" si="1248"/>
        <v>0</v>
      </c>
      <c r="CT1134" s="61">
        <f t="shared" si="1252"/>
        <v>0</v>
      </c>
      <c r="CV1134" s="61">
        <f t="shared" si="1307"/>
        <v>0</v>
      </c>
      <c r="CW1134" s="61">
        <f t="shared" si="1308"/>
        <v>0</v>
      </c>
      <c r="CX1134" s="61"/>
      <c r="CY1134" s="61">
        <f t="shared" si="1311"/>
        <v>0</v>
      </c>
      <c r="CZ1134" s="61">
        <f t="shared" si="1309"/>
        <v>0</v>
      </c>
      <c r="DA1134" s="61">
        <f t="shared" si="1310"/>
        <v>0</v>
      </c>
      <c r="DB1134" s="2" t="s">
        <v>85</v>
      </c>
      <c r="DC1134" s="2" t="s">
        <v>102</v>
      </c>
      <c r="DD1134" s="2" t="s">
        <v>142</v>
      </c>
      <c r="DE1134" s="2" t="s">
        <v>257</v>
      </c>
      <c r="DF1134" s="3" t="s">
        <v>86</v>
      </c>
      <c r="DG1134" s="62">
        <v>42858</v>
      </c>
      <c r="EC1134" s="60"/>
      <c r="ED1134" s="60"/>
      <c r="EE1134" s="60"/>
      <c r="EF1134" s="60"/>
    </row>
    <row r="1135" spans="2:140" ht="12.75" hidden="1" customHeight="1">
      <c r="B1135" s="122" t="s">
        <v>1837</v>
      </c>
      <c r="C1135" s="2" t="s">
        <v>1830</v>
      </c>
      <c r="D1135" s="2" t="s">
        <v>1831</v>
      </c>
      <c r="E1135" s="1" t="s">
        <v>338</v>
      </c>
      <c r="F1135" s="2" t="s">
        <v>330</v>
      </c>
      <c r="G1135" s="87" t="s">
        <v>994</v>
      </c>
      <c r="J1135" s="1" t="s">
        <v>1832</v>
      </c>
      <c r="K1135" s="1" t="s">
        <v>1833</v>
      </c>
      <c r="L1135" s="1" t="s">
        <v>1838</v>
      </c>
      <c r="M1135" s="90" t="str">
        <f t="shared" si="1263"/>
        <v>GN15-3F880-C1B</v>
      </c>
      <c r="O1135" s="89">
        <v>0</v>
      </c>
      <c r="P1135" s="89">
        <v>0</v>
      </c>
      <c r="Q1135" s="89">
        <v>0</v>
      </c>
      <c r="R1135" s="89">
        <v>0</v>
      </c>
      <c r="S1135" s="89">
        <v>0</v>
      </c>
      <c r="T1135" s="89">
        <v>0</v>
      </c>
      <c r="U1135" s="89">
        <v>1</v>
      </c>
      <c r="V1135" s="89">
        <v>1</v>
      </c>
      <c r="W1135" s="64">
        <f t="shared" si="1277"/>
        <v>0.1</v>
      </c>
      <c r="Y1135" s="63">
        <f>4.8-182.84</f>
        <v>-178.04</v>
      </c>
      <c r="Z1135" s="63">
        <v>-1.1000000000000001</v>
      </c>
      <c r="AA1135" s="63">
        <v>-2.2000000000000002</v>
      </c>
      <c r="AB1135" s="63">
        <v>0</v>
      </c>
      <c r="AC1135" s="63">
        <v>0</v>
      </c>
      <c r="AD1135" s="8">
        <f t="shared" si="1322"/>
        <v>-181.33999999999997</v>
      </c>
      <c r="AE1135" s="2" t="s">
        <v>91</v>
      </c>
      <c r="AG1135" s="70">
        <v>0</v>
      </c>
      <c r="AH1135" s="70">
        <v>0</v>
      </c>
      <c r="AI1135" s="70"/>
      <c r="AJ1135" s="70">
        <v>0</v>
      </c>
      <c r="AK1135" s="70">
        <v>0</v>
      </c>
      <c r="AM1135" s="22"/>
      <c r="AO1135" s="1" t="s">
        <v>1835</v>
      </c>
      <c r="AP1135" s="1" t="s">
        <v>1836</v>
      </c>
      <c r="AQ1135" s="1" t="s">
        <v>1834</v>
      </c>
      <c r="AR1135" s="90" t="str">
        <f t="shared" si="1291"/>
        <v>GN15-3F880-C1A</v>
      </c>
      <c r="AS1135" s="3"/>
      <c r="AT1135" s="89">
        <v>0</v>
      </c>
      <c r="AU1135" s="89">
        <v>0</v>
      </c>
      <c r="AV1135" s="89">
        <v>0</v>
      </c>
      <c r="AW1135" s="89">
        <v>0</v>
      </c>
      <c r="AX1135" s="89">
        <v>0</v>
      </c>
      <c r="AY1135" s="89">
        <v>0</v>
      </c>
      <c r="AZ1135" s="89">
        <v>1</v>
      </c>
      <c r="BA1135" s="89">
        <v>1</v>
      </c>
      <c r="BB1135" s="92">
        <f t="shared" si="1279"/>
        <v>0.1</v>
      </c>
      <c r="BD1135" s="63">
        <v>-182.84</v>
      </c>
      <c r="BE1135" s="63">
        <v>-1.1000000000000001</v>
      </c>
      <c r="BF1135" s="63">
        <v>-2.2000000000000002</v>
      </c>
      <c r="BG1135" s="63">
        <v>0</v>
      </c>
      <c r="BH1135" s="63">
        <v>0</v>
      </c>
      <c r="BI1135" s="8">
        <f t="shared" ref="BI1135" si="1330">SUM(BD1135:BH1135)</f>
        <v>-186.14</v>
      </c>
      <c r="BJ1135" s="2" t="s">
        <v>91</v>
      </c>
      <c r="BL1135" s="67">
        <v>0</v>
      </c>
      <c r="BM1135" s="67">
        <v>0</v>
      </c>
      <c r="BO1135" s="67">
        <v>0</v>
      </c>
      <c r="BP1135" s="67">
        <v>0</v>
      </c>
      <c r="BS1135" s="61">
        <f t="shared" ref="BS1135:BX1167" si="1331">Y1135-BD1135</f>
        <v>4.8000000000000114</v>
      </c>
      <c r="BT1135" s="61">
        <f t="shared" si="1331"/>
        <v>0</v>
      </c>
      <c r="BU1135" s="61">
        <f t="shared" si="1331"/>
        <v>0</v>
      </c>
      <c r="BV1135" s="61">
        <f t="shared" si="1331"/>
        <v>0</v>
      </c>
      <c r="BW1135" s="61">
        <f t="shared" si="1331"/>
        <v>0</v>
      </c>
      <c r="BX1135" s="61">
        <f t="shared" si="1331"/>
        <v>4.8000000000000114</v>
      </c>
      <c r="BY1135" s="61" t="s">
        <v>91</v>
      </c>
      <c r="CA1135" s="61">
        <f t="shared" si="1289"/>
        <v>0</v>
      </c>
      <c r="CB1135" s="61">
        <f t="shared" si="1289"/>
        <v>0</v>
      </c>
      <c r="CC1135" s="61">
        <f t="shared" si="1289"/>
        <v>0</v>
      </c>
      <c r="CD1135" s="61">
        <f t="shared" si="1289"/>
        <v>0</v>
      </c>
      <c r="CE1135" s="61">
        <f t="shared" si="1289"/>
        <v>0</v>
      </c>
      <c r="CF1135" s="61">
        <f t="shared" si="1289"/>
        <v>0</v>
      </c>
      <c r="CG1135" s="61">
        <f t="shared" si="1289"/>
        <v>0.72213028433880111</v>
      </c>
      <c r="CH1135" s="61">
        <f t="shared" si="1289"/>
        <v>0.72213028433880111</v>
      </c>
      <c r="CI1135" s="61">
        <f t="shared" si="1247"/>
        <v>7.2213028433880111E-2</v>
      </c>
      <c r="CJ1135" s="61"/>
      <c r="CK1135" s="61">
        <f t="shared" si="1260"/>
        <v>0</v>
      </c>
      <c r="CL1135" s="61">
        <f t="shared" si="1260"/>
        <v>0</v>
      </c>
      <c r="CM1135" s="61">
        <f t="shared" si="1260"/>
        <v>0</v>
      </c>
      <c r="CN1135" s="61">
        <f t="shared" si="1260"/>
        <v>0</v>
      </c>
      <c r="CO1135" s="61">
        <f t="shared" si="1260"/>
        <v>0</v>
      </c>
      <c r="CP1135" s="61">
        <f t="shared" si="1329"/>
        <v>0</v>
      </c>
      <c r="CQ1135" s="67">
        <f t="shared" si="1329"/>
        <v>0.72213028433880111</v>
      </c>
      <c r="CR1135" s="61">
        <f t="shared" si="1329"/>
        <v>0.72213028433880111</v>
      </c>
      <c r="CS1135" s="67">
        <f t="shared" si="1248"/>
        <v>7.2213028433880111E-2</v>
      </c>
      <c r="CT1135" s="63">
        <f t="shared" si="1252"/>
        <v>0.48000000000000109</v>
      </c>
      <c r="CV1135" s="61">
        <f t="shared" ref="CV1135" si="1332">SUM(AG1135)-SUM(BL1135)</f>
        <v>0</v>
      </c>
      <c r="CW1135" s="61">
        <f t="shared" ref="CW1135" si="1333">SUM(AH1135)-SUM(BM1135)</f>
        <v>0</v>
      </c>
      <c r="CX1135" s="61"/>
      <c r="CY1135" s="61">
        <f t="shared" ref="CY1135:DA1136" si="1334">SUM(AJ1135)-SUM(BO1135)</f>
        <v>0</v>
      </c>
      <c r="CZ1135" s="61">
        <f t="shared" si="1334"/>
        <v>0</v>
      </c>
      <c r="DA1135" s="61">
        <f t="shared" si="1334"/>
        <v>0</v>
      </c>
      <c r="DB1135" s="2" t="s">
        <v>85</v>
      </c>
      <c r="DC1135" s="2" t="s">
        <v>85</v>
      </c>
      <c r="DD1135" s="2" t="s">
        <v>142</v>
      </c>
      <c r="DE1135" s="2" t="s">
        <v>106</v>
      </c>
      <c r="DF1135" s="3" t="s">
        <v>102</v>
      </c>
      <c r="DG1135" s="62">
        <v>43070</v>
      </c>
      <c r="EC1135" s="60"/>
      <c r="ED1135" s="60"/>
      <c r="EE1135" s="60"/>
      <c r="EF1135" s="60"/>
    </row>
    <row r="1136" spans="2:140" ht="12.75" hidden="1" customHeight="1">
      <c r="B1136" s="122" t="s">
        <v>1839</v>
      </c>
      <c r="C1136" s="2" t="s">
        <v>1830</v>
      </c>
      <c r="D1136" s="2" t="s">
        <v>1831</v>
      </c>
      <c r="E1136" s="1" t="s">
        <v>338</v>
      </c>
      <c r="F1136" s="2" t="s">
        <v>330</v>
      </c>
      <c r="G1136" s="87" t="s">
        <v>994</v>
      </c>
      <c r="J1136" s="1" t="s">
        <v>1832</v>
      </c>
      <c r="K1136" s="1" t="s">
        <v>1833</v>
      </c>
      <c r="L1136" s="1" t="s">
        <v>1840</v>
      </c>
      <c r="M1136" s="90" t="str">
        <f t="shared" si="1263"/>
        <v>GN15-3F880-C1C</v>
      </c>
      <c r="O1136" s="89">
        <v>0</v>
      </c>
      <c r="P1136" s="89">
        <v>0</v>
      </c>
      <c r="Q1136" s="89">
        <v>0</v>
      </c>
      <c r="R1136" s="89">
        <v>0</v>
      </c>
      <c r="S1136" s="89">
        <v>0</v>
      </c>
      <c r="T1136" s="89">
        <v>0</v>
      </c>
      <c r="U1136" s="89">
        <v>1</v>
      </c>
      <c r="V1136" s="89">
        <v>1</v>
      </c>
      <c r="W1136" s="64">
        <f t="shared" si="1277"/>
        <v>0.1</v>
      </c>
      <c r="Y1136" s="63">
        <f>4.8-182.84</f>
        <v>-178.04</v>
      </c>
      <c r="Z1136" s="63">
        <v>-1.1000000000000001</v>
      </c>
      <c r="AA1136" s="63">
        <v>-2.2000000000000002</v>
      </c>
      <c r="AB1136" s="63">
        <v>0</v>
      </c>
      <c r="AC1136" s="63">
        <v>0</v>
      </c>
      <c r="AD1136" s="8">
        <f t="shared" ref="AD1136" si="1335">SUM(Y1136:AC1136)</f>
        <v>-181.33999999999997</v>
      </c>
      <c r="AE1136" s="2" t="s">
        <v>91</v>
      </c>
      <c r="AG1136" s="70">
        <v>0</v>
      </c>
      <c r="AH1136" s="70">
        <v>0</v>
      </c>
      <c r="AI1136" s="70"/>
      <c r="AJ1136" s="70">
        <v>0</v>
      </c>
      <c r="AK1136" s="70">
        <v>0</v>
      </c>
      <c r="AM1136" s="22"/>
      <c r="AO1136" s="1" t="s">
        <v>1832</v>
      </c>
      <c r="AP1136" s="1" t="s">
        <v>1833</v>
      </c>
      <c r="AQ1136" s="1" t="s">
        <v>1838</v>
      </c>
      <c r="AR1136" s="90" t="str">
        <f t="shared" si="1291"/>
        <v>GN15-3F880-C1B</v>
      </c>
      <c r="AS1136" s="3"/>
      <c r="AT1136" s="89">
        <v>0</v>
      </c>
      <c r="AU1136" s="89">
        <v>0</v>
      </c>
      <c r="AV1136" s="89">
        <v>0</v>
      </c>
      <c r="AW1136" s="89">
        <v>0</v>
      </c>
      <c r="AX1136" s="89">
        <v>0</v>
      </c>
      <c r="AY1136" s="89">
        <v>0</v>
      </c>
      <c r="AZ1136" s="89">
        <v>1</v>
      </c>
      <c r="BA1136" s="89">
        <v>1</v>
      </c>
      <c r="BB1136" s="64">
        <f t="shared" si="1279"/>
        <v>0.1</v>
      </c>
      <c r="BD1136" s="63">
        <f>4.8-182.84</f>
        <v>-178.04</v>
      </c>
      <c r="BE1136" s="63">
        <v>-1.1000000000000001</v>
      </c>
      <c r="BF1136" s="63">
        <v>-2.2000000000000002</v>
      </c>
      <c r="BG1136" s="63">
        <v>0</v>
      </c>
      <c r="BH1136" s="63">
        <v>0</v>
      </c>
      <c r="BI1136" s="8">
        <f t="shared" ref="BI1136" si="1336">SUM(BD1136:BH1136)</f>
        <v>-181.33999999999997</v>
      </c>
      <c r="BJ1136" s="2" t="s">
        <v>91</v>
      </c>
      <c r="BL1136" s="67">
        <v>0</v>
      </c>
      <c r="BM1136" s="67">
        <v>0</v>
      </c>
      <c r="BO1136" s="67">
        <v>0</v>
      </c>
      <c r="BP1136" s="67">
        <v>0</v>
      </c>
      <c r="BS1136" s="61">
        <f t="shared" si="1331"/>
        <v>0</v>
      </c>
      <c r="BT1136" s="61">
        <f t="shared" si="1331"/>
        <v>0</v>
      </c>
      <c r="BU1136" s="61">
        <f t="shared" si="1331"/>
        <v>0</v>
      </c>
      <c r="BV1136" s="61">
        <f t="shared" si="1331"/>
        <v>0</v>
      </c>
      <c r="BW1136" s="61">
        <f t="shared" si="1331"/>
        <v>0</v>
      </c>
      <c r="BX1136" s="61">
        <f t="shared" si="1331"/>
        <v>0</v>
      </c>
      <c r="BY1136" s="61" t="s">
        <v>91</v>
      </c>
      <c r="CA1136" s="61">
        <f t="shared" si="1289"/>
        <v>0</v>
      </c>
      <c r="CB1136" s="61">
        <f t="shared" si="1289"/>
        <v>0</v>
      </c>
      <c r="CC1136" s="61">
        <f t="shared" si="1289"/>
        <v>0</v>
      </c>
      <c r="CD1136" s="61">
        <f t="shared" si="1289"/>
        <v>0</v>
      </c>
      <c r="CE1136" s="61">
        <f t="shared" si="1289"/>
        <v>0</v>
      </c>
      <c r="CF1136" s="61">
        <f t="shared" si="1289"/>
        <v>0</v>
      </c>
      <c r="CG1136" s="61">
        <f t="shared" si="1289"/>
        <v>0</v>
      </c>
      <c r="CH1136" s="61">
        <f t="shared" si="1289"/>
        <v>0</v>
      </c>
      <c r="CI1136" s="61">
        <f t="shared" si="1247"/>
        <v>0</v>
      </c>
      <c r="CJ1136" s="61"/>
      <c r="CK1136" s="61">
        <f t="shared" si="1260"/>
        <v>0</v>
      </c>
      <c r="CL1136" s="61">
        <f t="shared" si="1260"/>
        <v>0</v>
      </c>
      <c r="CM1136" s="61">
        <f t="shared" si="1260"/>
        <v>0</v>
      </c>
      <c r="CN1136" s="61">
        <f t="shared" si="1260"/>
        <v>0</v>
      </c>
      <c r="CO1136" s="61">
        <f t="shared" si="1260"/>
        <v>0</v>
      </c>
      <c r="CP1136" s="61">
        <f t="shared" si="1329"/>
        <v>0</v>
      </c>
      <c r="CQ1136" s="67">
        <f t="shared" si="1329"/>
        <v>0</v>
      </c>
      <c r="CR1136" s="61">
        <f t="shared" si="1329"/>
        <v>0</v>
      </c>
      <c r="CS1136" s="67">
        <f t="shared" si="1248"/>
        <v>0</v>
      </c>
      <c r="CT1136" s="63">
        <f t="shared" si="1252"/>
        <v>0</v>
      </c>
      <c r="CV1136" s="61">
        <f t="shared" ref="CV1136" si="1337">SUM(AG1136)-SUM(BL1136)</f>
        <v>0</v>
      </c>
      <c r="CW1136" s="61">
        <f t="shared" ref="CW1136" si="1338">SUM(AH1136)-SUM(BM1136)</f>
        <v>0</v>
      </c>
      <c r="CX1136" s="61"/>
      <c r="CY1136" s="61">
        <f t="shared" si="1334"/>
        <v>0</v>
      </c>
      <c r="CZ1136" s="61">
        <f t="shared" si="1334"/>
        <v>0</v>
      </c>
      <c r="DA1136" s="61">
        <f t="shared" si="1334"/>
        <v>0</v>
      </c>
      <c r="DB1136" s="2" t="s">
        <v>86</v>
      </c>
      <c r="DC1136" s="2" t="s">
        <v>85</v>
      </c>
      <c r="DD1136" s="2" t="s">
        <v>142</v>
      </c>
      <c r="DE1136" s="2" t="s">
        <v>106</v>
      </c>
      <c r="DG1136" s="62"/>
      <c r="DZ1136" s="3" t="e">
        <v>#N/A</v>
      </c>
      <c r="EC1136" s="60" t="str">
        <f>VLOOKUP($M1136,[1]Detail!$M:$BO,1,0)</f>
        <v>GN15-3F880-C1C</v>
      </c>
      <c r="ED1136" s="60">
        <f>VLOOKUP($M1136,[1]Detail!$M:$BO,22,0)</f>
        <v>-181.33999999999997</v>
      </c>
      <c r="EE1136" s="60">
        <f>VLOOKUP($M1136,[1]Detail!$M:$BO,42,0)</f>
        <v>0</v>
      </c>
      <c r="EF1136" s="60">
        <f>VLOOKUP($M1136,[1]Detail!$M:$BO,45,0)</f>
        <v>0</v>
      </c>
      <c r="EH1136" s="60">
        <f t="shared" ref="EH1136:EH1139" si="1339">ED1136-AD1136</f>
        <v>0</v>
      </c>
      <c r="EI1136" s="60">
        <f t="shared" ref="EI1136:EI1139" si="1340">EE1136-AG1136</f>
        <v>0</v>
      </c>
      <c r="EJ1136" s="60">
        <f t="shared" ref="EJ1136:EJ1139" si="1341">EF1136-AJ1136</f>
        <v>0</v>
      </c>
    </row>
    <row r="1137" spans="1:140" ht="12.75" hidden="1" customHeight="1">
      <c r="B1137" s="122" t="s">
        <v>1841</v>
      </c>
      <c r="C1137" s="2" t="s">
        <v>1842</v>
      </c>
      <c r="D1137" s="2" t="s">
        <v>1843</v>
      </c>
      <c r="E1137" s="1" t="s">
        <v>338</v>
      </c>
      <c r="F1137" s="2" t="s">
        <v>330</v>
      </c>
      <c r="G1137" s="87" t="s">
        <v>1262</v>
      </c>
      <c r="J1137" s="1" t="s">
        <v>98</v>
      </c>
      <c r="K1137" s="1" t="s">
        <v>1844</v>
      </c>
      <c r="L1137" s="1" t="s">
        <v>100</v>
      </c>
      <c r="M1137" s="90" t="str">
        <f t="shared" si="1263"/>
        <v>JD8C-7B633-AA</v>
      </c>
      <c r="O1137" s="89">
        <v>1</v>
      </c>
      <c r="P1137" s="89">
        <v>0</v>
      </c>
      <c r="Q1137" s="89">
        <v>1</v>
      </c>
      <c r="R1137" s="89">
        <v>0</v>
      </c>
      <c r="S1137" s="89">
        <v>1</v>
      </c>
      <c r="T1137" s="89">
        <v>0</v>
      </c>
      <c r="U1137" s="89">
        <v>0</v>
      </c>
      <c r="V1137" s="89">
        <v>0</v>
      </c>
      <c r="W1137" s="64">
        <f t="shared" si="1277"/>
        <v>0.37</v>
      </c>
      <c r="Y1137" s="63">
        <f>-49.14-0.47</f>
        <v>-49.61</v>
      </c>
      <c r="Z1137" s="63">
        <v>-0.5</v>
      </c>
      <c r="AA1137" s="63">
        <v>-1</v>
      </c>
      <c r="AB1137" s="63">
        <v>0</v>
      </c>
      <c r="AC1137" s="63">
        <v>0</v>
      </c>
      <c r="AD1137" s="63">
        <f t="shared" si="1276"/>
        <v>-51.11</v>
      </c>
      <c r="AE1137" s="2" t="s">
        <v>91</v>
      </c>
      <c r="AF1137" s="63"/>
      <c r="AG1137" s="63">
        <v>-68800</v>
      </c>
      <c r="AH1137" s="63">
        <f>AG1137</f>
        <v>-68800</v>
      </c>
      <c r="AI1137" s="6"/>
      <c r="AJ1137" s="63">
        <v>0</v>
      </c>
      <c r="AK1137" s="70">
        <v>0</v>
      </c>
      <c r="AM1137" s="22"/>
      <c r="AO1137" s="1" t="s">
        <v>374</v>
      </c>
      <c r="AP1137" s="1" t="s">
        <v>1845</v>
      </c>
      <c r="AQ1137" s="1" t="s">
        <v>234</v>
      </c>
      <c r="AR1137" s="90" t="str">
        <f t="shared" si="1291"/>
        <v>BV61-7B633 -AC</v>
      </c>
      <c r="AS1137" s="3"/>
      <c r="AT1137" s="89">
        <v>1</v>
      </c>
      <c r="AU1137" s="89">
        <v>0</v>
      </c>
      <c r="AV1137" s="89">
        <v>1</v>
      </c>
      <c r="AW1137" s="89">
        <v>0</v>
      </c>
      <c r="AX1137" s="89">
        <v>1</v>
      </c>
      <c r="AY1137" s="89">
        <v>0</v>
      </c>
      <c r="AZ1137" s="89">
        <v>0</v>
      </c>
      <c r="BA1137" s="89">
        <v>0</v>
      </c>
      <c r="BB1137" s="92">
        <f t="shared" si="1279"/>
        <v>0.37</v>
      </c>
      <c r="BD1137" s="63">
        <f>-49.61+0.47</f>
        <v>-49.14</v>
      </c>
      <c r="BE1137" s="63">
        <v>-0.5</v>
      </c>
      <c r="BF1137" s="63">
        <v>-1</v>
      </c>
      <c r="BG1137" s="63">
        <v>0</v>
      </c>
      <c r="BH1137" s="63">
        <v>0</v>
      </c>
      <c r="BI1137" s="8">
        <f t="shared" si="1306"/>
        <v>-50.64</v>
      </c>
      <c r="BJ1137" s="2" t="s">
        <v>91</v>
      </c>
      <c r="BL1137" s="67">
        <v>0</v>
      </c>
      <c r="BM1137" s="67">
        <v>0</v>
      </c>
      <c r="BN1137" s="67"/>
      <c r="BO1137" s="67">
        <v>0</v>
      </c>
      <c r="BP1137" s="67">
        <v>0</v>
      </c>
      <c r="BS1137" s="61">
        <f t="shared" si="1331"/>
        <v>-0.46999999999999886</v>
      </c>
      <c r="BT1137" s="61">
        <f t="shared" si="1331"/>
        <v>0</v>
      </c>
      <c r="BU1137" s="61">
        <f t="shared" si="1331"/>
        <v>0</v>
      </c>
      <c r="BV1137" s="61">
        <f t="shared" si="1331"/>
        <v>0</v>
      </c>
      <c r="BW1137" s="61">
        <f t="shared" si="1331"/>
        <v>0</v>
      </c>
      <c r="BX1137" s="61">
        <f t="shared" si="1331"/>
        <v>-0.46999999999999886</v>
      </c>
      <c r="BY1137" s="61" t="s">
        <v>91</v>
      </c>
      <c r="CA1137" s="61">
        <f t="shared" si="1289"/>
        <v>-7.0708590341507269E-2</v>
      </c>
      <c r="CB1137" s="61">
        <f t="shared" si="1289"/>
        <v>0</v>
      </c>
      <c r="CC1137" s="61">
        <f t="shared" si="1289"/>
        <v>-7.0708590341507269E-2</v>
      </c>
      <c r="CD1137" s="61">
        <f t="shared" si="1289"/>
        <v>0</v>
      </c>
      <c r="CE1137" s="61">
        <f t="shared" si="1289"/>
        <v>-7.0708590341507269E-2</v>
      </c>
      <c r="CF1137" s="61">
        <f t="shared" si="1289"/>
        <v>0</v>
      </c>
      <c r="CG1137" s="61">
        <f t="shared" si="1289"/>
        <v>0</v>
      </c>
      <c r="CH1137" s="61">
        <f t="shared" ref="CH1137:CH1200" si="1342">($Y1137*V1137-BA1137*$BD1137)/$C$2</f>
        <v>0</v>
      </c>
      <c r="CI1137" s="61">
        <f t="shared" si="1247"/>
        <v>-2.6162178426357693E-2</v>
      </c>
      <c r="CJ1137" s="61"/>
      <c r="CK1137" s="61">
        <f t="shared" si="1260"/>
        <v>-7.0708590341507269E-2</v>
      </c>
      <c r="CL1137" s="61">
        <f t="shared" si="1260"/>
        <v>0</v>
      </c>
      <c r="CM1137" s="61">
        <f t="shared" si="1260"/>
        <v>-7.0708590341507269E-2</v>
      </c>
      <c r="CN1137" s="61">
        <f t="shared" si="1260"/>
        <v>0</v>
      </c>
      <c r="CO1137" s="61">
        <f t="shared" si="1260"/>
        <v>-7.0708590341507269E-2</v>
      </c>
      <c r="CP1137" s="61">
        <f t="shared" si="1329"/>
        <v>0</v>
      </c>
      <c r="CQ1137" s="61">
        <f t="shared" si="1329"/>
        <v>0</v>
      </c>
      <c r="CR1137" s="61">
        <f t="shared" si="1329"/>
        <v>0</v>
      </c>
      <c r="CS1137" s="61">
        <f t="shared" si="1248"/>
        <v>-2.6162178426357693E-2</v>
      </c>
      <c r="CT1137" s="61">
        <f t="shared" si="1252"/>
        <v>-0.17389999999999958</v>
      </c>
      <c r="CV1137" s="61">
        <f t="shared" si="1307"/>
        <v>-68800</v>
      </c>
      <c r="CW1137" s="61">
        <f t="shared" si="1308"/>
        <v>-68800</v>
      </c>
      <c r="CX1137" s="61"/>
      <c r="CY1137" s="61">
        <f t="shared" si="1311"/>
        <v>0</v>
      </c>
      <c r="CZ1137" s="61">
        <f t="shared" si="1309"/>
        <v>0</v>
      </c>
      <c r="DA1137" s="61">
        <f t="shared" si="1310"/>
        <v>0</v>
      </c>
      <c r="DB1137" s="2" t="s">
        <v>102</v>
      </c>
      <c r="DC1137" s="2" t="s">
        <v>102</v>
      </c>
      <c r="DD1137" s="2" t="s">
        <v>142</v>
      </c>
      <c r="DE1137" s="2" t="s">
        <v>257</v>
      </c>
      <c r="DF1137" s="3" t="s">
        <v>86</v>
      </c>
      <c r="DG1137" s="62">
        <v>42858</v>
      </c>
      <c r="EC1137" s="60" t="str">
        <f>VLOOKUP($M1137,[1]Detail!$M:$BO,1,0)</f>
        <v>JD8C-7B633-AA</v>
      </c>
      <c r="ED1137" s="60">
        <f>VLOOKUP($M1137,[1]Detail!$M:$BO,22,0)</f>
        <v>-51.11</v>
      </c>
      <c r="EE1137" s="60">
        <f>VLOOKUP($M1137,[1]Detail!$M:$BO,42,0)</f>
        <v>-68800</v>
      </c>
      <c r="EF1137" s="60">
        <f>VLOOKUP($M1137,[1]Detail!$M:$BO,45,0)</f>
        <v>0</v>
      </c>
      <c r="EH1137" s="60">
        <f t="shared" si="1339"/>
        <v>0</v>
      </c>
      <c r="EI1137" s="60">
        <f t="shared" si="1340"/>
        <v>0</v>
      </c>
      <c r="EJ1137" s="60">
        <f t="shared" si="1341"/>
        <v>0</v>
      </c>
    </row>
    <row r="1138" spans="1:140" hidden="1">
      <c r="B1138" s="122" t="s">
        <v>1846</v>
      </c>
      <c r="C1138" s="2" t="s">
        <v>1847</v>
      </c>
      <c r="D1138" s="86" t="s">
        <v>1848</v>
      </c>
      <c r="E1138" s="1" t="s">
        <v>523</v>
      </c>
      <c r="F1138" s="2" t="s">
        <v>330</v>
      </c>
      <c r="G1138" s="87" t="s">
        <v>339</v>
      </c>
      <c r="J1138" s="1"/>
      <c r="K1138" s="1" t="s">
        <v>1849</v>
      </c>
      <c r="L1138" s="1" t="s">
        <v>1265</v>
      </c>
      <c r="M1138" s="90" t="str">
        <f t="shared" si="1263"/>
        <v>-W505424 -S442</v>
      </c>
      <c r="O1138" s="89">
        <v>0</v>
      </c>
      <c r="P1138" s="89">
        <v>0</v>
      </c>
      <c r="Q1138" s="89">
        <v>0</v>
      </c>
      <c r="R1138" s="89">
        <v>0</v>
      </c>
      <c r="S1138" s="89">
        <v>1</v>
      </c>
      <c r="T1138" s="89">
        <v>1</v>
      </c>
      <c r="U1138" s="89">
        <v>0</v>
      </c>
      <c r="V1138" s="89">
        <v>0</v>
      </c>
      <c r="W1138" s="64">
        <f t="shared" si="1277"/>
        <v>0.23</v>
      </c>
      <c r="X1138" s="89"/>
      <c r="Y1138" s="63">
        <v>-2.5100000000000001E-2</v>
      </c>
      <c r="Z1138" s="63">
        <v>0</v>
      </c>
      <c r="AA1138" s="63">
        <v>0</v>
      </c>
      <c r="AB1138" s="63">
        <v>0</v>
      </c>
      <c r="AC1138" s="63">
        <v>0</v>
      </c>
      <c r="AD1138" s="63">
        <f t="shared" si="1276"/>
        <v>-2.5100000000000001E-2</v>
      </c>
      <c r="AE1138" s="2" t="s">
        <v>91</v>
      </c>
      <c r="AF1138" s="63"/>
      <c r="AG1138" s="63">
        <v>0</v>
      </c>
      <c r="AH1138" s="63">
        <v>0</v>
      </c>
      <c r="AI1138" s="63"/>
      <c r="AJ1138" s="63">
        <v>0</v>
      </c>
      <c r="AK1138" s="70">
        <v>0</v>
      </c>
      <c r="AM1138" s="22"/>
      <c r="AO1138" s="1">
        <v>0</v>
      </c>
      <c r="AP1138" s="1">
        <v>0</v>
      </c>
      <c r="AQ1138" s="1">
        <v>0</v>
      </c>
      <c r="AR1138" s="90" t="str">
        <f t="shared" si="1291"/>
        <v>0-0-0</v>
      </c>
      <c r="AS1138" s="87"/>
      <c r="AT1138" s="89">
        <v>0</v>
      </c>
      <c r="AU1138" s="89">
        <v>0</v>
      </c>
      <c r="AV1138" s="89">
        <v>0</v>
      </c>
      <c r="AW1138" s="89">
        <v>0</v>
      </c>
      <c r="AX1138" s="89">
        <v>0</v>
      </c>
      <c r="AY1138" s="89">
        <v>0</v>
      </c>
      <c r="AZ1138" s="89">
        <v>0</v>
      </c>
      <c r="BA1138" s="89">
        <v>0</v>
      </c>
      <c r="BB1138" s="92">
        <f t="shared" si="1279"/>
        <v>0</v>
      </c>
      <c r="BD1138" s="267">
        <v>0</v>
      </c>
      <c r="BE1138" s="267">
        <v>0</v>
      </c>
      <c r="BF1138" s="267">
        <v>0</v>
      </c>
      <c r="BG1138" s="267">
        <v>0</v>
      </c>
      <c r="BH1138" s="267">
        <v>0</v>
      </c>
      <c r="BI1138" s="8">
        <f t="shared" si="1306"/>
        <v>0</v>
      </c>
      <c r="BJ1138" s="2" t="s">
        <v>91</v>
      </c>
      <c r="BL1138" s="67">
        <v>0</v>
      </c>
      <c r="BM1138" s="67">
        <v>0</v>
      </c>
      <c r="BN1138" s="67"/>
      <c r="BO1138" s="67">
        <v>0</v>
      </c>
      <c r="BP1138" s="67">
        <v>0</v>
      </c>
      <c r="BS1138" s="61">
        <f t="shared" si="1331"/>
        <v>-2.5100000000000001E-2</v>
      </c>
      <c r="BT1138" s="61">
        <f t="shared" si="1331"/>
        <v>0</v>
      </c>
      <c r="BU1138" s="61">
        <f t="shared" si="1331"/>
        <v>0</v>
      </c>
      <c r="BV1138" s="61">
        <f t="shared" si="1331"/>
        <v>0</v>
      </c>
      <c r="BW1138" s="61">
        <f t="shared" si="1331"/>
        <v>0</v>
      </c>
      <c r="BX1138" s="61">
        <f t="shared" si="1331"/>
        <v>-2.5100000000000001E-2</v>
      </c>
      <c r="BY1138" s="61" t="s">
        <v>91</v>
      </c>
      <c r="CA1138" s="61">
        <f t="shared" ref="CA1138:CG1169" si="1343">($Y1138*O1138-AT1138*$BD1138)/$C$2</f>
        <v>0</v>
      </c>
      <c r="CB1138" s="61">
        <f t="shared" si="1343"/>
        <v>0</v>
      </c>
      <c r="CC1138" s="61">
        <f t="shared" si="1343"/>
        <v>0</v>
      </c>
      <c r="CD1138" s="61">
        <f t="shared" si="1343"/>
        <v>0</v>
      </c>
      <c r="CE1138" s="61">
        <f t="shared" si="1343"/>
        <v>-3.776139611854972E-3</v>
      </c>
      <c r="CF1138" s="61">
        <f t="shared" si="1343"/>
        <v>-3.776139611854972E-3</v>
      </c>
      <c r="CG1138" s="61">
        <f t="shared" si="1343"/>
        <v>0</v>
      </c>
      <c r="CH1138" s="61">
        <f t="shared" si="1342"/>
        <v>0</v>
      </c>
      <c r="CI1138" s="61">
        <f t="shared" ref="CI1138:CI1201" si="1344">SUMPRODUCT(CA1138:CH1138,$O$6:$V$6)</f>
        <v>-8.6851211072664367E-4</v>
      </c>
      <c r="CJ1138" s="61"/>
      <c r="CK1138" s="61">
        <f t="shared" si="1260"/>
        <v>0</v>
      </c>
      <c r="CL1138" s="61">
        <f t="shared" si="1260"/>
        <v>0</v>
      </c>
      <c r="CM1138" s="61">
        <f t="shared" si="1260"/>
        <v>0</v>
      </c>
      <c r="CN1138" s="61">
        <f t="shared" si="1260"/>
        <v>0</v>
      </c>
      <c r="CO1138" s="61">
        <f t="shared" si="1260"/>
        <v>-3.776139611854972E-3</v>
      </c>
      <c r="CP1138" s="61">
        <f t="shared" si="1329"/>
        <v>-3.776139611854972E-3</v>
      </c>
      <c r="CQ1138" s="61">
        <f t="shared" si="1329"/>
        <v>0</v>
      </c>
      <c r="CR1138" s="61">
        <f t="shared" si="1329"/>
        <v>0</v>
      </c>
      <c r="CS1138" s="61">
        <f t="shared" ref="CS1138:CS1201" si="1345">SUMPRODUCT(CK1138:CR1138,$O$6:$V$6)</f>
        <v>-8.6851211072664367E-4</v>
      </c>
      <c r="CT1138" s="61">
        <f t="shared" si="1252"/>
        <v>-5.7730000000000004E-3</v>
      </c>
      <c r="CV1138" s="61">
        <f t="shared" si="1307"/>
        <v>0</v>
      </c>
      <c r="CW1138" s="61">
        <f t="shared" si="1308"/>
        <v>0</v>
      </c>
      <c r="CX1138" s="61"/>
      <c r="CY1138" s="61">
        <f t="shared" si="1311"/>
        <v>0</v>
      </c>
      <c r="CZ1138" s="61">
        <f t="shared" si="1309"/>
        <v>0</v>
      </c>
      <c r="DA1138" s="61">
        <f t="shared" si="1310"/>
        <v>0</v>
      </c>
      <c r="DB1138" s="2" t="s">
        <v>102</v>
      </c>
      <c r="DC1138" s="2" t="s">
        <v>102</v>
      </c>
      <c r="DD1138" s="2" t="s">
        <v>142</v>
      </c>
      <c r="DE1138" s="2" t="s">
        <v>257</v>
      </c>
      <c r="DF1138" s="3" t="s">
        <v>86</v>
      </c>
      <c r="DG1138" s="62">
        <v>42879</v>
      </c>
      <c r="EC1138" s="60" t="str">
        <f>VLOOKUP($M1138,[1]Detail!$M:$BO,1,0)</f>
        <v>-W505424 -S442</v>
      </c>
      <c r="ED1138" s="60">
        <f>VLOOKUP($M1138,[1]Detail!$M:$BO,22,0)</f>
        <v>-2.5100000000000001E-2</v>
      </c>
      <c r="EE1138" s="60">
        <f>VLOOKUP($M1138,[1]Detail!$M:$BO,42,0)</f>
        <v>0</v>
      </c>
      <c r="EF1138" s="60">
        <f>VLOOKUP($M1138,[1]Detail!$M:$BO,45,0)</f>
        <v>0</v>
      </c>
      <c r="EH1138" s="60">
        <f t="shared" si="1339"/>
        <v>0</v>
      </c>
      <c r="EI1138" s="60">
        <f t="shared" si="1340"/>
        <v>0</v>
      </c>
      <c r="EJ1138" s="60">
        <f t="shared" si="1341"/>
        <v>0</v>
      </c>
    </row>
    <row r="1139" spans="1:140" ht="12.75" hidden="1" customHeight="1">
      <c r="B1139" s="122" t="s">
        <v>1850</v>
      </c>
      <c r="C1139" s="2" t="s">
        <v>1851</v>
      </c>
      <c r="D1139" s="2" t="s">
        <v>1852</v>
      </c>
      <c r="E1139" s="1" t="s">
        <v>523</v>
      </c>
      <c r="F1139" s="2" t="s">
        <v>330</v>
      </c>
      <c r="G1139" s="87" t="s">
        <v>994</v>
      </c>
      <c r="J1139" s="1" t="s">
        <v>600</v>
      </c>
      <c r="K1139" s="1" t="s">
        <v>1853</v>
      </c>
      <c r="L1139" s="1" t="s">
        <v>1854</v>
      </c>
      <c r="M1139" s="90" t="str">
        <f t="shared" si="1263"/>
        <v>JX61-5F228-YA</v>
      </c>
      <c r="O1139" s="89">
        <v>0</v>
      </c>
      <c r="P1139" s="89">
        <v>0</v>
      </c>
      <c r="Q1139" s="89">
        <v>0</v>
      </c>
      <c r="R1139" s="89">
        <v>0</v>
      </c>
      <c r="S1139" s="89">
        <v>1</v>
      </c>
      <c r="T1139" s="89">
        <v>1</v>
      </c>
      <c r="U1139" s="89">
        <v>1</v>
      </c>
      <c r="V1139" s="89">
        <v>1</v>
      </c>
      <c r="W1139" s="64">
        <f t="shared" si="1277"/>
        <v>0.33</v>
      </c>
      <c r="X1139" s="89"/>
      <c r="Y1139" s="63">
        <v>-560.44000000000005</v>
      </c>
      <c r="Z1139" s="63">
        <v>0</v>
      </c>
      <c r="AA1139" s="63">
        <v>0</v>
      </c>
      <c r="AB1139" s="63">
        <v>0</v>
      </c>
      <c r="AC1139" s="63">
        <v>0</v>
      </c>
      <c r="AD1139" s="63">
        <f t="shared" si="1276"/>
        <v>-560.44000000000005</v>
      </c>
      <c r="AE1139" s="2" t="s">
        <v>91</v>
      </c>
      <c r="AF1139" s="63"/>
      <c r="AG1139" s="63">
        <v>0</v>
      </c>
      <c r="AH1139" s="63">
        <v>0</v>
      </c>
      <c r="AI1139" s="63"/>
      <c r="AJ1139" s="63">
        <v>0</v>
      </c>
      <c r="AK1139" s="63">
        <v>0</v>
      </c>
      <c r="AM1139" s="22"/>
      <c r="AO1139" s="1" t="s">
        <v>1074</v>
      </c>
      <c r="AP1139" s="1" t="s">
        <v>1708</v>
      </c>
      <c r="AQ1139" s="1" t="s">
        <v>1854</v>
      </c>
      <c r="AR1139" s="90" t="str">
        <f t="shared" si="1291"/>
        <v>JX61-5F228-YA</v>
      </c>
      <c r="AS1139" s="3"/>
      <c r="AT1139" s="89">
        <v>0</v>
      </c>
      <c r="AU1139" s="89">
        <v>0</v>
      </c>
      <c r="AV1139" s="89">
        <v>0</v>
      </c>
      <c r="AW1139" s="89">
        <v>0</v>
      </c>
      <c r="AX1139" s="89">
        <v>1</v>
      </c>
      <c r="AY1139" s="89">
        <v>1</v>
      </c>
      <c r="AZ1139" s="89">
        <v>1</v>
      </c>
      <c r="BA1139" s="89">
        <v>1</v>
      </c>
      <c r="BB1139" s="92">
        <f t="shared" si="1279"/>
        <v>0.33</v>
      </c>
      <c r="BD1139" s="63">
        <v>-560.44000000000005</v>
      </c>
      <c r="BE1139" s="63">
        <v>0</v>
      </c>
      <c r="BF1139" s="63">
        <v>0</v>
      </c>
      <c r="BG1139" s="63">
        <v>0</v>
      </c>
      <c r="BH1139" s="63">
        <v>0</v>
      </c>
      <c r="BI1139" s="8">
        <f t="shared" si="1306"/>
        <v>-560.44000000000005</v>
      </c>
      <c r="BJ1139" s="2" t="s">
        <v>91</v>
      </c>
      <c r="BL1139" s="67">
        <v>0</v>
      </c>
      <c r="BM1139" s="67">
        <v>0</v>
      </c>
      <c r="BN1139" s="67"/>
      <c r="BO1139" s="67">
        <v>0</v>
      </c>
      <c r="BP1139" s="67">
        <v>0</v>
      </c>
      <c r="BS1139" s="61">
        <f t="shared" si="1331"/>
        <v>0</v>
      </c>
      <c r="BT1139" s="61">
        <f t="shared" si="1331"/>
        <v>0</v>
      </c>
      <c r="BU1139" s="61">
        <f t="shared" si="1331"/>
        <v>0</v>
      </c>
      <c r="BV1139" s="61">
        <f t="shared" si="1331"/>
        <v>0</v>
      </c>
      <c r="BW1139" s="61">
        <f t="shared" si="1331"/>
        <v>0</v>
      </c>
      <c r="BX1139" s="61">
        <f t="shared" si="1331"/>
        <v>0</v>
      </c>
      <c r="BY1139" s="61" t="s">
        <v>91</v>
      </c>
      <c r="CA1139" s="61">
        <f t="shared" si="1343"/>
        <v>0</v>
      </c>
      <c r="CB1139" s="61">
        <f t="shared" si="1343"/>
        <v>0</v>
      </c>
      <c r="CC1139" s="61">
        <f t="shared" si="1343"/>
        <v>0</v>
      </c>
      <c r="CD1139" s="61">
        <f t="shared" si="1343"/>
        <v>0</v>
      </c>
      <c r="CE1139" s="61">
        <f t="shared" si="1343"/>
        <v>0</v>
      </c>
      <c r="CF1139" s="61">
        <f t="shared" si="1343"/>
        <v>0</v>
      </c>
      <c r="CG1139" s="61">
        <f t="shared" si="1343"/>
        <v>0</v>
      </c>
      <c r="CH1139" s="61">
        <f t="shared" si="1342"/>
        <v>0</v>
      </c>
      <c r="CI1139" s="61">
        <f t="shared" si="1344"/>
        <v>0</v>
      </c>
      <c r="CJ1139" s="61"/>
      <c r="CK1139" s="61">
        <f t="shared" si="1260"/>
        <v>0</v>
      </c>
      <c r="CL1139" s="61">
        <f t="shared" si="1260"/>
        <v>0</v>
      </c>
      <c r="CM1139" s="61">
        <f t="shared" si="1260"/>
        <v>0</v>
      </c>
      <c r="CN1139" s="61">
        <f t="shared" si="1260"/>
        <v>0</v>
      </c>
      <c r="CO1139" s="61">
        <f t="shared" si="1260"/>
        <v>0</v>
      </c>
      <c r="CP1139" s="61">
        <f t="shared" si="1329"/>
        <v>0</v>
      </c>
      <c r="CQ1139" s="61">
        <f t="shared" si="1329"/>
        <v>0</v>
      </c>
      <c r="CR1139" s="61">
        <f t="shared" si="1329"/>
        <v>0</v>
      </c>
      <c r="CS1139" s="61">
        <f t="shared" si="1345"/>
        <v>0</v>
      </c>
      <c r="CT1139" s="61">
        <f t="shared" si="1252"/>
        <v>0</v>
      </c>
      <c r="CV1139" s="61">
        <f t="shared" si="1307"/>
        <v>0</v>
      </c>
      <c r="CW1139" s="61">
        <f t="shared" si="1308"/>
        <v>0</v>
      </c>
      <c r="CX1139" s="61"/>
      <c r="CY1139" s="61">
        <f t="shared" si="1311"/>
        <v>0</v>
      </c>
      <c r="CZ1139" s="61">
        <f t="shared" si="1309"/>
        <v>0</v>
      </c>
      <c r="DA1139" s="61">
        <f t="shared" si="1310"/>
        <v>0</v>
      </c>
      <c r="DB1139" s="2" t="s">
        <v>102</v>
      </c>
      <c r="DC1139" s="2" t="s">
        <v>102</v>
      </c>
      <c r="DD1139" s="2" t="s">
        <v>142</v>
      </c>
      <c r="DE1139" s="2" t="s">
        <v>257</v>
      </c>
      <c r="DF1139" s="3" t="s">
        <v>86</v>
      </c>
      <c r="DG1139" s="62">
        <v>42879</v>
      </c>
      <c r="EC1139" s="60" t="str">
        <f>VLOOKUP($M1139,[1]Detail!$M:$BO,1,0)</f>
        <v>JX61-5F228-YA</v>
      </c>
      <c r="ED1139" s="60">
        <f>VLOOKUP($M1139,[1]Detail!$M:$BO,22,0)</f>
        <v>-560.44000000000005</v>
      </c>
      <c r="EE1139" s="60">
        <f>VLOOKUP($M1139,[1]Detail!$M:$BO,42,0)</f>
        <v>0</v>
      </c>
      <c r="EF1139" s="60">
        <f>VLOOKUP($M1139,[1]Detail!$M:$BO,45,0)</f>
        <v>0</v>
      </c>
      <c r="EH1139" s="60">
        <f t="shared" si="1339"/>
        <v>0</v>
      </c>
      <c r="EI1139" s="60">
        <f t="shared" si="1340"/>
        <v>0</v>
      </c>
      <c r="EJ1139" s="60">
        <f t="shared" si="1341"/>
        <v>0</v>
      </c>
    </row>
    <row r="1140" spans="1:140" ht="13.5" hidden="1" customHeight="1">
      <c r="B1140" s="23" t="s">
        <v>1855</v>
      </c>
      <c r="C1140" s="2" t="s">
        <v>1856</v>
      </c>
      <c r="D1140" s="86" t="s">
        <v>1857</v>
      </c>
      <c r="E1140" s="1" t="s">
        <v>338</v>
      </c>
      <c r="F1140" s="2" t="s">
        <v>330</v>
      </c>
      <c r="G1140" s="87" t="s">
        <v>994</v>
      </c>
      <c r="J1140" s="1" t="s">
        <v>98</v>
      </c>
      <c r="K1140" s="1" t="s">
        <v>1858</v>
      </c>
      <c r="L1140" s="1" t="s">
        <v>100</v>
      </c>
      <c r="M1140" s="90" t="str">
        <f t="shared" si="1263"/>
        <v>JD8C-3A500-AA</v>
      </c>
      <c r="O1140" s="89">
        <v>1</v>
      </c>
      <c r="P1140" s="89">
        <v>1</v>
      </c>
      <c r="Q1140" s="89">
        <v>1</v>
      </c>
      <c r="R1140" s="89">
        <v>1</v>
      </c>
      <c r="S1140" s="89">
        <v>1</v>
      </c>
      <c r="T1140" s="89">
        <v>1</v>
      </c>
      <c r="U1140" s="89">
        <v>1</v>
      </c>
      <c r="V1140" s="89">
        <v>1</v>
      </c>
      <c r="W1140" s="64">
        <f t="shared" si="1277"/>
        <v>1</v>
      </c>
      <c r="Y1140" s="63">
        <v>-344.02</v>
      </c>
      <c r="Z1140" s="63">
        <v>-6.8</v>
      </c>
      <c r="AA1140" s="63">
        <v>-7.25</v>
      </c>
      <c r="AB1140" s="63">
        <v>-0.81</v>
      </c>
      <c r="AC1140" s="63">
        <v>0</v>
      </c>
      <c r="AD1140" s="63">
        <f t="shared" si="1276"/>
        <v>-358.88</v>
      </c>
      <c r="AE1140" s="2" t="s">
        <v>91</v>
      </c>
      <c r="AF1140" s="63"/>
      <c r="AG1140" s="63">
        <v>0</v>
      </c>
      <c r="AH1140" s="63">
        <v>0</v>
      </c>
      <c r="AI1140" s="63"/>
      <c r="AJ1140" s="63">
        <v>0</v>
      </c>
      <c r="AK1140" s="63">
        <v>0</v>
      </c>
      <c r="AM1140" s="22"/>
      <c r="AO1140" s="1" t="s">
        <v>98</v>
      </c>
      <c r="AP1140" s="1" t="s">
        <v>1859</v>
      </c>
      <c r="AQ1140" s="1" t="s">
        <v>100</v>
      </c>
      <c r="AR1140" s="90" t="str">
        <f t="shared" si="1291"/>
        <v>JD8C-3A500-AA</v>
      </c>
      <c r="AS1140" s="3"/>
      <c r="AT1140" s="89">
        <v>1</v>
      </c>
      <c r="AU1140" s="89">
        <v>1</v>
      </c>
      <c r="AV1140" s="89">
        <v>1</v>
      </c>
      <c r="AW1140" s="89">
        <v>1</v>
      </c>
      <c r="AX1140" s="89">
        <v>1</v>
      </c>
      <c r="AY1140" s="89">
        <v>1</v>
      </c>
      <c r="AZ1140" s="89">
        <v>1</v>
      </c>
      <c r="BA1140" s="89">
        <v>1</v>
      </c>
      <c r="BB1140" s="92">
        <f t="shared" si="1279"/>
        <v>1</v>
      </c>
      <c r="BD1140" s="63">
        <f>-344.02+6.4</f>
        <v>-337.62</v>
      </c>
      <c r="BE1140" s="63">
        <v>-6.8</v>
      </c>
      <c r="BF1140" s="63">
        <v>-7.25</v>
      </c>
      <c r="BG1140" s="63">
        <v>-0.81</v>
      </c>
      <c r="BH1140" s="63">
        <v>0</v>
      </c>
      <c r="BI1140" s="8">
        <f t="shared" si="1306"/>
        <v>-352.48</v>
      </c>
      <c r="BJ1140" s="2" t="s">
        <v>91</v>
      </c>
      <c r="BK1140" s="63"/>
      <c r="BL1140" s="63">
        <v>0</v>
      </c>
      <c r="BM1140" s="63">
        <v>0</v>
      </c>
      <c r="BO1140" s="63">
        <v>0</v>
      </c>
      <c r="BP1140" s="63">
        <v>0</v>
      </c>
      <c r="BS1140" s="61">
        <f t="shared" si="1331"/>
        <v>-6.3999999999999773</v>
      </c>
      <c r="BT1140" s="61">
        <f t="shared" si="1331"/>
        <v>0</v>
      </c>
      <c r="BU1140" s="61">
        <f t="shared" si="1331"/>
        <v>0</v>
      </c>
      <c r="BV1140" s="61">
        <f t="shared" si="1331"/>
        <v>0</v>
      </c>
      <c r="BW1140" s="61">
        <f t="shared" si="1331"/>
        <v>0</v>
      </c>
      <c r="BX1140" s="61">
        <f t="shared" si="1331"/>
        <v>-6.3999999999999773</v>
      </c>
      <c r="BY1140" s="61" t="s">
        <v>91</v>
      </c>
      <c r="CA1140" s="61">
        <f t="shared" si="1343"/>
        <v>-0.96284037911839582</v>
      </c>
      <c r="CB1140" s="61">
        <f t="shared" si="1343"/>
        <v>-0.96284037911839582</v>
      </c>
      <c r="CC1140" s="61">
        <f t="shared" si="1343"/>
        <v>-0.96284037911839582</v>
      </c>
      <c r="CD1140" s="61">
        <f t="shared" si="1343"/>
        <v>-0.96284037911839582</v>
      </c>
      <c r="CE1140" s="61">
        <f t="shared" si="1343"/>
        <v>-0.96284037911839582</v>
      </c>
      <c r="CF1140" s="61">
        <f t="shared" si="1343"/>
        <v>-0.96284037911839582</v>
      </c>
      <c r="CG1140" s="61">
        <f t="shared" si="1343"/>
        <v>-0.96284037911839582</v>
      </c>
      <c r="CH1140" s="61">
        <f t="shared" si="1342"/>
        <v>-0.96284037911839582</v>
      </c>
      <c r="CI1140" s="61">
        <f t="shared" si="1344"/>
        <v>-0.96284037911839593</v>
      </c>
      <c r="CJ1140" s="61"/>
      <c r="CK1140" s="61">
        <f t="shared" si="1260"/>
        <v>-0.96284037911839582</v>
      </c>
      <c r="CL1140" s="61">
        <f t="shared" si="1260"/>
        <v>-0.96284037911839582</v>
      </c>
      <c r="CM1140" s="61">
        <f t="shared" si="1260"/>
        <v>-0.96284037911839582</v>
      </c>
      <c r="CN1140" s="61">
        <f t="shared" si="1260"/>
        <v>-0.96284037911839582</v>
      </c>
      <c r="CO1140" s="61">
        <f t="shared" si="1260"/>
        <v>-0.96284037911839582</v>
      </c>
      <c r="CP1140" s="61">
        <f t="shared" si="1329"/>
        <v>-0.96284037911839582</v>
      </c>
      <c r="CQ1140" s="61">
        <f t="shared" si="1329"/>
        <v>-0.96284037911839582</v>
      </c>
      <c r="CR1140" s="61">
        <f t="shared" si="1329"/>
        <v>-0.96284037911839582</v>
      </c>
      <c r="CS1140" s="61">
        <f t="shared" si="1345"/>
        <v>-0.96284037911839593</v>
      </c>
      <c r="CT1140" s="61">
        <f t="shared" si="1252"/>
        <v>-6.3999999999999782</v>
      </c>
      <c r="CV1140" s="61">
        <f t="shared" si="1307"/>
        <v>0</v>
      </c>
      <c r="CW1140" s="61">
        <f t="shared" si="1308"/>
        <v>0</v>
      </c>
      <c r="CX1140" s="61"/>
      <c r="CY1140" s="61">
        <f t="shared" si="1311"/>
        <v>0</v>
      </c>
      <c r="CZ1140" s="61">
        <f t="shared" si="1309"/>
        <v>0</v>
      </c>
      <c r="DA1140" s="61">
        <f t="shared" si="1310"/>
        <v>0</v>
      </c>
      <c r="DB1140" s="2" t="s">
        <v>85</v>
      </c>
      <c r="DC1140" s="2" t="s">
        <v>102</v>
      </c>
      <c r="DD1140" s="2" t="s">
        <v>142</v>
      </c>
      <c r="DE1140" s="2" t="s">
        <v>257</v>
      </c>
      <c r="DF1140" s="3" t="s">
        <v>86</v>
      </c>
      <c r="DG1140" s="62">
        <v>42916</v>
      </c>
      <c r="EC1140" s="60"/>
      <c r="ED1140" s="60"/>
      <c r="EE1140" s="60"/>
      <c r="EF1140" s="60"/>
    </row>
    <row r="1141" spans="1:140" ht="13.5" hidden="1" customHeight="1">
      <c r="B1141" s="23" t="s">
        <v>1860</v>
      </c>
      <c r="C1141" s="2" t="s">
        <v>1856</v>
      </c>
      <c r="D1141" s="86" t="s">
        <v>1857</v>
      </c>
      <c r="E1141" s="1" t="s">
        <v>338</v>
      </c>
      <c r="F1141" s="2" t="s">
        <v>330</v>
      </c>
      <c r="G1141" s="87" t="s">
        <v>994</v>
      </c>
      <c r="J1141" s="1" t="s">
        <v>98</v>
      </c>
      <c r="K1141" s="1" t="s">
        <v>1858</v>
      </c>
      <c r="L1141" s="1" t="s">
        <v>132</v>
      </c>
      <c r="M1141" s="90" t="str">
        <f t="shared" si="1263"/>
        <v>JD8C-3A500-AB</v>
      </c>
      <c r="O1141" s="89">
        <v>1</v>
      </c>
      <c r="P1141" s="89">
        <v>1</v>
      </c>
      <c r="Q1141" s="89">
        <v>1</v>
      </c>
      <c r="R1141" s="89">
        <v>1</v>
      </c>
      <c r="S1141" s="89">
        <v>1</v>
      </c>
      <c r="T1141" s="89">
        <v>1</v>
      </c>
      <c r="U1141" s="89">
        <v>1</v>
      </c>
      <c r="V1141" s="89">
        <v>1</v>
      </c>
      <c r="W1141" s="64">
        <f t="shared" si="1277"/>
        <v>1</v>
      </c>
      <c r="Y1141" s="63">
        <f>6.84-344.02</f>
        <v>-337.18</v>
      </c>
      <c r="Z1141" s="63">
        <v>-6.8</v>
      </c>
      <c r="AA1141" s="63">
        <v>-7.25</v>
      </c>
      <c r="AB1141" s="63">
        <v>-0.81</v>
      </c>
      <c r="AC1141" s="63">
        <v>0</v>
      </c>
      <c r="AD1141" s="63">
        <f t="shared" ref="AD1141" si="1346">SUM(Y1141:AC1141)</f>
        <v>-352.04</v>
      </c>
      <c r="AE1141" s="2" t="s">
        <v>91</v>
      </c>
      <c r="AF1141" s="63"/>
      <c r="AG1141" s="63">
        <v>0</v>
      </c>
      <c r="AH1141" s="63">
        <v>0</v>
      </c>
      <c r="AI1141" s="63"/>
      <c r="AJ1141" s="63">
        <v>0</v>
      </c>
      <c r="AK1141" s="63">
        <v>0</v>
      </c>
      <c r="AM1141" s="22"/>
      <c r="AO1141" s="1" t="s">
        <v>98</v>
      </c>
      <c r="AP1141" s="1" t="s">
        <v>1858</v>
      </c>
      <c r="AQ1141" s="1" t="s">
        <v>100</v>
      </c>
      <c r="AR1141" s="90" t="str">
        <f t="shared" si="1291"/>
        <v>JD8C-3A500-AA</v>
      </c>
      <c r="AS1141" s="3"/>
      <c r="AT1141" s="89">
        <v>1</v>
      </c>
      <c r="AU1141" s="89">
        <v>1</v>
      </c>
      <c r="AV1141" s="89">
        <v>1</v>
      </c>
      <c r="AW1141" s="89">
        <v>1</v>
      </c>
      <c r="AX1141" s="89">
        <v>1</v>
      </c>
      <c r="AY1141" s="89">
        <v>1</v>
      </c>
      <c r="AZ1141" s="89">
        <v>1</v>
      </c>
      <c r="BA1141" s="89">
        <v>1</v>
      </c>
      <c r="BB1141" s="64">
        <f t="shared" si="1279"/>
        <v>1</v>
      </c>
      <c r="BD1141" s="63">
        <v>-344.02</v>
      </c>
      <c r="BE1141" s="63">
        <v>-6.8</v>
      </c>
      <c r="BF1141" s="63">
        <v>-7.25</v>
      </c>
      <c r="BG1141" s="63">
        <v>-0.81</v>
      </c>
      <c r="BH1141" s="63">
        <v>0</v>
      </c>
      <c r="BI1141" s="63">
        <f t="shared" ref="BI1141" si="1347">SUM(BD1141:BH1141)</f>
        <v>-358.88</v>
      </c>
      <c r="BJ1141" s="2" t="s">
        <v>91</v>
      </c>
      <c r="BK1141" s="63"/>
      <c r="BL1141" s="63">
        <v>0</v>
      </c>
      <c r="BM1141" s="63">
        <v>0</v>
      </c>
      <c r="BO1141" s="63">
        <v>0</v>
      </c>
      <c r="BP1141" s="63">
        <v>0</v>
      </c>
      <c r="BS1141" s="61">
        <f t="shared" si="1331"/>
        <v>6.839999999999975</v>
      </c>
      <c r="BT1141" s="61">
        <f t="shared" si="1331"/>
        <v>0</v>
      </c>
      <c r="BU1141" s="61">
        <f t="shared" si="1331"/>
        <v>0</v>
      </c>
      <c r="BV1141" s="61">
        <f t="shared" si="1331"/>
        <v>0</v>
      </c>
      <c r="BW1141" s="61">
        <f t="shared" si="1331"/>
        <v>0</v>
      </c>
      <c r="BX1141" s="61">
        <f t="shared" si="1331"/>
        <v>6.839999999999975</v>
      </c>
      <c r="BY1141" s="61" t="s">
        <v>91</v>
      </c>
      <c r="CA1141" s="61">
        <f t="shared" si="1343"/>
        <v>1.0290356551827855</v>
      </c>
      <c r="CB1141" s="61">
        <f t="shared" si="1343"/>
        <v>1.0290356551827855</v>
      </c>
      <c r="CC1141" s="61">
        <f t="shared" si="1343"/>
        <v>1.0290356551827855</v>
      </c>
      <c r="CD1141" s="61">
        <f t="shared" si="1343"/>
        <v>1.0290356551827855</v>
      </c>
      <c r="CE1141" s="61">
        <f t="shared" si="1343"/>
        <v>1.0290356551827855</v>
      </c>
      <c r="CF1141" s="61">
        <f t="shared" si="1343"/>
        <v>1.0290356551827855</v>
      </c>
      <c r="CG1141" s="61">
        <f t="shared" si="1343"/>
        <v>1.0290356551827855</v>
      </c>
      <c r="CH1141" s="61">
        <f t="shared" si="1342"/>
        <v>1.0290356551827855</v>
      </c>
      <c r="CI1141" s="61">
        <f t="shared" si="1344"/>
        <v>1.0290356551827855</v>
      </c>
      <c r="CJ1141" s="61"/>
      <c r="CK1141" s="61">
        <f t="shared" si="1260"/>
        <v>1.0290356551827855</v>
      </c>
      <c r="CL1141" s="61">
        <f t="shared" si="1260"/>
        <v>1.0290356551827855</v>
      </c>
      <c r="CM1141" s="61">
        <f t="shared" si="1260"/>
        <v>1.0290356551827855</v>
      </c>
      <c r="CN1141" s="61">
        <f t="shared" si="1260"/>
        <v>1.0290356551827855</v>
      </c>
      <c r="CO1141" s="61">
        <f t="shared" si="1260"/>
        <v>1.0290356551827855</v>
      </c>
      <c r="CP1141" s="61">
        <f t="shared" si="1329"/>
        <v>1.0290356551827855</v>
      </c>
      <c r="CQ1141" s="61">
        <f t="shared" si="1329"/>
        <v>1.0290356551827855</v>
      </c>
      <c r="CR1141" s="61">
        <f t="shared" si="1329"/>
        <v>1.0290356551827855</v>
      </c>
      <c r="CS1141" s="61">
        <f t="shared" si="1345"/>
        <v>1.0290356551827855</v>
      </c>
      <c r="CT1141" s="143">
        <f t="shared" ref="CT1141:CT1204" si="1348">CS1141*$C$2</f>
        <v>6.8399999999999759</v>
      </c>
      <c r="CV1141" s="61">
        <f t="shared" ref="CV1141" si="1349">SUM(AG1141)-SUM(BL1141)</f>
        <v>0</v>
      </c>
      <c r="CW1141" s="61">
        <f t="shared" ref="CW1141" si="1350">SUM(AH1141)-SUM(BM1141)</f>
        <v>0</v>
      </c>
      <c r="CX1141" s="61"/>
      <c r="CY1141" s="61">
        <f t="shared" ref="CY1141:DA1143" si="1351">SUM(AJ1141)-SUM(BO1141)</f>
        <v>0</v>
      </c>
      <c r="CZ1141" s="61">
        <f t="shared" si="1351"/>
        <v>0</v>
      </c>
      <c r="DA1141" s="61">
        <f t="shared" si="1351"/>
        <v>0</v>
      </c>
      <c r="DB1141" s="2" t="s">
        <v>102</v>
      </c>
      <c r="DC1141" s="2" t="s">
        <v>85</v>
      </c>
      <c r="DD1141" s="2" t="s">
        <v>142</v>
      </c>
      <c r="DE1141" s="2" t="s">
        <v>106</v>
      </c>
      <c r="DF1141" s="3" t="s">
        <v>86</v>
      </c>
      <c r="DG1141" s="62">
        <v>43103</v>
      </c>
      <c r="EC1141" s="60" t="str">
        <f>VLOOKUP($M1141,[1]Detail!$M:$BO,1,0)</f>
        <v>JD8C-3A500-AB</v>
      </c>
      <c r="ED1141" s="60">
        <f>VLOOKUP($M1141,[1]Detail!$M:$BO,22,0)</f>
        <v>-352.04</v>
      </c>
      <c r="EE1141" s="60">
        <f>VLOOKUP($M1141,[1]Detail!$M:$BO,42,0)</f>
        <v>0</v>
      </c>
      <c r="EF1141" s="60">
        <f>VLOOKUP($M1141,[1]Detail!$M:$BO,45,0)</f>
        <v>0</v>
      </c>
      <c r="EH1141" s="60">
        <f>ED1141-AD1141</f>
        <v>0</v>
      </c>
      <c r="EI1141" s="60">
        <f>EE1141-AG1141</f>
        <v>0</v>
      </c>
      <c r="EJ1141" s="60">
        <f>EF1141-AJ1141</f>
        <v>0</v>
      </c>
    </row>
    <row r="1142" spans="1:140" s="115" customFormat="1" ht="12.75" hidden="1" customHeight="1">
      <c r="B1142" s="122" t="s">
        <v>1861</v>
      </c>
      <c r="C1142" s="115" t="s">
        <v>1862</v>
      </c>
      <c r="D1142" s="151" t="s">
        <v>1863</v>
      </c>
      <c r="E1142" s="99" t="s">
        <v>1661</v>
      </c>
      <c r="F1142" s="151" t="s">
        <v>969</v>
      </c>
      <c r="G1142" s="99" t="s">
        <v>994</v>
      </c>
      <c r="J1142" s="122" t="s">
        <v>110</v>
      </c>
      <c r="K1142" s="122" t="s">
        <v>1864</v>
      </c>
      <c r="L1142" s="122" t="s">
        <v>100</v>
      </c>
      <c r="M1142" s="90" t="str">
        <f t="shared" si="1263"/>
        <v>JD8T-14F642-AA</v>
      </c>
      <c r="N1142" s="123"/>
      <c r="O1142" s="89">
        <v>1</v>
      </c>
      <c r="P1142" s="89">
        <v>1</v>
      </c>
      <c r="Q1142" s="89">
        <v>1</v>
      </c>
      <c r="R1142" s="89">
        <v>1</v>
      </c>
      <c r="S1142" s="89">
        <v>1</v>
      </c>
      <c r="T1142" s="89">
        <v>1</v>
      </c>
      <c r="U1142" s="89">
        <v>1</v>
      </c>
      <c r="V1142" s="89">
        <v>1</v>
      </c>
      <c r="W1142" s="125">
        <f t="shared" si="1277"/>
        <v>1</v>
      </c>
      <c r="Y1142" s="63">
        <v>-53.83</v>
      </c>
      <c r="Z1142" s="63">
        <v>-0.83</v>
      </c>
      <c r="AA1142" s="63">
        <v>0</v>
      </c>
      <c r="AB1142" s="63">
        <v>0</v>
      </c>
      <c r="AC1142" s="63">
        <v>-0.8</v>
      </c>
      <c r="AD1142" s="63">
        <f t="shared" ref="AD1142" si="1352">SUM(Y1142:AC1142)</f>
        <v>-55.459999999999994</v>
      </c>
      <c r="AE1142" s="115" t="s">
        <v>91</v>
      </c>
      <c r="AF1142" s="63"/>
      <c r="AG1142" s="63">
        <v>-2215360</v>
      </c>
      <c r="AH1142" s="63">
        <v>-2215360</v>
      </c>
      <c r="AI1142" s="127"/>
      <c r="AJ1142" s="63">
        <v>-461548.97380788001</v>
      </c>
      <c r="AK1142" s="61">
        <v>574899</v>
      </c>
      <c r="AO1142" s="123" t="s">
        <v>81</v>
      </c>
      <c r="AP1142" s="122" t="s">
        <v>1865</v>
      </c>
      <c r="AQ1142" s="122" t="s">
        <v>180</v>
      </c>
      <c r="AR1142" s="90" t="str">
        <f t="shared" si="1291"/>
        <v>JD8T-14F642-AA</v>
      </c>
      <c r="AS1142" s="99"/>
      <c r="AT1142" s="89">
        <v>1</v>
      </c>
      <c r="AU1142" s="89">
        <v>1</v>
      </c>
      <c r="AV1142" s="89">
        <v>1</v>
      </c>
      <c r="AW1142" s="89">
        <v>1</v>
      </c>
      <c r="AX1142" s="89">
        <v>1</v>
      </c>
      <c r="AY1142" s="89">
        <v>1</v>
      </c>
      <c r="AZ1142" s="89">
        <v>1</v>
      </c>
      <c r="BA1142" s="89">
        <v>1</v>
      </c>
      <c r="BB1142" s="268">
        <f t="shared" si="1279"/>
        <v>1</v>
      </c>
      <c r="BD1142" s="126">
        <v>-53.83</v>
      </c>
      <c r="BE1142" s="126">
        <v>-0.83</v>
      </c>
      <c r="BF1142" s="126">
        <v>0</v>
      </c>
      <c r="BG1142" s="126">
        <v>0</v>
      </c>
      <c r="BH1142" s="126">
        <v>-0.8</v>
      </c>
      <c r="BI1142" s="126">
        <f t="shared" ref="BI1142:BI1143" si="1353">SUM(BD1142:BH1142)</f>
        <v>-55.459999999999994</v>
      </c>
      <c r="BJ1142" s="115" t="s">
        <v>91</v>
      </c>
      <c r="BL1142" s="127">
        <v>-2215360</v>
      </c>
      <c r="BM1142" s="127">
        <v>-2215360</v>
      </c>
      <c r="BN1142" s="126"/>
      <c r="BO1142" s="127">
        <v>-461548.97380788001</v>
      </c>
      <c r="BP1142" s="127">
        <v>574899</v>
      </c>
      <c r="BS1142" s="61">
        <f t="shared" si="1331"/>
        <v>0</v>
      </c>
      <c r="BT1142" s="61">
        <f t="shared" si="1331"/>
        <v>0</v>
      </c>
      <c r="BU1142" s="61">
        <f t="shared" si="1331"/>
        <v>0</v>
      </c>
      <c r="BV1142" s="61">
        <f t="shared" si="1331"/>
        <v>0</v>
      </c>
      <c r="BW1142" s="61">
        <f t="shared" si="1331"/>
        <v>0</v>
      </c>
      <c r="BX1142" s="61">
        <f t="shared" si="1331"/>
        <v>0</v>
      </c>
      <c r="BY1142" s="61" t="s">
        <v>91</v>
      </c>
      <c r="CA1142" s="61">
        <f t="shared" si="1343"/>
        <v>0</v>
      </c>
      <c r="CB1142" s="61">
        <f t="shared" si="1343"/>
        <v>0</v>
      </c>
      <c r="CC1142" s="61">
        <f t="shared" si="1343"/>
        <v>0</v>
      </c>
      <c r="CD1142" s="61">
        <f t="shared" si="1343"/>
        <v>0</v>
      </c>
      <c r="CE1142" s="61">
        <f t="shared" si="1343"/>
        <v>0</v>
      </c>
      <c r="CF1142" s="61">
        <f t="shared" si="1343"/>
        <v>0</v>
      </c>
      <c r="CG1142" s="61">
        <f t="shared" si="1343"/>
        <v>0</v>
      </c>
      <c r="CH1142" s="61">
        <f t="shared" si="1342"/>
        <v>0</v>
      </c>
      <c r="CI1142" s="61">
        <f t="shared" si="1344"/>
        <v>0</v>
      </c>
      <c r="CJ1142" s="61"/>
      <c r="CK1142" s="61">
        <f t="shared" si="1260"/>
        <v>0</v>
      </c>
      <c r="CL1142" s="61">
        <f t="shared" si="1260"/>
        <v>0</v>
      </c>
      <c r="CM1142" s="61">
        <f t="shared" si="1260"/>
        <v>0</v>
      </c>
      <c r="CN1142" s="61">
        <f t="shared" si="1260"/>
        <v>0</v>
      </c>
      <c r="CO1142" s="61">
        <f t="shared" si="1260"/>
        <v>0</v>
      </c>
      <c r="CP1142" s="61">
        <f t="shared" si="1329"/>
        <v>0</v>
      </c>
      <c r="CQ1142" s="61">
        <f t="shared" si="1329"/>
        <v>0</v>
      </c>
      <c r="CR1142" s="61">
        <f t="shared" si="1329"/>
        <v>0</v>
      </c>
      <c r="CS1142" s="61">
        <f t="shared" si="1345"/>
        <v>0</v>
      </c>
      <c r="CT1142" s="61">
        <f t="shared" si="1348"/>
        <v>0</v>
      </c>
      <c r="CV1142" s="61">
        <f t="shared" ref="CV1142:CV1143" si="1354">SUM(AG1142)-SUM(BL1142)</f>
        <v>0</v>
      </c>
      <c r="CW1142" s="61">
        <f t="shared" ref="CW1142:CW1143" si="1355">SUM(AH1142)-SUM(BM1142)</f>
        <v>0</v>
      </c>
      <c r="CX1142" s="61"/>
      <c r="CY1142" s="61">
        <f t="shared" si="1351"/>
        <v>0</v>
      </c>
      <c r="CZ1142" s="61">
        <f t="shared" si="1351"/>
        <v>0</v>
      </c>
      <c r="DA1142" s="61">
        <f t="shared" si="1351"/>
        <v>0</v>
      </c>
      <c r="DB1142" s="115" t="s">
        <v>85</v>
      </c>
      <c r="DC1142" s="115" t="s">
        <v>102</v>
      </c>
      <c r="DD1142" s="115" t="s">
        <v>142</v>
      </c>
      <c r="DE1142" s="115" t="s">
        <v>257</v>
      </c>
      <c r="DF1142" s="123" t="s">
        <v>86</v>
      </c>
      <c r="DG1142" s="128">
        <v>42879</v>
      </c>
      <c r="DZ1142" s="123"/>
      <c r="EC1142" s="60"/>
      <c r="ED1142" s="60"/>
      <c r="EE1142" s="60"/>
      <c r="EF1142" s="60"/>
    </row>
    <row r="1143" spans="1:140" s="115" customFormat="1" ht="12.75" hidden="1" customHeight="1">
      <c r="B1143" s="122" t="s">
        <v>1866</v>
      </c>
      <c r="C1143" s="115" t="s">
        <v>1862</v>
      </c>
      <c r="D1143" s="151" t="s">
        <v>1863</v>
      </c>
      <c r="E1143" s="99" t="s">
        <v>1661</v>
      </c>
      <c r="F1143" s="151" t="s">
        <v>969</v>
      </c>
      <c r="G1143" s="99" t="s">
        <v>994</v>
      </c>
      <c r="J1143" s="122" t="s">
        <v>81</v>
      </c>
      <c r="K1143" s="122" t="s">
        <v>1865</v>
      </c>
      <c r="L1143" s="122" t="s">
        <v>132</v>
      </c>
      <c r="M1143" s="90" t="str">
        <f t="shared" si="1263"/>
        <v>JD8T-14F642-AB</v>
      </c>
      <c r="N1143" s="123"/>
      <c r="O1143" s="89">
        <v>1</v>
      </c>
      <c r="P1143" s="89">
        <v>1</v>
      </c>
      <c r="Q1143" s="89">
        <v>1</v>
      </c>
      <c r="R1143" s="89">
        <v>1</v>
      </c>
      <c r="S1143" s="89">
        <v>1</v>
      </c>
      <c r="T1143" s="89">
        <v>1</v>
      </c>
      <c r="U1143" s="89">
        <v>1</v>
      </c>
      <c r="V1143" s="89">
        <v>1</v>
      </c>
      <c r="W1143" s="125">
        <v>1</v>
      </c>
      <c r="Y1143" s="63">
        <v>-53.83</v>
      </c>
      <c r="Z1143" s="63">
        <v>-0.83</v>
      </c>
      <c r="AA1143" s="63">
        <v>0</v>
      </c>
      <c r="AB1143" s="63">
        <v>0</v>
      </c>
      <c r="AC1143" s="63">
        <v>-0.8</v>
      </c>
      <c r="AD1143" s="63">
        <v>-55.459999999999994</v>
      </c>
      <c r="AE1143" s="115" t="s">
        <v>91</v>
      </c>
      <c r="AF1143" s="63"/>
      <c r="AG1143" s="63">
        <v>-2215360</v>
      </c>
      <c r="AH1143" s="63">
        <v>-2215360</v>
      </c>
      <c r="AI1143" s="127"/>
      <c r="AJ1143" s="63">
        <v>-461548.97380788001</v>
      </c>
      <c r="AK1143" s="61">
        <v>574899</v>
      </c>
      <c r="AO1143" s="123" t="s">
        <v>81</v>
      </c>
      <c r="AP1143" s="122" t="s">
        <v>1865</v>
      </c>
      <c r="AQ1143" s="122" t="s">
        <v>180</v>
      </c>
      <c r="AR1143" s="90" t="str">
        <f t="shared" si="1291"/>
        <v>JD8T-14F642-AA</v>
      </c>
      <c r="AS1143" s="99"/>
      <c r="AT1143" s="89">
        <v>1</v>
      </c>
      <c r="AU1143" s="89">
        <v>1</v>
      </c>
      <c r="AV1143" s="89">
        <v>1</v>
      </c>
      <c r="AW1143" s="89">
        <v>1</v>
      </c>
      <c r="AX1143" s="89">
        <v>1</v>
      </c>
      <c r="AY1143" s="89">
        <v>1</v>
      </c>
      <c r="AZ1143" s="89">
        <v>1</v>
      </c>
      <c r="BA1143" s="89">
        <v>1</v>
      </c>
      <c r="BB1143" s="268">
        <f t="shared" si="1279"/>
        <v>1</v>
      </c>
      <c r="BD1143" s="126">
        <v>-53.83</v>
      </c>
      <c r="BE1143" s="126">
        <v>-0.83</v>
      </c>
      <c r="BF1143" s="126">
        <v>0</v>
      </c>
      <c r="BG1143" s="126">
        <v>0</v>
      </c>
      <c r="BH1143" s="126">
        <v>-0.8</v>
      </c>
      <c r="BI1143" s="126">
        <f t="shared" si="1353"/>
        <v>-55.459999999999994</v>
      </c>
      <c r="BJ1143" s="115" t="s">
        <v>91</v>
      </c>
      <c r="BL1143" s="127">
        <v>-2215360</v>
      </c>
      <c r="BM1143" s="127">
        <v>-2215360</v>
      </c>
      <c r="BN1143" s="126"/>
      <c r="BO1143" s="127">
        <v>-461548.97380788001</v>
      </c>
      <c r="BP1143" s="127">
        <v>574899</v>
      </c>
      <c r="BS1143" s="61">
        <f t="shared" si="1331"/>
        <v>0</v>
      </c>
      <c r="BT1143" s="61">
        <f t="shared" si="1331"/>
        <v>0</v>
      </c>
      <c r="BU1143" s="61">
        <f t="shared" si="1331"/>
        <v>0</v>
      </c>
      <c r="BV1143" s="61">
        <f t="shared" si="1331"/>
        <v>0</v>
      </c>
      <c r="BW1143" s="61">
        <f t="shared" si="1331"/>
        <v>0</v>
      </c>
      <c r="BX1143" s="61">
        <f t="shared" si="1331"/>
        <v>0</v>
      </c>
      <c r="BY1143" s="61" t="s">
        <v>91</v>
      </c>
      <c r="CA1143" s="61">
        <f t="shared" si="1343"/>
        <v>0</v>
      </c>
      <c r="CB1143" s="61">
        <f t="shared" si="1343"/>
        <v>0</v>
      </c>
      <c r="CC1143" s="61">
        <f t="shared" si="1343"/>
        <v>0</v>
      </c>
      <c r="CD1143" s="61">
        <f t="shared" si="1343"/>
        <v>0</v>
      </c>
      <c r="CE1143" s="61">
        <f t="shared" si="1343"/>
        <v>0</v>
      </c>
      <c r="CF1143" s="61">
        <f t="shared" si="1343"/>
        <v>0</v>
      </c>
      <c r="CG1143" s="61">
        <f t="shared" si="1343"/>
        <v>0</v>
      </c>
      <c r="CH1143" s="61">
        <f t="shared" si="1342"/>
        <v>0</v>
      </c>
      <c r="CI1143" s="61">
        <f t="shared" si="1344"/>
        <v>0</v>
      </c>
      <c r="CJ1143" s="61"/>
      <c r="CK1143" s="61">
        <f t="shared" ref="CK1143:CO1206" si="1356">(O1143*$AD1143-AT1143*$BI1143)/$C$2</f>
        <v>0</v>
      </c>
      <c r="CL1143" s="61">
        <f t="shared" si="1356"/>
        <v>0</v>
      </c>
      <c r="CM1143" s="61">
        <f t="shared" si="1356"/>
        <v>0</v>
      </c>
      <c r="CN1143" s="61">
        <f t="shared" si="1356"/>
        <v>0</v>
      </c>
      <c r="CO1143" s="61">
        <f t="shared" si="1356"/>
        <v>0</v>
      </c>
      <c r="CP1143" s="61">
        <f t="shared" si="1329"/>
        <v>0</v>
      </c>
      <c r="CQ1143" s="61">
        <f t="shared" si="1329"/>
        <v>0</v>
      </c>
      <c r="CR1143" s="61">
        <f t="shared" si="1329"/>
        <v>0</v>
      </c>
      <c r="CS1143" s="61">
        <f t="shared" si="1345"/>
        <v>0</v>
      </c>
      <c r="CT1143" s="61">
        <f t="shared" si="1348"/>
        <v>0</v>
      </c>
      <c r="CV1143" s="61">
        <f t="shared" si="1354"/>
        <v>0</v>
      </c>
      <c r="CW1143" s="61">
        <f t="shared" si="1355"/>
        <v>0</v>
      </c>
      <c r="CX1143" s="61"/>
      <c r="CY1143" s="61">
        <f t="shared" si="1351"/>
        <v>0</v>
      </c>
      <c r="CZ1143" s="61">
        <f t="shared" si="1351"/>
        <v>0</v>
      </c>
      <c r="DA1143" s="61">
        <f t="shared" si="1351"/>
        <v>0</v>
      </c>
      <c r="DB1143" s="115" t="s">
        <v>102</v>
      </c>
      <c r="DC1143" s="115" t="s">
        <v>85</v>
      </c>
      <c r="DD1143" s="115" t="s">
        <v>142</v>
      </c>
      <c r="DE1143" s="115" t="s">
        <v>257</v>
      </c>
      <c r="DF1143" s="160" t="s">
        <v>86</v>
      </c>
      <c r="DG1143" s="160">
        <v>43139</v>
      </c>
      <c r="DZ1143" s="123"/>
      <c r="EC1143" s="60" t="str">
        <f>VLOOKUP($M1143,[1]Detail!$M:$BO,1,0)</f>
        <v>JD8T-14F642-AB</v>
      </c>
      <c r="ED1143" s="60">
        <f>VLOOKUP($M1143,[1]Detail!$M:$BO,22,0)</f>
        <v>-55.459999999999994</v>
      </c>
      <c r="EE1143" s="60">
        <f>VLOOKUP($M1143,[1]Detail!$M:$BO,42,0)</f>
        <v>-2215360</v>
      </c>
      <c r="EF1143" s="60">
        <f>VLOOKUP($M1143,[1]Detail!$M:$BO,45,0)</f>
        <v>-461548.97380788001</v>
      </c>
      <c r="EH1143" s="60">
        <f>ED1143-AD1143</f>
        <v>0</v>
      </c>
      <c r="EI1143" s="60">
        <f>EE1143-AG1143</f>
        <v>0</v>
      </c>
      <c r="EJ1143" s="60">
        <f>EF1143-AJ1143</f>
        <v>0</v>
      </c>
    </row>
    <row r="1144" spans="1:140" ht="12.75" hidden="1" customHeight="1">
      <c r="B1144" s="2" t="s">
        <v>1867</v>
      </c>
      <c r="C1144" s="2" t="s">
        <v>1868</v>
      </c>
      <c r="D1144" s="2" t="s">
        <v>1869</v>
      </c>
      <c r="E1144" s="1" t="s">
        <v>1591</v>
      </c>
      <c r="F1144" s="86" t="s">
        <v>969</v>
      </c>
      <c r="G1144" s="87" t="s">
        <v>994</v>
      </c>
      <c r="J1144" s="1" t="s">
        <v>1870</v>
      </c>
      <c r="K1144" s="1" t="s">
        <v>1871</v>
      </c>
      <c r="L1144" s="1" t="s">
        <v>182</v>
      </c>
      <c r="M1144" s="90" t="str">
        <f t="shared" si="1263"/>
        <v>GV4T-10655 -BA</v>
      </c>
      <c r="O1144" s="89">
        <v>1</v>
      </c>
      <c r="P1144" s="89">
        <v>1</v>
      </c>
      <c r="Q1144" s="89">
        <v>1</v>
      </c>
      <c r="R1144" s="89">
        <v>1</v>
      </c>
      <c r="S1144" s="89">
        <v>1</v>
      </c>
      <c r="T1144" s="89">
        <v>1</v>
      </c>
      <c r="U1144" s="89">
        <v>1</v>
      </c>
      <c r="V1144" s="89">
        <v>1</v>
      </c>
      <c r="W1144" s="64">
        <f t="shared" ref="W1144:W1207" si="1357">SUMPRODUCT(O1144:V1144,$O$6:$V$6)</f>
        <v>1</v>
      </c>
      <c r="Y1144" s="63">
        <v>-308.68</v>
      </c>
      <c r="Z1144" s="63">
        <v>-4.2</v>
      </c>
      <c r="AA1144" s="63">
        <v>-6.3</v>
      </c>
      <c r="AB1144" s="63">
        <v>0</v>
      </c>
      <c r="AC1144" s="63">
        <v>0</v>
      </c>
      <c r="AD1144" s="63">
        <f t="shared" si="1276"/>
        <v>-319.18</v>
      </c>
      <c r="AE1144" s="2" t="s">
        <v>91</v>
      </c>
      <c r="AG1144" s="67">
        <v>0</v>
      </c>
      <c r="AH1144" s="67">
        <v>0</v>
      </c>
      <c r="AJ1144" s="67">
        <v>0</v>
      </c>
      <c r="AK1144" s="67">
        <v>0</v>
      </c>
      <c r="AM1144" s="22"/>
      <c r="AO1144" s="1" t="s">
        <v>1872</v>
      </c>
      <c r="AP1144" s="1" t="s">
        <v>1871</v>
      </c>
      <c r="AQ1144" s="1" t="s">
        <v>111</v>
      </c>
      <c r="AR1144" s="90" t="str">
        <f t="shared" si="1291"/>
        <v>GV4T-10655 -BA</v>
      </c>
      <c r="AS1144" s="3"/>
      <c r="AT1144" s="89">
        <v>1</v>
      </c>
      <c r="AU1144" s="89">
        <v>1</v>
      </c>
      <c r="AV1144" s="89">
        <v>1</v>
      </c>
      <c r="AW1144" s="89">
        <v>1</v>
      </c>
      <c r="AX1144" s="89">
        <v>1</v>
      </c>
      <c r="AY1144" s="89">
        <v>1</v>
      </c>
      <c r="AZ1144" s="89">
        <v>1</v>
      </c>
      <c r="BA1144" s="89">
        <v>1</v>
      </c>
      <c r="BB1144" s="92">
        <f t="shared" si="1279"/>
        <v>1</v>
      </c>
      <c r="BD1144" s="63">
        <v>-308.68</v>
      </c>
      <c r="BE1144" s="63">
        <v>-4.2</v>
      </c>
      <c r="BF1144" s="63">
        <v>-6.3</v>
      </c>
      <c r="BG1144" s="63">
        <v>0</v>
      </c>
      <c r="BH1144" s="63">
        <v>0</v>
      </c>
      <c r="BI1144" s="8">
        <f t="shared" si="1306"/>
        <v>-319.18</v>
      </c>
      <c r="BJ1144" s="2" t="s">
        <v>91</v>
      </c>
      <c r="BL1144" s="63">
        <v>0</v>
      </c>
      <c r="BM1144" s="63">
        <v>0</v>
      </c>
      <c r="BO1144" s="63">
        <v>0</v>
      </c>
      <c r="BP1144" s="63">
        <v>0</v>
      </c>
      <c r="BS1144" s="61">
        <f t="shared" si="1331"/>
        <v>0</v>
      </c>
      <c r="BT1144" s="61">
        <f t="shared" si="1331"/>
        <v>0</v>
      </c>
      <c r="BU1144" s="61">
        <f t="shared" si="1331"/>
        <v>0</v>
      </c>
      <c r="BV1144" s="61">
        <f t="shared" si="1331"/>
        <v>0</v>
      </c>
      <c r="BW1144" s="61">
        <f t="shared" si="1331"/>
        <v>0</v>
      </c>
      <c r="BX1144" s="61">
        <f t="shared" si="1331"/>
        <v>0</v>
      </c>
      <c r="BY1144" s="61" t="s">
        <v>91</v>
      </c>
      <c r="CA1144" s="61">
        <f t="shared" si="1343"/>
        <v>0</v>
      </c>
      <c r="CB1144" s="61">
        <f t="shared" si="1343"/>
        <v>0</v>
      </c>
      <c r="CC1144" s="61">
        <f t="shared" si="1343"/>
        <v>0</v>
      </c>
      <c r="CD1144" s="61">
        <f t="shared" si="1343"/>
        <v>0</v>
      </c>
      <c r="CE1144" s="61">
        <f t="shared" si="1343"/>
        <v>0</v>
      </c>
      <c r="CF1144" s="61">
        <f t="shared" si="1343"/>
        <v>0</v>
      </c>
      <c r="CG1144" s="61">
        <f t="shared" si="1343"/>
        <v>0</v>
      </c>
      <c r="CH1144" s="61">
        <f t="shared" si="1342"/>
        <v>0</v>
      </c>
      <c r="CI1144" s="61">
        <f t="shared" si="1344"/>
        <v>0</v>
      </c>
      <c r="CJ1144" s="61"/>
      <c r="CK1144" s="61">
        <f t="shared" si="1356"/>
        <v>0</v>
      </c>
      <c r="CL1144" s="61">
        <f t="shared" si="1356"/>
        <v>0</v>
      </c>
      <c r="CM1144" s="61">
        <f t="shared" si="1356"/>
        <v>0</v>
      </c>
      <c r="CN1144" s="61">
        <f t="shared" si="1356"/>
        <v>0</v>
      </c>
      <c r="CO1144" s="61">
        <f t="shared" si="1356"/>
        <v>0</v>
      </c>
      <c r="CP1144" s="61">
        <f t="shared" si="1329"/>
        <v>0</v>
      </c>
      <c r="CQ1144" s="61">
        <f t="shared" si="1329"/>
        <v>0</v>
      </c>
      <c r="CR1144" s="61">
        <f t="shared" si="1329"/>
        <v>0</v>
      </c>
      <c r="CS1144" s="61">
        <f t="shared" si="1345"/>
        <v>0</v>
      </c>
      <c r="CT1144" s="61">
        <f t="shared" si="1348"/>
        <v>0</v>
      </c>
      <c r="CV1144" s="61">
        <f t="shared" si="1307"/>
        <v>0</v>
      </c>
      <c r="CW1144" s="61">
        <f t="shared" si="1308"/>
        <v>0</v>
      </c>
      <c r="CX1144" s="61"/>
      <c r="CY1144" s="61">
        <f t="shared" si="1311"/>
        <v>0</v>
      </c>
      <c r="CZ1144" s="61">
        <f t="shared" si="1309"/>
        <v>0</v>
      </c>
      <c r="DA1144" s="61">
        <f t="shared" si="1310"/>
        <v>0</v>
      </c>
      <c r="DB1144" s="2" t="s">
        <v>289</v>
      </c>
      <c r="DC1144" s="2" t="s">
        <v>102</v>
      </c>
      <c r="DD1144" s="2" t="s">
        <v>142</v>
      </c>
      <c r="DE1144" s="2" t="s">
        <v>257</v>
      </c>
      <c r="DF1144" s="3" t="s">
        <v>86</v>
      </c>
      <c r="DG1144" s="62">
        <v>42893</v>
      </c>
      <c r="EC1144" s="60"/>
      <c r="ED1144" s="60"/>
      <c r="EE1144" s="60"/>
      <c r="EF1144" s="60"/>
    </row>
    <row r="1145" spans="1:140" ht="12.75" hidden="1" customHeight="1">
      <c r="B1145" s="2" t="s">
        <v>1793</v>
      </c>
      <c r="C1145" s="2" t="s">
        <v>1868</v>
      </c>
      <c r="D1145" s="2" t="s">
        <v>1869</v>
      </c>
      <c r="E1145" s="1" t="s">
        <v>1591</v>
      </c>
      <c r="F1145" s="86" t="s">
        <v>969</v>
      </c>
      <c r="G1145" s="87" t="s">
        <v>994</v>
      </c>
      <c r="J1145" s="1" t="s">
        <v>1870</v>
      </c>
      <c r="K1145" s="1" t="s">
        <v>1871</v>
      </c>
      <c r="L1145" s="1" t="s">
        <v>487</v>
      </c>
      <c r="M1145" s="90" t="str">
        <f t="shared" si="1263"/>
        <v>GV4T-10655 -BA</v>
      </c>
      <c r="O1145" s="89">
        <v>1</v>
      </c>
      <c r="P1145" s="89">
        <v>1</v>
      </c>
      <c r="Q1145" s="89">
        <v>1</v>
      </c>
      <c r="R1145" s="89">
        <v>1</v>
      </c>
      <c r="S1145" s="89">
        <v>1</v>
      </c>
      <c r="T1145" s="89">
        <v>1</v>
      </c>
      <c r="U1145" s="89">
        <v>1</v>
      </c>
      <c r="V1145" s="89">
        <v>1</v>
      </c>
      <c r="W1145" s="64">
        <f t="shared" si="1357"/>
        <v>1</v>
      </c>
      <c r="Y1145" s="63">
        <f>-308.68-49.5</f>
        <v>-358.18</v>
      </c>
      <c r="Z1145" s="63">
        <v>-4.2</v>
      </c>
      <c r="AA1145" s="63">
        <v>-6.3</v>
      </c>
      <c r="AB1145" s="63">
        <v>0</v>
      </c>
      <c r="AC1145" s="63">
        <v>0</v>
      </c>
      <c r="AD1145" s="63">
        <f t="shared" si="1276"/>
        <v>-368.68</v>
      </c>
      <c r="AE1145" s="2" t="s">
        <v>91</v>
      </c>
      <c r="AG1145" s="67">
        <v>0</v>
      </c>
      <c r="AH1145" s="67">
        <v>0</v>
      </c>
      <c r="AJ1145" s="67">
        <v>0</v>
      </c>
      <c r="AK1145" s="67">
        <v>0</v>
      </c>
      <c r="AM1145" s="22"/>
      <c r="AO1145" s="1" t="s">
        <v>1872</v>
      </c>
      <c r="AP1145" s="1" t="s">
        <v>1871</v>
      </c>
      <c r="AQ1145" s="1" t="s">
        <v>111</v>
      </c>
      <c r="AR1145" s="90" t="str">
        <f t="shared" si="1291"/>
        <v>GV4T-10655 -BA</v>
      </c>
      <c r="AS1145" s="3"/>
      <c r="AT1145" s="89">
        <v>1</v>
      </c>
      <c r="AU1145" s="89">
        <v>1</v>
      </c>
      <c r="AV1145" s="89">
        <v>1</v>
      </c>
      <c r="AW1145" s="89">
        <v>1</v>
      </c>
      <c r="AX1145" s="89">
        <v>1</v>
      </c>
      <c r="AY1145" s="89">
        <v>1</v>
      </c>
      <c r="AZ1145" s="89">
        <v>1</v>
      </c>
      <c r="BA1145" s="89">
        <v>1</v>
      </c>
      <c r="BB1145" s="92">
        <f t="shared" si="1279"/>
        <v>1</v>
      </c>
      <c r="BD1145" s="63">
        <v>-308.68</v>
      </c>
      <c r="BE1145" s="63">
        <v>-4.2</v>
      </c>
      <c r="BF1145" s="63">
        <v>-6.3</v>
      </c>
      <c r="BG1145" s="63">
        <v>0</v>
      </c>
      <c r="BH1145" s="63">
        <v>0</v>
      </c>
      <c r="BI1145" s="8">
        <f t="shared" ref="BI1145:BI1146" si="1358">SUM(BD1145:BH1145)</f>
        <v>-319.18</v>
      </c>
      <c r="BJ1145" s="2" t="s">
        <v>91</v>
      </c>
      <c r="BL1145" s="63">
        <v>0</v>
      </c>
      <c r="BM1145" s="63">
        <v>0</v>
      </c>
      <c r="BO1145" s="63">
        <v>0</v>
      </c>
      <c r="BP1145" s="63">
        <v>0</v>
      </c>
      <c r="BS1145" s="61">
        <f t="shared" si="1331"/>
        <v>-49.5</v>
      </c>
      <c r="BT1145" s="61">
        <f t="shared" si="1331"/>
        <v>0</v>
      </c>
      <c r="BU1145" s="61">
        <f t="shared" si="1331"/>
        <v>0</v>
      </c>
      <c r="BV1145" s="61">
        <f t="shared" si="1331"/>
        <v>0</v>
      </c>
      <c r="BW1145" s="61">
        <f t="shared" si="1331"/>
        <v>0</v>
      </c>
      <c r="BX1145" s="61">
        <f t="shared" si="1331"/>
        <v>-49.5</v>
      </c>
      <c r="BY1145" s="61" t="s">
        <v>91</v>
      </c>
      <c r="CA1145" s="61">
        <f t="shared" si="1343"/>
        <v>-7.4469685572438689</v>
      </c>
      <c r="CB1145" s="61">
        <f t="shared" si="1343"/>
        <v>-7.4469685572438689</v>
      </c>
      <c r="CC1145" s="61">
        <f t="shared" si="1343"/>
        <v>-7.4469685572438689</v>
      </c>
      <c r="CD1145" s="61">
        <f t="shared" si="1343"/>
        <v>-7.4469685572438689</v>
      </c>
      <c r="CE1145" s="61">
        <f t="shared" si="1343"/>
        <v>-7.4469685572438689</v>
      </c>
      <c r="CF1145" s="61">
        <f t="shared" si="1343"/>
        <v>-7.4469685572438689</v>
      </c>
      <c r="CG1145" s="61">
        <f t="shared" si="1343"/>
        <v>-7.4469685572438689</v>
      </c>
      <c r="CH1145" s="61">
        <f t="shared" si="1342"/>
        <v>-7.4469685572438689</v>
      </c>
      <c r="CI1145" s="61">
        <f t="shared" si="1344"/>
        <v>-7.4469685572438689</v>
      </c>
      <c r="CJ1145" s="61"/>
      <c r="CK1145" s="61">
        <f t="shared" si="1356"/>
        <v>-7.4469685572438689</v>
      </c>
      <c r="CL1145" s="61">
        <f t="shared" si="1356"/>
        <v>-7.4469685572438689</v>
      </c>
      <c r="CM1145" s="61">
        <f t="shared" si="1356"/>
        <v>-7.4469685572438689</v>
      </c>
      <c r="CN1145" s="61">
        <f t="shared" si="1356"/>
        <v>-7.4469685572438689</v>
      </c>
      <c r="CO1145" s="61">
        <f t="shared" si="1356"/>
        <v>-7.4469685572438689</v>
      </c>
      <c r="CP1145" s="61">
        <f t="shared" si="1329"/>
        <v>-7.4469685572438689</v>
      </c>
      <c r="CQ1145" s="61">
        <f t="shared" si="1329"/>
        <v>-7.4469685572438689</v>
      </c>
      <c r="CR1145" s="61">
        <f t="shared" si="1329"/>
        <v>-7.4469685572438689</v>
      </c>
      <c r="CS1145" s="61">
        <f t="shared" si="1345"/>
        <v>-7.4469685572438689</v>
      </c>
      <c r="CT1145" s="61">
        <f t="shared" si="1348"/>
        <v>-49.5</v>
      </c>
      <c r="CV1145" s="61">
        <f t="shared" si="1307"/>
        <v>0</v>
      </c>
      <c r="CW1145" s="61">
        <f t="shared" si="1308"/>
        <v>0</v>
      </c>
      <c r="CX1145" s="61"/>
      <c r="CY1145" s="61">
        <f t="shared" si="1311"/>
        <v>0</v>
      </c>
      <c r="CZ1145" s="61">
        <f t="shared" ref="CZ1145" si="1359">SUM(AK1145)-SUM(BP1145)</f>
        <v>0</v>
      </c>
      <c r="DA1145" s="61">
        <f t="shared" ref="DA1145" si="1360">SUM(AL1145)-SUM(BQ1145)</f>
        <v>0</v>
      </c>
      <c r="DB1145" s="2" t="s">
        <v>85</v>
      </c>
      <c r="DC1145" s="2" t="s">
        <v>85</v>
      </c>
      <c r="DD1145" s="2" t="s">
        <v>142</v>
      </c>
      <c r="DE1145" s="2" t="s">
        <v>106</v>
      </c>
      <c r="DG1145" s="62"/>
      <c r="DZ1145" s="3" t="e">
        <v>#N/A</v>
      </c>
      <c r="EC1145" s="60"/>
      <c r="ED1145" s="60"/>
      <c r="EE1145" s="60"/>
      <c r="EF1145" s="60"/>
    </row>
    <row r="1146" spans="1:140" ht="12.75" hidden="1" customHeight="1">
      <c r="B1146" s="2" t="s">
        <v>1873</v>
      </c>
      <c r="C1146" s="2" t="s">
        <v>1868</v>
      </c>
      <c r="D1146" s="2" t="s">
        <v>1869</v>
      </c>
      <c r="E1146" s="1" t="s">
        <v>1591</v>
      </c>
      <c r="F1146" s="86" t="s">
        <v>969</v>
      </c>
      <c r="G1146" s="87" t="s">
        <v>994</v>
      </c>
      <c r="J1146" s="1" t="s">
        <v>1870</v>
      </c>
      <c r="K1146" s="1" t="s">
        <v>1871</v>
      </c>
      <c r="L1146" s="1" t="s">
        <v>511</v>
      </c>
      <c r="M1146" s="90" t="str">
        <f t="shared" si="1263"/>
        <v>GV4T-10655 -BB</v>
      </c>
      <c r="O1146" s="89">
        <v>1</v>
      </c>
      <c r="P1146" s="89">
        <v>1</v>
      </c>
      <c r="Q1146" s="89">
        <v>1</v>
      </c>
      <c r="R1146" s="89">
        <v>1</v>
      </c>
      <c r="S1146" s="89">
        <v>1</v>
      </c>
      <c r="T1146" s="89">
        <v>1</v>
      </c>
      <c r="U1146" s="89">
        <v>1</v>
      </c>
      <c r="V1146" s="89">
        <v>1</v>
      </c>
      <c r="W1146" s="64">
        <f t="shared" si="1357"/>
        <v>1</v>
      </c>
      <c r="Y1146" s="63">
        <f>-308.68-49.5</f>
        <v>-358.18</v>
      </c>
      <c r="Z1146" s="63">
        <v>-4.2</v>
      </c>
      <c r="AA1146" s="63">
        <v>-6.3</v>
      </c>
      <c r="AB1146" s="63">
        <v>0</v>
      </c>
      <c r="AC1146" s="63">
        <v>0</v>
      </c>
      <c r="AD1146" s="63">
        <f t="shared" ref="AD1146" si="1361">SUM(Y1146:AC1146)</f>
        <v>-368.68</v>
      </c>
      <c r="AE1146" s="2" t="s">
        <v>91</v>
      </c>
      <c r="AG1146" s="67">
        <v>0</v>
      </c>
      <c r="AH1146" s="67">
        <v>0</v>
      </c>
      <c r="AJ1146" s="67">
        <v>0</v>
      </c>
      <c r="AK1146" s="67">
        <v>0</v>
      </c>
      <c r="AM1146" s="22"/>
      <c r="AO1146" s="1" t="s">
        <v>1872</v>
      </c>
      <c r="AP1146" s="1" t="s">
        <v>1871</v>
      </c>
      <c r="AQ1146" s="1" t="s">
        <v>111</v>
      </c>
      <c r="AR1146" s="90" t="str">
        <f t="shared" si="1291"/>
        <v>GV4T-10655 -BA</v>
      </c>
      <c r="AS1146" s="3"/>
      <c r="AT1146" s="89">
        <v>1</v>
      </c>
      <c r="AU1146" s="89">
        <v>1</v>
      </c>
      <c r="AV1146" s="89">
        <v>1</v>
      </c>
      <c r="AW1146" s="89">
        <v>1</v>
      </c>
      <c r="AX1146" s="89">
        <v>1</v>
      </c>
      <c r="AY1146" s="89">
        <v>1</v>
      </c>
      <c r="AZ1146" s="89">
        <v>1</v>
      </c>
      <c r="BA1146" s="89">
        <v>1</v>
      </c>
      <c r="BB1146" s="92">
        <f t="shared" si="1279"/>
        <v>1</v>
      </c>
      <c r="BD1146" s="63">
        <f>-308.68-49.5</f>
        <v>-358.18</v>
      </c>
      <c r="BE1146" s="63">
        <v>-4.2</v>
      </c>
      <c r="BF1146" s="63">
        <v>-6.3</v>
      </c>
      <c r="BG1146" s="63">
        <v>0</v>
      </c>
      <c r="BH1146" s="63">
        <v>0</v>
      </c>
      <c r="BI1146" s="63">
        <f t="shared" si="1358"/>
        <v>-368.68</v>
      </c>
      <c r="BJ1146" s="2" t="s">
        <v>91</v>
      </c>
      <c r="BL1146" s="63">
        <v>0</v>
      </c>
      <c r="BM1146" s="63">
        <v>0</v>
      </c>
      <c r="BO1146" s="63">
        <v>0</v>
      </c>
      <c r="BP1146" s="63">
        <v>0</v>
      </c>
      <c r="BS1146" s="61">
        <f t="shared" si="1331"/>
        <v>0</v>
      </c>
      <c r="BT1146" s="61">
        <f t="shared" si="1331"/>
        <v>0</v>
      </c>
      <c r="BU1146" s="61">
        <f t="shared" si="1331"/>
        <v>0</v>
      </c>
      <c r="BV1146" s="61">
        <f t="shared" si="1331"/>
        <v>0</v>
      </c>
      <c r="BW1146" s="61">
        <f t="shared" si="1331"/>
        <v>0</v>
      </c>
      <c r="BX1146" s="61">
        <f t="shared" si="1331"/>
        <v>0</v>
      </c>
      <c r="BY1146" s="61" t="s">
        <v>91</v>
      </c>
      <c r="CA1146" s="61">
        <f t="shared" si="1343"/>
        <v>0</v>
      </c>
      <c r="CB1146" s="61">
        <f t="shared" si="1343"/>
        <v>0</v>
      </c>
      <c r="CC1146" s="61">
        <f t="shared" si="1343"/>
        <v>0</v>
      </c>
      <c r="CD1146" s="61">
        <f t="shared" si="1343"/>
        <v>0</v>
      </c>
      <c r="CE1146" s="61">
        <f t="shared" si="1343"/>
        <v>0</v>
      </c>
      <c r="CF1146" s="61">
        <f t="shared" si="1343"/>
        <v>0</v>
      </c>
      <c r="CG1146" s="61">
        <f t="shared" si="1343"/>
        <v>0</v>
      </c>
      <c r="CH1146" s="61">
        <f t="shared" si="1342"/>
        <v>0</v>
      </c>
      <c r="CI1146" s="61">
        <f t="shared" si="1344"/>
        <v>0</v>
      </c>
      <c r="CJ1146" s="61"/>
      <c r="CK1146" s="61">
        <f t="shared" si="1356"/>
        <v>0</v>
      </c>
      <c r="CL1146" s="61">
        <f t="shared" si="1356"/>
        <v>0</v>
      </c>
      <c r="CM1146" s="61">
        <f t="shared" si="1356"/>
        <v>0</v>
      </c>
      <c r="CN1146" s="61">
        <f t="shared" si="1356"/>
        <v>0</v>
      </c>
      <c r="CO1146" s="61">
        <f t="shared" si="1356"/>
        <v>0</v>
      </c>
      <c r="CP1146" s="61">
        <f t="shared" si="1329"/>
        <v>0</v>
      </c>
      <c r="CQ1146" s="61">
        <f t="shared" si="1329"/>
        <v>0</v>
      </c>
      <c r="CR1146" s="61">
        <f t="shared" si="1329"/>
        <v>0</v>
      </c>
      <c r="CS1146" s="61">
        <f t="shared" si="1345"/>
        <v>0</v>
      </c>
      <c r="CT1146" s="61">
        <f t="shared" si="1348"/>
        <v>0</v>
      </c>
      <c r="CV1146" s="61">
        <f t="shared" ref="CV1146" si="1362">SUM(AG1146)-SUM(BL1146)</f>
        <v>0</v>
      </c>
      <c r="CW1146" s="61">
        <f t="shared" si="1308"/>
        <v>0</v>
      </c>
      <c r="CX1146" s="61"/>
      <c r="CY1146" s="61">
        <f t="shared" ref="CY1146:DA1146" si="1363">SUM(AJ1146)-SUM(BO1146)</f>
        <v>0</v>
      </c>
      <c r="CZ1146" s="61">
        <f t="shared" si="1363"/>
        <v>0</v>
      </c>
      <c r="DA1146" s="61">
        <f t="shared" si="1363"/>
        <v>0</v>
      </c>
      <c r="DB1146" s="2" t="s">
        <v>102</v>
      </c>
      <c r="DC1146" s="2" t="s">
        <v>85</v>
      </c>
      <c r="DD1146" s="2" t="s">
        <v>142</v>
      </c>
      <c r="DE1146" s="2" t="s">
        <v>106</v>
      </c>
      <c r="DG1146" s="62"/>
      <c r="DZ1146" s="3" t="e">
        <v>#N/A</v>
      </c>
      <c r="EC1146" s="60" t="str">
        <f>VLOOKUP($M1146,[1]Detail!$M:$BO,1,0)</f>
        <v>GV4T-10655 -BB</v>
      </c>
      <c r="ED1146" s="60">
        <f>VLOOKUP($M1146,[1]Detail!$M:$BO,22,0)</f>
        <v>-368.68</v>
      </c>
      <c r="EE1146" s="60">
        <f>VLOOKUP($M1146,[1]Detail!$M:$BO,42,0)</f>
        <v>0</v>
      </c>
      <c r="EF1146" s="60">
        <f>VLOOKUP($M1146,[1]Detail!$M:$BO,45,0)</f>
        <v>0</v>
      </c>
      <c r="EH1146" s="60">
        <f t="shared" ref="EH1146:EH1151" si="1364">ED1146-AD1146</f>
        <v>0</v>
      </c>
      <c r="EI1146" s="60">
        <f t="shared" ref="EI1146:EI1151" si="1365">EE1146-AG1146</f>
        <v>0</v>
      </c>
      <c r="EJ1146" s="60">
        <f t="shared" ref="EJ1146:EJ1151" si="1366">EF1146-AJ1146</f>
        <v>0</v>
      </c>
    </row>
    <row r="1147" spans="1:140" ht="15" hidden="1" customHeight="1">
      <c r="B1147" s="2" t="s">
        <v>1874</v>
      </c>
      <c r="C1147" s="2" t="s">
        <v>1875</v>
      </c>
      <c r="D1147" s="2" t="s">
        <v>1876</v>
      </c>
      <c r="E1147" s="87" t="s">
        <v>523</v>
      </c>
      <c r="F1147" s="2" t="s">
        <v>330</v>
      </c>
      <c r="G1147" s="87" t="s">
        <v>994</v>
      </c>
      <c r="J1147" s="1" t="s">
        <v>1877</v>
      </c>
      <c r="K1147" s="1">
        <v>9451</v>
      </c>
      <c r="L1147" s="1" t="s">
        <v>132</v>
      </c>
      <c r="M1147" s="90" t="str">
        <f t="shared" ref="M1147:M1210" si="1367">TRIM(J1147)&amp;"-"&amp;TRIM(K1147)&amp;"-"&amp;TRIM(L1147)</f>
        <v>GN11 -9451-AB</v>
      </c>
      <c r="O1147" s="89">
        <v>1</v>
      </c>
      <c r="P1147" s="89">
        <v>1</v>
      </c>
      <c r="Q1147" s="89">
        <v>1</v>
      </c>
      <c r="R1147" s="89">
        <v>1</v>
      </c>
      <c r="S1147" s="89">
        <v>1</v>
      </c>
      <c r="T1147" s="89">
        <v>1</v>
      </c>
      <c r="U1147" s="89">
        <v>1</v>
      </c>
      <c r="V1147" s="89">
        <v>1</v>
      </c>
      <c r="W1147" s="64">
        <f t="shared" si="1357"/>
        <v>1</v>
      </c>
      <c r="Y1147" s="63">
        <v>-7.86</v>
      </c>
      <c r="Z1147" s="63">
        <v>-0.47</v>
      </c>
      <c r="AA1147" s="63">
        <v>-0.3</v>
      </c>
      <c r="AB1147" s="63">
        <v>0</v>
      </c>
      <c r="AC1147" s="63">
        <v>0</v>
      </c>
      <c r="AD1147" s="63">
        <f t="shared" si="1276"/>
        <v>-8.6300000000000008</v>
      </c>
      <c r="AE1147" s="2" t="s">
        <v>91</v>
      </c>
      <c r="AG1147" s="67">
        <v>0</v>
      </c>
      <c r="AH1147" s="67">
        <v>0</v>
      </c>
      <c r="AJ1147" s="67">
        <v>0</v>
      </c>
      <c r="AK1147" s="67">
        <v>0</v>
      </c>
      <c r="AM1147" s="22"/>
      <c r="AO1147" s="3" t="s">
        <v>1878</v>
      </c>
      <c r="AP1147" s="3">
        <v>9451</v>
      </c>
      <c r="AQ1147" s="1" t="s">
        <v>141</v>
      </c>
      <c r="AR1147" s="90" t="str">
        <f t="shared" si="1291"/>
        <v>GN11 -9451-AB</v>
      </c>
      <c r="AS1147" s="87"/>
      <c r="AT1147" s="89">
        <v>1</v>
      </c>
      <c r="AU1147" s="89">
        <v>1</v>
      </c>
      <c r="AV1147" s="89">
        <v>1</v>
      </c>
      <c r="AW1147" s="89">
        <v>1</v>
      </c>
      <c r="AX1147" s="89">
        <v>1</v>
      </c>
      <c r="AY1147" s="89">
        <v>1</v>
      </c>
      <c r="AZ1147" s="89">
        <v>1</v>
      </c>
      <c r="BA1147" s="89">
        <v>1</v>
      </c>
      <c r="BB1147" s="92">
        <f t="shared" si="1279"/>
        <v>1</v>
      </c>
      <c r="BC1147" s="89"/>
      <c r="BD1147" s="63">
        <v>-7.86</v>
      </c>
      <c r="BE1147" s="63">
        <v>-0.47</v>
      </c>
      <c r="BF1147" s="63">
        <v>-0.3</v>
      </c>
      <c r="BG1147" s="63"/>
      <c r="BH1147" s="63"/>
      <c r="BI1147" s="8">
        <f t="shared" si="1306"/>
        <v>-8.6300000000000008</v>
      </c>
      <c r="BJ1147" s="2" t="s">
        <v>91</v>
      </c>
      <c r="BL1147" s="63">
        <v>0</v>
      </c>
      <c r="BM1147" s="63">
        <v>0</v>
      </c>
      <c r="BO1147" s="63">
        <v>0</v>
      </c>
      <c r="BP1147" s="63">
        <v>0</v>
      </c>
      <c r="BS1147" s="61">
        <f t="shared" si="1331"/>
        <v>0</v>
      </c>
      <c r="BT1147" s="61">
        <f t="shared" si="1331"/>
        <v>0</v>
      </c>
      <c r="BU1147" s="61">
        <f t="shared" si="1331"/>
        <v>0</v>
      </c>
      <c r="BV1147" s="61">
        <f t="shared" si="1331"/>
        <v>0</v>
      </c>
      <c r="BW1147" s="61">
        <f t="shared" si="1331"/>
        <v>0</v>
      </c>
      <c r="BX1147" s="61">
        <f t="shared" si="1331"/>
        <v>0</v>
      </c>
      <c r="BY1147" s="61" t="s">
        <v>91</v>
      </c>
      <c r="CA1147" s="61">
        <f t="shared" si="1343"/>
        <v>0</v>
      </c>
      <c r="CB1147" s="61">
        <f t="shared" si="1343"/>
        <v>0</v>
      </c>
      <c r="CC1147" s="61">
        <f t="shared" si="1343"/>
        <v>0</v>
      </c>
      <c r="CD1147" s="61">
        <f t="shared" si="1343"/>
        <v>0</v>
      </c>
      <c r="CE1147" s="61">
        <f t="shared" si="1343"/>
        <v>0</v>
      </c>
      <c r="CF1147" s="61">
        <f t="shared" si="1343"/>
        <v>0</v>
      </c>
      <c r="CG1147" s="61">
        <f t="shared" si="1343"/>
        <v>0</v>
      </c>
      <c r="CH1147" s="61">
        <f t="shared" si="1342"/>
        <v>0</v>
      </c>
      <c r="CI1147" s="61">
        <f t="shared" si="1344"/>
        <v>0</v>
      </c>
      <c r="CJ1147" s="61"/>
      <c r="CK1147" s="61">
        <f t="shared" si="1356"/>
        <v>0</v>
      </c>
      <c r="CL1147" s="61">
        <f t="shared" si="1356"/>
        <v>0</v>
      </c>
      <c r="CM1147" s="61">
        <f t="shared" si="1356"/>
        <v>0</v>
      </c>
      <c r="CN1147" s="61">
        <f t="shared" si="1356"/>
        <v>0</v>
      </c>
      <c r="CO1147" s="61">
        <f t="shared" si="1356"/>
        <v>0</v>
      </c>
      <c r="CP1147" s="61">
        <f t="shared" si="1329"/>
        <v>0</v>
      </c>
      <c r="CQ1147" s="61">
        <f t="shared" si="1329"/>
        <v>0</v>
      </c>
      <c r="CR1147" s="61">
        <f t="shared" si="1329"/>
        <v>0</v>
      </c>
      <c r="CS1147" s="61">
        <f t="shared" si="1345"/>
        <v>0</v>
      </c>
      <c r="CT1147" s="61">
        <f t="shared" si="1348"/>
        <v>0</v>
      </c>
      <c r="CV1147" s="61">
        <f t="shared" si="1307"/>
        <v>0</v>
      </c>
      <c r="CW1147" s="61">
        <f t="shared" si="1308"/>
        <v>0</v>
      </c>
      <c r="CX1147" s="61"/>
      <c r="CY1147" s="61">
        <f t="shared" si="1311"/>
        <v>0</v>
      </c>
      <c r="CZ1147" s="61">
        <f t="shared" si="1309"/>
        <v>0</v>
      </c>
      <c r="DA1147" s="61">
        <f t="shared" si="1310"/>
        <v>0</v>
      </c>
      <c r="DB1147" s="2" t="s">
        <v>102</v>
      </c>
      <c r="DC1147" s="2" t="s">
        <v>102</v>
      </c>
      <c r="DD1147" s="2" t="s">
        <v>142</v>
      </c>
      <c r="DE1147" s="2" t="s">
        <v>257</v>
      </c>
      <c r="DZ1147" s="3" t="e">
        <v>#N/A</v>
      </c>
      <c r="EC1147" s="60" t="str">
        <f>VLOOKUP($M1147,[1]Detail!$M:$BO,1,0)</f>
        <v>GN11 -9451-AB</v>
      </c>
      <c r="ED1147" s="60">
        <f>VLOOKUP($M1147,[1]Detail!$M:$BO,22,0)</f>
        <v>-8.6300000000000008</v>
      </c>
      <c r="EE1147" s="60">
        <f>VLOOKUP($M1147,[1]Detail!$M:$BO,42,0)</f>
        <v>0</v>
      </c>
      <c r="EF1147" s="60">
        <f>VLOOKUP($M1147,[1]Detail!$M:$BO,45,0)</f>
        <v>0</v>
      </c>
      <c r="EH1147" s="60">
        <f t="shared" si="1364"/>
        <v>0</v>
      </c>
      <c r="EI1147" s="60">
        <f t="shared" si="1365"/>
        <v>0</v>
      </c>
      <c r="EJ1147" s="60">
        <f t="shared" si="1366"/>
        <v>0</v>
      </c>
    </row>
    <row r="1148" spans="1:140" ht="12.75" hidden="1" customHeight="1">
      <c r="B1148" s="2" t="s">
        <v>1879</v>
      </c>
      <c r="C1148" s="2" t="s">
        <v>1880</v>
      </c>
      <c r="D1148" s="2" t="s">
        <v>1881</v>
      </c>
      <c r="E1148" s="1" t="s">
        <v>1591</v>
      </c>
      <c r="F1148" s="86" t="s">
        <v>969</v>
      </c>
      <c r="G1148" s="87" t="s">
        <v>994</v>
      </c>
      <c r="J1148" s="1" t="s">
        <v>1882</v>
      </c>
      <c r="K1148" s="1" t="s">
        <v>1883</v>
      </c>
      <c r="L1148" s="1" t="s">
        <v>100</v>
      </c>
      <c r="M1148" s="90" t="str">
        <f t="shared" si="1367"/>
        <v>JD8T -18C815 -AA</v>
      </c>
      <c r="O1148" s="89">
        <v>1</v>
      </c>
      <c r="P1148" s="89">
        <v>1</v>
      </c>
      <c r="Q1148" s="89">
        <v>0</v>
      </c>
      <c r="R1148" s="89">
        <v>0</v>
      </c>
      <c r="S1148" s="89">
        <v>0</v>
      </c>
      <c r="T1148" s="89">
        <v>0</v>
      </c>
      <c r="U1148" s="89">
        <v>0</v>
      </c>
      <c r="V1148" s="89">
        <v>0</v>
      </c>
      <c r="W1148" s="64">
        <f t="shared" si="1357"/>
        <v>0.30000000000000004</v>
      </c>
      <c r="Y1148" s="63">
        <v>-744.59</v>
      </c>
      <c r="Z1148" s="63">
        <v>-0.98</v>
      </c>
      <c r="AA1148" s="63">
        <v>-0.7</v>
      </c>
      <c r="AB1148" s="63">
        <v>-9.31</v>
      </c>
      <c r="AC1148" s="63">
        <v>-26.212004437853299</v>
      </c>
      <c r="AD1148" s="63">
        <f t="shared" si="1276"/>
        <v>-781.79200443785339</v>
      </c>
      <c r="AE1148" s="2" t="s">
        <v>91</v>
      </c>
      <c r="AG1148" s="67">
        <v>-557780</v>
      </c>
      <c r="AH1148" s="67">
        <f>AG1148</f>
        <v>-557780</v>
      </c>
      <c r="AI1148" s="6"/>
      <c r="AJ1148" s="67">
        <v>-8078336</v>
      </c>
      <c r="AK1148" s="61">
        <v>308146</v>
      </c>
      <c r="AM1148" s="22"/>
      <c r="AO1148" s="1" t="s">
        <v>1735</v>
      </c>
      <c r="AP1148" s="1" t="s">
        <v>1883</v>
      </c>
      <c r="AQ1148" s="1" t="s">
        <v>1884</v>
      </c>
      <c r="AR1148" s="90" t="str">
        <f t="shared" si="1291"/>
        <v>ED8T -18C815 -CK</v>
      </c>
      <c r="AS1148" s="3"/>
      <c r="AT1148" s="89">
        <v>1</v>
      </c>
      <c r="AU1148" s="89">
        <v>1</v>
      </c>
      <c r="AV1148" s="89">
        <v>0</v>
      </c>
      <c r="AW1148" s="89">
        <v>0</v>
      </c>
      <c r="AX1148" s="89">
        <v>0</v>
      </c>
      <c r="AY1148" s="89">
        <v>0</v>
      </c>
      <c r="AZ1148" s="89">
        <v>0</v>
      </c>
      <c r="BA1148" s="89">
        <v>0</v>
      </c>
      <c r="BB1148" s="92">
        <f t="shared" si="1279"/>
        <v>0.30000000000000004</v>
      </c>
      <c r="BD1148" s="63">
        <v>-700.86</v>
      </c>
      <c r="BE1148" s="63">
        <v>-0.98</v>
      </c>
      <c r="BF1148" s="63">
        <v>-0.7</v>
      </c>
      <c r="BG1148" s="63">
        <v>-9.31</v>
      </c>
      <c r="BH1148" s="63">
        <v>0</v>
      </c>
      <c r="BI1148" s="8">
        <f t="shared" si="1306"/>
        <v>-711.85</v>
      </c>
      <c r="BJ1148" s="2" t="s">
        <v>91</v>
      </c>
      <c r="BL1148" s="63">
        <v>0</v>
      </c>
      <c r="BM1148" s="63">
        <v>0</v>
      </c>
      <c r="BO1148" s="63">
        <v>0</v>
      </c>
      <c r="BP1148" s="63">
        <v>0</v>
      </c>
      <c r="BS1148" s="61">
        <f t="shared" si="1331"/>
        <v>-43.730000000000018</v>
      </c>
      <c r="BT1148" s="61">
        <f t="shared" si="1331"/>
        <v>0</v>
      </c>
      <c r="BU1148" s="61">
        <f t="shared" si="1331"/>
        <v>0</v>
      </c>
      <c r="BV1148" s="61">
        <f t="shared" si="1331"/>
        <v>0</v>
      </c>
      <c r="BW1148" s="61">
        <f t="shared" si="1331"/>
        <v>-26.212004437853299</v>
      </c>
      <c r="BX1148" s="61">
        <f t="shared" si="1331"/>
        <v>-69.94200443785337</v>
      </c>
      <c r="BY1148" s="61" t="s">
        <v>91</v>
      </c>
      <c r="CA1148" s="61">
        <f t="shared" si="1343"/>
        <v>-6.5789077779449396</v>
      </c>
      <c r="CB1148" s="61">
        <f t="shared" si="1343"/>
        <v>-6.5789077779449396</v>
      </c>
      <c r="CC1148" s="61">
        <f t="shared" si="1343"/>
        <v>0</v>
      </c>
      <c r="CD1148" s="61">
        <f t="shared" si="1343"/>
        <v>0</v>
      </c>
      <c r="CE1148" s="61">
        <f t="shared" si="1343"/>
        <v>0</v>
      </c>
      <c r="CF1148" s="61">
        <f t="shared" si="1343"/>
        <v>0</v>
      </c>
      <c r="CG1148" s="61">
        <f t="shared" si="1343"/>
        <v>0</v>
      </c>
      <c r="CH1148" s="61">
        <f t="shared" si="1342"/>
        <v>0</v>
      </c>
      <c r="CI1148" s="61">
        <f t="shared" si="1344"/>
        <v>-1.9736723333834818</v>
      </c>
      <c r="CJ1148" s="61"/>
      <c r="CK1148" s="61">
        <f t="shared" si="1356"/>
        <v>-10.522341573319297</v>
      </c>
      <c r="CL1148" s="61">
        <f t="shared" si="1356"/>
        <v>-10.522341573319297</v>
      </c>
      <c r="CM1148" s="61">
        <f t="shared" si="1356"/>
        <v>0</v>
      </c>
      <c r="CN1148" s="61">
        <f t="shared" si="1356"/>
        <v>0</v>
      </c>
      <c r="CO1148" s="61">
        <f t="shared" si="1356"/>
        <v>0</v>
      </c>
      <c r="CP1148" s="61">
        <f t="shared" si="1329"/>
        <v>0</v>
      </c>
      <c r="CQ1148" s="61">
        <f t="shared" si="1329"/>
        <v>0</v>
      </c>
      <c r="CR1148" s="61">
        <f t="shared" si="1329"/>
        <v>0</v>
      </c>
      <c r="CS1148" s="61">
        <f t="shared" si="1345"/>
        <v>-3.1567024719957892</v>
      </c>
      <c r="CT1148" s="61">
        <f t="shared" si="1348"/>
        <v>-20.982601331356012</v>
      </c>
      <c r="CV1148" s="61">
        <f t="shared" si="1307"/>
        <v>-557780</v>
      </c>
      <c r="CW1148" s="61">
        <f t="shared" si="1308"/>
        <v>-557780</v>
      </c>
      <c r="CX1148" s="61"/>
      <c r="CY1148" s="61">
        <f t="shared" si="1311"/>
        <v>-8078336</v>
      </c>
      <c r="CZ1148" s="61">
        <f t="shared" si="1309"/>
        <v>308146</v>
      </c>
      <c r="DA1148" s="61">
        <f t="shared" si="1310"/>
        <v>0</v>
      </c>
      <c r="DB1148" s="2" t="s">
        <v>134</v>
      </c>
      <c r="DC1148" s="2" t="s">
        <v>102</v>
      </c>
      <c r="DD1148" s="2" t="s">
        <v>142</v>
      </c>
      <c r="DE1148" s="2" t="s">
        <v>257</v>
      </c>
      <c r="DF1148" s="3" t="s">
        <v>86</v>
      </c>
      <c r="DG1148" s="62">
        <v>42913</v>
      </c>
      <c r="EC1148" s="60"/>
      <c r="ED1148" s="60"/>
      <c r="EE1148" s="60"/>
      <c r="EF1148" s="60"/>
      <c r="EH1148" s="60"/>
      <c r="EI1148" s="60"/>
      <c r="EJ1148" s="60"/>
    </row>
    <row r="1149" spans="1:140" ht="12.75" hidden="1" customHeight="1">
      <c r="A1149" s="248"/>
      <c r="B1149" s="248" t="s">
        <v>1879</v>
      </c>
      <c r="C1149" s="248" t="s">
        <v>1880</v>
      </c>
      <c r="D1149" s="248" t="s">
        <v>1881</v>
      </c>
      <c r="E1149" s="250" t="s">
        <v>1591</v>
      </c>
      <c r="F1149" s="269" t="s">
        <v>969</v>
      </c>
      <c r="G1149" s="251" t="s">
        <v>994</v>
      </c>
      <c r="I1149" s="248"/>
      <c r="J1149" s="250" t="s">
        <v>1882</v>
      </c>
      <c r="K1149" s="250" t="s">
        <v>1883</v>
      </c>
      <c r="L1149" s="250" t="s">
        <v>111</v>
      </c>
      <c r="M1149" s="252" t="str">
        <f t="shared" si="1367"/>
        <v>JD8T -18C815 -BA</v>
      </c>
      <c r="N1149" s="253"/>
      <c r="O1149" s="254">
        <v>0</v>
      </c>
      <c r="P1149" s="254">
        <v>0</v>
      </c>
      <c r="Q1149" s="254">
        <v>1</v>
      </c>
      <c r="R1149" s="254">
        <v>1</v>
      </c>
      <c r="S1149" s="254">
        <v>0</v>
      </c>
      <c r="T1149" s="254">
        <v>0</v>
      </c>
      <c r="U1149" s="254">
        <v>0</v>
      </c>
      <c r="V1149" s="254">
        <v>0</v>
      </c>
      <c r="W1149" s="255">
        <f t="shared" si="1357"/>
        <v>0.37</v>
      </c>
      <c r="X1149" s="248"/>
      <c r="Y1149" s="256">
        <v>-744.59</v>
      </c>
      <c r="Z1149" s="256">
        <v>-0.98</v>
      </c>
      <c r="AA1149" s="256">
        <v>-0.7</v>
      </c>
      <c r="AB1149" s="256">
        <v>-9.31</v>
      </c>
      <c r="AC1149" s="256">
        <v>-26.212004437853299</v>
      </c>
      <c r="AD1149" s="256">
        <f t="shared" si="1276"/>
        <v>-781.79200443785339</v>
      </c>
      <c r="AE1149" s="248" t="s">
        <v>91</v>
      </c>
      <c r="AF1149" s="248"/>
      <c r="AG1149" s="258">
        <v>0</v>
      </c>
      <c r="AH1149" s="258">
        <v>0</v>
      </c>
      <c r="AI1149" s="248"/>
      <c r="AJ1149" s="258">
        <v>0</v>
      </c>
      <c r="AK1149" s="258">
        <v>0</v>
      </c>
      <c r="AL1149" s="248"/>
      <c r="AM1149" s="260"/>
      <c r="AN1149" s="248"/>
      <c r="AO1149" s="250" t="s">
        <v>1735</v>
      </c>
      <c r="AP1149" s="250" t="s">
        <v>1883</v>
      </c>
      <c r="AQ1149" s="250" t="s">
        <v>1885</v>
      </c>
      <c r="AR1149" s="252" t="str">
        <f t="shared" si="1291"/>
        <v>ED8T -18C815 -BK</v>
      </c>
      <c r="AS1149" s="251"/>
      <c r="AT1149" s="254">
        <v>0</v>
      </c>
      <c r="AU1149" s="254">
        <v>0</v>
      </c>
      <c r="AV1149" s="254">
        <v>1</v>
      </c>
      <c r="AW1149" s="254">
        <v>1</v>
      </c>
      <c r="AX1149" s="254">
        <v>0</v>
      </c>
      <c r="AY1149" s="254">
        <v>0</v>
      </c>
      <c r="AZ1149" s="254">
        <v>0</v>
      </c>
      <c r="BA1149" s="254">
        <v>0</v>
      </c>
      <c r="BB1149" s="261">
        <f t="shared" si="1279"/>
        <v>0.37</v>
      </c>
      <c r="BC1149" s="248"/>
      <c r="BD1149" s="256">
        <v>-700.86</v>
      </c>
      <c r="BE1149" s="256">
        <v>-0.98</v>
      </c>
      <c r="BF1149" s="256">
        <v>-0.7</v>
      </c>
      <c r="BG1149" s="256">
        <v>-9.31</v>
      </c>
      <c r="BH1149" s="256">
        <v>0</v>
      </c>
      <c r="BI1149" s="257">
        <f t="shared" si="1306"/>
        <v>-711.85</v>
      </c>
      <c r="BJ1149" s="248" t="s">
        <v>91</v>
      </c>
      <c r="BK1149" s="248"/>
      <c r="BL1149" s="256">
        <v>0</v>
      </c>
      <c r="BM1149" s="256">
        <v>0</v>
      </c>
      <c r="BN1149" s="248"/>
      <c r="BO1149" s="256">
        <v>0</v>
      </c>
      <c r="BP1149" s="256">
        <v>0</v>
      </c>
      <c r="BQ1149" s="248"/>
      <c r="BR1149" s="248"/>
      <c r="BS1149" s="61">
        <f t="shared" si="1331"/>
        <v>-43.730000000000018</v>
      </c>
      <c r="BT1149" s="61">
        <f t="shared" si="1331"/>
        <v>0</v>
      </c>
      <c r="BU1149" s="61">
        <f t="shared" si="1331"/>
        <v>0</v>
      </c>
      <c r="BV1149" s="61">
        <f t="shared" si="1331"/>
        <v>0</v>
      </c>
      <c r="BW1149" s="61">
        <f t="shared" si="1331"/>
        <v>-26.212004437853299</v>
      </c>
      <c r="BX1149" s="61">
        <f t="shared" si="1331"/>
        <v>-69.94200443785337</v>
      </c>
      <c r="BY1149" s="61" t="s">
        <v>91</v>
      </c>
      <c r="CA1149" s="61">
        <f t="shared" si="1343"/>
        <v>0</v>
      </c>
      <c r="CB1149" s="61">
        <f t="shared" si="1343"/>
        <v>0</v>
      </c>
      <c r="CC1149" s="61">
        <f t="shared" si="1343"/>
        <v>-6.5789077779449396</v>
      </c>
      <c r="CD1149" s="61">
        <f t="shared" si="1343"/>
        <v>-6.5789077779449396</v>
      </c>
      <c r="CE1149" s="61">
        <f t="shared" si="1343"/>
        <v>0</v>
      </c>
      <c r="CF1149" s="61">
        <f t="shared" si="1343"/>
        <v>0</v>
      </c>
      <c r="CG1149" s="61">
        <f t="shared" si="1343"/>
        <v>0</v>
      </c>
      <c r="CH1149" s="61">
        <f t="shared" si="1342"/>
        <v>0</v>
      </c>
      <c r="CI1149" s="61">
        <f t="shared" si="1344"/>
        <v>-2.434195877839628</v>
      </c>
      <c r="CJ1149" s="61"/>
      <c r="CK1149" s="61">
        <f t="shared" si="1356"/>
        <v>0</v>
      </c>
      <c r="CL1149" s="61">
        <f t="shared" si="1356"/>
        <v>0</v>
      </c>
      <c r="CM1149" s="61">
        <f t="shared" si="1356"/>
        <v>-10.522341573319297</v>
      </c>
      <c r="CN1149" s="61">
        <f t="shared" si="1356"/>
        <v>-10.522341573319297</v>
      </c>
      <c r="CO1149" s="61">
        <f t="shared" si="1356"/>
        <v>0</v>
      </c>
      <c r="CP1149" s="61">
        <f t="shared" si="1329"/>
        <v>0</v>
      </c>
      <c r="CQ1149" s="61">
        <f t="shared" si="1329"/>
        <v>0</v>
      </c>
      <c r="CR1149" s="61">
        <f t="shared" si="1329"/>
        <v>0</v>
      </c>
      <c r="CS1149" s="61">
        <f t="shared" si="1345"/>
        <v>-3.8932663821281404</v>
      </c>
      <c r="CT1149" s="61">
        <f t="shared" si="1348"/>
        <v>-25.87854164200575</v>
      </c>
      <c r="CV1149" s="61">
        <f t="shared" si="1307"/>
        <v>0</v>
      </c>
      <c r="CW1149" s="61">
        <f t="shared" si="1308"/>
        <v>0</v>
      </c>
      <c r="CX1149" s="61"/>
      <c r="CY1149" s="61">
        <f t="shared" si="1311"/>
        <v>0</v>
      </c>
      <c r="CZ1149" s="61">
        <f t="shared" si="1309"/>
        <v>0</v>
      </c>
      <c r="DA1149" s="61">
        <f t="shared" si="1310"/>
        <v>0</v>
      </c>
      <c r="DB1149" s="2" t="s">
        <v>134</v>
      </c>
      <c r="DC1149" s="2" t="s">
        <v>102</v>
      </c>
      <c r="DD1149" s="2" t="s">
        <v>142</v>
      </c>
      <c r="DE1149" s="2" t="s">
        <v>257</v>
      </c>
      <c r="DF1149" s="3" t="s">
        <v>86</v>
      </c>
      <c r="DG1149" s="62">
        <v>42913</v>
      </c>
      <c r="EC1149" s="60"/>
      <c r="ED1149" s="60"/>
      <c r="EE1149" s="60"/>
      <c r="EF1149" s="60"/>
      <c r="EH1149" s="60"/>
      <c r="EI1149" s="60"/>
      <c r="EJ1149" s="60"/>
    </row>
    <row r="1150" spans="1:140" ht="12.75" hidden="1" customHeight="1">
      <c r="A1150" s="248"/>
      <c r="B1150" s="248" t="s">
        <v>1886</v>
      </c>
      <c r="C1150" s="248" t="s">
        <v>1880</v>
      </c>
      <c r="D1150" s="248" t="s">
        <v>1881</v>
      </c>
      <c r="E1150" s="250" t="s">
        <v>1591</v>
      </c>
      <c r="F1150" s="269" t="s">
        <v>969</v>
      </c>
      <c r="G1150" s="251" t="s">
        <v>994</v>
      </c>
      <c r="I1150" s="248"/>
      <c r="J1150" s="250" t="s">
        <v>1882</v>
      </c>
      <c r="K1150" s="250" t="s">
        <v>1883</v>
      </c>
      <c r="L1150" s="250" t="s">
        <v>132</v>
      </c>
      <c r="M1150" s="252" t="str">
        <f t="shared" si="1367"/>
        <v>JD8T -18C815 -AB</v>
      </c>
      <c r="N1150" s="253"/>
      <c r="O1150" s="254">
        <v>1</v>
      </c>
      <c r="P1150" s="254">
        <v>1</v>
      </c>
      <c r="Q1150" s="254">
        <v>0</v>
      </c>
      <c r="R1150" s="254">
        <v>0</v>
      </c>
      <c r="S1150" s="254">
        <v>0</v>
      </c>
      <c r="T1150" s="254">
        <v>0</v>
      </c>
      <c r="U1150" s="254">
        <v>0</v>
      </c>
      <c r="V1150" s="254">
        <v>0</v>
      </c>
      <c r="W1150" s="255">
        <f t="shared" si="1357"/>
        <v>0.30000000000000004</v>
      </c>
      <c r="X1150" s="248"/>
      <c r="Y1150" s="256">
        <v>-744.59</v>
      </c>
      <c r="Z1150" s="256">
        <v>-0.98</v>
      </c>
      <c r="AA1150" s="256">
        <v>-0.7</v>
      </c>
      <c r="AB1150" s="256">
        <v>-9.31</v>
      </c>
      <c r="AC1150" s="256">
        <v>-26.212004437853299</v>
      </c>
      <c r="AD1150" s="256">
        <f t="shared" si="1276"/>
        <v>-781.79200443785339</v>
      </c>
      <c r="AE1150" s="248" t="s">
        <v>91</v>
      </c>
      <c r="AF1150" s="248"/>
      <c r="AG1150" s="258">
        <v>-557780</v>
      </c>
      <c r="AH1150" s="258">
        <f>AG1150</f>
        <v>-557780</v>
      </c>
      <c r="AI1150" s="259"/>
      <c r="AJ1150" s="258">
        <v>-8078336</v>
      </c>
      <c r="AK1150" s="270">
        <v>308146</v>
      </c>
      <c r="AL1150" s="248"/>
      <c r="AM1150" s="260"/>
      <c r="AN1150" s="248"/>
      <c r="AO1150" s="250" t="s">
        <v>1882</v>
      </c>
      <c r="AP1150" s="250" t="s">
        <v>1883</v>
      </c>
      <c r="AQ1150" s="250" t="s">
        <v>180</v>
      </c>
      <c r="AR1150" s="252" t="s">
        <v>1887</v>
      </c>
      <c r="AS1150" s="253"/>
      <c r="AT1150" s="254">
        <v>1</v>
      </c>
      <c r="AU1150" s="254">
        <v>1</v>
      </c>
      <c r="AV1150" s="254">
        <v>0</v>
      </c>
      <c r="AW1150" s="254">
        <v>0</v>
      </c>
      <c r="AX1150" s="254">
        <v>0</v>
      </c>
      <c r="AY1150" s="254">
        <v>0</v>
      </c>
      <c r="AZ1150" s="254">
        <v>0</v>
      </c>
      <c r="BA1150" s="254">
        <v>0</v>
      </c>
      <c r="BB1150" s="261">
        <v>0.33999999999999997</v>
      </c>
      <c r="BC1150" s="248"/>
      <c r="BD1150" s="256">
        <v>-744.59</v>
      </c>
      <c r="BE1150" s="256">
        <v>-0.98</v>
      </c>
      <c r="BF1150" s="256">
        <v>-0.7</v>
      </c>
      <c r="BG1150" s="256">
        <v>-9.31</v>
      </c>
      <c r="BH1150" s="256">
        <v>-26.212004437853299</v>
      </c>
      <c r="BI1150" s="257">
        <v>-781.79200443785339</v>
      </c>
      <c r="BJ1150" s="248" t="s">
        <v>91</v>
      </c>
      <c r="BK1150" s="248"/>
      <c r="BL1150" s="256">
        <v>-557780</v>
      </c>
      <c r="BM1150" s="256">
        <v>-557780</v>
      </c>
      <c r="BN1150" s="248"/>
      <c r="BO1150" s="256">
        <v>-8078336</v>
      </c>
      <c r="BP1150" s="256">
        <v>308146</v>
      </c>
      <c r="BQ1150" s="248"/>
      <c r="BR1150" s="248"/>
      <c r="BS1150" s="61">
        <f t="shared" si="1331"/>
        <v>0</v>
      </c>
      <c r="BT1150" s="61">
        <f t="shared" si="1331"/>
        <v>0</v>
      </c>
      <c r="BU1150" s="61">
        <f t="shared" si="1331"/>
        <v>0</v>
      </c>
      <c r="BV1150" s="61">
        <f t="shared" si="1331"/>
        <v>0</v>
      </c>
      <c r="BW1150" s="61">
        <f t="shared" si="1331"/>
        <v>0</v>
      </c>
      <c r="BX1150" s="61">
        <f t="shared" si="1331"/>
        <v>0</v>
      </c>
      <c r="BY1150" s="61" t="s">
        <v>91</v>
      </c>
      <c r="CA1150" s="61">
        <f t="shared" si="1343"/>
        <v>0</v>
      </c>
      <c r="CB1150" s="61">
        <f t="shared" si="1343"/>
        <v>0</v>
      </c>
      <c r="CC1150" s="61">
        <f t="shared" si="1343"/>
        <v>0</v>
      </c>
      <c r="CD1150" s="61">
        <f t="shared" si="1343"/>
        <v>0</v>
      </c>
      <c r="CE1150" s="61">
        <f t="shared" si="1343"/>
        <v>0</v>
      </c>
      <c r="CF1150" s="61">
        <f t="shared" si="1343"/>
        <v>0</v>
      </c>
      <c r="CG1150" s="61">
        <f t="shared" si="1343"/>
        <v>0</v>
      </c>
      <c r="CH1150" s="61">
        <f t="shared" si="1342"/>
        <v>0</v>
      </c>
      <c r="CI1150" s="61">
        <f t="shared" si="1344"/>
        <v>0</v>
      </c>
      <c r="CJ1150" s="61"/>
      <c r="CK1150" s="61">
        <f t="shared" si="1356"/>
        <v>0</v>
      </c>
      <c r="CL1150" s="61">
        <f t="shared" si="1356"/>
        <v>0</v>
      </c>
      <c r="CM1150" s="61">
        <f t="shared" si="1356"/>
        <v>0</v>
      </c>
      <c r="CN1150" s="61">
        <f t="shared" si="1356"/>
        <v>0</v>
      </c>
      <c r="CO1150" s="61">
        <f t="shared" si="1356"/>
        <v>0</v>
      </c>
      <c r="CP1150" s="61">
        <f t="shared" si="1329"/>
        <v>0</v>
      </c>
      <c r="CQ1150" s="61">
        <f t="shared" si="1329"/>
        <v>0</v>
      </c>
      <c r="CR1150" s="61">
        <f t="shared" si="1329"/>
        <v>0</v>
      </c>
      <c r="CS1150" s="61">
        <f t="shared" si="1345"/>
        <v>0</v>
      </c>
      <c r="CT1150" s="61">
        <f t="shared" si="1348"/>
        <v>0</v>
      </c>
      <c r="CV1150" s="61">
        <f t="shared" si="1307"/>
        <v>0</v>
      </c>
      <c r="CW1150" s="61">
        <f t="shared" si="1308"/>
        <v>0</v>
      </c>
      <c r="CX1150" s="61"/>
      <c r="CY1150" s="61">
        <f t="shared" si="1311"/>
        <v>0</v>
      </c>
      <c r="CZ1150" s="61">
        <f t="shared" si="1309"/>
        <v>0</v>
      </c>
      <c r="DA1150" s="61">
        <f t="shared" si="1310"/>
        <v>0</v>
      </c>
      <c r="DB1150" s="2" t="s">
        <v>102</v>
      </c>
      <c r="DC1150" s="2" t="s">
        <v>102</v>
      </c>
      <c r="DD1150" s="2" t="s">
        <v>142</v>
      </c>
      <c r="DE1150" s="2" t="s">
        <v>257</v>
      </c>
      <c r="DF1150" s="3" t="s">
        <v>86</v>
      </c>
      <c r="DG1150" s="62">
        <v>42921</v>
      </c>
      <c r="EC1150" s="60" t="str">
        <f>VLOOKUP($M1150,[1]Detail!$M:$BO,1,0)</f>
        <v>JD8T -18C815 -AB</v>
      </c>
      <c r="ED1150" s="60">
        <f>VLOOKUP($M1150,[1]Detail!$M:$BO,22,0)</f>
        <v>-781.79200443785339</v>
      </c>
      <c r="EE1150" s="60">
        <f>VLOOKUP($M1150,[1]Detail!$M:$BO,42,0)</f>
        <v>-557780</v>
      </c>
      <c r="EF1150" s="60">
        <f>VLOOKUP($M1150,[1]Detail!$M:$BO,45,0)</f>
        <v>-8078336</v>
      </c>
      <c r="EH1150" s="60">
        <f t="shared" si="1364"/>
        <v>0</v>
      </c>
      <c r="EI1150" s="60">
        <f t="shared" si="1365"/>
        <v>0</v>
      </c>
      <c r="EJ1150" s="60">
        <f t="shared" si="1366"/>
        <v>0</v>
      </c>
    </row>
    <row r="1151" spans="1:140" ht="12.75" hidden="1" customHeight="1">
      <c r="B1151" s="2" t="s">
        <v>1886</v>
      </c>
      <c r="C1151" s="2" t="s">
        <v>1880</v>
      </c>
      <c r="D1151" s="2" t="s">
        <v>1881</v>
      </c>
      <c r="E1151" s="1" t="s">
        <v>1591</v>
      </c>
      <c r="F1151" s="86" t="s">
        <v>969</v>
      </c>
      <c r="G1151" s="87" t="s">
        <v>994</v>
      </c>
      <c r="J1151" s="1" t="s">
        <v>1882</v>
      </c>
      <c r="K1151" s="1" t="s">
        <v>1883</v>
      </c>
      <c r="L1151" s="1" t="s">
        <v>120</v>
      </c>
      <c r="M1151" s="90" t="str">
        <f t="shared" si="1367"/>
        <v>JD8T -18C815 -BB</v>
      </c>
      <c r="O1151" s="89">
        <v>0</v>
      </c>
      <c r="P1151" s="89">
        <v>0</v>
      </c>
      <c r="Q1151" s="89">
        <v>1</v>
      </c>
      <c r="R1151" s="89">
        <v>1</v>
      </c>
      <c r="S1151" s="89">
        <v>0</v>
      </c>
      <c r="T1151" s="89">
        <v>0</v>
      </c>
      <c r="U1151" s="89">
        <v>0</v>
      </c>
      <c r="V1151" s="89">
        <v>0</v>
      </c>
      <c r="W1151" s="64">
        <f t="shared" si="1357"/>
        <v>0.37</v>
      </c>
      <c r="Y1151" s="63">
        <v>-744.59</v>
      </c>
      <c r="Z1151" s="63">
        <v>-0.98</v>
      </c>
      <c r="AA1151" s="63">
        <v>-0.7</v>
      </c>
      <c r="AB1151" s="63">
        <v>-9.31</v>
      </c>
      <c r="AC1151" s="63">
        <v>-26.212004437853299</v>
      </c>
      <c r="AD1151" s="63">
        <f t="shared" si="1276"/>
        <v>-781.79200443785339</v>
      </c>
      <c r="AE1151" s="2" t="s">
        <v>91</v>
      </c>
      <c r="AG1151" s="67">
        <v>0</v>
      </c>
      <c r="AH1151" s="67">
        <v>0</v>
      </c>
      <c r="AJ1151" s="67">
        <v>0</v>
      </c>
      <c r="AK1151" s="67">
        <v>0</v>
      </c>
      <c r="AM1151" s="22"/>
      <c r="AO1151" s="1" t="s">
        <v>1882</v>
      </c>
      <c r="AP1151" s="1" t="s">
        <v>1883</v>
      </c>
      <c r="AQ1151" s="1" t="s">
        <v>182</v>
      </c>
      <c r="AR1151" s="90" t="s">
        <v>1888</v>
      </c>
      <c r="AS1151" s="87"/>
      <c r="AT1151" s="89">
        <v>0</v>
      </c>
      <c r="AU1151" s="89">
        <v>0</v>
      </c>
      <c r="AV1151" s="89">
        <v>1</v>
      </c>
      <c r="AW1151" s="89">
        <v>1</v>
      </c>
      <c r="AX1151" s="89">
        <v>0</v>
      </c>
      <c r="AY1151" s="89">
        <v>0</v>
      </c>
      <c r="AZ1151" s="89">
        <v>0</v>
      </c>
      <c r="BA1151" s="89">
        <v>0</v>
      </c>
      <c r="BB1151" s="92">
        <v>0.32999999999999996</v>
      </c>
      <c r="BD1151" s="63">
        <v>-744.59</v>
      </c>
      <c r="BE1151" s="63">
        <v>-0.98</v>
      </c>
      <c r="BF1151" s="63">
        <v>-0.7</v>
      </c>
      <c r="BG1151" s="63">
        <v>-9.31</v>
      </c>
      <c r="BH1151" s="63">
        <v>-26.212004437853299</v>
      </c>
      <c r="BI1151" s="8">
        <v>-781.79200443785339</v>
      </c>
      <c r="BJ1151" s="2" t="s">
        <v>91</v>
      </c>
      <c r="BL1151" s="63">
        <v>0</v>
      </c>
      <c r="BM1151" s="63">
        <v>0</v>
      </c>
      <c r="BO1151" s="63">
        <v>0</v>
      </c>
      <c r="BP1151" s="63">
        <v>0</v>
      </c>
      <c r="BS1151" s="61">
        <f t="shared" si="1331"/>
        <v>0</v>
      </c>
      <c r="BT1151" s="61">
        <f t="shared" si="1331"/>
        <v>0</v>
      </c>
      <c r="BU1151" s="61">
        <f t="shared" si="1331"/>
        <v>0</v>
      </c>
      <c r="BV1151" s="61">
        <f t="shared" si="1331"/>
        <v>0</v>
      </c>
      <c r="BW1151" s="61">
        <f t="shared" si="1331"/>
        <v>0</v>
      </c>
      <c r="BX1151" s="61">
        <f t="shared" si="1331"/>
        <v>0</v>
      </c>
      <c r="BY1151" s="61" t="s">
        <v>91</v>
      </c>
      <c r="CA1151" s="61">
        <f t="shared" si="1343"/>
        <v>0</v>
      </c>
      <c r="CB1151" s="61">
        <f t="shared" si="1343"/>
        <v>0</v>
      </c>
      <c r="CC1151" s="61">
        <f t="shared" si="1343"/>
        <v>0</v>
      </c>
      <c r="CD1151" s="61">
        <f t="shared" si="1343"/>
        <v>0</v>
      </c>
      <c r="CE1151" s="61">
        <f t="shared" si="1343"/>
        <v>0</v>
      </c>
      <c r="CF1151" s="61">
        <f t="shared" si="1343"/>
        <v>0</v>
      </c>
      <c r="CG1151" s="61">
        <f t="shared" si="1343"/>
        <v>0</v>
      </c>
      <c r="CH1151" s="61">
        <f t="shared" si="1342"/>
        <v>0</v>
      </c>
      <c r="CI1151" s="61">
        <f t="shared" si="1344"/>
        <v>0</v>
      </c>
      <c r="CJ1151" s="61"/>
      <c r="CK1151" s="61">
        <f t="shared" si="1356"/>
        <v>0</v>
      </c>
      <c r="CL1151" s="61">
        <f t="shared" si="1356"/>
        <v>0</v>
      </c>
      <c r="CM1151" s="61">
        <f t="shared" si="1356"/>
        <v>0</v>
      </c>
      <c r="CN1151" s="61">
        <f t="shared" si="1356"/>
        <v>0</v>
      </c>
      <c r="CO1151" s="61">
        <f t="shared" si="1356"/>
        <v>0</v>
      </c>
      <c r="CP1151" s="61">
        <f t="shared" si="1329"/>
        <v>0</v>
      </c>
      <c r="CQ1151" s="61">
        <f t="shared" si="1329"/>
        <v>0</v>
      </c>
      <c r="CR1151" s="61">
        <f t="shared" si="1329"/>
        <v>0</v>
      </c>
      <c r="CS1151" s="61">
        <f t="shared" si="1345"/>
        <v>0</v>
      </c>
      <c r="CT1151" s="61">
        <f t="shared" si="1348"/>
        <v>0</v>
      </c>
      <c r="CV1151" s="61">
        <f t="shared" si="1307"/>
        <v>0</v>
      </c>
      <c r="CW1151" s="61">
        <f t="shared" si="1308"/>
        <v>0</v>
      </c>
      <c r="CX1151" s="61"/>
      <c r="CY1151" s="61">
        <f t="shared" si="1311"/>
        <v>0</v>
      </c>
      <c r="CZ1151" s="61">
        <f t="shared" si="1309"/>
        <v>0</v>
      </c>
      <c r="DA1151" s="61">
        <f t="shared" si="1310"/>
        <v>0</v>
      </c>
      <c r="DB1151" s="2" t="s">
        <v>102</v>
      </c>
      <c r="DC1151" s="2" t="s">
        <v>102</v>
      </c>
      <c r="DD1151" s="2" t="s">
        <v>142</v>
      </c>
      <c r="DE1151" s="2" t="s">
        <v>257</v>
      </c>
      <c r="DF1151" s="3" t="s">
        <v>86</v>
      </c>
      <c r="DG1151" s="62">
        <v>42921</v>
      </c>
      <c r="EC1151" s="60" t="str">
        <f>VLOOKUP($M1151,[1]Detail!$M:$BO,1,0)</f>
        <v>JD8T -18C815 -BB</v>
      </c>
      <c r="ED1151" s="60">
        <f>VLOOKUP($M1151,[1]Detail!$M:$BO,22,0)</f>
        <v>-781.79200443785339</v>
      </c>
      <c r="EE1151" s="60">
        <f>VLOOKUP($M1151,[1]Detail!$M:$BO,42,0)</f>
        <v>0</v>
      </c>
      <c r="EF1151" s="60">
        <f>VLOOKUP($M1151,[1]Detail!$M:$BO,45,0)</f>
        <v>0</v>
      </c>
      <c r="EH1151" s="60">
        <f t="shared" si="1364"/>
        <v>0</v>
      </c>
      <c r="EI1151" s="60">
        <f t="shared" si="1365"/>
        <v>0</v>
      </c>
      <c r="EJ1151" s="60">
        <f t="shared" si="1366"/>
        <v>0</v>
      </c>
    </row>
    <row r="1152" spans="1:140" ht="12.75" hidden="1" customHeight="1">
      <c r="B1152" s="2" t="s">
        <v>1889</v>
      </c>
      <c r="C1152" s="22" t="s">
        <v>1890</v>
      </c>
      <c r="D1152" s="2" t="s">
        <v>1891</v>
      </c>
      <c r="E1152" s="1" t="s">
        <v>347</v>
      </c>
      <c r="F1152" s="2" t="s">
        <v>348</v>
      </c>
      <c r="G1152" s="118" t="s">
        <v>987</v>
      </c>
      <c r="J1152" s="1" t="s">
        <v>352</v>
      </c>
      <c r="K1152" s="1" t="s">
        <v>1892</v>
      </c>
      <c r="L1152" s="1" t="s">
        <v>100</v>
      </c>
      <c r="M1152" s="90" t="str">
        <f t="shared" si="1367"/>
        <v>JD8C -18045 -AA</v>
      </c>
      <c r="O1152" s="89">
        <v>1</v>
      </c>
      <c r="P1152" s="89">
        <v>0</v>
      </c>
      <c r="Q1152" s="89">
        <v>1</v>
      </c>
      <c r="R1152" s="89">
        <v>0</v>
      </c>
      <c r="S1152" s="89">
        <v>1</v>
      </c>
      <c r="T1152" s="89">
        <v>0</v>
      </c>
      <c r="U1152" s="89">
        <v>0</v>
      </c>
      <c r="V1152" s="89">
        <v>0</v>
      </c>
      <c r="W1152" s="64">
        <f t="shared" si="1357"/>
        <v>0.37</v>
      </c>
      <c r="Y1152" s="63">
        <v>-104.24</v>
      </c>
      <c r="Z1152" s="63">
        <v>-4.5199999999999996</v>
      </c>
      <c r="AA1152" s="63">
        <v>-4</v>
      </c>
      <c r="AB1152" s="63">
        <v>-0.26</v>
      </c>
      <c r="AC1152" s="63">
        <v>0</v>
      </c>
      <c r="AD1152" s="63">
        <f t="shared" si="1276"/>
        <v>-113.02</v>
      </c>
      <c r="AE1152" s="2" t="s">
        <v>91</v>
      </c>
      <c r="AG1152" s="67">
        <v>0</v>
      </c>
      <c r="AH1152" s="67">
        <v>0</v>
      </c>
      <c r="AJ1152" s="67">
        <v>0</v>
      </c>
      <c r="AK1152" s="67">
        <v>0</v>
      </c>
      <c r="AM1152" s="22"/>
      <c r="AO1152" s="1" t="s">
        <v>1893</v>
      </c>
      <c r="AP1152" s="1" t="s">
        <v>1892</v>
      </c>
      <c r="AQ1152" s="1" t="s">
        <v>234</v>
      </c>
      <c r="AR1152" s="90" t="str">
        <f t="shared" ref="AR1152:AR1161" si="1368">TRIM(AO1152)&amp;"-"&amp;TRIM(AP1152)&amp;"-"&amp;TRIM(AQ1152)</f>
        <v>ED8C -18045 -AC</v>
      </c>
      <c r="AS1152" s="3"/>
      <c r="AT1152" s="89">
        <v>1</v>
      </c>
      <c r="AU1152" s="89">
        <v>0</v>
      </c>
      <c r="AV1152" s="89">
        <v>1</v>
      </c>
      <c r="AW1152" s="89">
        <v>0</v>
      </c>
      <c r="AX1152" s="89">
        <v>1</v>
      </c>
      <c r="AY1152" s="89">
        <v>0</v>
      </c>
      <c r="AZ1152" s="89">
        <v>0</v>
      </c>
      <c r="BA1152" s="89">
        <v>0</v>
      </c>
      <c r="BB1152" s="64">
        <f t="shared" ref="BB1152:BB1196" si="1369">SUMPRODUCT(AT1152:BA1152,$O$6:$V$6)</f>
        <v>0.37</v>
      </c>
      <c r="BD1152" s="63">
        <f>Y1152-2</f>
        <v>-106.24</v>
      </c>
      <c r="BE1152" s="63">
        <f t="shared" ref="BE1152:BH1156" si="1370">Z1152</f>
        <v>-4.5199999999999996</v>
      </c>
      <c r="BF1152" s="63">
        <f t="shared" si="1370"/>
        <v>-4</v>
      </c>
      <c r="BG1152" s="63">
        <f t="shared" si="1370"/>
        <v>-0.26</v>
      </c>
      <c r="BH1152" s="63">
        <f t="shared" si="1370"/>
        <v>0</v>
      </c>
      <c r="BI1152" s="8">
        <f t="shared" ref="BI1152:BI1196" si="1371">SUM(BD1152:BH1152)</f>
        <v>-115.02</v>
      </c>
      <c r="BJ1152" s="2" t="s">
        <v>91</v>
      </c>
      <c r="BL1152" s="63">
        <v>0</v>
      </c>
      <c r="BM1152" s="63">
        <v>0</v>
      </c>
      <c r="BO1152" s="63">
        <v>0</v>
      </c>
      <c r="BP1152" s="63">
        <v>0</v>
      </c>
      <c r="BS1152" s="61">
        <f t="shared" si="1331"/>
        <v>2</v>
      </c>
      <c r="BT1152" s="61">
        <f t="shared" si="1331"/>
        <v>0</v>
      </c>
      <c r="BU1152" s="61">
        <f t="shared" si="1331"/>
        <v>0</v>
      </c>
      <c r="BV1152" s="61">
        <f t="shared" si="1331"/>
        <v>0</v>
      </c>
      <c r="BW1152" s="61">
        <f t="shared" si="1331"/>
        <v>0</v>
      </c>
      <c r="BX1152" s="61">
        <f t="shared" si="1331"/>
        <v>2</v>
      </c>
      <c r="BY1152" s="61" t="s">
        <v>91</v>
      </c>
      <c r="CA1152" s="61">
        <f t="shared" si="1343"/>
        <v>0.30088761847449974</v>
      </c>
      <c r="CB1152" s="61">
        <f t="shared" si="1343"/>
        <v>0</v>
      </c>
      <c r="CC1152" s="61">
        <f t="shared" si="1343"/>
        <v>0.30088761847449974</v>
      </c>
      <c r="CD1152" s="61">
        <f t="shared" si="1343"/>
        <v>0</v>
      </c>
      <c r="CE1152" s="61">
        <f t="shared" si="1343"/>
        <v>0.30088761847449974</v>
      </c>
      <c r="CF1152" s="61">
        <f t="shared" si="1343"/>
        <v>0</v>
      </c>
      <c r="CG1152" s="61">
        <f t="shared" si="1343"/>
        <v>0</v>
      </c>
      <c r="CH1152" s="61">
        <f t="shared" si="1342"/>
        <v>0</v>
      </c>
      <c r="CI1152" s="61">
        <f t="shared" si="1344"/>
        <v>0.11132841883556491</v>
      </c>
      <c r="CJ1152" s="61"/>
      <c r="CK1152" s="61">
        <f t="shared" si="1356"/>
        <v>0.30088761847449974</v>
      </c>
      <c r="CL1152" s="61">
        <f t="shared" si="1356"/>
        <v>0</v>
      </c>
      <c r="CM1152" s="61">
        <f t="shared" si="1356"/>
        <v>0.30088761847449974</v>
      </c>
      <c r="CN1152" s="61">
        <f t="shared" si="1356"/>
        <v>0</v>
      </c>
      <c r="CO1152" s="61">
        <f t="shared" si="1356"/>
        <v>0.30088761847449974</v>
      </c>
      <c r="CP1152" s="61">
        <f t="shared" si="1329"/>
        <v>0</v>
      </c>
      <c r="CQ1152" s="61">
        <f t="shared" si="1329"/>
        <v>0</v>
      </c>
      <c r="CR1152" s="61">
        <f t="shared" si="1329"/>
        <v>0</v>
      </c>
      <c r="CS1152" s="61">
        <f t="shared" si="1345"/>
        <v>0.11132841883556491</v>
      </c>
      <c r="CT1152" s="61">
        <f t="shared" si="1348"/>
        <v>0.74</v>
      </c>
      <c r="CU1152" s="6"/>
      <c r="CV1152" s="61">
        <f t="shared" si="1307"/>
        <v>0</v>
      </c>
      <c r="CW1152" s="61">
        <f t="shared" si="1308"/>
        <v>0</v>
      </c>
      <c r="CX1152" s="61"/>
      <c r="CY1152" s="61">
        <f t="shared" si="1311"/>
        <v>0</v>
      </c>
      <c r="CZ1152" s="61">
        <f t="shared" si="1309"/>
        <v>0</v>
      </c>
      <c r="DA1152" s="61">
        <f t="shared" si="1310"/>
        <v>0</v>
      </c>
      <c r="DB1152" s="2" t="s">
        <v>134</v>
      </c>
      <c r="DC1152" s="2" t="s">
        <v>102</v>
      </c>
      <c r="DD1152" s="2" t="s">
        <v>142</v>
      </c>
      <c r="DE1152" s="2" t="s">
        <v>257</v>
      </c>
      <c r="DZ1152" s="3" t="e">
        <v>#N/A</v>
      </c>
      <c r="EC1152" s="60"/>
      <c r="ED1152" s="60"/>
      <c r="EE1152" s="60"/>
      <c r="EF1152" s="60"/>
    </row>
    <row r="1153" spans="2:140" ht="12.75" hidden="1" customHeight="1">
      <c r="B1153" s="2" t="s">
        <v>1618</v>
      </c>
      <c r="C1153" s="22" t="s">
        <v>1890</v>
      </c>
      <c r="D1153" s="2" t="s">
        <v>1891</v>
      </c>
      <c r="E1153" s="1" t="s">
        <v>347</v>
      </c>
      <c r="F1153" s="2" t="s">
        <v>348</v>
      </c>
      <c r="G1153" s="118" t="s">
        <v>987</v>
      </c>
      <c r="J1153" s="1" t="s">
        <v>352</v>
      </c>
      <c r="K1153" s="1" t="s">
        <v>1892</v>
      </c>
      <c r="L1153" s="1" t="s">
        <v>111</v>
      </c>
      <c r="M1153" s="90" t="str">
        <f t="shared" si="1367"/>
        <v>JD8C -18045 -BA</v>
      </c>
      <c r="O1153" s="89">
        <v>0</v>
      </c>
      <c r="P1153" s="89">
        <v>1</v>
      </c>
      <c r="Q1153" s="89">
        <v>0</v>
      </c>
      <c r="R1153" s="89">
        <v>1</v>
      </c>
      <c r="S1153" s="89">
        <v>0</v>
      </c>
      <c r="T1153" s="89">
        <v>1</v>
      </c>
      <c r="U1153" s="89">
        <v>1</v>
      </c>
      <c r="V1153" s="89">
        <v>1</v>
      </c>
      <c r="W1153" s="64">
        <f t="shared" si="1357"/>
        <v>0.63000000000000012</v>
      </c>
      <c r="Y1153" s="63">
        <v>-104.15</v>
      </c>
      <c r="Z1153" s="63">
        <v>-4.5199999999999996</v>
      </c>
      <c r="AA1153" s="63">
        <v>-4</v>
      </c>
      <c r="AB1153" s="63">
        <v>-0.26</v>
      </c>
      <c r="AC1153" s="63">
        <v>0</v>
      </c>
      <c r="AD1153" s="63">
        <f t="shared" si="1276"/>
        <v>-112.93</v>
      </c>
      <c r="AE1153" s="2" t="s">
        <v>91</v>
      </c>
      <c r="AG1153" s="67">
        <v>0</v>
      </c>
      <c r="AH1153" s="67">
        <v>0</v>
      </c>
      <c r="AJ1153" s="67">
        <v>0</v>
      </c>
      <c r="AK1153" s="67">
        <v>0</v>
      </c>
      <c r="AM1153" s="22"/>
      <c r="AO1153" s="1" t="s">
        <v>1893</v>
      </c>
      <c r="AP1153" s="1" t="s">
        <v>1892</v>
      </c>
      <c r="AQ1153" s="1" t="s">
        <v>120</v>
      </c>
      <c r="AR1153" s="90" t="str">
        <f t="shared" si="1368"/>
        <v>ED8C -18045 -BB</v>
      </c>
      <c r="AS1153" s="3"/>
      <c r="AT1153" s="89">
        <v>0</v>
      </c>
      <c r="AU1153" s="89">
        <v>1</v>
      </c>
      <c r="AV1153" s="89">
        <v>0</v>
      </c>
      <c r="AW1153" s="89">
        <v>1</v>
      </c>
      <c r="AX1153" s="89">
        <v>0</v>
      </c>
      <c r="AY1153" s="89">
        <v>1</v>
      </c>
      <c r="AZ1153" s="89">
        <v>1</v>
      </c>
      <c r="BA1153" s="89">
        <v>1</v>
      </c>
      <c r="BB1153" s="64">
        <f t="shared" si="1369"/>
        <v>0.63000000000000012</v>
      </c>
      <c r="BD1153" s="63">
        <f>Y1153-2</f>
        <v>-106.15</v>
      </c>
      <c r="BE1153" s="63">
        <f t="shared" si="1370"/>
        <v>-4.5199999999999996</v>
      </c>
      <c r="BF1153" s="63">
        <f t="shared" si="1370"/>
        <v>-4</v>
      </c>
      <c r="BG1153" s="63">
        <f t="shared" si="1370"/>
        <v>-0.26</v>
      </c>
      <c r="BH1153" s="63">
        <f t="shared" si="1370"/>
        <v>0</v>
      </c>
      <c r="BI1153" s="8">
        <f t="shared" si="1371"/>
        <v>-114.93</v>
      </c>
      <c r="BJ1153" s="2" t="s">
        <v>91</v>
      </c>
      <c r="BL1153" s="63">
        <v>0</v>
      </c>
      <c r="BM1153" s="63">
        <v>0</v>
      </c>
      <c r="BO1153" s="63">
        <v>0</v>
      </c>
      <c r="BP1153" s="63">
        <v>0</v>
      </c>
      <c r="BS1153" s="61">
        <f t="shared" si="1331"/>
        <v>2</v>
      </c>
      <c r="BT1153" s="61">
        <f t="shared" si="1331"/>
        <v>0</v>
      </c>
      <c r="BU1153" s="61">
        <f t="shared" si="1331"/>
        <v>0</v>
      </c>
      <c r="BV1153" s="61">
        <f t="shared" si="1331"/>
        <v>0</v>
      </c>
      <c r="BW1153" s="61">
        <f t="shared" si="1331"/>
        <v>0</v>
      </c>
      <c r="BX1153" s="61">
        <f t="shared" si="1331"/>
        <v>2</v>
      </c>
      <c r="BY1153" s="61" t="s">
        <v>91</v>
      </c>
      <c r="CA1153" s="61">
        <f t="shared" si="1343"/>
        <v>0</v>
      </c>
      <c r="CB1153" s="61">
        <f t="shared" si="1343"/>
        <v>0.30088761847449974</v>
      </c>
      <c r="CC1153" s="61">
        <f t="shared" si="1343"/>
        <v>0</v>
      </c>
      <c r="CD1153" s="61">
        <f t="shared" si="1343"/>
        <v>0.30088761847449974</v>
      </c>
      <c r="CE1153" s="61">
        <f t="shared" si="1343"/>
        <v>0</v>
      </c>
      <c r="CF1153" s="61">
        <f t="shared" si="1343"/>
        <v>0.30088761847449974</v>
      </c>
      <c r="CG1153" s="61">
        <f t="shared" si="1343"/>
        <v>0.30088761847449974</v>
      </c>
      <c r="CH1153" s="61">
        <f t="shared" si="1342"/>
        <v>0.30088761847449974</v>
      </c>
      <c r="CI1153" s="61">
        <f t="shared" si="1344"/>
        <v>0.18955919963893483</v>
      </c>
      <c r="CJ1153" s="61"/>
      <c r="CK1153" s="61">
        <f t="shared" si="1356"/>
        <v>0</v>
      </c>
      <c r="CL1153" s="61">
        <f t="shared" si="1356"/>
        <v>0.30088761847449974</v>
      </c>
      <c r="CM1153" s="61">
        <f t="shared" si="1356"/>
        <v>0</v>
      </c>
      <c r="CN1153" s="61">
        <f t="shared" si="1356"/>
        <v>0.30088761847449974</v>
      </c>
      <c r="CO1153" s="61">
        <f t="shared" si="1356"/>
        <v>0</v>
      </c>
      <c r="CP1153" s="61">
        <f t="shared" si="1329"/>
        <v>0.30088761847449974</v>
      </c>
      <c r="CQ1153" s="61">
        <f t="shared" si="1329"/>
        <v>0.30088761847449974</v>
      </c>
      <c r="CR1153" s="61">
        <f t="shared" si="1329"/>
        <v>0.30088761847449974</v>
      </c>
      <c r="CS1153" s="61">
        <f t="shared" si="1345"/>
        <v>0.18955919963893483</v>
      </c>
      <c r="CT1153" s="61">
        <f t="shared" si="1348"/>
        <v>1.2599999999999998</v>
      </c>
      <c r="CU1153" s="6"/>
      <c r="CV1153" s="61">
        <f t="shared" si="1307"/>
        <v>0</v>
      </c>
      <c r="CW1153" s="61">
        <f t="shared" si="1308"/>
        <v>0</v>
      </c>
      <c r="CX1153" s="61"/>
      <c r="CY1153" s="61">
        <f t="shared" si="1311"/>
        <v>0</v>
      </c>
      <c r="CZ1153" s="61">
        <f t="shared" si="1309"/>
        <v>0</v>
      </c>
      <c r="DA1153" s="61">
        <f t="shared" si="1310"/>
        <v>0</v>
      </c>
      <c r="DB1153" s="2" t="s">
        <v>134</v>
      </c>
      <c r="DC1153" s="2" t="s">
        <v>102</v>
      </c>
      <c r="DD1153" s="2" t="s">
        <v>142</v>
      </c>
      <c r="DE1153" s="2" t="s">
        <v>257</v>
      </c>
      <c r="DZ1153" s="3" t="e">
        <v>#N/A</v>
      </c>
      <c r="EC1153" s="60"/>
      <c r="ED1153" s="60"/>
      <c r="EE1153" s="60"/>
      <c r="EF1153" s="60"/>
    </row>
    <row r="1154" spans="2:140" s="271" customFormat="1" ht="12.75" hidden="1" customHeight="1">
      <c r="B1154" s="271" t="s">
        <v>1618</v>
      </c>
      <c r="C1154" s="272" t="s">
        <v>1890</v>
      </c>
      <c r="D1154" s="271" t="s">
        <v>1891</v>
      </c>
      <c r="E1154" s="273" t="s">
        <v>347</v>
      </c>
      <c r="F1154" s="271" t="s">
        <v>348</v>
      </c>
      <c r="G1154" s="274" t="s">
        <v>987</v>
      </c>
      <c r="J1154" s="273" t="s">
        <v>352</v>
      </c>
      <c r="K1154" s="273">
        <v>18080</v>
      </c>
      <c r="L1154" s="273" t="s">
        <v>100</v>
      </c>
      <c r="M1154" s="275" t="str">
        <f t="shared" si="1367"/>
        <v>JD8C -18080-AA</v>
      </c>
      <c r="N1154" s="276"/>
      <c r="O1154" s="277">
        <v>2</v>
      </c>
      <c r="P1154" s="277">
        <v>2</v>
      </c>
      <c r="Q1154" s="277">
        <v>2</v>
      </c>
      <c r="R1154" s="277">
        <v>2</v>
      </c>
      <c r="S1154" s="277">
        <v>2</v>
      </c>
      <c r="T1154" s="277">
        <v>2</v>
      </c>
      <c r="U1154" s="277">
        <v>2</v>
      </c>
      <c r="V1154" s="277">
        <v>2</v>
      </c>
      <c r="W1154" s="278">
        <f t="shared" si="1357"/>
        <v>2</v>
      </c>
      <c r="Y1154" s="63">
        <v>-110.57</v>
      </c>
      <c r="Z1154" s="63">
        <v>-1.8</v>
      </c>
      <c r="AA1154" s="63">
        <v>-3</v>
      </c>
      <c r="AB1154" s="63">
        <v>-0.3</v>
      </c>
      <c r="AC1154" s="63">
        <v>0</v>
      </c>
      <c r="AD1154" s="63">
        <f>SUM(Y1154:AC1154)</f>
        <v>-115.66999999999999</v>
      </c>
      <c r="AE1154" s="271" t="s">
        <v>91</v>
      </c>
      <c r="AG1154" s="67">
        <v>0</v>
      </c>
      <c r="AH1154" s="67">
        <v>0</v>
      </c>
      <c r="AJ1154" s="67">
        <v>0</v>
      </c>
      <c r="AK1154" s="67">
        <v>0</v>
      </c>
      <c r="AM1154" s="272"/>
      <c r="AO1154" s="273" t="s">
        <v>1893</v>
      </c>
      <c r="AP1154" s="273">
        <v>18080</v>
      </c>
      <c r="AQ1154" s="273" t="s">
        <v>234</v>
      </c>
      <c r="AR1154" s="275" t="str">
        <f>TRIM(AO1154)&amp;"-"&amp;TRIM(AP1154)&amp;"-"&amp;TRIM(AQ1154)</f>
        <v>ED8C -18080-AC</v>
      </c>
      <c r="AS1154" s="279"/>
      <c r="AT1154" s="277">
        <v>2</v>
      </c>
      <c r="AU1154" s="277">
        <v>2</v>
      </c>
      <c r="AV1154" s="277">
        <v>2</v>
      </c>
      <c r="AW1154" s="277">
        <v>2</v>
      </c>
      <c r="AX1154" s="277">
        <v>2</v>
      </c>
      <c r="AY1154" s="277">
        <v>2</v>
      </c>
      <c r="AZ1154" s="277">
        <v>2</v>
      </c>
      <c r="BA1154" s="277">
        <v>2</v>
      </c>
      <c r="BB1154" s="278">
        <f t="shared" si="1369"/>
        <v>2</v>
      </c>
      <c r="BD1154" s="63">
        <f>Y1154-2</f>
        <v>-112.57</v>
      </c>
      <c r="BE1154" s="63">
        <f t="shared" si="1370"/>
        <v>-1.8</v>
      </c>
      <c r="BF1154" s="63">
        <f t="shared" si="1370"/>
        <v>-3</v>
      </c>
      <c r="BG1154" s="63">
        <f t="shared" si="1370"/>
        <v>-0.3</v>
      </c>
      <c r="BH1154" s="63">
        <f t="shared" si="1370"/>
        <v>0</v>
      </c>
      <c r="BI1154" s="280">
        <f>SUM(BD1154:BH1154)</f>
        <v>-117.66999999999999</v>
      </c>
      <c r="BJ1154" s="271" t="s">
        <v>91</v>
      </c>
      <c r="BL1154" s="63">
        <v>0</v>
      </c>
      <c r="BM1154" s="63">
        <v>0</v>
      </c>
      <c r="BO1154" s="63">
        <v>0</v>
      </c>
      <c r="BP1154" s="63">
        <v>0</v>
      </c>
      <c r="BS1154" s="61">
        <f t="shared" si="1331"/>
        <v>2</v>
      </c>
      <c r="BT1154" s="61">
        <f t="shared" si="1331"/>
        <v>0</v>
      </c>
      <c r="BU1154" s="61">
        <f t="shared" si="1331"/>
        <v>0</v>
      </c>
      <c r="BV1154" s="61">
        <f t="shared" si="1331"/>
        <v>0</v>
      </c>
      <c r="BW1154" s="61">
        <f t="shared" si="1331"/>
        <v>0</v>
      </c>
      <c r="BX1154" s="61">
        <f t="shared" si="1331"/>
        <v>2</v>
      </c>
      <c r="BY1154" s="61" t="s">
        <v>91</v>
      </c>
      <c r="CA1154" s="61">
        <f t="shared" si="1343"/>
        <v>0.60177523694899948</v>
      </c>
      <c r="CB1154" s="61">
        <f t="shared" si="1343"/>
        <v>0.60177523694899948</v>
      </c>
      <c r="CC1154" s="61">
        <f t="shared" si="1343"/>
        <v>0.60177523694899948</v>
      </c>
      <c r="CD1154" s="61">
        <f t="shared" si="1343"/>
        <v>0.60177523694899948</v>
      </c>
      <c r="CE1154" s="61">
        <f t="shared" si="1343"/>
        <v>0.60177523694899948</v>
      </c>
      <c r="CF1154" s="61">
        <f t="shared" si="1343"/>
        <v>0.60177523694899948</v>
      </c>
      <c r="CG1154" s="61">
        <f t="shared" si="1343"/>
        <v>0.60177523694899948</v>
      </c>
      <c r="CH1154" s="61">
        <f t="shared" si="1342"/>
        <v>0.60177523694899948</v>
      </c>
      <c r="CI1154" s="61">
        <f t="shared" si="1344"/>
        <v>0.60177523694899959</v>
      </c>
      <c r="CJ1154" s="61"/>
      <c r="CK1154" s="61">
        <f t="shared" si="1356"/>
        <v>0.60177523694899948</v>
      </c>
      <c r="CL1154" s="61">
        <f t="shared" si="1356"/>
        <v>0.60177523694899948</v>
      </c>
      <c r="CM1154" s="61">
        <f t="shared" si="1356"/>
        <v>0.60177523694899948</v>
      </c>
      <c r="CN1154" s="61">
        <f t="shared" si="1356"/>
        <v>0.60177523694899948</v>
      </c>
      <c r="CO1154" s="61">
        <f t="shared" si="1356"/>
        <v>0.60177523694899948</v>
      </c>
      <c r="CP1154" s="61">
        <f t="shared" si="1329"/>
        <v>0.60177523694899948</v>
      </c>
      <c r="CQ1154" s="61">
        <f t="shared" si="1329"/>
        <v>0.60177523694899948</v>
      </c>
      <c r="CR1154" s="61">
        <f t="shared" si="1329"/>
        <v>0.60177523694899948</v>
      </c>
      <c r="CS1154" s="61">
        <f t="shared" si="1345"/>
        <v>0.60177523694899959</v>
      </c>
      <c r="CT1154" s="61">
        <f t="shared" si="1348"/>
        <v>4</v>
      </c>
      <c r="CU1154" s="281"/>
      <c r="CV1154" s="61">
        <f t="shared" ref="CV1154:CW1156" si="1372">SUM(AG1154)-SUM(BL1154)</f>
        <v>0</v>
      </c>
      <c r="CW1154" s="61">
        <f t="shared" si="1372"/>
        <v>0</v>
      </c>
      <c r="CX1154" s="61"/>
      <c r="CY1154" s="61">
        <f t="shared" ref="CY1154:DA1156" si="1373">SUM(AJ1154)-SUM(BO1154)</f>
        <v>0</v>
      </c>
      <c r="CZ1154" s="61">
        <f t="shared" si="1373"/>
        <v>0</v>
      </c>
      <c r="DA1154" s="61">
        <f t="shared" si="1373"/>
        <v>0</v>
      </c>
      <c r="DB1154" s="271" t="s">
        <v>134</v>
      </c>
      <c r="DC1154" s="271" t="s">
        <v>102</v>
      </c>
      <c r="DD1154" s="271" t="s">
        <v>142</v>
      </c>
      <c r="DE1154" s="271" t="s">
        <v>257</v>
      </c>
      <c r="DF1154" s="276"/>
      <c r="DZ1154" s="276" t="e">
        <v>#N/A</v>
      </c>
      <c r="EC1154" s="60"/>
      <c r="ED1154" s="60"/>
      <c r="EE1154" s="60"/>
      <c r="EF1154" s="60"/>
    </row>
    <row r="1155" spans="2:140" s="271" customFormat="1" ht="12.75" hidden="1" customHeight="1">
      <c r="B1155" s="271" t="s">
        <v>1618</v>
      </c>
      <c r="C1155" s="272" t="s">
        <v>1890</v>
      </c>
      <c r="D1155" s="271" t="s">
        <v>1891</v>
      </c>
      <c r="E1155" s="273" t="s">
        <v>347</v>
      </c>
      <c r="F1155" s="271" t="s">
        <v>348</v>
      </c>
      <c r="G1155" s="274" t="s">
        <v>987</v>
      </c>
      <c r="J1155" s="273" t="s">
        <v>352</v>
      </c>
      <c r="K1155" s="273" t="s">
        <v>1894</v>
      </c>
      <c r="L1155" s="273" t="s">
        <v>100</v>
      </c>
      <c r="M1155" s="275" t="str">
        <f t="shared" si="1367"/>
        <v>JD8C -18K001-AA</v>
      </c>
      <c r="N1155" s="276"/>
      <c r="O1155" s="89">
        <v>1</v>
      </c>
      <c r="P1155" s="89">
        <v>0</v>
      </c>
      <c r="Q1155" s="89">
        <v>1</v>
      </c>
      <c r="R1155" s="89">
        <v>0</v>
      </c>
      <c r="S1155" s="89">
        <v>1</v>
      </c>
      <c r="T1155" s="89">
        <v>0</v>
      </c>
      <c r="U1155" s="89">
        <v>0</v>
      </c>
      <c r="V1155" s="89">
        <v>0</v>
      </c>
      <c r="W1155" s="278">
        <f t="shared" si="1357"/>
        <v>0.37</v>
      </c>
      <c r="Y1155" s="63">
        <v>-104.24</v>
      </c>
      <c r="Z1155" s="63">
        <v>-4.5199999999999996</v>
      </c>
      <c r="AA1155" s="63">
        <v>-4</v>
      </c>
      <c r="AB1155" s="63">
        <v>-0.26</v>
      </c>
      <c r="AC1155" s="63"/>
      <c r="AD1155" s="63">
        <f>SUM(Y1155:AC1155)</f>
        <v>-113.02</v>
      </c>
      <c r="AE1155" s="271" t="s">
        <v>91</v>
      </c>
      <c r="AG1155" s="67">
        <v>0</v>
      </c>
      <c r="AH1155" s="67">
        <v>0</v>
      </c>
      <c r="AJ1155" s="67">
        <v>0</v>
      </c>
      <c r="AK1155" s="67">
        <v>0</v>
      </c>
      <c r="AM1155" s="272"/>
      <c r="AO1155" s="273" t="s">
        <v>1893</v>
      </c>
      <c r="AP1155" s="273" t="s">
        <v>1894</v>
      </c>
      <c r="AQ1155" s="273" t="s">
        <v>234</v>
      </c>
      <c r="AR1155" s="275" t="str">
        <f>TRIM(AO1155)&amp;"-"&amp;TRIM(AP1155)&amp;"-"&amp;TRIM(AQ1155)</f>
        <v>ED8C -18K001-AC</v>
      </c>
      <c r="AS1155" s="276"/>
      <c r="AT1155" s="89">
        <v>1</v>
      </c>
      <c r="AU1155" s="89">
        <v>0</v>
      </c>
      <c r="AV1155" s="89">
        <v>1</v>
      </c>
      <c r="AW1155" s="89">
        <v>0</v>
      </c>
      <c r="AX1155" s="89">
        <v>1</v>
      </c>
      <c r="AY1155" s="89">
        <v>0</v>
      </c>
      <c r="AZ1155" s="89">
        <v>0</v>
      </c>
      <c r="BA1155" s="89">
        <v>0</v>
      </c>
      <c r="BB1155" s="278">
        <f t="shared" si="1369"/>
        <v>0.37</v>
      </c>
      <c r="BD1155" s="63">
        <f>Y1155-2</f>
        <v>-106.24</v>
      </c>
      <c r="BE1155" s="63">
        <f t="shared" si="1370"/>
        <v>-4.5199999999999996</v>
      </c>
      <c r="BF1155" s="63">
        <f t="shared" si="1370"/>
        <v>-4</v>
      </c>
      <c r="BG1155" s="63">
        <f t="shared" si="1370"/>
        <v>-0.26</v>
      </c>
      <c r="BH1155" s="63">
        <f t="shared" si="1370"/>
        <v>0</v>
      </c>
      <c r="BI1155" s="280">
        <f>SUM(BD1155:BH1155)</f>
        <v>-115.02</v>
      </c>
      <c r="BJ1155" s="271" t="s">
        <v>91</v>
      </c>
      <c r="BL1155" s="63">
        <v>0</v>
      </c>
      <c r="BM1155" s="63">
        <v>0</v>
      </c>
      <c r="BO1155" s="63">
        <v>0</v>
      </c>
      <c r="BP1155" s="63">
        <v>0</v>
      </c>
      <c r="BS1155" s="61">
        <f t="shared" si="1331"/>
        <v>2</v>
      </c>
      <c r="BT1155" s="61">
        <f t="shared" si="1331"/>
        <v>0</v>
      </c>
      <c r="BU1155" s="61">
        <f t="shared" si="1331"/>
        <v>0</v>
      </c>
      <c r="BV1155" s="61">
        <f t="shared" si="1331"/>
        <v>0</v>
      </c>
      <c r="BW1155" s="61">
        <f t="shared" si="1331"/>
        <v>0</v>
      </c>
      <c r="BX1155" s="61">
        <f t="shared" si="1331"/>
        <v>2</v>
      </c>
      <c r="BY1155" s="61" t="s">
        <v>91</v>
      </c>
      <c r="CA1155" s="61">
        <f t="shared" si="1343"/>
        <v>0.30088761847449974</v>
      </c>
      <c r="CB1155" s="61">
        <f t="shared" si="1343"/>
        <v>0</v>
      </c>
      <c r="CC1155" s="61">
        <f t="shared" si="1343"/>
        <v>0.30088761847449974</v>
      </c>
      <c r="CD1155" s="61">
        <f t="shared" si="1343"/>
        <v>0</v>
      </c>
      <c r="CE1155" s="61">
        <f t="shared" si="1343"/>
        <v>0.30088761847449974</v>
      </c>
      <c r="CF1155" s="61">
        <f t="shared" si="1343"/>
        <v>0</v>
      </c>
      <c r="CG1155" s="61">
        <f t="shared" si="1343"/>
        <v>0</v>
      </c>
      <c r="CH1155" s="61">
        <f t="shared" si="1342"/>
        <v>0</v>
      </c>
      <c r="CI1155" s="61">
        <f t="shared" si="1344"/>
        <v>0.11132841883556491</v>
      </c>
      <c r="CJ1155" s="61"/>
      <c r="CK1155" s="61">
        <f t="shared" si="1356"/>
        <v>0.30088761847449974</v>
      </c>
      <c r="CL1155" s="61">
        <f t="shared" si="1356"/>
        <v>0</v>
      </c>
      <c r="CM1155" s="61">
        <f t="shared" si="1356"/>
        <v>0.30088761847449974</v>
      </c>
      <c r="CN1155" s="61">
        <f t="shared" si="1356"/>
        <v>0</v>
      </c>
      <c r="CO1155" s="61">
        <f t="shared" si="1356"/>
        <v>0.30088761847449974</v>
      </c>
      <c r="CP1155" s="61">
        <f t="shared" si="1329"/>
        <v>0</v>
      </c>
      <c r="CQ1155" s="61">
        <f t="shared" si="1329"/>
        <v>0</v>
      </c>
      <c r="CR1155" s="61">
        <f t="shared" si="1329"/>
        <v>0</v>
      </c>
      <c r="CS1155" s="61">
        <f t="shared" si="1345"/>
        <v>0.11132841883556491</v>
      </c>
      <c r="CT1155" s="61">
        <f t="shared" si="1348"/>
        <v>0.74</v>
      </c>
      <c r="CU1155" s="281"/>
      <c r="CV1155" s="61">
        <f t="shared" si="1372"/>
        <v>0</v>
      </c>
      <c r="CW1155" s="61">
        <f t="shared" si="1372"/>
        <v>0</v>
      </c>
      <c r="CX1155" s="61"/>
      <c r="CY1155" s="61">
        <f t="shared" si="1373"/>
        <v>0</v>
      </c>
      <c r="CZ1155" s="61">
        <f t="shared" si="1373"/>
        <v>0</v>
      </c>
      <c r="DA1155" s="61">
        <f t="shared" si="1373"/>
        <v>0</v>
      </c>
      <c r="DB1155" s="271" t="s">
        <v>134</v>
      </c>
      <c r="DC1155" s="271" t="s">
        <v>102</v>
      </c>
      <c r="DD1155" s="271" t="s">
        <v>142</v>
      </c>
      <c r="DE1155" s="271" t="s">
        <v>257</v>
      </c>
      <c r="DF1155" s="276"/>
      <c r="DZ1155" s="276" t="e">
        <v>#N/A</v>
      </c>
      <c r="EC1155" s="60"/>
      <c r="ED1155" s="60"/>
      <c r="EE1155" s="60"/>
      <c r="EF1155" s="60"/>
    </row>
    <row r="1156" spans="2:140" s="271" customFormat="1" ht="12.75" hidden="1" customHeight="1">
      <c r="B1156" s="271" t="s">
        <v>1618</v>
      </c>
      <c r="C1156" s="272" t="s">
        <v>1890</v>
      </c>
      <c r="D1156" s="271" t="s">
        <v>1891</v>
      </c>
      <c r="E1156" s="273" t="s">
        <v>347</v>
      </c>
      <c r="F1156" s="271" t="s">
        <v>348</v>
      </c>
      <c r="G1156" s="274" t="s">
        <v>987</v>
      </c>
      <c r="J1156" s="273" t="s">
        <v>352</v>
      </c>
      <c r="K1156" s="273" t="s">
        <v>1894</v>
      </c>
      <c r="L1156" s="273" t="s">
        <v>111</v>
      </c>
      <c r="M1156" s="275" t="str">
        <f t="shared" si="1367"/>
        <v>JD8C -18K001-BA</v>
      </c>
      <c r="N1156" s="276"/>
      <c r="O1156" s="89">
        <v>0</v>
      </c>
      <c r="P1156" s="89">
        <v>1</v>
      </c>
      <c r="Q1156" s="89">
        <v>0</v>
      </c>
      <c r="R1156" s="89">
        <v>1</v>
      </c>
      <c r="S1156" s="89">
        <v>0</v>
      </c>
      <c r="T1156" s="89">
        <v>1</v>
      </c>
      <c r="U1156" s="89">
        <v>1</v>
      </c>
      <c r="V1156" s="89">
        <v>1</v>
      </c>
      <c r="W1156" s="278">
        <f t="shared" si="1357"/>
        <v>0.63000000000000012</v>
      </c>
      <c r="Y1156" s="63">
        <v>-104.15</v>
      </c>
      <c r="Z1156" s="63">
        <v>-4.5199999999999996</v>
      </c>
      <c r="AA1156" s="63">
        <v>-4</v>
      </c>
      <c r="AB1156" s="63">
        <v>-0.26</v>
      </c>
      <c r="AC1156" s="63">
        <v>0</v>
      </c>
      <c r="AD1156" s="63">
        <f>SUM(Y1156:AC1156)</f>
        <v>-112.93</v>
      </c>
      <c r="AE1156" s="271" t="s">
        <v>91</v>
      </c>
      <c r="AG1156" s="67">
        <v>0</v>
      </c>
      <c r="AH1156" s="67">
        <v>0</v>
      </c>
      <c r="AJ1156" s="67">
        <v>0</v>
      </c>
      <c r="AK1156" s="67">
        <v>0</v>
      </c>
      <c r="AM1156" s="272"/>
      <c r="AO1156" s="273" t="s">
        <v>1893</v>
      </c>
      <c r="AP1156" s="273" t="s">
        <v>1894</v>
      </c>
      <c r="AQ1156" s="273" t="s">
        <v>120</v>
      </c>
      <c r="AR1156" s="275" t="str">
        <f>TRIM(AO1156)&amp;"-"&amp;TRIM(AP1156)&amp;"-"&amp;TRIM(AQ1156)</f>
        <v>ED8C -18K001-BB</v>
      </c>
      <c r="AT1156" s="89">
        <v>0</v>
      </c>
      <c r="AU1156" s="89">
        <v>1</v>
      </c>
      <c r="AV1156" s="89">
        <v>0</v>
      </c>
      <c r="AW1156" s="89">
        <v>1</v>
      </c>
      <c r="AX1156" s="89">
        <v>0</v>
      </c>
      <c r="AY1156" s="89">
        <v>1</v>
      </c>
      <c r="AZ1156" s="89">
        <v>1</v>
      </c>
      <c r="BA1156" s="89">
        <v>1</v>
      </c>
      <c r="BB1156" s="278">
        <f t="shared" si="1369"/>
        <v>0.63000000000000012</v>
      </c>
      <c r="BD1156" s="63">
        <f>Y1156-2</f>
        <v>-106.15</v>
      </c>
      <c r="BE1156" s="63">
        <f t="shared" si="1370"/>
        <v>-4.5199999999999996</v>
      </c>
      <c r="BF1156" s="63">
        <f t="shared" si="1370"/>
        <v>-4</v>
      </c>
      <c r="BG1156" s="63">
        <f t="shared" si="1370"/>
        <v>-0.26</v>
      </c>
      <c r="BH1156" s="63">
        <f t="shared" si="1370"/>
        <v>0</v>
      </c>
      <c r="BI1156" s="280">
        <f>SUM(BD1156:BH1156)</f>
        <v>-114.93</v>
      </c>
      <c r="BJ1156" s="271" t="s">
        <v>91</v>
      </c>
      <c r="BL1156" s="63">
        <v>0</v>
      </c>
      <c r="BM1156" s="63">
        <v>0</v>
      </c>
      <c r="BO1156" s="63">
        <v>0</v>
      </c>
      <c r="BP1156" s="63">
        <v>0</v>
      </c>
      <c r="BS1156" s="61">
        <f t="shared" si="1331"/>
        <v>2</v>
      </c>
      <c r="BT1156" s="61">
        <f t="shared" si="1331"/>
        <v>0</v>
      </c>
      <c r="BU1156" s="61">
        <f t="shared" si="1331"/>
        <v>0</v>
      </c>
      <c r="BV1156" s="61">
        <f t="shared" si="1331"/>
        <v>0</v>
      </c>
      <c r="BW1156" s="61">
        <f t="shared" si="1331"/>
        <v>0</v>
      </c>
      <c r="BX1156" s="61">
        <f t="shared" si="1331"/>
        <v>2</v>
      </c>
      <c r="BY1156" s="61" t="s">
        <v>91</v>
      </c>
      <c r="CA1156" s="61">
        <f t="shared" si="1343"/>
        <v>0</v>
      </c>
      <c r="CB1156" s="61">
        <f t="shared" si="1343"/>
        <v>0.30088761847449974</v>
      </c>
      <c r="CC1156" s="61">
        <f t="shared" si="1343"/>
        <v>0</v>
      </c>
      <c r="CD1156" s="61">
        <f t="shared" si="1343"/>
        <v>0.30088761847449974</v>
      </c>
      <c r="CE1156" s="61">
        <f t="shared" si="1343"/>
        <v>0</v>
      </c>
      <c r="CF1156" s="61">
        <f t="shared" si="1343"/>
        <v>0.30088761847449974</v>
      </c>
      <c r="CG1156" s="61">
        <f t="shared" si="1343"/>
        <v>0.30088761847449974</v>
      </c>
      <c r="CH1156" s="61">
        <f t="shared" si="1342"/>
        <v>0.30088761847449974</v>
      </c>
      <c r="CI1156" s="61">
        <f t="shared" si="1344"/>
        <v>0.18955919963893483</v>
      </c>
      <c r="CJ1156" s="61"/>
      <c r="CK1156" s="61">
        <f t="shared" si="1356"/>
        <v>0</v>
      </c>
      <c r="CL1156" s="61">
        <f t="shared" si="1356"/>
        <v>0.30088761847449974</v>
      </c>
      <c r="CM1156" s="61">
        <f t="shared" si="1356"/>
        <v>0</v>
      </c>
      <c r="CN1156" s="61">
        <f t="shared" si="1356"/>
        <v>0.30088761847449974</v>
      </c>
      <c r="CO1156" s="61">
        <f t="shared" si="1356"/>
        <v>0</v>
      </c>
      <c r="CP1156" s="61">
        <f t="shared" si="1329"/>
        <v>0.30088761847449974</v>
      </c>
      <c r="CQ1156" s="61">
        <f t="shared" si="1329"/>
        <v>0.30088761847449974</v>
      </c>
      <c r="CR1156" s="61">
        <f t="shared" si="1329"/>
        <v>0.30088761847449974</v>
      </c>
      <c r="CS1156" s="61">
        <f t="shared" si="1345"/>
        <v>0.18955919963893483</v>
      </c>
      <c r="CT1156" s="61">
        <f t="shared" si="1348"/>
        <v>1.2599999999999998</v>
      </c>
      <c r="CU1156" s="281"/>
      <c r="CV1156" s="61">
        <f t="shared" si="1372"/>
        <v>0</v>
      </c>
      <c r="CW1156" s="61">
        <f t="shared" si="1372"/>
        <v>0</v>
      </c>
      <c r="CX1156" s="61"/>
      <c r="CY1156" s="61">
        <f t="shared" si="1373"/>
        <v>0</v>
      </c>
      <c r="CZ1156" s="61">
        <f t="shared" si="1373"/>
        <v>0</v>
      </c>
      <c r="DA1156" s="61">
        <f t="shared" si="1373"/>
        <v>0</v>
      </c>
      <c r="DB1156" s="271" t="s">
        <v>134</v>
      </c>
      <c r="DC1156" s="271" t="s">
        <v>102</v>
      </c>
      <c r="DD1156" s="271" t="s">
        <v>142</v>
      </c>
      <c r="DE1156" s="271" t="s">
        <v>257</v>
      </c>
      <c r="DF1156" s="276"/>
      <c r="DZ1156" s="276" t="e">
        <v>#N/A</v>
      </c>
      <c r="EC1156" s="60"/>
      <c r="ED1156" s="60"/>
      <c r="EE1156" s="60"/>
      <c r="EF1156" s="60"/>
    </row>
    <row r="1157" spans="2:140" ht="12.75" hidden="1" customHeight="1">
      <c r="B1157" s="2" t="s">
        <v>1895</v>
      </c>
      <c r="C1157" s="22" t="s">
        <v>1890</v>
      </c>
      <c r="D1157" s="2" t="s">
        <v>1891</v>
      </c>
      <c r="E1157" s="1" t="s">
        <v>347</v>
      </c>
      <c r="F1157" s="2" t="s">
        <v>348</v>
      </c>
      <c r="G1157" s="118" t="s">
        <v>987</v>
      </c>
      <c r="J1157" s="1" t="s">
        <v>352</v>
      </c>
      <c r="K1157" s="1" t="s">
        <v>1892</v>
      </c>
      <c r="L1157" s="1" t="s">
        <v>111</v>
      </c>
      <c r="M1157" s="90" t="str">
        <f t="shared" si="1367"/>
        <v>JD8C -18045 -BA</v>
      </c>
      <c r="O1157" s="89">
        <v>0</v>
      </c>
      <c r="P1157" s="89">
        <v>1</v>
      </c>
      <c r="Q1157" s="89">
        <v>0</v>
      </c>
      <c r="R1157" s="89">
        <v>1</v>
      </c>
      <c r="S1157" s="89">
        <v>0</v>
      </c>
      <c r="T1157" s="89">
        <v>0</v>
      </c>
      <c r="U1157" s="89">
        <v>0</v>
      </c>
      <c r="V1157" s="89">
        <v>0</v>
      </c>
      <c r="W1157" s="64">
        <f t="shared" si="1357"/>
        <v>0.39</v>
      </c>
      <c r="Y1157" s="63">
        <v>-104.15</v>
      </c>
      <c r="Z1157" s="63">
        <v>-4.5199999999999996</v>
      </c>
      <c r="AA1157" s="63">
        <v>-4</v>
      </c>
      <c r="AB1157" s="63">
        <v>-0.26</v>
      </c>
      <c r="AC1157" s="63">
        <v>0</v>
      </c>
      <c r="AD1157" s="63">
        <f t="shared" ref="AD1157:AD1213" si="1374">SUM(Y1157:AC1157)</f>
        <v>-112.93</v>
      </c>
      <c r="AE1157" s="2" t="s">
        <v>91</v>
      </c>
      <c r="AG1157" s="67">
        <v>0</v>
      </c>
      <c r="AH1157" s="67">
        <v>0</v>
      </c>
      <c r="AJ1157" s="67">
        <v>0</v>
      </c>
      <c r="AK1157" s="67">
        <v>0</v>
      </c>
      <c r="AM1157" s="22"/>
      <c r="AO1157" s="1" t="s">
        <v>352</v>
      </c>
      <c r="AP1157" s="1" t="s">
        <v>1892</v>
      </c>
      <c r="AQ1157" s="1" t="s">
        <v>182</v>
      </c>
      <c r="AR1157" s="90" t="str">
        <f t="shared" si="1368"/>
        <v>JD8C -18045 -BA</v>
      </c>
      <c r="AS1157" s="3"/>
      <c r="AT1157" s="89">
        <v>0</v>
      </c>
      <c r="AU1157" s="89">
        <v>1</v>
      </c>
      <c r="AV1157" s="89">
        <v>0</v>
      </c>
      <c r="AW1157" s="89">
        <v>1</v>
      </c>
      <c r="AX1157" s="89">
        <v>0</v>
      </c>
      <c r="AY1157" s="89">
        <v>1</v>
      </c>
      <c r="AZ1157" s="89">
        <v>1</v>
      </c>
      <c r="BA1157" s="89">
        <v>1</v>
      </c>
      <c r="BB1157" s="64">
        <f t="shared" si="1369"/>
        <v>0.63000000000000012</v>
      </c>
      <c r="BD1157" s="63">
        <v>-104.15</v>
      </c>
      <c r="BE1157" s="63">
        <v>-4.5199999999999996</v>
      </c>
      <c r="BF1157" s="63">
        <v>-4</v>
      </c>
      <c r="BG1157" s="63">
        <v>-0.26</v>
      </c>
      <c r="BH1157" s="63">
        <f>AC1157</f>
        <v>0</v>
      </c>
      <c r="BI1157" s="8">
        <f t="shared" si="1371"/>
        <v>-112.93</v>
      </c>
      <c r="BJ1157" s="2" t="s">
        <v>91</v>
      </c>
      <c r="BL1157" s="63">
        <v>0</v>
      </c>
      <c r="BM1157" s="63">
        <v>0</v>
      </c>
      <c r="BO1157" s="63">
        <v>0</v>
      </c>
      <c r="BP1157" s="63">
        <v>0</v>
      </c>
      <c r="BS1157" s="61">
        <f t="shared" si="1331"/>
        <v>0</v>
      </c>
      <c r="BT1157" s="61">
        <f t="shared" si="1331"/>
        <v>0</v>
      </c>
      <c r="BU1157" s="61">
        <f t="shared" si="1331"/>
        <v>0</v>
      </c>
      <c r="BV1157" s="61">
        <f t="shared" si="1331"/>
        <v>0</v>
      </c>
      <c r="BW1157" s="61">
        <f t="shared" si="1331"/>
        <v>0</v>
      </c>
      <c r="BX1157" s="61">
        <f t="shared" si="1331"/>
        <v>0</v>
      </c>
      <c r="BY1157" s="61" t="s">
        <v>91</v>
      </c>
      <c r="CA1157" s="61">
        <f t="shared" si="1343"/>
        <v>0</v>
      </c>
      <c r="CB1157" s="61">
        <f t="shared" si="1343"/>
        <v>0</v>
      </c>
      <c r="CC1157" s="61">
        <f t="shared" si="1343"/>
        <v>0</v>
      </c>
      <c r="CD1157" s="61">
        <f t="shared" si="1343"/>
        <v>0</v>
      </c>
      <c r="CE1157" s="61">
        <f t="shared" si="1343"/>
        <v>0</v>
      </c>
      <c r="CF1157" s="61">
        <f t="shared" si="1343"/>
        <v>15.668722732059576</v>
      </c>
      <c r="CG1157" s="61">
        <f t="shared" si="1343"/>
        <v>15.668722732059576</v>
      </c>
      <c r="CH1157" s="61">
        <f t="shared" si="1342"/>
        <v>15.668722732059576</v>
      </c>
      <c r="CI1157" s="61">
        <f t="shared" si="1344"/>
        <v>3.7604934556942982</v>
      </c>
      <c r="CJ1157" s="61"/>
      <c r="CK1157" s="61">
        <f t="shared" si="1356"/>
        <v>0</v>
      </c>
      <c r="CL1157" s="61">
        <f t="shared" si="1356"/>
        <v>0</v>
      </c>
      <c r="CM1157" s="61">
        <f t="shared" si="1356"/>
        <v>0</v>
      </c>
      <c r="CN1157" s="61">
        <f t="shared" si="1356"/>
        <v>0</v>
      </c>
      <c r="CO1157" s="61">
        <f t="shared" si="1356"/>
        <v>0</v>
      </c>
      <c r="CP1157" s="61">
        <f t="shared" si="1329"/>
        <v>16.989619377162629</v>
      </c>
      <c r="CQ1157" s="61">
        <f t="shared" si="1329"/>
        <v>16.989619377162629</v>
      </c>
      <c r="CR1157" s="61">
        <f t="shared" si="1329"/>
        <v>16.989619377162629</v>
      </c>
      <c r="CS1157" s="61">
        <f t="shared" si="1345"/>
        <v>4.0775086505190314</v>
      </c>
      <c r="CT1157" s="61">
        <f t="shared" si="1348"/>
        <v>27.103200000000005</v>
      </c>
      <c r="CU1157" s="6"/>
      <c r="CV1157" s="61">
        <f t="shared" si="1307"/>
        <v>0</v>
      </c>
      <c r="CW1157" s="61">
        <f t="shared" si="1308"/>
        <v>0</v>
      </c>
      <c r="CX1157" s="61"/>
      <c r="CY1157" s="61">
        <f t="shared" si="1311"/>
        <v>0</v>
      </c>
      <c r="CZ1157" s="61">
        <f t="shared" si="1309"/>
        <v>0</v>
      </c>
      <c r="DA1157" s="61">
        <f t="shared" si="1310"/>
        <v>0</v>
      </c>
      <c r="DB1157" s="2" t="s">
        <v>85</v>
      </c>
      <c r="DC1157" s="2" t="s">
        <v>85</v>
      </c>
      <c r="DD1157" s="2" t="s">
        <v>142</v>
      </c>
      <c r="DE1157" s="2" t="s">
        <v>257</v>
      </c>
      <c r="DF1157" s="3" t="s">
        <v>86</v>
      </c>
      <c r="DG1157" s="62">
        <v>42929</v>
      </c>
      <c r="EC1157" s="60"/>
      <c r="ED1157" s="60"/>
      <c r="EE1157" s="60"/>
      <c r="EF1157" s="60"/>
    </row>
    <row r="1158" spans="2:140" ht="12.75" hidden="1" customHeight="1">
      <c r="B1158" s="2" t="s">
        <v>1895</v>
      </c>
      <c r="C1158" s="22" t="s">
        <v>1890</v>
      </c>
      <c r="D1158" s="2" t="s">
        <v>1891</v>
      </c>
      <c r="E1158" s="1" t="s">
        <v>347</v>
      </c>
      <c r="F1158" s="2" t="s">
        <v>348</v>
      </c>
      <c r="G1158" s="118" t="s">
        <v>987</v>
      </c>
      <c r="J1158" s="1" t="s">
        <v>352</v>
      </c>
      <c r="K1158" s="1" t="s">
        <v>1892</v>
      </c>
      <c r="L1158" s="1" t="s">
        <v>113</v>
      </c>
      <c r="M1158" s="90" t="str">
        <f t="shared" si="1367"/>
        <v>JD8C -18045 -CA</v>
      </c>
      <c r="O1158" s="89">
        <v>0</v>
      </c>
      <c r="P1158" s="89">
        <v>0</v>
      </c>
      <c r="Q1158" s="89">
        <v>0</v>
      </c>
      <c r="R1158" s="89">
        <v>0</v>
      </c>
      <c r="S1158" s="89">
        <v>0</v>
      </c>
      <c r="T1158" s="89">
        <v>1</v>
      </c>
      <c r="U1158" s="89">
        <v>1</v>
      </c>
      <c r="V1158" s="89">
        <v>1</v>
      </c>
      <c r="W1158" s="64">
        <f t="shared" si="1357"/>
        <v>0.24</v>
      </c>
      <c r="Y1158" s="63">
        <v>-104.15</v>
      </c>
      <c r="Z1158" s="63">
        <v>-4.5199999999999996</v>
      </c>
      <c r="AA1158" s="63">
        <v>-4</v>
      </c>
      <c r="AB1158" s="63">
        <v>-0.26</v>
      </c>
      <c r="AC1158" s="63">
        <v>0</v>
      </c>
      <c r="AD1158" s="63">
        <f t="shared" si="1374"/>
        <v>-112.93</v>
      </c>
      <c r="AE1158" s="2" t="s">
        <v>91</v>
      </c>
      <c r="AG1158" s="67">
        <v>0</v>
      </c>
      <c r="AH1158" s="67">
        <v>0</v>
      </c>
      <c r="AJ1158" s="67">
        <v>0</v>
      </c>
      <c r="AK1158" s="67">
        <v>0</v>
      </c>
      <c r="AM1158" s="22"/>
      <c r="AO1158" s="1" t="s">
        <v>352</v>
      </c>
      <c r="AP1158" s="1" t="s">
        <v>1892</v>
      </c>
      <c r="AQ1158" s="1" t="s">
        <v>182</v>
      </c>
      <c r="AR1158" s="90" t="str">
        <f t="shared" si="1368"/>
        <v>JD8C -18045 -BA</v>
      </c>
      <c r="AS1158" s="3"/>
      <c r="AT1158" s="89">
        <v>0</v>
      </c>
      <c r="AU1158" s="89">
        <v>0</v>
      </c>
      <c r="AV1158" s="89">
        <v>0</v>
      </c>
      <c r="AW1158" s="89">
        <v>0</v>
      </c>
      <c r="AX1158" s="89">
        <v>0</v>
      </c>
      <c r="AY1158" s="89">
        <v>0</v>
      </c>
      <c r="AZ1158" s="89">
        <v>0</v>
      </c>
      <c r="BA1158" s="89">
        <v>0</v>
      </c>
      <c r="BB1158" s="64">
        <f t="shared" si="1369"/>
        <v>0</v>
      </c>
      <c r="BD1158" s="63">
        <v>-104.15</v>
      </c>
      <c r="BE1158" s="63">
        <v>-4.5199999999999996</v>
      </c>
      <c r="BF1158" s="63">
        <v>-4</v>
      </c>
      <c r="BG1158" s="63">
        <v>-0.26</v>
      </c>
      <c r="BH1158" s="63">
        <f>AC1158</f>
        <v>0</v>
      </c>
      <c r="BI1158" s="8">
        <f t="shared" si="1371"/>
        <v>-112.93</v>
      </c>
      <c r="BJ1158" s="2" t="s">
        <v>91</v>
      </c>
      <c r="BL1158" s="63">
        <v>0</v>
      </c>
      <c r="BM1158" s="63">
        <v>0</v>
      </c>
      <c r="BO1158" s="63">
        <v>0</v>
      </c>
      <c r="BP1158" s="63">
        <v>0</v>
      </c>
      <c r="BS1158" s="61">
        <f t="shared" si="1331"/>
        <v>0</v>
      </c>
      <c r="BT1158" s="61">
        <f t="shared" si="1331"/>
        <v>0</v>
      </c>
      <c r="BU1158" s="61">
        <f t="shared" si="1331"/>
        <v>0</v>
      </c>
      <c r="BV1158" s="61">
        <f t="shared" si="1331"/>
        <v>0</v>
      </c>
      <c r="BW1158" s="61">
        <f t="shared" si="1331"/>
        <v>0</v>
      </c>
      <c r="BX1158" s="61">
        <f t="shared" si="1331"/>
        <v>0</v>
      </c>
      <c r="BY1158" s="61" t="s">
        <v>91</v>
      </c>
      <c r="CA1158" s="61">
        <f t="shared" si="1343"/>
        <v>0</v>
      </c>
      <c r="CB1158" s="61">
        <f t="shared" si="1343"/>
        <v>0</v>
      </c>
      <c r="CC1158" s="61">
        <f t="shared" si="1343"/>
        <v>0</v>
      </c>
      <c r="CD1158" s="61">
        <f t="shared" si="1343"/>
        <v>0</v>
      </c>
      <c r="CE1158" s="61">
        <f t="shared" si="1343"/>
        <v>0</v>
      </c>
      <c r="CF1158" s="61">
        <f t="shared" si="1343"/>
        <v>-15.668722732059576</v>
      </c>
      <c r="CG1158" s="61">
        <f t="shared" si="1343"/>
        <v>-15.668722732059576</v>
      </c>
      <c r="CH1158" s="61">
        <f t="shared" si="1342"/>
        <v>-15.668722732059576</v>
      </c>
      <c r="CI1158" s="61">
        <f t="shared" si="1344"/>
        <v>-3.7604934556942982</v>
      </c>
      <c r="CJ1158" s="61"/>
      <c r="CK1158" s="61">
        <f t="shared" si="1356"/>
        <v>0</v>
      </c>
      <c r="CL1158" s="61">
        <f t="shared" si="1356"/>
        <v>0</v>
      </c>
      <c r="CM1158" s="61">
        <f t="shared" si="1356"/>
        <v>0</v>
      </c>
      <c r="CN1158" s="61">
        <f t="shared" si="1356"/>
        <v>0</v>
      </c>
      <c r="CO1158" s="61">
        <f t="shared" si="1356"/>
        <v>0</v>
      </c>
      <c r="CP1158" s="61">
        <f t="shared" si="1329"/>
        <v>-16.989619377162629</v>
      </c>
      <c r="CQ1158" s="61">
        <f t="shared" si="1329"/>
        <v>-16.989619377162629</v>
      </c>
      <c r="CR1158" s="61">
        <f t="shared" si="1329"/>
        <v>-16.989619377162629</v>
      </c>
      <c r="CS1158" s="61">
        <f t="shared" si="1345"/>
        <v>-4.0775086505190314</v>
      </c>
      <c r="CT1158" s="61">
        <f t="shared" si="1348"/>
        <v>-27.103200000000005</v>
      </c>
      <c r="CU1158" s="6"/>
      <c r="CV1158" s="61">
        <f t="shared" si="1307"/>
        <v>0</v>
      </c>
      <c r="CW1158" s="61">
        <f t="shared" si="1308"/>
        <v>0</v>
      </c>
      <c r="CX1158" s="61"/>
      <c r="CY1158" s="61">
        <f t="shared" si="1311"/>
        <v>0</v>
      </c>
      <c r="CZ1158" s="61">
        <f t="shared" si="1309"/>
        <v>0</v>
      </c>
      <c r="DA1158" s="61">
        <f t="shared" si="1310"/>
        <v>0</v>
      </c>
      <c r="DB1158" s="2" t="s">
        <v>85</v>
      </c>
      <c r="DC1158" s="2" t="s">
        <v>85</v>
      </c>
      <c r="DD1158" s="2" t="s">
        <v>142</v>
      </c>
      <c r="DE1158" s="2" t="s">
        <v>257</v>
      </c>
      <c r="DF1158" s="3" t="s">
        <v>86</v>
      </c>
      <c r="DG1158" s="62">
        <v>42929</v>
      </c>
      <c r="EC1158" s="60"/>
      <c r="ED1158" s="60"/>
      <c r="EE1158" s="60"/>
      <c r="EF1158" s="60"/>
    </row>
    <row r="1159" spans="2:140" ht="12.75" hidden="1" customHeight="1">
      <c r="B1159" s="2" t="s">
        <v>1896</v>
      </c>
      <c r="C1159" s="22" t="s">
        <v>1890</v>
      </c>
      <c r="D1159" s="2" t="s">
        <v>1891</v>
      </c>
      <c r="E1159" s="1" t="s">
        <v>347</v>
      </c>
      <c r="F1159" s="2" t="s">
        <v>348</v>
      </c>
      <c r="G1159" s="118" t="s">
        <v>987</v>
      </c>
      <c r="J1159" s="1" t="s">
        <v>352</v>
      </c>
      <c r="K1159" s="1" t="s">
        <v>1892</v>
      </c>
      <c r="L1159" s="1" t="s">
        <v>132</v>
      </c>
      <c r="M1159" s="90" t="str">
        <f t="shared" si="1367"/>
        <v>JD8C -18045 -AB</v>
      </c>
      <c r="O1159" s="89">
        <v>1</v>
      </c>
      <c r="P1159" s="89">
        <v>0</v>
      </c>
      <c r="Q1159" s="89">
        <v>1</v>
      </c>
      <c r="R1159" s="89">
        <v>0</v>
      </c>
      <c r="S1159" s="89">
        <v>1</v>
      </c>
      <c r="T1159" s="89">
        <v>0</v>
      </c>
      <c r="U1159" s="89">
        <v>0</v>
      </c>
      <c r="V1159" s="89">
        <v>0</v>
      </c>
      <c r="W1159" s="64">
        <f t="shared" si="1357"/>
        <v>0.37</v>
      </c>
      <c r="Y1159" s="63">
        <v>-104.24</v>
      </c>
      <c r="Z1159" s="63">
        <v>-4.5199999999999996</v>
      </c>
      <c r="AA1159" s="63">
        <v>-4</v>
      </c>
      <c r="AB1159" s="63">
        <v>-0.26</v>
      </c>
      <c r="AC1159" s="63">
        <v>0</v>
      </c>
      <c r="AD1159" s="63">
        <f t="shared" ref="AD1159:AD1161" si="1375">SUM(Y1159:AC1159)</f>
        <v>-113.02</v>
      </c>
      <c r="AE1159" s="2" t="s">
        <v>91</v>
      </c>
      <c r="AG1159" s="67">
        <v>0</v>
      </c>
      <c r="AH1159" s="67">
        <v>0</v>
      </c>
      <c r="AJ1159" s="67">
        <v>0</v>
      </c>
      <c r="AK1159" s="67">
        <v>0</v>
      </c>
      <c r="AM1159" s="22"/>
      <c r="AO1159" s="1" t="s">
        <v>352</v>
      </c>
      <c r="AP1159" s="1" t="s">
        <v>1892</v>
      </c>
      <c r="AQ1159" s="1" t="s">
        <v>100</v>
      </c>
      <c r="AR1159" s="90" t="str">
        <f t="shared" si="1368"/>
        <v>JD8C -18045 -AA</v>
      </c>
      <c r="AS1159" s="3"/>
      <c r="AT1159" s="89">
        <v>1</v>
      </c>
      <c r="AU1159" s="89">
        <v>0</v>
      </c>
      <c r="AV1159" s="89">
        <v>1</v>
      </c>
      <c r="AW1159" s="89">
        <v>0</v>
      </c>
      <c r="AX1159" s="89">
        <v>1</v>
      </c>
      <c r="AY1159" s="89">
        <v>0</v>
      </c>
      <c r="AZ1159" s="89">
        <v>0</v>
      </c>
      <c r="BA1159" s="89">
        <v>0</v>
      </c>
      <c r="BB1159" s="64">
        <f t="shared" si="1369"/>
        <v>0.37</v>
      </c>
      <c r="BD1159" s="63">
        <v>-104.24</v>
      </c>
      <c r="BE1159" s="63">
        <v>-4.5199999999999996</v>
      </c>
      <c r="BF1159" s="63">
        <v>-4</v>
      </c>
      <c r="BG1159" s="63">
        <v>-0.26</v>
      </c>
      <c r="BH1159" s="63">
        <v>0</v>
      </c>
      <c r="BI1159" s="63">
        <f t="shared" si="1371"/>
        <v>-113.02</v>
      </c>
      <c r="BJ1159" s="2" t="s">
        <v>91</v>
      </c>
      <c r="BL1159" s="67">
        <v>0</v>
      </c>
      <c r="BM1159" s="67">
        <v>0</v>
      </c>
      <c r="BO1159" s="67">
        <v>0</v>
      </c>
      <c r="BP1159" s="67">
        <v>0</v>
      </c>
      <c r="BS1159" s="61">
        <f t="shared" si="1331"/>
        <v>0</v>
      </c>
      <c r="BT1159" s="61">
        <f t="shared" si="1331"/>
        <v>0</v>
      </c>
      <c r="BU1159" s="61">
        <f t="shared" si="1331"/>
        <v>0</v>
      </c>
      <c r="BV1159" s="61">
        <f t="shared" si="1331"/>
        <v>0</v>
      </c>
      <c r="BW1159" s="61">
        <f t="shared" si="1331"/>
        <v>0</v>
      </c>
      <c r="BX1159" s="61">
        <f t="shared" si="1331"/>
        <v>0</v>
      </c>
      <c r="BY1159" s="61" t="s">
        <v>91</v>
      </c>
      <c r="CA1159" s="61">
        <f t="shared" si="1343"/>
        <v>0</v>
      </c>
      <c r="CB1159" s="61">
        <f t="shared" si="1343"/>
        <v>0</v>
      </c>
      <c r="CC1159" s="61">
        <f t="shared" si="1343"/>
        <v>0</v>
      </c>
      <c r="CD1159" s="61">
        <f t="shared" si="1343"/>
        <v>0</v>
      </c>
      <c r="CE1159" s="61">
        <f t="shared" si="1343"/>
        <v>0</v>
      </c>
      <c r="CF1159" s="61">
        <f t="shared" si="1343"/>
        <v>0</v>
      </c>
      <c r="CG1159" s="61">
        <f t="shared" si="1343"/>
        <v>0</v>
      </c>
      <c r="CH1159" s="61">
        <f t="shared" si="1342"/>
        <v>0</v>
      </c>
      <c r="CI1159" s="61">
        <f t="shared" si="1344"/>
        <v>0</v>
      </c>
      <c r="CJ1159" s="61"/>
      <c r="CK1159" s="61">
        <f t="shared" si="1356"/>
        <v>0</v>
      </c>
      <c r="CL1159" s="61">
        <f t="shared" si="1356"/>
        <v>0</v>
      </c>
      <c r="CM1159" s="61">
        <f t="shared" si="1356"/>
        <v>0</v>
      </c>
      <c r="CN1159" s="61">
        <f t="shared" si="1356"/>
        <v>0</v>
      </c>
      <c r="CO1159" s="61">
        <f t="shared" si="1356"/>
        <v>0</v>
      </c>
      <c r="CP1159" s="61">
        <f t="shared" si="1329"/>
        <v>0</v>
      </c>
      <c r="CQ1159" s="61">
        <f t="shared" si="1329"/>
        <v>0</v>
      </c>
      <c r="CR1159" s="61">
        <f t="shared" si="1329"/>
        <v>0</v>
      </c>
      <c r="CS1159" s="61">
        <f t="shared" si="1345"/>
        <v>0</v>
      </c>
      <c r="CT1159" s="61">
        <f t="shared" si="1348"/>
        <v>0</v>
      </c>
      <c r="CU1159" s="6"/>
      <c r="CV1159" s="61">
        <f t="shared" ref="CV1159:CV1165" si="1376">SUM(AG1159)-SUM(BL1159)</f>
        <v>0</v>
      </c>
      <c r="CW1159" s="61">
        <f t="shared" si="1308"/>
        <v>0</v>
      </c>
      <c r="CX1159" s="61"/>
      <c r="CY1159" s="61">
        <f t="shared" ref="CY1159:DA1165" si="1377">SUM(AJ1159)-SUM(BO1159)</f>
        <v>0</v>
      </c>
      <c r="CZ1159" s="61">
        <f t="shared" si="1377"/>
        <v>0</v>
      </c>
      <c r="DA1159" s="61">
        <f t="shared" si="1377"/>
        <v>0</v>
      </c>
      <c r="DB1159" s="2" t="s">
        <v>86</v>
      </c>
      <c r="DC1159" s="2" t="s">
        <v>85</v>
      </c>
      <c r="DD1159" s="2" t="s">
        <v>142</v>
      </c>
      <c r="DE1159" s="2" t="s">
        <v>257</v>
      </c>
      <c r="DF1159" s="3" t="s">
        <v>86</v>
      </c>
      <c r="DG1159" s="62">
        <v>43116</v>
      </c>
      <c r="EC1159" s="60" t="str">
        <f>VLOOKUP($M1159,[1]Detail!$M:$BO,1,0)</f>
        <v>JD8C -18045 -AB</v>
      </c>
      <c r="ED1159" s="60">
        <f>VLOOKUP($M1159,[1]Detail!$M:$BO,22,0)</f>
        <v>-113.02</v>
      </c>
      <c r="EE1159" s="60">
        <f>VLOOKUP($M1159,[1]Detail!$M:$BO,42,0)</f>
        <v>0</v>
      </c>
      <c r="EF1159" s="60">
        <f>VLOOKUP($M1159,[1]Detail!$M:$BO,45,0)</f>
        <v>0</v>
      </c>
      <c r="EH1159" s="60">
        <f t="shared" ref="EH1159:EH1165" si="1378">ED1159-AD1159</f>
        <v>0</v>
      </c>
      <c r="EI1159" s="60">
        <f t="shared" ref="EI1159:EI1167" si="1379">EE1159-AG1159</f>
        <v>0</v>
      </c>
      <c r="EJ1159" s="60">
        <f t="shared" ref="EJ1159:EJ1167" si="1380">EF1159-AJ1159</f>
        <v>0</v>
      </c>
    </row>
    <row r="1160" spans="2:140" ht="12.75" hidden="1" customHeight="1">
      <c r="B1160" s="2" t="s">
        <v>1896</v>
      </c>
      <c r="C1160" s="22" t="s">
        <v>1890</v>
      </c>
      <c r="D1160" s="2" t="s">
        <v>1891</v>
      </c>
      <c r="E1160" s="1" t="s">
        <v>347</v>
      </c>
      <c r="F1160" s="2" t="s">
        <v>348</v>
      </c>
      <c r="G1160" s="118" t="s">
        <v>987</v>
      </c>
      <c r="J1160" s="1" t="s">
        <v>352</v>
      </c>
      <c r="K1160" s="1" t="s">
        <v>1892</v>
      </c>
      <c r="L1160" s="1" t="s">
        <v>120</v>
      </c>
      <c r="M1160" s="90" t="str">
        <f t="shared" si="1367"/>
        <v>JD8C -18045 -BB</v>
      </c>
      <c r="O1160" s="89">
        <v>0</v>
      </c>
      <c r="P1160" s="89">
        <v>1</v>
      </c>
      <c r="Q1160" s="89">
        <v>0</v>
      </c>
      <c r="R1160" s="89">
        <v>1</v>
      </c>
      <c r="S1160" s="89">
        <v>0</v>
      </c>
      <c r="T1160" s="89">
        <v>1</v>
      </c>
      <c r="U1160" s="89">
        <v>1</v>
      </c>
      <c r="V1160" s="89">
        <v>1</v>
      </c>
      <c r="W1160" s="64">
        <f t="shared" si="1357"/>
        <v>0.63000000000000012</v>
      </c>
      <c r="Y1160" s="63">
        <v>-104.15</v>
      </c>
      <c r="Z1160" s="63">
        <v>-4.5199999999999996</v>
      </c>
      <c r="AA1160" s="63">
        <v>-4</v>
      </c>
      <c r="AB1160" s="63">
        <v>-0.26</v>
      </c>
      <c r="AC1160" s="63">
        <v>0</v>
      </c>
      <c r="AD1160" s="63">
        <f t="shared" si="1375"/>
        <v>-112.93</v>
      </c>
      <c r="AE1160" s="2" t="s">
        <v>91</v>
      </c>
      <c r="AG1160" s="67">
        <v>0</v>
      </c>
      <c r="AH1160" s="67">
        <v>0</v>
      </c>
      <c r="AJ1160" s="67">
        <v>0</v>
      </c>
      <c r="AK1160" s="67">
        <v>0</v>
      </c>
      <c r="AM1160" s="22"/>
      <c r="AO1160" s="1" t="s">
        <v>352</v>
      </c>
      <c r="AP1160" s="1" t="s">
        <v>1892</v>
      </c>
      <c r="AQ1160" s="1" t="s">
        <v>111</v>
      </c>
      <c r="AR1160" s="90" t="str">
        <f t="shared" si="1368"/>
        <v>JD8C -18045 -BA</v>
      </c>
      <c r="AS1160" s="3"/>
      <c r="AT1160" s="89">
        <v>0</v>
      </c>
      <c r="AU1160" s="89">
        <v>1</v>
      </c>
      <c r="AV1160" s="89">
        <v>0</v>
      </c>
      <c r="AW1160" s="89">
        <v>1</v>
      </c>
      <c r="AX1160" s="89">
        <v>0</v>
      </c>
      <c r="AY1160" s="89">
        <v>0</v>
      </c>
      <c r="AZ1160" s="89">
        <v>0</v>
      </c>
      <c r="BA1160" s="89">
        <v>0</v>
      </c>
      <c r="BB1160" s="64">
        <f t="shared" si="1369"/>
        <v>0.39</v>
      </c>
      <c r="BD1160" s="63">
        <v>-104.15</v>
      </c>
      <c r="BE1160" s="63">
        <v>-4.5199999999999996</v>
      </c>
      <c r="BF1160" s="63">
        <v>-4</v>
      </c>
      <c r="BG1160" s="63">
        <v>-0.26</v>
      </c>
      <c r="BH1160" s="63">
        <v>0</v>
      </c>
      <c r="BI1160" s="63">
        <f t="shared" si="1371"/>
        <v>-112.93</v>
      </c>
      <c r="BJ1160" s="2" t="s">
        <v>91</v>
      </c>
      <c r="BL1160" s="67">
        <v>0</v>
      </c>
      <c r="BM1160" s="67">
        <v>0</v>
      </c>
      <c r="BO1160" s="67">
        <v>0</v>
      </c>
      <c r="BP1160" s="67">
        <v>0</v>
      </c>
      <c r="BS1160" s="61">
        <f t="shared" si="1331"/>
        <v>0</v>
      </c>
      <c r="BT1160" s="61">
        <f t="shared" si="1331"/>
        <v>0</v>
      </c>
      <c r="BU1160" s="61">
        <f t="shared" si="1331"/>
        <v>0</v>
      </c>
      <c r="BV1160" s="61">
        <f t="shared" si="1331"/>
        <v>0</v>
      </c>
      <c r="BW1160" s="61">
        <f t="shared" si="1331"/>
        <v>0</v>
      </c>
      <c r="BX1160" s="61">
        <f t="shared" si="1331"/>
        <v>0</v>
      </c>
      <c r="BY1160" s="61" t="s">
        <v>91</v>
      </c>
      <c r="CA1160" s="61">
        <f t="shared" si="1343"/>
        <v>0</v>
      </c>
      <c r="CB1160" s="61">
        <f t="shared" si="1343"/>
        <v>0</v>
      </c>
      <c r="CC1160" s="61">
        <f t="shared" si="1343"/>
        <v>0</v>
      </c>
      <c r="CD1160" s="61">
        <f t="shared" si="1343"/>
        <v>0</v>
      </c>
      <c r="CE1160" s="61">
        <f t="shared" si="1343"/>
        <v>0</v>
      </c>
      <c r="CF1160" s="61">
        <f t="shared" si="1343"/>
        <v>-15.668722732059576</v>
      </c>
      <c r="CG1160" s="61">
        <f t="shared" si="1343"/>
        <v>-15.668722732059576</v>
      </c>
      <c r="CH1160" s="61">
        <f t="shared" si="1342"/>
        <v>-15.668722732059576</v>
      </c>
      <c r="CI1160" s="61">
        <f t="shared" si="1344"/>
        <v>-3.7604934556942982</v>
      </c>
      <c r="CJ1160" s="61"/>
      <c r="CK1160" s="61">
        <f t="shared" si="1356"/>
        <v>0</v>
      </c>
      <c r="CL1160" s="61">
        <f t="shared" si="1356"/>
        <v>0</v>
      </c>
      <c r="CM1160" s="61">
        <f t="shared" si="1356"/>
        <v>0</v>
      </c>
      <c r="CN1160" s="61">
        <f t="shared" si="1356"/>
        <v>0</v>
      </c>
      <c r="CO1160" s="61">
        <f t="shared" si="1356"/>
        <v>0</v>
      </c>
      <c r="CP1160" s="61">
        <f t="shared" si="1329"/>
        <v>-16.989619377162629</v>
      </c>
      <c r="CQ1160" s="61">
        <f t="shared" si="1329"/>
        <v>-16.989619377162629</v>
      </c>
      <c r="CR1160" s="61">
        <f t="shared" si="1329"/>
        <v>-16.989619377162629</v>
      </c>
      <c r="CS1160" s="61">
        <f t="shared" si="1345"/>
        <v>-4.0775086505190314</v>
      </c>
      <c r="CT1160" s="61">
        <f t="shared" si="1348"/>
        <v>-27.103200000000005</v>
      </c>
      <c r="CU1160" s="6"/>
      <c r="CV1160" s="61">
        <f t="shared" si="1376"/>
        <v>0</v>
      </c>
      <c r="CW1160" s="61">
        <f t="shared" si="1308"/>
        <v>0</v>
      </c>
      <c r="CX1160" s="61"/>
      <c r="CY1160" s="61">
        <f t="shared" si="1377"/>
        <v>0</v>
      </c>
      <c r="CZ1160" s="61">
        <f t="shared" si="1377"/>
        <v>0</v>
      </c>
      <c r="DA1160" s="61">
        <f t="shared" si="1377"/>
        <v>0</v>
      </c>
      <c r="DB1160" s="2" t="s">
        <v>86</v>
      </c>
      <c r="DC1160" s="2" t="s">
        <v>85</v>
      </c>
      <c r="DD1160" s="2" t="s">
        <v>142</v>
      </c>
      <c r="DE1160" s="2" t="s">
        <v>257</v>
      </c>
      <c r="DF1160" s="3" t="s">
        <v>86</v>
      </c>
      <c r="DG1160" s="62">
        <v>43116</v>
      </c>
      <c r="EC1160" s="60" t="str">
        <f>VLOOKUP($M1160,[1]Detail!$M:$BO,1,0)</f>
        <v>JD8C -18045 -BB</v>
      </c>
      <c r="ED1160" s="60">
        <f>VLOOKUP($M1160,[1]Detail!$M:$BO,22,0)</f>
        <v>-112.93</v>
      </c>
      <c r="EE1160" s="60">
        <f>VLOOKUP($M1160,[1]Detail!$M:$BO,42,0)</f>
        <v>0</v>
      </c>
      <c r="EF1160" s="60">
        <f>VLOOKUP($M1160,[1]Detail!$M:$BO,45,0)</f>
        <v>0</v>
      </c>
      <c r="EH1160" s="60">
        <f t="shared" si="1378"/>
        <v>0</v>
      </c>
      <c r="EI1160" s="60">
        <f t="shared" si="1379"/>
        <v>0</v>
      </c>
      <c r="EJ1160" s="60">
        <f t="shared" si="1380"/>
        <v>0</v>
      </c>
    </row>
    <row r="1161" spans="2:140" ht="12.75" hidden="1" customHeight="1">
      <c r="B1161" s="2" t="s">
        <v>1896</v>
      </c>
      <c r="C1161" s="22" t="s">
        <v>1890</v>
      </c>
      <c r="D1161" s="2" t="s">
        <v>1891</v>
      </c>
      <c r="E1161" s="1" t="s">
        <v>347</v>
      </c>
      <c r="F1161" s="2" t="s">
        <v>348</v>
      </c>
      <c r="G1161" s="118" t="s">
        <v>987</v>
      </c>
      <c r="J1161" s="1">
        <v>0</v>
      </c>
      <c r="K1161" s="1">
        <v>0</v>
      </c>
      <c r="L1161" s="1">
        <v>0</v>
      </c>
      <c r="M1161" s="90" t="str">
        <f t="shared" si="1367"/>
        <v>0-0-0</v>
      </c>
      <c r="O1161" s="89">
        <v>0</v>
      </c>
      <c r="P1161" s="89">
        <v>0</v>
      </c>
      <c r="Q1161" s="89">
        <v>0</v>
      </c>
      <c r="R1161" s="89">
        <v>0</v>
      </c>
      <c r="S1161" s="89">
        <v>0</v>
      </c>
      <c r="T1161" s="89">
        <v>0</v>
      </c>
      <c r="U1161" s="89">
        <v>0</v>
      </c>
      <c r="V1161" s="89">
        <v>0</v>
      </c>
      <c r="W1161" s="64">
        <f t="shared" si="1357"/>
        <v>0</v>
      </c>
      <c r="Y1161" s="63">
        <v>-104.15</v>
      </c>
      <c r="Z1161" s="63">
        <v>-4.5199999999999996</v>
      </c>
      <c r="AA1161" s="63">
        <v>-4</v>
      </c>
      <c r="AB1161" s="63">
        <v>-0.26</v>
      </c>
      <c r="AC1161" s="63">
        <v>0</v>
      </c>
      <c r="AD1161" s="63">
        <f t="shared" si="1375"/>
        <v>-112.93</v>
      </c>
      <c r="AE1161" s="2" t="s">
        <v>91</v>
      </c>
      <c r="AG1161" s="67">
        <v>0</v>
      </c>
      <c r="AH1161" s="67">
        <v>0</v>
      </c>
      <c r="AJ1161" s="67">
        <v>0</v>
      </c>
      <c r="AK1161" s="67">
        <v>0</v>
      </c>
      <c r="AM1161" s="22"/>
      <c r="AO1161" s="1" t="s">
        <v>352</v>
      </c>
      <c r="AP1161" s="1" t="s">
        <v>1892</v>
      </c>
      <c r="AQ1161" s="1" t="s">
        <v>113</v>
      </c>
      <c r="AR1161" s="90" t="str">
        <f t="shared" si="1368"/>
        <v>JD8C -18045 -CA</v>
      </c>
      <c r="AS1161" s="3"/>
      <c r="AT1161" s="89">
        <v>0</v>
      </c>
      <c r="AU1161" s="89">
        <v>0</v>
      </c>
      <c r="AV1161" s="89">
        <v>0</v>
      </c>
      <c r="AW1161" s="89">
        <v>0</v>
      </c>
      <c r="AX1161" s="89">
        <v>0</v>
      </c>
      <c r="AY1161" s="89">
        <v>1</v>
      </c>
      <c r="AZ1161" s="89">
        <v>1</v>
      </c>
      <c r="BA1161" s="89">
        <v>1</v>
      </c>
      <c r="BB1161" s="64">
        <f t="shared" si="1369"/>
        <v>0.24</v>
      </c>
      <c r="BD1161" s="63">
        <v>-104.15</v>
      </c>
      <c r="BE1161" s="63">
        <v>-4.5199999999999996</v>
      </c>
      <c r="BF1161" s="63">
        <v>-4</v>
      </c>
      <c r="BG1161" s="63">
        <v>-0.26</v>
      </c>
      <c r="BH1161" s="63">
        <v>0</v>
      </c>
      <c r="BI1161" s="63">
        <f t="shared" si="1371"/>
        <v>-112.93</v>
      </c>
      <c r="BJ1161" s="2" t="s">
        <v>91</v>
      </c>
      <c r="BL1161" s="67">
        <v>0</v>
      </c>
      <c r="BM1161" s="67">
        <v>0</v>
      </c>
      <c r="BO1161" s="67">
        <v>0</v>
      </c>
      <c r="BP1161" s="67">
        <v>0</v>
      </c>
      <c r="BS1161" s="61">
        <f t="shared" si="1331"/>
        <v>0</v>
      </c>
      <c r="BT1161" s="61">
        <f t="shared" si="1331"/>
        <v>0</v>
      </c>
      <c r="BU1161" s="61">
        <f t="shared" si="1331"/>
        <v>0</v>
      </c>
      <c r="BV1161" s="61">
        <f t="shared" si="1331"/>
        <v>0</v>
      </c>
      <c r="BW1161" s="61">
        <f t="shared" si="1331"/>
        <v>0</v>
      </c>
      <c r="BX1161" s="61">
        <f t="shared" si="1331"/>
        <v>0</v>
      </c>
      <c r="BY1161" s="61" t="s">
        <v>91</v>
      </c>
      <c r="CA1161" s="61">
        <f t="shared" si="1343"/>
        <v>0</v>
      </c>
      <c r="CB1161" s="61">
        <f t="shared" si="1343"/>
        <v>0</v>
      </c>
      <c r="CC1161" s="61">
        <f t="shared" si="1343"/>
        <v>0</v>
      </c>
      <c r="CD1161" s="61">
        <f t="shared" si="1343"/>
        <v>0</v>
      </c>
      <c r="CE1161" s="61">
        <f t="shared" si="1343"/>
        <v>0</v>
      </c>
      <c r="CF1161" s="61">
        <f t="shared" si="1343"/>
        <v>15.668722732059576</v>
      </c>
      <c r="CG1161" s="61">
        <f t="shared" si="1343"/>
        <v>15.668722732059576</v>
      </c>
      <c r="CH1161" s="61">
        <f t="shared" si="1342"/>
        <v>15.668722732059576</v>
      </c>
      <c r="CI1161" s="61">
        <f t="shared" si="1344"/>
        <v>3.7604934556942982</v>
      </c>
      <c r="CJ1161" s="61"/>
      <c r="CK1161" s="61">
        <f t="shared" si="1356"/>
        <v>0</v>
      </c>
      <c r="CL1161" s="61">
        <f t="shared" si="1356"/>
        <v>0</v>
      </c>
      <c r="CM1161" s="61">
        <f t="shared" si="1356"/>
        <v>0</v>
      </c>
      <c r="CN1161" s="61">
        <f t="shared" si="1356"/>
        <v>0</v>
      </c>
      <c r="CO1161" s="61">
        <f t="shared" si="1356"/>
        <v>0</v>
      </c>
      <c r="CP1161" s="61">
        <f t="shared" si="1329"/>
        <v>16.989619377162629</v>
      </c>
      <c r="CQ1161" s="61">
        <f t="shared" si="1329"/>
        <v>16.989619377162629</v>
      </c>
      <c r="CR1161" s="61">
        <f t="shared" si="1329"/>
        <v>16.989619377162629</v>
      </c>
      <c r="CS1161" s="61">
        <f t="shared" si="1345"/>
        <v>4.0775086505190314</v>
      </c>
      <c r="CT1161" s="61">
        <f t="shared" si="1348"/>
        <v>27.103200000000005</v>
      </c>
      <c r="CU1161" s="6"/>
      <c r="CV1161" s="61">
        <f t="shared" si="1376"/>
        <v>0</v>
      </c>
      <c r="CW1161" s="61">
        <f t="shared" si="1308"/>
        <v>0</v>
      </c>
      <c r="CX1161" s="61"/>
      <c r="CY1161" s="61">
        <f t="shared" si="1377"/>
        <v>0</v>
      </c>
      <c r="CZ1161" s="61">
        <f t="shared" si="1377"/>
        <v>0</v>
      </c>
      <c r="DA1161" s="61">
        <f t="shared" si="1377"/>
        <v>0</v>
      </c>
      <c r="DB1161" s="2" t="s">
        <v>86</v>
      </c>
      <c r="DC1161" s="2" t="s">
        <v>85</v>
      </c>
      <c r="DD1161" s="2" t="s">
        <v>142</v>
      </c>
      <c r="DE1161" s="2" t="s">
        <v>257</v>
      </c>
      <c r="DF1161" s="3" t="s">
        <v>86</v>
      </c>
      <c r="DG1161" s="62">
        <v>43116</v>
      </c>
      <c r="EC1161" s="60" t="str">
        <f>VLOOKUP($M1161,[1]Detail!$M:$BO,1,0)</f>
        <v>0-0-0</v>
      </c>
      <c r="ED1161" s="60">
        <f>VLOOKUP($M1161,[1]Detail!$M:$BO,22,0)</f>
        <v>0</v>
      </c>
      <c r="EE1161" s="60">
        <f>VLOOKUP($M1161,[1]Detail!$M:$BO,42,0)</f>
        <v>0</v>
      </c>
      <c r="EF1161" s="60">
        <f>VLOOKUP($M1161,[1]Detail!$M:$BO,45,0)</f>
        <v>0</v>
      </c>
      <c r="EH1161" s="60">
        <f t="shared" si="1378"/>
        <v>112.93</v>
      </c>
      <c r="EI1161" s="60">
        <f t="shared" si="1379"/>
        <v>0</v>
      </c>
      <c r="EJ1161" s="60">
        <f t="shared" si="1380"/>
        <v>0</v>
      </c>
    </row>
    <row r="1162" spans="2:140" s="271" customFormat="1" ht="12.75" hidden="1" customHeight="1">
      <c r="B1162" s="2" t="s">
        <v>1896</v>
      </c>
      <c r="C1162" s="272" t="s">
        <v>1890</v>
      </c>
      <c r="D1162" s="271" t="s">
        <v>1891</v>
      </c>
      <c r="E1162" s="273" t="s">
        <v>347</v>
      </c>
      <c r="F1162" s="271" t="s">
        <v>348</v>
      </c>
      <c r="G1162" s="274" t="s">
        <v>987</v>
      </c>
      <c r="J1162" s="273" t="s">
        <v>352</v>
      </c>
      <c r="K1162" s="273">
        <v>18080</v>
      </c>
      <c r="L1162" s="273" t="s">
        <v>132</v>
      </c>
      <c r="M1162" s="275" t="str">
        <f t="shared" si="1367"/>
        <v>JD8C -18080-AB</v>
      </c>
      <c r="N1162" s="276"/>
      <c r="O1162" s="277">
        <v>2</v>
      </c>
      <c r="P1162" s="277">
        <v>2</v>
      </c>
      <c r="Q1162" s="277">
        <v>2</v>
      </c>
      <c r="R1162" s="277">
        <v>2</v>
      </c>
      <c r="S1162" s="277">
        <v>2</v>
      </c>
      <c r="T1162" s="277">
        <v>2</v>
      </c>
      <c r="U1162" s="277">
        <v>2</v>
      </c>
      <c r="V1162" s="277">
        <v>2</v>
      </c>
      <c r="W1162" s="278">
        <f t="shared" si="1357"/>
        <v>2</v>
      </c>
      <c r="Y1162" s="63">
        <v>-110.57</v>
      </c>
      <c r="Z1162" s="63">
        <v>-1.8</v>
      </c>
      <c r="AA1162" s="63">
        <v>-3</v>
      </c>
      <c r="AB1162" s="63">
        <v>-0.3</v>
      </c>
      <c r="AC1162" s="63">
        <v>0</v>
      </c>
      <c r="AD1162" s="63">
        <f>SUM(Y1162:AC1162)</f>
        <v>-115.66999999999999</v>
      </c>
      <c r="AE1162" s="271" t="s">
        <v>91</v>
      </c>
      <c r="AG1162" s="67">
        <v>0</v>
      </c>
      <c r="AH1162" s="67">
        <v>0</v>
      </c>
      <c r="AJ1162" s="67">
        <v>0</v>
      </c>
      <c r="AK1162" s="67">
        <v>0</v>
      </c>
      <c r="AM1162" s="272"/>
      <c r="AO1162" s="273" t="s">
        <v>352</v>
      </c>
      <c r="AP1162" s="273">
        <v>18080</v>
      </c>
      <c r="AQ1162" s="273" t="s">
        <v>100</v>
      </c>
      <c r="AR1162" s="275" t="str">
        <f>TRIM(AO1162)&amp;"-"&amp;TRIM(AP1162)&amp;"-"&amp;TRIM(AQ1162)</f>
        <v>JD8C -18080-AA</v>
      </c>
      <c r="AS1162" s="276"/>
      <c r="AT1162" s="277">
        <v>2</v>
      </c>
      <c r="AU1162" s="277">
        <v>2</v>
      </c>
      <c r="AV1162" s="277">
        <v>2</v>
      </c>
      <c r="AW1162" s="277">
        <v>2</v>
      </c>
      <c r="AX1162" s="277">
        <v>2</v>
      </c>
      <c r="AY1162" s="277">
        <v>2</v>
      </c>
      <c r="AZ1162" s="277">
        <v>2</v>
      </c>
      <c r="BA1162" s="277">
        <v>2</v>
      </c>
      <c r="BB1162" s="278">
        <f t="shared" si="1369"/>
        <v>2</v>
      </c>
      <c r="BD1162" s="63">
        <v>-110.57</v>
      </c>
      <c r="BE1162" s="63">
        <v>-1.8</v>
      </c>
      <c r="BF1162" s="63">
        <v>-3</v>
      </c>
      <c r="BG1162" s="63">
        <v>-0.3</v>
      </c>
      <c r="BH1162" s="63">
        <v>0</v>
      </c>
      <c r="BI1162" s="63">
        <f>SUM(BD1162:BH1162)</f>
        <v>-115.66999999999999</v>
      </c>
      <c r="BJ1162" s="271" t="s">
        <v>91</v>
      </c>
      <c r="BL1162" s="67">
        <v>0</v>
      </c>
      <c r="BM1162" s="63">
        <v>0</v>
      </c>
      <c r="BO1162" s="63">
        <v>0</v>
      </c>
      <c r="BP1162" s="63">
        <v>0</v>
      </c>
      <c r="BS1162" s="61">
        <f t="shared" si="1331"/>
        <v>0</v>
      </c>
      <c r="BT1162" s="61">
        <f t="shared" si="1331"/>
        <v>0</v>
      </c>
      <c r="BU1162" s="61">
        <f t="shared" si="1331"/>
        <v>0</v>
      </c>
      <c r="BV1162" s="61">
        <f t="shared" si="1331"/>
        <v>0</v>
      </c>
      <c r="BW1162" s="61">
        <f t="shared" si="1331"/>
        <v>0</v>
      </c>
      <c r="BX1162" s="61">
        <f t="shared" si="1331"/>
        <v>0</v>
      </c>
      <c r="BY1162" s="61" t="s">
        <v>91</v>
      </c>
      <c r="CA1162" s="61">
        <f t="shared" si="1343"/>
        <v>0</v>
      </c>
      <c r="CB1162" s="61">
        <f t="shared" si="1343"/>
        <v>0</v>
      </c>
      <c r="CC1162" s="61">
        <f t="shared" si="1343"/>
        <v>0</v>
      </c>
      <c r="CD1162" s="61">
        <f t="shared" si="1343"/>
        <v>0</v>
      </c>
      <c r="CE1162" s="61">
        <f t="shared" si="1343"/>
        <v>0</v>
      </c>
      <c r="CF1162" s="61">
        <f t="shared" si="1343"/>
        <v>0</v>
      </c>
      <c r="CG1162" s="61">
        <f t="shared" si="1343"/>
        <v>0</v>
      </c>
      <c r="CH1162" s="61">
        <f t="shared" si="1342"/>
        <v>0</v>
      </c>
      <c r="CI1162" s="61">
        <f t="shared" si="1344"/>
        <v>0</v>
      </c>
      <c r="CJ1162" s="61"/>
      <c r="CK1162" s="61">
        <f t="shared" si="1356"/>
        <v>0</v>
      </c>
      <c r="CL1162" s="61">
        <f t="shared" si="1356"/>
        <v>0</v>
      </c>
      <c r="CM1162" s="61">
        <f t="shared" si="1356"/>
        <v>0</v>
      </c>
      <c r="CN1162" s="61">
        <f t="shared" si="1356"/>
        <v>0</v>
      </c>
      <c r="CO1162" s="61">
        <f t="shared" si="1356"/>
        <v>0</v>
      </c>
      <c r="CP1162" s="61">
        <f t="shared" si="1329"/>
        <v>0</v>
      </c>
      <c r="CQ1162" s="61">
        <f t="shared" si="1329"/>
        <v>0</v>
      </c>
      <c r="CR1162" s="61">
        <f t="shared" si="1329"/>
        <v>0</v>
      </c>
      <c r="CS1162" s="61">
        <f t="shared" si="1345"/>
        <v>0</v>
      </c>
      <c r="CT1162" s="61">
        <f t="shared" si="1348"/>
        <v>0</v>
      </c>
      <c r="CU1162" s="281"/>
      <c r="CV1162" s="61">
        <f t="shared" si="1376"/>
        <v>0</v>
      </c>
      <c r="CW1162" s="61">
        <f t="shared" ref="CW1162:CW1163" si="1381">SUM(AH1162)-SUM(BM1162)</f>
        <v>0</v>
      </c>
      <c r="CX1162" s="61"/>
      <c r="CY1162" s="61">
        <f t="shared" ref="CY1162:CY1163" si="1382">SUM(AJ1162)-SUM(BO1162)</f>
        <v>0</v>
      </c>
      <c r="CZ1162" s="61">
        <f t="shared" si="1377"/>
        <v>0</v>
      </c>
      <c r="DA1162" s="61">
        <f t="shared" si="1377"/>
        <v>0</v>
      </c>
      <c r="DB1162" s="2" t="s">
        <v>86</v>
      </c>
      <c r="DC1162" s="2" t="s">
        <v>85</v>
      </c>
      <c r="DD1162" s="271" t="s">
        <v>142</v>
      </c>
      <c r="DE1162" s="271" t="s">
        <v>257</v>
      </c>
      <c r="DF1162" s="3" t="s">
        <v>86</v>
      </c>
      <c r="DG1162" s="62">
        <v>43116</v>
      </c>
      <c r="DZ1162" s="276"/>
      <c r="EC1162" s="60" t="str">
        <f>VLOOKUP($M1162,[1]Detail!$M:$BO,1,0)</f>
        <v>JD8C -18080-AB</v>
      </c>
      <c r="ED1162" s="60">
        <f>VLOOKUP($M1162,[1]Detail!$M:$BO,22,0)</f>
        <v>-115.66999999999999</v>
      </c>
      <c r="EE1162" s="60">
        <f>VLOOKUP($M1162,[1]Detail!$M:$BO,42,0)</f>
        <v>0</v>
      </c>
      <c r="EF1162" s="60">
        <f>VLOOKUP($M1162,[1]Detail!$M:$BO,45,0)</f>
        <v>0</v>
      </c>
      <c r="EH1162" s="60">
        <f t="shared" si="1378"/>
        <v>0</v>
      </c>
      <c r="EI1162" s="60">
        <f t="shared" si="1379"/>
        <v>0</v>
      </c>
      <c r="EJ1162" s="60">
        <f t="shared" si="1380"/>
        <v>0</v>
      </c>
    </row>
    <row r="1163" spans="2:140" s="283" customFormat="1" ht="12.75" hidden="1" customHeight="1">
      <c r="B1163" s="248" t="s">
        <v>1896</v>
      </c>
      <c r="C1163" s="282" t="s">
        <v>1890</v>
      </c>
      <c r="D1163" s="283" t="s">
        <v>1891</v>
      </c>
      <c r="E1163" s="284" t="s">
        <v>347</v>
      </c>
      <c r="F1163" s="283" t="s">
        <v>348</v>
      </c>
      <c r="G1163" s="285" t="s">
        <v>987</v>
      </c>
      <c r="H1163" s="271"/>
      <c r="J1163" s="284" t="s">
        <v>352</v>
      </c>
      <c r="K1163" s="284" t="s">
        <v>1894</v>
      </c>
      <c r="L1163" s="284" t="s">
        <v>132</v>
      </c>
      <c r="M1163" s="286" t="str">
        <f t="shared" si="1367"/>
        <v>JD8C -18K001-AB</v>
      </c>
      <c r="N1163" s="287"/>
      <c r="O1163" s="254">
        <v>1</v>
      </c>
      <c r="P1163" s="254">
        <v>0</v>
      </c>
      <c r="Q1163" s="254">
        <v>1</v>
      </c>
      <c r="R1163" s="254">
        <v>0</v>
      </c>
      <c r="S1163" s="254">
        <v>1</v>
      </c>
      <c r="T1163" s="254">
        <v>0</v>
      </c>
      <c r="U1163" s="254">
        <v>0</v>
      </c>
      <c r="V1163" s="254">
        <v>0</v>
      </c>
      <c r="W1163" s="288">
        <f t="shared" si="1357"/>
        <v>0.37</v>
      </c>
      <c r="Y1163" s="256">
        <v>-104.24</v>
      </c>
      <c r="Z1163" s="256">
        <v>-4.5199999999999996</v>
      </c>
      <c r="AA1163" s="256">
        <v>-4</v>
      </c>
      <c r="AB1163" s="256">
        <v>-0.26</v>
      </c>
      <c r="AC1163" s="256"/>
      <c r="AD1163" s="256">
        <f>SUM(Y1163:AC1163)</f>
        <v>-113.02</v>
      </c>
      <c r="AE1163" s="283" t="s">
        <v>91</v>
      </c>
      <c r="AG1163" s="258">
        <v>0</v>
      </c>
      <c r="AH1163" s="258">
        <v>0</v>
      </c>
      <c r="AJ1163" s="258">
        <v>0</v>
      </c>
      <c r="AK1163" s="258">
        <v>0</v>
      </c>
      <c r="AM1163" s="282"/>
      <c r="AO1163" s="284" t="s">
        <v>352</v>
      </c>
      <c r="AP1163" s="284" t="s">
        <v>1894</v>
      </c>
      <c r="AQ1163" s="284" t="s">
        <v>100</v>
      </c>
      <c r="AR1163" s="286" t="str">
        <f>TRIM(AO1163)&amp;"-"&amp;TRIM(AP1163)&amp;"-"&amp;TRIM(AQ1163)</f>
        <v>JD8C -18K001-AA</v>
      </c>
      <c r="AS1163" s="287"/>
      <c r="AT1163" s="254">
        <v>1</v>
      </c>
      <c r="AU1163" s="254">
        <v>0</v>
      </c>
      <c r="AV1163" s="254">
        <v>1</v>
      </c>
      <c r="AW1163" s="254">
        <v>0</v>
      </c>
      <c r="AX1163" s="254">
        <v>1</v>
      </c>
      <c r="AY1163" s="254">
        <v>0</v>
      </c>
      <c r="AZ1163" s="254">
        <v>0</v>
      </c>
      <c r="BA1163" s="254">
        <v>0</v>
      </c>
      <c r="BB1163" s="288">
        <f t="shared" si="1369"/>
        <v>0.37</v>
      </c>
      <c r="BD1163" s="256">
        <v>-104.24</v>
      </c>
      <c r="BE1163" s="256">
        <v>-4.5199999999999996</v>
      </c>
      <c r="BF1163" s="256">
        <v>-4</v>
      </c>
      <c r="BG1163" s="256">
        <v>-0.26</v>
      </c>
      <c r="BH1163" s="256"/>
      <c r="BI1163" s="289">
        <f>SUM(BD1163:BH1163)</f>
        <v>-113.02</v>
      </c>
      <c r="BJ1163" s="283" t="s">
        <v>91</v>
      </c>
      <c r="BL1163" s="256">
        <v>0</v>
      </c>
      <c r="BM1163" s="256">
        <v>0</v>
      </c>
      <c r="BO1163" s="256">
        <v>0</v>
      </c>
      <c r="BP1163" s="256">
        <v>0</v>
      </c>
      <c r="BS1163" s="61">
        <f t="shared" si="1331"/>
        <v>0</v>
      </c>
      <c r="BT1163" s="61">
        <f t="shared" si="1331"/>
        <v>0</v>
      </c>
      <c r="BU1163" s="61">
        <f t="shared" si="1331"/>
        <v>0</v>
      </c>
      <c r="BV1163" s="61">
        <f t="shared" si="1331"/>
        <v>0</v>
      </c>
      <c r="BW1163" s="61">
        <f t="shared" si="1331"/>
        <v>0</v>
      </c>
      <c r="BX1163" s="61">
        <f t="shared" si="1331"/>
        <v>0</v>
      </c>
      <c r="BY1163" s="61" t="s">
        <v>91</v>
      </c>
      <c r="BZ1163" s="271"/>
      <c r="CA1163" s="61">
        <f t="shared" si="1343"/>
        <v>0</v>
      </c>
      <c r="CB1163" s="61">
        <f t="shared" si="1343"/>
        <v>0</v>
      </c>
      <c r="CC1163" s="61">
        <f t="shared" si="1343"/>
        <v>0</v>
      </c>
      <c r="CD1163" s="61">
        <f t="shared" si="1343"/>
        <v>0</v>
      </c>
      <c r="CE1163" s="61">
        <f t="shared" si="1343"/>
        <v>0</v>
      </c>
      <c r="CF1163" s="61">
        <f t="shared" si="1343"/>
        <v>0</v>
      </c>
      <c r="CG1163" s="61">
        <f t="shared" si="1343"/>
        <v>0</v>
      </c>
      <c r="CH1163" s="61">
        <f t="shared" si="1342"/>
        <v>0</v>
      </c>
      <c r="CI1163" s="61">
        <f t="shared" si="1344"/>
        <v>0</v>
      </c>
      <c r="CJ1163" s="61"/>
      <c r="CK1163" s="61">
        <f t="shared" si="1356"/>
        <v>0</v>
      </c>
      <c r="CL1163" s="61">
        <f t="shared" si="1356"/>
        <v>0</v>
      </c>
      <c r="CM1163" s="61">
        <f t="shared" si="1356"/>
        <v>0</v>
      </c>
      <c r="CN1163" s="61">
        <f t="shared" si="1356"/>
        <v>0</v>
      </c>
      <c r="CO1163" s="61">
        <f t="shared" si="1356"/>
        <v>0</v>
      </c>
      <c r="CP1163" s="61">
        <f t="shared" si="1329"/>
        <v>0</v>
      </c>
      <c r="CQ1163" s="61">
        <f t="shared" si="1329"/>
        <v>0</v>
      </c>
      <c r="CR1163" s="61">
        <f t="shared" si="1329"/>
        <v>0</v>
      </c>
      <c r="CS1163" s="61">
        <f t="shared" si="1345"/>
        <v>0</v>
      </c>
      <c r="CT1163" s="61">
        <f t="shared" si="1348"/>
        <v>0</v>
      </c>
      <c r="CU1163" s="281"/>
      <c r="CV1163" s="61">
        <f t="shared" si="1376"/>
        <v>0</v>
      </c>
      <c r="CW1163" s="61">
        <f t="shared" si="1381"/>
        <v>0</v>
      </c>
      <c r="CX1163" s="61"/>
      <c r="CY1163" s="61">
        <f t="shared" si="1382"/>
        <v>0</v>
      </c>
      <c r="CZ1163" s="61">
        <f t="shared" si="1377"/>
        <v>0</v>
      </c>
      <c r="DA1163" s="61">
        <f t="shared" si="1377"/>
        <v>0</v>
      </c>
      <c r="DB1163" s="248" t="s">
        <v>86</v>
      </c>
      <c r="DC1163" s="248" t="s">
        <v>85</v>
      </c>
      <c r="DD1163" s="283" t="s">
        <v>142</v>
      </c>
      <c r="DE1163" s="283" t="s">
        <v>257</v>
      </c>
      <c r="DF1163" s="253" t="s">
        <v>86</v>
      </c>
      <c r="DG1163" s="264">
        <v>43116</v>
      </c>
      <c r="DI1163" s="271"/>
      <c r="DJ1163" s="271"/>
      <c r="DK1163" s="271"/>
      <c r="DL1163" s="271"/>
      <c r="DM1163" s="271"/>
      <c r="DN1163" s="271"/>
      <c r="DO1163" s="271"/>
      <c r="DP1163" s="271"/>
      <c r="DQ1163" s="271"/>
      <c r="DR1163" s="271"/>
      <c r="DS1163" s="271"/>
      <c r="DT1163" s="271"/>
      <c r="DU1163" s="271"/>
      <c r="DV1163" s="271"/>
      <c r="DW1163" s="271"/>
      <c r="DX1163" s="271"/>
      <c r="DY1163" s="271"/>
      <c r="DZ1163" s="287"/>
      <c r="EC1163" s="144" t="str">
        <f>VLOOKUP($M1163,[1]Detail!$M:$BO,1,0)</f>
        <v>JD8C -18K001-AB</v>
      </c>
      <c r="ED1163" s="144">
        <f>VLOOKUP($M1163,[1]Detail!$M:$BO,22,0)</f>
        <v>-113.02</v>
      </c>
      <c r="EE1163" s="144">
        <f>VLOOKUP($M1163,[1]Detail!$M:$BO,42,0)</f>
        <v>0</v>
      </c>
      <c r="EF1163" s="144">
        <f>VLOOKUP($M1163,[1]Detail!$M:$BO,45,0)</f>
        <v>0</v>
      </c>
      <c r="EH1163" s="144">
        <f t="shared" si="1378"/>
        <v>0</v>
      </c>
      <c r="EI1163" s="144">
        <f t="shared" si="1379"/>
        <v>0</v>
      </c>
      <c r="EJ1163" s="144">
        <f t="shared" si="1380"/>
        <v>0</v>
      </c>
    </row>
    <row r="1164" spans="2:140" s="283" customFormat="1" ht="12.75" hidden="1" customHeight="1">
      <c r="B1164" s="248" t="s">
        <v>1896</v>
      </c>
      <c r="C1164" s="282" t="s">
        <v>1890</v>
      </c>
      <c r="D1164" s="283" t="s">
        <v>1891</v>
      </c>
      <c r="E1164" s="284" t="s">
        <v>347</v>
      </c>
      <c r="F1164" s="283" t="s">
        <v>348</v>
      </c>
      <c r="G1164" s="285" t="s">
        <v>987</v>
      </c>
      <c r="H1164" s="271"/>
      <c r="J1164" s="284" t="s">
        <v>352</v>
      </c>
      <c r="K1164" s="284" t="s">
        <v>1894</v>
      </c>
      <c r="L1164" s="284" t="s">
        <v>120</v>
      </c>
      <c r="M1164" s="286" t="str">
        <f t="shared" si="1367"/>
        <v>JD8C -18K001-BB</v>
      </c>
      <c r="N1164" s="287"/>
      <c r="O1164" s="254">
        <v>0</v>
      </c>
      <c r="P1164" s="290">
        <v>1</v>
      </c>
      <c r="Q1164" s="254">
        <v>0</v>
      </c>
      <c r="R1164" s="290">
        <v>1</v>
      </c>
      <c r="S1164" s="254">
        <v>0</v>
      </c>
      <c r="T1164" s="254">
        <v>1</v>
      </c>
      <c r="U1164" s="290">
        <v>1</v>
      </c>
      <c r="V1164" s="254">
        <v>1</v>
      </c>
      <c r="W1164" s="288">
        <f t="shared" si="1357"/>
        <v>0.63000000000000012</v>
      </c>
      <c r="Y1164" s="256">
        <v>-104.15</v>
      </c>
      <c r="Z1164" s="256">
        <v>-4.5199999999999996</v>
      </c>
      <c r="AA1164" s="256">
        <v>-4</v>
      </c>
      <c r="AB1164" s="256">
        <v>-0.26</v>
      </c>
      <c r="AC1164" s="256">
        <v>0</v>
      </c>
      <c r="AD1164" s="256">
        <f t="shared" ref="AD1164:AD1165" si="1383">SUM(Y1164:AC1164)</f>
        <v>-112.93</v>
      </c>
      <c r="AE1164" s="283" t="s">
        <v>91</v>
      </c>
      <c r="AG1164" s="258">
        <v>0</v>
      </c>
      <c r="AH1164" s="258">
        <v>0</v>
      </c>
      <c r="AJ1164" s="258">
        <v>0</v>
      </c>
      <c r="AK1164" s="258">
        <v>0</v>
      </c>
      <c r="AM1164" s="282"/>
      <c r="AO1164" s="284" t="s">
        <v>352</v>
      </c>
      <c r="AP1164" s="284" t="s">
        <v>1894</v>
      </c>
      <c r="AQ1164" s="284" t="s">
        <v>111</v>
      </c>
      <c r="AR1164" s="286" t="str">
        <f t="shared" ref="AR1164:AR1165" si="1384">TRIM(AO1164)&amp;"-"&amp;TRIM(AP1164)&amp;"-"&amp;TRIM(AQ1164)</f>
        <v>JD8C -18K001-BA</v>
      </c>
      <c r="AS1164" s="287"/>
      <c r="AT1164" s="254">
        <v>0</v>
      </c>
      <c r="AU1164" s="254">
        <v>1</v>
      </c>
      <c r="AV1164" s="254">
        <v>0</v>
      </c>
      <c r="AW1164" s="254">
        <v>1</v>
      </c>
      <c r="AX1164" s="254">
        <v>0</v>
      </c>
      <c r="AY1164" s="254">
        <v>0</v>
      </c>
      <c r="AZ1164" s="254">
        <v>0</v>
      </c>
      <c r="BA1164" s="254">
        <v>0</v>
      </c>
      <c r="BB1164" s="288">
        <f t="shared" si="1369"/>
        <v>0.39</v>
      </c>
      <c r="BD1164" s="256">
        <v>-104.15</v>
      </c>
      <c r="BE1164" s="256">
        <v>-4.5199999999999996</v>
      </c>
      <c r="BF1164" s="256">
        <v>-4</v>
      </c>
      <c r="BG1164" s="256">
        <v>-0.26</v>
      </c>
      <c r="BH1164" s="256">
        <v>0</v>
      </c>
      <c r="BI1164" s="289">
        <f t="shared" ref="BI1164:BI1165" si="1385">SUM(BD1164:BH1164)</f>
        <v>-112.93</v>
      </c>
      <c r="BJ1164" s="283" t="s">
        <v>91</v>
      </c>
      <c r="BL1164" s="256">
        <v>0</v>
      </c>
      <c r="BM1164" s="256">
        <v>0</v>
      </c>
      <c r="BO1164" s="256">
        <v>0</v>
      </c>
      <c r="BP1164" s="256">
        <v>0</v>
      </c>
      <c r="BS1164" s="61">
        <f t="shared" si="1331"/>
        <v>0</v>
      </c>
      <c r="BT1164" s="61">
        <f t="shared" si="1331"/>
        <v>0</v>
      </c>
      <c r="BU1164" s="61">
        <f t="shared" si="1331"/>
        <v>0</v>
      </c>
      <c r="BV1164" s="61">
        <f t="shared" si="1331"/>
        <v>0</v>
      </c>
      <c r="BW1164" s="61">
        <f t="shared" si="1331"/>
        <v>0</v>
      </c>
      <c r="BX1164" s="61">
        <f t="shared" si="1331"/>
        <v>0</v>
      </c>
      <c r="BY1164" s="61" t="s">
        <v>91</v>
      </c>
      <c r="BZ1164" s="271"/>
      <c r="CA1164" s="61">
        <f t="shared" si="1343"/>
        <v>0</v>
      </c>
      <c r="CB1164" s="61">
        <f t="shared" si="1343"/>
        <v>0</v>
      </c>
      <c r="CC1164" s="61">
        <f t="shared" si="1343"/>
        <v>0</v>
      </c>
      <c r="CD1164" s="61">
        <f t="shared" si="1343"/>
        <v>0</v>
      </c>
      <c r="CE1164" s="61">
        <f t="shared" si="1343"/>
        <v>0</v>
      </c>
      <c r="CF1164" s="61">
        <f t="shared" si="1343"/>
        <v>-15.668722732059576</v>
      </c>
      <c r="CG1164" s="61">
        <f t="shared" si="1343"/>
        <v>-15.668722732059576</v>
      </c>
      <c r="CH1164" s="61">
        <f t="shared" si="1342"/>
        <v>-15.668722732059576</v>
      </c>
      <c r="CI1164" s="61">
        <f t="shared" si="1344"/>
        <v>-3.7604934556942982</v>
      </c>
      <c r="CJ1164" s="61"/>
      <c r="CK1164" s="61">
        <f t="shared" si="1356"/>
        <v>0</v>
      </c>
      <c r="CL1164" s="61">
        <f t="shared" si="1356"/>
        <v>0</v>
      </c>
      <c r="CM1164" s="61">
        <f t="shared" si="1356"/>
        <v>0</v>
      </c>
      <c r="CN1164" s="61">
        <f t="shared" si="1356"/>
        <v>0</v>
      </c>
      <c r="CO1164" s="61">
        <f t="shared" si="1356"/>
        <v>0</v>
      </c>
      <c r="CP1164" s="61">
        <f t="shared" si="1329"/>
        <v>-16.989619377162629</v>
      </c>
      <c r="CQ1164" s="61">
        <f t="shared" si="1329"/>
        <v>-16.989619377162629</v>
      </c>
      <c r="CR1164" s="61">
        <f t="shared" si="1329"/>
        <v>-16.989619377162629</v>
      </c>
      <c r="CS1164" s="61">
        <f t="shared" si="1345"/>
        <v>-4.0775086505190314</v>
      </c>
      <c r="CT1164" s="61">
        <f t="shared" si="1348"/>
        <v>-27.103200000000005</v>
      </c>
      <c r="CU1164" s="281"/>
      <c r="CV1164" s="61">
        <f t="shared" si="1376"/>
        <v>0</v>
      </c>
      <c r="CW1164" s="61">
        <f t="shared" ref="CW1164:CW1165" si="1386">SUM(AH1164)-SUM(BM1164)</f>
        <v>0</v>
      </c>
      <c r="CX1164" s="61"/>
      <c r="CY1164" s="61">
        <f t="shared" ref="CY1164:CY1165" si="1387">SUM(AJ1164)-SUM(BO1164)</f>
        <v>0</v>
      </c>
      <c r="CZ1164" s="61">
        <f t="shared" si="1377"/>
        <v>0</v>
      </c>
      <c r="DA1164" s="61">
        <f t="shared" si="1377"/>
        <v>0</v>
      </c>
      <c r="DB1164" s="248" t="s">
        <v>86</v>
      </c>
      <c r="DC1164" s="248" t="s">
        <v>85</v>
      </c>
      <c r="DD1164" s="283" t="s">
        <v>142</v>
      </c>
      <c r="DE1164" s="283" t="s">
        <v>257</v>
      </c>
      <c r="DF1164" s="253" t="s">
        <v>86</v>
      </c>
      <c r="DG1164" s="264">
        <v>43116</v>
      </c>
      <c r="DI1164" s="271"/>
      <c r="DJ1164" s="271"/>
      <c r="DK1164" s="271"/>
      <c r="DL1164" s="271"/>
      <c r="DM1164" s="271"/>
      <c r="DN1164" s="271"/>
      <c r="DO1164" s="271"/>
      <c r="DP1164" s="271"/>
      <c r="DQ1164" s="271"/>
      <c r="DR1164" s="271"/>
      <c r="DS1164" s="271"/>
      <c r="DT1164" s="271"/>
      <c r="DU1164" s="271"/>
      <c r="DV1164" s="271"/>
      <c r="DW1164" s="271"/>
      <c r="DX1164" s="271"/>
      <c r="DY1164" s="271"/>
      <c r="DZ1164" s="287"/>
      <c r="EC1164" s="144" t="str">
        <f>VLOOKUP($M1164,[1]Detail!$M:$BO,1,0)</f>
        <v>JD8C -18K001-BB</v>
      </c>
      <c r="ED1164" s="144">
        <f>VLOOKUP($M1164,[1]Detail!$M:$BO,22,0)</f>
        <v>-112.93</v>
      </c>
      <c r="EE1164" s="144">
        <f>VLOOKUP($M1164,[1]Detail!$M:$BO,42,0)</f>
        <v>0</v>
      </c>
      <c r="EF1164" s="144">
        <f>VLOOKUP($M1164,[1]Detail!$M:$BO,45,0)</f>
        <v>0</v>
      </c>
      <c r="EH1164" s="144">
        <f t="shared" si="1378"/>
        <v>0</v>
      </c>
      <c r="EI1164" s="144">
        <f t="shared" si="1379"/>
        <v>0</v>
      </c>
      <c r="EJ1164" s="144">
        <f t="shared" si="1380"/>
        <v>0</v>
      </c>
    </row>
    <row r="1165" spans="2:140" ht="12.75" hidden="1" customHeight="1">
      <c r="B1165" s="2" t="s">
        <v>1896</v>
      </c>
      <c r="C1165" s="22" t="s">
        <v>1890</v>
      </c>
      <c r="D1165" s="2" t="s">
        <v>1891</v>
      </c>
      <c r="E1165" s="1" t="s">
        <v>347</v>
      </c>
      <c r="F1165" s="2" t="s">
        <v>348</v>
      </c>
      <c r="G1165" s="118" t="s">
        <v>987</v>
      </c>
      <c r="J1165" s="1">
        <v>0</v>
      </c>
      <c r="K1165" s="1">
        <v>0</v>
      </c>
      <c r="L1165" s="1">
        <v>0</v>
      </c>
      <c r="M1165" s="90" t="str">
        <f t="shared" si="1367"/>
        <v>0-0-0</v>
      </c>
      <c r="O1165" s="89">
        <v>0</v>
      </c>
      <c r="P1165" s="89">
        <v>0</v>
      </c>
      <c r="Q1165" s="89">
        <v>0</v>
      </c>
      <c r="R1165" s="89">
        <v>0</v>
      </c>
      <c r="S1165" s="89">
        <v>0</v>
      </c>
      <c r="T1165" s="89">
        <v>0</v>
      </c>
      <c r="U1165" s="89">
        <v>0</v>
      </c>
      <c r="V1165" s="89">
        <v>0</v>
      </c>
      <c r="W1165" s="64">
        <f t="shared" si="1357"/>
        <v>0</v>
      </c>
      <c r="Y1165" s="63">
        <v>-104.15</v>
      </c>
      <c r="Z1165" s="63">
        <v>-4.5199999999999996</v>
      </c>
      <c r="AA1165" s="63">
        <v>-4</v>
      </c>
      <c r="AB1165" s="63">
        <v>-0.26</v>
      </c>
      <c r="AC1165" s="63">
        <v>0</v>
      </c>
      <c r="AD1165" s="63">
        <f t="shared" si="1383"/>
        <v>-112.93</v>
      </c>
      <c r="AE1165" s="2" t="s">
        <v>91</v>
      </c>
      <c r="AG1165" s="67">
        <v>0</v>
      </c>
      <c r="AH1165" s="67">
        <v>0</v>
      </c>
      <c r="AJ1165" s="67">
        <v>0</v>
      </c>
      <c r="AK1165" s="67">
        <v>0</v>
      </c>
      <c r="AM1165" s="22"/>
      <c r="AO1165" s="1" t="s">
        <v>352</v>
      </c>
      <c r="AP1165" s="1" t="s">
        <v>1894</v>
      </c>
      <c r="AQ1165" s="1" t="s">
        <v>113</v>
      </c>
      <c r="AR1165" s="90" t="str">
        <f t="shared" si="1384"/>
        <v>JD8C -18K001-CA</v>
      </c>
      <c r="AS1165" s="3"/>
      <c r="AT1165" s="89">
        <v>0</v>
      </c>
      <c r="AU1165" s="89">
        <v>0</v>
      </c>
      <c r="AV1165" s="89">
        <v>0</v>
      </c>
      <c r="AW1165" s="89">
        <v>0</v>
      </c>
      <c r="AX1165" s="89">
        <v>0</v>
      </c>
      <c r="AY1165" s="89">
        <v>1</v>
      </c>
      <c r="AZ1165" s="89">
        <v>1</v>
      </c>
      <c r="BA1165" s="89">
        <v>1</v>
      </c>
      <c r="BB1165" s="64">
        <f t="shared" si="1369"/>
        <v>0.24</v>
      </c>
      <c r="BD1165" s="63">
        <v>-104.15</v>
      </c>
      <c r="BE1165" s="63">
        <v>-4.5199999999999996</v>
      </c>
      <c r="BF1165" s="63">
        <v>-4</v>
      </c>
      <c r="BG1165" s="63">
        <v>-0.26</v>
      </c>
      <c r="BH1165" s="63">
        <v>0</v>
      </c>
      <c r="BI1165" s="8">
        <f t="shared" si="1385"/>
        <v>-112.93</v>
      </c>
      <c r="BJ1165" s="2" t="s">
        <v>91</v>
      </c>
      <c r="BL1165" s="63">
        <v>0</v>
      </c>
      <c r="BM1165" s="63">
        <v>0</v>
      </c>
      <c r="BO1165" s="63">
        <v>0</v>
      </c>
      <c r="BP1165" s="63">
        <v>0</v>
      </c>
      <c r="BS1165" s="61">
        <f t="shared" si="1331"/>
        <v>0</v>
      </c>
      <c r="BT1165" s="61">
        <f t="shared" si="1331"/>
        <v>0</v>
      </c>
      <c r="BU1165" s="61">
        <f t="shared" si="1331"/>
        <v>0</v>
      </c>
      <c r="BV1165" s="61">
        <f t="shared" si="1331"/>
        <v>0</v>
      </c>
      <c r="BW1165" s="61">
        <f t="shared" si="1331"/>
        <v>0</v>
      </c>
      <c r="BX1165" s="61">
        <f t="shared" si="1331"/>
        <v>0</v>
      </c>
      <c r="BY1165" s="61" t="s">
        <v>91</v>
      </c>
      <c r="CA1165" s="61">
        <f t="shared" si="1343"/>
        <v>0</v>
      </c>
      <c r="CB1165" s="61">
        <f t="shared" si="1343"/>
        <v>0</v>
      </c>
      <c r="CC1165" s="61">
        <f t="shared" si="1343"/>
        <v>0</v>
      </c>
      <c r="CD1165" s="61">
        <f t="shared" si="1343"/>
        <v>0</v>
      </c>
      <c r="CE1165" s="61">
        <f t="shared" si="1343"/>
        <v>0</v>
      </c>
      <c r="CF1165" s="61">
        <f t="shared" si="1343"/>
        <v>15.668722732059576</v>
      </c>
      <c r="CG1165" s="61">
        <f t="shared" si="1343"/>
        <v>15.668722732059576</v>
      </c>
      <c r="CH1165" s="61">
        <f t="shared" si="1342"/>
        <v>15.668722732059576</v>
      </c>
      <c r="CI1165" s="61">
        <f t="shared" si="1344"/>
        <v>3.7604934556942982</v>
      </c>
      <c r="CJ1165" s="61"/>
      <c r="CK1165" s="61">
        <f t="shared" si="1356"/>
        <v>0</v>
      </c>
      <c r="CL1165" s="61">
        <f t="shared" si="1356"/>
        <v>0</v>
      </c>
      <c r="CM1165" s="61">
        <f t="shared" si="1356"/>
        <v>0</v>
      </c>
      <c r="CN1165" s="61">
        <f t="shared" si="1356"/>
        <v>0</v>
      </c>
      <c r="CO1165" s="61">
        <f t="shared" si="1356"/>
        <v>0</v>
      </c>
      <c r="CP1165" s="61">
        <f t="shared" si="1329"/>
        <v>16.989619377162629</v>
      </c>
      <c r="CQ1165" s="61">
        <f t="shared" si="1329"/>
        <v>16.989619377162629</v>
      </c>
      <c r="CR1165" s="61">
        <f t="shared" si="1329"/>
        <v>16.989619377162629</v>
      </c>
      <c r="CS1165" s="61">
        <f t="shared" si="1345"/>
        <v>4.0775086505190314</v>
      </c>
      <c r="CT1165" s="61">
        <f t="shared" si="1348"/>
        <v>27.103200000000005</v>
      </c>
      <c r="CU1165" s="6"/>
      <c r="CV1165" s="61">
        <f t="shared" si="1376"/>
        <v>0</v>
      </c>
      <c r="CW1165" s="61">
        <f t="shared" si="1386"/>
        <v>0</v>
      </c>
      <c r="CX1165" s="61"/>
      <c r="CY1165" s="61">
        <f t="shared" si="1387"/>
        <v>0</v>
      </c>
      <c r="CZ1165" s="61">
        <f t="shared" si="1377"/>
        <v>0</v>
      </c>
      <c r="DA1165" s="61">
        <f t="shared" si="1377"/>
        <v>0</v>
      </c>
      <c r="DB1165" s="2" t="s">
        <v>86</v>
      </c>
      <c r="DC1165" s="2" t="s">
        <v>85</v>
      </c>
      <c r="DD1165" s="2" t="s">
        <v>142</v>
      </c>
      <c r="DE1165" s="2" t="s">
        <v>257</v>
      </c>
      <c r="DF1165" s="3" t="s">
        <v>86</v>
      </c>
      <c r="DG1165" s="62">
        <v>43116</v>
      </c>
      <c r="EC1165" s="60" t="str">
        <f>VLOOKUP($M1165,[1]Detail!$M:$BO,1,0)</f>
        <v>0-0-0</v>
      </c>
      <c r="ED1165" s="60">
        <f>VLOOKUP($M1165,[1]Detail!$M:$BO,22,0)</f>
        <v>0</v>
      </c>
      <c r="EE1165" s="60">
        <f>VLOOKUP($M1165,[1]Detail!$M:$BO,42,0)</f>
        <v>0</v>
      </c>
      <c r="EF1165" s="60">
        <f>VLOOKUP($M1165,[1]Detail!$M:$BO,45,0)</f>
        <v>0</v>
      </c>
      <c r="EH1165" s="60">
        <f t="shared" si="1378"/>
        <v>112.93</v>
      </c>
      <c r="EI1165" s="60">
        <f t="shared" si="1379"/>
        <v>0</v>
      </c>
      <c r="EJ1165" s="60">
        <f t="shared" si="1380"/>
        <v>0</v>
      </c>
    </row>
    <row r="1166" spans="2:140" s="271" customFormat="1" ht="12.75" hidden="1" customHeight="1">
      <c r="B1166" s="271" t="s">
        <v>1895</v>
      </c>
      <c r="C1166" s="272" t="s">
        <v>1890</v>
      </c>
      <c r="D1166" s="271" t="s">
        <v>1891</v>
      </c>
      <c r="E1166" s="273" t="s">
        <v>347</v>
      </c>
      <c r="F1166" s="271" t="s">
        <v>348</v>
      </c>
      <c r="G1166" s="274" t="s">
        <v>987</v>
      </c>
      <c r="J1166" s="273" t="s">
        <v>352</v>
      </c>
      <c r="K1166" s="273" t="s">
        <v>1894</v>
      </c>
      <c r="L1166" s="273" t="s">
        <v>111</v>
      </c>
      <c r="M1166" s="275" t="str">
        <f t="shared" si="1367"/>
        <v>JD8C -18K001-BA</v>
      </c>
      <c r="N1166" s="276"/>
      <c r="O1166" s="89">
        <v>0</v>
      </c>
      <c r="P1166" s="89">
        <v>1</v>
      </c>
      <c r="Q1166" s="89">
        <v>0</v>
      </c>
      <c r="R1166" s="89">
        <v>1</v>
      </c>
      <c r="S1166" s="89">
        <v>0</v>
      </c>
      <c r="T1166" s="89">
        <v>0</v>
      </c>
      <c r="U1166" s="89">
        <v>0</v>
      </c>
      <c r="V1166" s="89">
        <v>0</v>
      </c>
      <c r="W1166" s="278">
        <f t="shared" si="1357"/>
        <v>0.39</v>
      </c>
      <c r="Y1166" s="63">
        <v>-104.15</v>
      </c>
      <c r="Z1166" s="63">
        <v>-4.5199999999999996</v>
      </c>
      <c r="AA1166" s="63">
        <v>-4</v>
      </c>
      <c r="AB1166" s="63">
        <v>-0.26</v>
      </c>
      <c r="AC1166" s="63">
        <v>0</v>
      </c>
      <c r="AD1166" s="63">
        <f t="shared" si="1374"/>
        <v>-112.93</v>
      </c>
      <c r="AE1166" s="271" t="s">
        <v>91</v>
      </c>
      <c r="AG1166" s="67">
        <v>0</v>
      </c>
      <c r="AH1166" s="67">
        <v>0</v>
      </c>
      <c r="AJ1166" s="67">
        <v>0</v>
      </c>
      <c r="AK1166" s="67">
        <v>0</v>
      </c>
      <c r="AM1166" s="272"/>
      <c r="AO1166" s="273" t="s">
        <v>352</v>
      </c>
      <c r="AP1166" s="273" t="s">
        <v>1894</v>
      </c>
      <c r="AQ1166" s="273" t="s">
        <v>182</v>
      </c>
      <c r="AR1166" s="275" t="s">
        <v>1897</v>
      </c>
      <c r="AT1166" s="89">
        <v>0</v>
      </c>
      <c r="AU1166" s="89">
        <v>1</v>
      </c>
      <c r="AV1166" s="89">
        <v>0</v>
      </c>
      <c r="AW1166" s="89">
        <v>1</v>
      </c>
      <c r="AX1166" s="89">
        <v>0</v>
      </c>
      <c r="AY1166" s="89">
        <v>1</v>
      </c>
      <c r="AZ1166" s="89">
        <v>1</v>
      </c>
      <c r="BA1166" s="89">
        <v>1</v>
      </c>
      <c r="BB1166" s="278">
        <f t="shared" si="1369"/>
        <v>0.63000000000000012</v>
      </c>
      <c r="BD1166" s="63">
        <v>-104.15</v>
      </c>
      <c r="BE1166" s="63">
        <v>-4.5199999999999996</v>
      </c>
      <c r="BF1166" s="63">
        <v>-4</v>
      </c>
      <c r="BG1166" s="63">
        <v>-0.26</v>
      </c>
      <c r="BH1166" s="63">
        <v>0</v>
      </c>
      <c r="BI1166" s="280">
        <f t="shared" si="1371"/>
        <v>-112.93</v>
      </c>
      <c r="BJ1166" s="271" t="s">
        <v>91</v>
      </c>
      <c r="BL1166" s="63">
        <v>0</v>
      </c>
      <c r="BM1166" s="63">
        <v>0</v>
      </c>
      <c r="BO1166" s="63">
        <v>0</v>
      </c>
      <c r="BP1166" s="63">
        <v>0</v>
      </c>
      <c r="BS1166" s="61">
        <f t="shared" si="1331"/>
        <v>0</v>
      </c>
      <c r="BT1166" s="61">
        <f t="shared" si="1331"/>
        <v>0</v>
      </c>
      <c r="BU1166" s="61">
        <f t="shared" si="1331"/>
        <v>0</v>
      </c>
      <c r="BV1166" s="61">
        <f t="shared" si="1331"/>
        <v>0</v>
      </c>
      <c r="BW1166" s="61">
        <f t="shared" si="1331"/>
        <v>0</v>
      </c>
      <c r="BX1166" s="61">
        <f t="shared" si="1331"/>
        <v>0</v>
      </c>
      <c r="BY1166" s="61" t="s">
        <v>91</v>
      </c>
      <c r="CA1166" s="61">
        <f t="shared" si="1343"/>
        <v>0</v>
      </c>
      <c r="CB1166" s="61">
        <f t="shared" si="1343"/>
        <v>0</v>
      </c>
      <c r="CC1166" s="61">
        <f t="shared" si="1343"/>
        <v>0</v>
      </c>
      <c r="CD1166" s="61">
        <f t="shared" si="1343"/>
        <v>0</v>
      </c>
      <c r="CE1166" s="61">
        <f t="shared" si="1343"/>
        <v>0</v>
      </c>
      <c r="CF1166" s="61">
        <f t="shared" si="1343"/>
        <v>15.668722732059576</v>
      </c>
      <c r="CG1166" s="61">
        <f t="shared" si="1343"/>
        <v>15.668722732059576</v>
      </c>
      <c r="CH1166" s="61">
        <f t="shared" si="1342"/>
        <v>15.668722732059576</v>
      </c>
      <c r="CI1166" s="61">
        <f t="shared" si="1344"/>
        <v>3.7604934556942982</v>
      </c>
      <c r="CJ1166" s="61"/>
      <c r="CK1166" s="61">
        <f t="shared" si="1356"/>
        <v>0</v>
      </c>
      <c r="CL1166" s="61">
        <f t="shared" si="1356"/>
        <v>0</v>
      </c>
      <c r="CM1166" s="61">
        <f t="shared" si="1356"/>
        <v>0</v>
      </c>
      <c r="CN1166" s="61">
        <f t="shared" si="1356"/>
        <v>0</v>
      </c>
      <c r="CO1166" s="61">
        <f t="shared" si="1356"/>
        <v>0</v>
      </c>
      <c r="CP1166" s="61">
        <f t="shared" si="1329"/>
        <v>16.989619377162629</v>
      </c>
      <c r="CQ1166" s="61">
        <f t="shared" si="1329"/>
        <v>16.989619377162629</v>
      </c>
      <c r="CR1166" s="61">
        <f t="shared" si="1329"/>
        <v>16.989619377162629</v>
      </c>
      <c r="CS1166" s="61">
        <f t="shared" si="1345"/>
        <v>4.0775086505190314</v>
      </c>
      <c r="CT1166" s="61">
        <f t="shared" si="1348"/>
        <v>27.103200000000005</v>
      </c>
      <c r="CU1166" s="281"/>
      <c r="CV1166" s="61">
        <f t="shared" si="1307"/>
        <v>0</v>
      </c>
      <c r="CW1166" s="61">
        <f t="shared" si="1308"/>
        <v>0</v>
      </c>
      <c r="CX1166" s="61"/>
      <c r="CY1166" s="61">
        <f t="shared" si="1311"/>
        <v>0</v>
      </c>
      <c r="CZ1166" s="61">
        <f t="shared" si="1309"/>
        <v>0</v>
      </c>
      <c r="DA1166" s="61">
        <f t="shared" si="1310"/>
        <v>0</v>
      </c>
      <c r="DB1166" s="271" t="s">
        <v>85</v>
      </c>
      <c r="DC1166" s="271" t="s">
        <v>85</v>
      </c>
      <c r="DD1166" s="271" t="s">
        <v>142</v>
      </c>
      <c r="DE1166" s="271" t="s">
        <v>257</v>
      </c>
      <c r="DF1166" s="276" t="s">
        <v>86</v>
      </c>
      <c r="DG1166" s="291">
        <v>42929</v>
      </c>
      <c r="DZ1166" s="276"/>
      <c r="EC1166" s="60"/>
      <c r="ED1166" s="60"/>
      <c r="EE1166" s="60"/>
      <c r="EF1166" s="60"/>
      <c r="EH1166" s="60"/>
      <c r="EI1166" s="60"/>
      <c r="EJ1166" s="60"/>
    </row>
    <row r="1167" spans="2:140" ht="12.75" hidden="1" customHeight="1">
      <c r="B1167" s="2" t="s">
        <v>1895</v>
      </c>
      <c r="C1167" s="22" t="s">
        <v>1890</v>
      </c>
      <c r="D1167" s="2" t="s">
        <v>1891</v>
      </c>
      <c r="E1167" s="1" t="s">
        <v>347</v>
      </c>
      <c r="F1167" s="2" t="s">
        <v>348</v>
      </c>
      <c r="G1167" s="118" t="s">
        <v>987</v>
      </c>
      <c r="J1167" s="1" t="s">
        <v>352</v>
      </c>
      <c r="K1167" s="1" t="s">
        <v>1894</v>
      </c>
      <c r="L1167" s="1" t="s">
        <v>113</v>
      </c>
      <c r="M1167" s="90" t="str">
        <f t="shared" si="1367"/>
        <v>JD8C -18K001-CA</v>
      </c>
      <c r="O1167" s="89">
        <v>0</v>
      </c>
      <c r="P1167" s="89">
        <v>0</v>
      </c>
      <c r="Q1167" s="89">
        <v>0</v>
      </c>
      <c r="R1167" s="89">
        <v>0</v>
      </c>
      <c r="S1167" s="89">
        <v>0</v>
      </c>
      <c r="T1167" s="89">
        <v>1</v>
      </c>
      <c r="U1167" s="89">
        <v>1</v>
      </c>
      <c r="V1167" s="89">
        <v>1</v>
      </c>
      <c r="W1167" s="64">
        <f t="shared" si="1357"/>
        <v>0.24</v>
      </c>
      <c r="Y1167" s="63">
        <v>-104.15</v>
      </c>
      <c r="Z1167" s="63">
        <v>-4.5199999999999996</v>
      </c>
      <c r="AA1167" s="63">
        <v>-4</v>
      </c>
      <c r="AB1167" s="63">
        <v>-0.26</v>
      </c>
      <c r="AC1167" s="63">
        <v>0</v>
      </c>
      <c r="AD1167" s="63">
        <f t="shared" si="1374"/>
        <v>-112.93</v>
      </c>
      <c r="AE1167" s="2" t="s">
        <v>91</v>
      </c>
      <c r="AG1167" s="67">
        <v>0</v>
      </c>
      <c r="AH1167" s="67">
        <v>0</v>
      </c>
      <c r="AJ1167" s="67">
        <v>0</v>
      </c>
      <c r="AK1167" s="67">
        <v>0</v>
      </c>
      <c r="AM1167" s="22"/>
      <c r="AO1167" s="1" t="s">
        <v>352</v>
      </c>
      <c r="AP1167" s="1" t="s">
        <v>1894</v>
      </c>
      <c r="AQ1167" s="1" t="s">
        <v>182</v>
      </c>
      <c r="AR1167" s="90" t="s">
        <v>1897</v>
      </c>
      <c r="AT1167" s="89">
        <v>0</v>
      </c>
      <c r="AU1167" s="89">
        <v>0</v>
      </c>
      <c r="AV1167" s="89">
        <v>0</v>
      </c>
      <c r="AW1167" s="89">
        <v>0</v>
      </c>
      <c r="AX1167" s="89">
        <v>0</v>
      </c>
      <c r="AY1167" s="89">
        <v>0</v>
      </c>
      <c r="AZ1167" s="89">
        <v>0</v>
      </c>
      <c r="BA1167" s="89">
        <v>0</v>
      </c>
      <c r="BB1167" s="64">
        <f t="shared" si="1369"/>
        <v>0</v>
      </c>
      <c r="BD1167" s="63">
        <v>-104.15</v>
      </c>
      <c r="BE1167" s="63">
        <v>-4.5199999999999996</v>
      </c>
      <c r="BF1167" s="63">
        <v>-4</v>
      </c>
      <c r="BG1167" s="63">
        <v>-0.26</v>
      </c>
      <c r="BH1167" s="63">
        <v>0</v>
      </c>
      <c r="BI1167" s="8">
        <f t="shared" si="1371"/>
        <v>-112.93</v>
      </c>
      <c r="BJ1167" s="2" t="s">
        <v>91</v>
      </c>
      <c r="BL1167" s="63">
        <v>0</v>
      </c>
      <c r="BM1167" s="63">
        <v>0</v>
      </c>
      <c r="BO1167" s="63">
        <v>0</v>
      </c>
      <c r="BP1167" s="63">
        <v>0</v>
      </c>
      <c r="BS1167" s="61">
        <f t="shared" si="1331"/>
        <v>0</v>
      </c>
      <c r="BT1167" s="61">
        <f t="shared" si="1331"/>
        <v>0</v>
      </c>
      <c r="BU1167" s="61">
        <f t="shared" si="1331"/>
        <v>0</v>
      </c>
      <c r="BV1167" s="61">
        <f t="shared" si="1331"/>
        <v>0</v>
      </c>
      <c r="BW1167" s="61">
        <f t="shared" si="1331"/>
        <v>0</v>
      </c>
      <c r="BX1167" s="61">
        <f t="shared" si="1331"/>
        <v>0</v>
      </c>
      <c r="BY1167" s="61" t="s">
        <v>91</v>
      </c>
      <c r="CA1167" s="61">
        <f t="shared" si="1343"/>
        <v>0</v>
      </c>
      <c r="CB1167" s="61">
        <f t="shared" si="1343"/>
        <v>0</v>
      </c>
      <c r="CC1167" s="61">
        <f t="shared" si="1343"/>
        <v>0</v>
      </c>
      <c r="CD1167" s="61">
        <f t="shared" si="1343"/>
        <v>0</v>
      </c>
      <c r="CE1167" s="61">
        <f t="shared" si="1343"/>
        <v>0</v>
      </c>
      <c r="CF1167" s="61">
        <f t="shared" si="1343"/>
        <v>-15.668722732059576</v>
      </c>
      <c r="CG1167" s="61">
        <f t="shared" si="1343"/>
        <v>-15.668722732059576</v>
      </c>
      <c r="CH1167" s="61">
        <f t="shared" si="1342"/>
        <v>-15.668722732059576</v>
      </c>
      <c r="CI1167" s="61">
        <f t="shared" si="1344"/>
        <v>-3.7604934556942982</v>
      </c>
      <c r="CJ1167" s="61"/>
      <c r="CK1167" s="61">
        <f t="shared" si="1356"/>
        <v>0</v>
      </c>
      <c r="CL1167" s="61">
        <f t="shared" si="1356"/>
        <v>0</v>
      </c>
      <c r="CM1167" s="61">
        <f t="shared" si="1356"/>
        <v>0</v>
      </c>
      <c r="CN1167" s="61">
        <f t="shared" si="1356"/>
        <v>0</v>
      </c>
      <c r="CO1167" s="61">
        <f t="shared" si="1356"/>
        <v>0</v>
      </c>
      <c r="CP1167" s="61">
        <f t="shared" si="1329"/>
        <v>-16.989619377162629</v>
      </c>
      <c r="CQ1167" s="61">
        <f t="shared" si="1329"/>
        <v>-16.989619377162629</v>
      </c>
      <c r="CR1167" s="61">
        <f t="shared" si="1329"/>
        <v>-16.989619377162629</v>
      </c>
      <c r="CS1167" s="61">
        <f t="shared" si="1345"/>
        <v>-4.0775086505190314</v>
      </c>
      <c r="CT1167" s="61">
        <f t="shared" si="1348"/>
        <v>-27.103200000000005</v>
      </c>
      <c r="CU1167" s="6"/>
      <c r="CV1167" s="61">
        <f t="shared" si="1307"/>
        <v>0</v>
      </c>
      <c r="CW1167" s="61">
        <f t="shared" si="1308"/>
        <v>0</v>
      </c>
      <c r="CX1167" s="61"/>
      <c r="CY1167" s="61">
        <f t="shared" si="1311"/>
        <v>0</v>
      </c>
      <c r="CZ1167" s="61">
        <f t="shared" si="1309"/>
        <v>0</v>
      </c>
      <c r="DA1167" s="61">
        <f t="shared" si="1310"/>
        <v>0</v>
      </c>
      <c r="DB1167" s="2" t="s">
        <v>85</v>
      </c>
      <c r="DC1167" s="2" t="s">
        <v>85</v>
      </c>
      <c r="DD1167" s="2" t="s">
        <v>142</v>
      </c>
      <c r="DE1167" s="2" t="s">
        <v>257</v>
      </c>
      <c r="DF1167" s="3" t="s">
        <v>86</v>
      </c>
      <c r="DG1167" s="62">
        <v>42929</v>
      </c>
      <c r="EC1167" s="60"/>
      <c r="ED1167" s="60"/>
      <c r="EE1167" s="60"/>
      <c r="EF1167" s="60"/>
      <c r="EH1167" s="60"/>
      <c r="EI1167" s="60">
        <f t="shared" si="1379"/>
        <v>0</v>
      </c>
      <c r="EJ1167" s="60">
        <f t="shared" si="1380"/>
        <v>0</v>
      </c>
    </row>
    <row r="1168" spans="2:140" ht="12.75" hidden="1" customHeight="1">
      <c r="B1168" s="1" t="s">
        <v>1898</v>
      </c>
      <c r="C1168" s="2" t="s">
        <v>1899</v>
      </c>
      <c r="D1168" s="1" t="s">
        <v>1900</v>
      </c>
      <c r="E1168" s="1" t="s">
        <v>347</v>
      </c>
      <c r="F1168" s="2" t="s">
        <v>348</v>
      </c>
      <c r="G1168" s="118" t="s">
        <v>987</v>
      </c>
      <c r="J1168" s="1" t="s">
        <v>352</v>
      </c>
      <c r="K1168" s="1" t="s">
        <v>1901</v>
      </c>
      <c r="L1168" s="1" t="s">
        <v>111</v>
      </c>
      <c r="M1168" s="90" t="str">
        <f t="shared" si="1367"/>
        <v>JD8C -3D071 -BA</v>
      </c>
      <c r="O1168" s="89">
        <v>1</v>
      </c>
      <c r="P1168" s="89">
        <v>1</v>
      </c>
      <c r="Q1168" s="89">
        <v>1</v>
      </c>
      <c r="R1168" s="89">
        <v>1</v>
      </c>
      <c r="S1168" s="89">
        <v>1</v>
      </c>
      <c r="T1168" s="89">
        <v>1</v>
      </c>
      <c r="U1168" s="89">
        <v>1</v>
      </c>
      <c r="V1168" s="89">
        <v>1</v>
      </c>
      <c r="W1168" s="64">
        <f t="shared" si="1357"/>
        <v>1</v>
      </c>
      <c r="Y1168" s="63">
        <f>-1399.09-17.47-9.59</f>
        <v>-1426.1499999999999</v>
      </c>
      <c r="Z1168" s="63">
        <v>-15</v>
      </c>
      <c r="AA1168" s="63">
        <v>0</v>
      </c>
      <c r="AB1168" s="63">
        <v>-1.72</v>
      </c>
      <c r="AD1168" s="63">
        <f t="shared" si="1374"/>
        <v>-1442.87</v>
      </c>
      <c r="AE1168" s="2" t="s">
        <v>91</v>
      </c>
      <c r="AG1168" s="67">
        <v>0</v>
      </c>
      <c r="AH1168" s="67">
        <v>0</v>
      </c>
      <c r="AJ1168" s="67">
        <v>-988057</v>
      </c>
      <c r="AK1168" s="67">
        <v>0</v>
      </c>
      <c r="AM1168" s="22"/>
      <c r="AO1168" s="3" t="s">
        <v>1902</v>
      </c>
      <c r="AP1168" s="3" t="s">
        <v>1901</v>
      </c>
      <c r="AQ1168" s="3" t="s">
        <v>1903</v>
      </c>
      <c r="AR1168" s="90" t="str">
        <f>TRIM(AO1168)&amp;"-"&amp;TRIM(AP1168)&amp;"-"&amp;TRIM(AQ1168)</f>
        <v>FD8C -3D071 -AD </v>
      </c>
      <c r="AT1168" s="89">
        <v>1</v>
      </c>
      <c r="AU1168" s="89">
        <v>1</v>
      </c>
      <c r="AV1168" s="89">
        <v>1</v>
      </c>
      <c r="AW1168" s="89">
        <v>1</v>
      </c>
      <c r="AX1168" s="89">
        <v>1</v>
      </c>
      <c r="AY1168" s="89">
        <v>1</v>
      </c>
      <c r="AZ1168" s="89">
        <v>1</v>
      </c>
      <c r="BA1168" s="89">
        <v>1</v>
      </c>
      <c r="BB1168" s="64">
        <f t="shared" si="1369"/>
        <v>1</v>
      </c>
      <c r="BD1168" s="63">
        <v>-1399.09</v>
      </c>
      <c r="BE1168" s="63">
        <v>-15</v>
      </c>
      <c r="BF1168" s="2" t="s">
        <v>1904</v>
      </c>
      <c r="BG1168" s="63">
        <f>AB1168</f>
        <v>-1.72</v>
      </c>
      <c r="BH1168" s="63">
        <f>AC1168</f>
        <v>0</v>
      </c>
      <c r="BI1168" s="8">
        <f t="shared" si="1371"/>
        <v>-1415.81</v>
      </c>
      <c r="BJ1168" s="2" t="s">
        <v>91</v>
      </c>
      <c r="BL1168" s="63">
        <v>0</v>
      </c>
      <c r="BM1168" s="63">
        <v>0</v>
      </c>
      <c r="BN1168" s="63"/>
      <c r="BO1168" s="63">
        <v>0</v>
      </c>
      <c r="BP1168" s="63">
        <v>0</v>
      </c>
      <c r="BS1168" s="61">
        <f t="shared" ref="BS1168:BT1199" si="1388">Y1168-BD1168</f>
        <v>-27.059999999999945</v>
      </c>
      <c r="BT1168" s="61">
        <f t="shared" si="1388"/>
        <v>0</v>
      </c>
      <c r="BU1168" s="61">
        <f t="shared" ref="BU1168:BU1199" si="1389">SUM(AA1168)-SUM(BF1168)</f>
        <v>0</v>
      </c>
      <c r="BV1168" s="61">
        <f t="shared" ref="BV1168:BX1199" si="1390">AB1168-BG1168</f>
        <v>0</v>
      </c>
      <c r="BW1168" s="61">
        <f t="shared" si="1390"/>
        <v>0</v>
      </c>
      <c r="BX1168" s="61">
        <f t="shared" si="1390"/>
        <v>-27.059999999999945</v>
      </c>
      <c r="BY1168" s="61" t="s">
        <v>91</v>
      </c>
      <c r="CA1168" s="61">
        <f t="shared" si="1343"/>
        <v>-4.0710094779599739</v>
      </c>
      <c r="CB1168" s="61">
        <f t="shared" si="1343"/>
        <v>-4.0710094779599739</v>
      </c>
      <c r="CC1168" s="61">
        <f t="shared" si="1343"/>
        <v>-4.0710094779599739</v>
      </c>
      <c r="CD1168" s="61">
        <f t="shared" si="1343"/>
        <v>-4.0710094779599739</v>
      </c>
      <c r="CE1168" s="61">
        <f t="shared" si="1343"/>
        <v>-4.0710094779599739</v>
      </c>
      <c r="CF1168" s="61">
        <f t="shared" si="1343"/>
        <v>-4.0710094779599739</v>
      </c>
      <c r="CG1168" s="61">
        <f t="shared" si="1343"/>
        <v>-4.0710094779599739</v>
      </c>
      <c r="CH1168" s="61">
        <f t="shared" si="1342"/>
        <v>-4.0710094779599739</v>
      </c>
      <c r="CI1168" s="61">
        <f t="shared" si="1344"/>
        <v>-4.0710094779599739</v>
      </c>
      <c r="CK1168" s="61">
        <f t="shared" si="1356"/>
        <v>-4.0710094779599739</v>
      </c>
      <c r="CL1168" s="61">
        <f t="shared" si="1356"/>
        <v>-4.0710094779599739</v>
      </c>
      <c r="CM1168" s="61">
        <f t="shared" si="1356"/>
        <v>-4.0710094779599739</v>
      </c>
      <c r="CN1168" s="61">
        <f t="shared" si="1356"/>
        <v>-4.0710094779599739</v>
      </c>
      <c r="CO1168" s="61">
        <f t="shared" si="1356"/>
        <v>-4.0710094779599739</v>
      </c>
      <c r="CP1168" s="61">
        <f t="shared" si="1329"/>
        <v>-4.0710094779599739</v>
      </c>
      <c r="CQ1168" s="61">
        <f t="shared" si="1329"/>
        <v>-4.0710094779599739</v>
      </c>
      <c r="CR1168" s="61">
        <f t="shared" si="1329"/>
        <v>-4.0710094779599739</v>
      </c>
      <c r="CS1168" s="61">
        <f t="shared" si="1345"/>
        <v>-4.0710094779599739</v>
      </c>
      <c r="CT1168" s="61">
        <f t="shared" si="1348"/>
        <v>-27.059999999999949</v>
      </c>
      <c r="CU1168" s="61"/>
      <c r="CV1168" s="61">
        <f t="shared" si="1307"/>
        <v>0</v>
      </c>
      <c r="CW1168" s="61">
        <f t="shared" si="1308"/>
        <v>0</v>
      </c>
      <c r="CY1168" s="61">
        <f t="shared" si="1311"/>
        <v>-988057</v>
      </c>
      <c r="CZ1168" s="61">
        <f t="shared" si="1309"/>
        <v>0</v>
      </c>
      <c r="DA1168" s="61">
        <f t="shared" si="1310"/>
        <v>0</v>
      </c>
      <c r="DB1168" s="2" t="s">
        <v>85</v>
      </c>
      <c r="DC1168" s="2" t="s">
        <v>86</v>
      </c>
      <c r="DD1168" s="2" t="s">
        <v>142</v>
      </c>
      <c r="DE1168" s="2" t="s">
        <v>257</v>
      </c>
      <c r="DF1168" s="3" t="s">
        <v>86</v>
      </c>
      <c r="DG1168" s="62">
        <v>42929</v>
      </c>
      <c r="EC1168" s="60"/>
      <c r="ED1168" s="60"/>
      <c r="EE1168" s="60"/>
      <c r="EF1168" s="60"/>
    </row>
    <row r="1169" spans="2:140" ht="12.75" hidden="1" customHeight="1">
      <c r="B1169" s="1" t="s">
        <v>1905</v>
      </c>
      <c r="C1169" s="2" t="s">
        <v>1899</v>
      </c>
      <c r="D1169" s="1" t="s">
        <v>1900</v>
      </c>
      <c r="E1169" s="1" t="s">
        <v>347</v>
      </c>
      <c r="F1169" s="2" t="s">
        <v>348</v>
      </c>
      <c r="G1169" s="118" t="s">
        <v>987</v>
      </c>
      <c r="J1169" s="1" t="s">
        <v>352</v>
      </c>
      <c r="K1169" s="1" t="s">
        <v>1901</v>
      </c>
      <c r="L1169" s="1" t="s">
        <v>120</v>
      </c>
      <c r="M1169" s="90" t="str">
        <f t="shared" si="1367"/>
        <v>JD8C -3D071 -BB</v>
      </c>
      <c r="O1169" s="89">
        <v>1</v>
      </c>
      <c r="P1169" s="89">
        <v>1</v>
      </c>
      <c r="Q1169" s="89">
        <v>1</v>
      </c>
      <c r="R1169" s="89">
        <v>1</v>
      </c>
      <c r="S1169" s="89">
        <v>1</v>
      </c>
      <c r="T1169" s="89">
        <v>1</v>
      </c>
      <c r="U1169" s="89">
        <v>1</v>
      </c>
      <c r="V1169" s="89">
        <v>1</v>
      </c>
      <c r="W1169" s="64">
        <f t="shared" si="1357"/>
        <v>1</v>
      </c>
      <c r="Y1169" s="63">
        <f>-1399.09-17.47-9.59+4.45</f>
        <v>-1421.6999999999998</v>
      </c>
      <c r="Z1169" s="63">
        <v>-15</v>
      </c>
      <c r="AA1169" s="63">
        <v>0</v>
      </c>
      <c r="AB1169" s="63">
        <v>-1.72</v>
      </c>
      <c r="AD1169" s="63">
        <f t="shared" ref="AD1169" si="1391">SUM(Y1169:AC1169)</f>
        <v>-1438.4199999999998</v>
      </c>
      <c r="AE1169" s="2" t="s">
        <v>91</v>
      </c>
      <c r="AG1169" s="67">
        <v>0</v>
      </c>
      <c r="AH1169" s="67">
        <v>0</v>
      </c>
      <c r="AJ1169" s="67">
        <v>-988057</v>
      </c>
      <c r="AK1169" s="67">
        <v>0</v>
      </c>
      <c r="AM1169" s="22"/>
      <c r="AO1169" s="3" t="s">
        <v>352</v>
      </c>
      <c r="AP1169" s="3" t="s">
        <v>1901</v>
      </c>
      <c r="AQ1169" s="3" t="s">
        <v>111</v>
      </c>
      <c r="AR1169" s="90" t="str">
        <f t="shared" ref="AR1169" si="1392">TRIM(AO1169)&amp;"-"&amp;TRIM(AP1169)&amp;"-"&amp;TRIM(AQ1169)</f>
        <v>JD8C -3D071 -BA</v>
      </c>
      <c r="AT1169" s="89">
        <v>1</v>
      </c>
      <c r="AU1169" s="89">
        <v>1</v>
      </c>
      <c r="AV1169" s="89">
        <v>1</v>
      </c>
      <c r="AW1169" s="89">
        <v>1</v>
      </c>
      <c r="AX1169" s="89">
        <v>1</v>
      </c>
      <c r="AY1169" s="89">
        <v>1</v>
      </c>
      <c r="AZ1169" s="89">
        <v>1</v>
      </c>
      <c r="BA1169" s="89">
        <v>1</v>
      </c>
      <c r="BB1169" s="64">
        <f t="shared" si="1369"/>
        <v>1</v>
      </c>
      <c r="BD1169" s="63">
        <f>-1399.09-17.47-9.59</f>
        <v>-1426.1499999999999</v>
      </c>
      <c r="BE1169" s="63">
        <v>-15</v>
      </c>
      <c r="BF1169" s="2">
        <v>0</v>
      </c>
      <c r="BG1169" s="63">
        <v>-1.72</v>
      </c>
      <c r="BH1169" s="63"/>
      <c r="BI1169" s="8">
        <f t="shared" si="1371"/>
        <v>-1442.87</v>
      </c>
      <c r="BJ1169" s="2" t="s">
        <v>91</v>
      </c>
      <c r="BL1169" s="63">
        <v>0</v>
      </c>
      <c r="BM1169" s="63">
        <v>0</v>
      </c>
      <c r="BN1169" s="63"/>
      <c r="BO1169" s="63">
        <v>-988057</v>
      </c>
      <c r="BP1169" s="63">
        <v>0</v>
      </c>
      <c r="BS1169" s="61">
        <f t="shared" si="1388"/>
        <v>4.4500000000000455</v>
      </c>
      <c r="BT1169" s="61">
        <f t="shared" si="1388"/>
        <v>0</v>
      </c>
      <c r="BU1169" s="61">
        <f t="shared" si="1389"/>
        <v>0</v>
      </c>
      <c r="BV1169" s="61">
        <f t="shared" si="1390"/>
        <v>0</v>
      </c>
      <c r="BW1169" s="61">
        <f t="shared" si="1390"/>
        <v>0</v>
      </c>
      <c r="BX1169" s="61">
        <f t="shared" si="1390"/>
        <v>4.4500000000000455</v>
      </c>
      <c r="BY1169" s="61" t="s">
        <v>91</v>
      </c>
      <c r="CA1169" s="61">
        <f t="shared" si="1343"/>
        <v>0.66947495110576882</v>
      </c>
      <c r="CB1169" s="61">
        <f t="shared" si="1343"/>
        <v>0.66947495110576882</v>
      </c>
      <c r="CC1169" s="61">
        <f t="shared" si="1343"/>
        <v>0.66947495110576882</v>
      </c>
      <c r="CD1169" s="61">
        <f t="shared" si="1343"/>
        <v>0.66947495110576882</v>
      </c>
      <c r="CE1169" s="61">
        <f t="shared" si="1343"/>
        <v>0.66947495110576882</v>
      </c>
      <c r="CF1169" s="61">
        <f t="shared" si="1343"/>
        <v>0.66947495110576882</v>
      </c>
      <c r="CG1169" s="61">
        <f t="shared" si="1343"/>
        <v>0.66947495110576882</v>
      </c>
      <c r="CH1169" s="61">
        <f t="shared" si="1342"/>
        <v>0.66947495110576882</v>
      </c>
      <c r="CI1169" s="61">
        <f t="shared" si="1344"/>
        <v>0.66947495110576882</v>
      </c>
      <c r="CK1169" s="61">
        <f t="shared" si="1356"/>
        <v>0.66947495110576882</v>
      </c>
      <c r="CL1169" s="61">
        <f t="shared" si="1356"/>
        <v>0.66947495110576882</v>
      </c>
      <c r="CM1169" s="61">
        <f t="shared" si="1356"/>
        <v>0.66947495110576882</v>
      </c>
      <c r="CN1169" s="61">
        <f t="shared" si="1356"/>
        <v>0.66947495110576882</v>
      </c>
      <c r="CO1169" s="61">
        <f t="shared" si="1356"/>
        <v>0.66947495110576882</v>
      </c>
      <c r="CP1169" s="61">
        <f t="shared" si="1329"/>
        <v>0.66947495110576882</v>
      </c>
      <c r="CQ1169" s="61">
        <f t="shared" si="1329"/>
        <v>0.66947495110576882</v>
      </c>
      <c r="CR1169" s="61">
        <f t="shared" si="1329"/>
        <v>0.66947495110576882</v>
      </c>
      <c r="CS1169" s="61">
        <f t="shared" si="1345"/>
        <v>0.66947495110576882</v>
      </c>
      <c r="CT1169" s="61">
        <f t="shared" si="1348"/>
        <v>4.4500000000000455</v>
      </c>
      <c r="CU1169" s="61"/>
      <c r="CV1169" s="61">
        <f t="shared" ref="CV1169" si="1393">SUM(AG1169)-SUM(BL1169)</f>
        <v>0</v>
      </c>
      <c r="CW1169" s="61">
        <f t="shared" ref="CW1169" si="1394">SUM(AH1169)-SUM(BM1169)</f>
        <v>0</v>
      </c>
      <c r="CY1169" s="61">
        <f t="shared" ref="CY1169:DA1169" si="1395">SUM(AJ1169)-SUM(BO1169)</f>
        <v>0</v>
      </c>
      <c r="CZ1169" s="61">
        <f t="shared" si="1395"/>
        <v>0</v>
      </c>
      <c r="DA1169" s="61">
        <f t="shared" si="1395"/>
        <v>0</v>
      </c>
      <c r="DB1169" s="2" t="s">
        <v>86</v>
      </c>
      <c r="DC1169" s="2" t="s">
        <v>85</v>
      </c>
      <c r="DD1169" s="2" t="s">
        <v>142</v>
      </c>
      <c r="DE1169" s="2" t="s">
        <v>106</v>
      </c>
      <c r="DF1169" s="3" t="s">
        <v>86</v>
      </c>
      <c r="DG1169" s="62">
        <v>43172</v>
      </c>
      <c r="EC1169" s="60" t="str">
        <f>VLOOKUP($M1169,[1]Detail!$M:$BO,1,0)</f>
        <v>JD8C -3D071 -BB</v>
      </c>
      <c r="ED1169" s="60">
        <f>VLOOKUP($M1169,[1]Detail!$M:$BO,22,0)</f>
        <v>-1438.4199999999998</v>
      </c>
      <c r="EE1169" s="60">
        <f>VLOOKUP($M1169,[1]Detail!$M:$BO,42,0)</f>
        <v>0</v>
      </c>
      <c r="EF1169" s="60">
        <f>VLOOKUP($M1169,[1]Detail!$M:$BO,45,0)</f>
        <v>0</v>
      </c>
      <c r="EH1169" s="60">
        <f>ED1169-AD1169</f>
        <v>0</v>
      </c>
      <c r="EI1169" s="60">
        <f>EE1169-AG1169</f>
        <v>0</v>
      </c>
      <c r="EJ1169" s="60">
        <f>EF1169-AJ1169</f>
        <v>988057</v>
      </c>
    </row>
    <row r="1170" spans="2:140" ht="12.75" hidden="1" customHeight="1">
      <c r="B1170" s="69" t="s">
        <v>1906</v>
      </c>
      <c r="C1170" s="22" t="s">
        <v>1907</v>
      </c>
      <c r="D1170" s="22" t="s">
        <v>1908</v>
      </c>
      <c r="E1170" s="1" t="s">
        <v>347</v>
      </c>
      <c r="F1170" s="2" t="s">
        <v>348</v>
      </c>
      <c r="G1170" s="118" t="s">
        <v>987</v>
      </c>
      <c r="J1170" s="3" t="s">
        <v>1909</v>
      </c>
      <c r="K1170" s="1" t="s">
        <v>1910</v>
      </c>
      <c r="L1170" s="3" t="s">
        <v>1593</v>
      </c>
      <c r="M1170" s="90" t="str">
        <f t="shared" si="1367"/>
        <v>EV61-2B195-GA </v>
      </c>
      <c r="N1170" s="2"/>
      <c r="O1170" s="89">
        <v>0</v>
      </c>
      <c r="P1170" s="89">
        <v>0</v>
      </c>
      <c r="Q1170" s="89">
        <v>0</v>
      </c>
      <c r="R1170" s="89">
        <v>0</v>
      </c>
      <c r="S1170" s="89">
        <v>0</v>
      </c>
      <c r="T1170" s="89">
        <v>1</v>
      </c>
      <c r="U1170" s="89">
        <v>0</v>
      </c>
      <c r="V1170" s="89">
        <v>1</v>
      </c>
      <c r="W1170" s="64">
        <f t="shared" si="1357"/>
        <v>0.19</v>
      </c>
      <c r="Y1170" s="63">
        <v>-221.07</v>
      </c>
      <c r="Z1170" s="63">
        <v>-5.4</v>
      </c>
      <c r="AA1170" s="63">
        <v>0</v>
      </c>
      <c r="AB1170" s="63">
        <v>0</v>
      </c>
      <c r="AC1170" s="63">
        <v>0</v>
      </c>
      <c r="AD1170" s="8">
        <f t="shared" ref="AD1170:AD1225" si="1396">SUM(Y1170:AC1170)</f>
        <v>-226.47</v>
      </c>
      <c r="AE1170" s="2" t="s">
        <v>91</v>
      </c>
      <c r="AG1170" s="63">
        <v>0</v>
      </c>
      <c r="AH1170" s="63">
        <v>0</v>
      </c>
      <c r="AJ1170" s="63">
        <v>0</v>
      </c>
      <c r="AK1170" s="63">
        <v>0</v>
      </c>
      <c r="AM1170" s="22"/>
      <c r="AO1170" s="3" t="s">
        <v>1909</v>
      </c>
      <c r="AP1170" s="3" t="s">
        <v>1910</v>
      </c>
      <c r="AQ1170" s="3" t="s">
        <v>1593</v>
      </c>
      <c r="AR1170" s="90" t="str">
        <f>TRIM(AO1170)&amp;"-"&amp;TRIM(AP1170)&amp;"-"&amp;TRIM(AQ1170)</f>
        <v>EV61-2B195-GA </v>
      </c>
      <c r="AT1170" s="89">
        <v>0</v>
      </c>
      <c r="AU1170" s="89">
        <v>0</v>
      </c>
      <c r="AV1170" s="89">
        <v>0</v>
      </c>
      <c r="AW1170" s="89">
        <v>0</v>
      </c>
      <c r="AX1170" s="89">
        <v>0</v>
      </c>
      <c r="AY1170" s="89">
        <v>1</v>
      </c>
      <c r="AZ1170" s="89">
        <v>0</v>
      </c>
      <c r="BA1170" s="89">
        <v>1</v>
      </c>
      <c r="BB1170" s="64">
        <f t="shared" si="1369"/>
        <v>0.19</v>
      </c>
      <c r="BD1170" s="63">
        <v>-221.07</v>
      </c>
      <c r="BE1170" s="63">
        <v>-5.4</v>
      </c>
      <c r="BF1170" s="63">
        <v>0</v>
      </c>
      <c r="BG1170" s="63">
        <v>0</v>
      </c>
      <c r="BH1170" s="63">
        <v>0</v>
      </c>
      <c r="BI1170" s="8">
        <f t="shared" si="1371"/>
        <v>-226.47</v>
      </c>
      <c r="BJ1170" s="2" t="s">
        <v>91</v>
      </c>
      <c r="BL1170" s="63">
        <v>0</v>
      </c>
      <c r="BM1170" s="63">
        <v>0</v>
      </c>
      <c r="BN1170" s="63"/>
      <c r="BO1170" s="63">
        <v>0</v>
      </c>
      <c r="BP1170" s="63">
        <v>0</v>
      </c>
      <c r="BS1170" s="61">
        <f t="shared" si="1388"/>
        <v>0</v>
      </c>
      <c r="BT1170" s="61">
        <f t="shared" si="1388"/>
        <v>0</v>
      </c>
      <c r="BU1170" s="61">
        <f t="shared" si="1389"/>
        <v>0</v>
      </c>
      <c r="BV1170" s="61">
        <f t="shared" si="1390"/>
        <v>0</v>
      </c>
      <c r="BW1170" s="61">
        <f t="shared" si="1390"/>
        <v>0</v>
      </c>
      <c r="BX1170" s="61">
        <f t="shared" si="1390"/>
        <v>0</v>
      </c>
      <c r="BY1170" s="61" t="s">
        <v>91</v>
      </c>
      <c r="CA1170" s="61">
        <f t="shared" ref="CA1170:CH1201" si="1397">($Y1170*O1170-AT1170*$BD1170)/$C$2</f>
        <v>0</v>
      </c>
      <c r="CB1170" s="61">
        <f t="shared" si="1397"/>
        <v>0</v>
      </c>
      <c r="CC1170" s="61">
        <f t="shared" si="1397"/>
        <v>0</v>
      </c>
      <c r="CD1170" s="61">
        <f t="shared" si="1397"/>
        <v>0</v>
      </c>
      <c r="CE1170" s="61">
        <f t="shared" si="1397"/>
        <v>0</v>
      </c>
      <c r="CF1170" s="61">
        <f t="shared" si="1397"/>
        <v>0</v>
      </c>
      <c r="CG1170" s="61">
        <f t="shared" si="1397"/>
        <v>0</v>
      </c>
      <c r="CH1170" s="61">
        <f t="shared" si="1342"/>
        <v>0</v>
      </c>
      <c r="CI1170" s="61">
        <f t="shared" si="1344"/>
        <v>0</v>
      </c>
      <c r="CK1170" s="61">
        <f t="shared" si="1356"/>
        <v>0</v>
      </c>
      <c r="CL1170" s="61">
        <f t="shared" si="1356"/>
        <v>0</v>
      </c>
      <c r="CM1170" s="61">
        <f t="shared" si="1356"/>
        <v>0</v>
      </c>
      <c r="CN1170" s="61">
        <f t="shared" si="1356"/>
        <v>0</v>
      </c>
      <c r="CO1170" s="61">
        <f t="shared" si="1356"/>
        <v>0</v>
      </c>
      <c r="CP1170" s="61">
        <f t="shared" si="1329"/>
        <v>0</v>
      </c>
      <c r="CQ1170" s="61">
        <f t="shared" si="1329"/>
        <v>0</v>
      </c>
      <c r="CR1170" s="61">
        <f t="shared" si="1329"/>
        <v>0</v>
      </c>
      <c r="CS1170" s="61">
        <f t="shared" si="1345"/>
        <v>0</v>
      </c>
      <c r="CT1170" s="63">
        <f t="shared" si="1348"/>
        <v>0</v>
      </c>
      <c r="CU1170" s="61"/>
      <c r="CV1170" s="61">
        <f t="shared" ref="CV1170:CV1202" si="1398">SUM(AG1170)-SUM(BL1170)</f>
        <v>0</v>
      </c>
      <c r="CW1170" s="61">
        <f t="shared" ref="CW1170:CW1202" si="1399">SUM(AH1170)-SUM(BM1170)</f>
        <v>0</v>
      </c>
      <c r="CY1170" s="61">
        <f t="shared" si="1311"/>
        <v>0</v>
      </c>
      <c r="CZ1170" s="61">
        <f t="shared" si="1309"/>
        <v>0</v>
      </c>
      <c r="DA1170" s="61">
        <f t="shared" si="1310"/>
        <v>0</v>
      </c>
      <c r="DB1170" s="2" t="s">
        <v>85</v>
      </c>
      <c r="DC1170" s="2" t="s">
        <v>86</v>
      </c>
      <c r="DD1170" s="2" t="s">
        <v>142</v>
      </c>
      <c r="DE1170" s="2" t="s">
        <v>257</v>
      </c>
      <c r="DF1170" s="3" t="s">
        <v>86</v>
      </c>
      <c r="DG1170" s="62">
        <v>42970</v>
      </c>
      <c r="EC1170" s="60"/>
      <c r="ED1170" s="60"/>
      <c r="EE1170" s="60"/>
      <c r="EF1170" s="60"/>
    </row>
    <row r="1171" spans="2:140" ht="12.75" hidden="1" customHeight="1">
      <c r="B1171" s="69" t="s">
        <v>1911</v>
      </c>
      <c r="C1171" s="22" t="s">
        <v>1907</v>
      </c>
      <c r="D1171" s="22" t="s">
        <v>1908</v>
      </c>
      <c r="E1171" s="1" t="s">
        <v>347</v>
      </c>
      <c r="F1171" s="2" t="s">
        <v>348</v>
      </c>
      <c r="G1171" s="118" t="s">
        <v>987</v>
      </c>
      <c r="J1171" s="3" t="s">
        <v>98</v>
      </c>
      <c r="K1171" s="1" t="s">
        <v>1910</v>
      </c>
      <c r="L1171" s="3" t="s">
        <v>111</v>
      </c>
      <c r="M1171" s="90" t="str">
        <f t="shared" si="1367"/>
        <v>JD8C-2B195-BA</v>
      </c>
      <c r="O1171" s="89">
        <v>0</v>
      </c>
      <c r="P1171" s="89">
        <v>1</v>
      </c>
      <c r="Q1171" s="89">
        <v>0</v>
      </c>
      <c r="R1171" s="89">
        <v>1</v>
      </c>
      <c r="S1171" s="89">
        <v>0</v>
      </c>
      <c r="T1171" s="89">
        <v>0</v>
      </c>
      <c r="U1171" s="89">
        <v>0</v>
      </c>
      <c r="V1171" s="89">
        <v>0</v>
      </c>
      <c r="W1171" s="64">
        <f t="shared" si="1357"/>
        <v>0.39</v>
      </c>
      <c r="Y1171" s="63">
        <v>-327.26</v>
      </c>
      <c r="Z1171" s="63">
        <v>-5.4</v>
      </c>
      <c r="AA1171" s="63">
        <v>0</v>
      </c>
      <c r="AB1171" s="63">
        <v>0</v>
      </c>
      <c r="AC1171" s="63">
        <v>0</v>
      </c>
      <c r="AD1171" s="8">
        <f t="shared" si="1396"/>
        <v>-332.65999999999997</v>
      </c>
      <c r="AE1171" s="2" t="s">
        <v>91</v>
      </c>
      <c r="AG1171" s="61">
        <v>-580000</v>
      </c>
      <c r="AH1171" s="61">
        <v>-580000</v>
      </c>
      <c r="AJ1171" s="63">
        <v>0</v>
      </c>
      <c r="AK1171" s="63">
        <v>0</v>
      </c>
      <c r="AM1171" s="22"/>
      <c r="AO1171" s="3" t="s">
        <v>1909</v>
      </c>
      <c r="AP1171" s="3" t="s">
        <v>1910</v>
      </c>
      <c r="AQ1171" s="3" t="s">
        <v>1593</v>
      </c>
      <c r="AR1171" s="90" t="str">
        <f>TRIM(AO1171)&amp;"-"&amp;TRIM(AP1171)&amp;"-"&amp;TRIM(AQ1171)</f>
        <v>EV61-2B195-GA </v>
      </c>
      <c r="AT1171" s="89">
        <v>0</v>
      </c>
      <c r="AU1171" s="89">
        <v>1</v>
      </c>
      <c r="AV1171" s="89">
        <v>0</v>
      </c>
      <c r="AW1171" s="89">
        <v>1</v>
      </c>
      <c r="AX1171" s="89">
        <v>0</v>
      </c>
      <c r="AY1171" s="89">
        <v>0</v>
      </c>
      <c r="AZ1171" s="89">
        <v>0</v>
      </c>
      <c r="BA1171" s="89">
        <v>0</v>
      </c>
      <c r="BB1171" s="64">
        <f t="shared" si="1369"/>
        <v>0.39</v>
      </c>
      <c r="BD1171" s="63">
        <v>-221.07</v>
      </c>
      <c r="BE1171" s="63">
        <v>-5.4</v>
      </c>
      <c r="BF1171" s="63">
        <v>0</v>
      </c>
      <c r="BG1171" s="63">
        <v>0</v>
      </c>
      <c r="BH1171" s="63">
        <v>0</v>
      </c>
      <c r="BI1171" s="8">
        <f t="shared" si="1371"/>
        <v>-226.47</v>
      </c>
      <c r="BJ1171" s="2" t="s">
        <v>91</v>
      </c>
      <c r="BL1171" s="63">
        <v>0</v>
      </c>
      <c r="BM1171" s="63">
        <v>0</v>
      </c>
      <c r="BN1171" s="63"/>
      <c r="BO1171" s="63">
        <v>0</v>
      </c>
      <c r="BP1171" s="63">
        <v>0</v>
      </c>
      <c r="BS1171" s="61">
        <f t="shared" si="1388"/>
        <v>-106.19</v>
      </c>
      <c r="BT1171" s="61">
        <f t="shared" si="1388"/>
        <v>0</v>
      </c>
      <c r="BU1171" s="61">
        <f t="shared" si="1389"/>
        <v>0</v>
      </c>
      <c r="BV1171" s="61">
        <f t="shared" si="1390"/>
        <v>0</v>
      </c>
      <c r="BW1171" s="61">
        <f t="shared" si="1390"/>
        <v>0</v>
      </c>
      <c r="BX1171" s="63">
        <f t="shared" si="1390"/>
        <v>-106.18999999999997</v>
      </c>
      <c r="BY1171" s="61" t="s">
        <v>91</v>
      </c>
      <c r="CA1171" s="61">
        <f t="shared" si="1397"/>
        <v>0</v>
      </c>
      <c r="CB1171" s="61">
        <f t="shared" si="1397"/>
        <v>-15.975628102903565</v>
      </c>
      <c r="CC1171" s="61">
        <f t="shared" si="1397"/>
        <v>0</v>
      </c>
      <c r="CD1171" s="61">
        <f t="shared" si="1397"/>
        <v>-15.975628102903565</v>
      </c>
      <c r="CE1171" s="61">
        <f t="shared" si="1397"/>
        <v>0</v>
      </c>
      <c r="CF1171" s="61">
        <f t="shared" si="1397"/>
        <v>0</v>
      </c>
      <c r="CG1171" s="61">
        <f t="shared" si="1397"/>
        <v>0</v>
      </c>
      <c r="CH1171" s="61">
        <f t="shared" si="1342"/>
        <v>0</v>
      </c>
      <c r="CI1171" s="61">
        <f t="shared" si="1344"/>
        <v>-6.2304949601323907</v>
      </c>
      <c r="CK1171" s="61">
        <f t="shared" si="1356"/>
        <v>0</v>
      </c>
      <c r="CL1171" s="61">
        <f t="shared" si="1356"/>
        <v>-15.97562810290356</v>
      </c>
      <c r="CM1171" s="61">
        <f t="shared" si="1356"/>
        <v>0</v>
      </c>
      <c r="CN1171" s="61">
        <f t="shared" si="1356"/>
        <v>-15.97562810290356</v>
      </c>
      <c r="CO1171" s="61">
        <f t="shared" si="1356"/>
        <v>0</v>
      </c>
      <c r="CP1171" s="61">
        <f t="shared" si="1329"/>
        <v>0</v>
      </c>
      <c r="CQ1171" s="61">
        <f t="shared" si="1329"/>
        <v>0</v>
      </c>
      <c r="CR1171" s="61">
        <f t="shared" si="1329"/>
        <v>0</v>
      </c>
      <c r="CS1171" s="61">
        <f t="shared" si="1345"/>
        <v>-6.230494960132388</v>
      </c>
      <c r="CT1171" s="63">
        <f t="shared" si="1348"/>
        <v>-41.414099999999983</v>
      </c>
      <c r="CU1171" s="61"/>
      <c r="CV1171" s="61">
        <f t="shared" si="1398"/>
        <v>-580000</v>
      </c>
      <c r="CW1171" s="61">
        <f t="shared" si="1399"/>
        <v>-580000</v>
      </c>
      <c r="CY1171" s="61">
        <f t="shared" si="1311"/>
        <v>0</v>
      </c>
      <c r="CZ1171" s="61">
        <f t="shared" si="1309"/>
        <v>0</v>
      </c>
      <c r="DA1171" s="61">
        <f t="shared" si="1310"/>
        <v>0</v>
      </c>
      <c r="DB1171" s="2" t="s">
        <v>85</v>
      </c>
      <c r="DC1171" s="2" t="s">
        <v>86</v>
      </c>
      <c r="DD1171" s="2" t="s">
        <v>142</v>
      </c>
      <c r="DE1171" s="2" t="s">
        <v>257</v>
      </c>
      <c r="DF1171" s="3" t="s">
        <v>86</v>
      </c>
      <c r="DG1171" s="62">
        <v>42970</v>
      </c>
      <c r="EC1171" s="60"/>
      <c r="ED1171" s="60"/>
      <c r="EE1171" s="60"/>
      <c r="EF1171" s="60"/>
    </row>
    <row r="1172" spans="2:140" ht="12.75" hidden="1" customHeight="1">
      <c r="B1172" s="69" t="s">
        <v>1911</v>
      </c>
      <c r="C1172" s="22" t="s">
        <v>1907</v>
      </c>
      <c r="D1172" s="22" t="s">
        <v>1908</v>
      </c>
      <c r="E1172" s="1" t="s">
        <v>347</v>
      </c>
      <c r="F1172" s="2" t="s">
        <v>348</v>
      </c>
      <c r="G1172" s="118" t="s">
        <v>987</v>
      </c>
      <c r="J1172" s="3" t="s">
        <v>98</v>
      </c>
      <c r="K1172" s="1" t="s">
        <v>1910</v>
      </c>
      <c r="L1172" s="3" t="s">
        <v>100</v>
      </c>
      <c r="M1172" s="90" t="str">
        <f t="shared" si="1367"/>
        <v>JD8C-2B195-AA</v>
      </c>
      <c r="O1172" s="89">
        <v>1</v>
      </c>
      <c r="P1172" s="89">
        <v>0</v>
      </c>
      <c r="Q1172" s="89">
        <v>1</v>
      </c>
      <c r="R1172" s="89">
        <v>0</v>
      </c>
      <c r="S1172" s="89">
        <v>0</v>
      </c>
      <c r="T1172" s="89">
        <v>0</v>
      </c>
      <c r="U1172" s="89">
        <v>0</v>
      </c>
      <c r="V1172" s="89">
        <v>0</v>
      </c>
      <c r="W1172" s="64">
        <f t="shared" si="1357"/>
        <v>0.28000000000000003</v>
      </c>
      <c r="Y1172" s="63">
        <v>-328.6</v>
      </c>
      <c r="Z1172" s="63">
        <v>-5.4</v>
      </c>
      <c r="AA1172" s="63">
        <v>0</v>
      </c>
      <c r="AB1172" s="63">
        <v>0</v>
      </c>
      <c r="AC1172" s="63">
        <v>0</v>
      </c>
      <c r="AD1172" s="8">
        <f t="shared" si="1396"/>
        <v>-334</v>
      </c>
      <c r="AE1172" s="2" t="s">
        <v>91</v>
      </c>
      <c r="AG1172" s="67">
        <v>0</v>
      </c>
      <c r="AH1172" s="67">
        <v>0</v>
      </c>
      <c r="AJ1172" s="67">
        <v>0</v>
      </c>
      <c r="AK1172" s="67">
        <v>0</v>
      </c>
      <c r="AM1172" s="22"/>
      <c r="AO1172" s="3" t="s">
        <v>1909</v>
      </c>
      <c r="AP1172" s="3" t="s">
        <v>1910</v>
      </c>
      <c r="AQ1172" s="3" t="s">
        <v>1912</v>
      </c>
      <c r="AR1172" s="90" t="str">
        <f>TRIM(AO1172)&amp;"-"&amp;TRIM(AP1172)&amp;"-"&amp;TRIM(AQ1172)</f>
        <v>EV61-2B195-LD</v>
      </c>
      <c r="AT1172" s="89">
        <v>1</v>
      </c>
      <c r="AU1172" s="89">
        <v>0</v>
      </c>
      <c r="AV1172" s="89">
        <v>1</v>
      </c>
      <c r="AW1172" s="89">
        <v>0</v>
      </c>
      <c r="AX1172" s="89">
        <v>0</v>
      </c>
      <c r="AY1172" s="89">
        <v>0</v>
      </c>
      <c r="AZ1172" s="89">
        <v>0</v>
      </c>
      <c r="BA1172" s="89">
        <v>0</v>
      </c>
      <c r="BB1172" s="64">
        <f t="shared" si="1369"/>
        <v>0.28000000000000003</v>
      </c>
      <c r="BD1172" s="63">
        <v>-328.6</v>
      </c>
      <c r="BE1172" s="63">
        <v>-5.4</v>
      </c>
      <c r="BF1172" s="63">
        <v>0</v>
      </c>
      <c r="BG1172" s="63">
        <v>0</v>
      </c>
      <c r="BH1172" s="63">
        <v>0</v>
      </c>
      <c r="BI1172" s="8">
        <f t="shared" si="1371"/>
        <v>-334</v>
      </c>
      <c r="BJ1172" s="2" t="s">
        <v>91</v>
      </c>
      <c r="BL1172" s="63">
        <v>0</v>
      </c>
      <c r="BM1172" s="63">
        <v>0</v>
      </c>
      <c r="BN1172" s="63"/>
      <c r="BO1172" s="63">
        <v>0</v>
      </c>
      <c r="BP1172" s="63">
        <v>0</v>
      </c>
      <c r="BS1172" s="61">
        <f t="shared" si="1388"/>
        <v>0</v>
      </c>
      <c r="BT1172" s="61">
        <f t="shared" si="1388"/>
        <v>0</v>
      </c>
      <c r="BU1172" s="61">
        <f t="shared" si="1389"/>
        <v>0</v>
      </c>
      <c r="BV1172" s="61">
        <f t="shared" si="1390"/>
        <v>0</v>
      </c>
      <c r="BW1172" s="61">
        <f t="shared" si="1390"/>
        <v>0</v>
      </c>
      <c r="BX1172" s="63">
        <f t="shared" si="1390"/>
        <v>0</v>
      </c>
      <c r="BY1172" s="61" t="s">
        <v>91</v>
      </c>
      <c r="CA1172" s="61">
        <f t="shared" si="1397"/>
        <v>0</v>
      </c>
      <c r="CB1172" s="61">
        <f t="shared" si="1397"/>
        <v>0</v>
      </c>
      <c r="CC1172" s="61">
        <f t="shared" si="1397"/>
        <v>0</v>
      </c>
      <c r="CD1172" s="61">
        <f t="shared" si="1397"/>
        <v>0</v>
      </c>
      <c r="CE1172" s="61">
        <f t="shared" si="1397"/>
        <v>0</v>
      </c>
      <c r="CF1172" s="61">
        <f t="shared" si="1397"/>
        <v>0</v>
      </c>
      <c r="CG1172" s="61">
        <f t="shared" si="1397"/>
        <v>0</v>
      </c>
      <c r="CH1172" s="61">
        <f t="shared" si="1342"/>
        <v>0</v>
      </c>
      <c r="CI1172" s="61">
        <f t="shared" si="1344"/>
        <v>0</v>
      </c>
      <c r="CK1172" s="61">
        <f t="shared" si="1356"/>
        <v>0</v>
      </c>
      <c r="CL1172" s="61">
        <f t="shared" si="1356"/>
        <v>0</v>
      </c>
      <c r="CM1172" s="61">
        <f t="shared" si="1356"/>
        <v>0</v>
      </c>
      <c r="CN1172" s="61">
        <f t="shared" si="1356"/>
        <v>0</v>
      </c>
      <c r="CO1172" s="61">
        <f t="shared" si="1356"/>
        <v>0</v>
      </c>
      <c r="CP1172" s="61">
        <f t="shared" si="1329"/>
        <v>0</v>
      </c>
      <c r="CQ1172" s="61">
        <f t="shared" si="1329"/>
        <v>0</v>
      </c>
      <c r="CR1172" s="61">
        <f t="shared" si="1329"/>
        <v>0</v>
      </c>
      <c r="CS1172" s="61">
        <f t="shared" si="1345"/>
        <v>0</v>
      </c>
      <c r="CT1172" s="63">
        <f t="shared" si="1348"/>
        <v>0</v>
      </c>
      <c r="CU1172" s="61"/>
      <c r="CV1172" s="61">
        <f t="shared" si="1398"/>
        <v>0</v>
      </c>
      <c r="CW1172" s="61">
        <f t="shared" si="1399"/>
        <v>0</v>
      </c>
      <c r="CY1172" s="61">
        <f t="shared" si="1311"/>
        <v>0</v>
      </c>
      <c r="CZ1172" s="61">
        <f t="shared" ref="CZ1172:CZ1204" si="1400">SUM(AK1172)-SUM(BP1172)</f>
        <v>0</v>
      </c>
      <c r="DA1172" s="61">
        <f t="shared" ref="DA1172:DA1204" si="1401">SUM(AL1172)-SUM(BQ1172)</f>
        <v>0</v>
      </c>
      <c r="DB1172" s="2" t="s">
        <v>85</v>
      </c>
      <c r="DC1172" s="2" t="s">
        <v>86</v>
      </c>
      <c r="DD1172" s="2" t="s">
        <v>142</v>
      </c>
      <c r="DE1172" s="2" t="s">
        <v>257</v>
      </c>
      <c r="DF1172" s="3" t="s">
        <v>86</v>
      </c>
      <c r="DG1172" s="62">
        <v>42970</v>
      </c>
      <c r="EC1172" s="60"/>
      <c r="ED1172" s="60"/>
      <c r="EE1172" s="60"/>
      <c r="EF1172" s="60"/>
    </row>
    <row r="1173" spans="2:140" ht="12.75" hidden="1" customHeight="1">
      <c r="B1173" s="69" t="s">
        <v>1911</v>
      </c>
      <c r="C1173" s="22" t="s">
        <v>1907</v>
      </c>
      <c r="D1173" s="22" t="s">
        <v>1908</v>
      </c>
      <c r="E1173" s="1" t="s">
        <v>347</v>
      </c>
      <c r="F1173" s="2" t="s">
        <v>348</v>
      </c>
      <c r="G1173" s="118" t="s">
        <v>987</v>
      </c>
      <c r="J1173" s="3" t="s">
        <v>1909</v>
      </c>
      <c r="K1173" s="1" t="s">
        <v>1910</v>
      </c>
      <c r="L1173" s="3" t="s">
        <v>1304</v>
      </c>
      <c r="M1173" s="90" t="str">
        <f t="shared" si="1367"/>
        <v>EV61-2B195-HC</v>
      </c>
      <c r="O1173" s="89">
        <v>0</v>
      </c>
      <c r="P1173" s="89">
        <v>1</v>
      </c>
      <c r="Q1173" s="89">
        <v>0</v>
      </c>
      <c r="R1173" s="89">
        <v>1</v>
      </c>
      <c r="S1173" s="89">
        <v>0</v>
      </c>
      <c r="T1173" s="89">
        <v>0</v>
      </c>
      <c r="U1173" s="89">
        <v>0</v>
      </c>
      <c r="V1173" s="89">
        <v>0</v>
      </c>
      <c r="W1173" s="64">
        <f t="shared" si="1357"/>
        <v>0.39</v>
      </c>
      <c r="Y1173" s="63">
        <v>-221.07</v>
      </c>
      <c r="Z1173" s="63">
        <v>-5.4</v>
      </c>
      <c r="AA1173" s="63">
        <v>0</v>
      </c>
      <c r="AB1173" s="63">
        <v>0</v>
      </c>
      <c r="AC1173" s="63">
        <v>0</v>
      </c>
      <c r="AD1173" s="8">
        <f t="shared" si="1396"/>
        <v>-226.47</v>
      </c>
      <c r="AE1173" s="2" t="s">
        <v>91</v>
      </c>
      <c r="AG1173" s="67">
        <v>0</v>
      </c>
      <c r="AH1173" s="67">
        <v>0</v>
      </c>
      <c r="AJ1173" s="67">
        <v>0</v>
      </c>
      <c r="AK1173" s="67">
        <v>0</v>
      </c>
      <c r="AM1173" s="22"/>
      <c r="AO1173" s="3" t="s">
        <v>1909</v>
      </c>
      <c r="AP1173" s="3" t="s">
        <v>1910</v>
      </c>
      <c r="AQ1173" s="3" t="s">
        <v>1912</v>
      </c>
      <c r="AR1173" s="90" t="str">
        <f>TRIM(AO1173)&amp;"-"&amp;TRIM(AP1173)&amp;"-"&amp;TRIM(AQ1173)</f>
        <v>EV61-2B195-LD</v>
      </c>
      <c r="AT1173" s="89">
        <v>0</v>
      </c>
      <c r="AU1173" s="89">
        <v>1</v>
      </c>
      <c r="AV1173" s="89">
        <v>0</v>
      </c>
      <c r="AW1173" s="89">
        <v>1</v>
      </c>
      <c r="AX1173" s="89">
        <v>0</v>
      </c>
      <c r="AY1173" s="89">
        <v>0</v>
      </c>
      <c r="AZ1173" s="89">
        <v>0</v>
      </c>
      <c r="BA1173" s="89">
        <v>0</v>
      </c>
      <c r="BB1173" s="64">
        <f t="shared" si="1369"/>
        <v>0.39</v>
      </c>
      <c r="BD1173" s="63">
        <v>-328.6</v>
      </c>
      <c r="BE1173" s="63">
        <v>-5.4</v>
      </c>
      <c r="BF1173" s="63">
        <v>0</v>
      </c>
      <c r="BG1173" s="63">
        <v>0</v>
      </c>
      <c r="BH1173" s="63">
        <v>0</v>
      </c>
      <c r="BI1173" s="8">
        <f t="shared" si="1371"/>
        <v>-334</v>
      </c>
      <c r="BJ1173" s="2" t="s">
        <v>91</v>
      </c>
      <c r="BL1173" s="63">
        <v>0</v>
      </c>
      <c r="BM1173" s="63">
        <v>0</v>
      </c>
      <c r="BN1173" s="63"/>
      <c r="BO1173" s="63">
        <v>0</v>
      </c>
      <c r="BP1173" s="63">
        <v>0</v>
      </c>
      <c r="BS1173" s="61">
        <f t="shared" si="1388"/>
        <v>107.53000000000003</v>
      </c>
      <c r="BT1173" s="61">
        <f t="shared" si="1388"/>
        <v>0</v>
      </c>
      <c r="BU1173" s="61">
        <f t="shared" si="1389"/>
        <v>0</v>
      </c>
      <c r="BV1173" s="61">
        <f t="shared" si="1390"/>
        <v>0</v>
      </c>
      <c r="BW1173" s="61">
        <f t="shared" si="1390"/>
        <v>0</v>
      </c>
      <c r="BX1173" s="63">
        <f t="shared" si="1390"/>
        <v>107.53</v>
      </c>
      <c r="BY1173" s="61" t="s">
        <v>91</v>
      </c>
      <c r="CA1173" s="61">
        <f t="shared" si="1397"/>
        <v>0</v>
      </c>
      <c r="CB1173" s="61">
        <f t="shared" si="1397"/>
        <v>16.177222807281485</v>
      </c>
      <c r="CC1173" s="61">
        <f t="shared" si="1397"/>
        <v>0</v>
      </c>
      <c r="CD1173" s="61">
        <f t="shared" si="1397"/>
        <v>16.177222807281485</v>
      </c>
      <c r="CE1173" s="61">
        <f t="shared" si="1397"/>
        <v>0</v>
      </c>
      <c r="CF1173" s="61">
        <f t="shared" si="1397"/>
        <v>0</v>
      </c>
      <c r="CG1173" s="61">
        <f t="shared" si="1397"/>
        <v>0</v>
      </c>
      <c r="CH1173" s="61">
        <f t="shared" si="1342"/>
        <v>0</v>
      </c>
      <c r="CI1173" s="61">
        <f t="shared" si="1344"/>
        <v>6.3091168948397796</v>
      </c>
      <c r="CK1173" s="61">
        <f t="shared" si="1356"/>
        <v>0</v>
      </c>
      <c r="CL1173" s="61">
        <f t="shared" si="1356"/>
        <v>16.177222807281481</v>
      </c>
      <c r="CM1173" s="61">
        <f t="shared" si="1356"/>
        <v>0</v>
      </c>
      <c r="CN1173" s="61">
        <f t="shared" si="1356"/>
        <v>16.177222807281481</v>
      </c>
      <c r="CO1173" s="61">
        <f t="shared" si="1356"/>
        <v>0</v>
      </c>
      <c r="CP1173" s="61">
        <f t="shared" si="1329"/>
        <v>0</v>
      </c>
      <c r="CQ1173" s="61">
        <f t="shared" si="1329"/>
        <v>0</v>
      </c>
      <c r="CR1173" s="61">
        <f t="shared" si="1329"/>
        <v>0</v>
      </c>
      <c r="CS1173" s="61">
        <f t="shared" si="1345"/>
        <v>6.3091168948397787</v>
      </c>
      <c r="CT1173" s="63">
        <f t="shared" si="1348"/>
        <v>41.936700000000009</v>
      </c>
      <c r="CU1173" s="61"/>
      <c r="CV1173" s="61">
        <f t="shared" si="1398"/>
        <v>0</v>
      </c>
      <c r="CW1173" s="61">
        <f t="shared" si="1399"/>
        <v>0</v>
      </c>
      <c r="CY1173" s="61">
        <f t="shared" ref="CY1173:CY1205" si="1402">SUM(AJ1173)-SUM(BO1173)</f>
        <v>0</v>
      </c>
      <c r="CZ1173" s="61">
        <f t="shared" si="1400"/>
        <v>0</v>
      </c>
      <c r="DA1173" s="61">
        <f t="shared" si="1401"/>
        <v>0</v>
      </c>
      <c r="DB1173" s="2" t="s">
        <v>85</v>
      </c>
      <c r="DC1173" s="2" t="s">
        <v>86</v>
      </c>
      <c r="DD1173" s="2" t="s">
        <v>142</v>
      </c>
      <c r="DE1173" s="2" t="s">
        <v>257</v>
      </c>
      <c r="DF1173" s="3" t="s">
        <v>86</v>
      </c>
      <c r="DG1173" s="62">
        <v>42970</v>
      </c>
      <c r="EC1173" s="60"/>
      <c r="ED1173" s="60"/>
      <c r="EE1173" s="60"/>
      <c r="EF1173" s="60"/>
    </row>
    <row r="1174" spans="2:140" ht="12.75" hidden="1" customHeight="1">
      <c r="B1174" s="1" t="s">
        <v>1913</v>
      </c>
      <c r="C1174" s="22" t="s">
        <v>1907</v>
      </c>
      <c r="D1174" s="22" t="s">
        <v>1908</v>
      </c>
      <c r="E1174" s="1" t="s">
        <v>347</v>
      </c>
      <c r="F1174" s="2" t="s">
        <v>348</v>
      </c>
      <c r="G1174" s="118" t="s">
        <v>987</v>
      </c>
      <c r="J1174" s="3" t="s">
        <v>1909</v>
      </c>
      <c r="K1174" s="1" t="s">
        <v>1910</v>
      </c>
      <c r="L1174" s="3" t="s">
        <v>115</v>
      </c>
      <c r="M1174" s="90" t="str">
        <f t="shared" si="1367"/>
        <v>EV61-2B195-DA</v>
      </c>
      <c r="O1174" s="89">
        <v>0</v>
      </c>
      <c r="P1174" s="89">
        <v>0</v>
      </c>
      <c r="Q1174" s="89">
        <v>0</v>
      </c>
      <c r="R1174" s="89">
        <v>0</v>
      </c>
      <c r="S1174" s="89">
        <v>0</v>
      </c>
      <c r="T1174" s="89">
        <v>1</v>
      </c>
      <c r="U1174" s="89">
        <v>0</v>
      </c>
      <c r="V1174" s="89">
        <v>1</v>
      </c>
      <c r="W1174" s="64">
        <f t="shared" si="1357"/>
        <v>0.19</v>
      </c>
      <c r="Y1174" s="63">
        <f t="shared" ref="Y1174:AC1177" si="1403">BD1174</f>
        <v>-221.07</v>
      </c>
      <c r="Z1174" s="63">
        <f t="shared" si="1403"/>
        <v>-5.4</v>
      </c>
      <c r="AA1174" s="63">
        <f t="shared" si="1403"/>
        <v>0</v>
      </c>
      <c r="AB1174" s="63">
        <f t="shared" si="1403"/>
        <v>0</v>
      </c>
      <c r="AC1174" s="63">
        <f t="shared" si="1403"/>
        <v>0</v>
      </c>
      <c r="AD1174" s="8">
        <f t="shared" si="1396"/>
        <v>-226.47</v>
      </c>
      <c r="AE1174" s="2" t="s">
        <v>91</v>
      </c>
      <c r="AG1174" s="61">
        <f t="shared" ref="AG1174:AH1215" si="1404">BL1174</f>
        <v>0</v>
      </c>
      <c r="AH1174" s="61">
        <f t="shared" si="1404"/>
        <v>0</v>
      </c>
      <c r="AI1174" s="61"/>
      <c r="AJ1174" s="61">
        <f t="shared" ref="AJ1174:AK1215" si="1405">BO1174</f>
        <v>0</v>
      </c>
      <c r="AK1174" s="61">
        <f t="shared" si="1405"/>
        <v>0</v>
      </c>
      <c r="AM1174" s="22"/>
      <c r="AO1174" s="3" t="s">
        <v>1909</v>
      </c>
      <c r="AP1174" s="3" t="s">
        <v>1910</v>
      </c>
      <c r="AQ1174" s="3" t="s">
        <v>1593</v>
      </c>
      <c r="AR1174" s="90" t="s">
        <v>1914</v>
      </c>
      <c r="AT1174" s="89">
        <v>0</v>
      </c>
      <c r="AU1174" s="89">
        <v>0</v>
      </c>
      <c r="AV1174" s="89">
        <v>0</v>
      </c>
      <c r="AW1174" s="89">
        <v>0</v>
      </c>
      <c r="AX1174" s="89">
        <v>0</v>
      </c>
      <c r="AY1174" s="89">
        <v>1</v>
      </c>
      <c r="AZ1174" s="89">
        <v>0</v>
      </c>
      <c r="BA1174" s="89">
        <v>1</v>
      </c>
      <c r="BB1174" s="64">
        <f t="shared" si="1369"/>
        <v>0.19</v>
      </c>
      <c r="BD1174" s="63">
        <v>-221.07</v>
      </c>
      <c r="BE1174" s="63">
        <v>-5.4</v>
      </c>
      <c r="BF1174" s="63">
        <v>0</v>
      </c>
      <c r="BG1174" s="63">
        <v>0</v>
      </c>
      <c r="BH1174" s="63">
        <v>0</v>
      </c>
      <c r="BI1174" s="63">
        <f t="shared" si="1371"/>
        <v>-226.47</v>
      </c>
      <c r="BJ1174" s="2" t="s">
        <v>91</v>
      </c>
      <c r="BL1174" s="63">
        <v>0</v>
      </c>
      <c r="BM1174" s="63">
        <v>0</v>
      </c>
      <c r="BN1174" s="63"/>
      <c r="BO1174" s="63">
        <v>0</v>
      </c>
      <c r="BP1174" s="63">
        <v>0</v>
      </c>
      <c r="BS1174" s="61">
        <f t="shared" si="1388"/>
        <v>0</v>
      </c>
      <c r="BT1174" s="61">
        <f t="shared" si="1388"/>
        <v>0</v>
      </c>
      <c r="BU1174" s="61">
        <f t="shared" si="1389"/>
        <v>0</v>
      </c>
      <c r="BV1174" s="61">
        <f t="shared" si="1390"/>
        <v>0</v>
      </c>
      <c r="BW1174" s="61">
        <f t="shared" si="1390"/>
        <v>0</v>
      </c>
      <c r="BX1174" s="63">
        <f t="shared" si="1390"/>
        <v>0</v>
      </c>
      <c r="BY1174" s="61" t="s">
        <v>91</v>
      </c>
      <c r="CA1174" s="61">
        <f t="shared" si="1397"/>
        <v>0</v>
      </c>
      <c r="CB1174" s="61">
        <f t="shared" si="1397"/>
        <v>0</v>
      </c>
      <c r="CC1174" s="61">
        <f t="shared" si="1397"/>
        <v>0</v>
      </c>
      <c r="CD1174" s="61">
        <f t="shared" si="1397"/>
        <v>0</v>
      </c>
      <c r="CE1174" s="61">
        <f t="shared" si="1397"/>
        <v>0</v>
      </c>
      <c r="CF1174" s="61">
        <f t="shared" si="1397"/>
        <v>0</v>
      </c>
      <c r="CG1174" s="61">
        <f t="shared" si="1397"/>
        <v>0</v>
      </c>
      <c r="CH1174" s="61">
        <f t="shared" si="1342"/>
        <v>0</v>
      </c>
      <c r="CI1174" s="61">
        <f t="shared" si="1344"/>
        <v>0</v>
      </c>
      <c r="CK1174" s="61">
        <f t="shared" si="1356"/>
        <v>0</v>
      </c>
      <c r="CL1174" s="61">
        <f t="shared" si="1356"/>
        <v>0</v>
      </c>
      <c r="CM1174" s="61">
        <f t="shared" si="1356"/>
        <v>0</v>
      </c>
      <c r="CN1174" s="61">
        <f t="shared" si="1356"/>
        <v>0</v>
      </c>
      <c r="CO1174" s="61">
        <f t="shared" si="1356"/>
        <v>0</v>
      </c>
      <c r="CP1174" s="61">
        <f t="shared" si="1329"/>
        <v>0</v>
      </c>
      <c r="CQ1174" s="61">
        <f t="shared" si="1329"/>
        <v>0</v>
      </c>
      <c r="CR1174" s="61">
        <f t="shared" si="1329"/>
        <v>0</v>
      </c>
      <c r="CS1174" s="61">
        <f t="shared" si="1345"/>
        <v>0</v>
      </c>
      <c r="CT1174" s="63">
        <f t="shared" si="1348"/>
        <v>0</v>
      </c>
      <c r="CU1174" s="61"/>
      <c r="CV1174" s="61">
        <f t="shared" si="1398"/>
        <v>0</v>
      </c>
      <c r="CW1174" s="61">
        <f t="shared" si="1399"/>
        <v>0</v>
      </c>
      <c r="CY1174" s="61">
        <f t="shared" si="1402"/>
        <v>0</v>
      </c>
      <c r="CZ1174" s="61">
        <f t="shared" si="1400"/>
        <v>0</v>
      </c>
      <c r="DA1174" s="61">
        <f t="shared" si="1401"/>
        <v>0</v>
      </c>
      <c r="DB1174" s="2" t="s">
        <v>102</v>
      </c>
      <c r="DC1174" s="2" t="s">
        <v>85</v>
      </c>
      <c r="DD1174" s="2" t="s">
        <v>142</v>
      </c>
      <c r="DE1174" s="2" t="s">
        <v>257</v>
      </c>
      <c r="DF1174" s="3" t="s">
        <v>86</v>
      </c>
      <c r="DG1174" s="62">
        <v>42970</v>
      </c>
      <c r="EC1174" s="60" t="str">
        <f>VLOOKUP($M1174,[1]Detail!$M:$BO,1,0)</f>
        <v>EV61-2B195-DA</v>
      </c>
      <c r="ED1174" s="60">
        <f>VLOOKUP($M1174,[1]Detail!$M:$BO,22,0)</f>
        <v>-226.47</v>
      </c>
      <c r="EE1174" s="60">
        <f>VLOOKUP($M1174,[1]Detail!$M:$BO,42,0)</f>
        <v>0</v>
      </c>
      <c r="EF1174" s="60">
        <f>VLOOKUP($M1174,[1]Detail!$M:$BO,45,0)</f>
        <v>0</v>
      </c>
      <c r="EH1174" s="60">
        <f t="shared" ref="EH1174:EH1199" si="1406">ED1174-AD1174</f>
        <v>0</v>
      </c>
      <c r="EI1174" s="60">
        <f t="shared" ref="EI1174:EI1199" si="1407">EE1174-AG1174</f>
        <v>0</v>
      </c>
      <c r="EJ1174" s="60">
        <f t="shared" ref="EJ1174:EJ1199" si="1408">EF1174-AJ1174</f>
        <v>0</v>
      </c>
    </row>
    <row r="1175" spans="2:140" ht="12.75" hidden="1" customHeight="1">
      <c r="B1175" s="1" t="s">
        <v>1913</v>
      </c>
      <c r="C1175" s="22" t="s">
        <v>1907</v>
      </c>
      <c r="D1175" s="22" t="s">
        <v>1908</v>
      </c>
      <c r="E1175" s="1" t="s">
        <v>347</v>
      </c>
      <c r="F1175" s="2" t="s">
        <v>348</v>
      </c>
      <c r="G1175" s="118" t="s">
        <v>987</v>
      </c>
      <c r="J1175" s="3" t="s">
        <v>333</v>
      </c>
      <c r="K1175" s="1" t="s">
        <v>1910</v>
      </c>
      <c r="L1175" s="3" t="s">
        <v>111</v>
      </c>
      <c r="M1175" s="2" t="str">
        <f t="shared" si="1367"/>
        <v>JD8C-2B195-BA</v>
      </c>
      <c r="O1175" s="89">
        <v>0</v>
      </c>
      <c r="P1175" s="89">
        <v>1</v>
      </c>
      <c r="Q1175" s="89">
        <v>0</v>
      </c>
      <c r="R1175" s="89">
        <v>1</v>
      </c>
      <c r="S1175" s="89">
        <v>0</v>
      </c>
      <c r="T1175" s="89">
        <v>0</v>
      </c>
      <c r="U1175" s="89">
        <v>0</v>
      </c>
      <c r="V1175" s="89">
        <v>0</v>
      </c>
      <c r="W1175" s="64">
        <f t="shared" si="1357"/>
        <v>0.39</v>
      </c>
      <c r="Y1175" s="63">
        <f t="shared" si="1403"/>
        <v>-327.26</v>
      </c>
      <c r="Z1175" s="63">
        <f t="shared" si="1403"/>
        <v>-5.4</v>
      </c>
      <c r="AA1175" s="63">
        <f t="shared" si="1403"/>
        <v>0</v>
      </c>
      <c r="AB1175" s="63">
        <f t="shared" si="1403"/>
        <v>0</v>
      </c>
      <c r="AC1175" s="63">
        <f t="shared" si="1403"/>
        <v>0</v>
      </c>
      <c r="AD1175" s="8">
        <f t="shared" si="1396"/>
        <v>-332.65999999999997</v>
      </c>
      <c r="AE1175" s="2" t="s">
        <v>91</v>
      </c>
      <c r="AG1175" s="61">
        <f t="shared" si="1404"/>
        <v>-580000</v>
      </c>
      <c r="AH1175" s="61">
        <f t="shared" si="1404"/>
        <v>-580000</v>
      </c>
      <c r="AI1175" s="61"/>
      <c r="AJ1175" s="61">
        <f t="shared" si="1405"/>
        <v>0</v>
      </c>
      <c r="AK1175" s="61">
        <f t="shared" si="1405"/>
        <v>0</v>
      </c>
      <c r="AM1175" s="22"/>
      <c r="AO1175" s="3" t="s">
        <v>333</v>
      </c>
      <c r="AP1175" s="3" t="s">
        <v>1910</v>
      </c>
      <c r="AQ1175" s="3" t="s">
        <v>111</v>
      </c>
      <c r="AR1175" s="90" t="s">
        <v>1915</v>
      </c>
      <c r="AT1175" s="89">
        <v>0</v>
      </c>
      <c r="AU1175" s="89">
        <v>1</v>
      </c>
      <c r="AV1175" s="89">
        <v>0</v>
      </c>
      <c r="AW1175" s="89">
        <v>1</v>
      </c>
      <c r="AX1175" s="89">
        <v>0</v>
      </c>
      <c r="AY1175" s="89">
        <v>0</v>
      </c>
      <c r="AZ1175" s="89">
        <v>0</v>
      </c>
      <c r="BA1175" s="89">
        <v>0</v>
      </c>
      <c r="BB1175" s="64">
        <f t="shared" si="1369"/>
        <v>0.39</v>
      </c>
      <c r="BD1175" s="63">
        <v>-327.26</v>
      </c>
      <c r="BE1175" s="63">
        <v>-5.4</v>
      </c>
      <c r="BF1175" s="63">
        <v>0</v>
      </c>
      <c r="BG1175" s="63">
        <v>0</v>
      </c>
      <c r="BH1175" s="63">
        <v>0</v>
      </c>
      <c r="BI1175" s="63">
        <f t="shared" si="1371"/>
        <v>-332.65999999999997</v>
      </c>
      <c r="BJ1175" s="2" t="s">
        <v>91</v>
      </c>
      <c r="BL1175" s="63">
        <v>-580000</v>
      </c>
      <c r="BM1175" s="63">
        <v>-580000</v>
      </c>
      <c r="BN1175" s="63"/>
      <c r="BO1175" s="63">
        <v>0</v>
      </c>
      <c r="BP1175" s="63">
        <v>0</v>
      </c>
      <c r="BS1175" s="61">
        <f t="shared" si="1388"/>
        <v>0</v>
      </c>
      <c r="BT1175" s="61">
        <f t="shared" si="1388"/>
        <v>0</v>
      </c>
      <c r="BU1175" s="61">
        <f t="shared" si="1389"/>
        <v>0</v>
      </c>
      <c r="BV1175" s="61">
        <f t="shared" si="1390"/>
        <v>0</v>
      </c>
      <c r="BW1175" s="61">
        <f t="shared" si="1390"/>
        <v>0</v>
      </c>
      <c r="BX1175" s="63">
        <f t="shared" si="1390"/>
        <v>0</v>
      </c>
      <c r="BY1175" s="61" t="s">
        <v>91</v>
      </c>
      <c r="CA1175" s="61">
        <f t="shared" si="1397"/>
        <v>0</v>
      </c>
      <c r="CB1175" s="61">
        <f t="shared" si="1397"/>
        <v>0</v>
      </c>
      <c r="CC1175" s="61">
        <f t="shared" si="1397"/>
        <v>0</v>
      </c>
      <c r="CD1175" s="61">
        <f t="shared" si="1397"/>
        <v>0</v>
      </c>
      <c r="CE1175" s="61">
        <f t="shared" si="1397"/>
        <v>0</v>
      </c>
      <c r="CF1175" s="61">
        <f t="shared" si="1397"/>
        <v>0</v>
      </c>
      <c r="CG1175" s="61">
        <f t="shared" si="1397"/>
        <v>0</v>
      </c>
      <c r="CH1175" s="61">
        <f t="shared" si="1342"/>
        <v>0</v>
      </c>
      <c r="CI1175" s="61">
        <f t="shared" si="1344"/>
        <v>0</v>
      </c>
      <c r="CK1175" s="61">
        <f t="shared" si="1356"/>
        <v>0</v>
      </c>
      <c r="CL1175" s="61">
        <f t="shared" si="1356"/>
        <v>0</v>
      </c>
      <c r="CM1175" s="61">
        <f t="shared" si="1356"/>
        <v>0</v>
      </c>
      <c r="CN1175" s="61">
        <f t="shared" si="1356"/>
        <v>0</v>
      </c>
      <c r="CO1175" s="61">
        <f t="shared" si="1356"/>
        <v>0</v>
      </c>
      <c r="CP1175" s="61">
        <f t="shared" si="1329"/>
        <v>0</v>
      </c>
      <c r="CQ1175" s="61">
        <f t="shared" si="1329"/>
        <v>0</v>
      </c>
      <c r="CR1175" s="61">
        <f t="shared" si="1329"/>
        <v>0</v>
      </c>
      <c r="CS1175" s="61">
        <f t="shared" si="1345"/>
        <v>0</v>
      </c>
      <c r="CT1175" s="63">
        <f t="shared" si="1348"/>
        <v>0</v>
      </c>
      <c r="CU1175" s="61"/>
      <c r="CV1175" s="61">
        <f t="shared" si="1398"/>
        <v>0</v>
      </c>
      <c r="CW1175" s="61">
        <f t="shared" si="1399"/>
        <v>0</v>
      </c>
      <c r="CY1175" s="61">
        <f t="shared" si="1402"/>
        <v>0</v>
      </c>
      <c r="CZ1175" s="61">
        <f t="shared" si="1400"/>
        <v>0</v>
      </c>
      <c r="DA1175" s="61">
        <f t="shared" si="1401"/>
        <v>0</v>
      </c>
      <c r="DB1175" s="2" t="s">
        <v>102</v>
      </c>
      <c r="DC1175" s="2" t="s">
        <v>85</v>
      </c>
      <c r="DD1175" s="2" t="s">
        <v>142</v>
      </c>
      <c r="DE1175" s="2" t="s">
        <v>257</v>
      </c>
      <c r="DF1175" s="3" t="s">
        <v>86</v>
      </c>
      <c r="DG1175" s="62">
        <v>42970</v>
      </c>
      <c r="EC1175" s="60" t="str">
        <f>VLOOKUP($M1175,[1]Detail!$M:$BO,1,0)</f>
        <v>JD8C-2B195-BA</v>
      </c>
      <c r="ED1175" s="60">
        <f>VLOOKUP($M1175,[1]Detail!$M:$BO,22,0)</f>
        <v>-332.65999999999997</v>
      </c>
      <c r="EE1175" s="60">
        <f>VLOOKUP($M1175,[1]Detail!$M:$BO,42,0)</f>
        <v>-580000</v>
      </c>
      <c r="EF1175" s="60">
        <f>VLOOKUP($M1175,[1]Detail!$M:$BO,45,0)</f>
        <v>0</v>
      </c>
      <c r="EH1175" s="60">
        <f t="shared" si="1406"/>
        <v>0</v>
      </c>
      <c r="EI1175" s="60">
        <f t="shared" si="1407"/>
        <v>0</v>
      </c>
      <c r="EJ1175" s="60">
        <f t="shared" si="1408"/>
        <v>0</v>
      </c>
    </row>
    <row r="1176" spans="2:140" ht="12.75" hidden="1" customHeight="1">
      <c r="B1176" s="1" t="s">
        <v>1913</v>
      </c>
      <c r="C1176" s="22" t="s">
        <v>1907</v>
      </c>
      <c r="D1176" s="22" t="s">
        <v>1908</v>
      </c>
      <c r="E1176" s="1" t="s">
        <v>347</v>
      </c>
      <c r="F1176" s="2" t="s">
        <v>348</v>
      </c>
      <c r="G1176" s="118" t="s">
        <v>987</v>
      </c>
      <c r="J1176" s="3" t="s">
        <v>333</v>
      </c>
      <c r="K1176" s="1" t="s">
        <v>1910</v>
      </c>
      <c r="L1176" s="3" t="s">
        <v>132</v>
      </c>
      <c r="M1176" s="2" t="str">
        <f t="shared" si="1367"/>
        <v>JD8C-2B195-AB</v>
      </c>
      <c r="O1176" s="89">
        <v>1</v>
      </c>
      <c r="P1176" s="89">
        <v>0</v>
      </c>
      <c r="Q1176" s="89">
        <v>1</v>
      </c>
      <c r="R1176" s="89">
        <v>0</v>
      </c>
      <c r="S1176" s="89">
        <v>0</v>
      </c>
      <c r="T1176" s="89">
        <v>0</v>
      </c>
      <c r="U1176" s="89">
        <v>0</v>
      </c>
      <c r="V1176" s="89">
        <v>0</v>
      </c>
      <c r="W1176" s="64">
        <f t="shared" si="1357"/>
        <v>0.28000000000000003</v>
      </c>
      <c r="Y1176" s="63">
        <f>BD1176+40</f>
        <v>-288.60000000000002</v>
      </c>
      <c r="Z1176" s="63">
        <f t="shared" si="1403"/>
        <v>-5.4</v>
      </c>
      <c r="AA1176" s="63">
        <f t="shared" si="1403"/>
        <v>0</v>
      </c>
      <c r="AB1176" s="63">
        <f t="shared" si="1403"/>
        <v>0</v>
      </c>
      <c r="AC1176" s="63">
        <f t="shared" si="1403"/>
        <v>0</v>
      </c>
      <c r="AD1176" s="8">
        <f t="shared" si="1396"/>
        <v>-294</v>
      </c>
      <c r="AE1176" s="2" t="s">
        <v>91</v>
      </c>
      <c r="AG1176" s="61">
        <f t="shared" si="1404"/>
        <v>0</v>
      </c>
      <c r="AH1176" s="61">
        <f t="shared" si="1404"/>
        <v>0</v>
      </c>
      <c r="AI1176" s="61"/>
      <c r="AJ1176" s="61">
        <f t="shared" si="1405"/>
        <v>0</v>
      </c>
      <c r="AK1176" s="61">
        <f t="shared" si="1405"/>
        <v>0</v>
      </c>
      <c r="AM1176" s="22"/>
      <c r="AO1176" s="3" t="s">
        <v>333</v>
      </c>
      <c r="AP1176" s="3" t="s">
        <v>1910</v>
      </c>
      <c r="AQ1176" s="3" t="s">
        <v>100</v>
      </c>
      <c r="AR1176" s="90" t="s">
        <v>1916</v>
      </c>
      <c r="AT1176" s="89">
        <v>1</v>
      </c>
      <c r="AU1176" s="89">
        <v>0</v>
      </c>
      <c r="AV1176" s="89">
        <v>1</v>
      </c>
      <c r="AW1176" s="89">
        <v>0</v>
      </c>
      <c r="AX1176" s="89">
        <v>0</v>
      </c>
      <c r="AY1176" s="89">
        <v>0</v>
      </c>
      <c r="AZ1176" s="89">
        <v>0</v>
      </c>
      <c r="BA1176" s="89">
        <v>0</v>
      </c>
      <c r="BB1176" s="64">
        <f t="shared" si="1369"/>
        <v>0.28000000000000003</v>
      </c>
      <c r="BD1176" s="63">
        <v>-328.6</v>
      </c>
      <c r="BE1176" s="63">
        <v>-5.4</v>
      </c>
      <c r="BF1176" s="63">
        <v>0</v>
      </c>
      <c r="BG1176" s="63">
        <v>0</v>
      </c>
      <c r="BH1176" s="63">
        <v>0</v>
      </c>
      <c r="BI1176" s="63">
        <f t="shared" si="1371"/>
        <v>-334</v>
      </c>
      <c r="BJ1176" s="2" t="s">
        <v>91</v>
      </c>
      <c r="BL1176" s="63">
        <v>0</v>
      </c>
      <c r="BM1176" s="63">
        <v>0</v>
      </c>
      <c r="BN1176" s="63"/>
      <c r="BO1176" s="63">
        <v>0</v>
      </c>
      <c r="BP1176" s="63">
        <v>0</v>
      </c>
      <c r="BS1176" s="61">
        <f t="shared" si="1388"/>
        <v>40</v>
      </c>
      <c r="BT1176" s="61">
        <f t="shared" si="1388"/>
        <v>0</v>
      </c>
      <c r="BU1176" s="61">
        <f t="shared" si="1389"/>
        <v>0</v>
      </c>
      <c r="BV1176" s="61">
        <f t="shared" si="1390"/>
        <v>0</v>
      </c>
      <c r="BW1176" s="61">
        <f t="shared" si="1390"/>
        <v>0</v>
      </c>
      <c r="BX1176" s="63">
        <f t="shared" si="1390"/>
        <v>40</v>
      </c>
      <c r="BY1176" s="61" t="s">
        <v>91</v>
      </c>
      <c r="CA1176" s="61">
        <f t="shared" si="1397"/>
        <v>6.0177523694899957</v>
      </c>
      <c r="CB1176" s="61">
        <f t="shared" si="1397"/>
        <v>0</v>
      </c>
      <c r="CC1176" s="61">
        <f t="shared" si="1397"/>
        <v>6.0177523694899957</v>
      </c>
      <c r="CD1176" s="61">
        <f t="shared" si="1397"/>
        <v>0</v>
      </c>
      <c r="CE1176" s="61">
        <f t="shared" si="1397"/>
        <v>0</v>
      </c>
      <c r="CF1176" s="61">
        <f t="shared" si="1397"/>
        <v>0</v>
      </c>
      <c r="CG1176" s="61">
        <f t="shared" si="1397"/>
        <v>0</v>
      </c>
      <c r="CH1176" s="61">
        <f t="shared" si="1342"/>
        <v>0</v>
      </c>
      <c r="CI1176" s="61">
        <f t="shared" si="1344"/>
        <v>1.684970663457199</v>
      </c>
      <c r="CK1176" s="61">
        <f t="shared" si="1356"/>
        <v>6.0177523694899957</v>
      </c>
      <c r="CL1176" s="61">
        <f t="shared" si="1356"/>
        <v>0</v>
      </c>
      <c r="CM1176" s="61">
        <f t="shared" si="1356"/>
        <v>6.0177523694899957</v>
      </c>
      <c r="CN1176" s="61">
        <f t="shared" si="1356"/>
        <v>0</v>
      </c>
      <c r="CO1176" s="61">
        <f t="shared" si="1356"/>
        <v>0</v>
      </c>
      <c r="CP1176" s="61">
        <f t="shared" si="1329"/>
        <v>0</v>
      </c>
      <c r="CQ1176" s="61">
        <f t="shared" si="1329"/>
        <v>0</v>
      </c>
      <c r="CR1176" s="61">
        <f t="shared" si="1329"/>
        <v>0</v>
      </c>
      <c r="CS1176" s="61">
        <f t="shared" si="1345"/>
        <v>1.684970663457199</v>
      </c>
      <c r="CT1176" s="63">
        <f t="shared" si="1348"/>
        <v>11.200000000000003</v>
      </c>
      <c r="CU1176" s="61"/>
      <c r="CV1176" s="61">
        <f t="shared" si="1398"/>
        <v>0</v>
      </c>
      <c r="CW1176" s="61">
        <f t="shared" si="1399"/>
        <v>0</v>
      </c>
      <c r="CY1176" s="61">
        <f t="shared" si="1402"/>
        <v>0</v>
      </c>
      <c r="CZ1176" s="61">
        <f t="shared" si="1400"/>
        <v>0</v>
      </c>
      <c r="DA1176" s="61">
        <f t="shared" si="1401"/>
        <v>0</v>
      </c>
      <c r="DB1176" s="2" t="s">
        <v>102</v>
      </c>
      <c r="DC1176" s="2" t="s">
        <v>85</v>
      </c>
      <c r="DD1176" s="2" t="s">
        <v>142</v>
      </c>
      <c r="DE1176" s="2" t="s">
        <v>257</v>
      </c>
      <c r="DF1176" s="3" t="s">
        <v>86</v>
      </c>
      <c r="DG1176" s="62">
        <v>42970</v>
      </c>
      <c r="EC1176" s="60" t="str">
        <f>VLOOKUP($M1176,[1]Detail!$M:$BO,1,0)</f>
        <v>JD8C-2B195-AB</v>
      </c>
      <c r="ED1176" s="60">
        <f>VLOOKUP($M1176,[1]Detail!$M:$BO,22,0)</f>
        <v>-294</v>
      </c>
      <c r="EE1176" s="60">
        <f>VLOOKUP($M1176,[1]Detail!$M:$BO,42,0)</f>
        <v>0</v>
      </c>
      <c r="EF1176" s="60">
        <f>VLOOKUP($M1176,[1]Detail!$M:$BO,45,0)</f>
        <v>0</v>
      </c>
      <c r="EH1176" s="60">
        <f t="shared" si="1406"/>
        <v>0</v>
      </c>
      <c r="EI1176" s="60">
        <f t="shared" si="1407"/>
        <v>0</v>
      </c>
      <c r="EJ1176" s="60">
        <f t="shared" si="1408"/>
        <v>0</v>
      </c>
    </row>
    <row r="1177" spans="2:140" ht="12.75" hidden="1" customHeight="1">
      <c r="B1177" s="1" t="s">
        <v>1913</v>
      </c>
      <c r="C1177" s="22" t="s">
        <v>1907</v>
      </c>
      <c r="D1177" s="22" t="s">
        <v>1908</v>
      </c>
      <c r="E1177" s="1" t="s">
        <v>347</v>
      </c>
      <c r="F1177" s="2" t="s">
        <v>348</v>
      </c>
      <c r="G1177" s="118" t="s">
        <v>987</v>
      </c>
      <c r="J1177" s="3" t="s">
        <v>1909</v>
      </c>
      <c r="K1177" s="1" t="s">
        <v>1910</v>
      </c>
      <c r="L1177" s="3" t="s">
        <v>113</v>
      </c>
      <c r="M1177" s="2" t="str">
        <f t="shared" si="1367"/>
        <v>EV61-2B195-CA</v>
      </c>
      <c r="O1177" s="89">
        <v>0</v>
      </c>
      <c r="P1177" s="89">
        <v>1</v>
      </c>
      <c r="Q1177" s="89">
        <v>0</v>
      </c>
      <c r="R1177" s="89">
        <v>1</v>
      </c>
      <c r="S1177" s="89">
        <v>0</v>
      </c>
      <c r="T1177" s="89">
        <v>0</v>
      </c>
      <c r="U1177" s="89">
        <v>0</v>
      </c>
      <c r="V1177" s="89">
        <v>0</v>
      </c>
      <c r="W1177" s="64">
        <f t="shared" si="1357"/>
        <v>0.39</v>
      </c>
      <c r="Y1177" s="63">
        <f>BD1177</f>
        <v>-221.07</v>
      </c>
      <c r="Z1177" s="63">
        <f t="shared" si="1403"/>
        <v>-5.4</v>
      </c>
      <c r="AA1177" s="63">
        <f t="shared" si="1403"/>
        <v>0</v>
      </c>
      <c r="AB1177" s="63">
        <f t="shared" si="1403"/>
        <v>0</v>
      </c>
      <c r="AC1177" s="63">
        <f t="shared" si="1403"/>
        <v>0</v>
      </c>
      <c r="AD1177" s="8">
        <f t="shared" si="1396"/>
        <v>-226.47</v>
      </c>
      <c r="AE1177" s="2" t="s">
        <v>91</v>
      </c>
      <c r="AG1177" s="61">
        <f t="shared" si="1404"/>
        <v>0</v>
      </c>
      <c r="AH1177" s="61">
        <f t="shared" si="1404"/>
        <v>0</v>
      </c>
      <c r="AI1177" s="61"/>
      <c r="AJ1177" s="61">
        <f t="shared" si="1405"/>
        <v>0</v>
      </c>
      <c r="AK1177" s="61">
        <f t="shared" si="1405"/>
        <v>0</v>
      </c>
      <c r="AM1177" s="22"/>
      <c r="AO1177" s="3" t="s">
        <v>1909</v>
      </c>
      <c r="AP1177" s="3" t="s">
        <v>1910</v>
      </c>
      <c r="AQ1177" s="3" t="s">
        <v>1304</v>
      </c>
      <c r="AR1177" s="90" t="s">
        <v>1917</v>
      </c>
      <c r="AT1177" s="89">
        <v>0</v>
      </c>
      <c r="AU1177" s="89">
        <v>1</v>
      </c>
      <c r="AV1177" s="89">
        <v>0</v>
      </c>
      <c r="AW1177" s="89">
        <v>1</v>
      </c>
      <c r="AX1177" s="89">
        <v>0</v>
      </c>
      <c r="AY1177" s="89">
        <v>0</v>
      </c>
      <c r="AZ1177" s="89">
        <v>0</v>
      </c>
      <c r="BA1177" s="89">
        <v>0</v>
      </c>
      <c r="BB1177" s="64">
        <f t="shared" si="1369"/>
        <v>0.39</v>
      </c>
      <c r="BD1177" s="63">
        <v>-221.07</v>
      </c>
      <c r="BE1177" s="63">
        <v>-5.4</v>
      </c>
      <c r="BF1177" s="63">
        <v>0</v>
      </c>
      <c r="BG1177" s="63">
        <v>0</v>
      </c>
      <c r="BH1177" s="63">
        <v>0</v>
      </c>
      <c r="BI1177" s="63">
        <f t="shared" si="1371"/>
        <v>-226.47</v>
      </c>
      <c r="BJ1177" s="2" t="s">
        <v>91</v>
      </c>
      <c r="BL1177" s="63">
        <v>0</v>
      </c>
      <c r="BM1177" s="63">
        <v>0</v>
      </c>
      <c r="BN1177" s="63"/>
      <c r="BO1177" s="63">
        <v>0</v>
      </c>
      <c r="BP1177" s="63">
        <v>0</v>
      </c>
      <c r="BS1177" s="61">
        <f t="shared" si="1388"/>
        <v>0</v>
      </c>
      <c r="BT1177" s="61">
        <f t="shared" si="1388"/>
        <v>0</v>
      </c>
      <c r="BU1177" s="61">
        <f t="shared" si="1389"/>
        <v>0</v>
      </c>
      <c r="BV1177" s="61">
        <f t="shared" si="1390"/>
        <v>0</v>
      </c>
      <c r="BW1177" s="61">
        <f t="shared" si="1390"/>
        <v>0</v>
      </c>
      <c r="BX1177" s="63">
        <f t="shared" si="1390"/>
        <v>0</v>
      </c>
      <c r="BY1177" s="61" t="s">
        <v>91</v>
      </c>
      <c r="CA1177" s="61">
        <f t="shared" si="1397"/>
        <v>0</v>
      </c>
      <c r="CB1177" s="61">
        <f t="shared" si="1397"/>
        <v>0</v>
      </c>
      <c r="CC1177" s="61">
        <f t="shared" si="1397"/>
        <v>0</v>
      </c>
      <c r="CD1177" s="61">
        <f t="shared" si="1397"/>
        <v>0</v>
      </c>
      <c r="CE1177" s="61">
        <f t="shared" si="1397"/>
        <v>0</v>
      </c>
      <c r="CF1177" s="61">
        <f t="shared" si="1397"/>
        <v>0</v>
      </c>
      <c r="CG1177" s="61">
        <f t="shared" si="1397"/>
        <v>0</v>
      </c>
      <c r="CH1177" s="61">
        <f t="shared" si="1342"/>
        <v>0</v>
      </c>
      <c r="CI1177" s="61">
        <f t="shared" si="1344"/>
        <v>0</v>
      </c>
      <c r="CK1177" s="61">
        <f t="shared" si="1356"/>
        <v>0</v>
      </c>
      <c r="CL1177" s="61">
        <f t="shared" si="1356"/>
        <v>0</v>
      </c>
      <c r="CM1177" s="61">
        <f t="shared" si="1356"/>
        <v>0</v>
      </c>
      <c r="CN1177" s="61">
        <f t="shared" si="1356"/>
        <v>0</v>
      </c>
      <c r="CO1177" s="61">
        <f t="shared" si="1356"/>
        <v>0</v>
      </c>
      <c r="CP1177" s="61">
        <f t="shared" si="1329"/>
        <v>0</v>
      </c>
      <c r="CQ1177" s="61">
        <f t="shared" si="1329"/>
        <v>0</v>
      </c>
      <c r="CR1177" s="61">
        <f t="shared" si="1329"/>
        <v>0</v>
      </c>
      <c r="CS1177" s="61">
        <f t="shared" si="1345"/>
        <v>0</v>
      </c>
      <c r="CT1177" s="63">
        <f t="shared" si="1348"/>
        <v>0</v>
      </c>
      <c r="CU1177" s="61"/>
      <c r="CV1177" s="61">
        <f t="shared" si="1398"/>
        <v>0</v>
      </c>
      <c r="CW1177" s="61">
        <f t="shared" si="1399"/>
        <v>0</v>
      </c>
      <c r="CY1177" s="61">
        <f t="shared" si="1402"/>
        <v>0</v>
      </c>
      <c r="CZ1177" s="61">
        <f t="shared" si="1400"/>
        <v>0</v>
      </c>
      <c r="DA1177" s="61">
        <f t="shared" si="1401"/>
        <v>0</v>
      </c>
      <c r="DB1177" s="2" t="s">
        <v>102</v>
      </c>
      <c r="DC1177" s="2" t="s">
        <v>85</v>
      </c>
      <c r="DD1177" s="2" t="s">
        <v>142</v>
      </c>
      <c r="DE1177" s="2" t="s">
        <v>257</v>
      </c>
      <c r="DF1177" s="3" t="s">
        <v>86</v>
      </c>
      <c r="DG1177" s="62">
        <v>42970</v>
      </c>
      <c r="EC1177" s="60" t="str">
        <f>VLOOKUP($M1177,[1]Detail!$M:$BO,1,0)</f>
        <v>EV61-2B195-CA</v>
      </c>
      <c r="ED1177" s="60">
        <f>VLOOKUP($M1177,[1]Detail!$M:$BO,22,0)</f>
        <v>-226.47</v>
      </c>
      <c r="EE1177" s="60">
        <f>VLOOKUP($M1177,[1]Detail!$M:$BO,42,0)</f>
        <v>0</v>
      </c>
      <c r="EF1177" s="60">
        <f>VLOOKUP($M1177,[1]Detail!$M:$BO,45,0)</f>
        <v>0</v>
      </c>
      <c r="EH1177" s="60">
        <f t="shared" si="1406"/>
        <v>0</v>
      </c>
      <c r="EI1177" s="60">
        <f t="shared" si="1407"/>
        <v>0</v>
      </c>
      <c r="EJ1177" s="60">
        <f t="shared" si="1408"/>
        <v>0</v>
      </c>
    </row>
    <row r="1178" spans="2:140" ht="12.75" hidden="1" customHeight="1">
      <c r="B1178" s="1" t="s">
        <v>1918</v>
      </c>
      <c r="C1178" s="2" t="s">
        <v>1919</v>
      </c>
      <c r="D1178" s="1" t="s">
        <v>1920</v>
      </c>
      <c r="E1178" s="1" t="s">
        <v>347</v>
      </c>
      <c r="F1178" s="2" t="s">
        <v>348</v>
      </c>
      <c r="G1178" s="3" t="s">
        <v>1921</v>
      </c>
      <c r="J1178" s="2"/>
      <c r="K1178" s="1" t="s">
        <v>1922</v>
      </c>
      <c r="L1178" s="3" t="s">
        <v>1923</v>
      </c>
      <c r="M1178" s="2" t="str">
        <f t="shared" si="1367"/>
        <v>-W711557-S450</v>
      </c>
      <c r="O1178" s="89">
        <v>4</v>
      </c>
      <c r="P1178" s="89">
        <v>4</v>
      </c>
      <c r="Q1178" s="89">
        <v>4</v>
      </c>
      <c r="R1178" s="89">
        <v>4</v>
      </c>
      <c r="S1178" s="89">
        <v>4</v>
      </c>
      <c r="T1178" s="89">
        <v>4</v>
      </c>
      <c r="U1178" s="89">
        <v>4</v>
      </c>
      <c r="V1178" s="89">
        <v>4</v>
      </c>
      <c r="W1178" s="64">
        <f t="shared" si="1357"/>
        <v>4</v>
      </c>
      <c r="Y1178" s="63">
        <v>-0.29199999999999998</v>
      </c>
      <c r="Z1178" s="63">
        <v>-2E-3</v>
      </c>
      <c r="AA1178" s="63">
        <v>-3.0000000000000001E-3</v>
      </c>
      <c r="AB1178" s="63">
        <v>0</v>
      </c>
      <c r="AC1178" s="63">
        <v>0</v>
      </c>
      <c r="AD1178" s="8">
        <f t="shared" si="1396"/>
        <v>-0.29699999999999999</v>
      </c>
      <c r="AE1178" s="2" t="s">
        <v>91</v>
      </c>
      <c r="AG1178" s="61">
        <f t="shared" si="1404"/>
        <v>0</v>
      </c>
      <c r="AH1178" s="61">
        <f t="shared" si="1404"/>
        <v>0</v>
      </c>
      <c r="AI1178" s="61"/>
      <c r="AJ1178" s="61">
        <f t="shared" si="1405"/>
        <v>0</v>
      </c>
      <c r="AK1178" s="61">
        <f t="shared" si="1405"/>
        <v>0</v>
      </c>
      <c r="AM1178" s="22"/>
      <c r="AO1178" s="2"/>
      <c r="AP1178" s="3" t="s">
        <v>1922</v>
      </c>
      <c r="AQ1178" s="3" t="s">
        <v>1923</v>
      </c>
      <c r="AR1178" s="3" t="str">
        <f t="shared" ref="AR1178:AR1183" si="1409">TRIM(AN1178)&amp;"-"&amp;TRIM(AP1178)&amp;"-"&amp;TRIM(AQ1178)</f>
        <v>-W711557-S450</v>
      </c>
      <c r="AT1178" s="2">
        <v>4</v>
      </c>
      <c r="AU1178" s="89">
        <v>4</v>
      </c>
      <c r="AV1178" s="89">
        <v>4</v>
      </c>
      <c r="AW1178" s="89">
        <v>4</v>
      </c>
      <c r="AX1178" s="89">
        <v>4</v>
      </c>
      <c r="AY1178" s="89">
        <v>4</v>
      </c>
      <c r="AZ1178" s="89">
        <v>4</v>
      </c>
      <c r="BA1178" s="89">
        <v>4</v>
      </c>
      <c r="BB1178" s="64">
        <f t="shared" si="1369"/>
        <v>4</v>
      </c>
      <c r="BD1178" s="63">
        <v>-0.29199999999999998</v>
      </c>
      <c r="BE1178" s="63">
        <v>-2E-3</v>
      </c>
      <c r="BF1178" s="63">
        <v>-3.0000000000000001E-3</v>
      </c>
      <c r="BG1178" s="63">
        <v>0</v>
      </c>
      <c r="BH1178" s="63">
        <v>0</v>
      </c>
      <c r="BI1178" s="63">
        <f t="shared" si="1371"/>
        <v>-0.29699999999999999</v>
      </c>
      <c r="BJ1178" s="2" t="s">
        <v>91</v>
      </c>
      <c r="BL1178" s="63">
        <v>0</v>
      </c>
      <c r="BM1178" s="63">
        <v>0</v>
      </c>
      <c r="BN1178" s="63"/>
      <c r="BO1178" s="63">
        <v>0</v>
      </c>
      <c r="BP1178" s="63">
        <v>0</v>
      </c>
      <c r="BS1178" s="61">
        <f t="shared" si="1388"/>
        <v>0</v>
      </c>
      <c r="BT1178" s="61">
        <f t="shared" si="1388"/>
        <v>0</v>
      </c>
      <c r="BU1178" s="61">
        <f t="shared" si="1389"/>
        <v>0</v>
      </c>
      <c r="BV1178" s="61">
        <f t="shared" si="1390"/>
        <v>0</v>
      </c>
      <c r="BW1178" s="61">
        <f t="shared" si="1390"/>
        <v>0</v>
      </c>
      <c r="BX1178" s="63">
        <f t="shared" si="1390"/>
        <v>0</v>
      </c>
      <c r="BY1178" s="61" t="s">
        <v>91</v>
      </c>
      <c r="CA1178" s="61">
        <f t="shared" si="1397"/>
        <v>0</v>
      </c>
      <c r="CB1178" s="61">
        <f t="shared" si="1397"/>
        <v>0</v>
      </c>
      <c r="CC1178" s="61">
        <f t="shared" si="1397"/>
        <v>0</v>
      </c>
      <c r="CD1178" s="61">
        <f t="shared" si="1397"/>
        <v>0</v>
      </c>
      <c r="CE1178" s="61">
        <f t="shared" si="1397"/>
        <v>0</v>
      </c>
      <c r="CF1178" s="61">
        <f t="shared" si="1397"/>
        <v>0</v>
      </c>
      <c r="CG1178" s="61">
        <f t="shared" si="1397"/>
        <v>0</v>
      </c>
      <c r="CH1178" s="61">
        <f t="shared" si="1342"/>
        <v>0</v>
      </c>
      <c r="CI1178" s="61">
        <f t="shared" si="1344"/>
        <v>0</v>
      </c>
      <c r="CK1178" s="61">
        <f t="shared" si="1356"/>
        <v>0</v>
      </c>
      <c r="CL1178" s="61">
        <f t="shared" si="1356"/>
        <v>0</v>
      </c>
      <c r="CM1178" s="61">
        <f t="shared" si="1356"/>
        <v>0</v>
      </c>
      <c r="CN1178" s="61">
        <f t="shared" si="1356"/>
        <v>0</v>
      </c>
      <c r="CO1178" s="61">
        <f t="shared" si="1356"/>
        <v>0</v>
      </c>
      <c r="CP1178" s="61">
        <f t="shared" si="1329"/>
        <v>0</v>
      </c>
      <c r="CQ1178" s="61">
        <f t="shared" si="1329"/>
        <v>0</v>
      </c>
      <c r="CR1178" s="61">
        <f t="shared" si="1329"/>
        <v>0</v>
      </c>
      <c r="CS1178" s="61">
        <f t="shared" si="1345"/>
        <v>0</v>
      </c>
      <c r="CT1178" s="63">
        <f t="shared" si="1348"/>
        <v>0</v>
      </c>
      <c r="CU1178" s="61"/>
      <c r="CV1178" s="61">
        <f t="shared" si="1398"/>
        <v>0</v>
      </c>
      <c r="CW1178" s="61">
        <f t="shared" si="1399"/>
        <v>0</v>
      </c>
      <c r="CY1178" s="61">
        <f t="shared" si="1402"/>
        <v>0</v>
      </c>
      <c r="CZ1178" s="61">
        <f t="shared" si="1400"/>
        <v>0</v>
      </c>
      <c r="DA1178" s="61">
        <f t="shared" si="1401"/>
        <v>0</v>
      </c>
      <c r="DB1178" s="2" t="s">
        <v>102</v>
      </c>
      <c r="DC1178" s="2" t="s">
        <v>102</v>
      </c>
      <c r="DD1178" s="2" t="s">
        <v>142</v>
      </c>
      <c r="DE1178" s="2" t="s">
        <v>257</v>
      </c>
      <c r="DF1178" s="3" t="s">
        <v>86</v>
      </c>
      <c r="DG1178" s="62">
        <v>42970</v>
      </c>
      <c r="EC1178" s="60" t="str">
        <f>VLOOKUP($M1178,[1]Detail!$M:$BO,1,0)</f>
        <v>-W711557-S450</v>
      </c>
      <c r="ED1178" s="60">
        <f>VLOOKUP($M1178,[1]Detail!$M:$BO,22,0)</f>
        <v>-0.29699999999999999</v>
      </c>
      <c r="EE1178" s="60">
        <f>VLOOKUP($M1178,[1]Detail!$M:$BO,42,0)</f>
        <v>0</v>
      </c>
      <c r="EF1178" s="60">
        <f>VLOOKUP($M1178,[1]Detail!$M:$BO,45,0)</f>
        <v>0</v>
      </c>
      <c r="EH1178" s="60">
        <f t="shared" si="1406"/>
        <v>0</v>
      </c>
      <c r="EI1178" s="60">
        <f t="shared" si="1407"/>
        <v>0</v>
      </c>
      <c r="EJ1178" s="60">
        <f t="shared" si="1408"/>
        <v>0</v>
      </c>
    </row>
    <row r="1179" spans="2:140" ht="12.75" hidden="1" customHeight="1">
      <c r="B1179" s="1" t="s">
        <v>1924</v>
      </c>
      <c r="C1179" s="2" t="s">
        <v>1919</v>
      </c>
      <c r="D1179" s="1" t="s">
        <v>1920</v>
      </c>
      <c r="E1179" s="1" t="s">
        <v>347</v>
      </c>
      <c r="F1179" s="2" t="s">
        <v>348</v>
      </c>
      <c r="G1179" s="3" t="s">
        <v>1921</v>
      </c>
      <c r="J1179" s="2"/>
      <c r="K1179" s="1" t="s">
        <v>1925</v>
      </c>
      <c r="L1179" s="3" t="s">
        <v>1923</v>
      </c>
      <c r="M1179" s="2" t="str">
        <f t="shared" si="1367"/>
        <v>-W715134-S450</v>
      </c>
      <c r="O1179" s="89">
        <v>8</v>
      </c>
      <c r="P1179" s="89">
        <v>8</v>
      </c>
      <c r="Q1179" s="89">
        <v>8</v>
      </c>
      <c r="R1179" s="89">
        <v>8</v>
      </c>
      <c r="S1179" s="89">
        <v>8</v>
      </c>
      <c r="T1179" s="89">
        <v>8</v>
      </c>
      <c r="U1179" s="89">
        <v>8</v>
      </c>
      <c r="V1179" s="89">
        <v>8</v>
      </c>
      <c r="W1179" s="64">
        <f t="shared" si="1357"/>
        <v>8</v>
      </c>
      <c r="Y1179" s="63">
        <v>-0.28899999999999998</v>
      </c>
      <c r="Z1179" s="63">
        <v>-2E-3</v>
      </c>
      <c r="AA1179" s="63">
        <v>-3.0000000000000001E-3</v>
      </c>
      <c r="AB1179" s="63">
        <v>0</v>
      </c>
      <c r="AC1179" s="63">
        <v>0</v>
      </c>
      <c r="AD1179" s="8">
        <f t="shared" si="1396"/>
        <v>-0.29399999999999998</v>
      </c>
      <c r="AE1179" s="2" t="s">
        <v>91</v>
      </c>
      <c r="AG1179" s="61">
        <f t="shared" si="1404"/>
        <v>0</v>
      </c>
      <c r="AH1179" s="61">
        <f t="shared" si="1404"/>
        <v>0</v>
      </c>
      <c r="AI1179" s="61"/>
      <c r="AJ1179" s="61">
        <f t="shared" si="1405"/>
        <v>0</v>
      </c>
      <c r="AK1179" s="61">
        <f t="shared" si="1405"/>
        <v>0</v>
      </c>
      <c r="AM1179" s="22"/>
      <c r="AO1179" s="2"/>
      <c r="AP1179" s="3" t="s">
        <v>1925</v>
      </c>
      <c r="AQ1179" s="3" t="s">
        <v>1923</v>
      </c>
      <c r="AR1179" s="3" t="str">
        <f t="shared" si="1409"/>
        <v>-W715134-S450</v>
      </c>
      <c r="AT1179" s="2">
        <v>8</v>
      </c>
      <c r="AU1179" s="89">
        <v>8</v>
      </c>
      <c r="AV1179" s="89">
        <v>8</v>
      </c>
      <c r="AW1179" s="89">
        <v>8</v>
      </c>
      <c r="AX1179" s="89">
        <v>8</v>
      </c>
      <c r="AY1179" s="89">
        <v>8</v>
      </c>
      <c r="AZ1179" s="89">
        <v>8</v>
      </c>
      <c r="BA1179" s="89">
        <v>8</v>
      </c>
      <c r="BB1179" s="64">
        <f t="shared" si="1369"/>
        <v>8</v>
      </c>
      <c r="BD1179" s="63">
        <v>-0.28899999999999998</v>
      </c>
      <c r="BE1179" s="63">
        <v>-2E-3</v>
      </c>
      <c r="BF1179" s="63">
        <v>-3.0000000000000001E-3</v>
      </c>
      <c r="BG1179" s="63">
        <v>0</v>
      </c>
      <c r="BH1179" s="63">
        <v>0</v>
      </c>
      <c r="BI1179" s="63">
        <f t="shared" si="1371"/>
        <v>-0.29399999999999998</v>
      </c>
      <c r="BJ1179" s="2" t="s">
        <v>91</v>
      </c>
      <c r="BL1179" s="63">
        <v>0</v>
      </c>
      <c r="BM1179" s="63">
        <v>0</v>
      </c>
      <c r="BN1179" s="63"/>
      <c r="BO1179" s="63">
        <v>0</v>
      </c>
      <c r="BP1179" s="63">
        <v>0</v>
      </c>
      <c r="BS1179" s="61">
        <f t="shared" si="1388"/>
        <v>0</v>
      </c>
      <c r="BT1179" s="61">
        <f t="shared" si="1388"/>
        <v>0</v>
      </c>
      <c r="BU1179" s="61">
        <f t="shared" si="1389"/>
        <v>0</v>
      </c>
      <c r="BV1179" s="61">
        <f t="shared" si="1390"/>
        <v>0</v>
      </c>
      <c r="BW1179" s="61">
        <f t="shared" si="1390"/>
        <v>0</v>
      </c>
      <c r="BX1179" s="63">
        <f t="shared" si="1390"/>
        <v>0</v>
      </c>
      <c r="BY1179" s="61" t="s">
        <v>91</v>
      </c>
      <c r="CA1179" s="61">
        <f t="shared" si="1397"/>
        <v>0</v>
      </c>
      <c r="CB1179" s="61">
        <f t="shared" si="1397"/>
        <v>0</v>
      </c>
      <c r="CC1179" s="61">
        <f t="shared" si="1397"/>
        <v>0</v>
      </c>
      <c r="CD1179" s="61">
        <f t="shared" si="1397"/>
        <v>0</v>
      </c>
      <c r="CE1179" s="61">
        <f t="shared" si="1397"/>
        <v>0</v>
      </c>
      <c r="CF1179" s="61">
        <f t="shared" si="1397"/>
        <v>0</v>
      </c>
      <c r="CG1179" s="61">
        <f t="shared" si="1397"/>
        <v>0</v>
      </c>
      <c r="CH1179" s="61">
        <f t="shared" si="1342"/>
        <v>0</v>
      </c>
      <c r="CI1179" s="61">
        <f t="shared" si="1344"/>
        <v>0</v>
      </c>
      <c r="CK1179" s="61">
        <f t="shared" si="1356"/>
        <v>0</v>
      </c>
      <c r="CL1179" s="61">
        <f t="shared" si="1356"/>
        <v>0</v>
      </c>
      <c r="CM1179" s="61">
        <f t="shared" si="1356"/>
        <v>0</v>
      </c>
      <c r="CN1179" s="61">
        <f t="shared" si="1356"/>
        <v>0</v>
      </c>
      <c r="CO1179" s="61">
        <f t="shared" si="1356"/>
        <v>0</v>
      </c>
      <c r="CP1179" s="61">
        <f t="shared" si="1329"/>
        <v>0</v>
      </c>
      <c r="CQ1179" s="61">
        <f t="shared" si="1329"/>
        <v>0</v>
      </c>
      <c r="CR1179" s="61">
        <f t="shared" si="1329"/>
        <v>0</v>
      </c>
      <c r="CS1179" s="61">
        <f t="shared" si="1345"/>
        <v>0</v>
      </c>
      <c r="CT1179" s="63">
        <f t="shared" si="1348"/>
        <v>0</v>
      </c>
      <c r="CU1179" s="61"/>
      <c r="CV1179" s="61">
        <f t="shared" si="1398"/>
        <v>0</v>
      </c>
      <c r="CW1179" s="61">
        <f t="shared" si="1399"/>
        <v>0</v>
      </c>
      <c r="CY1179" s="61">
        <f t="shared" si="1402"/>
        <v>0</v>
      </c>
      <c r="CZ1179" s="61">
        <f t="shared" si="1400"/>
        <v>0</v>
      </c>
      <c r="DA1179" s="61">
        <f t="shared" si="1401"/>
        <v>0</v>
      </c>
      <c r="DB1179" s="2" t="s">
        <v>102</v>
      </c>
      <c r="DC1179" s="2" t="s">
        <v>102</v>
      </c>
      <c r="DD1179" s="2" t="s">
        <v>142</v>
      </c>
      <c r="DE1179" s="2" t="s">
        <v>257</v>
      </c>
      <c r="DF1179" s="3" t="s">
        <v>86</v>
      </c>
      <c r="DG1179" s="62">
        <v>42970</v>
      </c>
      <c r="EC1179" s="60" t="str">
        <f>VLOOKUP($M1179,[1]Detail!$M:$BO,1,0)</f>
        <v>-W715134-S450</v>
      </c>
      <c r="ED1179" s="60">
        <f>VLOOKUP($M1179,[1]Detail!$M:$BO,22,0)</f>
        <v>-0.29399999999999998</v>
      </c>
      <c r="EE1179" s="60">
        <f>VLOOKUP($M1179,[1]Detail!$M:$BO,42,0)</f>
        <v>0</v>
      </c>
      <c r="EF1179" s="60">
        <f>VLOOKUP($M1179,[1]Detail!$M:$BO,45,0)</f>
        <v>0</v>
      </c>
      <c r="EH1179" s="60">
        <f t="shared" si="1406"/>
        <v>0</v>
      </c>
      <c r="EI1179" s="60">
        <f t="shared" si="1407"/>
        <v>0</v>
      </c>
      <c r="EJ1179" s="60">
        <f t="shared" si="1408"/>
        <v>0</v>
      </c>
    </row>
    <row r="1180" spans="2:140" ht="12.75" hidden="1" customHeight="1">
      <c r="B1180" s="1" t="s">
        <v>1924</v>
      </c>
      <c r="C1180" s="2" t="s">
        <v>1919</v>
      </c>
      <c r="D1180" s="1" t="s">
        <v>1920</v>
      </c>
      <c r="E1180" s="1" t="s">
        <v>347</v>
      </c>
      <c r="F1180" s="2" t="s">
        <v>348</v>
      </c>
      <c r="G1180" s="3" t="s">
        <v>1921</v>
      </c>
      <c r="J1180" s="2"/>
      <c r="K1180" s="1" t="s">
        <v>1926</v>
      </c>
      <c r="L1180" s="3" t="s">
        <v>1927</v>
      </c>
      <c r="M1180" s="2" t="str">
        <f t="shared" si="1367"/>
        <v>-W715729-S437</v>
      </c>
      <c r="O1180" s="89">
        <v>4</v>
      </c>
      <c r="P1180" s="89">
        <v>4</v>
      </c>
      <c r="Q1180" s="89">
        <v>4</v>
      </c>
      <c r="R1180" s="89">
        <v>4</v>
      </c>
      <c r="S1180" s="89">
        <v>4</v>
      </c>
      <c r="T1180" s="89">
        <v>4</v>
      </c>
      <c r="U1180" s="89">
        <v>4</v>
      </c>
      <c r="V1180" s="89">
        <v>4</v>
      </c>
      <c r="W1180" s="64">
        <f t="shared" si="1357"/>
        <v>4</v>
      </c>
      <c r="Y1180" s="63">
        <v>-0.48399999999999999</v>
      </c>
      <c r="Z1180" s="63">
        <v>-5.0000000000000001E-3</v>
      </c>
      <c r="AA1180" s="63">
        <v>-7.0000000000000001E-3</v>
      </c>
      <c r="AB1180" s="63">
        <v>0</v>
      </c>
      <c r="AC1180" s="63">
        <v>0</v>
      </c>
      <c r="AD1180" s="8">
        <f t="shared" si="1396"/>
        <v>-0.496</v>
      </c>
      <c r="AE1180" s="2" t="s">
        <v>91</v>
      </c>
      <c r="AG1180" s="61">
        <f t="shared" si="1404"/>
        <v>0</v>
      </c>
      <c r="AH1180" s="61">
        <f t="shared" si="1404"/>
        <v>0</v>
      </c>
      <c r="AI1180" s="61"/>
      <c r="AJ1180" s="61">
        <f t="shared" si="1405"/>
        <v>0</v>
      </c>
      <c r="AK1180" s="61">
        <f t="shared" si="1405"/>
        <v>0</v>
      </c>
      <c r="AM1180" s="22"/>
      <c r="AO1180" s="2"/>
      <c r="AP1180" s="3" t="s">
        <v>1926</v>
      </c>
      <c r="AQ1180" s="3" t="s">
        <v>1927</v>
      </c>
      <c r="AR1180" s="3" t="str">
        <f t="shared" si="1409"/>
        <v>-W715729-S437</v>
      </c>
      <c r="AT1180" s="2">
        <v>4</v>
      </c>
      <c r="AU1180" s="89">
        <v>4</v>
      </c>
      <c r="AV1180" s="89">
        <v>4</v>
      </c>
      <c r="AW1180" s="89">
        <v>4</v>
      </c>
      <c r="AX1180" s="89">
        <v>4</v>
      </c>
      <c r="AY1180" s="89">
        <v>4</v>
      </c>
      <c r="AZ1180" s="89">
        <v>4</v>
      </c>
      <c r="BA1180" s="89">
        <v>4</v>
      </c>
      <c r="BB1180" s="64">
        <f t="shared" si="1369"/>
        <v>4</v>
      </c>
      <c r="BD1180" s="63">
        <v>-0.48399999999999999</v>
      </c>
      <c r="BE1180" s="63">
        <v>-5.0000000000000001E-3</v>
      </c>
      <c r="BF1180" s="63">
        <v>-7.0000000000000001E-3</v>
      </c>
      <c r="BG1180" s="63">
        <v>0</v>
      </c>
      <c r="BH1180" s="63">
        <v>0</v>
      </c>
      <c r="BI1180" s="63">
        <f t="shared" si="1371"/>
        <v>-0.496</v>
      </c>
      <c r="BJ1180" s="2" t="s">
        <v>91</v>
      </c>
      <c r="BL1180" s="63">
        <v>0</v>
      </c>
      <c r="BM1180" s="63">
        <v>0</v>
      </c>
      <c r="BN1180" s="63"/>
      <c r="BO1180" s="63">
        <v>0</v>
      </c>
      <c r="BP1180" s="63">
        <v>0</v>
      </c>
      <c r="BS1180" s="61">
        <f t="shared" si="1388"/>
        <v>0</v>
      </c>
      <c r="BT1180" s="61">
        <f t="shared" si="1388"/>
        <v>0</v>
      </c>
      <c r="BU1180" s="61">
        <f t="shared" si="1389"/>
        <v>0</v>
      </c>
      <c r="BV1180" s="61">
        <f t="shared" si="1390"/>
        <v>0</v>
      </c>
      <c r="BW1180" s="61">
        <f t="shared" si="1390"/>
        <v>0</v>
      </c>
      <c r="BX1180" s="63">
        <f t="shared" si="1390"/>
        <v>0</v>
      </c>
      <c r="BY1180" s="61" t="s">
        <v>91</v>
      </c>
      <c r="CA1180" s="61">
        <f t="shared" si="1397"/>
        <v>0</v>
      </c>
      <c r="CB1180" s="61">
        <f t="shared" si="1397"/>
        <v>0</v>
      </c>
      <c r="CC1180" s="61">
        <f t="shared" si="1397"/>
        <v>0</v>
      </c>
      <c r="CD1180" s="61">
        <f t="shared" si="1397"/>
        <v>0</v>
      </c>
      <c r="CE1180" s="61">
        <f t="shared" si="1397"/>
        <v>0</v>
      </c>
      <c r="CF1180" s="61">
        <f t="shared" si="1397"/>
        <v>0</v>
      </c>
      <c r="CG1180" s="61">
        <f t="shared" si="1397"/>
        <v>0</v>
      </c>
      <c r="CH1180" s="61">
        <f t="shared" si="1342"/>
        <v>0</v>
      </c>
      <c r="CI1180" s="61">
        <f t="shared" si="1344"/>
        <v>0</v>
      </c>
      <c r="CK1180" s="61">
        <f t="shared" si="1356"/>
        <v>0</v>
      </c>
      <c r="CL1180" s="61">
        <f t="shared" si="1356"/>
        <v>0</v>
      </c>
      <c r="CM1180" s="61">
        <f t="shared" si="1356"/>
        <v>0</v>
      </c>
      <c r="CN1180" s="61">
        <f t="shared" si="1356"/>
        <v>0</v>
      </c>
      <c r="CO1180" s="61">
        <f t="shared" si="1356"/>
        <v>0</v>
      </c>
      <c r="CP1180" s="61">
        <f t="shared" si="1329"/>
        <v>0</v>
      </c>
      <c r="CQ1180" s="61">
        <f t="shared" si="1329"/>
        <v>0</v>
      </c>
      <c r="CR1180" s="61">
        <f t="shared" si="1329"/>
        <v>0</v>
      </c>
      <c r="CS1180" s="61">
        <f t="shared" si="1345"/>
        <v>0</v>
      </c>
      <c r="CT1180" s="63">
        <f t="shared" si="1348"/>
        <v>0</v>
      </c>
      <c r="CU1180" s="61"/>
      <c r="CV1180" s="61">
        <f t="shared" si="1398"/>
        <v>0</v>
      </c>
      <c r="CW1180" s="61">
        <f t="shared" si="1399"/>
        <v>0</v>
      </c>
      <c r="CY1180" s="61">
        <f t="shared" si="1402"/>
        <v>0</v>
      </c>
      <c r="CZ1180" s="61">
        <f t="shared" si="1400"/>
        <v>0</v>
      </c>
      <c r="DA1180" s="61">
        <f t="shared" si="1401"/>
        <v>0</v>
      </c>
      <c r="DB1180" s="2" t="s">
        <v>102</v>
      </c>
      <c r="DC1180" s="2" t="s">
        <v>102</v>
      </c>
      <c r="DD1180" s="2" t="s">
        <v>142</v>
      </c>
      <c r="DE1180" s="2" t="s">
        <v>257</v>
      </c>
      <c r="DF1180" s="3" t="s">
        <v>86</v>
      </c>
      <c r="DG1180" s="62">
        <v>42970</v>
      </c>
      <c r="EC1180" s="60" t="str">
        <f>VLOOKUP($M1180,[1]Detail!$M:$BO,1,0)</f>
        <v>-W715729-S437</v>
      </c>
      <c r="ED1180" s="60">
        <f>VLOOKUP($M1180,[1]Detail!$M:$BO,22,0)</f>
        <v>-0.496</v>
      </c>
      <c r="EE1180" s="60">
        <f>VLOOKUP($M1180,[1]Detail!$M:$BO,42,0)</f>
        <v>0</v>
      </c>
      <c r="EF1180" s="60">
        <f>VLOOKUP($M1180,[1]Detail!$M:$BO,45,0)</f>
        <v>0</v>
      </c>
      <c r="EH1180" s="60">
        <f t="shared" si="1406"/>
        <v>0</v>
      </c>
      <c r="EI1180" s="60">
        <f t="shared" si="1407"/>
        <v>0</v>
      </c>
      <c r="EJ1180" s="60">
        <f t="shared" si="1408"/>
        <v>0</v>
      </c>
    </row>
    <row r="1181" spans="2:140" hidden="1">
      <c r="B1181" s="1" t="s">
        <v>1924</v>
      </c>
      <c r="C1181" s="2" t="s">
        <v>1919</v>
      </c>
      <c r="D1181" s="1" t="s">
        <v>1920</v>
      </c>
      <c r="E1181" s="1" t="s">
        <v>347</v>
      </c>
      <c r="F1181" s="2" t="s">
        <v>348</v>
      </c>
      <c r="G1181" s="3" t="s">
        <v>1921</v>
      </c>
      <c r="J1181" s="2"/>
      <c r="K1181" s="1" t="s">
        <v>1928</v>
      </c>
      <c r="L1181" s="3" t="s">
        <v>1929</v>
      </c>
      <c r="M1181" s="2" t="str">
        <f t="shared" si="1367"/>
        <v>-W715752-S442</v>
      </c>
      <c r="O1181" s="89">
        <v>8</v>
      </c>
      <c r="P1181" s="89">
        <v>8</v>
      </c>
      <c r="Q1181" s="89">
        <v>8</v>
      </c>
      <c r="R1181" s="89">
        <v>8</v>
      </c>
      <c r="S1181" s="89">
        <v>8</v>
      </c>
      <c r="T1181" s="89">
        <v>8</v>
      </c>
      <c r="U1181" s="89">
        <v>8</v>
      </c>
      <c r="V1181" s="89">
        <v>8</v>
      </c>
      <c r="W1181" s="64">
        <f t="shared" si="1357"/>
        <v>8</v>
      </c>
      <c r="Y1181" s="63">
        <v>-0.61499999999999999</v>
      </c>
      <c r="Z1181" s="63">
        <v>-5.0000000000000001E-3</v>
      </c>
      <c r="AA1181" s="63">
        <v>-8.0000000000000002E-3</v>
      </c>
      <c r="AB1181" s="63">
        <v>0</v>
      </c>
      <c r="AC1181" s="63">
        <v>0</v>
      </c>
      <c r="AD1181" s="8">
        <f t="shared" si="1396"/>
        <v>-0.628</v>
      </c>
      <c r="AE1181" s="2" t="s">
        <v>91</v>
      </c>
      <c r="AG1181" s="61">
        <f t="shared" si="1404"/>
        <v>0</v>
      </c>
      <c r="AH1181" s="61">
        <f t="shared" si="1404"/>
        <v>0</v>
      </c>
      <c r="AI1181" s="61"/>
      <c r="AJ1181" s="61">
        <f t="shared" si="1405"/>
        <v>0</v>
      </c>
      <c r="AK1181" s="61">
        <f t="shared" si="1405"/>
        <v>0</v>
      </c>
      <c r="AM1181" s="22"/>
      <c r="AO1181" s="2"/>
      <c r="AP1181" s="3" t="s">
        <v>1928</v>
      </c>
      <c r="AQ1181" s="3" t="s">
        <v>1929</v>
      </c>
      <c r="AR1181" s="3" t="str">
        <f t="shared" si="1409"/>
        <v>-W715752-S442</v>
      </c>
      <c r="AT1181" s="2">
        <v>8</v>
      </c>
      <c r="AU1181" s="89">
        <v>8</v>
      </c>
      <c r="AV1181" s="89">
        <v>8</v>
      </c>
      <c r="AW1181" s="89">
        <v>8</v>
      </c>
      <c r="AX1181" s="89">
        <v>8</v>
      </c>
      <c r="AY1181" s="89">
        <v>8</v>
      </c>
      <c r="AZ1181" s="89">
        <v>8</v>
      </c>
      <c r="BA1181" s="89">
        <v>8</v>
      </c>
      <c r="BB1181" s="64">
        <f t="shared" si="1369"/>
        <v>8</v>
      </c>
      <c r="BD1181" s="63">
        <v>-0.61499999999999999</v>
      </c>
      <c r="BE1181" s="63">
        <v>-5.0000000000000001E-3</v>
      </c>
      <c r="BF1181" s="63">
        <v>-8.0000000000000002E-3</v>
      </c>
      <c r="BG1181" s="63">
        <v>0</v>
      </c>
      <c r="BH1181" s="63">
        <v>0</v>
      </c>
      <c r="BI1181" s="63">
        <f t="shared" si="1371"/>
        <v>-0.628</v>
      </c>
      <c r="BJ1181" s="2" t="s">
        <v>91</v>
      </c>
      <c r="BL1181" s="63">
        <v>0</v>
      </c>
      <c r="BM1181" s="63">
        <v>0</v>
      </c>
      <c r="BN1181" s="63"/>
      <c r="BO1181" s="63">
        <v>0</v>
      </c>
      <c r="BP1181" s="63">
        <v>0</v>
      </c>
      <c r="BS1181" s="61">
        <f t="shared" si="1388"/>
        <v>0</v>
      </c>
      <c r="BT1181" s="61">
        <f t="shared" si="1388"/>
        <v>0</v>
      </c>
      <c r="BU1181" s="61">
        <f t="shared" si="1389"/>
        <v>0</v>
      </c>
      <c r="BV1181" s="61">
        <f t="shared" si="1390"/>
        <v>0</v>
      </c>
      <c r="BW1181" s="61">
        <f t="shared" si="1390"/>
        <v>0</v>
      </c>
      <c r="BX1181" s="63">
        <f t="shared" si="1390"/>
        <v>0</v>
      </c>
      <c r="BY1181" s="61" t="s">
        <v>91</v>
      </c>
      <c r="CA1181" s="61">
        <f t="shared" si="1397"/>
        <v>0</v>
      </c>
      <c r="CB1181" s="61">
        <f t="shared" si="1397"/>
        <v>0</v>
      </c>
      <c r="CC1181" s="61">
        <f t="shared" si="1397"/>
        <v>0</v>
      </c>
      <c r="CD1181" s="61">
        <f t="shared" si="1397"/>
        <v>0</v>
      </c>
      <c r="CE1181" s="61">
        <f t="shared" si="1397"/>
        <v>0</v>
      </c>
      <c r="CF1181" s="61">
        <f t="shared" si="1397"/>
        <v>0</v>
      </c>
      <c r="CG1181" s="61">
        <f t="shared" si="1397"/>
        <v>0</v>
      </c>
      <c r="CH1181" s="61">
        <f t="shared" si="1342"/>
        <v>0</v>
      </c>
      <c r="CI1181" s="61">
        <f t="shared" si="1344"/>
        <v>0</v>
      </c>
      <c r="CK1181" s="61">
        <f t="shared" si="1356"/>
        <v>0</v>
      </c>
      <c r="CL1181" s="61">
        <f t="shared" si="1356"/>
        <v>0</v>
      </c>
      <c r="CM1181" s="61">
        <f t="shared" si="1356"/>
        <v>0</v>
      </c>
      <c r="CN1181" s="61">
        <f t="shared" si="1356"/>
        <v>0</v>
      </c>
      <c r="CO1181" s="61">
        <f t="shared" si="1356"/>
        <v>0</v>
      </c>
      <c r="CP1181" s="61">
        <f t="shared" si="1329"/>
        <v>0</v>
      </c>
      <c r="CQ1181" s="61">
        <f t="shared" si="1329"/>
        <v>0</v>
      </c>
      <c r="CR1181" s="61">
        <f t="shared" si="1329"/>
        <v>0</v>
      </c>
      <c r="CS1181" s="61">
        <f t="shared" si="1345"/>
        <v>0</v>
      </c>
      <c r="CT1181" s="63">
        <f t="shared" si="1348"/>
        <v>0</v>
      </c>
      <c r="CU1181" s="61"/>
      <c r="CV1181" s="61">
        <f t="shared" si="1398"/>
        <v>0</v>
      </c>
      <c r="CW1181" s="61">
        <f t="shared" si="1399"/>
        <v>0</v>
      </c>
      <c r="CY1181" s="61">
        <f t="shared" si="1402"/>
        <v>0</v>
      </c>
      <c r="CZ1181" s="61">
        <f t="shared" si="1400"/>
        <v>0</v>
      </c>
      <c r="DA1181" s="61">
        <f t="shared" si="1401"/>
        <v>0</v>
      </c>
      <c r="DB1181" s="2" t="s">
        <v>102</v>
      </c>
      <c r="DC1181" s="2" t="s">
        <v>102</v>
      </c>
      <c r="DD1181" s="2" t="s">
        <v>142</v>
      </c>
      <c r="DE1181" s="2" t="s">
        <v>257</v>
      </c>
      <c r="DF1181" s="3" t="s">
        <v>86</v>
      </c>
      <c r="DG1181" s="62">
        <v>42970</v>
      </c>
      <c r="EC1181" s="60" t="str">
        <f>VLOOKUP($M1181,[1]Detail!$M:$BO,1,0)</f>
        <v>-W715752-S442</v>
      </c>
      <c r="ED1181" s="60">
        <f>VLOOKUP($M1181,[1]Detail!$M:$BO,22,0)</f>
        <v>-0.628</v>
      </c>
      <c r="EE1181" s="60">
        <f>VLOOKUP($M1181,[1]Detail!$M:$BO,42,0)</f>
        <v>0</v>
      </c>
      <c r="EF1181" s="60">
        <f>VLOOKUP($M1181,[1]Detail!$M:$BO,45,0)</f>
        <v>0</v>
      </c>
      <c r="EH1181" s="60">
        <f t="shared" si="1406"/>
        <v>0</v>
      </c>
      <c r="EI1181" s="60">
        <f t="shared" si="1407"/>
        <v>0</v>
      </c>
      <c r="EJ1181" s="60">
        <f t="shared" si="1408"/>
        <v>0</v>
      </c>
    </row>
    <row r="1182" spans="2:140" hidden="1">
      <c r="B1182" s="1" t="s">
        <v>1924</v>
      </c>
      <c r="C1182" s="2" t="s">
        <v>1919</v>
      </c>
      <c r="D1182" s="1" t="s">
        <v>1920</v>
      </c>
      <c r="E1182" s="1" t="s">
        <v>347</v>
      </c>
      <c r="F1182" s="2" t="s">
        <v>348</v>
      </c>
      <c r="G1182" s="3" t="s">
        <v>1921</v>
      </c>
      <c r="J1182" s="2"/>
      <c r="K1182" s="1" t="s">
        <v>1930</v>
      </c>
      <c r="L1182" s="3" t="s">
        <v>1929</v>
      </c>
      <c r="M1182" s="2" t="str">
        <f t="shared" si="1367"/>
        <v>-W715871-S442</v>
      </c>
      <c r="O1182" s="89">
        <v>8</v>
      </c>
      <c r="P1182" s="89">
        <v>8</v>
      </c>
      <c r="Q1182" s="89">
        <v>8</v>
      </c>
      <c r="R1182" s="89">
        <v>8</v>
      </c>
      <c r="S1182" s="89">
        <v>8</v>
      </c>
      <c r="T1182" s="89">
        <v>8</v>
      </c>
      <c r="U1182" s="89">
        <v>8</v>
      </c>
      <c r="V1182" s="89">
        <v>8</v>
      </c>
      <c r="W1182" s="64">
        <f t="shared" si="1357"/>
        <v>8</v>
      </c>
      <c r="Y1182" s="63">
        <v>-1.7549999999999999</v>
      </c>
      <c r="Z1182" s="63">
        <v>-1.7999999999999999E-2</v>
      </c>
      <c r="AA1182" s="63">
        <v>-2.7E-2</v>
      </c>
      <c r="AB1182" s="63">
        <v>0</v>
      </c>
      <c r="AC1182" s="63">
        <v>0</v>
      </c>
      <c r="AD1182" s="8">
        <f t="shared" si="1396"/>
        <v>-1.7999999999999998</v>
      </c>
      <c r="AE1182" s="2" t="s">
        <v>91</v>
      </c>
      <c r="AG1182" s="61">
        <f t="shared" si="1404"/>
        <v>0</v>
      </c>
      <c r="AH1182" s="61">
        <f t="shared" si="1404"/>
        <v>0</v>
      </c>
      <c r="AI1182" s="61"/>
      <c r="AJ1182" s="61">
        <f t="shared" si="1405"/>
        <v>0</v>
      </c>
      <c r="AK1182" s="61">
        <f t="shared" si="1405"/>
        <v>0</v>
      </c>
      <c r="AM1182" s="22"/>
      <c r="AO1182" s="2"/>
      <c r="AP1182" s="3" t="s">
        <v>1930</v>
      </c>
      <c r="AQ1182" s="3" t="s">
        <v>1929</v>
      </c>
      <c r="AR1182" s="3" t="str">
        <f t="shared" si="1409"/>
        <v>-W715871-S442</v>
      </c>
      <c r="AT1182" s="2">
        <v>8</v>
      </c>
      <c r="AU1182" s="89">
        <v>8</v>
      </c>
      <c r="AV1182" s="89">
        <v>8</v>
      </c>
      <c r="AW1182" s="89">
        <v>8</v>
      </c>
      <c r="AX1182" s="89">
        <v>8</v>
      </c>
      <c r="AY1182" s="89">
        <v>8</v>
      </c>
      <c r="AZ1182" s="89">
        <v>8</v>
      </c>
      <c r="BA1182" s="89">
        <v>8</v>
      </c>
      <c r="BB1182" s="64">
        <f t="shared" si="1369"/>
        <v>8</v>
      </c>
      <c r="BD1182" s="63">
        <v>-1.7549999999999999</v>
      </c>
      <c r="BE1182" s="63">
        <v>-1.7999999999999999E-2</v>
      </c>
      <c r="BF1182" s="63">
        <v>-2.7E-2</v>
      </c>
      <c r="BG1182" s="63">
        <v>0</v>
      </c>
      <c r="BH1182" s="63">
        <v>0</v>
      </c>
      <c r="BI1182" s="63">
        <f t="shared" si="1371"/>
        <v>-1.7999999999999998</v>
      </c>
      <c r="BJ1182" s="2" t="s">
        <v>91</v>
      </c>
      <c r="BL1182" s="63">
        <v>0</v>
      </c>
      <c r="BM1182" s="63">
        <v>0</v>
      </c>
      <c r="BN1182" s="63"/>
      <c r="BO1182" s="63">
        <v>0</v>
      </c>
      <c r="BP1182" s="63">
        <v>0</v>
      </c>
      <c r="BS1182" s="61">
        <f t="shared" si="1388"/>
        <v>0</v>
      </c>
      <c r="BT1182" s="61">
        <f t="shared" si="1388"/>
        <v>0</v>
      </c>
      <c r="BU1182" s="61">
        <f t="shared" si="1389"/>
        <v>0</v>
      </c>
      <c r="BV1182" s="61">
        <f t="shared" si="1390"/>
        <v>0</v>
      </c>
      <c r="BW1182" s="61">
        <f t="shared" si="1390"/>
        <v>0</v>
      </c>
      <c r="BX1182" s="63">
        <f t="shared" si="1390"/>
        <v>0</v>
      </c>
      <c r="BY1182" s="61" t="s">
        <v>91</v>
      </c>
      <c r="CA1182" s="61">
        <f t="shared" si="1397"/>
        <v>0</v>
      </c>
      <c r="CB1182" s="61">
        <f t="shared" si="1397"/>
        <v>0</v>
      </c>
      <c r="CC1182" s="61">
        <f t="shared" si="1397"/>
        <v>0</v>
      </c>
      <c r="CD1182" s="61">
        <f t="shared" si="1397"/>
        <v>0</v>
      </c>
      <c r="CE1182" s="61">
        <f t="shared" si="1397"/>
        <v>0</v>
      </c>
      <c r="CF1182" s="61">
        <f t="shared" si="1397"/>
        <v>0</v>
      </c>
      <c r="CG1182" s="61">
        <f t="shared" si="1397"/>
        <v>0</v>
      </c>
      <c r="CH1182" s="61">
        <f t="shared" si="1342"/>
        <v>0</v>
      </c>
      <c r="CI1182" s="61">
        <f t="shared" si="1344"/>
        <v>0</v>
      </c>
      <c r="CK1182" s="61">
        <f t="shared" si="1356"/>
        <v>0</v>
      </c>
      <c r="CL1182" s="61">
        <f t="shared" si="1356"/>
        <v>0</v>
      </c>
      <c r="CM1182" s="61">
        <f t="shared" si="1356"/>
        <v>0</v>
      </c>
      <c r="CN1182" s="61">
        <f t="shared" si="1356"/>
        <v>0</v>
      </c>
      <c r="CO1182" s="61">
        <f t="shared" si="1356"/>
        <v>0</v>
      </c>
      <c r="CP1182" s="61">
        <f t="shared" si="1329"/>
        <v>0</v>
      </c>
      <c r="CQ1182" s="61">
        <f t="shared" si="1329"/>
        <v>0</v>
      </c>
      <c r="CR1182" s="61">
        <f t="shared" si="1329"/>
        <v>0</v>
      </c>
      <c r="CS1182" s="61">
        <f t="shared" si="1345"/>
        <v>0</v>
      </c>
      <c r="CT1182" s="63">
        <f t="shared" si="1348"/>
        <v>0</v>
      </c>
      <c r="CU1182" s="61"/>
      <c r="CV1182" s="61">
        <f t="shared" si="1398"/>
        <v>0</v>
      </c>
      <c r="CW1182" s="61">
        <f t="shared" si="1399"/>
        <v>0</v>
      </c>
      <c r="CY1182" s="61">
        <f t="shared" si="1402"/>
        <v>0</v>
      </c>
      <c r="CZ1182" s="61">
        <f t="shared" si="1400"/>
        <v>0</v>
      </c>
      <c r="DA1182" s="61">
        <f t="shared" si="1401"/>
        <v>0</v>
      </c>
      <c r="DB1182" s="2" t="s">
        <v>102</v>
      </c>
      <c r="DC1182" s="2" t="s">
        <v>102</v>
      </c>
      <c r="DD1182" s="2" t="s">
        <v>142</v>
      </c>
      <c r="DE1182" s="2" t="s">
        <v>257</v>
      </c>
      <c r="DF1182" s="3" t="s">
        <v>86</v>
      </c>
      <c r="DG1182" s="62">
        <v>42970</v>
      </c>
      <c r="EC1182" s="60" t="str">
        <f>VLOOKUP($M1182,[1]Detail!$M:$BO,1,0)</f>
        <v>-W715871-S442</v>
      </c>
      <c r="ED1182" s="60">
        <f>VLOOKUP($M1182,[1]Detail!$M:$BO,22,0)</f>
        <v>-1.7999999999999998</v>
      </c>
      <c r="EE1182" s="60">
        <f>VLOOKUP($M1182,[1]Detail!$M:$BO,42,0)</f>
        <v>0</v>
      </c>
      <c r="EF1182" s="60">
        <f>VLOOKUP($M1182,[1]Detail!$M:$BO,45,0)</f>
        <v>0</v>
      </c>
      <c r="EH1182" s="60">
        <f t="shared" si="1406"/>
        <v>0</v>
      </c>
      <c r="EI1182" s="60">
        <f t="shared" si="1407"/>
        <v>0</v>
      </c>
      <c r="EJ1182" s="60">
        <f t="shared" si="1408"/>
        <v>0</v>
      </c>
    </row>
    <row r="1183" spans="2:140" hidden="1">
      <c r="B1183" s="1" t="s">
        <v>1924</v>
      </c>
      <c r="C1183" s="2" t="s">
        <v>1919</v>
      </c>
      <c r="D1183" s="1" t="s">
        <v>1920</v>
      </c>
      <c r="E1183" s="1" t="s">
        <v>347</v>
      </c>
      <c r="F1183" s="2" t="s">
        <v>348</v>
      </c>
      <c r="G1183" s="3" t="s">
        <v>1921</v>
      </c>
      <c r="J1183" s="2"/>
      <c r="K1183" s="1" t="s">
        <v>1931</v>
      </c>
      <c r="L1183" s="3" t="s">
        <v>1929</v>
      </c>
      <c r="M1183" s="2" t="str">
        <f t="shared" si="1367"/>
        <v>-W718254-S442</v>
      </c>
      <c r="O1183" s="89">
        <v>1</v>
      </c>
      <c r="P1183" s="89">
        <v>1</v>
      </c>
      <c r="Q1183" s="89">
        <v>1</v>
      </c>
      <c r="R1183" s="89">
        <v>1</v>
      </c>
      <c r="S1183" s="89">
        <v>1</v>
      </c>
      <c r="T1183" s="89">
        <v>1</v>
      </c>
      <c r="U1183" s="89">
        <v>1</v>
      </c>
      <c r="V1183" s="89">
        <v>1</v>
      </c>
      <c r="W1183" s="64">
        <f t="shared" si="1357"/>
        <v>1</v>
      </c>
      <c r="Y1183" s="63">
        <v>-0.84399999999999997</v>
      </c>
      <c r="Z1183" s="63">
        <v>-7.0000000000000001E-3</v>
      </c>
      <c r="AA1183" s="63">
        <v>-8.9999999999999993E-3</v>
      </c>
      <c r="AB1183" s="63">
        <v>0</v>
      </c>
      <c r="AC1183" s="63">
        <v>0</v>
      </c>
      <c r="AD1183" s="8">
        <f t="shared" si="1396"/>
        <v>-0.86</v>
      </c>
      <c r="AE1183" s="2" t="s">
        <v>91</v>
      </c>
      <c r="AG1183" s="61">
        <f t="shared" si="1404"/>
        <v>0</v>
      </c>
      <c r="AH1183" s="61">
        <f t="shared" si="1404"/>
        <v>0</v>
      </c>
      <c r="AI1183" s="61"/>
      <c r="AJ1183" s="61">
        <f t="shared" si="1405"/>
        <v>0</v>
      </c>
      <c r="AK1183" s="61">
        <f t="shared" si="1405"/>
        <v>0</v>
      </c>
      <c r="AM1183" s="22"/>
      <c r="AO1183" s="2"/>
      <c r="AP1183" s="3" t="s">
        <v>1931</v>
      </c>
      <c r="AQ1183" s="3" t="s">
        <v>1929</v>
      </c>
      <c r="AR1183" s="3" t="str">
        <f t="shared" si="1409"/>
        <v>-W718254-S442</v>
      </c>
      <c r="AT1183" s="2">
        <v>1</v>
      </c>
      <c r="AU1183" s="89">
        <v>1</v>
      </c>
      <c r="AV1183" s="89">
        <v>1</v>
      </c>
      <c r="AW1183" s="89">
        <v>1</v>
      </c>
      <c r="AX1183" s="89">
        <v>1</v>
      </c>
      <c r="AY1183" s="89">
        <v>1</v>
      </c>
      <c r="AZ1183" s="89">
        <v>1</v>
      </c>
      <c r="BA1183" s="89">
        <v>1</v>
      </c>
      <c r="BB1183" s="64">
        <f t="shared" si="1369"/>
        <v>1</v>
      </c>
      <c r="BD1183" s="63">
        <v>-0.84399999999999997</v>
      </c>
      <c r="BE1183" s="63">
        <v>-7.0000000000000001E-3</v>
      </c>
      <c r="BF1183" s="63">
        <v>-8.9999999999999993E-3</v>
      </c>
      <c r="BG1183" s="63">
        <v>0</v>
      </c>
      <c r="BH1183" s="63">
        <v>0</v>
      </c>
      <c r="BI1183" s="63">
        <f t="shared" si="1371"/>
        <v>-0.86</v>
      </c>
      <c r="BJ1183" s="2" t="s">
        <v>91</v>
      </c>
      <c r="BL1183" s="63">
        <v>0</v>
      </c>
      <c r="BM1183" s="63">
        <v>0</v>
      </c>
      <c r="BN1183" s="63"/>
      <c r="BO1183" s="63">
        <v>0</v>
      </c>
      <c r="BP1183" s="63">
        <v>0</v>
      </c>
      <c r="BS1183" s="61">
        <f t="shared" si="1388"/>
        <v>0</v>
      </c>
      <c r="BT1183" s="61">
        <f t="shared" si="1388"/>
        <v>0</v>
      </c>
      <c r="BU1183" s="61">
        <f t="shared" si="1389"/>
        <v>0</v>
      </c>
      <c r="BV1183" s="61">
        <f t="shared" si="1390"/>
        <v>0</v>
      </c>
      <c r="BW1183" s="61">
        <f t="shared" si="1390"/>
        <v>0</v>
      </c>
      <c r="BX1183" s="63">
        <f t="shared" si="1390"/>
        <v>0</v>
      </c>
      <c r="BY1183" s="61" t="s">
        <v>91</v>
      </c>
      <c r="CA1183" s="61">
        <f t="shared" si="1397"/>
        <v>0</v>
      </c>
      <c r="CB1183" s="61">
        <f t="shared" si="1397"/>
        <v>0</v>
      </c>
      <c r="CC1183" s="61">
        <f t="shared" si="1397"/>
        <v>0</v>
      </c>
      <c r="CD1183" s="61">
        <f t="shared" si="1397"/>
        <v>0</v>
      </c>
      <c r="CE1183" s="61">
        <f t="shared" si="1397"/>
        <v>0</v>
      </c>
      <c r="CF1183" s="61">
        <f t="shared" si="1397"/>
        <v>0</v>
      </c>
      <c r="CG1183" s="61">
        <f t="shared" si="1397"/>
        <v>0</v>
      </c>
      <c r="CH1183" s="61">
        <f t="shared" si="1342"/>
        <v>0</v>
      </c>
      <c r="CI1183" s="61">
        <f t="shared" si="1344"/>
        <v>0</v>
      </c>
      <c r="CK1183" s="61">
        <f t="shared" si="1356"/>
        <v>0</v>
      </c>
      <c r="CL1183" s="61">
        <f t="shared" si="1356"/>
        <v>0</v>
      </c>
      <c r="CM1183" s="61">
        <f t="shared" si="1356"/>
        <v>0</v>
      </c>
      <c r="CN1183" s="61">
        <f t="shared" si="1356"/>
        <v>0</v>
      </c>
      <c r="CO1183" s="61">
        <f t="shared" si="1356"/>
        <v>0</v>
      </c>
      <c r="CP1183" s="61">
        <f t="shared" si="1329"/>
        <v>0</v>
      </c>
      <c r="CQ1183" s="61">
        <f t="shared" si="1329"/>
        <v>0</v>
      </c>
      <c r="CR1183" s="61">
        <f t="shared" si="1329"/>
        <v>0</v>
      </c>
      <c r="CS1183" s="61">
        <f t="shared" si="1345"/>
        <v>0</v>
      </c>
      <c r="CT1183" s="63">
        <f t="shared" si="1348"/>
        <v>0</v>
      </c>
      <c r="CU1183" s="61"/>
      <c r="CV1183" s="61">
        <f t="shared" si="1398"/>
        <v>0</v>
      </c>
      <c r="CW1183" s="61">
        <f t="shared" si="1399"/>
        <v>0</v>
      </c>
      <c r="CY1183" s="61">
        <f t="shared" si="1402"/>
        <v>0</v>
      </c>
      <c r="CZ1183" s="61">
        <f t="shared" si="1400"/>
        <v>0</v>
      </c>
      <c r="DA1183" s="61">
        <f t="shared" si="1401"/>
        <v>0</v>
      </c>
      <c r="DB1183" s="2" t="s">
        <v>102</v>
      </c>
      <c r="DC1183" s="2" t="s">
        <v>102</v>
      </c>
      <c r="DD1183" s="2" t="s">
        <v>142</v>
      </c>
      <c r="DE1183" s="2" t="s">
        <v>257</v>
      </c>
      <c r="DF1183" s="3" t="s">
        <v>86</v>
      </c>
      <c r="DG1183" s="62">
        <v>42970</v>
      </c>
      <c r="EC1183" s="60" t="str">
        <f>VLOOKUP($M1183,[1]Detail!$M:$BO,1,0)</f>
        <v>-W718254-S442</v>
      </c>
      <c r="ED1183" s="60">
        <f>VLOOKUP($M1183,[1]Detail!$M:$BO,22,0)</f>
        <v>-0.86</v>
      </c>
      <c r="EE1183" s="60">
        <f>VLOOKUP($M1183,[1]Detail!$M:$BO,42,0)</f>
        <v>0</v>
      </c>
      <c r="EF1183" s="60">
        <f>VLOOKUP($M1183,[1]Detail!$M:$BO,45,0)</f>
        <v>0</v>
      </c>
      <c r="EH1183" s="60">
        <f t="shared" si="1406"/>
        <v>0</v>
      </c>
      <c r="EI1183" s="60">
        <f t="shared" si="1407"/>
        <v>0</v>
      </c>
      <c r="EJ1183" s="60">
        <f t="shared" si="1408"/>
        <v>0</v>
      </c>
    </row>
    <row r="1184" spans="2:140" hidden="1">
      <c r="B1184" s="1" t="s">
        <v>1932</v>
      </c>
      <c r="C1184" s="2" t="s">
        <v>1919</v>
      </c>
      <c r="D1184" s="1" t="s">
        <v>1920</v>
      </c>
      <c r="E1184" s="1" t="s">
        <v>347</v>
      </c>
      <c r="F1184" s="2" t="s">
        <v>348</v>
      </c>
      <c r="G1184" s="3" t="s">
        <v>1921</v>
      </c>
      <c r="K1184" s="1" t="s">
        <v>1933</v>
      </c>
      <c r="L1184" s="3" t="s">
        <v>1929</v>
      </c>
      <c r="M1184" s="2" t="str">
        <f t="shared" si="1367"/>
        <v>-W709396-S442</v>
      </c>
      <c r="O1184" s="89">
        <v>0</v>
      </c>
      <c r="P1184" s="89">
        <v>0</v>
      </c>
      <c r="Q1184" s="89">
        <v>2</v>
      </c>
      <c r="R1184" s="89">
        <v>2</v>
      </c>
      <c r="S1184" s="89">
        <v>2</v>
      </c>
      <c r="T1184" s="89">
        <v>2</v>
      </c>
      <c r="U1184" s="89">
        <v>2</v>
      </c>
      <c r="V1184" s="89">
        <v>2</v>
      </c>
      <c r="W1184" s="64">
        <f t="shared" si="1357"/>
        <v>1.4000000000000001</v>
      </c>
      <c r="Y1184" s="63">
        <v>-0.29720000000000002</v>
      </c>
      <c r="Z1184" s="63">
        <v>-4.7999999999999996E-3</v>
      </c>
      <c r="AA1184" s="63">
        <v>-8.0000000000000002E-3</v>
      </c>
      <c r="AB1184" s="63">
        <v>0</v>
      </c>
      <c r="AC1184" s="63">
        <v>0</v>
      </c>
      <c r="AD1184" s="8">
        <f t="shared" si="1396"/>
        <v>-0.31000000000000005</v>
      </c>
      <c r="AE1184" s="2" t="s">
        <v>91</v>
      </c>
      <c r="AG1184" s="61">
        <f t="shared" si="1404"/>
        <v>0</v>
      </c>
      <c r="AH1184" s="61">
        <f t="shared" si="1404"/>
        <v>0</v>
      </c>
      <c r="AI1184" s="61"/>
      <c r="AJ1184" s="61">
        <f t="shared" si="1405"/>
        <v>0</v>
      </c>
      <c r="AK1184" s="61">
        <f t="shared" si="1405"/>
        <v>0</v>
      </c>
      <c r="AM1184" s="22"/>
      <c r="AP1184" s="3" t="s">
        <v>1933</v>
      </c>
      <c r="AQ1184" s="3" t="s">
        <v>1929</v>
      </c>
      <c r="AR1184" s="2" t="str">
        <f t="shared" ref="AR1184:AR1196" si="1410">TRIM(AO1184)&amp;"-"&amp;TRIM(AP1184)&amp;"-"&amp;TRIM(AQ1184)</f>
        <v>-W709396-S442</v>
      </c>
      <c r="AS1184" s="3"/>
      <c r="AT1184" s="89">
        <v>0</v>
      </c>
      <c r="AU1184" s="89">
        <v>0</v>
      </c>
      <c r="AV1184" s="89">
        <v>2</v>
      </c>
      <c r="AW1184" s="89">
        <v>2</v>
      </c>
      <c r="AX1184" s="89">
        <v>2</v>
      </c>
      <c r="AY1184" s="89">
        <v>2</v>
      </c>
      <c r="AZ1184" s="89">
        <v>2</v>
      </c>
      <c r="BA1184" s="89">
        <v>2</v>
      </c>
      <c r="BB1184" s="64">
        <f t="shared" si="1369"/>
        <v>1.4000000000000001</v>
      </c>
      <c r="BD1184" s="63">
        <v>-0.29720000000000002</v>
      </c>
      <c r="BE1184" s="63">
        <v>-4.7999999999999996E-3</v>
      </c>
      <c r="BF1184" s="63">
        <v>-8.0000000000000002E-3</v>
      </c>
      <c r="BG1184" s="63">
        <v>0</v>
      </c>
      <c r="BH1184" s="63">
        <v>0</v>
      </c>
      <c r="BI1184" s="8">
        <f t="shared" si="1371"/>
        <v>-0.31000000000000005</v>
      </c>
      <c r="BJ1184" s="2" t="s">
        <v>91</v>
      </c>
      <c r="BL1184" s="61">
        <f t="shared" ref="BL1184:BM1196" si="1411">CQ1184</f>
        <v>0</v>
      </c>
      <c r="BM1184" s="61">
        <f t="shared" si="1411"/>
        <v>0</v>
      </c>
      <c r="BN1184" s="61"/>
      <c r="BO1184" s="61">
        <f t="shared" ref="BO1184:BP1196" si="1412">CT1184</f>
        <v>0</v>
      </c>
      <c r="BP1184" s="61">
        <f t="shared" si="1412"/>
        <v>0</v>
      </c>
      <c r="BS1184" s="61">
        <f t="shared" si="1388"/>
        <v>0</v>
      </c>
      <c r="BT1184" s="61">
        <f t="shared" si="1388"/>
        <v>0</v>
      </c>
      <c r="BU1184" s="61">
        <f t="shared" si="1389"/>
        <v>0</v>
      </c>
      <c r="BV1184" s="61">
        <f t="shared" si="1390"/>
        <v>0</v>
      </c>
      <c r="BW1184" s="61">
        <f t="shared" si="1390"/>
        <v>0</v>
      </c>
      <c r="BX1184" s="63">
        <f t="shared" si="1390"/>
        <v>0</v>
      </c>
      <c r="BY1184" s="61" t="s">
        <v>91</v>
      </c>
      <c r="CA1184" s="61">
        <f t="shared" si="1397"/>
        <v>0</v>
      </c>
      <c r="CB1184" s="61">
        <f t="shared" si="1397"/>
        <v>0</v>
      </c>
      <c r="CC1184" s="61">
        <f t="shared" si="1397"/>
        <v>0</v>
      </c>
      <c r="CD1184" s="61">
        <f t="shared" si="1397"/>
        <v>0</v>
      </c>
      <c r="CE1184" s="61">
        <f t="shared" si="1397"/>
        <v>0</v>
      </c>
      <c r="CF1184" s="61">
        <f t="shared" si="1397"/>
        <v>0</v>
      </c>
      <c r="CG1184" s="61">
        <f t="shared" si="1397"/>
        <v>0</v>
      </c>
      <c r="CH1184" s="61">
        <f t="shared" si="1342"/>
        <v>0</v>
      </c>
      <c r="CI1184" s="61">
        <f t="shared" si="1344"/>
        <v>0</v>
      </c>
      <c r="CK1184" s="61">
        <f t="shared" si="1356"/>
        <v>0</v>
      </c>
      <c r="CL1184" s="61">
        <f t="shared" si="1356"/>
        <v>0</v>
      </c>
      <c r="CM1184" s="61">
        <f t="shared" si="1356"/>
        <v>0</v>
      </c>
      <c r="CN1184" s="61">
        <f t="shared" si="1356"/>
        <v>0</v>
      </c>
      <c r="CO1184" s="61">
        <f t="shared" si="1356"/>
        <v>0</v>
      </c>
      <c r="CP1184" s="61">
        <f t="shared" si="1329"/>
        <v>0</v>
      </c>
      <c r="CQ1184" s="61">
        <f t="shared" si="1329"/>
        <v>0</v>
      </c>
      <c r="CR1184" s="61">
        <f t="shared" si="1329"/>
        <v>0</v>
      </c>
      <c r="CS1184" s="61">
        <f t="shared" si="1345"/>
        <v>0</v>
      </c>
      <c r="CT1184" s="63">
        <f t="shared" si="1348"/>
        <v>0</v>
      </c>
      <c r="CU1184" s="61"/>
      <c r="CV1184" s="61">
        <f t="shared" si="1398"/>
        <v>0</v>
      </c>
      <c r="CW1184" s="61">
        <f t="shared" si="1399"/>
        <v>0</v>
      </c>
      <c r="CY1184" s="61">
        <f t="shared" si="1402"/>
        <v>0</v>
      </c>
      <c r="CZ1184" s="61">
        <f t="shared" si="1400"/>
        <v>0</v>
      </c>
      <c r="DA1184" s="61">
        <f t="shared" si="1401"/>
        <v>0</v>
      </c>
      <c r="DB1184" s="2" t="s">
        <v>102</v>
      </c>
      <c r="DC1184" s="2" t="s">
        <v>102</v>
      </c>
      <c r="DD1184" s="2" t="s">
        <v>142</v>
      </c>
      <c r="DE1184" s="2" t="s">
        <v>257</v>
      </c>
      <c r="EC1184" s="60" t="str">
        <f>VLOOKUP($M1184,[1]Detail!$M:$BO,1,0)</f>
        <v>-W709396-S442</v>
      </c>
      <c r="ED1184" s="60">
        <f>VLOOKUP($M1184,[1]Detail!$M:$BO,22,0)</f>
        <v>-0.31000000000000005</v>
      </c>
      <c r="EE1184" s="60">
        <f>VLOOKUP($M1184,[1]Detail!$M:$BO,42,0)</f>
        <v>0</v>
      </c>
      <c r="EF1184" s="60">
        <f>VLOOKUP($M1184,[1]Detail!$M:$BO,45,0)</f>
        <v>0</v>
      </c>
      <c r="EH1184" s="60">
        <f t="shared" si="1406"/>
        <v>0</v>
      </c>
      <c r="EI1184" s="60">
        <f t="shared" si="1407"/>
        <v>0</v>
      </c>
      <c r="EJ1184" s="60">
        <f t="shared" si="1408"/>
        <v>0</v>
      </c>
    </row>
    <row r="1185" spans="2:140" ht="12.75" hidden="1" customHeight="1">
      <c r="B1185" s="1" t="s">
        <v>1932</v>
      </c>
      <c r="C1185" s="2" t="s">
        <v>1919</v>
      </c>
      <c r="D1185" s="1" t="s">
        <v>1920</v>
      </c>
      <c r="E1185" s="1" t="s">
        <v>347</v>
      </c>
      <c r="F1185" s="2" t="s">
        <v>348</v>
      </c>
      <c r="G1185" s="3" t="s">
        <v>1921</v>
      </c>
      <c r="K1185" s="1" t="s">
        <v>1934</v>
      </c>
      <c r="L1185" s="3" t="s">
        <v>1927</v>
      </c>
      <c r="M1185" s="2" t="str">
        <f t="shared" si="1367"/>
        <v>-W712428-S437</v>
      </c>
      <c r="O1185" s="89">
        <v>2</v>
      </c>
      <c r="P1185" s="89">
        <v>2</v>
      </c>
      <c r="Q1185" s="89">
        <v>2</v>
      </c>
      <c r="R1185" s="89">
        <v>2</v>
      </c>
      <c r="S1185" s="89">
        <v>2</v>
      </c>
      <c r="T1185" s="89">
        <v>2</v>
      </c>
      <c r="U1185" s="89">
        <v>2</v>
      </c>
      <c r="V1185" s="89">
        <v>2</v>
      </c>
      <c r="W1185" s="64">
        <f t="shared" si="1357"/>
        <v>2</v>
      </c>
      <c r="Y1185" s="63">
        <v>-0.2104</v>
      </c>
      <c r="Z1185" s="63">
        <v>-3.5999999999999999E-3</v>
      </c>
      <c r="AA1185" s="63">
        <v>-6.0000000000000001E-3</v>
      </c>
      <c r="AB1185" s="63">
        <v>0</v>
      </c>
      <c r="AC1185" s="63">
        <v>0</v>
      </c>
      <c r="AD1185" s="8">
        <f t="shared" si="1396"/>
        <v>-0.22</v>
      </c>
      <c r="AE1185" s="2" t="s">
        <v>91</v>
      </c>
      <c r="AG1185" s="61">
        <f t="shared" si="1404"/>
        <v>0</v>
      </c>
      <c r="AH1185" s="61">
        <f t="shared" si="1404"/>
        <v>0</v>
      </c>
      <c r="AI1185" s="61"/>
      <c r="AJ1185" s="61">
        <f t="shared" si="1405"/>
        <v>0</v>
      </c>
      <c r="AK1185" s="61">
        <f t="shared" si="1405"/>
        <v>0</v>
      </c>
      <c r="AM1185" s="22"/>
      <c r="AP1185" s="3" t="s">
        <v>1934</v>
      </c>
      <c r="AQ1185" s="3" t="s">
        <v>1927</v>
      </c>
      <c r="AR1185" s="2" t="str">
        <f t="shared" si="1410"/>
        <v>-W712428-S437</v>
      </c>
      <c r="AS1185" s="3"/>
      <c r="AT1185" s="89">
        <v>2</v>
      </c>
      <c r="AU1185" s="89">
        <v>2</v>
      </c>
      <c r="AV1185" s="89">
        <v>2</v>
      </c>
      <c r="AW1185" s="89">
        <v>2</v>
      </c>
      <c r="AX1185" s="89">
        <v>2</v>
      </c>
      <c r="AY1185" s="89">
        <v>2</v>
      </c>
      <c r="AZ1185" s="89">
        <v>2</v>
      </c>
      <c r="BA1185" s="89">
        <v>2</v>
      </c>
      <c r="BB1185" s="64">
        <f t="shared" si="1369"/>
        <v>2</v>
      </c>
      <c r="BD1185" s="63">
        <v>-0.2104</v>
      </c>
      <c r="BE1185" s="63">
        <v>-3.5999999999999999E-3</v>
      </c>
      <c r="BF1185" s="63">
        <v>-6.0000000000000001E-3</v>
      </c>
      <c r="BG1185" s="63">
        <v>0</v>
      </c>
      <c r="BH1185" s="63">
        <v>0</v>
      </c>
      <c r="BI1185" s="8">
        <f t="shared" si="1371"/>
        <v>-0.22</v>
      </c>
      <c r="BJ1185" s="2" t="s">
        <v>91</v>
      </c>
      <c r="BL1185" s="61">
        <f t="shared" si="1411"/>
        <v>0</v>
      </c>
      <c r="BM1185" s="61">
        <f t="shared" si="1411"/>
        <v>0</v>
      </c>
      <c r="BN1185" s="61"/>
      <c r="BO1185" s="61">
        <f t="shared" si="1412"/>
        <v>0</v>
      </c>
      <c r="BP1185" s="61">
        <f t="shared" si="1412"/>
        <v>0</v>
      </c>
      <c r="BS1185" s="61">
        <f t="shared" si="1388"/>
        <v>0</v>
      </c>
      <c r="BT1185" s="61">
        <f t="shared" si="1388"/>
        <v>0</v>
      </c>
      <c r="BU1185" s="61">
        <f t="shared" si="1389"/>
        <v>0</v>
      </c>
      <c r="BV1185" s="61">
        <f t="shared" si="1390"/>
        <v>0</v>
      </c>
      <c r="BW1185" s="61">
        <f t="shared" si="1390"/>
        <v>0</v>
      </c>
      <c r="BX1185" s="63">
        <f t="shared" si="1390"/>
        <v>0</v>
      </c>
      <c r="BY1185" s="61" t="s">
        <v>91</v>
      </c>
      <c r="CA1185" s="61">
        <f t="shared" si="1397"/>
        <v>0</v>
      </c>
      <c r="CB1185" s="61">
        <f t="shared" si="1397"/>
        <v>0</v>
      </c>
      <c r="CC1185" s="61">
        <f t="shared" si="1397"/>
        <v>0</v>
      </c>
      <c r="CD1185" s="61">
        <f t="shared" si="1397"/>
        <v>0</v>
      </c>
      <c r="CE1185" s="61">
        <f t="shared" si="1397"/>
        <v>0</v>
      </c>
      <c r="CF1185" s="61">
        <f t="shared" si="1397"/>
        <v>0</v>
      </c>
      <c r="CG1185" s="61">
        <f t="shared" si="1397"/>
        <v>0</v>
      </c>
      <c r="CH1185" s="61">
        <f t="shared" si="1342"/>
        <v>0</v>
      </c>
      <c r="CI1185" s="61">
        <f t="shared" si="1344"/>
        <v>0</v>
      </c>
      <c r="CK1185" s="61">
        <f t="shared" si="1356"/>
        <v>0</v>
      </c>
      <c r="CL1185" s="61">
        <f t="shared" si="1356"/>
        <v>0</v>
      </c>
      <c r="CM1185" s="61">
        <f t="shared" si="1356"/>
        <v>0</v>
      </c>
      <c r="CN1185" s="61">
        <f t="shared" si="1356"/>
        <v>0</v>
      </c>
      <c r="CO1185" s="61">
        <f t="shared" si="1356"/>
        <v>0</v>
      </c>
      <c r="CP1185" s="61">
        <f t="shared" si="1329"/>
        <v>0</v>
      </c>
      <c r="CQ1185" s="61">
        <f t="shared" si="1329"/>
        <v>0</v>
      </c>
      <c r="CR1185" s="61">
        <f t="shared" si="1329"/>
        <v>0</v>
      </c>
      <c r="CS1185" s="61">
        <f t="shared" si="1345"/>
        <v>0</v>
      </c>
      <c r="CT1185" s="63">
        <f t="shared" si="1348"/>
        <v>0</v>
      </c>
      <c r="CU1185" s="61"/>
      <c r="CV1185" s="61">
        <f t="shared" si="1398"/>
        <v>0</v>
      </c>
      <c r="CW1185" s="61">
        <f t="shared" si="1399"/>
        <v>0</v>
      </c>
      <c r="CY1185" s="61">
        <f t="shared" si="1402"/>
        <v>0</v>
      </c>
      <c r="CZ1185" s="61">
        <f t="shared" si="1400"/>
        <v>0</v>
      </c>
      <c r="DA1185" s="61">
        <f t="shared" si="1401"/>
        <v>0</v>
      </c>
      <c r="DB1185" s="2" t="s">
        <v>102</v>
      </c>
      <c r="DC1185" s="2" t="s">
        <v>102</v>
      </c>
      <c r="DD1185" s="2" t="s">
        <v>142</v>
      </c>
      <c r="DE1185" s="2" t="s">
        <v>257</v>
      </c>
      <c r="EC1185" s="60" t="str">
        <f>VLOOKUP($M1185,[1]Detail!$M:$BO,1,0)</f>
        <v>-W712428-S437</v>
      </c>
      <c r="ED1185" s="60">
        <f>VLOOKUP($M1185,[1]Detail!$M:$BO,22,0)</f>
        <v>-0.22</v>
      </c>
      <c r="EE1185" s="60">
        <f>VLOOKUP($M1185,[1]Detail!$M:$BO,42,0)</f>
        <v>0</v>
      </c>
      <c r="EF1185" s="60">
        <f>VLOOKUP($M1185,[1]Detail!$M:$BO,45,0)</f>
        <v>0</v>
      </c>
      <c r="EH1185" s="60">
        <f t="shared" si="1406"/>
        <v>0</v>
      </c>
      <c r="EI1185" s="60">
        <f t="shared" si="1407"/>
        <v>0</v>
      </c>
      <c r="EJ1185" s="60">
        <f t="shared" si="1408"/>
        <v>0</v>
      </c>
    </row>
    <row r="1186" spans="2:140" ht="12.75" hidden="1" customHeight="1">
      <c r="B1186" s="1" t="s">
        <v>1932</v>
      </c>
      <c r="C1186" s="2" t="s">
        <v>1919</v>
      </c>
      <c r="D1186" s="1" t="s">
        <v>1920</v>
      </c>
      <c r="E1186" s="1" t="s">
        <v>347</v>
      </c>
      <c r="F1186" s="2" t="s">
        <v>348</v>
      </c>
      <c r="G1186" s="3" t="s">
        <v>1921</v>
      </c>
      <c r="K1186" s="1" t="s">
        <v>1935</v>
      </c>
      <c r="L1186" s="3" t="s">
        <v>1936</v>
      </c>
      <c r="M1186" s="2" t="str">
        <f t="shared" si="1367"/>
        <v>-W716745-S450B</v>
      </c>
      <c r="O1186" s="89">
        <v>6</v>
      </c>
      <c r="P1186" s="89">
        <v>6</v>
      </c>
      <c r="Q1186" s="89">
        <v>6</v>
      </c>
      <c r="R1186" s="89">
        <v>6</v>
      </c>
      <c r="S1186" s="89">
        <v>6</v>
      </c>
      <c r="T1186" s="89">
        <v>6</v>
      </c>
      <c r="U1186" s="89">
        <v>6</v>
      </c>
      <c r="V1186" s="89">
        <v>6</v>
      </c>
      <c r="W1186" s="64">
        <f t="shared" si="1357"/>
        <v>6</v>
      </c>
      <c r="Y1186" s="63">
        <v>-0.24360000000000001</v>
      </c>
      <c r="Z1186" s="63">
        <v>-2.3999999999999998E-3</v>
      </c>
      <c r="AA1186" s="63">
        <v>-4.0000000000000001E-3</v>
      </c>
      <c r="AB1186" s="63">
        <v>0</v>
      </c>
      <c r="AC1186" s="63">
        <v>0</v>
      </c>
      <c r="AD1186" s="8">
        <f t="shared" si="1396"/>
        <v>-0.25</v>
      </c>
      <c r="AE1186" s="2" t="s">
        <v>91</v>
      </c>
      <c r="AG1186" s="61">
        <f t="shared" si="1404"/>
        <v>0</v>
      </c>
      <c r="AH1186" s="61">
        <f t="shared" si="1404"/>
        <v>0</v>
      </c>
      <c r="AI1186" s="61"/>
      <c r="AJ1186" s="61">
        <f t="shared" si="1405"/>
        <v>0</v>
      </c>
      <c r="AK1186" s="61">
        <f t="shared" si="1405"/>
        <v>0</v>
      </c>
      <c r="AM1186" s="22"/>
      <c r="AP1186" s="3" t="s">
        <v>1935</v>
      </c>
      <c r="AQ1186" s="3" t="s">
        <v>1936</v>
      </c>
      <c r="AR1186" s="2" t="str">
        <f t="shared" si="1410"/>
        <v>-W716745-S450B</v>
      </c>
      <c r="AS1186" s="3"/>
      <c r="AT1186" s="89">
        <v>6</v>
      </c>
      <c r="AU1186" s="89">
        <v>6</v>
      </c>
      <c r="AV1186" s="89">
        <v>6</v>
      </c>
      <c r="AW1186" s="89">
        <v>6</v>
      </c>
      <c r="AX1186" s="89">
        <v>6</v>
      </c>
      <c r="AY1186" s="89">
        <v>6</v>
      </c>
      <c r="AZ1186" s="89">
        <v>6</v>
      </c>
      <c r="BA1186" s="89">
        <v>6</v>
      </c>
      <c r="BB1186" s="64">
        <f t="shared" si="1369"/>
        <v>6</v>
      </c>
      <c r="BD1186" s="63">
        <v>-0.24360000000000001</v>
      </c>
      <c r="BE1186" s="63">
        <v>-2.3999999999999998E-3</v>
      </c>
      <c r="BF1186" s="63">
        <v>-4.0000000000000001E-3</v>
      </c>
      <c r="BG1186" s="63">
        <v>0</v>
      </c>
      <c r="BH1186" s="63">
        <v>0</v>
      </c>
      <c r="BI1186" s="8">
        <f t="shared" si="1371"/>
        <v>-0.25</v>
      </c>
      <c r="BJ1186" s="2" t="s">
        <v>91</v>
      </c>
      <c r="BL1186" s="61">
        <f t="shared" si="1411"/>
        <v>0</v>
      </c>
      <c r="BM1186" s="61">
        <f t="shared" si="1411"/>
        <v>0</v>
      </c>
      <c r="BN1186" s="61"/>
      <c r="BO1186" s="61">
        <f t="shared" si="1412"/>
        <v>0</v>
      </c>
      <c r="BP1186" s="61">
        <f t="shared" si="1412"/>
        <v>0</v>
      </c>
      <c r="BS1186" s="61">
        <f t="shared" si="1388"/>
        <v>0</v>
      </c>
      <c r="BT1186" s="61">
        <f t="shared" si="1388"/>
        <v>0</v>
      </c>
      <c r="BU1186" s="61">
        <f t="shared" si="1389"/>
        <v>0</v>
      </c>
      <c r="BV1186" s="61">
        <f t="shared" si="1390"/>
        <v>0</v>
      </c>
      <c r="BW1186" s="61">
        <f t="shared" si="1390"/>
        <v>0</v>
      </c>
      <c r="BX1186" s="63">
        <f t="shared" si="1390"/>
        <v>0</v>
      </c>
      <c r="BY1186" s="61" t="s">
        <v>91</v>
      </c>
      <c r="CA1186" s="61">
        <f t="shared" si="1397"/>
        <v>0</v>
      </c>
      <c r="CB1186" s="61">
        <f t="shared" si="1397"/>
        <v>0</v>
      </c>
      <c r="CC1186" s="61">
        <f t="shared" si="1397"/>
        <v>0</v>
      </c>
      <c r="CD1186" s="61">
        <f t="shared" si="1397"/>
        <v>0</v>
      </c>
      <c r="CE1186" s="61">
        <f t="shared" si="1397"/>
        <v>0</v>
      </c>
      <c r="CF1186" s="61">
        <f t="shared" si="1397"/>
        <v>0</v>
      </c>
      <c r="CG1186" s="61">
        <f t="shared" si="1397"/>
        <v>0</v>
      </c>
      <c r="CH1186" s="61">
        <f t="shared" si="1342"/>
        <v>0</v>
      </c>
      <c r="CI1186" s="61">
        <f t="shared" si="1344"/>
        <v>0</v>
      </c>
      <c r="CK1186" s="61">
        <f t="shared" si="1356"/>
        <v>0</v>
      </c>
      <c r="CL1186" s="61">
        <f t="shared" si="1356"/>
        <v>0</v>
      </c>
      <c r="CM1186" s="61">
        <f t="shared" si="1356"/>
        <v>0</v>
      </c>
      <c r="CN1186" s="61">
        <f t="shared" si="1356"/>
        <v>0</v>
      </c>
      <c r="CO1186" s="61">
        <f t="shared" si="1356"/>
        <v>0</v>
      </c>
      <c r="CP1186" s="61">
        <f t="shared" si="1329"/>
        <v>0</v>
      </c>
      <c r="CQ1186" s="61">
        <f t="shared" si="1329"/>
        <v>0</v>
      </c>
      <c r="CR1186" s="61">
        <f t="shared" si="1329"/>
        <v>0</v>
      </c>
      <c r="CS1186" s="61">
        <f t="shared" si="1345"/>
        <v>0</v>
      </c>
      <c r="CT1186" s="63">
        <f t="shared" si="1348"/>
        <v>0</v>
      </c>
      <c r="CU1186" s="61"/>
      <c r="CV1186" s="61">
        <f t="shared" si="1398"/>
        <v>0</v>
      </c>
      <c r="CW1186" s="61">
        <f t="shared" si="1399"/>
        <v>0</v>
      </c>
      <c r="CY1186" s="61">
        <f t="shared" si="1402"/>
        <v>0</v>
      </c>
      <c r="CZ1186" s="61">
        <f t="shared" si="1400"/>
        <v>0</v>
      </c>
      <c r="DA1186" s="61">
        <f t="shared" si="1401"/>
        <v>0</v>
      </c>
      <c r="DB1186" s="2" t="s">
        <v>102</v>
      </c>
      <c r="DC1186" s="2" t="s">
        <v>102</v>
      </c>
      <c r="DD1186" s="2" t="s">
        <v>142</v>
      </c>
      <c r="DE1186" s="2" t="s">
        <v>257</v>
      </c>
      <c r="EC1186" s="60" t="str">
        <f>VLOOKUP($M1186,[1]Detail!$M:$BO,1,0)</f>
        <v>-W716745-S450B</v>
      </c>
      <c r="ED1186" s="60">
        <f>VLOOKUP($M1186,[1]Detail!$M:$BO,22,0)</f>
        <v>-0.25</v>
      </c>
      <c r="EE1186" s="60">
        <f>VLOOKUP($M1186,[1]Detail!$M:$BO,42,0)</f>
        <v>0</v>
      </c>
      <c r="EF1186" s="60">
        <f>VLOOKUP($M1186,[1]Detail!$M:$BO,45,0)</f>
        <v>0</v>
      </c>
      <c r="EH1186" s="60">
        <f t="shared" si="1406"/>
        <v>0</v>
      </c>
      <c r="EI1186" s="60">
        <f t="shared" si="1407"/>
        <v>0</v>
      </c>
      <c r="EJ1186" s="60">
        <f t="shared" si="1408"/>
        <v>0</v>
      </c>
    </row>
    <row r="1187" spans="2:140" ht="12.75" hidden="1" customHeight="1">
      <c r="B1187" s="1" t="s">
        <v>1937</v>
      </c>
      <c r="C1187" s="2" t="s">
        <v>1938</v>
      </c>
      <c r="D1187" s="1" t="s">
        <v>1939</v>
      </c>
      <c r="E1187" s="1" t="s">
        <v>347</v>
      </c>
      <c r="F1187" s="2" t="s">
        <v>348</v>
      </c>
      <c r="G1187" s="3" t="s">
        <v>1921</v>
      </c>
      <c r="K1187" s="1" t="s">
        <v>1940</v>
      </c>
      <c r="L1187" s="3" t="s">
        <v>1923</v>
      </c>
      <c r="M1187" s="2" t="str">
        <f t="shared" si="1367"/>
        <v>-W520101-S450</v>
      </c>
      <c r="O1187" s="89">
        <v>0</v>
      </c>
      <c r="P1187" s="89">
        <v>1</v>
      </c>
      <c r="Q1187" s="89">
        <v>0</v>
      </c>
      <c r="R1187" s="89">
        <v>0</v>
      </c>
      <c r="S1187" s="89">
        <v>1</v>
      </c>
      <c r="T1187" s="89">
        <v>0</v>
      </c>
      <c r="U1187" s="89">
        <v>1</v>
      </c>
      <c r="V1187" s="89">
        <v>1</v>
      </c>
      <c r="W1187" s="64">
        <f t="shared" si="1357"/>
        <v>0.35</v>
      </c>
      <c r="Y1187" s="63">
        <v>-0.126</v>
      </c>
      <c r="Z1187" s="63">
        <v>-1E-3</v>
      </c>
      <c r="AA1187" s="63">
        <v>-1E-3</v>
      </c>
      <c r="AB1187" s="63">
        <v>0</v>
      </c>
      <c r="AC1187" s="63">
        <v>0</v>
      </c>
      <c r="AD1187" s="8">
        <f t="shared" si="1396"/>
        <v>-0.128</v>
      </c>
      <c r="AE1187" s="2" t="s">
        <v>91</v>
      </c>
      <c r="AG1187" s="61">
        <f t="shared" si="1404"/>
        <v>0</v>
      </c>
      <c r="AH1187" s="61">
        <f t="shared" si="1404"/>
        <v>0</v>
      </c>
      <c r="AI1187" s="61"/>
      <c r="AJ1187" s="61">
        <f t="shared" si="1405"/>
        <v>0</v>
      </c>
      <c r="AK1187" s="61">
        <f t="shared" si="1405"/>
        <v>0</v>
      </c>
      <c r="AM1187" s="22"/>
      <c r="AP1187" s="3" t="s">
        <v>1940</v>
      </c>
      <c r="AQ1187" s="3" t="s">
        <v>1923</v>
      </c>
      <c r="AR1187" s="2" t="str">
        <f t="shared" si="1410"/>
        <v>-W520101-S450</v>
      </c>
      <c r="AS1187" s="3"/>
      <c r="AT1187" s="89">
        <v>0</v>
      </c>
      <c r="AU1187" s="89">
        <v>1</v>
      </c>
      <c r="AV1187" s="89">
        <v>0</v>
      </c>
      <c r="AW1187" s="89">
        <v>0</v>
      </c>
      <c r="AX1187" s="89">
        <v>1</v>
      </c>
      <c r="AY1187" s="89">
        <v>0</v>
      </c>
      <c r="AZ1187" s="89">
        <v>1</v>
      </c>
      <c r="BA1187" s="89">
        <v>1</v>
      </c>
      <c r="BB1187" s="64">
        <f t="shared" si="1369"/>
        <v>0.35</v>
      </c>
      <c r="BD1187" s="63">
        <v>-0.126</v>
      </c>
      <c r="BE1187" s="63">
        <v>-1E-3</v>
      </c>
      <c r="BF1187" s="63">
        <v>-1E-3</v>
      </c>
      <c r="BG1187" s="63">
        <v>0</v>
      </c>
      <c r="BH1187" s="63">
        <v>0</v>
      </c>
      <c r="BI1187" s="8">
        <f t="shared" si="1371"/>
        <v>-0.128</v>
      </c>
      <c r="BJ1187" s="2" t="s">
        <v>91</v>
      </c>
      <c r="BL1187" s="61">
        <f t="shared" si="1411"/>
        <v>0</v>
      </c>
      <c r="BM1187" s="61">
        <f t="shared" si="1411"/>
        <v>0</v>
      </c>
      <c r="BN1187" s="61"/>
      <c r="BO1187" s="61">
        <f t="shared" si="1412"/>
        <v>0</v>
      </c>
      <c r="BP1187" s="61">
        <f t="shared" si="1412"/>
        <v>0</v>
      </c>
      <c r="BS1187" s="61">
        <f t="shared" si="1388"/>
        <v>0</v>
      </c>
      <c r="BT1187" s="61">
        <f t="shared" si="1388"/>
        <v>0</v>
      </c>
      <c r="BU1187" s="61">
        <f t="shared" si="1389"/>
        <v>0</v>
      </c>
      <c r="BV1187" s="61">
        <f t="shared" si="1390"/>
        <v>0</v>
      </c>
      <c r="BW1187" s="61">
        <f t="shared" si="1390"/>
        <v>0</v>
      </c>
      <c r="BX1187" s="63">
        <f t="shared" si="1390"/>
        <v>0</v>
      </c>
      <c r="BY1187" s="61" t="s">
        <v>91</v>
      </c>
      <c r="CA1187" s="61">
        <f t="shared" si="1397"/>
        <v>0</v>
      </c>
      <c r="CB1187" s="61">
        <f t="shared" si="1397"/>
        <v>0</v>
      </c>
      <c r="CC1187" s="61">
        <f t="shared" si="1397"/>
        <v>0</v>
      </c>
      <c r="CD1187" s="61">
        <f t="shared" si="1397"/>
        <v>0</v>
      </c>
      <c r="CE1187" s="61">
        <f t="shared" si="1397"/>
        <v>0</v>
      </c>
      <c r="CF1187" s="61">
        <f t="shared" si="1397"/>
        <v>0</v>
      </c>
      <c r="CG1187" s="61">
        <f t="shared" si="1397"/>
        <v>0</v>
      </c>
      <c r="CH1187" s="61">
        <f t="shared" si="1342"/>
        <v>0</v>
      </c>
      <c r="CI1187" s="61">
        <f t="shared" si="1344"/>
        <v>0</v>
      </c>
      <c r="CK1187" s="61">
        <f t="shared" si="1356"/>
        <v>0</v>
      </c>
      <c r="CL1187" s="61">
        <f t="shared" si="1356"/>
        <v>0</v>
      </c>
      <c r="CM1187" s="61">
        <f t="shared" si="1356"/>
        <v>0</v>
      </c>
      <c r="CN1187" s="61">
        <f t="shared" si="1356"/>
        <v>0</v>
      </c>
      <c r="CO1187" s="61">
        <f t="shared" si="1356"/>
        <v>0</v>
      </c>
      <c r="CP1187" s="61">
        <f t="shared" si="1329"/>
        <v>0</v>
      </c>
      <c r="CQ1187" s="61">
        <f t="shared" si="1329"/>
        <v>0</v>
      </c>
      <c r="CR1187" s="61">
        <f t="shared" si="1329"/>
        <v>0</v>
      </c>
      <c r="CS1187" s="61">
        <f t="shared" si="1345"/>
        <v>0</v>
      </c>
      <c r="CT1187" s="63">
        <f t="shared" si="1348"/>
        <v>0</v>
      </c>
      <c r="CU1187" s="61"/>
      <c r="CV1187" s="61">
        <f t="shared" si="1398"/>
        <v>0</v>
      </c>
      <c r="CW1187" s="61">
        <f t="shared" si="1399"/>
        <v>0</v>
      </c>
      <c r="CY1187" s="61">
        <f t="shared" si="1402"/>
        <v>0</v>
      </c>
      <c r="CZ1187" s="61">
        <f t="shared" si="1400"/>
        <v>0</v>
      </c>
      <c r="DA1187" s="61">
        <f t="shared" si="1401"/>
        <v>0</v>
      </c>
      <c r="DB1187" s="2" t="s">
        <v>102</v>
      </c>
      <c r="DC1187" s="2" t="s">
        <v>102</v>
      </c>
      <c r="DD1187" s="2" t="s">
        <v>142</v>
      </c>
      <c r="DE1187" s="2" t="s">
        <v>257</v>
      </c>
      <c r="DF1187" s="3" t="s">
        <v>86</v>
      </c>
      <c r="DG1187" s="62">
        <v>42970</v>
      </c>
      <c r="EC1187" s="60" t="str">
        <f>VLOOKUP($M1187,[1]Detail!$M:$BO,1,0)</f>
        <v>-W520101-S450</v>
      </c>
      <c r="ED1187" s="60">
        <f>VLOOKUP($M1187,[1]Detail!$M:$BO,22,0)</f>
        <v>-0.128</v>
      </c>
      <c r="EE1187" s="60">
        <f>VLOOKUP($M1187,[1]Detail!$M:$BO,42,0)</f>
        <v>0</v>
      </c>
      <c r="EF1187" s="60">
        <f>VLOOKUP($M1187,[1]Detail!$M:$BO,45,0)</f>
        <v>0</v>
      </c>
      <c r="EH1187" s="60">
        <f t="shared" si="1406"/>
        <v>0</v>
      </c>
      <c r="EI1187" s="60">
        <f t="shared" si="1407"/>
        <v>0</v>
      </c>
      <c r="EJ1187" s="60">
        <f t="shared" si="1408"/>
        <v>0</v>
      </c>
    </row>
    <row r="1188" spans="2:140" ht="12.75" hidden="1" customHeight="1">
      <c r="B1188" s="1" t="s">
        <v>1941</v>
      </c>
      <c r="C1188" s="2" t="s">
        <v>1938</v>
      </c>
      <c r="D1188" s="1" t="s">
        <v>1939</v>
      </c>
      <c r="E1188" s="1" t="s">
        <v>347</v>
      </c>
      <c r="F1188" s="2" t="s">
        <v>348</v>
      </c>
      <c r="G1188" s="3" t="s">
        <v>1921</v>
      </c>
      <c r="K1188" s="1" t="s">
        <v>1942</v>
      </c>
      <c r="L1188" s="3" t="s">
        <v>1943</v>
      </c>
      <c r="M1188" s="2" t="str">
        <f t="shared" si="1367"/>
        <v>-W520213-S440</v>
      </c>
      <c r="O1188" s="89">
        <v>2</v>
      </c>
      <c r="P1188" s="89">
        <v>2</v>
      </c>
      <c r="Q1188" s="89">
        <v>2</v>
      </c>
      <c r="R1188" s="89">
        <v>2</v>
      </c>
      <c r="S1188" s="89">
        <v>2</v>
      </c>
      <c r="T1188" s="89">
        <v>2</v>
      </c>
      <c r="U1188" s="89">
        <v>2</v>
      </c>
      <c r="V1188" s="89">
        <v>2</v>
      </c>
      <c r="W1188" s="64">
        <f t="shared" si="1357"/>
        <v>2</v>
      </c>
      <c r="Y1188" s="63">
        <v>-0.45500000000000002</v>
      </c>
      <c r="Z1188" s="63">
        <v>-2E-3</v>
      </c>
      <c r="AA1188" s="63">
        <v>-3.0000000000000001E-3</v>
      </c>
      <c r="AB1188" s="63">
        <v>0</v>
      </c>
      <c r="AC1188" s="63">
        <v>0</v>
      </c>
      <c r="AD1188" s="8">
        <f t="shared" si="1396"/>
        <v>-0.46</v>
      </c>
      <c r="AE1188" s="2" t="s">
        <v>91</v>
      </c>
      <c r="AG1188" s="61">
        <f t="shared" si="1404"/>
        <v>0</v>
      </c>
      <c r="AH1188" s="61">
        <f t="shared" si="1404"/>
        <v>0</v>
      </c>
      <c r="AI1188" s="61"/>
      <c r="AJ1188" s="61">
        <f t="shared" si="1405"/>
        <v>0</v>
      </c>
      <c r="AK1188" s="61">
        <f t="shared" si="1405"/>
        <v>0</v>
      </c>
      <c r="AM1188" s="22"/>
      <c r="AP1188" s="3" t="s">
        <v>1942</v>
      </c>
      <c r="AQ1188" s="3" t="s">
        <v>1943</v>
      </c>
      <c r="AR1188" s="2" t="str">
        <f t="shared" si="1410"/>
        <v>-W520213-S440</v>
      </c>
      <c r="AS1188" s="3"/>
      <c r="AT1188" s="89">
        <v>2</v>
      </c>
      <c r="AU1188" s="89">
        <v>2</v>
      </c>
      <c r="AV1188" s="89">
        <v>2</v>
      </c>
      <c r="AW1188" s="89">
        <v>2</v>
      </c>
      <c r="AX1188" s="89">
        <v>2</v>
      </c>
      <c r="AY1188" s="89">
        <v>2</v>
      </c>
      <c r="AZ1188" s="89">
        <v>2</v>
      </c>
      <c r="BA1188" s="89">
        <v>2</v>
      </c>
      <c r="BB1188" s="64">
        <f t="shared" si="1369"/>
        <v>2</v>
      </c>
      <c r="BD1188" s="63">
        <v>-0.45500000000000002</v>
      </c>
      <c r="BE1188" s="63">
        <v>-2E-3</v>
      </c>
      <c r="BF1188" s="63">
        <v>-3.0000000000000001E-3</v>
      </c>
      <c r="BG1188" s="63">
        <v>0</v>
      </c>
      <c r="BH1188" s="63">
        <v>0</v>
      </c>
      <c r="BI1188" s="8">
        <f t="shared" si="1371"/>
        <v>-0.46</v>
      </c>
      <c r="BJ1188" s="2" t="s">
        <v>91</v>
      </c>
      <c r="BL1188" s="61">
        <f t="shared" si="1411"/>
        <v>0</v>
      </c>
      <c r="BM1188" s="61">
        <f t="shared" si="1411"/>
        <v>0</v>
      </c>
      <c r="BN1188" s="61"/>
      <c r="BO1188" s="61">
        <f t="shared" si="1412"/>
        <v>0</v>
      </c>
      <c r="BP1188" s="61">
        <f t="shared" si="1412"/>
        <v>0</v>
      </c>
      <c r="BS1188" s="61">
        <f t="shared" si="1388"/>
        <v>0</v>
      </c>
      <c r="BT1188" s="61">
        <f t="shared" si="1388"/>
        <v>0</v>
      </c>
      <c r="BU1188" s="61">
        <f t="shared" si="1389"/>
        <v>0</v>
      </c>
      <c r="BV1188" s="61">
        <f t="shared" si="1390"/>
        <v>0</v>
      </c>
      <c r="BW1188" s="61">
        <f t="shared" si="1390"/>
        <v>0</v>
      </c>
      <c r="BX1188" s="63">
        <f t="shared" si="1390"/>
        <v>0</v>
      </c>
      <c r="BY1188" s="61" t="s">
        <v>91</v>
      </c>
      <c r="CA1188" s="61">
        <f t="shared" si="1397"/>
        <v>0</v>
      </c>
      <c r="CB1188" s="61">
        <f t="shared" si="1397"/>
        <v>0</v>
      </c>
      <c r="CC1188" s="61">
        <f t="shared" si="1397"/>
        <v>0</v>
      </c>
      <c r="CD1188" s="61">
        <f t="shared" si="1397"/>
        <v>0</v>
      </c>
      <c r="CE1188" s="61">
        <f t="shared" si="1397"/>
        <v>0</v>
      </c>
      <c r="CF1188" s="61">
        <f t="shared" si="1397"/>
        <v>0</v>
      </c>
      <c r="CG1188" s="61">
        <f t="shared" si="1397"/>
        <v>0</v>
      </c>
      <c r="CH1188" s="61">
        <f t="shared" si="1342"/>
        <v>0</v>
      </c>
      <c r="CI1188" s="61">
        <f t="shared" si="1344"/>
        <v>0</v>
      </c>
      <c r="CK1188" s="61">
        <f t="shared" si="1356"/>
        <v>0</v>
      </c>
      <c r="CL1188" s="61">
        <f t="shared" si="1356"/>
        <v>0</v>
      </c>
      <c r="CM1188" s="61">
        <f t="shared" si="1356"/>
        <v>0</v>
      </c>
      <c r="CN1188" s="61">
        <f t="shared" si="1356"/>
        <v>0</v>
      </c>
      <c r="CO1188" s="61">
        <f t="shared" si="1356"/>
        <v>0</v>
      </c>
      <c r="CP1188" s="61">
        <f t="shared" si="1329"/>
        <v>0</v>
      </c>
      <c r="CQ1188" s="61">
        <f t="shared" si="1329"/>
        <v>0</v>
      </c>
      <c r="CR1188" s="61">
        <f t="shared" si="1329"/>
        <v>0</v>
      </c>
      <c r="CS1188" s="61">
        <f t="shared" si="1345"/>
        <v>0</v>
      </c>
      <c r="CT1188" s="63">
        <f t="shared" si="1348"/>
        <v>0</v>
      </c>
      <c r="CU1188" s="61"/>
      <c r="CV1188" s="61">
        <f t="shared" si="1398"/>
        <v>0</v>
      </c>
      <c r="CW1188" s="61">
        <f t="shared" si="1399"/>
        <v>0</v>
      </c>
      <c r="CY1188" s="61">
        <f t="shared" si="1402"/>
        <v>0</v>
      </c>
      <c r="CZ1188" s="61">
        <f t="shared" si="1400"/>
        <v>0</v>
      </c>
      <c r="DA1188" s="61">
        <f t="shared" si="1401"/>
        <v>0</v>
      </c>
      <c r="DB1188" s="2" t="s">
        <v>102</v>
      </c>
      <c r="DC1188" s="2" t="s">
        <v>102</v>
      </c>
      <c r="DD1188" s="2" t="s">
        <v>142</v>
      </c>
      <c r="DE1188" s="2" t="s">
        <v>257</v>
      </c>
      <c r="DF1188" s="3" t="s">
        <v>86</v>
      </c>
      <c r="DG1188" s="62">
        <v>42970</v>
      </c>
      <c r="EC1188" s="60" t="str">
        <f>VLOOKUP($M1188,[1]Detail!$M:$BO,1,0)</f>
        <v>-W520213-S440</v>
      </c>
      <c r="ED1188" s="60">
        <f>VLOOKUP($M1188,[1]Detail!$M:$BO,22,0)</f>
        <v>-0.46</v>
      </c>
      <c r="EE1188" s="60">
        <f>VLOOKUP($M1188,[1]Detail!$M:$BO,42,0)</f>
        <v>0</v>
      </c>
      <c r="EF1188" s="60">
        <f>VLOOKUP($M1188,[1]Detail!$M:$BO,45,0)</f>
        <v>0</v>
      </c>
      <c r="EH1188" s="60">
        <f t="shared" si="1406"/>
        <v>0</v>
      </c>
      <c r="EI1188" s="60">
        <f t="shared" si="1407"/>
        <v>0</v>
      </c>
      <c r="EJ1188" s="60">
        <f t="shared" si="1408"/>
        <v>0</v>
      </c>
    </row>
    <row r="1189" spans="2:140" ht="12.75" hidden="1" customHeight="1">
      <c r="B1189" s="1" t="s">
        <v>1941</v>
      </c>
      <c r="C1189" s="2" t="s">
        <v>1938</v>
      </c>
      <c r="D1189" s="1" t="s">
        <v>1939</v>
      </c>
      <c r="E1189" s="1" t="s">
        <v>347</v>
      </c>
      <c r="F1189" s="2" t="s">
        <v>348</v>
      </c>
      <c r="G1189" s="3" t="s">
        <v>1921</v>
      </c>
      <c r="K1189" s="1" t="s">
        <v>1944</v>
      </c>
      <c r="L1189" s="3" t="s">
        <v>1943</v>
      </c>
      <c r="M1189" s="2" t="str">
        <f t="shared" si="1367"/>
        <v>-W713760-S440</v>
      </c>
      <c r="O1189" s="89">
        <v>2</v>
      </c>
      <c r="P1189" s="89">
        <v>2</v>
      </c>
      <c r="Q1189" s="89">
        <v>2</v>
      </c>
      <c r="R1189" s="89">
        <v>2</v>
      </c>
      <c r="S1189" s="89">
        <v>2</v>
      </c>
      <c r="T1189" s="89">
        <v>2</v>
      </c>
      <c r="U1189" s="89">
        <v>2</v>
      </c>
      <c r="V1189" s="89">
        <v>2</v>
      </c>
      <c r="W1189" s="64">
        <f t="shared" si="1357"/>
        <v>2</v>
      </c>
      <c r="Y1189" s="63">
        <v>-0.51200000000000001</v>
      </c>
      <c r="Z1189" s="63">
        <v>-2E-3</v>
      </c>
      <c r="AA1189" s="63">
        <v>-3.0000000000000001E-3</v>
      </c>
      <c r="AB1189" s="63">
        <v>0</v>
      </c>
      <c r="AC1189" s="63">
        <v>0</v>
      </c>
      <c r="AD1189" s="8">
        <f t="shared" si="1396"/>
        <v>-0.51700000000000002</v>
      </c>
      <c r="AE1189" s="2" t="s">
        <v>91</v>
      </c>
      <c r="AG1189" s="61">
        <f t="shared" si="1404"/>
        <v>0</v>
      </c>
      <c r="AH1189" s="61">
        <f t="shared" si="1404"/>
        <v>0</v>
      </c>
      <c r="AI1189" s="61"/>
      <c r="AJ1189" s="61">
        <f t="shared" si="1405"/>
        <v>0</v>
      </c>
      <c r="AK1189" s="61">
        <f t="shared" si="1405"/>
        <v>0</v>
      </c>
      <c r="AM1189" s="22"/>
      <c r="AP1189" s="3" t="s">
        <v>1944</v>
      </c>
      <c r="AQ1189" s="3" t="s">
        <v>1943</v>
      </c>
      <c r="AR1189" s="2" t="str">
        <f t="shared" si="1410"/>
        <v>-W713760-S440</v>
      </c>
      <c r="AS1189" s="3"/>
      <c r="AT1189" s="89">
        <v>2</v>
      </c>
      <c r="AU1189" s="89">
        <v>2</v>
      </c>
      <c r="AV1189" s="89">
        <v>2</v>
      </c>
      <c r="AW1189" s="89">
        <v>2</v>
      </c>
      <c r="AX1189" s="89">
        <v>2</v>
      </c>
      <c r="AY1189" s="89">
        <v>2</v>
      </c>
      <c r="AZ1189" s="89">
        <v>2</v>
      </c>
      <c r="BA1189" s="89">
        <v>2</v>
      </c>
      <c r="BB1189" s="64">
        <f t="shared" si="1369"/>
        <v>2</v>
      </c>
      <c r="BD1189" s="63">
        <v>-0.51200000000000001</v>
      </c>
      <c r="BE1189" s="63">
        <v>-2E-3</v>
      </c>
      <c r="BF1189" s="63">
        <v>-3.0000000000000001E-3</v>
      </c>
      <c r="BG1189" s="63">
        <v>0</v>
      </c>
      <c r="BH1189" s="63">
        <v>0</v>
      </c>
      <c r="BI1189" s="8">
        <f t="shared" si="1371"/>
        <v>-0.51700000000000002</v>
      </c>
      <c r="BJ1189" s="2" t="s">
        <v>91</v>
      </c>
      <c r="BL1189" s="61">
        <f t="shared" si="1411"/>
        <v>0</v>
      </c>
      <c r="BM1189" s="61">
        <f t="shared" si="1411"/>
        <v>0</v>
      </c>
      <c r="BN1189" s="61"/>
      <c r="BO1189" s="61">
        <f t="shared" si="1412"/>
        <v>0</v>
      </c>
      <c r="BP1189" s="61">
        <f t="shared" si="1412"/>
        <v>0</v>
      </c>
      <c r="BS1189" s="61">
        <f t="shared" si="1388"/>
        <v>0</v>
      </c>
      <c r="BT1189" s="61">
        <f t="shared" si="1388"/>
        <v>0</v>
      </c>
      <c r="BU1189" s="61">
        <f t="shared" si="1389"/>
        <v>0</v>
      </c>
      <c r="BV1189" s="61">
        <f t="shared" si="1390"/>
        <v>0</v>
      </c>
      <c r="BW1189" s="61">
        <f t="shared" si="1390"/>
        <v>0</v>
      </c>
      <c r="BX1189" s="63">
        <f t="shared" si="1390"/>
        <v>0</v>
      </c>
      <c r="BY1189" s="61" t="s">
        <v>91</v>
      </c>
      <c r="CA1189" s="61">
        <f t="shared" si="1397"/>
        <v>0</v>
      </c>
      <c r="CB1189" s="61">
        <f t="shared" si="1397"/>
        <v>0</v>
      </c>
      <c r="CC1189" s="61">
        <f t="shared" si="1397"/>
        <v>0</v>
      </c>
      <c r="CD1189" s="61">
        <f t="shared" si="1397"/>
        <v>0</v>
      </c>
      <c r="CE1189" s="61">
        <f t="shared" si="1397"/>
        <v>0</v>
      </c>
      <c r="CF1189" s="61">
        <f t="shared" si="1397"/>
        <v>0</v>
      </c>
      <c r="CG1189" s="61">
        <f t="shared" si="1397"/>
        <v>0</v>
      </c>
      <c r="CH1189" s="61">
        <f t="shared" si="1342"/>
        <v>0</v>
      </c>
      <c r="CI1189" s="61">
        <f t="shared" si="1344"/>
        <v>0</v>
      </c>
      <c r="CK1189" s="61">
        <f t="shared" si="1356"/>
        <v>0</v>
      </c>
      <c r="CL1189" s="61">
        <f t="shared" si="1356"/>
        <v>0</v>
      </c>
      <c r="CM1189" s="61">
        <f t="shared" si="1356"/>
        <v>0</v>
      </c>
      <c r="CN1189" s="61">
        <f t="shared" si="1356"/>
        <v>0</v>
      </c>
      <c r="CO1189" s="61">
        <f t="shared" si="1356"/>
        <v>0</v>
      </c>
      <c r="CP1189" s="61">
        <f t="shared" si="1329"/>
        <v>0</v>
      </c>
      <c r="CQ1189" s="61">
        <f t="shared" si="1329"/>
        <v>0</v>
      </c>
      <c r="CR1189" s="61">
        <f t="shared" si="1329"/>
        <v>0</v>
      </c>
      <c r="CS1189" s="61">
        <f t="shared" si="1345"/>
        <v>0</v>
      </c>
      <c r="CT1189" s="63">
        <f t="shared" si="1348"/>
        <v>0</v>
      </c>
      <c r="CU1189" s="61"/>
      <c r="CV1189" s="61">
        <f t="shared" si="1398"/>
        <v>0</v>
      </c>
      <c r="CW1189" s="61">
        <f t="shared" si="1399"/>
        <v>0</v>
      </c>
      <c r="CY1189" s="61">
        <f t="shared" si="1402"/>
        <v>0</v>
      </c>
      <c r="CZ1189" s="61">
        <f t="shared" si="1400"/>
        <v>0</v>
      </c>
      <c r="DA1189" s="61">
        <f t="shared" si="1401"/>
        <v>0</v>
      </c>
      <c r="DB1189" s="2" t="s">
        <v>102</v>
      </c>
      <c r="DC1189" s="2" t="s">
        <v>102</v>
      </c>
      <c r="DD1189" s="2" t="s">
        <v>142</v>
      </c>
      <c r="DE1189" s="2" t="s">
        <v>257</v>
      </c>
      <c r="DF1189" s="3" t="s">
        <v>86</v>
      </c>
      <c r="DG1189" s="62">
        <v>42970</v>
      </c>
      <c r="EC1189" s="60" t="str">
        <f>VLOOKUP($M1189,[1]Detail!$M:$BO,1,0)</f>
        <v>-W713760-S440</v>
      </c>
      <c r="ED1189" s="60">
        <f>VLOOKUP($M1189,[1]Detail!$M:$BO,22,0)</f>
        <v>-0.51700000000000002</v>
      </c>
      <c r="EE1189" s="60">
        <f>VLOOKUP($M1189,[1]Detail!$M:$BO,42,0)</f>
        <v>0</v>
      </c>
      <c r="EF1189" s="60">
        <f>VLOOKUP($M1189,[1]Detail!$M:$BO,45,0)</f>
        <v>0</v>
      </c>
      <c r="EH1189" s="60">
        <f t="shared" si="1406"/>
        <v>0</v>
      </c>
      <c r="EI1189" s="60">
        <f t="shared" si="1407"/>
        <v>0</v>
      </c>
      <c r="EJ1189" s="60">
        <f t="shared" si="1408"/>
        <v>0</v>
      </c>
    </row>
    <row r="1190" spans="2:140" hidden="1">
      <c r="B1190" s="1" t="s">
        <v>1941</v>
      </c>
      <c r="C1190" s="2" t="s">
        <v>1938</v>
      </c>
      <c r="D1190" s="1" t="s">
        <v>1939</v>
      </c>
      <c r="E1190" s="1" t="s">
        <v>347</v>
      </c>
      <c r="F1190" s="2" t="s">
        <v>348</v>
      </c>
      <c r="G1190" s="3" t="s">
        <v>1921</v>
      </c>
      <c r="K1190" s="1" t="s">
        <v>1945</v>
      </c>
      <c r="L1190" s="3" t="s">
        <v>1929</v>
      </c>
      <c r="M1190" s="2" t="str">
        <f t="shared" si="1367"/>
        <v>-W714098-S442</v>
      </c>
      <c r="O1190" s="89">
        <v>6</v>
      </c>
      <c r="P1190" s="89">
        <v>6</v>
      </c>
      <c r="Q1190" s="89">
        <v>6</v>
      </c>
      <c r="R1190" s="89">
        <v>6</v>
      </c>
      <c r="S1190" s="89">
        <v>6</v>
      </c>
      <c r="T1190" s="89">
        <v>6</v>
      </c>
      <c r="U1190" s="89">
        <v>6</v>
      </c>
      <c r="V1190" s="89">
        <v>6</v>
      </c>
      <c r="W1190" s="64">
        <f t="shared" si="1357"/>
        <v>6</v>
      </c>
      <c r="Y1190" s="63">
        <v>-0.23599999999999999</v>
      </c>
      <c r="Z1190" s="63">
        <v>-1E-3</v>
      </c>
      <c r="AA1190" s="63">
        <v>-2E-3</v>
      </c>
      <c r="AB1190" s="63">
        <v>0</v>
      </c>
      <c r="AC1190" s="63">
        <v>0</v>
      </c>
      <c r="AD1190" s="8">
        <f t="shared" si="1396"/>
        <v>-0.23899999999999999</v>
      </c>
      <c r="AE1190" s="2" t="s">
        <v>91</v>
      </c>
      <c r="AG1190" s="61">
        <f t="shared" si="1404"/>
        <v>0</v>
      </c>
      <c r="AH1190" s="61">
        <f t="shared" si="1404"/>
        <v>0</v>
      </c>
      <c r="AI1190" s="61"/>
      <c r="AJ1190" s="61">
        <f t="shared" si="1405"/>
        <v>0</v>
      </c>
      <c r="AK1190" s="61">
        <f t="shared" si="1405"/>
        <v>0</v>
      </c>
      <c r="AM1190" s="22"/>
      <c r="AP1190" s="3" t="s">
        <v>1945</v>
      </c>
      <c r="AQ1190" s="3" t="s">
        <v>1929</v>
      </c>
      <c r="AR1190" s="2" t="str">
        <f t="shared" si="1410"/>
        <v>-W714098-S442</v>
      </c>
      <c r="AS1190" s="3"/>
      <c r="AT1190" s="89">
        <v>6</v>
      </c>
      <c r="AU1190" s="89">
        <v>6</v>
      </c>
      <c r="AV1190" s="89">
        <v>6</v>
      </c>
      <c r="AW1190" s="89">
        <v>6</v>
      </c>
      <c r="AX1190" s="89">
        <v>6</v>
      </c>
      <c r="AY1190" s="89">
        <v>6</v>
      </c>
      <c r="AZ1190" s="89">
        <v>6</v>
      </c>
      <c r="BA1190" s="89">
        <v>6</v>
      </c>
      <c r="BB1190" s="64">
        <f t="shared" si="1369"/>
        <v>6</v>
      </c>
      <c r="BD1190" s="63">
        <v>-0.23599999999999999</v>
      </c>
      <c r="BE1190" s="63">
        <v>-1E-3</v>
      </c>
      <c r="BF1190" s="63">
        <v>-2E-3</v>
      </c>
      <c r="BG1190" s="63">
        <v>0</v>
      </c>
      <c r="BH1190" s="63">
        <v>0</v>
      </c>
      <c r="BI1190" s="8">
        <f t="shared" si="1371"/>
        <v>-0.23899999999999999</v>
      </c>
      <c r="BJ1190" s="2" t="s">
        <v>91</v>
      </c>
      <c r="BL1190" s="61">
        <f t="shared" si="1411"/>
        <v>0</v>
      </c>
      <c r="BM1190" s="61">
        <f t="shared" si="1411"/>
        <v>0</v>
      </c>
      <c r="BN1190" s="61"/>
      <c r="BO1190" s="61">
        <f t="shared" si="1412"/>
        <v>0</v>
      </c>
      <c r="BP1190" s="61">
        <f t="shared" si="1412"/>
        <v>0</v>
      </c>
      <c r="BS1190" s="61">
        <f t="shared" si="1388"/>
        <v>0</v>
      </c>
      <c r="BT1190" s="61">
        <f t="shared" si="1388"/>
        <v>0</v>
      </c>
      <c r="BU1190" s="61">
        <f t="shared" si="1389"/>
        <v>0</v>
      </c>
      <c r="BV1190" s="61">
        <f t="shared" si="1390"/>
        <v>0</v>
      </c>
      <c r="BW1190" s="61">
        <f t="shared" si="1390"/>
        <v>0</v>
      </c>
      <c r="BX1190" s="63">
        <f t="shared" si="1390"/>
        <v>0</v>
      </c>
      <c r="BY1190" s="61" t="s">
        <v>91</v>
      </c>
      <c r="CA1190" s="61">
        <f t="shared" si="1397"/>
        <v>0</v>
      </c>
      <c r="CB1190" s="61">
        <f t="shared" si="1397"/>
        <v>0</v>
      </c>
      <c r="CC1190" s="61">
        <f t="shared" si="1397"/>
        <v>0</v>
      </c>
      <c r="CD1190" s="61">
        <f t="shared" si="1397"/>
        <v>0</v>
      </c>
      <c r="CE1190" s="61">
        <f t="shared" si="1397"/>
        <v>0</v>
      </c>
      <c r="CF1190" s="61">
        <f t="shared" si="1397"/>
        <v>0</v>
      </c>
      <c r="CG1190" s="61">
        <f t="shared" si="1397"/>
        <v>0</v>
      </c>
      <c r="CH1190" s="61">
        <f t="shared" si="1342"/>
        <v>0</v>
      </c>
      <c r="CI1190" s="61">
        <f t="shared" si="1344"/>
        <v>0</v>
      </c>
      <c r="CK1190" s="61">
        <f t="shared" si="1356"/>
        <v>0</v>
      </c>
      <c r="CL1190" s="61">
        <f t="shared" si="1356"/>
        <v>0</v>
      </c>
      <c r="CM1190" s="61">
        <f t="shared" si="1356"/>
        <v>0</v>
      </c>
      <c r="CN1190" s="61">
        <f t="shared" si="1356"/>
        <v>0</v>
      </c>
      <c r="CO1190" s="61">
        <f t="shared" si="1356"/>
        <v>0</v>
      </c>
      <c r="CP1190" s="61">
        <f t="shared" si="1329"/>
        <v>0</v>
      </c>
      <c r="CQ1190" s="61">
        <f t="shared" si="1329"/>
        <v>0</v>
      </c>
      <c r="CR1190" s="61">
        <f t="shared" si="1329"/>
        <v>0</v>
      </c>
      <c r="CS1190" s="61">
        <f t="shared" si="1345"/>
        <v>0</v>
      </c>
      <c r="CT1190" s="63">
        <f t="shared" si="1348"/>
        <v>0</v>
      </c>
      <c r="CU1190" s="61"/>
      <c r="CV1190" s="61">
        <f t="shared" si="1398"/>
        <v>0</v>
      </c>
      <c r="CW1190" s="61">
        <f t="shared" si="1399"/>
        <v>0</v>
      </c>
      <c r="CY1190" s="61">
        <f t="shared" si="1402"/>
        <v>0</v>
      </c>
      <c r="CZ1190" s="61">
        <f t="shared" si="1400"/>
        <v>0</v>
      </c>
      <c r="DA1190" s="61">
        <f t="shared" si="1401"/>
        <v>0</v>
      </c>
      <c r="DB1190" s="2" t="s">
        <v>102</v>
      </c>
      <c r="DC1190" s="2" t="s">
        <v>102</v>
      </c>
      <c r="DD1190" s="2" t="s">
        <v>142</v>
      </c>
      <c r="DE1190" s="2" t="s">
        <v>257</v>
      </c>
      <c r="DF1190" s="3" t="s">
        <v>86</v>
      </c>
      <c r="DG1190" s="62">
        <v>42970</v>
      </c>
      <c r="EC1190" s="60" t="str">
        <f>VLOOKUP($M1190,[1]Detail!$M:$BO,1,0)</f>
        <v>-W714098-S442</v>
      </c>
      <c r="ED1190" s="60">
        <f>VLOOKUP($M1190,[1]Detail!$M:$BO,22,0)</f>
        <v>-0.23899999999999999</v>
      </c>
      <c r="EE1190" s="60">
        <f>VLOOKUP($M1190,[1]Detail!$M:$BO,42,0)</f>
        <v>0</v>
      </c>
      <c r="EF1190" s="60">
        <f>VLOOKUP($M1190,[1]Detail!$M:$BO,45,0)</f>
        <v>0</v>
      </c>
      <c r="EH1190" s="60">
        <f t="shared" si="1406"/>
        <v>0</v>
      </c>
      <c r="EI1190" s="60">
        <f t="shared" si="1407"/>
        <v>0</v>
      </c>
      <c r="EJ1190" s="60">
        <f t="shared" si="1408"/>
        <v>0</v>
      </c>
    </row>
    <row r="1191" spans="2:140" ht="12.75" hidden="1" customHeight="1">
      <c r="B1191" s="1" t="s">
        <v>1941</v>
      </c>
      <c r="C1191" s="2" t="s">
        <v>1938</v>
      </c>
      <c r="D1191" s="1" t="s">
        <v>1939</v>
      </c>
      <c r="E1191" s="1" t="s">
        <v>347</v>
      </c>
      <c r="F1191" s="2" t="s">
        <v>348</v>
      </c>
      <c r="G1191" s="3" t="s">
        <v>1921</v>
      </c>
      <c r="K1191" s="1" t="s">
        <v>1946</v>
      </c>
      <c r="L1191" s="3" t="s">
        <v>1936</v>
      </c>
      <c r="M1191" s="2" t="str">
        <f t="shared" si="1367"/>
        <v>-W719799-S450B</v>
      </c>
      <c r="O1191" s="89">
        <v>2</v>
      </c>
      <c r="P1191" s="89">
        <v>2</v>
      </c>
      <c r="Q1191" s="89">
        <v>2</v>
      </c>
      <c r="R1191" s="89">
        <v>2</v>
      </c>
      <c r="S1191" s="89">
        <v>2</v>
      </c>
      <c r="T1191" s="89">
        <v>2</v>
      </c>
      <c r="U1191" s="89">
        <v>2</v>
      </c>
      <c r="V1191" s="89">
        <v>2</v>
      </c>
      <c r="W1191" s="64">
        <f t="shared" si="1357"/>
        <v>2</v>
      </c>
      <c r="Y1191" s="63">
        <v>-0.41799999999999998</v>
      </c>
      <c r="Z1191" s="63">
        <v>-1E-3</v>
      </c>
      <c r="AA1191" s="63">
        <v>-1E-3</v>
      </c>
      <c r="AB1191" s="63">
        <v>0</v>
      </c>
      <c r="AC1191" s="63">
        <v>0</v>
      </c>
      <c r="AD1191" s="8">
        <f t="shared" si="1396"/>
        <v>-0.42</v>
      </c>
      <c r="AE1191" s="2" t="s">
        <v>91</v>
      </c>
      <c r="AG1191" s="61">
        <f t="shared" si="1404"/>
        <v>0</v>
      </c>
      <c r="AH1191" s="61">
        <f t="shared" si="1404"/>
        <v>0</v>
      </c>
      <c r="AI1191" s="61"/>
      <c r="AJ1191" s="61">
        <f t="shared" si="1405"/>
        <v>0</v>
      </c>
      <c r="AK1191" s="61">
        <f t="shared" si="1405"/>
        <v>0</v>
      </c>
      <c r="AM1191" s="22"/>
      <c r="AP1191" s="3" t="s">
        <v>1946</v>
      </c>
      <c r="AQ1191" s="3" t="s">
        <v>1936</v>
      </c>
      <c r="AR1191" s="2" t="str">
        <f t="shared" si="1410"/>
        <v>-W719799-S450B</v>
      </c>
      <c r="AS1191" s="3"/>
      <c r="AT1191" s="89">
        <v>2</v>
      </c>
      <c r="AU1191" s="89">
        <v>2</v>
      </c>
      <c r="AV1191" s="89">
        <v>2</v>
      </c>
      <c r="AW1191" s="89">
        <v>2</v>
      </c>
      <c r="AX1191" s="89">
        <v>2</v>
      </c>
      <c r="AY1191" s="89">
        <v>2</v>
      </c>
      <c r="AZ1191" s="89">
        <v>2</v>
      </c>
      <c r="BA1191" s="89">
        <v>2</v>
      </c>
      <c r="BB1191" s="64">
        <f t="shared" si="1369"/>
        <v>2</v>
      </c>
      <c r="BD1191" s="63">
        <v>-0.41799999999999998</v>
      </c>
      <c r="BE1191" s="63">
        <v>-1E-3</v>
      </c>
      <c r="BF1191" s="63">
        <v>-1E-3</v>
      </c>
      <c r="BG1191" s="63">
        <v>0</v>
      </c>
      <c r="BH1191" s="63">
        <v>0</v>
      </c>
      <c r="BI1191" s="8">
        <f t="shared" si="1371"/>
        <v>-0.42</v>
      </c>
      <c r="BJ1191" s="2" t="s">
        <v>91</v>
      </c>
      <c r="BL1191" s="61">
        <f t="shared" si="1411"/>
        <v>0</v>
      </c>
      <c r="BM1191" s="61">
        <f t="shared" si="1411"/>
        <v>0</v>
      </c>
      <c r="BN1191" s="61"/>
      <c r="BO1191" s="61">
        <f t="shared" si="1412"/>
        <v>0</v>
      </c>
      <c r="BP1191" s="61">
        <f t="shared" si="1412"/>
        <v>0</v>
      </c>
      <c r="BS1191" s="61">
        <f t="shared" si="1388"/>
        <v>0</v>
      </c>
      <c r="BT1191" s="61">
        <f t="shared" si="1388"/>
        <v>0</v>
      </c>
      <c r="BU1191" s="61">
        <f t="shared" si="1389"/>
        <v>0</v>
      </c>
      <c r="BV1191" s="61">
        <f t="shared" si="1390"/>
        <v>0</v>
      </c>
      <c r="BW1191" s="61">
        <f t="shared" si="1390"/>
        <v>0</v>
      </c>
      <c r="BX1191" s="63">
        <f t="shared" si="1390"/>
        <v>0</v>
      </c>
      <c r="BY1191" s="61" t="s">
        <v>91</v>
      </c>
      <c r="CA1191" s="61">
        <f t="shared" si="1397"/>
        <v>0</v>
      </c>
      <c r="CB1191" s="61">
        <f t="shared" si="1397"/>
        <v>0</v>
      </c>
      <c r="CC1191" s="61">
        <f t="shared" si="1397"/>
        <v>0</v>
      </c>
      <c r="CD1191" s="61">
        <f t="shared" si="1397"/>
        <v>0</v>
      </c>
      <c r="CE1191" s="61">
        <f t="shared" si="1397"/>
        <v>0</v>
      </c>
      <c r="CF1191" s="61">
        <f t="shared" si="1397"/>
        <v>0</v>
      </c>
      <c r="CG1191" s="61">
        <f t="shared" si="1397"/>
        <v>0</v>
      </c>
      <c r="CH1191" s="61">
        <f t="shared" si="1342"/>
        <v>0</v>
      </c>
      <c r="CI1191" s="61">
        <f t="shared" si="1344"/>
        <v>0</v>
      </c>
      <c r="CK1191" s="61">
        <f t="shared" si="1356"/>
        <v>0</v>
      </c>
      <c r="CL1191" s="61">
        <f t="shared" si="1356"/>
        <v>0</v>
      </c>
      <c r="CM1191" s="61">
        <f t="shared" si="1356"/>
        <v>0</v>
      </c>
      <c r="CN1191" s="61">
        <f t="shared" si="1356"/>
        <v>0</v>
      </c>
      <c r="CO1191" s="61">
        <f t="shared" si="1356"/>
        <v>0</v>
      </c>
      <c r="CP1191" s="61">
        <f t="shared" si="1329"/>
        <v>0</v>
      </c>
      <c r="CQ1191" s="61">
        <f t="shared" si="1329"/>
        <v>0</v>
      </c>
      <c r="CR1191" s="61">
        <f t="shared" si="1329"/>
        <v>0</v>
      </c>
      <c r="CS1191" s="61">
        <f t="shared" si="1345"/>
        <v>0</v>
      </c>
      <c r="CT1191" s="63">
        <f t="shared" si="1348"/>
        <v>0</v>
      </c>
      <c r="CU1191" s="61"/>
      <c r="CV1191" s="61">
        <f t="shared" si="1398"/>
        <v>0</v>
      </c>
      <c r="CW1191" s="61">
        <f t="shared" si="1399"/>
        <v>0</v>
      </c>
      <c r="CY1191" s="61">
        <f t="shared" si="1402"/>
        <v>0</v>
      </c>
      <c r="CZ1191" s="61">
        <f t="shared" si="1400"/>
        <v>0</v>
      </c>
      <c r="DA1191" s="61">
        <f t="shared" si="1401"/>
        <v>0</v>
      </c>
      <c r="DB1191" s="2" t="s">
        <v>102</v>
      </c>
      <c r="DC1191" s="2" t="s">
        <v>102</v>
      </c>
      <c r="DD1191" s="2" t="s">
        <v>142</v>
      </c>
      <c r="DE1191" s="2" t="s">
        <v>257</v>
      </c>
      <c r="DF1191" s="3" t="s">
        <v>86</v>
      </c>
      <c r="DG1191" s="62">
        <v>42970</v>
      </c>
      <c r="EC1191" s="60" t="str">
        <f>VLOOKUP($M1191,[1]Detail!$M:$BO,1,0)</f>
        <v>-W719799-S450B</v>
      </c>
      <c r="ED1191" s="60">
        <f>VLOOKUP($M1191,[1]Detail!$M:$BO,22,0)</f>
        <v>-0.42</v>
      </c>
      <c r="EE1191" s="60">
        <f>VLOOKUP($M1191,[1]Detail!$M:$BO,42,0)</f>
        <v>0</v>
      </c>
      <c r="EF1191" s="60">
        <f>VLOOKUP($M1191,[1]Detail!$M:$BO,45,0)</f>
        <v>0</v>
      </c>
      <c r="EH1191" s="60">
        <f t="shared" si="1406"/>
        <v>0</v>
      </c>
      <c r="EI1191" s="60">
        <f t="shared" si="1407"/>
        <v>0</v>
      </c>
      <c r="EJ1191" s="60">
        <f t="shared" si="1408"/>
        <v>0</v>
      </c>
    </row>
    <row r="1192" spans="2:140" hidden="1">
      <c r="B1192" s="1" t="s">
        <v>1941</v>
      </c>
      <c r="C1192" s="2" t="s">
        <v>1938</v>
      </c>
      <c r="D1192" s="1" t="s">
        <v>1939</v>
      </c>
      <c r="E1192" s="1" t="s">
        <v>347</v>
      </c>
      <c r="F1192" s="2" t="s">
        <v>348</v>
      </c>
      <c r="G1192" s="3" t="s">
        <v>1921</v>
      </c>
      <c r="K1192" s="1" t="s">
        <v>1947</v>
      </c>
      <c r="L1192" s="3" t="s">
        <v>1929</v>
      </c>
      <c r="M1192" s="2" t="str">
        <f t="shared" si="1367"/>
        <v>-W719080-S442</v>
      </c>
      <c r="O1192" s="89">
        <v>2</v>
      </c>
      <c r="P1192" s="89">
        <v>2</v>
      </c>
      <c r="Q1192" s="89">
        <v>2</v>
      </c>
      <c r="R1192" s="89">
        <v>2</v>
      </c>
      <c r="S1192" s="89">
        <v>2</v>
      </c>
      <c r="T1192" s="89">
        <v>0</v>
      </c>
      <c r="U1192" s="89">
        <v>0</v>
      </c>
      <c r="V1192" s="89">
        <v>2</v>
      </c>
      <c r="W1192" s="64">
        <f t="shared" si="1357"/>
        <v>1.62</v>
      </c>
      <c r="Y1192" s="63">
        <v>-0.20499999999999999</v>
      </c>
      <c r="Z1192" s="63">
        <v>-1E-3</v>
      </c>
      <c r="AA1192" s="63">
        <v>-3.0000000000000001E-3</v>
      </c>
      <c r="AB1192" s="63">
        <v>0</v>
      </c>
      <c r="AC1192" s="63">
        <v>0</v>
      </c>
      <c r="AD1192" s="8">
        <f t="shared" si="1396"/>
        <v>-0.20899999999999999</v>
      </c>
      <c r="AE1192" s="2" t="s">
        <v>91</v>
      </c>
      <c r="AG1192" s="61">
        <f t="shared" si="1404"/>
        <v>0</v>
      </c>
      <c r="AH1192" s="61">
        <f t="shared" si="1404"/>
        <v>0</v>
      </c>
      <c r="AI1192" s="61"/>
      <c r="AJ1192" s="61">
        <f t="shared" si="1405"/>
        <v>0</v>
      </c>
      <c r="AK1192" s="61">
        <f t="shared" si="1405"/>
        <v>0</v>
      </c>
      <c r="AM1192" s="22"/>
      <c r="AP1192" s="3" t="s">
        <v>1947</v>
      </c>
      <c r="AQ1192" s="3" t="s">
        <v>1929</v>
      </c>
      <c r="AR1192" s="2" t="str">
        <f t="shared" si="1410"/>
        <v>-W719080-S442</v>
      </c>
      <c r="AS1192" s="3"/>
      <c r="AT1192" s="89">
        <v>2</v>
      </c>
      <c r="AU1192" s="89">
        <v>2</v>
      </c>
      <c r="AV1192" s="89">
        <v>2</v>
      </c>
      <c r="AW1192" s="89">
        <v>2</v>
      </c>
      <c r="AX1192" s="89">
        <v>2</v>
      </c>
      <c r="AY1192" s="89">
        <v>0</v>
      </c>
      <c r="AZ1192" s="89">
        <v>0</v>
      </c>
      <c r="BA1192" s="89">
        <v>2</v>
      </c>
      <c r="BB1192" s="64">
        <f t="shared" si="1369"/>
        <v>1.62</v>
      </c>
      <c r="BD1192" s="63">
        <v>-0.20499999999999999</v>
      </c>
      <c r="BE1192" s="63">
        <v>-1E-3</v>
      </c>
      <c r="BF1192" s="63">
        <v>-3.0000000000000001E-3</v>
      </c>
      <c r="BG1192" s="63">
        <v>0</v>
      </c>
      <c r="BH1192" s="63">
        <v>0</v>
      </c>
      <c r="BI1192" s="8">
        <f t="shared" si="1371"/>
        <v>-0.20899999999999999</v>
      </c>
      <c r="BJ1192" s="2" t="s">
        <v>91</v>
      </c>
      <c r="BL1192" s="61">
        <f t="shared" si="1411"/>
        <v>0</v>
      </c>
      <c r="BM1192" s="61">
        <f t="shared" si="1411"/>
        <v>0</v>
      </c>
      <c r="BN1192" s="61"/>
      <c r="BO1192" s="61">
        <f t="shared" si="1412"/>
        <v>0</v>
      </c>
      <c r="BP1192" s="61">
        <f t="shared" si="1412"/>
        <v>0</v>
      </c>
      <c r="BS1192" s="61">
        <f t="shared" si="1388"/>
        <v>0</v>
      </c>
      <c r="BT1192" s="61">
        <f t="shared" si="1388"/>
        <v>0</v>
      </c>
      <c r="BU1192" s="61">
        <f t="shared" si="1389"/>
        <v>0</v>
      </c>
      <c r="BV1192" s="61">
        <f t="shared" si="1390"/>
        <v>0</v>
      </c>
      <c r="BW1192" s="61">
        <f t="shared" si="1390"/>
        <v>0</v>
      </c>
      <c r="BX1192" s="63">
        <f t="shared" si="1390"/>
        <v>0</v>
      </c>
      <c r="BY1192" s="61" t="s">
        <v>91</v>
      </c>
      <c r="CA1192" s="61">
        <f t="shared" si="1397"/>
        <v>0</v>
      </c>
      <c r="CB1192" s="61">
        <f t="shared" si="1397"/>
        <v>0</v>
      </c>
      <c r="CC1192" s="61">
        <f t="shared" si="1397"/>
        <v>0</v>
      </c>
      <c r="CD1192" s="61">
        <f t="shared" si="1397"/>
        <v>0</v>
      </c>
      <c r="CE1192" s="61">
        <f t="shared" si="1397"/>
        <v>0</v>
      </c>
      <c r="CF1192" s="61">
        <f t="shared" si="1397"/>
        <v>0</v>
      </c>
      <c r="CG1192" s="61">
        <f t="shared" si="1397"/>
        <v>0</v>
      </c>
      <c r="CH1192" s="61">
        <f t="shared" si="1342"/>
        <v>0</v>
      </c>
      <c r="CI1192" s="61">
        <f t="shared" si="1344"/>
        <v>0</v>
      </c>
      <c r="CK1192" s="61">
        <f t="shared" si="1356"/>
        <v>0</v>
      </c>
      <c r="CL1192" s="61">
        <f t="shared" si="1356"/>
        <v>0</v>
      </c>
      <c r="CM1192" s="61">
        <f t="shared" si="1356"/>
        <v>0</v>
      </c>
      <c r="CN1192" s="61">
        <f t="shared" si="1356"/>
        <v>0</v>
      </c>
      <c r="CO1192" s="61">
        <f t="shared" si="1356"/>
        <v>0</v>
      </c>
      <c r="CP1192" s="61">
        <f t="shared" si="1329"/>
        <v>0</v>
      </c>
      <c r="CQ1192" s="61">
        <f t="shared" si="1329"/>
        <v>0</v>
      </c>
      <c r="CR1192" s="61">
        <f t="shared" si="1329"/>
        <v>0</v>
      </c>
      <c r="CS1192" s="61">
        <f t="shared" si="1345"/>
        <v>0</v>
      </c>
      <c r="CT1192" s="63">
        <f t="shared" si="1348"/>
        <v>0</v>
      </c>
      <c r="CU1192" s="61"/>
      <c r="CV1192" s="61">
        <f t="shared" si="1398"/>
        <v>0</v>
      </c>
      <c r="CW1192" s="61">
        <f t="shared" si="1399"/>
        <v>0</v>
      </c>
      <c r="CY1192" s="61">
        <f t="shared" si="1402"/>
        <v>0</v>
      </c>
      <c r="CZ1192" s="61">
        <f t="shared" si="1400"/>
        <v>0</v>
      </c>
      <c r="DA1192" s="61">
        <f t="shared" si="1401"/>
        <v>0</v>
      </c>
      <c r="DB1192" s="2" t="s">
        <v>102</v>
      </c>
      <c r="DC1192" s="2" t="s">
        <v>102</v>
      </c>
      <c r="DD1192" s="2" t="s">
        <v>142</v>
      </c>
      <c r="DE1192" s="2" t="s">
        <v>257</v>
      </c>
      <c r="DF1192" s="3" t="s">
        <v>86</v>
      </c>
      <c r="DG1192" s="62">
        <v>42970</v>
      </c>
      <c r="EC1192" s="60" t="str">
        <f>VLOOKUP($M1192,[1]Detail!$M:$BO,1,0)</f>
        <v>-W719080-S442</v>
      </c>
      <c r="ED1192" s="60">
        <f>VLOOKUP($M1192,[1]Detail!$M:$BO,22,0)</f>
        <v>-0.20899999999999999</v>
      </c>
      <c r="EE1192" s="60">
        <f>VLOOKUP($M1192,[1]Detail!$M:$BO,42,0)</f>
        <v>0</v>
      </c>
      <c r="EF1192" s="60">
        <f>VLOOKUP($M1192,[1]Detail!$M:$BO,45,0)</f>
        <v>0</v>
      </c>
      <c r="EH1192" s="60">
        <f t="shared" si="1406"/>
        <v>0</v>
      </c>
      <c r="EI1192" s="60">
        <f t="shared" si="1407"/>
        <v>0</v>
      </c>
      <c r="EJ1192" s="60">
        <f t="shared" si="1408"/>
        <v>0</v>
      </c>
    </row>
    <row r="1193" spans="2:140" ht="12.75" hidden="1" customHeight="1">
      <c r="B1193" s="1" t="s">
        <v>1941</v>
      </c>
      <c r="C1193" s="2" t="s">
        <v>1938</v>
      </c>
      <c r="D1193" s="1" t="s">
        <v>1939</v>
      </c>
      <c r="E1193" s="1" t="s">
        <v>347</v>
      </c>
      <c r="F1193" s="2" t="s">
        <v>348</v>
      </c>
      <c r="G1193" s="3" t="s">
        <v>1921</v>
      </c>
      <c r="K1193" s="1" t="s">
        <v>1948</v>
      </c>
      <c r="L1193" s="3" t="s">
        <v>1936</v>
      </c>
      <c r="M1193" s="2" t="str">
        <f t="shared" si="1367"/>
        <v>-W719514-S450B</v>
      </c>
      <c r="O1193" s="89">
        <v>6</v>
      </c>
      <c r="P1193" s="89">
        <v>6</v>
      </c>
      <c r="Q1193" s="89">
        <v>6</v>
      </c>
      <c r="R1193" s="89">
        <v>6</v>
      </c>
      <c r="S1193" s="89">
        <v>6</v>
      </c>
      <c r="T1193" s="89">
        <v>6</v>
      </c>
      <c r="U1193" s="89">
        <v>6</v>
      </c>
      <c r="V1193" s="89">
        <v>6</v>
      </c>
      <c r="W1193" s="64">
        <f t="shared" si="1357"/>
        <v>6</v>
      </c>
      <c r="Y1193" s="63">
        <v>-0.39300000000000002</v>
      </c>
      <c r="Z1193" s="63">
        <v>-1E-3</v>
      </c>
      <c r="AA1193" s="63">
        <v>-1E-3</v>
      </c>
      <c r="AB1193" s="63">
        <v>0</v>
      </c>
      <c r="AC1193" s="63">
        <v>0</v>
      </c>
      <c r="AD1193" s="8">
        <f t="shared" si="1396"/>
        <v>-0.39500000000000002</v>
      </c>
      <c r="AE1193" s="2" t="s">
        <v>91</v>
      </c>
      <c r="AG1193" s="61">
        <f t="shared" si="1404"/>
        <v>0</v>
      </c>
      <c r="AH1193" s="61">
        <f t="shared" si="1404"/>
        <v>0</v>
      </c>
      <c r="AI1193" s="61"/>
      <c r="AJ1193" s="61">
        <f t="shared" si="1405"/>
        <v>0</v>
      </c>
      <c r="AK1193" s="61">
        <f t="shared" si="1405"/>
        <v>0</v>
      </c>
      <c r="AM1193" s="22"/>
      <c r="AP1193" s="3" t="s">
        <v>1948</v>
      </c>
      <c r="AQ1193" s="3" t="s">
        <v>1936</v>
      </c>
      <c r="AR1193" s="2" t="str">
        <f t="shared" si="1410"/>
        <v>-W719514-S450B</v>
      </c>
      <c r="AS1193" s="3"/>
      <c r="AT1193" s="89">
        <v>6</v>
      </c>
      <c r="AU1193" s="89">
        <v>6</v>
      </c>
      <c r="AV1193" s="89">
        <v>6</v>
      </c>
      <c r="AW1193" s="89">
        <v>6</v>
      </c>
      <c r="AX1193" s="89">
        <v>6</v>
      </c>
      <c r="AY1193" s="89">
        <v>6</v>
      </c>
      <c r="AZ1193" s="89">
        <v>6</v>
      </c>
      <c r="BA1193" s="89">
        <v>6</v>
      </c>
      <c r="BB1193" s="64">
        <f t="shared" si="1369"/>
        <v>6</v>
      </c>
      <c r="BD1193" s="63">
        <v>-0.39300000000000002</v>
      </c>
      <c r="BE1193" s="63">
        <v>-1E-3</v>
      </c>
      <c r="BF1193" s="63">
        <v>-1E-3</v>
      </c>
      <c r="BG1193" s="63">
        <v>0</v>
      </c>
      <c r="BH1193" s="63">
        <v>0</v>
      </c>
      <c r="BI1193" s="8">
        <f t="shared" si="1371"/>
        <v>-0.39500000000000002</v>
      </c>
      <c r="BJ1193" s="2" t="s">
        <v>91</v>
      </c>
      <c r="BL1193" s="61">
        <f t="shared" si="1411"/>
        <v>0</v>
      </c>
      <c r="BM1193" s="61">
        <f t="shared" si="1411"/>
        <v>0</v>
      </c>
      <c r="BN1193" s="61"/>
      <c r="BO1193" s="61">
        <f t="shared" si="1412"/>
        <v>0</v>
      </c>
      <c r="BP1193" s="61">
        <f t="shared" si="1412"/>
        <v>0</v>
      </c>
      <c r="BS1193" s="61">
        <f t="shared" si="1388"/>
        <v>0</v>
      </c>
      <c r="BT1193" s="61">
        <f t="shared" si="1388"/>
        <v>0</v>
      </c>
      <c r="BU1193" s="61">
        <f t="shared" si="1389"/>
        <v>0</v>
      </c>
      <c r="BV1193" s="61">
        <f t="shared" si="1390"/>
        <v>0</v>
      </c>
      <c r="BW1193" s="61">
        <f t="shared" si="1390"/>
        <v>0</v>
      </c>
      <c r="BX1193" s="63">
        <f t="shared" si="1390"/>
        <v>0</v>
      </c>
      <c r="BY1193" s="61" t="s">
        <v>91</v>
      </c>
      <c r="CA1193" s="61">
        <f t="shared" si="1397"/>
        <v>0</v>
      </c>
      <c r="CB1193" s="61">
        <f t="shared" si="1397"/>
        <v>0</v>
      </c>
      <c r="CC1193" s="61">
        <f t="shared" si="1397"/>
        <v>0</v>
      </c>
      <c r="CD1193" s="61">
        <f t="shared" si="1397"/>
        <v>0</v>
      </c>
      <c r="CE1193" s="61">
        <f t="shared" si="1397"/>
        <v>0</v>
      </c>
      <c r="CF1193" s="61">
        <f t="shared" si="1397"/>
        <v>0</v>
      </c>
      <c r="CG1193" s="61">
        <f t="shared" si="1397"/>
        <v>0</v>
      </c>
      <c r="CH1193" s="61">
        <f t="shared" si="1342"/>
        <v>0</v>
      </c>
      <c r="CI1193" s="61">
        <f t="shared" si="1344"/>
        <v>0</v>
      </c>
      <c r="CK1193" s="61">
        <f t="shared" si="1356"/>
        <v>0</v>
      </c>
      <c r="CL1193" s="61">
        <f t="shared" si="1356"/>
        <v>0</v>
      </c>
      <c r="CM1193" s="61">
        <f t="shared" si="1356"/>
        <v>0</v>
      </c>
      <c r="CN1193" s="61">
        <f t="shared" si="1356"/>
        <v>0</v>
      </c>
      <c r="CO1193" s="61">
        <f t="shared" si="1356"/>
        <v>0</v>
      </c>
      <c r="CP1193" s="61">
        <f t="shared" si="1329"/>
        <v>0</v>
      </c>
      <c r="CQ1193" s="61">
        <f t="shared" si="1329"/>
        <v>0</v>
      </c>
      <c r="CR1193" s="61">
        <f t="shared" si="1329"/>
        <v>0</v>
      </c>
      <c r="CS1193" s="61">
        <f t="shared" si="1345"/>
        <v>0</v>
      </c>
      <c r="CT1193" s="63">
        <f t="shared" si="1348"/>
        <v>0</v>
      </c>
      <c r="CU1193" s="61"/>
      <c r="CV1193" s="61">
        <f t="shared" si="1398"/>
        <v>0</v>
      </c>
      <c r="CW1193" s="61">
        <f t="shared" si="1399"/>
        <v>0</v>
      </c>
      <c r="CY1193" s="61">
        <f t="shared" si="1402"/>
        <v>0</v>
      </c>
      <c r="CZ1193" s="61">
        <f t="shared" si="1400"/>
        <v>0</v>
      </c>
      <c r="DA1193" s="61">
        <f t="shared" si="1401"/>
        <v>0</v>
      </c>
      <c r="DB1193" s="2" t="s">
        <v>102</v>
      </c>
      <c r="DC1193" s="2" t="s">
        <v>102</v>
      </c>
      <c r="DD1193" s="2" t="s">
        <v>142</v>
      </c>
      <c r="DE1193" s="2" t="s">
        <v>257</v>
      </c>
      <c r="DF1193" s="3" t="s">
        <v>86</v>
      </c>
      <c r="DG1193" s="62">
        <v>42970</v>
      </c>
      <c r="EC1193" s="60" t="str">
        <f>VLOOKUP($M1193,[1]Detail!$M:$BO,1,0)</f>
        <v>-W719514-S450B</v>
      </c>
      <c r="ED1193" s="60">
        <f>VLOOKUP($M1193,[1]Detail!$M:$BO,22,0)</f>
        <v>-0.39500000000000002</v>
      </c>
      <c r="EE1193" s="60">
        <f>VLOOKUP($M1193,[1]Detail!$M:$BO,42,0)</f>
        <v>0</v>
      </c>
      <c r="EF1193" s="60">
        <f>VLOOKUP($M1193,[1]Detail!$M:$BO,45,0)</f>
        <v>0</v>
      </c>
      <c r="EH1193" s="60">
        <f t="shared" si="1406"/>
        <v>0</v>
      </c>
      <c r="EI1193" s="60">
        <f t="shared" si="1407"/>
        <v>0</v>
      </c>
      <c r="EJ1193" s="60">
        <f t="shared" si="1408"/>
        <v>0</v>
      </c>
    </row>
    <row r="1194" spans="2:140" ht="12.75" hidden="1" customHeight="1">
      <c r="B1194" s="1" t="s">
        <v>1941</v>
      </c>
      <c r="C1194" s="2" t="s">
        <v>1938</v>
      </c>
      <c r="D1194" s="1" t="s">
        <v>1939</v>
      </c>
      <c r="E1194" s="1" t="s">
        <v>347</v>
      </c>
      <c r="F1194" s="2" t="s">
        <v>348</v>
      </c>
      <c r="G1194" s="3" t="s">
        <v>1921</v>
      </c>
      <c r="K1194" s="1" t="s">
        <v>1949</v>
      </c>
      <c r="L1194" s="3" t="s">
        <v>1950</v>
      </c>
      <c r="M1194" s="2" t="str">
        <f t="shared" si="1367"/>
        <v>-W716102-S300</v>
      </c>
      <c r="O1194" s="89">
        <v>2</v>
      </c>
      <c r="P1194" s="89">
        <v>2</v>
      </c>
      <c r="Q1194" s="89">
        <v>2</v>
      </c>
      <c r="R1194" s="89">
        <v>2</v>
      </c>
      <c r="S1194" s="89">
        <v>2</v>
      </c>
      <c r="T1194" s="89">
        <v>2</v>
      </c>
      <c r="U1194" s="89">
        <v>2</v>
      </c>
      <c r="V1194" s="89">
        <v>2</v>
      </c>
      <c r="W1194" s="64">
        <f t="shared" si="1357"/>
        <v>2</v>
      </c>
      <c r="Y1194" s="63">
        <v>-0.17799999999999999</v>
      </c>
      <c r="Z1194" s="63">
        <v>-1E-3</v>
      </c>
      <c r="AA1194" s="63">
        <v>-1E-3</v>
      </c>
      <c r="AB1194" s="63">
        <v>0</v>
      </c>
      <c r="AC1194" s="63">
        <v>0</v>
      </c>
      <c r="AD1194" s="8">
        <f t="shared" si="1396"/>
        <v>-0.18</v>
      </c>
      <c r="AE1194" s="2" t="s">
        <v>91</v>
      </c>
      <c r="AG1194" s="61">
        <f t="shared" si="1404"/>
        <v>0</v>
      </c>
      <c r="AH1194" s="61">
        <f t="shared" si="1404"/>
        <v>0</v>
      </c>
      <c r="AI1194" s="61"/>
      <c r="AJ1194" s="61">
        <f t="shared" si="1405"/>
        <v>0</v>
      </c>
      <c r="AK1194" s="61">
        <f t="shared" si="1405"/>
        <v>0</v>
      </c>
      <c r="AM1194" s="22"/>
      <c r="AP1194" s="3" t="s">
        <v>1949</v>
      </c>
      <c r="AQ1194" s="3" t="s">
        <v>1950</v>
      </c>
      <c r="AR1194" s="2" t="str">
        <f t="shared" si="1410"/>
        <v>-W716102-S300</v>
      </c>
      <c r="AS1194" s="3"/>
      <c r="AT1194" s="89">
        <v>2</v>
      </c>
      <c r="AU1194" s="89">
        <v>2</v>
      </c>
      <c r="AV1194" s="89">
        <v>2</v>
      </c>
      <c r="AW1194" s="89">
        <v>2</v>
      </c>
      <c r="AX1194" s="89">
        <v>2</v>
      </c>
      <c r="AY1194" s="89">
        <v>2</v>
      </c>
      <c r="AZ1194" s="89">
        <v>2</v>
      </c>
      <c r="BA1194" s="89">
        <v>2</v>
      </c>
      <c r="BB1194" s="64">
        <f t="shared" si="1369"/>
        <v>2</v>
      </c>
      <c r="BD1194" s="63">
        <v>-0.17799999999999999</v>
      </c>
      <c r="BE1194" s="63">
        <v>-1E-3</v>
      </c>
      <c r="BF1194" s="63">
        <v>-1E-3</v>
      </c>
      <c r="BG1194" s="63">
        <v>0</v>
      </c>
      <c r="BH1194" s="63">
        <v>0</v>
      </c>
      <c r="BI1194" s="8">
        <f t="shared" si="1371"/>
        <v>-0.18</v>
      </c>
      <c r="BJ1194" s="2" t="s">
        <v>91</v>
      </c>
      <c r="BL1194" s="61">
        <f t="shared" si="1411"/>
        <v>0</v>
      </c>
      <c r="BM1194" s="61">
        <f t="shared" si="1411"/>
        <v>0</v>
      </c>
      <c r="BN1194" s="61"/>
      <c r="BO1194" s="61">
        <f t="shared" si="1412"/>
        <v>0</v>
      </c>
      <c r="BP1194" s="61">
        <f t="shared" si="1412"/>
        <v>0</v>
      </c>
      <c r="BS1194" s="61">
        <f t="shared" si="1388"/>
        <v>0</v>
      </c>
      <c r="BT1194" s="61">
        <f t="shared" si="1388"/>
        <v>0</v>
      </c>
      <c r="BU1194" s="61">
        <f t="shared" si="1389"/>
        <v>0</v>
      </c>
      <c r="BV1194" s="61">
        <f t="shared" si="1390"/>
        <v>0</v>
      </c>
      <c r="BW1194" s="61">
        <f t="shared" si="1390"/>
        <v>0</v>
      </c>
      <c r="BX1194" s="63">
        <f t="shared" si="1390"/>
        <v>0</v>
      </c>
      <c r="BY1194" s="61" t="s">
        <v>91</v>
      </c>
      <c r="CA1194" s="61">
        <f t="shared" si="1397"/>
        <v>0</v>
      </c>
      <c r="CB1194" s="61">
        <f t="shared" si="1397"/>
        <v>0</v>
      </c>
      <c r="CC1194" s="61">
        <f t="shared" si="1397"/>
        <v>0</v>
      </c>
      <c r="CD1194" s="61">
        <f t="shared" si="1397"/>
        <v>0</v>
      </c>
      <c r="CE1194" s="61">
        <f t="shared" si="1397"/>
        <v>0</v>
      </c>
      <c r="CF1194" s="61">
        <f t="shared" si="1397"/>
        <v>0</v>
      </c>
      <c r="CG1194" s="61">
        <f t="shared" si="1397"/>
        <v>0</v>
      </c>
      <c r="CH1194" s="61">
        <f t="shared" si="1342"/>
        <v>0</v>
      </c>
      <c r="CI1194" s="61">
        <f t="shared" si="1344"/>
        <v>0</v>
      </c>
      <c r="CK1194" s="61">
        <f t="shared" ref="CK1194:CR1257" si="1413">(O1194*$AD1194-AT1194*$BI1194)/$C$2</f>
        <v>0</v>
      </c>
      <c r="CL1194" s="61">
        <f t="shared" si="1413"/>
        <v>0</v>
      </c>
      <c r="CM1194" s="61">
        <f t="shared" si="1413"/>
        <v>0</v>
      </c>
      <c r="CN1194" s="61">
        <f t="shared" si="1413"/>
        <v>0</v>
      </c>
      <c r="CO1194" s="61">
        <f t="shared" si="1413"/>
        <v>0</v>
      </c>
      <c r="CP1194" s="61">
        <f t="shared" si="1329"/>
        <v>0</v>
      </c>
      <c r="CQ1194" s="61">
        <f t="shared" si="1329"/>
        <v>0</v>
      </c>
      <c r="CR1194" s="61">
        <f t="shared" si="1329"/>
        <v>0</v>
      </c>
      <c r="CS1194" s="61">
        <f t="shared" si="1345"/>
        <v>0</v>
      </c>
      <c r="CT1194" s="63">
        <f t="shared" si="1348"/>
        <v>0</v>
      </c>
      <c r="CU1194" s="61"/>
      <c r="CV1194" s="61">
        <f t="shared" si="1398"/>
        <v>0</v>
      </c>
      <c r="CW1194" s="61">
        <f t="shared" si="1399"/>
        <v>0</v>
      </c>
      <c r="CY1194" s="61">
        <f t="shared" si="1402"/>
        <v>0</v>
      </c>
      <c r="CZ1194" s="61">
        <f t="shared" si="1400"/>
        <v>0</v>
      </c>
      <c r="DA1194" s="61">
        <f t="shared" si="1401"/>
        <v>0</v>
      </c>
      <c r="DB1194" s="2" t="s">
        <v>102</v>
      </c>
      <c r="DC1194" s="2" t="s">
        <v>102</v>
      </c>
      <c r="DD1194" s="2" t="s">
        <v>142</v>
      </c>
      <c r="DE1194" s="2" t="s">
        <v>257</v>
      </c>
      <c r="DF1194" s="3" t="s">
        <v>86</v>
      </c>
      <c r="DG1194" s="62">
        <v>42970</v>
      </c>
      <c r="EC1194" s="60" t="str">
        <f>VLOOKUP($M1194,[1]Detail!$M:$BO,1,0)</f>
        <v>-W716102-S300</v>
      </c>
      <c r="ED1194" s="60">
        <f>VLOOKUP($M1194,[1]Detail!$M:$BO,22,0)</f>
        <v>-0.18</v>
      </c>
      <c r="EE1194" s="60">
        <f>VLOOKUP($M1194,[1]Detail!$M:$BO,42,0)</f>
        <v>0</v>
      </c>
      <c r="EF1194" s="60">
        <f>VLOOKUP($M1194,[1]Detail!$M:$BO,45,0)</f>
        <v>0</v>
      </c>
      <c r="EH1194" s="60">
        <f t="shared" si="1406"/>
        <v>0</v>
      </c>
      <c r="EI1194" s="60">
        <f t="shared" si="1407"/>
        <v>0</v>
      </c>
      <c r="EJ1194" s="60">
        <f t="shared" si="1408"/>
        <v>0</v>
      </c>
    </row>
    <row r="1195" spans="2:140" ht="12.75" hidden="1" customHeight="1">
      <c r="B1195" s="1" t="s">
        <v>1941</v>
      </c>
      <c r="C1195" s="2" t="s">
        <v>1938</v>
      </c>
      <c r="D1195" s="1" t="s">
        <v>1939</v>
      </c>
      <c r="E1195" s="1" t="s">
        <v>347</v>
      </c>
      <c r="F1195" s="2" t="s">
        <v>348</v>
      </c>
      <c r="G1195" s="3" t="s">
        <v>1921</v>
      </c>
      <c r="K1195" s="1" t="s">
        <v>1951</v>
      </c>
      <c r="L1195" s="3" t="s">
        <v>1950</v>
      </c>
      <c r="M1195" s="2" t="str">
        <f t="shared" si="1367"/>
        <v>-W520764-S300</v>
      </c>
      <c r="O1195" s="89">
        <v>2</v>
      </c>
      <c r="P1195" s="89">
        <v>2</v>
      </c>
      <c r="Q1195" s="89">
        <v>2</v>
      </c>
      <c r="R1195" s="89">
        <v>2</v>
      </c>
      <c r="S1195" s="89">
        <v>2</v>
      </c>
      <c r="T1195" s="89">
        <v>2</v>
      </c>
      <c r="U1195" s="89">
        <v>2</v>
      </c>
      <c r="V1195" s="89">
        <v>2</v>
      </c>
      <c r="W1195" s="64">
        <f t="shared" si="1357"/>
        <v>2</v>
      </c>
      <c r="Y1195" s="63">
        <v>-0.51</v>
      </c>
      <c r="Z1195" s="63">
        <v>-4.0000000000000001E-3</v>
      </c>
      <c r="AA1195" s="63">
        <v>-6.0000000000000001E-3</v>
      </c>
      <c r="AB1195" s="63">
        <v>0</v>
      </c>
      <c r="AC1195" s="63">
        <v>0</v>
      </c>
      <c r="AD1195" s="8">
        <f t="shared" si="1396"/>
        <v>-0.52</v>
      </c>
      <c r="AE1195" s="2" t="s">
        <v>91</v>
      </c>
      <c r="AG1195" s="61">
        <f t="shared" si="1404"/>
        <v>0</v>
      </c>
      <c r="AH1195" s="61">
        <f t="shared" si="1404"/>
        <v>0</v>
      </c>
      <c r="AI1195" s="61"/>
      <c r="AJ1195" s="61">
        <f t="shared" si="1405"/>
        <v>0</v>
      </c>
      <c r="AK1195" s="61">
        <f t="shared" si="1405"/>
        <v>0</v>
      </c>
      <c r="AM1195" s="22"/>
      <c r="AP1195" s="3" t="s">
        <v>1951</v>
      </c>
      <c r="AQ1195" s="3" t="s">
        <v>1950</v>
      </c>
      <c r="AR1195" s="2" t="str">
        <f t="shared" si="1410"/>
        <v>-W520764-S300</v>
      </c>
      <c r="AS1195" s="3"/>
      <c r="AT1195" s="89">
        <v>2</v>
      </c>
      <c r="AU1195" s="89">
        <v>2</v>
      </c>
      <c r="AV1195" s="89">
        <v>2</v>
      </c>
      <c r="AW1195" s="89">
        <v>2</v>
      </c>
      <c r="AX1195" s="89">
        <v>2</v>
      </c>
      <c r="AY1195" s="89">
        <v>2</v>
      </c>
      <c r="AZ1195" s="89">
        <v>2</v>
      </c>
      <c r="BA1195" s="89">
        <v>2</v>
      </c>
      <c r="BB1195" s="64">
        <f t="shared" si="1369"/>
        <v>2</v>
      </c>
      <c r="BD1195" s="63">
        <v>-0.51</v>
      </c>
      <c r="BE1195" s="63">
        <v>-4.0000000000000001E-3</v>
      </c>
      <c r="BF1195" s="63">
        <v>-6.0000000000000001E-3</v>
      </c>
      <c r="BG1195" s="63">
        <v>0</v>
      </c>
      <c r="BH1195" s="63">
        <v>0</v>
      </c>
      <c r="BI1195" s="8">
        <f t="shared" si="1371"/>
        <v>-0.52</v>
      </c>
      <c r="BJ1195" s="2" t="s">
        <v>91</v>
      </c>
      <c r="BL1195" s="61">
        <f t="shared" si="1411"/>
        <v>0</v>
      </c>
      <c r="BM1195" s="61">
        <f t="shared" si="1411"/>
        <v>0</v>
      </c>
      <c r="BN1195" s="61"/>
      <c r="BO1195" s="61">
        <f t="shared" si="1412"/>
        <v>0</v>
      </c>
      <c r="BP1195" s="61">
        <f t="shared" si="1412"/>
        <v>0</v>
      </c>
      <c r="BS1195" s="61">
        <f t="shared" si="1388"/>
        <v>0</v>
      </c>
      <c r="BT1195" s="61">
        <f t="shared" si="1388"/>
        <v>0</v>
      </c>
      <c r="BU1195" s="61">
        <f t="shared" si="1389"/>
        <v>0</v>
      </c>
      <c r="BV1195" s="61">
        <f t="shared" si="1390"/>
        <v>0</v>
      </c>
      <c r="BW1195" s="61">
        <f t="shared" si="1390"/>
        <v>0</v>
      </c>
      <c r="BX1195" s="63">
        <f t="shared" si="1390"/>
        <v>0</v>
      </c>
      <c r="BY1195" s="61" t="s">
        <v>91</v>
      </c>
      <c r="CA1195" s="61">
        <f t="shared" si="1397"/>
        <v>0</v>
      </c>
      <c r="CB1195" s="61">
        <f t="shared" si="1397"/>
        <v>0</v>
      </c>
      <c r="CC1195" s="61">
        <f t="shared" si="1397"/>
        <v>0</v>
      </c>
      <c r="CD1195" s="61">
        <f t="shared" si="1397"/>
        <v>0</v>
      </c>
      <c r="CE1195" s="61">
        <f t="shared" si="1397"/>
        <v>0</v>
      </c>
      <c r="CF1195" s="61">
        <f t="shared" si="1397"/>
        <v>0</v>
      </c>
      <c r="CG1195" s="61">
        <f t="shared" si="1397"/>
        <v>0</v>
      </c>
      <c r="CH1195" s="61">
        <f t="shared" si="1342"/>
        <v>0</v>
      </c>
      <c r="CI1195" s="61">
        <f t="shared" si="1344"/>
        <v>0</v>
      </c>
      <c r="CK1195" s="61">
        <f t="shared" si="1413"/>
        <v>0</v>
      </c>
      <c r="CL1195" s="61">
        <f t="shared" si="1413"/>
        <v>0</v>
      </c>
      <c r="CM1195" s="61">
        <f t="shared" si="1413"/>
        <v>0</v>
      </c>
      <c r="CN1195" s="61">
        <f t="shared" si="1413"/>
        <v>0</v>
      </c>
      <c r="CO1195" s="61">
        <f t="shared" si="1413"/>
        <v>0</v>
      </c>
      <c r="CP1195" s="61">
        <f t="shared" si="1329"/>
        <v>0</v>
      </c>
      <c r="CQ1195" s="61">
        <f t="shared" si="1329"/>
        <v>0</v>
      </c>
      <c r="CR1195" s="61">
        <f t="shared" si="1329"/>
        <v>0</v>
      </c>
      <c r="CS1195" s="61">
        <f t="shared" si="1345"/>
        <v>0</v>
      </c>
      <c r="CT1195" s="63">
        <f t="shared" si="1348"/>
        <v>0</v>
      </c>
      <c r="CU1195" s="61"/>
      <c r="CV1195" s="61">
        <f t="shared" si="1398"/>
        <v>0</v>
      </c>
      <c r="CW1195" s="61">
        <f t="shared" si="1399"/>
        <v>0</v>
      </c>
      <c r="CY1195" s="61">
        <f t="shared" si="1402"/>
        <v>0</v>
      </c>
      <c r="CZ1195" s="61">
        <f t="shared" si="1400"/>
        <v>0</v>
      </c>
      <c r="DA1195" s="61">
        <f t="shared" si="1401"/>
        <v>0</v>
      </c>
      <c r="DB1195" s="2" t="s">
        <v>102</v>
      </c>
      <c r="DC1195" s="2" t="s">
        <v>102</v>
      </c>
      <c r="DD1195" s="2" t="s">
        <v>142</v>
      </c>
      <c r="DE1195" s="2" t="s">
        <v>257</v>
      </c>
      <c r="DF1195" s="3" t="s">
        <v>86</v>
      </c>
      <c r="DG1195" s="62">
        <v>42970</v>
      </c>
      <c r="EC1195" s="60" t="str">
        <f>VLOOKUP($M1195,[1]Detail!$M:$BO,1,0)</f>
        <v>-W520764-S300</v>
      </c>
      <c r="ED1195" s="60">
        <f>VLOOKUP($M1195,[1]Detail!$M:$BO,22,0)</f>
        <v>-0.52</v>
      </c>
      <c r="EE1195" s="60">
        <f>VLOOKUP($M1195,[1]Detail!$M:$BO,42,0)</f>
        <v>0</v>
      </c>
      <c r="EF1195" s="60">
        <f>VLOOKUP($M1195,[1]Detail!$M:$BO,45,0)</f>
        <v>0</v>
      </c>
      <c r="EH1195" s="60">
        <f t="shared" si="1406"/>
        <v>0</v>
      </c>
      <c r="EI1195" s="60">
        <f t="shared" si="1407"/>
        <v>0</v>
      </c>
      <c r="EJ1195" s="60">
        <f t="shared" si="1408"/>
        <v>0</v>
      </c>
    </row>
    <row r="1196" spans="2:140" ht="12.75" hidden="1" customHeight="1">
      <c r="B1196" s="1" t="s">
        <v>1941</v>
      </c>
      <c r="C1196" s="2" t="s">
        <v>1938</v>
      </c>
      <c r="D1196" s="1" t="s">
        <v>1939</v>
      </c>
      <c r="E1196" s="1" t="s">
        <v>347</v>
      </c>
      <c r="F1196" s="2" t="s">
        <v>348</v>
      </c>
      <c r="G1196" s="3" t="s">
        <v>1921</v>
      </c>
      <c r="K1196" s="1" t="s">
        <v>1952</v>
      </c>
      <c r="L1196" s="3" t="s">
        <v>1950</v>
      </c>
      <c r="M1196" s="2" t="str">
        <f t="shared" si="1367"/>
        <v>-W520761-S300</v>
      </c>
      <c r="O1196" s="89">
        <v>2</v>
      </c>
      <c r="P1196" s="89">
        <v>2</v>
      </c>
      <c r="Q1196" s="89">
        <v>2</v>
      </c>
      <c r="R1196" s="89">
        <v>2</v>
      </c>
      <c r="S1196" s="89">
        <v>2</v>
      </c>
      <c r="T1196" s="89">
        <v>2</v>
      </c>
      <c r="U1196" s="89">
        <v>2</v>
      </c>
      <c r="V1196" s="89">
        <v>2</v>
      </c>
      <c r="W1196" s="64">
        <f t="shared" si="1357"/>
        <v>2</v>
      </c>
      <c r="Y1196" s="63">
        <v>-0.123</v>
      </c>
      <c r="Z1196" s="63">
        <v>-1E-3</v>
      </c>
      <c r="AA1196" s="63">
        <v>-1E-3</v>
      </c>
      <c r="AB1196" s="63">
        <v>0</v>
      </c>
      <c r="AC1196" s="63">
        <v>0</v>
      </c>
      <c r="AD1196" s="8">
        <f t="shared" si="1396"/>
        <v>-0.125</v>
      </c>
      <c r="AE1196" s="2" t="s">
        <v>91</v>
      </c>
      <c r="AG1196" s="61">
        <f t="shared" si="1404"/>
        <v>0</v>
      </c>
      <c r="AH1196" s="61">
        <f t="shared" si="1404"/>
        <v>0</v>
      </c>
      <c r="AI1196" s="61"/>
      <c r="AJ1196" s="61">
        <f t="shared" si="1405"/>
        <v>0</v>
      </c>
      <c r="AK1196" s="61">
        <f t="shared" si="1405"/>
        <v>0</v>
      </c>
      <c r="AM1196" s="22"/>
      <c r="AP1196" s="3" t="s">
        <v>1952</v>
      </c>
      <c r="AQ1196" s="3" t="s">
        <v>1950</v>
      </c>
      <c r="AR1196" s="2" t="str">
        <f t="shared" si="1410"/>
        <v>-W520761-S300</v>
      </c>
      <c r="AS1196" s="3"/>
      <c r="AT1196" s="89">
        <v>2</v>
      </c>
      <c r="AU1196" s="89">
        <v>2</v>
      </c>
      <c r="AV1196" s="89">
        <v>2</v>
      </c>
      <c r="AW1196" s="89">
        <v>2</v>
      </c>
      <c r="AX1196" s="89">
        <v>2</v>
      </c>
      <c r="AY1196" s="89">
        <v>2</v>
      </c>
      <c r="AZ1196" s="89">
        <v>2</v>
      </c>
      <c r="BA1196" s="89">
        <v>2</v>
      </c>
      <c r="BB1196" s="64">
        <f t="shared" si="1369"/>
        <v>2</v>
      </c>
      <c r="BD1196" s="63">
        <v>-0.123</v>
      </c>
      <c r="BE1196" s="63">
        <v>-1E-3</v>
      </c>
      <c r="BF1196" s="63">
        <v>-1E-3</v>
      </c>
      <c r="BG1196" s="63">
        <v>0</v>
      </c>
      <c r="BH1196" s="63">
        <v>0</v>
      </c>
      <c r="BI1196" s="8">
        <f t="shared" si="1371"/>
        <v>-0.125</v>
      </c>
      <c r="BJ1196" s="2" t="s">
        <v>91</v>
      </c>
      <c r="BL1196" s="61">
        <f t="shared" si="1411"/>
        <v>0</v>
      </c>
      <c r="BM1196" s="61">
        <f t="shared" si="1411"/>
        <v>0</v>
      </c>
      <c r="BN1196" s="61"/>
      <c r="BO1196" s="61">
        <f t="shared" si="1412"/>
        <v>0</v>
      </c>
      <c r="BP1196" s="61">
        <f t="shared" si="1412"/>
        <v>0</v>
      </c>
      <c r="BS1196" s="61">
        <f t="shared" si="1388"/>
        <v>0</v>
      </c>
      <c r="BT1196" s="61">
        <f t="shared" si="1388"/>
        <v>0</v>
      </c>
      <c r="BU1196" s="61">
        <f t="shared" si="1389"/>
        <v>0</v>
      </c>
      <c r="BV1196" s="61">
        <f t="shared" si="1390"/>
        <v>0</v>
      </c>
      <c r="BW1196" s="61">
        <f t="shared" si="1390"/>
        <v>0</v>
      </c>
      <c r="BX1196" s="63">
        <f t="shared" si="1390"/>
        <v>0</v>
      </c>
      <c r="BY1196" s="61" t="s">
        <v>91</v>
      </c>
      <c r="CA1196" s="61">
        <f t="shared" si="1397"/>
        <v>0</v>
      </c>
      <c r="CB1196" s="61">
        <f t="shared" si="1397"/>
        <v>0</v>
      </c>
      <c r="CC1196" s="61">
        <f t="shared" si="1397"/>
        <v>0</v>
      </c>
      <c r="CD1196" s="61">
        <f t="shared" si="1397"/>
        <v>0</v>
      </c>
      <c r="CE1196" s="61">
        <f t="shared" si="1397"/>
        <v>0</v>
      </c>
      <c r="CF1196" s="61">
        <f t="shared" si="1397"/>
        <v>0</v>
      </c>
      <c r="CG1196" s="61">
        <f t="shared" si="1397"/>
        <v>0</v>
      </c>
      <c r="CH1196" s="61">
        <f t="shared" si="1342"/>
        <v>0</v>
      </c>
      <c r="CI1196" s="61">
        <f t="shared" si="1344"/>
        <v>0</v>
      </c>
      <c r="CK1196" s="61">
        <f t="shared" si="1413"/>
        <v>0</v>
      </c>
      <c r="CL1196" s="61">
        <f t="shared" si="1413"/>
        <v>0</v>
      </c>
      <c r="CM1196" s="61">
        <f t="shared" si="1413"/>
        <v>0</v>
      </c>
      <c r="CN1196" s="61">
        <f t="shared" si="1413"/>
        <v>0</v>
      </c>
      <c r="CO1196" s="61">
        <f t="shared" si="1413"/>
        <v>0</v>
      </c>
      <c r="CP1196" s="61">
        <f t="shared" si="1329"/>
        <v>0</v>
      </c>
      <c r="CQ1196" s="61">
        <f t="shared" si="1329"/>
        <v>0</v>
      </c>
      <c r="CR1196" s="61">
        <f t="shared" si="1329"/>
        <v>0</v>
      </c>
      <c r="CS1196" s="61">
        <f t="shared" si="1345"/>
        <v>0</v>
      </c>
      <c r="CT1196" s="63">
        <f t="shared" si="1348"/>
        <v>0</v>
      </c>
      <c r="CU1196" s="61"/>
      <c r="CV1196" s="61">
        <f t="shared" si="1398"/>
        <v>0</v>
      </c>
      <c r="CW1196" s="61">
        <f t="shared" si="1399"/>
        <v>0</v>
      </c>
      <c r="CY1196" s="61">
        <f t="shared" si="1402"/>
        <v>0</v>
      </c>
      <c r="CZ1196" s="61">
        <f t="shared" si="1400"/>
        <v>0</v>
      </c>
      <c r="DA1196" s="61">
        <f t="shared" si="1401"/>
        <v>0</v>
      </c>
      <c r="DB1196" s="2" t="s">
        <v>102</v>
      </c>
      <c r="DC1196" s="2" t="s">
        <v>102</v>
      </c>
      <c r="DD1196" s="2" t="s">
        <v>142</v>
      </c>
      <c r="DE1196" s="2" t="s">
        <v>257</v>
      </c>
      <c r="DF1196" s="3" t="s">
        <v>86</v>
      </c>
      <c r="DG1196" s="62">
        <v>42970</v>
      </c>
      <c r="EC1196" s="60" t="str">
        <f>VLOOKUP($M1196,[1]Detail!$M:$BO,1,0)</f>
        <v>-W520761-S300</v>
      </c>
      <c r="ED1196" s="60">
        <f>VLOOKUP($M1196,[1]Detail!$M:$BO,22,0)</f>
        <v>-0.125</v>
      </c>
      <c r="EE1196" s="60">
        <f>VLOOKUP($M1196,[1]Detail!$M:$BO,42,0)</f>
        <v>0</v>
      </c>
      <c r="EF1196" s="60">
        <f>VLOOKUP($M1196,[1]Detail!$M:$BO,45,0)</f>
        <v>0</v>
      </c>
      <c r="EH1196" s="60">
        <f t="shared" si="1406"/>
        <v>0</v>
      </c>
      <c r="EI1196" s="60">
        <f t="shared" si="1407"/>
        <v>0</v>
      </c>
      <c r="EJ1196" s="60">
        <f t="shared" si="1408"/>
        <v>0</v>
      </c>
    </row>
    <row r="1197" spans="2:140" ht="12.75" hidden="1" customHeight="1">
      <c r="B1197" s="1" t="s">
        <v>1953</v>
      </c>
      <c r="C1197" s="2" t="s">
        <v>1919</v>
      </c>
      <c r="D1197" s="1" t="s">
        <v>1920</v>
      </c>
      <c r="E1197" s="1" t="s">
        <v>347</v>
      </c>
      <c r="F1197" s="2" t="s">
        <v>348</v>
      </c>
      <c r="G1197" s="3" t="s">
        <v>1921</v>
      </c>
      <c r="K1197" s="1" t="s">
        <v>1954</v>
      </c>
      <c r="L1197" s="3" t="s">
        <v>1927</v>
      </c>
      <c r="M1197" s="2" t="str">
        <f t="shared" si="1367"/>
        <v>-W500014-S437</v>
      </c>
      <c r="O1197" s="89">
        <v>2</v>
      </c>
      <c r="P1197" s="89">
        <v>0</v>
      </c>
      <c r="Q1197" s="89">
        <v>2</v>
      </c>
      <c r="R1197" s="89">
        <v>2</v>
      </c>
      <c r="S1197" s="89">
        <v>0</v>
      </c>
      <c r="T1197" s="89">
        <v>2</v>
      </c>
      <c r="U1197" s="89">
        <v>0</v>
      </c>
      <c r="V1197" s="89">
        <v>0</v>
      </c>
      <c r="W1197" s="64">
        <f t="shared" si="1357"/>
        <v>1.3</v>
      </c>
      <c r="Y1197" s="63">
        <v>-0.111</v>
      </c>
      <c r="Z1197" s="63">
        <v>-2.5999999999999999E-3</v>
      </c>
      <c r="AA1197" s="63">
        <v>-2.2000000000000001E-3</v>
      </c>
      <c r="AB1197" s="63">
        <v>0</v>
      </c>
      <c r="AC1197" s="63">
        <v>0</v>
      </c>
      <c r="AD1197" s="8">
        <f t="shared" si="1396"/>
        <v>-0.1158</v>
      </c>
      <c r="AE1197" s="2" t="s">
        <v>91</v>
      </c>
      <c r="AG1197" s="61">
        <f t="shared" si="1404"/>
        <v>0</v>
      </c>
      <c r="AH1197" s="61">
        <f t="shared" si="1404"/>
        <v>0</v>
      </c>
      <c r="AI1197" s="61"/>
      <c r="AJ1197" s="61">
        <f t="shared" si="1405"/>
        <v>0</v>
      </c>
      <c r="AK1197" s="61">
        <f t="shared" si="1405"/>
        <v>0</v>
      </c>
      <c r="AM1197" s="22"/>
      <c r="AP1197" s="3" t="s">
        <v>1954</v>
      </c>
      <c r="AQ1197" s="3" t="s">
        <v>1927</v>
      </c>
      <c r="AR1197" s="2" t="s">
        <v>1955</v>
      </c>
      <c r="AT1197" s="89">
        <v>2</v>
      </c>
      <c r="AU1197" s="89">
        <v>0</v>
      </c>
      <c r="AV1197" s="89">
        <v>2</v>
      </c>
      <c r="AW1197" s="89">
        <v>2</v>
      </c>
      <c r="AX1197" s="89">
        <v>0</v>
      </c>
      <c r="AY1197" s="89">
        <v>2</v>
      </c>
      <c r="AZ1197" s="89">
        <v>0</v>
      </c>
      <c r="BA1197" s="89">
        <v>0</v>
      </c>
      <c r="BB1197" s="89">
        <v>1.3</v>
      </c>
      <c r="BD1197" s="63">
        <v>-0.111</v>
      </c>
      <c r="BE1197" s="63">
        <v>-2.5999999999999999E-3</v>
      </c>
      <c r="BF1197" s="63">
        <v>-2.2000000000000001E-3</v>
      </c>
      <c r="BG1197" s="63"/>
      <c r="BH1197" s="63"/>
      <c r="BI1197" s="63">
        <v>-0.1158</v>
      </c>
      <c r="BJ1197" s="2" t="s">
        <v>91</v>
      </c>
      <c r="BK1197" s="63"/>
      <c r="BL1197" s="63">
        <v>0</v>
      </c>
      <c r="BM1197" s="63">
        <v>0</v>
      </c>
      <c r="BN1197" s="63"/>
      <c r="BO1197" s="63">
        <v>0</v>
      </c>
      <c r="BP1197" s="63">
        <v>0</v>
      </c>
      <c r="BS1197" s="61">
        <f t="shared" si="1388"/>
        <v>0</v>
      </c>
      <c r="BT1197" s="61">
        <f t="shared" si="1388"/>
        <v>0</v>
      </c>
      <c r="BU1197" s="61">
        <f t="shared" si="1389"/>
        <v>0</v>
      </c>
      <c r="BV1197" s="61">
        <f t="shared" si="1390"/>
        <v>0</v>
      </c>
      <c r="BW1197" s="61">
        <f t="shared" si="1390"/>
        <v>0</v>
      </c>
      <c r="BX1197" s="63">
        <f t="shared" si="1390"/>
        <v>0</v>
      </c>
      <c r="BY1197" s="61" t="s">
        <v>91</v>
      </c>
      <c r="CA1197" s="61">
        <f t="shared" si="1397"/>
        <v>0</v>
      </c>
      <c r="CB1197" s="61">
        <f t="shared" si="1397"/>
        <v>0</v>
      </c>
      <c r="CC1197" s="61">
        <f t="shared" si="1397"/>
        <v>0</v>
      </c>
      <c r="CD1197" s="61">
        <f t="shared" si="1397"/>
        <v>0</v>
      </c>
      <c r="CE1197" s="61">
        <f t="shared" si="1397"/>
        <v>0</v>
      </c>
      <c r="CF1197" s="61">
        <f t="shared" si="1397"/>
        <v>0</v>
      </c>
      <c r="CG1197" s="61">
        <f t="shared" si="1397"/>
        <v>0</v>
      </c>
      <c r="CH1197" s="61">
        <f t="shared" si="1342"/>
        <v>0</v>
      </c>
      <c r="CI1197" s="61">
        <f t="shared" si="1344"/>
        <v>0</v>
      </c>
      <c r="CK1197" s="61">
        <f t="shared" si="1413"/>
        <v>0</v>
      </c>
      <c r="CL1197" s="61">
        <f t="shared" si="1413"/>
        <v>0</v>
      </c>
      <c r="CM1197" s="61">
        <f t="shared" si="1413"/>
        <v>0</v>
      </c>
      <c r="CN1197" s="61">
        <f t="shared" si="1413"/>
        <v>0</v>
      </c>
      <c r="CO1197" s="61">
        <f t="shared" si="1413"/>
        <v>0</v>
      </c>
      <c r="CP1197" s="61">
        <f t="shared" si="1329"/>
        <v>0</v>
      </c>
      <c r="CQ1197" s="61">
        <f t="shared" si="1329"/>
        <v>0</v>
      </c>
      <c r="CR1197" s="61">
        <f t="shared" si="1329"/>
        <v>0</v>
      </c>
      <c r="CS1197" s="61">
        <f t="shared" si="1345"/>
        <v>0</v>
      </c>
      <c r="CT1197" s="63">
        <f t="shared" si="1348"/>
        <v>0</v>
      </c>
      <c r="CU1197" s="61"/>
      <c r="CV1197" s="61">
        <f t="shared" si="1398"/>
        <v>0</v>
      </c>
      <c r="CW1197" s="61">
        <f t="shared" si="1399"/>
        <v>0</v>
      </c>
      <c r="CY1197" s="61">
        <f t="shared" si="1402"/>
        <v>0</v>
      </c>
      <c r="CZ1197" s="61">
        <f t="shared" si="1400"/>
        <v>0</v>
      </c>
      <c r="DA1197" s="61">
        <f t="shared" si="1401"/>
        <v>0</v>
      </c>
      <c r="DB1197" s="2" t="s">
        <v>102</v>
      </c>
      <c r="DC1197" s="2" t="s">
        <v>102</v>
      </c>
      <c r="DD1197" s="2" t="s">
        <v>142</v>
      </c>
      <c r="DE1197" s="2" t="s">
        <v>257</v>
      </c>
      <c r="DF1197" s="3" t="s">
        <v>86</v>
      </c>
      <c r="DG1197" s="62">
        <v>42970</v>
      </c>
      <c r="EC1197" s="60" t="str">
        <f>VLOOKUP($M1197,[1]Detail!$M:$BO,1,0)</f>
        <v>-W500014-S437</v>
      </c>
      <c r="ED1197" s="60">
        <f>VLOOKUP($M1197,[1]Detail!$M:$BO,22,0)</f>
        <v>-0.1158</v>
      </c>
      <c r="EE1197" s="60">
        <f>VLOOKUP($M1197,[1]Detail!$M:$BO,42,0)</f>
        <v>0</v>
      </c>
      <c r="EF1197" s="60">
        <f>VLOOKUP($M1197,[1]Detail!$M:$BO,45,0)</f>
        <v>0</v>
      </c>
      <c r="EH1197" s="60">
        <f t="shared" si="1406"/>
        <v>0</v>
      </c>
      <c r="EI1197" s="60">
        <f t="shared" si="1407"/>
        <v>0</v>
      </c>
      <c r="EJ1197" s="60">
        <f t="shared" si="1408"/>
        <v>0</v>
      </c>
    </row>
    <row r="1198" spans="2:140" ht="12.75" hidden="1" customHeight="1">
      <c r="B1198" s="1" t="s">
        <v>1956</v>
      </c>
      <c r="C1198" s="2" t="s">
        <v>1919</v>
      </c>
      <c r="D1198" s="1" t="s">
        <v>1920</v>
      </c>
      <c r="E1198" s="1" t="s">
        <v>347</v>
      </c>
      <c r="F1198" s="2" t="s">
        <v>348</v>
      </c>
      <c r="G1198" s="3" t="s">
        <v>1921</v>
      </c>
      <c r="K1198" s="1" t="s">
        <v>1957</v>
      </c>
      <c r="L1198" s="3" t="s">
        <v>1936</v>
      </c>
      <c r="M1198" s="2" t="str">
        <f t="shared" si="1367"/>
        <v>-W500215-S450B</v>
      </c>
      <c r="O1198" s="89">
        <v>2</v>
      </c>
      <c r="P1198" s="89">
        <v>2</v>
      </c>
      <c r="Q1198" s="89">
        <v>2</v>
      </c>
      <c r="R1198" s="89">
        <v>2</v>
      </c>
      <c r="S1198" s="89">
        <v>2</v>
      </c>
      <c r="T1198" s="89">
        <v>2</v>
      </c>
      <c r="U1198" s="89">
        <v>2</v>
      </c>
      <c r="V1198" s="89">
        <v>2</v>
      </c>
      <c r="W1198" s="64">
        <f t="shared" si="1357"/>
        <v>2</v>
      </c>
      <c r="Y1198" s="63">
        <v>-0.189</v>
      </c>
      <c r="Z1198" s="63">
        <v>-3.0000000000000001E-3</v>
      </c>
      <c r="AA1198" s="63">
        <v>-2.5999999999999999E-3</v>
      </c>
      <c r="AB1198" s="63">
        <v>0</v>
      </c>
      <c r="AC1198" s="63">
        <v>0</v>
      </c>
      <c r="AD1198" s="8">
        <f t="shared" si="1396"/>
        <v>-0.1946</v>
      </c>
      <c r="AE1198" s="2" t="s">
        <v>91</v>
      </c>
      <c r="AG1198" s="61">
        <f t="shared" si="1404"/>
        <v>0</v>
      </c>
      <c r="AH1198" s="61">
        <f t="shared" si="1404"/>
        <v>0</v>
      </c>
      <c r="AI1198" s="61"/>
      <c r="AJ1198" s="61">
        <f t="shared" si="1405"/>
        <v>0</v>
      </c>
      <c r="AK1198" s="61">
        <f t="shared" si="1405"/>
        <v>0</v>
      </c>
      <c r="AM1198" s="22"/>
      <c r="AP1198" s="3" t="s">
        <v>1957</v>
      </c>
      <c r="AQ1198" s="3" t="s">
        <v>1936</v>
      </c>
      <c r="AR1198" s="2" t="s">
        <v>1958</v>
      </c>
      <c r="AT1198" s="89">
        <v>2</v>
      </c>
      <c r="AU1198" s="89">
        <v>2</v>
      </c>
      <c r="AV1198" s="89">
        <v>2</v>
      </c>
      <c r="AW1198" s="89">
        <v>2</v>
      </c>
      <c r="AX1198" s="89">
        <v>2</v>
      </c>
      <c r="AY1198" s="89">
        <v>2</v>
      </c>
      <c r="AZ1198" s="89">
        <v>2</v>
      </c>
      <c r="BA1198" s="89">
        <v>2</v>
      </c>
      <c r="BB1198" s="89">
        <v>2</v>
      </c>
      <c r="BD1198" s="63">
        <v>-0.189</v>
      </c>
      <c r="BE1198" s="63">
        <v>-3.0000000000000001E-3</v>
      </c>
      <c r="BF1198" s="63">
        <v>-2.5999999999999999E-3</v>
      </c>
      <c r="BG1198" s="63"/>
      <c r="BH1198" s="63"/>
      <c r="BI1198" s="63">
        <v>-0.1946</v>
      </c>
      <c r="BJ1198" s="2" t="s">
        <v>91</v>
      </c>
      <c r="BK1198" s="63"/>
      <c r="BL1198" s="63">
        <v>0</v>
      </c>
      <c r="BM1198" s="63">
        <v>0</v>
      </c>
      <c r="BN1198" s="63"/>
      <c r="BO1198" s="63">
        <v>0</v>
      </c>
      <c r="BP1198" s="63">
        <v>0</v>
      </c>
      <c r="BS1198" s="61">
        <f t="shared" si="1388"/>
        <v>0</v>
      </c>
      <c r="BT1198" s="61">
        <f t="shared" si="1388"/>
        <v>0</v>
      </c>
      <c r="BU1198" s="61">
        <f t="shared" si="1389"/>
        <v>0</v>
      </c>
      <c r="BV1198" s="61">
        <f t="shared" si="1390"/>
        <v>0</v>
      </c>
      <c r="BW1198" s="61">
        <f t="shared" si="1390"/>
        <v>0</v>
      </c>
      <c r="BX1198" s="63">
        <f t="shared" si="1390"/>
        <v>0</v>
      </c>
      <c r="BY1198" s="61" t="s">
        <v>91</v>
      </c>
      <c r="CA1198" s="61">
        <f t="shared" si="1397"/>
        <v>0</v>
      </c>
      <c r="CB1198" s="61">
        <f t="shared" si="1397"/>
        <v>0</v>
      </c>
      <c r="CC1198" s="61">
        <f t="shared" si="1397"/>
        <v>0</v>
      </c>
      <c r="CD1198" s="61">
        <f t="shared" si="1397"/>
        <v>0</v>
      </c>
      <c r="CE1198" s="61">
        <f t="shared" si="1397"/>
        <v>0</v>
      </c>
      <c r="CF1198" s="61">
        <f t="shared" si="1397"/>
        <v>0</v>
      </c>
      <c r="CG1198" s="61">
        <f t="shared" si="1397"/>
        <v>0</v>
      </c>
      <c r="CH1198" s="61">
        <f t="shared" si="1342"/>
        <v>0</v>
      </c>
      <c r="CI1198" s="61">
        <f t="shared" si="1344"/>
        <v>0</v>
      </c>
      <c r="CK1198" s="61">
        <f t="shared" si="1413"/>
        <v>0</v>
      </c>
      <c r="CL1198" s="61">
        <f t="shared" si="1413"/>
        <v>0</v>
      </c>
      <c r="CM1198" s="61">
        <f t="shared" si="1413"/>
        <v>0</v>
      </c>
      <c r="CN1198" s="61">
        <f t="shared" si="1413"/>
        <v>0</v>
      </c>
      <c r="CO1198" s="61">
        <f t="shared" si="1413"/>
        <v>0</v>
      </c>
      <c r="CP1198" s="61">
        <f t="shared" si="1413"/>
        <v>0</v>
      </c>
      <c r="CQ1198" s="61">
        <f t="shared" si="1413"/>
        <v>0</v>
      </c>
      <c r="CR1198" s="61">
        <f t="shared" si="1413"/>
        <v>0</v>
      </c>
      <c r="CS1198" s="61">
        <f t="shared" si="1345"/>
        <v>0</v>
      </c>
      <c r="CT1198" s="63">
        <f t="shared" si="1348"/>
        <v>0</v>
      </c>
      <c r="CU1198" s="61"/>
      <c r="CV1198" s="61">
        <f t="shared" si="1398"/>
        <v>0</v>
      </c>
      <c r="CW1198" s="61">
        <f t="shared" si="1399"/>
        <v>0</v>
      </c>
      <c r="CY1198" s="61">
        <f t="shared" si="1402"/>
        <v>0</v>
      </c>
      <c r="CZ1198" s="61">
        <f t="shared" si="1400"/>
        <v>0</v>
      </c>
      <c r="DA1198" s="61">
        <f t="shared" si="1401"/>
        <v>0</v>
      </c>
      <c r="DB1198" s="2" t="s">
        <v>102</v>
      </c>
      <c r="DC1198" s="2" t="s">
        <v>102</v>
      </c>
      <c r="DD1198" s="2" t="s">
        <v>142</v>
      </c>
      <c r="DE1198" s="2" t="s">
        <v>257</v>
      </c>
      <c r="DF1198" s="3" t="s">
        <v>86</v>
      </c>
      <c r="DG1198" s="62">
        <v>42970</v>
      </c>
      <c r="EC1198" s="60" t="str">
        <f>VLOOKUP($M1198,[1]Detail!$M:$BO,1,0)</f>
        <v>-W500215-S450B</v>
      </c>
      <c r="ED1198" s="60">
        <f>VLOOKUP($M1198,[1]Detail!$M:$BO,22,0)</f>
        <v>-0.1946</v>
      </c>
      <c r="EE1198" s="60">
        <f>VLOOKUP($M1198,[1]Detail!$M:$BO,42,0)</f>
        <v>0</v>
      </c>
      <c r="EF1198" s="60">
        <f>VLOOKUP($M1198,[1]Detail!$M:$BO,45,0)</f>
        <v>0</v>
      </c>
      <c r="EH1198" s="60">
        <f t="shared" si="1406"/>
        <v>0</v>
      </c>
      <c r="EI1198" s="60">
        <f t="shared" si="1407"/>
        <v>0</v>
      </c>
      <c r="EJ1198" s="60">
        <f t="shared" si="1408"/>
        <v>0</v>
      </c>
    </row>
    <row r="1199" spans="2:140" ht="12.75" hidden="1" customHeight="1">
      <c r="B1199" s="1" t="s">
        <v>1956</v>
      </c>
      <c r="C1199" s="2" t="s">
        <v>1919</v>
      </c>
      <c r="D1199" s="1" t="s">
        <v>1920</v>
      </c>
      <c r="E1199" s="1" t="s">
        <v>347</v>
      </c>
      <c r="F1199" s="2" t="s">
        <v>348</v>
      </c>
      <c r="G1199" s="3" t="s">
        <v>1921</v>
      </c>
      <c r="K1199" s="1" t="s">
        <v>1959</v>
      </c>
      <c r="L1199" s="3" t="s">
        <v>1960</v>
      </c>
      <c r="M1199" s="2" t="str">
        <f t="shared" si="1367"/>
        <v>-W707103-S439</v>
      </c>
      <c r="O1199" s="89">
        <v>1</v>
      </c>
      <c r="P1199" s="89">
        <v>1</v>
      </c>
      <c r="Q1199" s="89">
        <v>1</v>
      </c>
      <c r="R1199" s="89">
        <v>1</v>
      </c>
      <c r="S1199" s="89">
        <v>1</v>
      </c>
      <c r="T1199" s="89">
        <v>1</v>
      </c>
      <c r="U1199" s="89">
        <v>1</v>
      </c>
      <c r="V1199" s="89">
        <v>1</v>
      </c>
      <c r="W1199" s="64">
        <f t="shared" si="1357"/>
        <v>1</v>
      </c>
      <c r="Y1199" s="63">
        <v>-0.26600000000000001</v>
      </c>
      <c r="Z1199" s="63">
        <v>-5.5999999999999999E-3</v>
      </c>
      <c r="AA1199" s="63">
        <v>-4.7999999999999996E-3</v>
      </c>
      <c r="AB1199" s="63">
        <v>0</v>
      </c>
      <c r="AC1199" s="63">
        <v>0</v>
      </c>
      <c r="AD1199" s="8">
        <f t="shared" si="1396"/>
        <v>-0.27640000000000003</v>
      </c>
      <c r="AE1199" s="2" t="s">
        <v>91</v>
      </c>
      <c r="AG1199" s="61">
        <f t="shared" si="1404"/>
        <v>0</v>
      </c>
      <c r="AH1199" s="61">
        <f t="shared" si="1404"/>
        <v>0</v>
      </c>
      <c r="AI1199" s="61"/>
      <c r="AJ1199" s="61">
        <f t="shared" si="1405"/>
        <v>0</v>
      </c>
      <c r="AK1199" s="61">
        <f t="shared" si="1405"/>
        <v>0</v>
      </c>
      <c r="AM1199" s="22"/>
      <c r="AP1199" s="3" t="s">
        <v>1959</v>
      </c>
      <c r="AQ1199" s="3" t="s">
        <v>1960</v>
      </c>
      <c r="AR1199" s="2" t="s">
        <v>1961</v>
      </c>
      <c r="AT1199" s="89">
        <v>1</v>
      </c>
      <c r="AU1199" s="89">
        <v>1</v>
      </c>
      <c r="AV1199" s="89">
        <v>1</v>
      </c>
      <c r="AW1199" s="89">
        <v>1</v>
      </c>
      <c r="AX1199" s="89">
        <v>1</v>
      </c>
      <c r="AY1199" s="89">
        <v>1</v>
      </c>
      <c r="AZ1199" s="89">
        <v>1</v>
      </c>
      <c r="BA1199" s="89">
        <v>1</v>
      </c>
      <c r="BB1199" s="89">
        <v>1</v>
      </c>
      <c r="BD1199" s="63">
        <v>-0.26600000000000001</v>
      </c>
      <c r="BE1199" s="63">
        <v>-5.5999999999999999E-3</v>
      </c>
      <c r="BF1199" s="63">
        <v>-4.7999999999999996E-3</v>
      </c>
      <c r="BG1199" s="63"/>
      <c r="BH1199" s="63"/>
      <c r="BI1199" s="63">
        <v>-0.27640000000000003</v>
      </c>
      <c r="BJ1199" s="2" t="s">
        <v>91</v>
      </c>
      <c r="BK1199" s="63"/>
      <c r="BL1199" s="63">
        <v>0</v>
      </c>
      <c r="BM1199" s="63">
        <v>0</v>
      </c>
      <c r="BN1199" s="63"/>
      <c r="BO1199" s="63">
        <v>0</v>
      </c>
      <c r="BP1199" s="63">
        <v>0</v>
      </c>
      <c r="BS1199" s="61">
        <f t="shared" si="1388"/>
        <v>0</v>
      </c>
      <c r="BT1199" s="61">
        <f t="shared" si="1388"/>
        <v>0</v>
      </c>
      <c r="BU1199" s="61">
        <f t="shared" si="1389"/>
        <v>0</v>
      </c>
      <c r="BV1199" s="61">
        <f t="shared" si="1390"/>
        <v>0</v>
      </c>
      <c r="BW1199" s="61">
        <f t="shared" si="1390"/>
        <v>0</v>
      </c>
      <c r="BX1199" s="63">
        <f t="shared" si="1390"/>
        <v>0</v>
      </c>
      <c r="BY1199" s="61" t="s">
        <v>91</v>
      </c>
      <c r="CA1199" s="61">
        <f t="shared" si="1397"/>
        <v>0</v>
      </c>
      <c r="CB1199" s="61">
        <f t="shared" si="1397"/>
        <v>0</v>
      </c>
      <c r="CC1199" s="61">
        <f t="shared" si="1397"/>
        <v>0</v>
      </c>
      <c r="CD1199" s="61">
        <f t="shared" si="1397"/>
        <v>0</v>
      </c>
      <c r="CE1199" s="61">
        <f t="shared" si="1397"/>
        <v>0</v>
      </c>
      <c r="CF1199" s="61">
        <f t="shared" si="1397"/>
        <v>0</v>
      </c>
      <c r="CG1199" s="61">
        <f t="shared" si="1397"/>
        <v>0</v>
      </c>
      <c r="CH1199" s="61">
        <f t="shared" si="1342"/>
        <v>0</v>
      </c>
      <c r="CI1199" s="61">
        <f t="shared" si="1344"/>
        <v>0</v>
      </c>
      <c r="CK1199" s="61">
        <f t="shared" si="1413"/>
        <v>0</v>
      </c>
      <c r="CL1199" s="61">
        <f t="shared" si="1413"/>
        <v>0</v>
      </c>
      <c r="CM1199" s="61">
        <f t="shared" si="1413"/>
        <v>0</v>
      </c>
      <c r="CN1199" s="61">
        <f t="shared" si="1413"/>
        <v>0</v>
      </c>
      <c r="CO1199" s="61">
        <f t="shared" si="1413"/>
        <v>0</v>
      </c>
      <c r="CP1199" s="61">
        <f t="shared" si="1413"/>
        <v>0</v>
      </c>
      <c r="CQ1199" s="61">
        <f t="shared" si="1413"/>
        <v>0</v>
      </c>
      <c r="CR1199" s="61">
        <f t="shared" si="1413"/>
        <v>0</v>
      </c>
      <c r="CS1199" s="61">
        <f t="shared" si="1345"/>
        <v>0</v>
      </c>
      <c r="CT1199" s="63">
        <f t="shared" si="1348"/>
        <v>0</v>
      </c>
      <c r="CU1199" s="61"/>
      <c r="CV1199" s="61">
        <f t="shared" si="1398"/>
        <v>0</v>
      </c>
      <c r="CW1199" s="61">
        <f t="shared" si="1399"/>
        <v>0</v>
      </c>
      <c r="CY1199" s="61">
        <f t="shared" si="1402"/>
        <v>0</v>
      </c>
      <c r="CZ1199" s="61">
        <f t="shared" si="1400"/>
        <v>0</v>
      </c>
      <c r="DA1199" s="61">
        <f t="shared" si="1401"/>
        <v>0</v>
      </c>
      <c r="DB1199" s="2" t="s">
        <v>102</v>
      </c>
      <c r="DC1199" s="2" t="s">
        <v>102</v>
      </c>
      <c r="DD1199" s="2" t="s">
        <v>142</v>
      </c>
      <c r="DE1199" s="2" t="s">
        <v>257</v>
      </c>
      <c r="DF1199" s="3" t="s">
        <v>86</v>
      </c>
      <c r="DG1199" s="62">
        <v>42970</v>
      </c>
      <c r="EC1199" s="60" t="str">
        <f>VLOOKUP($M1199,[1]Detail!$M:$BO,1,0)</f>
        <v>-W707103-S439</v>
      </c>
      <c r="ED1199" s="60">
        <f>VLOOKUP($M1199,[1]Detail!$M:$BO,22,0)</f>
        <v>-0.27640000000000003</v>
      </c>
      <c r="EE1199" s="60">
        <f>VLOOKUP($M1199,[1]Detail!$M:$BO,42,0)</f>
        <v>0</v>
      </c>
      <c r="EF1199" s="60">
        <f>VLOOKUP($M1199,[1]Detail!$M:$BO,45,0)</f>
        <v>0</v>
      </c>
      <c r="EH1199" s="60">
        <f t="shared" si="1406"/>
        <v>0</v>
      </c>
      <c r="EI1199" s="60">
        <f t="shared" si="1407"/>
        <v>0</v>
      </c>
      <c r="EJ1199" s="60">
        <f t="shared" si="1408"/>
        <v>0</v>
      </c>
    </row>
    <row r="1200" spans="2:140" ht="12.75" hidden="1" customHeight="1">
      <c r="B1200" s="1" t="s">
        <v>1956</v>
      </c>
      <c r="C1200" s="2" t="s">
        <v>1919</v>
      </c>
      <c r="D1200" s="1" t="s">
        <v>1920</v>
      </c>
      <c r="E1200" s="1" t="s">
        <v>347</v>
      </c>
      <c r="F1200" s="2" t="s">
        <v>348</v>
      </c>
      <c r="G1200" s="3" t="s">
        <v>1921</v>
      </c>
      <c r="K1200" s="1" t="s">
        <v>1962</v>
      </c>
      <c r="L1200" s="3" t="s">
        <v>1963</v>
      </c>
      <c r="M1200" s="2" t="str">
        <f t="shared" si="1367"/>
        <v>-W716272-S900</v>
      </c>
      <c r="O1200" s="89">
        <v>1</v>
      </c>
      <c r="P1200" s="89">
        <v>1</v>
      </c>
      <c r="Q1200" s="89">
        <v>1</v>
      </c>
      <c r="R1200" s="89">
        <v>1</v>
      </c>
      <c r="S1200" s="89">
        <v>1</v>
      </c>
      <c r="T1200" s="89">
        <v>1</v>
      </c>
      <c r="U1200" s="89">
        <v>1</v>
      </c>
      <c r="V1200" s="89">
        <v>1</v>
      </c>
      <c r="W1200" s="64">
        <f t="shared" si="1357"/>
        <v>1</v>
      </c>
      <c r="Y1200" s="63">
        <v>-0.752</v>
      </c>
      <c r="Z1200" s="63">
        <v>-6.8999999999999999E-3</v>
      </c>
      <c r="AA1200" s="63">
        <v>-5.8999999999999999E-3</v>
      </c>
      <c r="AB1200" s="63">
        <v>0</v>
      </c>
      <c r="AC1200" s="63">
        <v>0</v>
      </c>
      <c r="AD1200" s="8">
        <f t="shared" si="1396"/>
        <v>-0.76480000000000004</v>
      </c>
      <c r="AE1200" s="2" t="s">
        <v>91</v>
      </c>
      <c r="AG1200" s="61">
        <f t="shared" si="1404"/>
        <v>0</v>
      </c>
      <c r="AH1200" s="61">
        <f t="shared" si="1404"/>
        <v>0</v>
      </c>
      <c r="AI1200" s="61"/>
      <c r="AJ1200" s="61">
        <f t="shared" si="1405"/>
        <v>0</v>
      </c>
      <c r="AK1200" s="61">
        <f t="shared" si="1405"/>
        <v>0</v>
      </c>
      <c r="AM1200" s="22"/>
      <c r="AP1200" s="3" t="s">
        <v>1962</v>
      </c>
      <c r="AQ1200" s="3" t="s">
        <v>1963</v>
      </c>
      <c r="AR1200" s="2" t="s">
        <v>1964</v>
      </c>
      <c r="AT1200" s="89">
        <v>1</v>
      </c>
      <c r="AU1200" s="89">
        <v>1</v>
      </c>
      <c r="AV1200" s="89">
        <v>1</v>
      </c>
      <c r="AW1200" s="89">
        <v>1</v>
      </c>
      <c r="AX1200" s="89">
        <v>1</v>
      </c>
      <c r="AY1200" s="89">
        <v>1</v>
      </c>
      <c r="AZ1200" s="89">
        <v>1</v>
      </c>
      <c r="BA1200" s="89">
        <v>1</v>
      </c>
      <c r="BB1200" s="89">
        <v>1</v>
      </c>
      <c r="BD1200" s="63">
        <v>-0.752</v>
      </c>
      <c r="BE1200" s="63">
        <v>-6.8999999999999999E-3</v>
      </c>
      <c r="BF1200" s="63">
        <v>-5.8999999999999999E-3</v>
      </c>
      <c r="BG1200" s="63"/>
      <c r="BH1200" s="63"/>
      <c r="BI1200" s="63">
        <v>-0.76480000000000004</v>
      </c>
      <c r="BJ1200" s="2" t="s">
        <v>91</v>
      </c>
      <c r="BK1200" s="63"/>
      <c r="BL1200" s="63">
        <v>0</v>
      </c>
      <c r="BM1200" s="63">
        <v>0</v>
      </c>
      <c r="BN1200" s="63"/>
      <c r="BO1200" s="63">
        <v>0</v>
      </c>
      <c r="BP1200" s="63">
        <v>0</v>
      </c>
      <c r="BS1200" s="61">
        <f t="shared" ref="BS1200:BT1227" si="1414">Y1200-BD1200</f>
        <v>0</v>
      </c>
      <c r="BT1200" s="61">
        <f t="shared" si="1414"/>
        <v>0</v>
      </c>
      <c r="BU1200" s="61">
        <f t="shared" ref="BU1200:BU1261" si="1415">SUM(AA1200)-SUM(BF1200)</f>
        <v>0</v>
      </c>
      <c r="BV1200" s="61">
        <f t="shared" ref="BV1200:BX1227" si="1416">AB1200-BG1200</f>
        <v>0</v>
      </c>
      <c r="BW1200" s="61">
        <f t="shared" si="1416"/>
        <v>0</v>
      </c>
      <c r="BX1200" s="63">
        <f t="shared" si="1416"/>
        <v>0</v>
      </c>
      <c r="BY1200" s="61" t="s">
        <v>91</v>
      </c>
      <c r="CA1200" s="61">
        <f t="shared" si="1397"/>
        <v>0</v>
      </c>
      <c r="CB1200" s="61">
        <f t="shared" si="1397"/>
        <v>0</v>
      </c>
      <c r="CC1200" s="61">
        <f t="shared" si="1397"/>
        <v>0</v>
      </c>
      <c r="CD1200" s="61">
        <f t="shared" si="1397"/>
        <v>0</v>
      </c>
      <c r="CE1200" s="61">
        <f t="shared" si="1397"/>
        <v>0</v>
      </c>
      <c r="CF1200" s="61">
        <f t="shared" si="1397"/>
        <v>0</v>
      </c>
      <c r="CG1200" s="61">
        <f t="shared" si="1397"/>
        <v>0</v>
      </c>
      <c r="CH1200" s="61">
        <f t="shared" si="1342"/>
        <v>0</v>
      </c>
      <c r="CI1200" s="61">
        <f t="shared" si="1344"/>
        <v>0</v>
      </c>
      <c r="CK1200" s="61">
        <f t="shared" si="1413"/>
        <v>0</v>
      </c>
      <c r="CL1200" s="61">
        <f t="shared" si="1413"/>
        <v>0</v>
      </c>
      <c r="CM1200" s="61">
        <f t="shared" si="1413"/>
        <v>0</v>
      </c>
      <c r="CN1200" s="61">
        <f t="shared" si="1413"/>
        <v>0</v>
      </c>
      <c r="CO1200" s="61">
        <f t="shared" si="1413"/>
        <v>0</v>
      </c>
      <c r="CP1200" s="61">
        <f t="shared" si="1413"/>
        <v>0</v>
      </c>
      <c r="CQ1200" s="61">
        <f t="shared" si="1413"/>
        <v>0</v>
      </c>
      <c r="CR1200" s="61">
        <f t="shared" si="1413"/>
        <v>0</v>
      </c>
      <c r="CS1200" s="61">
        <f t="shared" si="1345"/>
        <v>0</v>
      </c>
      <c r="CT1200" s="63">
        <f t="shared" si="1348"/>
        <v>0</v>
      </c>
      <c r="CU1200" s="61"/>
      <c r="CV1200" s="61">
        <f t="shared" si="1398"/>
        <v>0</v>
      </c>
      <c r="CW1200" s="61">
        <f t="shared" si="1399"/>
        <v>0</v>
      </c>
      <c r="CY1200" s="61">
        <f t="shared" si="1402"/>
        <v>0</v>
      </c>
      <c r="CZ1200" s="61">
        <f t="shared" si="1400"/>
        <v>0</v>
      </c>
      <c r="DA1200" s="61">
        <f t="shared" si="1401"/>
        <v>0</v>
      </c>
      <c r="DB1200" s="2" t="s">
        <v>134</v>
      </c>
      <c r="DC1200" s="2" t="s">
        <v>102</v>
      </c>
      <c r="DD1200" s="2" t="s">
        <v>142</v>
      </c>
      <c r="DE1200" s="2" t="s">
        <v>257</v>
      </c>
      <c r="DF1200" s="3" t="s">
        <v>86</v>
      </c>
      <c r="DG1200" s="62">
        <v>42970</v>
      </c>
      <c r="EC1200" s="60"/>
      <c r="ED1200" s="60"/>
      <c r="EE1200" s="60"/>
      <c r="EF1200" s="60"/>
    </row>
    <row r="1201" spans="2:140" ht="12.75" hidden="1" customHeight="1">
      <c r="B1201" s="1" t="s">
        <v>1965</v>
      </c>
      <c r="C1201" s="2" t="s">
        <v>1919</v>
      </c>
      <c r="D1201" s="1" t="s">
        <v>1920</v>
      </c>
      <c r="E1201" s="1" t="s">
        <v>338</v>
      </c>
      <c r="F1201" s="2" t="s">
        <v>330</v>
      </c>
      <c r="G1201" s="3" t="s">
        <v>1966</v>
      </c>
      <c r="K1201" s="1" t="s">
        <v>1962</v>
      </c>
      <c r="L1201" s="3" t="s">
        <v>1923</v>
      </c>
      <c r="M1201" s="2" t="str">
        <f t="shared" si="1367"/>
        <v>-W716272-S450</v>
      </c>
      <c r="O1201" s="89">
        <v>1</v>
      </c>
      <c r="P1201" s="89">
        <v>1</v>
      </c>
      <c r="Q1201" s="89">
        <v>1</v>
      </c>
      <c r="R1201" s="89">
        <v>1</v>
      </c>
      <c r="S1201" s="89">
        <v>1</v>
      </c>
      <c r="T1201" s="89">
        <v>1</v>
      </c>
      <c r="U1201" s="89">
        <v>1</v>
      </c>
      <c r="V1201" s="89">
        <v>1</v>
      </c>
      <c r="W1201" s="64">
        <f t="shared" si="1357"/>
        <v>1</v>
      </c>
      <c r="Y1201" s="63">
        <v>-0.752</v>
      </c>
      <c r="Z1201" s="63">
        <v>-6.8999999999999999E-3</v>
      </c>
      <c r="AA1201" s="63">
        <v>-5.8999999999999999E-3</v>
      </c>
      <c r="AB1201" s="63">
        <v>0</v>
      </c>
      <c r="AC1201" s="63">
        <v>0</v>
      </c>
      <c r="AD1201" s="8">
        <f>SUM(Y1201:AC1201)</f>
        <v>-0.76480000000000004</v>
      </c>
      <c r="AE1201" s="2" t="s">
        <v>91</v>
      </c>
      <c r="AG1201" s="61">
        <f>BL1201</f>
        <v>0</v>
      </c>
      <c r="AH1201" s="61">
        <f>BM1201</f>
        <v>0</v>
      </c>
      <c r="AI1201" s="61"/>
      <c r="AJ1201" s="61">
        <f>BO1201</f>
        <v>0</v>
      </c>
      <c r="AK1201" s="61">
        <f>BP1201</f>
        <v>0</v>
      </c>
      <c r="AM1201" s="22"/>
      <c r="AP1201" s="3" t="s">
        <v>1962</v>
      </c>
      <c r="AQ1201" s="3" t="s">
        <v>1963</v>
      </c>
      <c r="AR1201" s="2" t="s">
        <v>1964</v>
      </c>
      <c r="AT1201" s="89">
        <v>1</v>
      </c>
      <c r="AU1201" s="89">
        <v>1</v>
      </c>
      <c r="AV1201" s="89">
        <v>1</v>
      </c>
      <c r="AW1201" s="89">
        <v>1</v>
      </c>
      <c r="AX1201" s="89">
        <v>1</v>
      </c>
      <c r="AY1201" s="89">
        <v>1</v>
      </c>
      <c r="AZ1201" s="89">
        <v>1</v>
      </c>
      <c r="BA1201" s="89">
        <v>1</v>
      </c>
      <c r="BB1201" s="89">
        <v>1</v>
      </c>
      <c r="BD1201" s="63">
        <v>-0.752</v>
      </c>
      <c r="BE1201" s="63">
        <v>-6.8999999999999999E-3</v>
      </c>
      <c r="BF1201" s="63">
        <v>-5.8999999999999999E-3</v>
      </c>
      <c r="BG1201" s="63">
        <v>0</v>
      </c>
      <c r="BH1201" s="63">
        <v>0</v>
      </c>
      <c r="BI1201" s="63">
        <v>-0.76480000000000004</v>
      </c>
      <c r="BJ1201" s="2" t="s">
        <v>91</v>
      </c>
      <c r="BK1201" s="63"/>
      <c r="BL1201" s="63">
        <v>0</v>
      </c>
      <c r="BM1201" s="63">
        <v>0</v>
      </c>
      <c r="BN1201" s="63"/>
      <c r="BO1201" s="63">
        <v>0</v>
      </c>
      <c r="BP1201" s="63">
        <v>0</v>
      </c>
      <c r="BS1201" s="61">
        <f t="shared" si="1414"/>
        <v>0</v>
      </c>
      <c r="BT1201" s="61">
        <f t="shared" si="1414"/>
        <v>0</v>
      </c>
      <c r="BU1201" s="61">
        <f t="shared" si="1415"/>
        <v>0</v>
      </c>
      <c r="BV1201" s="61">
        <f t="shared" si="1416"/>
        <v>0</v>
      </c>
      <c r="BW1201" s="61">
        <f t="shared" si="1416"/>
        <v>0</v>
      </c>
      <c r="BX1201" s="63">
        <f t="shared" si="1416"/>
        <v>0</v>
      </c>
      <c r="BY1201" s="61" t="s">
        <v>91</v>
      </c>
      <c r="CA1201" s="61">
        <f t="shared" si="1397"/>
        <v>0</v>
      </c>
      <c r="CB1201" s="61">
        <f t="shared" si="1397"/>
        <v>0</v>
      </c>
      <c r="CC1201" s="61">
        <f t="shared" si="1397"/>
        <v>0</v>
      </c>
      <c r="CD1201" s="61">
        <f t="shared" si="1397"/>
        <v>0</v>
      </c>
      <c r="CE1201" s="61">
        <f t="shared" si="1397"/>
        <v>0</v>
      </c>
      <c r="CF1201" s="61">
        <f t="shared" si="1397"/>
        <v>0</v>
      </c>
      <c r="CG1201" s="61">
        <f t="shared" si="1397"/>
        <v>0</v>
      </c>
      <c r="CH1201" s="61">
        <f t="shared" si="1397"/>
        <v>0</v>
      </c>
      <c r="CI1201" s="61">
        <f t="shared" si="1344"/>
        <v>0</v>
      </c>
      <c r="CK1201" s="61">
        <f t="shared" si="1413"/>
        <v>0</v>
      </c>
      <c r="CL1201" s="61">
        <f t="shared" si="1413"/>
        <v>0</v>
      </c>
      <c r="CM1201" s="61">
        <f t="shared" si="1413"/>
        <v>0</v>
      </c>
      <c r="CN1201" s="61">
        <f t="shared" si="1413"/>
        <v>0</v>
      </c>
      <c r="CO1201" s="61">
        <f t="shared" si="1413"/>
        <v>0</v>
      </c>
      <c r="CP1201" s="61">
        <f t="shared" si="1413"/>
        <v>0</v>
      </c>
      <c r="CQ1201" s="61">
        <f t="shared" si="1413"/>
        <v>0</v>
      </c>
      <c r="CR1201" s="61">
        <f t="shared" si="1413"/>
        <v>0</v>
      </c>
      <c r="CS1201" s="61">
        <f t="shared" si="1345"/>
        <v>0</v>
      </c>
      <c r="CT1201" s="63">
        <f t="shared" si="1348"/>
        <v>0</v>
      </c>
      <c r="CU1201" s="61"/>
      <c r="CV1201" s="61">
        <f>SUM(AG1201)-SUM(BL1201)</f>
        <v>0</v>
      </c>
      <c r="CW1201" s="61">
        <f>SUM(AH1201)-SUM(BM1201)</f>
        <v>0</v>
      </c>
      <c r="CY1201" s="61">
        <f>SUM(AJ1201)-SUM(BO1201)</f>
        <v>0</v>
      </c>
      <c r="CZ1201" s="61">
        <f>SUM(AK1201)-SUM(BP1201)</f>
        <v>0</v>
      </c>
      <c r="DA1201" s="61">
        <f>SUM(AL1201)-SUM(BQ1201)</f>
        <v>0</v>
      </c>
      <c r="DB1201" s="2" t="s">
        <v>102</v>
      </c>
      <c r="DC1201" s="2" t="s">
        <v>134</v>
      </c>
      <c r="DD1201" s="2" t="s">
        <v>142</v>
      </c>
      <c r="DE1201" s="2" t="s">
        <v>257</v>
      </c>
      <c r="DF1201" s="3" t="s">
        <v>86</v>
      </c>
      <c r="DG1201" s="62">
        <v>43060</v>
      </c>
      <c r="EC1201" s="60" t="str">
        <f>VLOOKUP($M1201,[1]Detail!$M:$BO,1,0)</f>
        <v>-W716272-S450</v>
      </c>
      <c r="ED1201" s="60">
        <f>VLOOKUP($M1201,[1]Detail!$M:$BO,22,0)</f>
        <v>-0.76480000000000004</v>
      </c>
      <c r="EE1201" s="60">
        <f>VLOOKUP($M1201,[1]Detail!$M:$BO,42,0)</f>
        <v>0</v>
      </c>
      <c r="EF1201" s="60">
        <f>VLOOKUP($M1201,[1]Detail!$M:$BO,45,0)</f>
        <v>0</v>
      </c>
      <c r="EH1201" s="60">
        <f t="shared" ref="EH1201:EH1217" si="1417">ED1201-AD1201</f>
        <v>0</v>
      </c>
      <c r="EI1201" s="60">
        <f t="shared" ref="EI1201:EI1217" si="1418">EE1201-AG1201</f>
        <v>0</v>
      </c>
      <c r="EJ1201" s="60">
        <f t="shared" ref="EJ1201:EJ1217" si="1419">EF1201-AJ1201</f>
        <v>0</v>
      </c>
    </row>
    <row r="1202" spans="2:140" hidden="1">
      <c r="B1202" s="1" t="s">
        <v>1956</v>
      </c>
      <c r="C1202" s="2" t="s">
        <v>1919</v>
      </c>
      <c r="D1202" s="1" t="s">
        <v>1920</v>
      </c>
      <c r="E1202" s="1" t="s">
        <v>347</v>
      </c>
      <c r="F1202" s="2" t="s">
        <v>348</v>
      </c>
      <c r="G1202" s="3" t="s">
        <v>1921</v>
      </c>
      <c r="K1202" s="1" t="s">
        <v>1967</v>
      </c>
      <c r="L1202" s="3" t="s">
        <v>1929</v>
      </c>
      <c r="M1202" s="2" t="str">
        <f t="shared" si="1367"/>
        <v>-W716576-S442</v>
      </c>
      <c r="O1202" s="89">
        <v>6</v>
      </c>
      <c r="P1202" s="89">
        <v>6</v>
      </c>
      <c r="Q1202" s="89">
        <v>6</v>
      </c>
      <c r="R1202" s="89">
        <v>6</v>
      </c>
      <c r="S1202" s="89">
        <v>6</v>
      </c>
      <c r="T1202" s="89">
        <v>6</v>
      </c>
      <c r="U1202" s="89">
        <v>6</v>
      </c>
      <c r="V1202" s="89">
        <v>6</v>
      </c>
      <c r="W1202" s="64">
        <f t="shared" si="1357"/>
        <v>6</v>
      </c>
      <c r="Y1202" s="63">
        <v>-0.21299999999999999</v>
      </c>
      <c r="Z1202" s="63">
        <v>-3.7000000000000002E-3</v>
      </c>
      <c r="AA1202" s="63">
        <v>-3.2000000000000002E-3</v>
      </c>
      <c r="AB1202" s="63">
        <v>0</v>
      </c>
      <c r="AC1202" s="63">
        <v>0</v>
      </c>
      <c r="AD1202" s="8">
        <f t="shared" si="1396"/>
        <v>-0.21990000000000001</v>
      </c>
      <c r="AE1202" s="2" t="s">
        <v>91</v>
      </c>
      <c r="AG1202" s="61">
        <f t="shared" si="1404"/>
        <v>0</v>
      </c>
      <c r="AH1202" s="61">
        <f t="shared" si="1404"/>
        <v>0</v>
      </c>
      <c r="AI1202" s="61"/>
      <c r="AJ1202" s="61">
        <f t="shared" si="1405"/>
        <v>0</v>
      </c>
      <c r="AK1202" s="61">
        <f t="shared" si="1405"/>
        <v>0</v>
      </c>
      <c r="AM1202" s="22"/>
      <c r="AP1202" s="3" t="s">
        <v>1967</v>
      </c>
      <c r="AQ1202" s="3" t="s">
        <v>1929</v>
      </c>
      <c r="AR1202" s="2" t="s">
        <v>1968</v>
      </c>
      <c r="AT1202" s="89">
        <v>6</v>
      </c>
      <c r="AU1202" s="89">
        <v>6</v>
      </c>
      <c r="AV1202" s="89">
        <v>6</v>
      </c>
      <c r="AW1202" s="89">
        <v>6</v>
      </c>
      <c r="AX1202" s="89">
        <v>6</v>
      </c>
      <c r="AY1202" s="89">
        <v>6</v>
      </c>
      <c r="AZ1202" s="89">
        <v>6</v>
      </c>
      <c r="BA1202" s="89">
        <v>6</v>
      </c>
      <c r="BB1202" s="89">
        <v>6</v>
      </c>
      <c r="BD1202" s="63">
        <v>-0.21299999999999999</v>
      </c>
      <c r="BE1202" s="63">
        <v>-3.7000000000000002E-3</v>
      </c>
      <c r="BF1202" s="63">
        <v>-3.2000000000000002E-3</v>
      </c>
      <c r="BG1202" s="63"/>
      <c r="BH1202" s="63"/>
      <c r="BI1202" s="63">
        <v>-0.21990000000000001</v>
      </c>
      <c r="BJ1202" s="2" t="s">
        <v>91</v>
      </c>
      <c r="BK1202" s="63"/>
      <c r="BL1202" s="63">
        <v>0</v>
      </c>
      <c r="BM1202" s="63">
        <v>0</v>
      </c>
      <c r="BN1202" s="63"/>
      <c r="BO1202" s="63">
        <v>0</v>
      </c>
      <c r="BP1202" s="63">
        <v>0</v>
      </c>
      <c r="BS1202" s="61">
        <f t="shared" si="1414"/>
        <v>0</v>
      </c>
      <c r="BT1202" s="61">
        <f t="shared" si="1414"/>
        <v>0</v>
      </c>
      <c r="BU1202" s="61">
        <f t="shared" si="1415"/>
        <v>0</v>
      </c>
      <c r="BV1202" s="61">
        <f t="shared" si="1416"/>
        <v>0</v>
      </c>
      <c r="BW1202" s="61">
        <f t="shared" si="1416"/>
        <v>0</v>
      </c>
      <c r="BX1202" s="63">
        <f t="shared" si="1416"/>
        <v>0</v>
      </c>
      <c r="BY1202" s="61" t="s">
        <v>91</v>
      </c>
      <c r="CA1202" s="61" t="s">
        <v>1155</v>
      </c>
      <c r="CB1202" s="61">
        <f t="shared" ref="CB1202:CH1265" si="1420">($Y1202*P1202-AU1202*$BD1202)/$C$2</f>
        <v>0</v>
      </c>
      <c r="CC1202" s="61">
        <f t="shared" si="1420"/>
        <v>0</v>
      </c>
      <c r="CD1202" s="61">
        <f t="shared" si="1420"/>
        <v>0</v>
      </c>
      <c r="CE1202" s="61">
        <f t="shared" si="1420"/>
        <v>0</v>
      </c>
      <c r="CF1202" s="61">
        <f t="shared" si="1420"/>
        <v>0</v>
      </c>
      <c r="CG1202" s="61">
        <f t="shared" si="1420"/>
        <v>0</v>
      </c>
      <c r="CH1202" s="61">
        <f t="shared" si="1420"/>
        <v>0</v>
      </c>
      <c r="CI1202" s="61">
        <f t="shared" ref="CI1202:CI1265" si="1421">SUMPRODUCT(CA1202:CH1202,$O$6:$V$6)</f>
        <v>0</v>
      </c>
      <c r="CK1202" s="61">
        <f t="shared" si="1413"/>
        <v>0</v>
      </c>
      <c r="CL1202" s="61">
        <f t="shared" si="1413"/>
        <v>0</v>
      </c>
      <c r="CM1202" s="61">
        <f t="shared" si="1413"/>
        <v>0</v>
      </c>
      <c r="CN1202" s="61">
        <f t="shared" si="1413"/>
        <v>0</v>
      </c>
      <c r="CO1202" s="61">
        <f t="shared" si="1413"/>
        <v>0</v>
      </c>
      <c r="CP1202" s="61">
        <f t="shared" si="1413"/>
        <v>0</v>
      </c>
      <c r="CQ1202" s="61">
        <f t="shared" si="1413"/>
        <v>0</v>
      </c>
      <c r="CR1202" s="61">
        <f t="shared" si="1413"/>
        <v>0</v>
      </c>
      <c r="CS1202" s="61">
        <f t="shared" ref="CS1202:CS1265" si="1422">SUMPRODUCT(CK1202:CR1202,$O$6:$V$6)</f>
        <v>0</v>
      </c>
      <c r="CT1202" s="63">
        <f t="shared" si="1348"/>
        <v>0</v>
      </c>
      <c r="CU1202" s="61"/>
      <c r="CV1202" s="61">
        <f t="shared" si="1398"/>
        <v>0</v>
      </c>
      <c r="CW1202" s="61">
        <f t="shared" si="1399"/>
        <v>0</v>
      </c>
      <c r="CY1202" s="61">
        <f t="shared" si="1402"/>
        <v>0</v>
      </c>
      <c r="CZ1202" s="61">
        <f t="shared" si="1400"/>
        <v>0</v>
      </c>
      <c r="DA1202" s="61">
        <f t="shared" si="1401"/>
        <v>0</v>
      </c>
      <c r="DB1202" s="2" t="s">
        <v>102</v>
      </c>
      <c r="DC1202" s="2" t="s">
        <v>102</v>
      </c>
      <c r="DD1202" s="2" t="s">
        <v>142</v>
      </c>
      <c r="DE1202" s="2" t="s">
        <v>257</v>
      </c>
      <c r="DF1202" s="3" t="s">
        <v>86</v>
      </c>
      <c r="DG1202" s="62">
        <v>42970</v>
      </c>
      <c r="EC1202" s="60" t="str">
        <f>VLOOKUP($M1202,[1]Detail!$M:$BO,1,0)</f>
        <v>-W716576-S442</v>
      </c>
      <c r="ED1202" s="60">
        <f>VLOOKUP($M1202,[1]Detail!$M:$BO,22,0)</f>
        <v>-0.21990000000000001</v>
      </c>
      <c r="EE1202" s="60">
        <f>VLOOKUP($M1202,[1]Detail!$M:$BO,42,0)</f>
        <v>0</v>
      </c>
      <c r="EF1202" s="60">
        <f>VLOOKUP($M1202,[1]Detail!$M:$BO,45,0)</f>
        <v>0</v>
      </c>
      <c r="EH1202" s="60">
        <f t="shared" si="1417"/>
        <v>0</v>
      </c>
      <c r="EI1202" s="60">
        <f t="shared" si="1418"/>
        <v>0</v>
      </c>
      <c r="EJ1202" s="60">
        <f t="shared" si="1419"/>
        <v>0</v>
      </c>
    </row>
    <row r="1203" spans="2:140" ht="12.75" hidden="1" customHeight="1">
      <c r="B1203" s="1" t="s">
        <v>1969</v>
      </c>
      <c r="C1203" s="2" t="s">
        <v>1970</v>
      </c>
      <c r="D1203" s="1" t="s">
        <v>1971</v>
      </c>
      <c r="E1203" s="1" t="s">
        <v>347</v>
      </c>
      <c r="F1203" s="2" t="s">
        <v>348</v>
      </c>
      <c r="G1203" s="3" t="s">
        <v>1921</v>
      </c>
      <c r="K1203" s="1" t="s">
        <v>1972</v>
      </c>
      <c r="L1203" s="3" t="s">
        <v>1973</v>
      </c>
      <c r="M1203" s="2" t="str">
        <f t="shared" si="1367"/>
        <v>-W505276-S307</v>
      </c>
      <c r="O1203" s="89">
        <v>4</v>
      </c>
      <c r="P1203" s="89">
        <v>4</v>
      </c>
      <c r="Q1203" s="89">
        <v>4</v>
      </c>
      <c r="R1203" s="89">
        <v>4</v>
      </c>
      <c r="S1203" s="89">
        <v>4</v>
      </c>
      <c r="T1203" s="89">
        <v>4</v>
      </c>
      <c r="U1203" s="89">
        <v>4</v>
      </c>
      <c r="V1203" s="89">
        <v>4</v>
      </c>
      <c r="W1203" s="64">
        <f t="shared" si="1357"/>
        <v>4</v>
      </c>
      <c r="Y1203" s="63">
        <v>-0.86299999999999999</v>
      </c>
      <c r="Z1203" s="63">
        <v>-1.2E-2</v>
      </c>
      <c r="AA1203" s="63">
        <v>-2.5000000000000001E-2</v>
      </c>
      <c r="AB1203" s="63">
        <v>0</v>
      </c>
      <c r="AC1203" s="63">
        <v>0</v>
      </c>
      <c r="AD1203" s="8">
        <f t="shared" si="1396"/>
        <v>-0.9</v>
      </c>
      <c r="AE1203" s="2" t="s">
        <v>91</v>
      </c>
      <c r="AG1203" s="61">
        <f t="shared" si="1404"/>
        <v>0</v>
      </c>
      <c r="AH1203" s="61">
        <f t="shared" si="1404"/>
        <v>0</v>
      </c>
      <c r="AI1203" s="61"/>
      <c r="AJ1203" s="61">
        <f t="shared" si="1405"/>
        <v>0</v>
      </c>
      <c r="AK1203" s="61">
        <f t="shared" si="1405"/>
        <v>0</v>
      </c>
      <c r="AM1203" s="22"/>
      <c r="AP1203" s="3" t="s">
        <v>1972</v>
      </c>
      <c r="AQ1203" s="3" t="s">
        <v>1973</v>
      </c>
      <c r="AR1203" s="2" t="s">
        <v>1974</v>
      </c>
      <c r="AT1203" s="89">
        <v>4</v>
      </c>
      <c r="AU1203" s="89">
        <v>4</v>
      </c>
      <c r="AV1203" s="89">
        <v>4</v>
      </c>
      <c r="AW1203" s="89">
        <v>4</v>
      </c>
      <c r="AX1203" s="89">
        <v>4</v>
      </c>
      <c r="AY1203" s="89">
        <v>4</v>
      </c>
      <c r="AZ1203" s="89">
        <v>4</v>
      </c>
      <c r="BA1203" s="89">
        <v>4</v>
      </c>
      <c r="BB1203" s="89">
        <v>4</v>
      </c>
      <c r="BD1203" s="63">
        <v>-0.86299999999999999</v>
      </c>
      <c r="BE1203" s="63">
        <v>-1.2E-2</v>
      </c>
      <c r="BF1203" s="63">
        <v>-2.5000000000000001E-2</v>
      </c>
      <c r="BG1203" s="63">
        <v>0</v>
      </c>
      <c r="BH1203" s="63">
        <v>0</v>
      </c>
      <c r="BI1203" s="63">
        <v>-0.9</v>
      </c>
      <c r="BJ1203" s="2" t="s">
        <v>91</v>
      </c>
      <c r="BK1203" s="63"/>
      <c r="BL1203" s="63">
        <v>0</v>
      </c>
      <c r="BM1203" s="63">
        <v>0</v>
      </c>
      <c r="BN1203" s="63"/>
      <c r="BO1203" s="63">
        <v>0</v>
      </c>
      <c r="BP1203" s="63">
        <v>0</v>
      </c>
      <c r="BS1203" s="61">
        <f t="shared" si="1414"/>
        <v>0</v>
      </c>
      <c r="BT1203" s="61">
        <f t="shared" si="1414"/>
        <v>0</v>
      </c>
      <c r="BU1203" s="61">
        <f t="shared" si="1415"/>
        <v>0</v>
      </c>
      <c r="BV1203" s="61">
        <f t="shared" si="1416"/>
        <v>0</v>
      </c>
      <c r="BW1203" s="61">
        <f t="shared" si="1416"/>
        <v>0</v>
      </c>
      <c r="BX1203" s="63">
        <f t="shared" si="1416"/>
        <v>0</v>
      </c>
      <c r="BY1203" s="61" t="s">
        <v>91</v>
      </c>
      <c r="CA1203" s="61" t="s">
        <v>1155</v>
      </c>
      <c r="CB1203" s="61">
        <f t="shared" si="1420"/>
        <v>0</v>
      </c>
      <c r="CC1203" s="61">
        <f t="shared" si="1420"/>
        <v>0</v>
      </c>
      <c r="CD1203" s="61">
        <f t="shared" si="1420"/>
        <v>0</v>
      </c>
      <c r="CE1203" s="61">
        <f t="shared" si="1420"/>
        <v>0</v>
      </c>
      <c r="CF1203" s="61">
        <f t="shared" si="1420"/>
        <v>0</v>
      </c>
      <c r="CG1203" s="61">
        <f t="shared" si="1420"/>
        <v>0</v>
      </c>
      <c r="CH1203" s="61">
        <f t="shared" si="1420"/>
        <v>0</v>
      </c>
      <c r="CI1203" s="61">
        <f t="shared" si="1421"/>
        <v>0</v>
      </c>
      <c r="CK1203" s="61">
        <f t="shared" si="1413"/>
        <v>0</v>
      </c>
      <c r="CL1203" s="61">
        <f t="shared" si="1413"/>
        <v>0</v>
      </c>
      <c r="CM1203" s="61">
        <f t="shared" si="1413"/>
        <v>0</v>
      </c>
      <c r="CN1203" s="61">
        <f t="shared" si="1413"/>
        <v>0</v>
      </c>
      <c r="CO1203" s="61">
        <f t="shared" si="1413"/>
        <v>0</v>
      </c>
      <c r="CP1203" s="61">
        <f t="shared" si="1413"/>
        <v>0</v>
      </c>
      <c r="CQ1203" s="61">
        <f t="shared" si="1413"/>
        <v>0</v>
      </c>
      <c r="CR1203" s="61">
        <f t="shared" si="1413"/>
        <v>0</v>
      </c>
      <c r="CS1203" s="61">
        <f t="shared" si="1422"/>
        <v>0</v>
      </c>
      <c r="CT1203" s="63">
        <f t="shared" si="1348"/>
        <v>0</v>
      </c>
      <c r="CU1203" s="61"/>
      <c r="CV1203" s="61">
        <f t="shared" ref="CV1203:CV1221" si="1423">SUM(AG1203)-SUM(BL1203)</f>
        <v>0</v>
      </c>
      <c r="CW1203" s="61">
        <f t="shared" ref="CW1203:CW1221" si="1424">SUM(AH1203)-SUM(BM1203)</f>
        <v>0</v>
      </c>
      <c r="CY1203" s="61">
        <f t="shared" si="1402"/>
        <v>0</v>
      </c>
      <c r="CZ1203" s="61">
        <f t="shared" si="1400"/>
        <v>0</v>
      </c>
      <c r="DA1203" s="61">
        <f t="shared" si="1401"/>
        <v>0</v>
      </c>
      <c r="DB1203" s="2" t="s">
        <v>102</v>
      </c>
      <c r="DC1203" s="2" t="s">
        <v>102</v>
      </c>
      <c r="DD1203" s="2" t="s">
        <v>142</v>
      </c>
      <c r="DE1203" s="2" t="s">
        <v>257</v>
      </c>
      <c r="DF1203" s="3" t="s">
        <v>86</v>
      </c>
      <c r="DG1203" s="62">
        <v>42970</v>
      </c>
      <c r="EC1203" s="60" t="str">
        <f>VLOOKUP($M1203,[1]Detail!$M:$BO,1,0)</f>
        <v>-W505276-S307</v>
      </c>
      <c r="ED1203" s="60">
        <f>VLOOKUP($M1203,[1]Detail!$M:$BO,22,0)</f>
        <v>-0.9</v>
      </c>
      <c r="EE1203" s="60">
        <f>VLOOKUP($M1203,[1]Detail!$M:$BO,42,0)</f>
        <v>0</v>
      </c>
      <c r="EF1203" s="60">
        <f>VLOOKUP($M1203,[1]Detail!$M:$BO,45,0)</f>
        <v>0</v>
      </c>
      <c r="EH1203" s="60">
        <f t="shared" si="1417"/>
        <v>0</v>
      </c>
      <c r="EI1203" s="60">
        <f t="shared" si="1418"/>
        <v>0</v>
      </c>
      <c r="EJ1203" s="60">
        <f t="shared" si="1419"/>
        <v>0</v>
      </c>
    </row>
    <row r="1204" spans="2:140" ht="12.75" hidden="1" customHeight="1">
      <c r="B1204" s="1" t="s">
        <v>1975</v>
      </c>
      <c r="C1204" s="2" t="s">
        <v>1970</v>
      </c>
      <c r="D1204" s="1" t="s">
        <v>1971</v>
      </c>
      <c r="E1204" s="1" t="s">
        <v>347</v>
      </c>
      <c r="F1204" s="2" t="s">
        <v>348</v>
      </c>
      <c r="G1204" s="3" t="s">
        <v>1921</v>
      </c>
      <c r="K1204" s="3" t="s">
        <v>1976</v>
      </c>
      <c r="L1204" s="3" t="s">
        <v>1977</v>
      </c>
      <c r="M1204" s="2" t="str">
        <f t="shared" si="1367"/>
        <v>-W506976-S303</v>
      </c>
      <c r="O1204" s="89">
        <v>4</v>
      </c>
      <c r="P1204" s="89">
        <v>4</v>
      </c>
      <c r="Q1204" s="89">
        <v>4</v>
      </c>
      <c r="R1204" s="89">
        <v>4</v>
      </c>
      <c r="S1204" s="89">
        <v>4</v>
      </c>
      <c r="T1204" s="89">
        <v>4</v>
      </c>
      <c r="U1204" s="89">
        <v>4</v>
      </c>
      <c r="V1204" s="89">
        <v>4</v>
      </c>
      <c r="W1204" s="64">
        <f t="shared" si="1357"/>
        <v>4</v>
      </c>
      <c r="Y1204" s="63">
        <v>-0.442</v>
      </c>
      <c r="Z1204" s="63">
        <v>-3.0000000000000001E-3</v>
      </c>
      <c r="AA1204" s="63">
        <v>-5.0000000000000001E-3</v>
      </c>
      <c r="AB1204" s="63">
        <v>0</v>
      </c>
      <c r="AC1204" s="63">
        <v>0</v>
      </c>
      <c r="AD1204" s="8">
        <f t="shared" si="1396"/>
        <v>-0.45</v>
      </c>
      <c r="AE1204" s="2" t="s">
        <v>91</v>
      </c>
      <c r="AG1204" s="61">
        <f t="shared" si="1404"/>
        <v>0</v>
      </c>
      <c r="AH1204" s="61">
        <f t="shared" si="1404"/>
        <v>0</v>
      </c>
      <c r="AI1204" s="61"/>
      <c r="AJ1204" s="61">
        <f t="shared" si="1405"/>
        <v>0</v>
      </c>
      <c r="AK1204" s="61">
        <f t="shared" si="1405"/>
        <v>0</v>
      </c>
      <c r="AM1204" s="22"/>
      <c r="AP1204" s="3" t="s">
        <v>1976</v>
      </c>
      <c r="AQ1204" s="3" t="s">
        <v>1977</v>
      </c>
      <c r="AR1204" s="2" t="s">
        <v>1978</v>
      </c>
      <c r="AT1204" s="89">
        <v>4</v>
      </c>
      <c r="AU1204" s="89">
        <v>4</v>
      </c>
      <c r="AV1204" s="89">
        <v>4</v>
      </c>
      <c r="AW1204" s="89">
        <v>4</v>
      </c>
      <c r="AX1204" s="89">
        <v>4</v>
      </c>
      <c r="AY1204" s="89">
        <v>4</v>
      </c>
      <c r="AZ1204" s="89">
        <v>4</v>
      </c>
      <c r="BA1204" s="89">
        <v>4</v>
      </c>
      <c r="BB1204" s="89">
        <v>4</v>
      </c>
      <c r="BD1204" s="63">
        <v>-0.442</v>
      </c>
      <c r="BE1204" s="63">
        <v>-3.0000000000000001E-3</v>
      </c>
      <c r="BF1204" s="63">
        <v>-5.0000000000000001E-3</v>
      </c>
      <c r="BG1204" s="63">
        <v>0</v>
      </c>
      <c r="BH1204" s="63">
        <v>0</v>
      </c>
      <c r="BI1204" s="8">
        <v>-0.45</v>
      </c>
      <c r="BJ1204" s="2" t="s">
        <v>91</v>
      </c>
      <c r="BL1204" s="63">
        <v>0</v>
      </c>
      <c r="BM1204" s="63">
        <v>0</v>
      </c>
      <c r="BN1204" s="63"/>
      <c r="BO1204" s="63">
        <v>0</v>
      </c>
      <c r="BP1204" s="63">
        <v>0</v>
      </c>
      <c r="BS1204" s="61">
        <f t="shared" si="1414"/>
        <v>0</v>
      </c>
      <c r="BT1204" s="61">
        <f t="shared" si="1414"/>
        <v>0</v>
      </c>
      <c r="BU1204" s="61">
        <f t="shared" si="1415"/>
        <v>0</v>
      </c>
      <c r="BV1204" s="61">
        <f t="shared" si="1416"/>
        <v>0</v>
      </c>
      <c r="BW1204" s="61">
        <f t="shared" si="1416"/>
        <v>0</v>
      </c>
      <c r="BX1204" s="63">
        <f t="shared" si="1416"/>
        <v>0</v>
      </c>
      <c r="BY1204" s="61" t="s">
        <v>91</v>
      </c>
      <c r="CA1204" s="61" t="s">
        <v>1155</v>
      </c>
      <c r="CB1204" s="61">
        <f t="shared" si="1420"/>
        <v>0</v>
      </c>
      <c r="CC1204" s="61">
        <f t="shared" si="1420"/>
        <v>0</v>
      </c>
      <c r="CD1204" s="61">
        <f t="shared" si="1420"/>
        <v>0</v>
      </c>
      <c r="CE1204" s="61">
        <f t="shared" si="1420"/>
        <v>0</v>
      </c>
      <c r="CF1204" s="61">
        <f t="shared" si="1420"/>
        <v>0</v>
      </c>
      <c r="CG1204" s="61">
        <f t="shared" si="1420"/>
        <v>0</v>
      </c>
      <c r="CH1204" s="61">
        <f t="shared" si="1420"/>
        <v>0</v>
      </c>
      <c r="CI1204" s="61">
        <f t="shared" si="1421"/>
        <v>0</v>
      </c>
      <c r="CK1204" s="61">
        <f t="shared" si="1413"/>
        <v>0</v>
      </c>
      <c r="CL1204" s="61">
        <f t="shared" si="1413"/>
        <v>0</v>
      </c>
      <c r="CM1204" s="61">
        <f t="shared" si="1413"/>
        <v>0</v>
      </c>
      <c r="CN1204" s="61">
        <f t="shared" si="1413"/>
        <v>0</v>
      </c>
      <c r="CO1204" s="61">
        <f t="shared" si="1413"/>
        <v>0</v>
      </c>
      <c r="CP1204" s="61">
        <f t="shared" si="1413"/>
        <v>0</v>
      </c>
      <c r="CQ1204" s="61">
        <f t="shared" si="1413"/>
        <v>0</v>
      </c>
      <c r="CR1204" s="61">
        <f t="shared" si="1413"/>
        <v>0</v>
      </c>
      <c r="CS1204" s="61">
        <f t="shared" si="1422"/>
        <v>0</v>
      </c>
      <c r="CT1204" s="63">
        <f t="shared" si="1348"/>
        <v>0</v>
      </c>
      <c r="CU1204" s="61"/>
      <c r="CV1204" s="61">
        <f t="shared" si="1423"/>
        <v>0</v>
      </c>
      <c r="CW1204" s="61">
        <f t="shared" si="1424"/>
        <v>0</v>
      </c>
      <c r="CY1204" s="61">
        <f t="shared" si="1402"/>
        <v>0</v>
      </c>
      <c r="CZ1204" s="61">
        <f t="shared" si="1400"/>
        <v>0</v>
      </c>
      <c r="DA1204" s="61">
        <f t="shared" si="1401"/>
        <v>0</v>
      </c>
      <c r="DB1204" s="2" t="s">
        <v>102</v>
      </c>
      <c r="DC1204" s="2" t="s">
        <v>102</v>
      </c>
      <c r="DD1204" s="2" t="s">
        <v>142</v>
      </c>
      <c r="DE1204" s="2" t="s">
        <v>257</v>
      </c>
      <c r="DF1204" s="3" t="s">
        <v>86</v>
      </c>
      <c r="DG1204" s="62">
        <v>42970</v>
      </c>
      <c r="EC1204" s="60" t="str">
        <f>VLOOKUP($M1204,[1]Detail!$M:$BO,1,0)</f>
        <v>-W506976-S303</v>
      </c>
      <c r="ED1204" s="60">
        <f>VLOOKUP($M1204,[1]Detail!$M:$BO,22,0)</f>
        <v>-0.45</v>
      </c>
      <c r="EE1204" s="60">
        <f>VLOOKUP($M1204,[1]Detail!$M:$BO,42,0)</f>
        <v>0</v>
      </c>
      <c r="EF1204" s="60">
        <f>VLOOKUP($M1204,[1]Detail!$M:$BO,45,0)</f>
        <v>0</v>
      </c>
      <c r="EH1204" s="60">
        <f t="shared" si="1417"/>
        <v>0</v>
      </c>
      <c r="EI1204" s="60">
        <f t="shared" si="1418"/>
        <v>0</v>
      </c>
      <c r="EJ1204" s="60">
        <f t="shared" si="1419"/>
        <v>0</v>
      </c>
    </row>
    <row r="1205" spans="2:140" ht="12.75" hidden="1" customHeight="1">
      <c r="B1205" s="1" t="s">
        <v>1975</v>
      </c>
      <c r="C1205" s="2" t="s">
        <v>1970</v>
      </c>
      <c r="D1205" s="1" t="s">
        <v>1971</v>
      </c>
      <c r="E1205" s="1" t="s">
        <v>347</v>
      </c>
      <c r="F1205" s="2" t="s">
        <v>348</v>
      </c>
      <c r="G1205" s="3" t="s">
        <v>1921</v>
      </c>
      <c r="K1205" s="1" t="s">
        <v>1979</v>
      </c>
      <c r="L1205" s="3" t="s">
        <v>1973</v>
      </c>
      <c r="M1205" s="2" t="str">
        <f t="shared" si="1367"/>
        <v>-W702816-S307</v>
      </c>
      <c r="O1205" s="89">
        <v>8</v>
      </c>
      <c r="P1205" s="89">
        <v>8</v>
      </c>
      <c r="Q1205" s="89">
        <v>8</v>
      </c>
      <c r="R1205" s="89">
        <v>8</v>
      </c>
      <c r="S1205" s="89">
        <v>8</v>
      </c>
      <c r="T1205" s="89">
        <v>8</v>
      </c>
      <c r="U1205" s="89">
        <v>8</v>
      </c>
      <c r="V1205" s="89">
        <v>8</v>
      </c>
      <c r="W1205" s="64">
        <f t="shared" si="1357"/>
        <v>8</v>
      </c>
      <c r="Y1205" s="63">
        <v>-0.29399999999999998</v>
      </c>
      <c r="Z1205" s="63">
        <v>-3.0000000000000001E-3</v>
      </c>
      <c r="AA1205" s="63">
        <v>-6.0000000000000001E-3</v>
      </c>
      <c r="AB1205" s="63">
        <v>0</v>
      </c>
      <c r="AC1205" s="63">
        <v>0</v>
      </c>
      <c r="AD1205" s="8">
        <f t="shared" si="1396"/>
        <v>-0.30299999999999999</v>
      </c>
      <c r="AE1205" s="2" t="s">
        <v>91</v>
      </c>
      <c r="AG1205" s="61">
        <f t="shared" si="1404"/>
        <v>0</v>
      </c>
      <c r="AH1205" s="61">
        <f t="shared" si="1404"/>
        <v>0</v>
      </c>
      <c r="AI1205" s="61"/>
      <c r="AJ1205" s="61">
        <f t="shared" si="1405"/>
        <v>0</v>
      </c>
      <c r="AK1205" s="61">
        <f t="shared" si="1405"/>
        <v>0</v>
      </c>
      <c r="AM1205" s="22"/>
      <c r="AP1205" s="3" t="s">
        <v>1979</v>
      </c>
      <c r="AQ1205" s="3" t="s">
        <v>1973</v>
      </c>
      <c r="AR1205" s="2" t="s">
        <v>1980</v>
      </c>
      <c r="AT1205" s="89">
        <v>8</v>
      </c>
      <c r="AU1205" s="89">
        <v>8</v>
      </c>
      <c r="AV1205" s="89">
        <v>8</v>
      </c>
      <c r="AW1205" s="89">
        <v>8</v>
      </c>
      <c r="AX1205" s="89">
        <v>8</v>
      </c>
      <c r="AY1205" s="89">
        <v>8</v>
      </c>
      <c r="AZ1205" s="89">
        <v>8</v>
      </c>
      <c r="BA1205" s="89">
        <v>8</v>
      </c>
      <c r="BB1205" s="89">
        <v>8</v>
      </c>
      <c r="BD1205" s="63">
        <v>-0.29399999999999998</v>
      </c>
      <c r="BE1205" s="63">
        <v>-3.0000000000000001E-3</v>
      </c>
      <c r="BF1205" s="63">
        <v>-6.0000000000000001E-3</v>
      </c>
      <c r="BG1205" s="63">
        <v>0</v>
      </c>
      <c r="BH1205" s="63">
        <v>0</v>
      </c>
      <c r="BI1205" s="8">
        <v>-0.30299999999999999</v>
      </c>
      <c r="BJ1205" s="2" t="s">
        <v>91</v>
      </c>
      <c r="BL1205" s="63">
        <v>0</v>
      </c>
      <c r="BM1205" s="63">
        <v>0</v>
      </c>
      <c r="BN1205" s="63"/>
      <c r="BO1205" s="63">
        <v>0</v>
      </c>
      <c r="BP1205" s="63">
        <v>0</v>
      </c>
      <c r="BS1205" s="61">
        <f t="shared" si="1414"/>
        <v>0</v>
      </c>
      <c r="BT1205" s="61">
        <f t="shared" si="1414"/>
        <v>0</v>
      </c>
      <c r="BU1205" s="61">
        <f t="shared" si="1415"/>
        <v>0</v>
      </c>
      <c r="BV1205" s="61">
        <f t="shared" si="1416"/>
        <v>0</v>
      </c>
      <c r="BW1205" s="61">
        <f t="shared" si="1416"/>
        <v>0</v>
      </c>
      <c r="BX1205" s="63">
        <f t="shared" si="1416"/>
        <v>0</v>
      </c>
      <c r="BY1205" s="61" t="s">
        <v>91</v>
      </c>
      <c r="CA1205" s="61" t="s">
        <v>1155</v>
      </c>
      <c r="CB1205" s="61">
        <f t="shared" si="1420"/>
        <v>0</v>
      </c>
      <c r="CC1205" s="61">
        <f t="shared" si="1420"/>
        <v>0</v>
      </c>
      <c r="CD1205" s="61">
        <f t="shared" si="1420"/>
        <v>0</v>
      </c>
      <c r="CE1205" s="61">
        <f t="shared" si="1420"/>
        <v>0</v>
      </c>
      <c r="CF1205" s="61">
        <f t="shared" si="1420"/>
        <v>0</v>
      </c>
      <c r="CG1205" s="61">
        <f t="shared" si="1420"/>
        <v>0</v>
      </c>
      <c r="CH1205" s="61">
        <f t="shared" si="1420"/>
        <v>0</v>
      </c>
      <c r="CI1205" s="61">
        <f t="shared" si="1421"/>
        <v>0</v>
      </c>
      <c r="CK1205" s="61">
        <f t="shared" si="1413"/>
        <v>0</v>
      </c>
      <c r="CL1205" s="61">
        <f t="shared" si="1413"/>
        <v>0</v>
      </c>
      <c r="CM1205" s="61">
        <f t="shared" si="1413"/>
        <v>0</v>
      </c>
      <c r="CN1205" s="61">
        <f t="shared" si="1413"/>
        <v>0</v>
      </c>
      <c r="CO1205" s="61">
        <f t="shared" si="1413"/>
        <v>0</v>
      </c>
      <c r="CP1205" s="61">
        <f t="shared" si="1413"/>
        <v>0</v>
      </c>
      <c r="CQ1205" s="61">
        <f t="shared" si="1413"/>
        <v>0</v>
      </c>
      <c r="CR1205" s="61">
        <f t="shared" si="1413"/>
        <v>0</v>
      </c>
      <c r="CS1205" s="61">
        <f t="shared" si="1422"/>
        <v>0</v>
      </c>
      <c r="CT1205" s="63">
        <f t="shared" ref="CT1205:CT1268" si="1425">CS1205*$C$2</f>
        <v>0</v>
      </c>
      <c r="CU1205" s="61"/>
      <c r="CV1205" s="61">
        <f t="shared" si="1423"/>
        <v>0</v>
      </c>
      <c r="CW1205" s="61">
        <f t="shared" si="1424"/>
        <v>0</v>
      </c>
      <c r="CY1205" s="61">
        <f t="shared" si="1402"/>
        <v>0</v>
      </c>
      <c r="CZ1205" s="61">
        <f t="shared" ref="CZ1205:CZ1221" si="1426">SUM(AK1205)-SUM(BP1205)</f>
        <v>0</v>
      </c>
      <c r="DA1205" s="61">
        <f t="shared" ref="DA1205:DA1221" si="1427">SUM(AL1205)-SUM(BQ1205)</f>
        <v>0</v>
      </c>
      <c r="DB1205" s="2" t="s">
        <v>102</v>
      </c>
      <c r="DC1205" s="2" t="s">
        <v>102</v>
      </c>
      <c r="DD1205" s="2" t="s">
        <v>142</v>
      </c>
      <c r="DE1205" s="2" t="s">
        <v>257</v>
      </c>
      <c r="DF1205" s="3" t="s">
        <v>86</v>
      </c>
      <c r="DG1205" s="62">
        <v>42970</v>
      </c>
      <c r="EC1205" s="60" t="str">
        <f>VLOOKUP($M1205,[1]Detail!$M:$BO,1,0)</f>
        <v>-W702816-S307</v>
      </c>
      <c r="ED1205" s="60">
        <f>VLOOKUP($M1205,[1]Detail!$M:$BO,22,0)</f>
        <v>-0.30299999999999999</v>
      </c>
      <c r="EE1205" s="60">
        <f>VLOOKUP($M1205,[1]Detail!$M:$BO,42,0)</f>
        <v>0</v>
      </c>
      <c r="EF1205" s="60">
        <f>VLOOKUP($M1205,[1]Detail!$M:$BO,45,0)</f>
        <v>0</v>
      </c>
      <c r="EH1205" s="60">
        <f t="shared" si="1417"/>
        <v>0</v>
      </c>
      <c r="EI1205" s="60">
        <f t="shared" si="1418"/>
        <v>0</v>
      </c>
      <c r="EJ1205" s="60">
        <f t="shared" si="1419"/>
        <v>0</v>
      </c>
    </row>
    <row r="1206" spans="2:140" ht="12.75" hidden="1" customHeight="1">
      <c r="B1206" s="1" t="s">
        <v>1975</v>
      </c>
      <c r="C1206" s="2" t="s">
        <v>1970</v>
      </c>
      <c r="D1206" s="1" t="s">
        <v>1971</v>
      </c>
      <c r="E1206" s="1" t="s">
        <v>347</v>
      </c>
      <c r="F1206" s="2" t="s">
        <v>348</v>
      </c>
      <c r="G1206" s="3" t="s">
        <v>1921</v>
      </c>
      <c r="K1206" s="1" t="s">
        <v>1981</v>
      </c>
      <c r="L1206" s="3" t="s">
        <v>1982</v>
      </c>
      <c r="M1206" s="2" t="str">
        <f t="shared" si="1367"/>
        <v>-W708322-S424</v>
      </c>
      <c r="O1206" s="89">
        <v>11</v>
      </c>
      <c r="P1206" s="89">
        <v>11</v>
      </c>
      <c r="Q1206" s="89">
        <v>11</v>
      </c>
      <c r="R1206" s="89">
        <v>11</v>
      </c>
      <c r="S1206" s="89">
        <v>11</v>
      </c>
      <c r="T1206" s="89">
        <v>11</v>
      </c>
      <c r="U1206" s="89">
        <v>11</v>
      </c>
      <c r="V1206" s="89">
        <v>11</v>
      </c>
      <c r="W1206" s="64">
        <f t="shared" si="1357"/>
        <v>11</v>
      </c>
      <c r="Y1206" s="63">
        <v>-1.2150000000000001</v>
      </c>
      <c r="Z1206" s="63">
        <v>-1.7000000000000001E-2</v>
      </c>
      <c r="AA1206" s="63">
        <v>-3.5000000000000003E-2</v>
      </c>
      <c r="AB1206" s="63">
        <v>0</v>
      </c>
      <c r="AC1206" s="63">
        <v>0</v>
      </c>
      <c r="AD1206" s="8">
        <f t="shared" si="1396"/>
        <v>-1.2669999999999999</v>
      </c>
      <c r="AE1206" s="2" t="s">
        <v>91</v>
      </c>
      <c r="AG1206" s="61">
        <f t="shared" si="1404"/>
        <v>0</v>
      </c>
      <c r="AH1206" s="61">
        <f t="shared" si="1404"/>
        <v>0</v>
      </c>
      <c r="AI1206" s="61"/>
      <c r="AJ1206" s="61">
        <f t="shared" si="1405"/>
        <v>0</v>
      </c>
      <c r="AK1206" s="61">
        <f t="shared" si="1405"/>
        <v>0</v>
      </c>
      <c r="AM1206" s="22"/>
      <c r="AP1206" s="3" t="s">
        <v>1981</v>
      </c>
      <c r="AQ1206" s="3" t="s">
        <v>1982</v>
      </c>
      <c r="AR1206" s="2" t="s">
        <v>1983</v>
      </c>
      <c r="AT1206" s="89">
        <v>11</v>
      </c>
      <c r="AU1206" s="89">
        <v>11</v>
      </c>
      <c r="AV1206" s="89">
        <v>11</v>
      </c>
      <c r="AW1206" s="89">
        <v>11</v>
      </c>
      <c r="AX1206" s="89">
        <v>11</v>
      </c>
      <c r="AY1206" s="89">
        <v>11</v>
      </c>
      <c r="AZ1206" s="89">
        <v>11</v>
      </c>
      <c r="BA1206" s="89">
        <v>11</v>
      </c>
      <c r="BB1206" s="89">
        <v>11</v>
      </c>
      <c r="BD1206" s="63">
        <v>-1.2150000000000001</v>
      </c>
      <c r="BE1206" s="63">
        <v>-1.7000000000000001E-2</v>
      </c>
      <c r="BF1206" s="63">
        <v>-3.5000000000000003E-2</v>
      </c>
      <c r="BG1206" s="63">
        <v>0</v>
      </c>
      <c r="BH1206" s="63">
        <v>0</v>
      </c>
      <c r="BI1206" s="63">
        <v>-1.2669999999999999</v>
      </c>
      <c r="BJ1206" s="2" t="s">
        <v>91</v>
      </c>
      <c r="BL1206" s="63">
        <v>0</v>
      </c>
      <c r="BM1206" s="63">
        <v>0</v>
      </c>
      <c r="BN1206" s="63"/>
      <c r="BO1206" s="63">
        <v>0</v>
      </c>
      <c r="BP1206" s="63">
        <v>0</v>
      </c>
      <c r="BS1206" s="61">
        <f t="shared" si="1414"/>
        <v>0</v>
      </c>
      <c r="BT1206" s="61">
        <f t="shared" si="1414"/>
        <v>0</v>
      </c>
      <c r="BU1206" s="61">
        <f t="shared" si="1415"/>
        <v>0</v>
      </c>
      <c r="BV1206" s="61">
        <f t="shared" si="1416"/>
        <v>0</v>
      </c>
      <c r="BW1206" s="61">
        <f t="shared" si="1416"/>
        <v>0</v>
      </c>
      <c r="BX1206" s="63">
        <f t="shared" si="1416"/>
        <v>0</v>
      </c>
      <c r="BY1206" s="61" t="s">
        <v>91</v>
      </c>
      <c r="CA1206" s="61" t="s">
        <v>1155</v>
      </c>
      <c r="CB1206" s="61">
        <f t="shared" si="1420"/>
        <v>0</v>
      </c>
      <c r="CC1206" s="61">
        <f t="shared" si="1420"/>
        <v>0</v>
      </c>
      <c r="CD1206" s="61">
        <f t="shared" si="1420"/>
        <v>0</v>
      </c>
      <c r="CE1206" s="61">
        <f t="shared" si="1420"/>
        <v>0</v>
      </c>
      <c r="CF1206" s="61">
        <f t="shared" si="1420"/>
        <v>0</v>
      </c>
      <c r="CG1206" s="61">
        <f t="shared" si="1420"/>
        <v>0</v>
      </c>
      <c r="CH1206" s="61">
        <f t="shared" si="1420"/>
        <v>0</v>
      </c>
      <c r="CI1206" s="61">
        <f t="shared" si="1421"/>
        <v>0</v>
      </c>
      <c r="CK1206" s="61">
        <f t="shared" si="1413"/>
        <v>0</v>
      </c>
      <c r="CL1206" s="61">
        <f t="shared" si="1413"/>
        <v>0</v>
      </c>
      <c r="CM1206" s="61">
        <f t="shared" si="1413"/>
        <v>0</v>
      </c>
      <c r="CN1206" s="61">
        <f t="shared" si="1413"/>
        <v>0</v>
      </c>
      <c r="CO1206" s="61">
        <f t="shared" si="1413"/>
        <v>0</v>
      </c>
      <c r="CP1206" s="61">
        <f t="shared" si="1413"/>
        <v>0</v>
      </c>
      <c r="CQ1206" s="61">
        <f t="shared" si="1413"/>
        <v>0</v>
      </c>
      <c r="CR1206" s="61">
        <f t="shared" si="1413"/>
        <v>0</v>
      </c>
      <c r="CS1206" s="61">
        <f t="shared" si="1422"/>
        <v>0</v>
      </c>
      <c r="CT1206" s="63">
        <f t="shared" si="1425"/>
        <v>0</v>
      </c>
      <c r="CU1206" s="61"/>
      <c r="CV1206" s="61">
        <f t="shared" si="1423"/>
        <v>0</v>
      </c>
      <c r="CW1206" s="61">
        <f t="shared" si="1424"/>
        <v>0</v>
      </c>
      <c r="CY1206" s="61">
        <f t="shared" ref="CY1206:CY1221" si="1428">SUM(AJ1206)-SUM(BO1206)</f>
        <v>0</v>
      </c>
      <c r="CZ1206" s="61">
        <f t="shared" si="1426"/>
        <v>0</v>
      </c>
      <c r="DA1206" s="61">
        <f t="shared" si="1427"/>
        <v>0</v>
      </c>
      <c r="DB1206" s="2" t="s">
        <v>102</v>
      </c>
      <c r="DC1206" s="2" t="s">
        <v>102</v>
      </c>
      <c r="DD1206" s="2" t="s">
        <v>142</v>
      </c>
      <c r="DE1206" s="2" t="s">
        <v>257</v>
      </c>
      <c r="DF1206" s="3" t="s">
        <v>86</v>
      </c>
      <c r="DG1206" s="62">
        <v>42970</v>
      </c>
      <c r="EC1206" s="60" t="str">
        <f>VLOOKUP($M1206,[1]Detail!$M:$BO,1,0)</f>
        <v>-W708322-S424</v>
      </c>
      <c r="ED1206" s="60">
        <f>VLOOKUP($M1206,[1]Detail!$M:$BO,22,0)</f>
        <v>-1.2669999999999999</v>
      </c>
      <c r="EE1206" s="60">
        <f>VLOOKUP($M1206,[1]Detail!$M:$BO,42,0)</f>
        <v>0</v>
      </c>
      <c r="EF1206" s="60">
        <f>VLOOKUP($M1206,[1]Detail!$M:$BO,45,0)</f>
        <v>0</v>
      </c>
      <c r="EH1206" s="60">
        <f t="shared" si="1417"/>
        <v>0</v>
      </c>
      <c r="EI1206" s="60">
        <f t="shared" si="1418"/>
        <v>0</v>
      </c>
      <c r="EJ1206" s="60">
        <f t="shared" si="1419"/>
        <v>0</v>
      </c>
    </row>
    <row r="1207" spans="2:140" ht="12.75" hidden="1" customHeight="1">
      <c r="B1207" s="1" t="s">
        <v>1975</v>
      </c>
      <c r="C1207" s="2" t="s">
        <v>1970</v>
      </c>
      <c r="D1207" s="1" t="s">
        <v>1971</v>
      </c>
      <c r="E1207" s="1" t="s">
        <v>347</v>
      </c>
      <c r="F1207" s="2" t="s">
        <v>348</v>
      </c>
      <c r="G1207" s="3" t="s">
        <v>1921</v>
      </c>
      <c r="K1207" s="1" t="s">
        <v>1984</v>
      </c>
      <c r="L1207" s="3" t="s">
        <v>1985</v>
      </c>
      <c r="M1207" s="2" t="str">
        <f t="shared" si="1367"/>
        <v>-W709721-S451</v>
      </c>
      <c r="O1207" s="89">
        <v>8</v>
      </c>
      <c r="P1207" s="89">
        <v>8</v>
      </c>
      <c r="Q1207" s="89">
        <v>8</v>
      </c>
      <c r="R1207" s="89">
        <v>8</v>
      </c>
      <c r="S1207" s="89">
        <v>8</v>
      </c>
      <c r="T1207" s="89">
        <v>8</v>
      </c>
      <c r="U1207" s="89">
        <v>8</v>
      </c>
      <c r="V1207" s="89">
        <v>8</v>
      </c>
      <c r="W1207" s="64">
        <f t="shared" si="1357"/>
        <v>8</v>
      </c>
      <c r="Y1207" s="63">
        <v>-0.17499999999999999</v>
      </c>
      <c r="Z1207" s="63">
        <v>-2E-3</v>
      </c>
      <c r="AA1207" s="63">
        <v>-3.0000000000000001E-3</v>
      </c>
      <c r="AB1207" s="63">
        <v>0</v>
      </c>
      <c r="AC1207" s="63">
        <v>0</v>
      </c>
      <c r="AD1207" s="8">
        <f t="shared" si="1396"/>
        <v>-0.18</v>
      </c>
      <c r="AE1207" s="2" t="s">
        <v>91</v>
      </c>
      <c r="AG1207" s="61">
        <f t="shared" si="1404"/>
        <v>0</v>
      </c>
      <c r="AH1207" s="61">
        <f t="shared" si="1404"/>
        <v>0</v>
      </c>
      <c r="AI1207" s="61"/>
      <c r="AJ1207" s="61">
        <f t="shared" si="1405"/>
        <v>0</v>
      </c>
      <c r="AK1207" s="61">
        <f t="shared" si="1405"/>
        <v>0</v>
      </c>
      <c r="AM1207" s="22"/>
      <c r="AP1207" s="3" t="s">
        <v>1984</v>
      </c>
      <c r="AQ1207" s="3" t="s">
        <v>1985</v>
      </c>
      <c r="AR1207" s="2" t="s">
        <v>1986</v>
      </c>
      <c r="AT1207" s="89">
        <v>8</v>
      </c>
      <c r="AU1207" s="89">
        <v>8</v>
      </c>
      <c r="AV1207" s="89">
        <v>8</v>
      </c>
      <c r="AW1207" s="89">
        <v>8</v>
      </c>
      <c r="AX1207" s="89">
        <v>8</v>
      </c>
      <c r="AY1207" s="89">
        <v>8</v>
      </c>
      <c r="AZ1207" s="89">
        <v>8</v>
      </c>
      <c r="BA1207" s="89">
        <v>8</v>
      </c>
      <c r="BB1207" s="89">
        <v>8</v>
      </c>
      <c r="BD1207" s="63">
        <v>-0.17499999999999999</v>
      </c>
      <c r="BE1207" s="63">
        <v>-2E-3</v>
      </c>
      <c r="BF1207" s="63">
        <v>-3.0000000000000001E-3</v>
      </c>
      <c r="BG1207" s="63">
        <v>0</v>
      </c>
      <c r="BH1207" s="63">
        <v>0</v>
      </c>
      <c r="BI1207" s="63">
        <v>-0.18</v>
      </c>
      <c r="BJ1207" s="2" t="s">
        <v>91</v>
      </c>
      <c r="BL1207" s="63">
        <v>0</v>
      </c>
      <c r="BM1207" s="63">
        <v>0</v>
      </c>
      <c r="BN1207" s="63"/>
      <c r="BO1207" s="63">
        <v>0</v>
      </c>
      <c r="BP1207" s="63">
        <v>0</v>
      </c>
      <c r="BS1207" s="61">
        <f t="shared" si="1414"/>
        <v>0</v>
      </c>
      <c r="BT1207" s="61">
        <f t="shared" si="1414"/>
        <v>0</v>
      </c>
      <c r="BU1207" s="61">
        <f t="shared" si="1415"/>
        <v>0</v>
      </c>
      <c r="BV1207" s="61">
        <f t="shared" si="1416"/>
        <v>0</v>
      </c>
      <c r="BW1207" s="61">
        <f t="shared" si="1416"/>
        <v>0</v>
      </c>
      <c r="BX1207" s="63">
        <f t="shared" si="1416"/>
        <v>0</v>
      </c>
      <c r="BY1207" s="61" t="s">
        <v>91</v>
      </c>
      <c r="CA1207" s="61" t="s">
        <v>1155</v>
      </c>
      <c r="CB1207" s="61">
        <f t="shared" si="1420"/>
        <v>0</v>
      </c>
      <c r="CC1207" s="61">
        <f t="shared" si="1420"/>
        <v>0</v>
      </c>
      <c r="CD1207" s="61">
        <f t="shared" si="1420"/>
        <v>0</v>
      </c>
      <c r="CE1207" s="61">
        <f t="shared" si="1420"/>
        <v>0</v>
      </c>
      <c r="CF1207" s="61">
        <f t="shared" si="1420"/>
        <v>0</v>
      </c>
      <c r="CG1207" s="61">
        <f t="shared" si="1420"/>
        <v>0</v>
      </c>
      <c r="CH1207" s="61">
        <f t="shared" si="1420"/>
        <v>0</v>
      </c>
      <c r="CI1207" s="61">
        <f t="shared" si="1421"/>
        <v>0</v>
      </c>
      <c r="CK1207" s="61">
        <f t="shared" si="1413"/>
        <v>0</v>
      </c>
      <c r="CL1207" s="61">
        <f t="shared" si="1413"/>
        <v>0</v>
      </c>
      <c r="CM1207" s="61">
        <f t="shared" si="1413"/>
        <v>0</v>
      </c>
      <c r="CN1207" s="61">
        <f t="shared" si="1413"/>
        <v>0</v>
      </c>
      <c r="CO1207" s="61">
        <f t="shared" si="1413"/>
        <v>0</v>
      </c>
      <c r="CP1207" s="61">
        <f t="shared" si="1413"/>
        <v>0</v>
      </c>
      <c r="CQ1207" s="61">
        <f t="shared" si="1413"/>
        <v>0</v>
      </c>
      <c r="CR1207" s="61">
        <f t="shared" si="1413"/>
        <v>0</v>
      </c>
      <c r="CS1207" s="61">
        <f t="shared" si="1422"/>
        <v>0</v>
      </c>
      <c r="CT1207" s="63">
        <f t="shared" si="1425"/>
        <v>0</v>
      </c>
      <c r="CU1207" s="61"/>
      <c r="CV1207" s="61">
        <f t="shared" si="1423"/>
        <v>0</v>
      </c>
      <c r="CW1207" s="61">
        <f t="shared" si="1424"/>
        <v>0</v>
      </c>
      <c r="CY1207" s="61">
        <f t="shared" si="1428"/>
        <v>0</v>
      </c>
      <c r="CZ1207" s="61">
        <f t="shared" si="1426"/>
        <v>0</v>
      </c>
      <c r="DA1207" s="61">
        <f t="shared" si="1427"/>
        <v>0</v>
      </c>
      <c r="DB1207" s="2" t="s">
        <v>102</v>
      </c>
      <c r="DC1207" s="2" t="s">
        <v>102</v>
      </c>
      <c r="DD1207" s="2" t="s">
        <v>142</v>
      </c>
      <c r="DE1207" s="2" t="s">
        <v>257</v>
      </c>
      <c r="DF1207" s="3" t="s">
        <v>86</v>
      </c>
      <c r="DG1207" s="62">
        <v>42970</v>
      </c>
      <c r="EC1207" s="60" t="str">
        <f>VLOOKUP($M1207,[1]Detail!$M:$BO,1,0)</f>
        <v>-W709721-S451</v>
      </c>
      <c r="ED1207" s="60">
        <f>VLOOKUP($M1207,[1]Detail!$M:$BO,22,0)</f>
        <v>-0.18</v>
      </c>
      <c r="EE1207" s="60">
        <f>VLOOKUP($M1207,[1]Detail!$M:$BO,42,0)</f>
        <v>0</v>
      </c>
      <c r="EF1207" s="60">
        <f>VLOOKUP($M1207,[1]Detail!$M:$BO,45,0)</f>
        <v>0</v>
      </c>
      <c r="EH1207" s="60">
        <f t="shared" si="1417"/>
        <v>0</v>
      </c>
      <c r="EI1207" s="60">
        <f t="shared" si="1418"/>
        <v>0</v>
      </c>
      <c r="EJ1207" s="60">
        <f t="shared" si="1419"/>
        <v>0</v>
      </c>
    </row>
    <row r="1208" spans="2:140" ht="12.75" hidden="1" customHeight="1">
      <c r="B1208" s="1" t="s">
        <v>1975</v>
      </c>
      <c r="C1208" s="2" t="s">
        <v>1970</v>
      </c>
      <c r="D1208" s="1" t="s">
        <v>1971</v>
      </c>
      <c r="E1208" s="1" t="s">
        <v>347</v>
      </c>
      <c r="F1208" s="2" t="s">
        <v>348</v>
      </c>
      <c r="G1208" s="3" t="s">
        <v>1921</v>
      </c>
      <c r="K1208" s="1" t="s">
        <v>1987</v>
      </c>
      <c r="L1208" s="3" t="s">
        <v>1988</v>
      </c>
      <c r="M1208" s="2" t="str">
        <f t="shared" si="1367"/>
        <v>-W716659-S450L</v>
      </c>
      <c r="O1208" s="89">
        <v>1</v>
      </c>
      <c r="P1208" s="89">
        <v>1</v>
      </c>
      <c r="Q1208" s="89">
        <v>1</v>
      </c>
      <c r="R1208" s="89">
        <v>1</v>
      </c>
      <c r="S1208" s="89">
        <v>1</v>
      </c>
      <c r="T1208" s="89">
        <v>1</v>
      </c>
      <c r="U1208" s="89">
        <v>1</v>
      </c>
      <c r="V1208" s="89">
        <v>1</v>
      </c>
      <c r="W1208" s="64">
        <f t="shared" ref="W1208:W1249" si="1429">SUMPRODUCT(O1208:V1208,$O$6:$V$6)</f>
        <v>1</v>
      </c>
      <c r="Y1208" s="63">
        <v>-1.7749999999999999</v>
      </c>
      <c r="Z1208" s="63">
        <v>-8.0000000000000002E-3</v>
      </c>
      <c r="AA1208" s="63">
        <v>-1.7000000000000001E-2</v>
      </c>
      <c r="AB1208" s="63">
        <v>0</v>
      </c>
      <c r="AC1208" s="63">
        <v>0</v>
      </c>
      <c r="AD1208" s="8">
        <f t="shared" si="1396"/>
        <v>-1.7999999999999998</v>
      </c>
      <c r="AE1208" s="2" t="s">
        <v>91</v>
      </c>
      <c r="AG1208" s="61">
        <f t="shared" si="1404"/>
        <v>0</v>
      </c>
      <c r="AH1208" s="61">
        <f t="shared" si="1404"/>
        <v>0</v>
      </c>
      <c r="AI1208" s="61"/>
      <c r="AJ1208" s="61">
        <f t="shared" si="1405"/>
        <v>0</v>
      </c>
      <c r="AK1208" s="61">
        <f t="shared" si="1405"/>
        <v>0</v>
      </c>
      <c r="AM1208" s="22"/>
      <c r="AP1208" s="3" t="s">
        <v>1987</v>
      </c>
      <c r="AQ1208" s="3" t="s">
        <v>1988</v>
      </c>
      <c r="AR1208" s="2" t="s">
        <v>1989</v>
      </c>
      <c r="AT1208" s="89">
        <v>1</v>
      </c>
      <c r="AU1208" s="89">
        <v>1</v>
      </c>
      <c r="AV1208" s="89">
        <v>1</v>
      </c>
      <c r="AW1208" s="89">
        <v>1</v>
      </c>
      <c r="AX1208" s="89">
        <v>1</v>
      </c>
      <c r="AY1208" s="89">
        <v>1</v>
      </c>
      <c r="AZ1208" s="89">
        <v>1</v>
      </c>
      <c r="BA1208" s="89">
        <v>1</v>
      </c>
      <c r="BB1208" s="89">
        <v>1</v>
      </c>
      <c r="BD1208" s="63">
        <v>-1.7749999999999999</v>
      </c>
      <c r="BE1208" s="63">
        <v>-8.0000000000000002E-3</v>
      </c>
      <c r="BF1208" s="63">
        <v>-1.7000000000000001E-2</v>
      </c>
      <c r="BG1208" s="63">
        <v>0</v>
      </c>
      <c r="BH1208" s="63">
        <v>0</v>
      </c>
      <c r="BI1208" s="63">
        <v>-1.7999999999999998</v>
      </c>
      <c r="BJ1208" s="2" t="s">
        <v>91</v>
      </c>
      <c r="BL1208" s="63">
        <v>0</v>
      </c>
      <c r="BM1208" s="63">
        <v>0</v>
      </c>
      <c r="BN1208" s="63"/>
      <c r="BO1208" s="63">
        <v>0</v>
      </c>
      <c r="BP1208" s="63">
        <v>0</v>
      </c>
      <c r="BS1208" s="61">
        <f t="shared" si="1414"/>
        <v>0</v>
      </c>
      <c r="BT1208" s="61">
        <f t="shared" si="1414"/>
        <v>0</v>
      </c>
      <c r="BU1208" s="61">
        <f t="shared" si="1415"/>
        <v>0</v>
      </c>
      <c r="BV1208" s="61">
        <f t="shared" si="1416"/>
        <v>0</v>
      </c>
      <c r="BW1208" s="61">
        <f t="shared" si="1416"/>
        <v>0</v>
      </c>
      <c r="BX1208" s="63">
        <f t="shared" si="1416"/>
        <v>0</v>
      </c>
      <c r="BY1208" s="61" t="s">
        <v>91</v>
      </c>
      <c r="CA1208" s="61" t="s">
        <v>1155</v>
      </c>
      <c r="CB1208" s="61">
        <f t="shared" si="1420"/>
        <v>0</v>
      </c>
      <c r="CC1208" s="61">
        <f t="shared" si="1420"/>
        <v>0</v>
      </c>
      <c r="CD1208" s="61">
        <f t="shared" si="1420"/>
        <v>0</v>
      </c>
      <c r="CE1208" s="61">
        <f t="shared" si="1420"/>
        <v>0</v>
      </c>
      <c r="CF1208" s="61">
        <f t="shared" si="1420"/>
        <v>0</v>
      </c>
      <c r="CG1208" s="61">
        <f t="shared" si="1420"/>
        <v>0</v>
      </c>
      <c r="CH1208" s="61">
        <f t="shared" si="1420"/>
        <v>0</v>
      </c>
      <c r="CI1208" s="61">
        <f t="shared" si="1421"/>
        <v>0</v>
      </c>
      <c r="CK1208" s="61">
        <f t="shared" si="1413"/>
        <v>0</v>
      </c>
      <c r="CL1208" s="61">
        <f t="shared" si="1413"/>
        <v>0</v>
      </c>
      <c r="CM1208" s="61">
        <f t="shared" si="1413"/>
        <v>0</v>
      </c>
      <c r="CN1208" s="61">
        <f t="shared" si="1413"/>
        <v>0</v>
      </c>
      <c r="CO1208" s="61">
        <f t="shared" si="1413"/>
        <v>0</v>
      </c>
      <c r="CP1208" s="61">
        <f t="shared" si="1413"/>
        <v>0</v>
      </c>
      <c r="CQ1208" s="61">
        <f t="shared" si="1413"/>
        <v>0</v>
      </c>
      <c r="CR1208" s="61">
        <f t="shared" si="1413"/>
        <v>0</v>
      </c>
      <c r="CS1208" s="61">
        <f t="shared" si="1422"/>
        <v>0</v>
      </c>
      <c r="CT1208" s="63">
        <f t="shared" si="1425"/>
        <v>0</v>
      </c>
      <c r="CU1208" s="61"/>
      <c r="CV1208" s="61">
        <f t="shared" si="1423"/>
        <v>0</v>
      </c>
      <c r="CW1208" s="61">
        <f t="shared" si="1424"/>
        <v>0</v>
      </c>
      <c r="CY1208" s="61">
        <f t="shared" si="1428"/>
        <v>0</v>
      </c>
      <c r="CZ1208" s="61">
        <f t="shared" si="1426"/>
        <v>0</v>
      </c>
      <c r="DA1208" s="61">
        <f t="shared" si="1427"/>
        <v>0</v>
      </c>
      <c r="DB1208" s="2" t="s">
        <v>102</v>
      </c>
      <c r="DC1208" s="2" t="s">
        <v>102</v>
      </c>
      <c r="DD1208" s="2" t="s">
        <v>142</v>
      </c>
      <c r="DE1208" s="2" t="s">
        <v>257</v>
      </c>
      <c r="DF1208" s="3" t="s">
        <v>86</v>
      </c>
      <c r="DG1208" s="62">
        <v>42970</v>
      </c>
      <c r="EC1208" s="60" t="str">
        <f>VLOOKUP($M1208,[1]Detail!$M:$BO,1,0)</f>
        <v>-W716659-S450L</v>
      </c>
      <c r="ED1208" s="60">
        <f>VLOOKUP($M1208,[1]Detail!$M:$BO,22,0)</f>
        <v>-1.7999999999999998</v>
      </c>
      <c r="EE1208" s="60">
        <f>VLOOKUP($M1208,[1]Detail!$M:$BO,42,0)</f>
        <v>0</v>
      </c>
      <c r="EF1208" s="60">
        <f>VLOOKUP($M1208,[1]Detail!$M:$BO,45,0)</f>
        <v>0</v>
      </c>
      <c r="EH1208" s="60">
        <f t="shared" si="1417"/>
        <v>0</v>
      </c>
      <c r="EI1208" s="60">
        <f t="shared" si="1418"/>
        <v>0</v>
      </c>
      <c r="EJ1208" s="60">
        <f t="shared" si="1419"/>
        <v>0</v>
      </c>
    </row>
    <row r="1209" spans="2:140" ht="12.75" hidden="1" customHeight="1">
      <c r="B1209" s="1" t="s">
        <v>1975</v>
      </c>
      <c r="C1209" s="2" t="s">
        <v>1970</v>
      </c>
      <c r="D1209" s="1" t="s">
        <v>1971</v>
      </c>
      <c r="E1209" s="1" t="s">
        <v>347</v>
      </c>
      <c r="F1209" s="2" t="s">
        <v>348</v>
      </c>
      <c r="G1209" s="3" t="s">
        <v>1921</v>
      </c>
      <c r="K1209" s="1" t="s">
        <v>1990</v>
      </c>
      <c r="L1209" s="3" t="s">
        <v>1960</v>
      </c>
      <c r="M1209" s="2" t="str">
        <f t="shared" si="1367"/>
        <v>-W718492-S439</v>
      </c>
      <c r="O1209" s="89">
        <v>2</v>
      </c>
      <c r="P1209" s="89">
        <v>2</v>
      </c>
      <c r="Q1209" s="89">
        <v>2</v>
      </c>
      <c r="R1209" s="89">
        <v>2</v>
      </c>
      <c r="S1209" s="89">
        <v>2</v>
      </c>
      <c r="T1209" s="89">
        <v>2</v>
      </c>
      <c r="U1209" s="89">
        <v>2</v>
      </c>
      <c r="V1209" s="89">
        <v>2</v>
      </c>
      <c r="W1209" s="64">
        <f t="shared" si="1429"/>
        <v>2</v>
      </c>
      <c r="Y1209" s="63">
        <v>-9.4E-2</v>
      </c>
      <c r="Z1209" s="63">
        <v>-1E-3</v>
      </c>
      <c r="AA1209" s="63">
        <v>-3.0000000000000001E-3</v>
      </c>
      <c r="AB1209" s="63">
        <v>0</v>
      </c>
      <c r="AC1209" s="63">
        <v>0</v>
      </c>
      <c r="AD1209" s="8">
        <f t="shared" si="1396"/>
        <v>-9.8000000000000004E-2</v>
      </c>
      <c r="AE1209" s="2" t="s">
        <v>91</v>
      </c>
      <c r="AG1209" s="61">
        <f t="shared" si="1404"/>
        <v>0</v>
      </c>
      <c r="AH1209" s="61">
        <f t="shared" si="1404"/>
        <v>0</v>
      </c>
      <c r="AI1209" s="61"/>
      <c r="AJ1209" s="61">
        <f t="shared" si="1405"/>
        <v>0</v>
      </c>
      <c r="AK1209" s="61">
        <f t="shared" si="1405"/>
        <v>0</v>
      </c>
      <c r="AM1209" s="22"/>
      <c r="AP1209" s="3" t="s">
        <v>1990</v>
      </c>
      <c r="AQ1209" s="3" t="s">
        <v>1960</v>
      </c>
      <c r="AR1209" s="2" t="s">
        <v>1991</v>
      </c>
      <c r="AT1209" s="89">
        <v>2</v>
      </c>
      <c r="AU1209" s="89">
        <v>2</v>
      </c>
      <c r="AV1209" s="89">
        <v>2</v>
      </c>
      <c r="AW1209" s="89">
        <v>2</v>
      </c>
      <c r="AX1209" s="89">
        <v>2</v>
      </c>
      <c r="AY1209" s="89">
        <v>2</v>
      </c>
      <c r="AZ1209" s="89">
        <v>2</v>
      </c>
      <c r="BA1209" s="89">
        <v>2</v>
      </c>
      <c r="BB1209" s="89">
        <v>2</v>
      </c>
      <c r="BD1209" s="63">
        <v>-9.4E-2</v>
      </c>
      <c r="BE1209" s="63">
        <v>-1E-3</v>
      </c>
      <c r="BF1209" s="63">
        <v>-3.0000000000000001E-3</v>
      </c>
      <c r="BG1209" s="63">
        <v>0</v>
      </c>
      <c r="BH1209" s="63">
        <v>0</v>
      </c>
      <c r="BI1209" s="63">
        <v>-9.8000000000000004E-2</v>
      </c>
      <c r="BJ1209" s="2" t="s">
        <v>91</v>
      </c>
      <c r="BL1209" s="63">
        <v>0</v>
      </c>
      <c r="BM1209" s="63">
        <v>0</v>
      </c>
      <c r="BN1209" s="63"/>
      <c r="BO1209" s="63">
        <v>0</v>
      </c>
      <c r="BP1209" s="63">
        <v>0</v>
      </c>
      <c r="BS1209" s="61">
        <f t="shared" si="1414"/>
        <v>0</v>
      </c>
      <c r="BT1209" s="61">
        <f t="shared" si="1414"/>
        <v>0</v>
      </c>
      <c r="BU1209" s="61">
        <f t="shared" si="1415"/>
        <v>0</v>
      </c>
      <c r="BV1209" s="61">
        <f t="shared" si="1416"/>
        <v>0</v>
      </c>
      <c r="BW1209" s="61">
        <f t="shared" si="1416"/>
        <v>0</v>
      </c>
      <c r="BX1209" s="63">
        <f t="shared" si="1416"/>
        <v>0</v>
      </c>
      <c r="BY1209" s="61" t="s">
        <v>91</v>
      </c>
      <c r="CA1209" s="61" t="s">
        <v>1155</v>
      </c>
      <c r="CB1209" s="61">
        <f t="shared" si="1420"/>
        <v>0</v>
      </c>
      <c r="CC1209" s="61">
        <f t="shared" si="1420"/>
        <v>0</v>
      </c>
      <c r="CD1209" s="61">
        <f t="shared" si="1420"/>
        <v>0</v>
      </c>
      <c r="CE1209" s="61">
        <f t="shared" si="1420"/>
        <v>0</v>
      </c>
      <c r="CF1209" s="61">
        <f t="shared" si="1420"/>
        <v>0</v>
      </c>
      <c r="CG1209" s="61">
        <f t="shared" si="1420"/>
        <v>0</v>
      </c>
      <c r="CH1209" s="61">
        <f t="shared" si="1420"/>
        <v>0</v>
      </c>
      <c r="CI1209" s="61">
        <f t="shared" si="1421"/>
        <v>0</v>
      </c>
      <c r="CK1209" s="61">
        <f t="shared" si="1413"/>
        <v>0</v>
      </c>
      <c r="CL1209" s="61">
        <f t="shared" si="1413"/>
        <v>0</v>
      </c>
      <c r="CM1209" s="61">
        <f t="shared" si="1413"/>
        <v>0</v>
      </c>
      <c r="CN1209" s="61">
        <f t="shared" si="1413"/>
        <v>0</v>
      </c>
      <c r="CO1209" s="61">
        <f t="shared" si="1413"/>
        <v>0</v>
      </c>
      <c r="CP1209" s="61">
        <f t="shared" si="1413"/>
        <v>0</v>
      </c>
      <c r="CQ1209" s="61">
        <f t="shared" si="1413"/>
        <v>0</v>
      </c>
      <c r="CR1209" s="61">
        <f t="shared" si="1413"/>
        <v>0</v>
      </c>
      <c r="CS1209" s="61">
        <f t="shared" si="1422"/>
        <v>0</v>
      </c>
      <c r="CT1209" s="63">
        <f t="shared" si="1425"/>
        <v>0</v>
      </c>
      <c r="CU1209" s="61"/>
      <c r="CV1209" s="61">
        <f t="shared" si="1423"/>
        <v>0</v>
      </c>
      <c r="CW1209" s="61">
        <f t="shared" si="1424"/>
        <v>0</v>
      </c>
      <c r="CY1209" s="61">
        <f t="shared" si="1428"/>
        <v>0</v>
      </c>
      <c r="CZ1209" s="61">
        <f t="shared" si="1426"/>
        <v>0</v>
      </c>
      <c r="DA1209" s="61">
        <f t="shared" si="1427"/>
        <v>0</v>
      </c>
      <c r="DB1209" s="2" t="s">
        <v>102</v>
      </c>
      <c r="DC1209" s="2" t="s">
        <v>102</v>
      </c>
      <c r="DD1209" s="2" t="s">
        <v>142</v>
      </c>
      <c r="DE1209" s="2" t="s">
        <v>257</v>
      </c>
      <c r="DF1209" s="3" t="s">
        <v>86</v>
      </c>
      <c r="DG1209" s="62">
        <v>42970</v>
      </c>
      <c r="EC1209" s="60" t="str">
        <f>VLOOKUP($M1209,[1]Detail!$M:$BO,1,0)</f>
        <v>-W718492-S439</v>
      </c>
      <c r="ED1209" s="60">
        <f>VLOOKUP($M1209,[1]Detail!$M:$BO,22,0)</f>
        <v>-9.8000000000000004E-2</v>
      </c>
      <c r="EE1209" s="60">
        <f>VLOOKUP($M1209,[1]Detail!$M:$BO,42,0)</f>
        <v>0</v>
      </c>
      <c r="EF1209" s="60">
        <f>VLOOKUP($M1209,[1]Detail!$M:$BO,45,0)</f>
        <v>0</v>
      </c>
      <c r="EH1209" s="60">
        <f t="shared" si="1417"/>
        <v>0</v>
      </c>
      <c r="EI1209" s="60">
        <f t="shared" si="1418"/>
        <v>0</v>
      </c>
      <c r="EJ1209" s="60">
        <f t="shared" si="1419"/>
        <v>0</v>
      </c>
    </row>
    <row r="1210" spans="2:140" ht="12.75" hidden="1" customHeight="1">
      <c r="B1210" s="1" t="s">
        <v>1975</v>
      </c>
      <c r="C1210" s="2" t="s">
        <v>1970</v>
      </c>
      <c r="D1210" s="1" t="s">
        <v>1971</v>
      </c>
      <c r="E1210" s="1" t="s">
        <v>347</v>
      </c>
      <c r="F1210" s="2" t="s">
        <v>348</v>
      </c>
      <c r="G1210" s="3" t="s">
        <v>1921</v>
      </c>
      <c r="K1210" s="1" t="s">
        <v>1992</v>
      </c>
      <c r="L1210" s="3" t="s">
        <v>1960</v>
      </c>
      <c r="M1210" s="2" t="str">
        <f t="shared" si="1367"/>
        <v>-W505253-S439</v>
      </c>
      <c r="O1210" s="89">
        <v>6</v>
      </c>
      <c r="P1210" s="89">
        <v>6</v>
      </c>
      <c r="Q1210" s="89">
        <v>6</v>
      </c>
      <c r="R1210" s="89">
        <v>6</v>
      </c>
      <c r="S1210" s="89">
        <v>6</v>
      </c>
      <c r="T1210" s="89">
        <v>6</v>
      </c>
      <c r="U1210" s="89">
        <v>6</v>
      </c>
      <c r="V1210" s="89">
        <v>6</v>
      </c>
      <c r="W1210" s="64">
        <f t="shared" si="1429"/>
        <v>6</v>
      </c>
      <c r="Y1210" s="63">
        <v>-0.28000000000000003</v>
      </c>
      <c r="Z1210" s="63">
        <v>-3.0000000000000001E-3</v>
      </c>
      <c r="AA1210" s="63">
        <v>-5.0000000000000001E-3</v>
      </c>
      <c r="AB1210" s="63">
        <v>0</v>
      </c>
      <c r="AC1210" s="63">
        <v>0</v>
      </c>
      <c r="AD1210" s="8">
        <f t="shared" si="1396"/>
        <v>-0.28800000000000003</v>
      </c>
      <c r="AE1210" s="2" t="s">
        <v>91</v>
      </c>
      <c r="AG1210" s="61">
        <f t="shared" si="1404"/>
        <v>0</v>
      </c>
      <c r="AH1210" s="61">
        <f t="shared" si="1404"/>
        <v>0</v>
      </c>
      <c r="AI1210" s="61"/>
      <c r="AJ1210" s="61">
        <f t="shared" si="1405"/>
        <v>0</v>
      </c>
      <c r="AK1210" s="61">
        <f t="shared" si="1405"/>
        <v>0</v>
      </c>
      <c r="AM1210" s="22"/>
      <c r="AP1210" s="3" t="s">
        <v>1992</v>
      </c>
      <c r="AQ1210" s="3" t="s">
        <v>1960</v>
      </c>
      <c r="AR1210" s="2" t="s">
        <v>1993</v>
      </c>
      <c r="AT1210" s="89">
        <v>6</v>
      </c>
      <c r="AU1210" s="89">
        <v>6</v>
      </c>
      <c r="AV1210" s="89">
        <v>6</v>
      </c>
      <c r="AW1210" s="89">
        <v>6</v>
      </c>
      <c r="AX1210" s="89">
        <v>6</v>
      </c>
      <c r="AY1210" s="89">
        <v>6</v>
      </c>
      <c r="AZ1210" s="89">
        <v>6</v>
      </c>
      <c r="BA1210" s="89">
        <v>6</v>
      </c>
      <c r="BB1210" s="89">
        <v>6</v>
      </c>
      <c r="BD1210" s="63">
        <v>-0.28000000000000003</v>
      </c>
      <c r="BE1210" s="63">
        <v>-3.0000000000000001E-3</v>
      </c>
      <c r="BF1210" s="63">
        <v>-5.0000000000000001E-3</v>
      </c>
      <c r="BG1210" s="63">
        <v>0</v>
      </c>
      <c r="BH1210" s="63">
        <v>0</v>
      </c>
      <c r="BI1210" s="63">
        <v>-0.28800000000000003</v>
      </c>
      <c r="BJ1210" s="2" t="s">
        <v>91</v>
      </c>
      <c r="BL1210" s="63">
        <v>0</v>
      </c>
      <c r="BM1210" s="63">
        <v>0</v>
      </c>
      <c r="BN1210" s="63"/>
      <c r="BO1210" s="63">
        <v>0</v>
      </c>
      <c r="BP1210" s="63">
        <v>0</v>
      </c>
      <c r="BS1210" s="61">
        <f t="shared" si="1414"/>
        <v>0</v>
      </c>
      <c r="BT1210" s="61">
        <f t="shared" si="1414"/>
        <v>0</v>
      </c>
      <c r="BU1210" s="61">
        <f t="shared" si="1415"/>
        <v>0</v>
      </c>
      <c r="BV1210" s="61">
        <f t="shared" si="1416"/>
        <v>0</v>
      </c>
      <c r="BW1210" s="61">
        <f t="shared" si="1416"/>
        <v>0</v>
      </c>
      <c r="BX1210" s="63">
        <f t="shared" si="1416"/>
        <v>0</v>
      </c>
      <c r="BY1210" s="61" t="s">
        <v>91</v>
      </c>
      <c r="CA1210" s="61" t="s">
        <v>1155</v>
      </c>
      <c r="CB1210" s="61">
        <f t="shared" si="1420"/>
        <v>0</v>
      </c>
      <c r="CC1210" s="61">
        <f t="shared" si="1420"/>
        <v>0</v>
      </c>
      <c r="CD1210" s="61">
        <f t="shared" si="1420"/>
        <v>0</v>
      </c>
      <c r="CE1210" s="61">
        <f t="shared" si="1420"/>
        <v>0</v>
      </c>
      <c r="CF1210" s="61">
        <f t="shared" si="1420"/>
        <v>0</v>
      </c>
      <c r="CG1210" s="61">
        <f t="shared" si="1420"/>
        <v>0</v>
      </c>
      <c r="CH1210" s="61">
        <f t="shared" si="1420"/>
        <v>0</v>
      </c>
      <c r="CI1210" s="61">
        <f t="shared" si="1421"/>
        <v>0</v>
      </c>
      <c r="CK1210" s="61">
        <f t="shared" si="1413"/>
        <v>0</v>
      </c>
      <c r="CL1210" s="61">
        <f t="shared" si="1413"/>
        <v>0</v>
      </c>
      <c r="CM1210" s="61">
        <f t="shared" si="1413"/>
        <v>0</v>
      </c>
      <c r="CN1210" s="61">
        <f t="shared" si="1413"/>
        <v>0</v>
      </c>
      <c r="CO1210" s="61">
        <f t="shared" si="1413"/>
        <v>0</v>
      </c>
      <c r="CP1210" s="61">
        <f t="shared" si="1413"/>
        <v>0</v>
      </c>
      <c r="CQ1210" s="61">
        <f t="shared" si="1413"/>
        <v>0</v>
      </c>
      <c r="CR1210" s="61">
        <f t="shared" si="1413"/>
        <v>0</v>
      </c>
      <c r="CS1210" s="61">
        <f t="shared" si="1422"/>
        <v>0</v>
      </c>
      <c r="CT1210" s="63">
        <f t="shared" si="1425"/>
        <v>0</v>
      </c>
      <c r="CU1210" s="61"/>
      <c r="CV1210" s="61">
        <f t="shared" si="1423"/>
        <v>0</v>
      </c>
      <c r="CW1210" s="61">
        <f t="shared" si="1424"/>
        <v>0</v>
      </c>
      <c r="CY1210" s="61">
        <f t="shared" si="1428"/>
        <v>0</v>
      </c>
      <c r="CZ1210" s="61">
        <f t="shared" si="1426"/>
        <v>0</v>
      </c>
      <c r="DA1210" s="61">
        <f t="shared" si="1427"/>
        <v>0</v>
      </c>
      <c r="DB1210" s="2" t="s">
        <v>102</v>
      </c>
      <c r="DC1210" s="2" t="s">
        <v>102</v>
      </c>
      <c r="DD1210" s="2" t="s">
        <v>142</v>
      </c>
      <c r="DE1210" s="2" t="s">
        <v>257</v>
      </c>
      <c r="DF1210" s="3" t="s">
        <v>86</v>
      </c>
      <c r="DG1210" s="62">
        <v>42970</v>
      </c>
      <c r="EC1210" s="60" t="str">
        <f>VLOOKUP($M1210,[1]Detail!$M:$BO,1,0)</f>
        <v>-W505253-S439</v>
      </c>
      <c r="ED1210" s="60">
        <f>VLOOKUP($M1210,[1]Detail!$M:$BO,22,0)</f>
        <v>-0.28800000000000003</v>
      </c>
      <c r="EE1210" s="60">
        <f>VLOOKUP($M1210,[1]Detail!$M:$BO,42,0)</f>
        <v>0</v>
      </c>
      <c r="EF1210" s="60">
        <f>VLOOKUP($M1210,[1]Detail!$M:$BO,45,0)</f>
        <v>0</v>
      </c>
      <c r="EH1210" s="60">
        <f t="shared" si="1417"/>
        <v>0</v>
      </c>
      <c r="EI1210" s="60">
        <f t="shared" si="1418"/>
        <v>0</v>
      </c>
      <c r="EJ1210" s="60">
        <f t="shared" si="1419"/>
        <v>0</v>
      </c>
    </row>
    <row r="1211" spans="2:140" ht="12.75" hidden="1" customHeight="1">
      <c r="B1211" s="1" t="s">
        <v>1975</v>
      </c>
      <c r="C1211" s="2" t="s">
        <v>1970</v>
      </c>
      <c r="D1211" s="1" t="s">
        <v>1971</v>
      </c>
      <c r="E1211" s="1" t="s">
        <v>347</v>
      </c>
      <c r="F1211" s="2" t="s">
        <v>348</v>
      </c>
      <c r="G1211" s="3" t="s">
        <v>1921</v>
      </c>
      <c r="K1211" s="1" t="s">
        <v>1994</v>
      </c>
      <c r="L1211" s="3" t="s">
        <v>1985</v>
      </c>
      <c r="M1211" s="2" t="str">
        <f t="shared" ref="M1211:M1213" si="1430">TRIM(J1211)&amp;"-"&amp;TRIM(K1211)&amp;"-"&amp;TRIM(L1211)</f>
        <v>-W719640-S451</v>
      </c>
      <c r="O1211" s="89">
        <v>3</v>
      </c>
      <c r="P1211" s="89">
        <v>3</v>
      </c>
      <c r="Q1211" s="89">
        <v>3</v>
      </c>
      <c r="R1211" s="89">
        <v>3</v>
      </c>
      <c r="S1211" s="89">
        <v>3</v>
      </c>
      <c r="T1211" s="89">
        <v>3</v>
      </c>
      <c r="U1211" s="89">
        <v>3</v>
      </c>
      <c r="V1211" s="89">
        <v>3</v>
      </c>
      <c r="W1211" s="64">
        <f t="shared" si="1429"/>
        <v>3</v>
      </c>
      <c r="Y1211" s="63">
        <v>-0.66700000000000004</v>
      </c>
      <c r="Z1211" s="63">
        <v>-4.0000000000000001E-3</v>
      </c>
      <c r="AA1211" s="63">
        <v>-7.0000000000000001E-3</v>
      </c>
      <c r="AB1211" s="63">
        <v>0</v>
      </c>
      <c r="AC1211" s="63">
        <v>0</v>
      </c>
      <c r="AD1211" s="8">
        <f t="shared" si="1396"/>
        <v>-0.67800000000000005</v>
      </c>
      <c r="AE1211" s="2" t="s">
        <v>91</v>
      </c>
      <c r="AG1211" s="61">
        <f t="shared" si="1404"/>
        <v>0</v>
      </c>
      <c r="AH1211" s="61">
        <f t="shared" si="1404"/>
        <v>0</v>
      </c>
      <c r="AI1211" s="61"/>
      <c r="AJ1211" s="61">
        <f t="shared" si="1405"/>
        <v>0</v>
      </c>
      <c r="AK1211" s="61">
        <f t="shared" si="1405"/>
        <v>0</v>
      </c>
      <c r="AM1211" s="22"/>
      <c r="AP1211" s="3" t="s">
        <v>1994</v>
      </c>
      <c r="AQ1211" s="3" t="s">
        <v>1985</v>
      </c>
      <c r="AR1211" s="2" t="s">
        <v>1995</v>
      </c>
      <c r="AT1211" s="89">
        <v>3</v>
      </c>
      <c r="AU1211" s="89">
        <v>3</v>
      </c>
      <c r="AV1211" s="89">
        <v>3</v>
      </c>
      <c r="AW1211" s="89">
        <v>3</v>
      </c>
      <c r="AX1211" s="89">
        <v>3</v>
      </c>
      <c r="AY1211" s="89">
        <v>3</v>
      </c>
      <c r="AZ1211" s="89">
        <v>3</v>
      </c>
      <c r="BA1211" s="89">
        <v>3</v>
      </c>
      <c r="BB1211" s="89">
        <v>3</v>
      </c>
      <c r="BD1211" s="63">
        <v>-0.66700000000000004</v>
      </c>
      <c r="BE1211" s="63">
        <v>-4.0000000000000001E-3</v>
      </c>
      <c r="BF1211" s="63">
        <v>-7.0000000000000001E-3</v>
      </c>
      <c r="BG1211" s="63">
        <v>0</v>
      </c>
      <c r="BH1211" s="63">
        <v>0</v>
      </c>
      <c r="BI1211" s="63">
        <v>-0.67800000000000005</v>
      </c>
      <c r="BJ1211" s="2" t="s">
        <v>91</v>
      </c>
      <c r="BL1211" s="63">
        <v>0</v>
      </c>
      <c r="BM1211" s="63">
        <v>0</v>
      </c>
      <c r="BN1211" s="63"/>
      <c r="BO1211" s="63">
        <v>0</v>
      </c>
      <c r="BP1211" s="63">
        <v>0</v>
      </c>
      <c r="BS1211" s="61">
        <f t="shared" si="1414"/>
        <v>0</v>
      </c>
      <c r="BT1211" s="61">
        <f t="shared" si="1414"/>
        <v>0</v>
      </c>
      <c r="BU1211" s="61">
        <f t="shared" si="1415"/>
        <v>0</v>
      </c>
      <c r="BV1211" s="61">
        <f t="shared" si="1416"/>
        <v>0</v>
      </c>
      <c r="BW1211" s="61">
        <f t="shared" si="1416"/>
        <v>0</v>
      </c>
      <c r="BX1211" s="63">
        <f t="shared" si="1416"/>
        <v>0</v>
      </c>
      <c r="BY1211" s="61" t="s">
        <v>91</v>
      </c>
      <c r="CA1211" s="61" t="s">
        <v>1155</v>
      </c>
      <c r="CB1211" s="61">
        <f t="shared" si="1420"/>
        <v>0</v>
      </c>
      <c r="CC1211" s="61">
        <f t="shared" si="1420"/>
        <v>0</v>
      </c>
      <c r="CD1211" s="61">
        <f t="shared" si="1420"/>
        <v>0</v>
      </c>
      <c r="CE1211" s="61">
        <f t="shared" si="1420"/>
        <v>0</v>
      </c>
      <c r="CF1211" s="61">
        <f t="shared" si="1420"/>
        <v>0</v>
      </c>
      <c r="CG1211" s="61">
        <f t="shared" si="1420"/>
        <v>0</v>
      </c>
      <c r="CH1211" s="61">
        <f t="shared" si="1420"/>
        <v>0</v>
      </c>
      <c r="CI1211" s="61">
        <f t="shared" si="1421"/>
        <v>0</v>
      </c>
      <c r="CK1211" s="61">
        <f t="shared" si="1413"/>
        <v>0</v>
      </c>
      <c r="CL1211" s="61">
        <f t="shared" si="1413"/>
        <v>0</v>
      </c>
      <c r="CM1211" s="61">
        <f t="shared" si="1413"/>
        <v>0</v>
      </c>
      <c r="CN1211" s="61">
        <f t="shared" si="1413"/>
        <v>0</v>
      </c>
      <c r="CO1211" s="61">
        <f t="shared" si="1413"/>
        <v>0</v>
      </c>
      <c r="CP1211" s="61">
        <f t="shared" si="1413"/>
        <v>0</v>
      </c>
      <c r="CQ1211" s="61">
        <f t="shared" si="1413"/>
        <v>0</v>
      </c>
      <c r="CR1211" s="61">
        <f t="shared" si="1413"/>
        <v>0</v>
      </c>
      <c r="CS1211" s="61">
        <f t="shared" si="1422"/>
        <v>0</v>
      </c>
      <c r="CT1211" s="63">
        <f t="shared" si="1425"/>
        <v>0</v>
      </c>
      <c r="CU1211" s="61"/>
      <c r="CV1211" s="61">
        <f t="shared" si="1423"/>
        <v>0</v>
      </c>
      <c r="CW1211" s="61">
        <f t="shared" si="1424"/>
        <v>0</v>
      </c>
      <c r="CY1211" s="61">
        <f t="shared" si="1428"/>
        <v>0</v>
      </c>
      <c r="CZ1211" s="61">
        <f t="shared" si="1426"/>
        <v>0</v>
      </c>
      <c r="DA1211" s="61">
        <f t="shared" si="1427"/>
        <v>0</v>
      </c>
      <c r="DB1211" s="2" t="s">
        <v>102</v>
      </c>
      <c r="DC1211" s="2" t="s">
        <v>102</v>
      </c>
      <c r="DD1211" s="2" t="s">
        <v>142</v>
      </c>
      <c r="DE1211" s="2" t="s">
        <v>257</v>
      </c>
      <c r="DF1211" s="3" t="s">
        <v>86</v>
      </c>
      <c r="DG1211" s="62">
        <v>42970</v>
      </c>
      <c r="EC1211" s="60" t="str">
        <f>VLOOKUP($M1211,[1]Detail!$M:$BO,1,0)</f>
        <v>-W719640-S451</v>
      </c>
      <c r="ED1211" s="60">
        <f>VLOOKUP($M1211,[1]Detail!$M:$BO,22,0)</f>
        <v>-0.67800000000000005</v>
      </c>
      <c r="EE1211" s="60">
        <f>VLOOKUP($M1211,[1]Detail!$M:$BO,42,0)</f>
        <v>0</v>
      </c>
      <c r="EF1211" s="60">
        <f>VLOOKUP($M1211,[1]Detail!$M:$BO,45,0)</f>
        <v>0</v>
      </c>
      <c r="EH1211" s="60">
        <f t="shared" si="1417"/>
        <v>0</v>
      </c>
      <c r="EI1211" s="60">
        <f t="shared" si="1418"/>
        <v>0</v>
      </c>
      <c r="EJ1211" s="60">
        <f t="shared" si="1419"/>
        <v>0</v>
      </c>
    </row>
    <row r="1212" spans="2:140" ht="12.75" hidden="1" customHeight="1">
      <c r="B1212" s="1" t="s">
        <v>1996</v>
      </c>
      <c r="C1212" s="2" t="s">
        <v>1970</v>
      </c>
      <c r="D1212" s="1" t="s">
        <v>1971</v>
      </c>
      <c r="E1212" s="1" t="s">
        <v>347</v>
      </c>
      <c r="F1212" s="2" t="s">
        <v>348</v>
      </c>
      <c r="G1212" s="3" t="s">
        <v>1921</v>
      </c>
      <c r="K1212" s="1" t="s">
        <v>1997</v>
      </c>
      <c r="L1212" s="3" t="s">
        <v>1988</v>
      </c>
      <c r="M1212" s="2" t="str">
        <f t="shared" si="1430"/>
        <v>-W505261-S450L</v>
      </c>
      <c r="O1212" s="89">
        <v>3</v>
      </c>
      <c r="P1212" s="89">
        <v>3</v>
      </c>
      <c r="Q1212" s="89">
        <v>3</v>
      </c>
      <c r="R1212" s="89">
        <v>3</v>
      </c>
      <c r="S1212" s="89">
        <v>3</v>
      </c>
      <c r="T1212" s="89">
        <v>3</v>
      </c>
      <c r="U1212" s="89">
        <v>3</v>
      </c>
      <c r="V1212" s="89">
        <v>3</v>
      </c>
      <c r="W1212" s="64">
        <f t="shared" si="1429"/>
        <v>3</v>
      </c>
      <c r="Y1212" s="63">
        <v>-0.51</v>
      </c>
      <c r="Z1212" s="63">
        <v>-0.01</v>
      </c>
      <c r="AA1212" s="63">
        <v>-0.01</v>
      </c>
      <c r="AB1212" s="63">
        <v>0</v>
      </c>
      <c r="AC1212" s="63">
        <v>0</v>
      </c>
      <c r="AD1212" s="8">
        <f t="shared" si="1396"/>
        <v>-0.53</v>
      </c>
      <c r="AE1212" s="2" t="s">
        <v>91</v>
      </c>
      <c r="AG1212" s="61">
        <f t="shared" si="1404"/>
        <v>0</v>
      </c>
      <c r="AH1212" s="61">
        <f t="shared" si="1404"/>
        <v>0</v>
      </c>
      <c r="AI1212" s="61"/>
      <c r="AJ1212" s="61">
        <f t="shared" si="1405"/>
        <v>0</v>
      </c>
      <c r="AK1212" s="61">
        <f t="shared" si="1405"/>
        <v>0</v>
      </c>
      <c r="AM1212" s="22"/>
      <c r="AP1212" s="3" t="s">
        <v>1997</v>
      </c>
      <c r="AQ1212" s="3" t="s">
        <v>1988</v>
      </c>
      <c r="AR1212" s="2" t="s">
        <v>1998</v>
      </c>
      <c r="AT1212" s="89">
        <v>3</v>
      </c>
      <c r="AU1212" s="89">
        <v>3</v>
      </c>
      <c r="AV1212" s="89">
        <v>3</v>
      </c>
      <c r="AW1212" s="89">
        <v>3</v>
      </c>
      <c r="AX1212" s="89">
        <v>3</v>
      </c>
      <c r="AY1212" s="89">
        <v>3</v>
      </c>
      <c r="AZ1212" s="89">
        <v>3</v>
      </c>
      <c r="BA1212" s="89">
        <v>3</v>
      </c>
      <c r="BB1212" s="89">
        <v>3</v>
      </c>
      <c r="BD1212" s="63">
        <v>-0.51</v>
      </c>
      <c r="BE1212" s="63">
        <v>-0.01</v>
      </c>
      <c r="BF1212" s="63">
        <v>-0.01</v>
      </c>
      <c r="BG1212" s="63">
        <v>0</v>
      </c>
      <c r="BH1212" s="63">
        <v>0</v>
      </c>
      <c r="BI1212" s="63">
        <v>-0.53</v>
      </c>
      <c r="BJ1212" s="2" t="s">
        <v>91</v>
      </c>
      <c r="BL1212" s="63">
        <v>0</v>
      </c>
      <c r="BM1212" s="63">
        <v>0</v>
      </c>
      <c r="BN1212" s="63"/>
      <c r="BO1212" s="63">
        <v>0</v>
      </c>
      <c r="BP1212" s="63">
        <v>0</v>
      </c>
      <c r="BS1212" s="61">
        <f t="shared" si="1414"/>
        <v>0</v>
      </c>
      <c r="BT1212" s="61">
        <f t="shared" si="1414"/>
        <v>0</v>
      </c>
      <c r="BU1212" s="61">
        <f t="shared" si="1415"/>
        <v>0</v>
      </c>
      <c r="BV1212" s="61">
        <f t="shared" si="1416"/>
        <v>0</v>
      </c>
      <c r="BW1212" s="61">
        <f t="shared" si="1416"/>
        <v>0</v>
      </c>
      <c r="BX1212" s="63">
        <f t="shared" si="1416"/>
        <v>0</v>
      </c>
      <c r="BY1212" s="61" t="s">
        <v>91</v>
      </c>
      <c r="CA1212" s="61" t="s">
        <v>1155</v>
      </c>
      <c r="CB1212" s="61">
        <f t="shared" si="1420"/>
        <v>0</v>
      </c>
      <c r="CC1212" s="61">
        <f t="shared" si="1420"/>
        <v>0</v>
      </c>
      <c r="CD1212" s="61">
        <f t="shared" si="1420"/>
        <v>0</v>
      </c>
      <c r="CE1212" s="61">
        <f t="shared" si="1420"/>
        <v>0</v>
      </c>
      <c r="CF1212" s="61">
        <f t="shared" si="1420"/>
        <v>0</v>
      </c>
      <c r="CG1212" s="61">
        <f t="shared" si="1420"/>
        <v>0</v>
      </c>
      <c r="CH1212" s="61">
        <f t="shared" si="1420"/>
        <v>0</v>
      </c>
      <c r="CI1212" s="61">
        <f t="shared" si="1421"/>
        <v>0</v>
      </c>
      <c r="CK1212" s="61">
        <f t="shared" si="1413"/>
        <v>0</v>
      </c>
      <c r="CL1212" s="61">
        <f t="shared" si="1413"/>
        <v>0</v>
      </c>
      <c r="CM1212" s="61">
        <f t="shared" si="1413"/>
        <v>0</v>
      </c>
      <c r="CN1212" s="61">
        <f t="shared" si="1413"/>
        <v>0</v>
      </c>
      <c r="CO1212" s="61">
        <f t="shared" si="1413"/>
        <v>0</v>
      </c>
      <c r="CP1212" s="61">
        <f t="shared" si="1413"/>
        <v>0</v>
      </c>
      <c r="CQ1212" s="61">
        <f t="shared" si="1413"/>
        <v>0</v>
      </c>
      <c r="CR1212" s="61">
        <f t="shared" si="1413"/>
        <v>0</v>
      </c>
      <c r="CS1212" s="61">
        <f t="shared" si="1422"/>
        <v>0</v>
      </c>
      <c r="CT1212" s="63">
        <f t="shared" si="1425"/>
        <v>0</v>
      </c>
      <c r="CU1212" s="61"/>
      <c r="CV1212" s="61">
        <f t="shared" si="1423"/>
        <v>0</v>
      </c>
      <c r="CW1212" s="61">
        <f t="shared" si="1424"/>
        <v>0</v>
      </c>
      <c r="CY1212" s="61">
        <f t="shared" si="1428"/>
        <v>0</v>
      </c>
      <c r="CZ1212" s="61">
        <f t="shared" si="1426"/>
        <v>0</v>
      </c>
      <c r="DA1212" s="61">
        <f t="shared" si="1427"/>
        <v>0</v>
      </c>
      <c r="DB1212" s="2" t="s">
        <v>102</v>
      </c>
      <c r="DC1212" s="2" t="s">
        <v>102</v>
      </c>
      <c r="DD1212" s="2" t="s">
        <v>142</v>
      </c>
      <c r="DE1212" s="2" t="s">
        <v>257</v>
      </c>
      <c r="DF1212" s="3" t="s">
        <v>86</v>
      </c>
      <c r="DG1212" s="62">
        <v>42970</v>
      </c>
      <c r="EC1212" s="60" t="str">
        <f>VLOOKUP($M1212,[1]Detail!$M:$BO,1,0)</f>
        <v>-W505261-S450L</v>
      </c>
      <c r="ED1212" s="60">
        <f>VLOOKUP($M1212,[1]Detail!$M:$BO,22,0)</f>
        <v>-0.53</v>
      </c>
      <c r="EE1212" s="60">
        <f>VLOOKUP($M1212,[1]Detail!$M:$BO,42,0)</f>
        <v>0</v>
      </c>
      <c r="EF1212" s="60">
        <f>VLOOKUP($M1212,[1]Detail!$M:$BO,45,0)</f>
        <v>0</v>
      </c>
      <c r="EH1212" s="60">
        <f t="shared" si="1417"/>
        <v>0</v>
      </c>
      <c r="EI1212" s="60">
        <f t="shared" si="1418"/>
        <v>0</v>
      </c>
      <c r="EJ1212" s="60">
        <f t="shared" si="1419"/>
        <v>0</v>
      </c>
    </row>
    <row r="1213" spans="2:140" hidden="1">
      <c r="B1213" s="1" t="s">
        <v>1999</v>
      </c>
      <c r="C1213" s="2" t="s">
        <v>1970</v>
      </c>
      <c r="D1213" s="1" t="s">
        <v>1971</v>
      </c>
      <c r="E1213" s="1" t="s">
        <v>347</v>
      </c>
      <c r="F1213" s="2" t="s">
        <v>348</v>
      </c>
      <c r="G1213" s="3" t="s">
        <v>1921</v>
      </c>
      <c r="K1213" s="1" t="s">
        <v>2000</v>
      </c>
      <c r="L1213" s="3" t="s">
        <v>1929</v>
      </c>
      <c r="M1213" s="2" t="str">
        <f t="shared" si="1430"/>
        <v>-W715235-S442</v>
      </c>
      <c r="O1213" s="89">
        <v>1</v>
      </c>
      <c r="P1213" s="89">
        <v>1</v>
      </c>
      <c r="Q1213" s="89">
        <v>1</v>
      </c>
      <c r="R1213" s="89">
        <v>1</v>
      </c>
      <c r="S1213" s="89">
        <v>1</v>
      </c>
      <c r="T1213" s="89">
        <v>1</v>
      </c>
      <c r="U1213" s="89">
        <v>1</v>
      </c>
      <c r="V1213" s="89">
        <v>1</v>
      </c>
      <c r="W1213" s="64">
        <f t="shared" si="1429"/>
        <v>1</v>
      </c>
      <c r="Y1213" s="63">
        <v>-0.86</v>
      </c>
      <c r="Z1213" s="63">
        <v>-0.01</v>
      </c>
      <c r="AA1213" s="63">
        <v>-0.02</v>
      </c>
      <c r="AB1213" s="63">
        <v>0</v>
      </c>
      <c r="AC1213" s="63">
        <v>0</v>
      </c>
      <c r="AD1213" s="8">
        <f t="shared" si="1396"/>
        <v>-0.89</v>
      </c>
      <c r="AE1213" s="2" t="s">
        <v>91</v>
      </c>
      <c r="AG1213" s="61">
        <f t="shared" si="1404"/>
        <v>0</v>
      </c>
      <c r="AH1213" s="61">
        <f t="shared" si="1404"/>
        <v>0</v>
      </c>
      <c r="AI1213" s="61"/>
      <c r="AJ1213" s="61">
        <f t="shared" si="1405"/>
        <v>0</v>
      </c>
      <c r="AK1213" s="61">
        <f t="shared" si="1405"/>
        <v>0</v>
      </c>
      <c r="AM1213" s="22"/>
      <c r="AP1213" s="3" t="s">
        <v>2000</v>
      </c>
      <c r="AQ1213" s="3" t="s">
        <v>1929</v>
      </c>
      <c r="AR1213" s="2" t="s">
        <v>1998</v>
      </c>
      <c r="AT1213" s="89">
        <v>1</v>
      </c>
      <c r="AU1213" s="89">
        <v>1</v>
      </c>
      <c r="AV1213" s="89">
        <v>1</v>
      </c>
      <c r="AW1213" s="89">
        <v>1</v>
      </c>
      <c r="AX1213" s="89">
        <v>1</v>
      </c>
      <c r="AY1213" s="89">
        <v>1</v>
      </c>
      <c r="AZ1213" s="89">
        <v>1</v>
      </c>
      <c r="BA1213" s="89">
        <v>1</v>
      </c>
      <c r="BB1213" s="89">
        <v>1</v>
      </c>
      <c r="BD1213" s="63">
        <v>-0.86</v>
      </c>
      <c r="BE1213" s="63">
        <v>-0.01</v>
      </c>
      <c r="BF1213" s="63">
        <v>-0.02</v>
      </c>
      <c r="BG1213" s="63">
        <v>0</v>
      </c>
      <c r="BH1213" s="63">
        <v>0</v>
      </c>
      <c r="BI1213" s="63">
        <v>-0.89</v>
      </c>
      <c r="BJ1213" s="2" t="s">
        <v>91</v>
      </c>
      <c r="BL1213" s="63">
        <v>0</v>
      </c>
      <c r="BM1213" s="63">
        <v>0</v>
      </c>
      <c r="BN1213" s="63"/>
      <c r="BO1213" s="63">
        <v>0</v>
      </c>
      <c r="BP1213" s="63">
        <v>0</v>
      </c>
      <c r="BS1213" s="61">
        <f t="shared" si="1414"/>
        <v>0</v>
      </c>
      <c r="BT1213" s="61">
        <f t="shared" si="1414"/>
        <v>0</v>
      </c>
      <c r="BU1213" s="61">
        <f t="shared" si="1415"/>
        <v>0</v>
      </c>
      <c r="BV1213" s="61">
        <f t="shared" si="1416"/>
        <v>0</v>
      </c>
      <c r="BW1213" s="61">
        <f t="shared" si="1416"/>
        <v>0</v>
      </c>
      <c r="BX1213" s="63">
        <f t="shared" si="1416"/>
        <v>0</v>
      </c>
      <c r="BY1213" s="61" t="s">
        <v>91</v>
      </c>
      <c r="CA1213" s="61" t="s">
        <v>1155</v>
      </c>
      <c r="CB1213" s="61">
        <f t="shared" si="1420"/>
        <v>0</v>
      </c>
      <c r="CC1213" s="61">
        <f t="shared" si="1420"/>
        <v>0</v>
      </c>
      <c r="CD1213" s="61">
        <f t="shared" si="1420"/>
        <v>0</v>
      </c>
      <c r="CE1213" s="61">
        <f t="shared" si="1420"/>
        <v>0</v>
      </c>
      <c r="CF1213" s="61">
        <f t="shared" si="1420"/>
        <v>0</v>
      </c>
      <c r="CG1213" s="61">
        <f t="shared" si="1420"/>
        <v>0</v>
      </c>
      <c r="CH1213" s="61">
        <f t="shared" si="1420"/>
        <v>0</v>
      </c>
      <c r="CI1213" s="61">
        <f t="shared" si="1421"/>
        <v>0</v>
      </c>
      <c r="CK1213" s="61">
        <f t="shared" si="1413"/>
        <v>0</v>
      </c>
      <c r="CL1213" s="61">
        <f t="shared" si="1413"/>
        <v>0</v>
      </c>
      <c r="CM1213" s="61">
        <f t="shared" si="1413"/>
        <v>0</v>
      </c>
      <c r="CN1213" s="61">
        <f t="shared" si="1413"/>
        <v>0</v>
      </c>
      <c r="CO1213" s="61">
        <f t="shared" si="1413"/>
        <v>0</v>
      </c>
      <c r="CP1213" s="61">
        <f t="shared" si="1413"/>
        <v>0</v>
      </c>
      <c r="CQ1213" s="61">
        <f t="shared" si="1413"/>
        <v>0</v>
      </c>
      <c r="CR1213" s="61">
        <f t="shared" si="1413"/>
        <v>0</v>
      </c>
      <c r="CS1213" s="61">
        <f t="shared" si="1422"/>
        <v>0</v>
      </c>
      <c r="CT1213" s="63">
        <f t="shared" si="1425"/>
        <v>0</v>
      </c>
      <c r="CU1213" s="61"/>
      <c r="CV1213" s="61">
        <f t="shared" si="1423"/>
        <v>0</v>
      </c>
      <c r="CW1213" s="61">
        <f t="shared" si="1424"/>
        <v>0</v>
      </c>
      <c r="CY1213" s="61">
        <f t="shared" si="1428"/>
        <v>0</v>
      </c>
      <c r="CZ1213" s="61">
        <f t="shared" si="1426"/>
        <v>0</v>
      </c>
      <c r="DA1213" s="61">
        <f t="shared" si="1427"/>
        <v>0</v>
      </c>
      <c r="DB1213" s="2" t="s">
        <v>102</v>
      </c>
      <c r="DC1213" s="2" t="s">
        <v>102</v>
      </c>
      <c r="DD1213" s="2" t="s">
        <v>142</v>
      </c>
      <c r="DE1213" s="2" t="s">
        <v>257</v>
      </c>
      <c r="DF1213" s="3" t="s">
        <v>86</v>
      </c>
      <c r="DG1213" s="62">
        <v>42970</v>
      </c>
      <c r="EC1213" s="60" t="str">
        <f>VLOOKUP($M1213,[1]Detail!$M:$BO,1,0)</f>
        <v>-W715235-S442</v>
      </c>
      <c r="ED1213" s="60">
        <f>VLOOKUP($M1213,[1]Detail!$M:$BO,22,0)</f>
        <v>-0.89</v>
      </c>
      <c r="EE1213" s="60">
        <f>VLOOKUP($M1213,[1]Detail!$M:$BO,42,0)</f>
        <v>0</v>
      </c>
      <c r="EF1213" s="60">
        <f>VLOOKUP($M1213,[1]Detail!$M:$BO,45,0)</f>
        <v>0</v>
      </c>
      <c r="EH1213" s="60">
        <f t="shared" si="1417"/>
        <v>0</v>
      </c>
      <c r="EI1213" s="60">
        <f t="shared" si="1418"/>
        <v>0</v>
      </c>
      <c r="EJ1213" s="60">
        <f t="shared" si="1419"/>
        <v>0</v>
      </c>
    </row>
    <row r="1214" spans="2:140" ht="12.75" hidden="1" customHeight="1">
      <c r="B1214" s="1" t="s">
        <v>2001</v>
      </c>
      <c r="C1214" s="2" t="s">
        <v>1938</v>
      </c>
      <c r="D1214" s="1" t="s">
        <v>1939</v>
      </c>
      <c r="E1214" s="1" t="s">
        <v>347</v>
      </c>
      <c r="F1214" s="2" t="s">
        <v>348</v>
      </c>
      <c r="G1214" s="3" t="s">
        <v>1921</v>
      </c>
      <c r="K1214" s="1" t="s">
        <v>2002</v>
      </c>
      <c r="L1214" s="3" t="s">
        <v>2003</v>
      </c>
      <c r="M1214" s="2" t="s">
        <v>2004</v>
      </c>
      <c r="N1214" s="2"/>
      <c r="O1214" s="89">
        <v>4</v>
      </c>
      <c r="P1214" s="89">
        <v>4</v>
      </c>
      <c r="Q1214" s="89">
        <v>4</v>
      </c>
      <c r="R1214" s="89">
        <v>4</v>
      </c>
      <c r="S1214" s="89">
        <v>4</v>
      </c>
      <c r="T1214" s="89">
        <v>4</v>
      </c>
      <c r="U1214" s="89">
        <v>4</v>
      </c>
      <c r="V1214" s="89">
        <v>4</v>
      </c>
      <c r="W1214" s="89">
        <f t="shared" si="1429"/>
        <v>4</v>
      </c>
      <c r="Y1214" s="63">
        <v>-0.52110000000000001</v>
      </c>
      <c r="Z1214" s="63">
        <v>-1.6999999999999999E-3</v>
      </c>
      <c r="AA1214" s="63">
        <v>-7.1999999999999998E-3</v>
      </c>
      <c r="AB1214" s="63">
        <v>0</v>
      </c>
      <c r="AC1214" s="63">
        <v>0</v>
      </c>
      <c r="AD1214" s="8">
        <f t="shared" si="1396"/>
        <v>-0.53</v>
      </c>
      <c r="AE1214" s="2" t="s">
        <v>91</v>
      </c>
      <c r="AG1214" s="61">
        <f t="shared" si="1404"/>
        <v>0</v>
      </c>
      <c r="AH1214" s="61">
        <f t="shared" si="1404"/>
        <v>0</v>
      </c>
      <c r="AI1214" s="61"/>
      <c r="AJ1214" s="61">
        <f t="shared" si="1405"/>
        <v>0</v>
      </c>
      <c r="AK1214" s="61">
        <f t="shared" si="1405"/>
        <v>0</v>
      </c>
      <c r="AM1214" s="22"/>
      <c r="AP1214" s="3" t="s">
        <v>2002</v>
      </c>
      <c r="AQ1214" s="3" t="s">
        <v>2003</v>
      </c>
      <c r="AR1214" s="2" t="s">
        <v>2004</v>
      </c>
      <c r="AT1214" s="89">
        <v>4</v>
      </c>
      <c r="AU1214" s="89">
        <v>4</v>
      </c>
      <c r="AV1214" s="89">
        <v>4</v>
      </c>
      <c r="AW1214" s="89">
        <v>4</v>
      </c>
      <c r="AX1214" s="89">
        <v>4</v>
      </c>
      <c r="AY1214" s="89">
        <v>4</v>
      </c>
      <c r="AZ1214" s="89">
        <v>4</v>
      </c>
      <c r="BA1214" s="89">
        <v>4</v>
      </c>
      <c r="BB1214" s="89">
        <f t="shared" ref="BB1214:BB1249" si="1431">SUMPRODUCT(AT1214:BA1214,$O$6:$V$6)</f>
        <v>4</v>
      </c>
      <c r="BD1214" s="63">
        <v>-0.52110000000000001</v>
      </c>
      <c r="BE1214" s="63">
        <v>-1.6999999999999999E-3</v>
      </c>
      <c r="BF1214" s="63">
        <v>-7.1999999999999998E-3</v>
      </c>
      <c r="BG1214" s="63">
        <v>0</v>
      </c>
      <c r="BH1214" s="63">
        <v>0</v>
      </c>
      <c r="BI1214" s="8">
        <f>SUM(BD1214:BH1214)</f>
        <v>-0.53</v>
      </c>
      <c r="BJ1214" s="2" t="s">
        <v>91</v>
      </c>
      <c r="BL1214" s="63">
        <v>0</v>
      </c>
      <c r="BM1214" s="63">
        <v>0</v>
      </c>
      <c r="BN1214" s="63"/>
      <c r="BO1214" s="63">
        <v>0</v>
      </c>
      <c r="BP1214" s="63">
        <v>0</v>
      </c>
      <c r="BS1214" s="61">
        <f t="shared" si="1414"/>
        <v>0</v>
      </c>
      <c r="BT1214" s="61">
        <f t="shared" si="1414"/>
        <v>0</v>
      </c>
      <c r="BU1214" s="61">
        <f t="shared" si="1415"/>
        <v>0</v>
      </c>
      <c r="BV1214" s="61">
        <f t="shared" si="1416"/>
        <v>0</v>
      </c>
      <c r="BW1214" s="61">
        <f t="shared" si="1416"/>
        <v>0</v>
      </c>
      <c r="BX1214" s="63">
        <f t="shared" si="1416"/>
        <v>0</v>
      </c>
      <c r="BY1214" s="61" t="s">
        <v>91</v>
      </c>
      <c r="CA1214" s="61" t="s">
        <v>1155</v>
      </c>
      <c r="CB1214" s="61">
        <f t="shared" si="1420"/>
        <v>0</v>
      </c>
      <c r="CC1214" s="61">
        <f t="shared" si="1420"/>
        <v>0</v>
      </c>
      <c r="CD1214" s="61">
        <f t="shared" si="1420"/>
        <v>0</v>
      </c>
      <c r="CE1214" s="61">
        <f t="shared" si="1420"/>
        <v>0</v>
      </c>
      <c r="CF1214" s="61">
        <f t="shared" si="1420"/>
        <v>0</v>
      </c>
      <c r="CG1214" s="61">
        <f t="shared" si="1420"/>
        <v>0</v>
      </c>
      <c r="CH1214" s="61">
        <f t="shared" si="1420"/>
        <v>0</v>
      </c>
      <c r="CI1214" s="61">
        <f t="shared" si="1421"/>
        <v>0</v>
      </c>
      <c r="CK1214" s="61">
        <f t="shared" si="1413"/>
        <v>0</v>
      </c>
      <c r="CL1214" s="61">
        <f t="shared" si="1413"/>
        <v>0</v>
      </c>
      <c r="CM1214" s="61">
        <f t="shared" si="1413"/>
        <v>0</v>
      </c>
      <c r="CN1214" s="61">
        <f t="shared" si="1413"/>
        <v>0</v>
      </c>
      <c r="CO1214" s="61">
        <f t="shared" si="1413"/>
        <v>0</v>
      </c>
      <c r="CP1214" s="61">
        <f t="shared" si="1413"/>
        <v>0</v>
      </c>
      <c r="CQ1214" s="61">
        <f t="shared" si="1413"/>
        <v>0</v>
      </c>
      <c r="CR1214" s="61">
        <f t="shared" si="1413"/>
        <v>0</v>
      </c>
      <c r="CS1214" s="61">
        <f t="shared" si="1422"/>
        <v>0</v>
      </c>
      <c r="CT1214" s="63">
        <f t="shared" si="1425"/>
        <v>0</v>
      </c>
      <c r="CU1214" s="61"/>
      <c r="CV1214" s="61">
        <f t="shared" si="1423"/>
        <v>0</v>
      </c>
      <c r="CW1214" s="61">
        <f t="shared" si="1424"/>
        <v>0</v>
      </c>
      <c r="CY1214" s="61">
        <f t="shared" si="1428"/>
        <v>0</v>
      </c>
      <c r="CZ1214" s="61">
        <f t="shared" si="1426"/>
        <v>0</v>
      </c>
      <c r="DA1214" s="61">
        <f t="shared" si="1427"/>
        <v>0</v>
      </c>
      <c r="DB1214" s="2" t="s">
        <v>102</v>
      </c>
      <c r="DC1214" s="2" t="s">
        <v>102</v>
      </c>
      <c r="DD1214" s="2" t="s">
        <v>142</v>
      </c>
      <c r="DE1214" s="2" t="s">
        <v>257</v>
      </c>
      <c r="DF1214" s="3" t="s">
        <v>86</v>
      </c>
      <c r="DG1214" s="62">
        <v>42970</v>
      </c>
      <c r="EC1214" s="60" t="str">
        <f>VLOOKUP($M1214,[1]Detail!$M:$BO,1,0)</f>
        <v>-W715235-S442</v>
      </c>
      <c r="ED1214" s="60">
        <f>VLOOKUP($M1214,[1]Detail!$M:$BO,22,0)</f>
        <v>-0.89</v>
      </c>
      <c r="EE1214" s="60">
        <f>VLOOKUP($M1214,[1]Detail!$M:$BO,42,0)</f>
        <v>0</v>
      </c>
      <c r="EF1214" s="60">
        <f>VLOOKUP($M1214,[1]Detail!$M:$BO,45,0)</f>
        <v>0</v>
      </c>
      <c r="EH1214" s="60">
        <f t="shared" si="1417"/>
        <v>-0.36</v>
      </c>
      <c r="EI1214" s="60">
        <f t="shared" si="1418"/>
        <v>0</v>
      </c>
      <c r="EJ1214" s="60">
        <f t="shared" si="1419"/>
        <v>0</v>
      </c>
    </row>
    <row r="1215" spans="2:140" hidden="1">
      <c r="B1215" s="1" t="s">
        <v>2005</v>
      </c>
      <c r="C1215" s="2" t="s">
        <v>1938</v>
      </c>
      <c r="D1215" s="1" t="s">
        <v>1939</v>
      </c>
      <c r="E1215" s="1" t="s">
        <v>347</v>
      </c>
      <c r="F1215" s="2" t="s">
        <v>348</v>
      </c>
      <c r="G1215" s="3" t="s">
        <v>1921</v>
      </c>
      <c r="K1215" s="1" t="s">
        <v>2006</v>
      </c>
      <c r="L1215" s="3" t="s">
        <v>1929</v>
      </c>
      <c r="M1215" s="2" t="s">
        <v>2004</v>
      </c>
      <c r="N1215" s="2"/>
      <c r="O1215" s="89">
        <v>3</v>
      </c>
      <c r="P1215" s="89">
        <v>3</v>
      </c>
      <c r="Q1215" s="89">
        <v>3</v>
      </c>
      <c r="R1215" s="89">
        <v>3</v>
      </c>
      <c r="S1215" s="89">
        <v>3</v>
      </c>
      <c r="T1215" s="89">
        <v>3</v>
      </c>
      <c r="U1215" s="89">
        <v>3</v>
      </c>
      <c r="V1215" s="89">
        <v>3</v>
      </c>
      <c r="W1215" s="89">
        <f t="shared" si="1429"/>
        <v>3</v>
      </c>
      <c r="Y1215" s="63">
        <v>-0.1784</v>
      </c>
      <c r="Z1215" s="63">
        <v>-5.9999999999999995E-4</v>
      </c>
      <c r="AA1215" s="63">
        <v>-7.1999999999999998E-3</v>
      </c>
      <c r="AB1215" s="63">
        <v>0</v>
      </c>
      <c r="AC1215" s="63">
        <v>0</v>
      </c>
      <c r="AD1215" s="8">
        <f t="shared" si="1396"/>
        <v>-0.1862</v>
      </c>
      <c r="AE1215" s="2" t="s">
        <v>91</v>
      </c>
      <c r="AG1215" s="61">
        <f t="shared" si="1404"/>
        <v>0</v>
      </c>
      <c r="AH1215" s="61">
        <f t="shared" si="1404"/>
        <v>0</v>
      </c>
      <c r="AI1215" s="61"/>
      <c r="AJ1215" s="61">
        <f t="shared" si="1405"/>
        <v>0</v>
      </c>
      <c r="AK1215" s="61">
        <f t="shared" si="1405"/>
        <v>0</v>
      </c>
      <c r="AM1215" s="22"/>
      <c r="AP1215" s="3" t="s">
        <v>2006</v>
      </c>
      <c r="AQ1215" s="3" t="s">
        <v>1929</v>
      </c>
      <c r="AR1215" s="2" t="s">
        <v>2004</v>
      </c>
      <c r="AT1215" s="89">
        <v>3</v>
      </c>
      <c r="AU1215" s="89">
        <v>3</v>
      </c>
      <c r="AV1215" s="89">
        <v>3</v>
      </c>
      <c r="AW1215" s="89">
        <v>3</v>
      </c>
      <c r="AX1215" s="89">
        <v>3</v>
      </c>
      <c r="AY1215" s="89">
        <v>3</v>
      </c>
      <c r="AZ1215" s="89">
        <v>3</v>
      </c>
      <c r="BA1215" s="89">
        <v>3</v>
      </c>
      <c r="BB1215" s="89">
        <f t="shared" si="1431"/>
        <v>3</v>
      </c>
      <c r="BD1215" s="63">
        <v>-0.1784</v>
      </c>
      <c r="BE1215" s="63">
        <v>-5.9999999999999995E-4</v>
      </c>
      <c r="BF1215" s="63">
        <v>-7.1999999999999998E-3</v>
      </c>
      <c r="BG1215" s="63">
        <v>0</v>
      </c>
      <c r="BH1215" s="63">
        <v>0</v>
      </c>
      <c r="BI1215" s="8">
        <f>SUM(BD1215:BH1215)</f>
        <v>-0.1862</v>
      </c>
      <c r="BJ1215" s="2" t="s">
        <v>91</v>
      </c>
      <c r="BL1215" s="63">
        <v>0</v>
      </c>
      <c r="BM1215" s="63">
        <v>0</v>
      </c>
      <c r="BN1215" s="63"/>
      <c r="BO1215" s="63">
        <v>0</v>
      </c>
      <c r="BP1215" s="63">
        <v>0</v>
      </c>
      <c r="BS1215" s="61">
        <f t="shared" si="1414"/>
        <v>0</v>
      </c>
      <c r="BT1215" s="61">
        <f t="shared" si="1414"/>
        <v>0</v>
      </c>
      <c r="BU1215" s="61">
        <f t="shared" si="1415"/>
        <v>0</v>
      </c>
      <c r="BV1215" s="61">
        <f t="shared" si="1416"/>
        <v>0</v>
      </c>
      <c r="BW1215" s="61">
        <f t="shared" si="1416"/>
        <v>0</v>
      </c>
      <c r="BX1215" s="63">
        <f t="shared" si="1416"/>
        <v>0</v>
      </c>
      <c r="BY1215" s="61" t="s">
        <v>91</v>
      </c>
      <c r="CA1215" s="61" t="s">
        <v>1155</v>
      </c>
      <c r="CB1215" s="61">
        <f t="shared" si="1420"/>
        <v>0</v>
      </c>
      <c r="CC1215" s="61">
        <f t="shared" si="1420"/>
        <v>0</v>
      </c>
      <c r="CD1215" s="61">
        <f t="shared" si="1420"/>
        <v>0</v>
      </c>
      <c r="CE1215" s="61">
        <f t="shared" si="1420"/>
        <v>0</v>
      </c>
      <c r="CF1215" s="61">
        <f t="shared" si="1420"/>
        <v>0</v>
      </c>
      <c r="CG1215" s="61">
        <f t="shared" si="1420"/>
        <v>0</v>
      </c>
      <c r="CH1215" s="61">
        <f t="shared" si="1420"/>
        <v>0</v>
      </c>
      <c r="CI1215" s="61">
        <f t="shared" si="1421"/>
        <v>0</v>
      </c>
      <c r="CK1215" s="61">
        <f t="shared" si="1413"/>
        <v>0</v>
      </c>
      <c r="CL1215" s="61">
        <f t="shared" si="1413"/>
        <v>0</v>
      </c>
      <c r="CM1215" s="61">
        <f t="shared" si="1413"/>
        <v>0</v>
      </c>
      <c r="CN1215" s="61">
        <f t="shared" si="1413"/>
        <v>0</v>
      </c>
      <c r="CO1215" s="61">
        <f t="shared" si="1413"/>
        <v>0</v>
      </c>
      <c r="CP1215" s="61">
        <f t="shared" si="1413"/>
        <v>0</v>
      </c>
      <c r="CQ1215" s="61">
        <f t="shared" si="1413"/>
        <v>0</v>
      </c>
      <c r="CR1215" s="61">
        <f t="shared" si="1413"/>
        <v>0</v>
      </c>
      <c r="CS1215" s="61">
        <f t="shared" si="1422"/>
        <v>0</v>
      </c>
      <c r="CT1215" s="63">
        <f t="shared" si="1425"/>
        <v>0</v>
      </c>
      <c r="CU1215" s="61"/>
      <c r="CV1215" s="61">
        <f t="shared" si="1423"/>
        <v>0</v>
      </c>
      <c r="CW1215" s="61">
        <f t="shared" si="1424"/>
        <v>0</v>
      </c>
      <c r="CY1215" s="61">
        <f t="shared" si="1428"/>
        <v>0</v>
      </c>
      <c r="CZ1215" s="61">
        <f t="shared" si="1426"/>
        <v>0</v>
      </c>
      <c r="DA1215" s="61">
        <f t="shared" si="1427"/>
        <v>0</v>
      </c>
      <c r="DB1215" s="2" t="s">
        <v>102</v>
      </c>
      <c r="DC1215" s="2" t="s">
        <v>102</v>
      </c>
      <c r="DD1215" s="2" t="s">
        <v>142</v>
      </c>
      <c r="DE1215" s="2" t="s">
        <v>257</v>
      </c>
      <c r="DF1215" s="3" t="s">
        <v>86</v>
      </c>
      <c r="DG1215" s="62">
        <v>42970</v>
      </c>
      <c r="EC1215" s="60" t="str">
        <f>VLOOKUP($M1215,[1]Detail!$M:$BO,1,0)</f>
        <v>-W715235-S442</v>
      </c>
      <c r="ED1215" s="60">
        <f>VLOOKUP($M1215,[1]Detail!$M:$BO,22,0)</f>
        <v>-0.89</v>
      </c>
      <c r="EE1215" s="60">
        <f>VLOOKUP($M1215,[1]Detail!$M:$BO,42,0)</f>
        <v>0</v>
      </c>
      <c r="EF1215" s="60">
        <f>VLOOKUP($M1215,[1]Detail!$M:$BO,45,0)</f>
        <v>0</v>
      </c>
      <c r="EH1215" s="60">
        <f t="shared" si="1417"/>
        <v>-0.70379999999999998</v>
      </c>
      <c r="EI1215" s="60">
        <f t="shared" si="1418"/>
        <v>0</v>
      </c>
      <c r="EJ1215" s="60">
        <f t="shared" si="1419"/>
        <v>0</v>
      </c>
    </row>
    <row r="1216" spans="2:140" ht="12.75" hidden="1" customHeight="1">
      <c r="B1216" s="1" t="s">
        <v>2007</v>
      </c>
      <c r="C1216" s="2" t="s">
        <v>2008</v>
      </c>
      <c r="D1216" s="1" t="s">
        <v>2009</v>
      </c>
      <c r="E1216" s="1" t="s">
        <v>347</v>
      </c>
      <c r="F1216" s="2" t="s">
        <v>348</v>
      </c>
      <c r="G1216" s="3" t="s">
        <v>1921</v>
      </c>
      <c r="J1216" s="3" t="s">
        <v>98</v>
      </c>
      <c r="K1216" s="1">
        <v>2420</v>
      </c>
      <c r="L1216" s="3" t="s">
        <v>100</v>
      </c>
      <c r="M1216" s="90" t="str">
        <f t="shared" ref="M1216:M1248" si="1432">TRIM(J1216)&amp;"-"&amp;TRIM(K1216)&amp;"-"&amp;TRIM(L1216)</f>
        <v>JD8C-2420-AA</v>
      </c>
      <c r="O1216" s="89">
        <v>1</v>
      </c>
      <c r="P1216" s="89">
        <v>0</v>
      </c>
      <c r="Q1216" s="89">
        <v>1</v>
      </c>
      <c r="R1216" s="89">
        <v>0</v>
      </c>
      <c r="S1216" s="89">
        <v>0</v>
      </c>
      <c r="T1216" s="89">
        <v>0</v>
      </c>
      <c r="U1216" s="89">
        <v>0</v>
      </c>
      <c r="V1216" s="89">
        <v>0</v>
      </c>
      <c r="W1216" s="89">
        <f t="shared" si="1429"/>
        <v>0.28000000000000003</v>
      </c>
      <c r="Y1216" s="63">
        <v>-33.24</v>
      </c>
      <c r="Z1216" s="63">
        <v>-0.67</v>
      </c>
      <c r="AA1216" s="63">
        <v>-1.44</v>
      </c>
      <c r="AB1216" s="63">
        <v>0</v>
      </c>
      <c r="AC1216" s="63">
        <v>-0.35</v>
      </c>
      <c r="AD1216" s="8">
        <f t="shared" si="1396"/>
        <v>-35.700000000000003</v>
      </c>
      <c r="AE1216" s="2" t="s">
        <v>91</v>
      </c>
      <c r="AG1216" s="61">
        <v>-163200</v>
      </c>
      <c r="AH1216" s="61">
        <f>AG1216</f>
        <v>-163200</v>
      </c>
      <c r="AJ1216" s="61">
        <v>-56105</v>
      </c>
      <c r="AK1216" s="61">
        <v>160972</v>
      </c>
      <c r="AM1216" s="22"/>
      <c r="AO1216" s="3" t="s">
        <v>1820</v>
      </c>
      <c r="AP1216" s="3">
        <v>2420</v>
      </c>
      <c r="AQ1216" s="3" t="s">
        <v>132</v>
      </c>
      <c r="AR1216" s="90" t="str">
        <f t="shared" ref="AR1216:AR1224" si="1433">TRIM(AO1216)&amp;"-"&amp;TRIM(AP1216)&amp;"-"&amp;TRIM(AQ1216)</f>
        <v>ED8C -2420-AB</v>
      </c>
      <c r="AT1216" s="89">
        <v>1</v>
      </c>
      <c r="AU1216" s="89">
        <v>0</v>
      </c>
      <c r="AV1216" s="89">
        <v>1</v>
      </c>
      <c r="AW1216" s="89">
        <v>0</v>
      </c>
      <c r="AX1216" s="89">
        <v>0</v>
      </c>
      <c r="AY1216" s="89">
        <v>0</v>
      </c>
      <c r="AZ1216" s="89">
        <v>0</v>
      </c>
      <c r="BA1216" s="89">
        <v>0</v>
      </c>
      <c r="BB1216" s="89">
        <f t="shared" si="1431"/>
        <v>0.28000000000000003</v>
      </c>
      <c r="BD1216" s="8">
        <f>Y1216-31.17</f>
        <v>-64.41</v>
      </c>
      <c r="BE1216" s="8">
        <f>Z1216</f>
        <v>-0.67</v>
      </c>
      <c r="BF1216" s="8">
        <f>AA1216</f>
        <v>-1.44</v>
      </c>
      <c r="BG1216" s="8">
        <f>AB1216</f>
        <v>0</v>
      </c>
      <c r="BH1216" s="63">
        <v>0</v>
      </c>
      <c r="BI1216" s="8">
        <f>SUM(BD1216:BH1216)</f>
        <v>-66.52</v>
      </c>
      <c r="BJ1216" s="2" t="s">
        <v>91</v>
      </c>
      <c r="BL1216" s="63">
        <v>0</v>
      </c>
      <c r="BM1216" s="63">
        <v>0</v>
      </c>
      <c r="BO1216" s="63">
        <v>0</v>
      </c>
      <c r="BP1216" s="63">
        <v>0</v>
      </c>
      <c r="BS1216" s="61">
        <f t="shared" si="1414"/>
        <v>31.169999999999995</v>
      </c>
      <c r="BT1216" s="61">
        <f t="shared" si="1414"/>
        <v>0</v>
      </c>
      <c r="BU1216" s="61">
        <f t="shared" si="1415"/>
        <v>0</v>
      </c>
      <c r="BV1216" s="61">
        <f t="shared" si="1416"/>
        <v>0</v>
      </c>
      <c r="BW1216" s="61">
        <f t="shared" si="1416"/>
        <v>-0.35</v>
      </c>
      <c r="BX1216" s="63">
        <f t="shared" si="1416"/>
        <v>30.819999999999993</v>
      </c>
      <c r="BY1216" s="61" t="s">
        <v>91</v>
      </c>
      <c r="CA1216" s="61" t="s">
        <v>1155</v>
      </c>
      <c r="CB1216" s="61">
        <f t="shared" si="1420"/>
        <v>0</v>
      </c>
      <c r="CC1216" s="61">
        <f t="shared" si="1420"/>
        <v>4.6893335339250779</v>
      </c>
      <c r="CD1216" s="61">
        <f t="shared" si="1420"/>
        <v>0</v>
      </c>
      <c r="CE1216" s="61">
        <f t="shared" si="1420"/>
        <v>0</v>
      </c>
      <c r="CF1216" s="61">
        <f t="shared" si="1420"/>
        <v>0</v>
      </c>
      <c r="CG1216" s="61">
        <f t="shared" si="1420"/>
        <v>0</v>
      </c>
      <c r="CH1216" s="61">
        <f t="shared" si="1420"/>
        <v>0</v>
      </c>
      <c r="CI1216" s="61">
        <f t="shared" si="1421"/>
        <v>0.65650669474951096</v>
      </c>
      <c r="CK1216" s="61">
        <f t="shared" si="1413"/>
        <v>4.6366782006920406</v>
      </c>
      <c r="CL1216" s="61">
        <f t="shared" si="1413"/>
        <v>0</v>
      </c>
      <c r="CM1216" s="61">
        <f t="shared" si="1413"/>
        <v>4.6366782006920406</v>
      </c>
      <c r="CN1216" s="61">
        <f t="shared" si="1413"/>
        <v>0</v>
      </c>
      <c r="CO1216" s="61">
        <f t="shared" si="1413"/>
        <v>0</v>
      </c>
      <c r="CP1216" s="61">
        <f t="shared" si="1413"/>
        <v>0</v>
      </c>
      <c r="CQ1216" s="61">
        <f t="shared" si="1413"/>
        <v>0</v>
      </c>
      <c r="CR1216" s="61">
        <f t="shared" si="1413"/>
        <v>0</v>
      </c>
      <c r="CS1216" s="61">
        <f t="shared" si="1422"/>
        <v>1.2982698961937715</v>
      </c>
      <c r="CT1216" s="63">
        <f t="shared" si="1425"/>
        <v>8.6295999999999999</v>
      </c>
      <c r="CU1216" s="61"/>
      <c r="CV1216" s="61">
        <f t="shared" si="1423"/>
        <v>-163200</v>
      </c>
      <c r="CW1216" s="61">
        <f t="shared" si="1424"/>
        <v>-163200</v>
      </c>
      <c r="CY1216" s="61">
        <f t="shared" si="1428"/>
        <v>-56105</v>
      </c>
      <c r="CZ1216" s="61">
        <f t="shared" si="1426"/>
        <v>160972</v>
      </c>
      <c r="DA1216" s="61">
        <f t="shared" si="1427"/>
        <v>0</v>
      </c>
      <c r="DB1216" s="2" t="s">
        <v>102</v>
      </c>
      <c r="DC1216" s="2" t="s">
        <v>102</v>
      </c>
      <c r="DD1216" s="2" t="s">
        <v>142</v>
      </c>
      <c r="DE1216" s="2" t="s">
        <v>257</v>
      </c>
      <c r="DF1216" s="3" t="s">
        <v>86</v>
      </c>
      <c r="DG1216" s="62">
        <v>43035</v>
      </c>
      <c r="EC1216" s="60" t="str">
        <f>VLOOKUP($M1216,[1]Detail!$M:$BO,1,0)</f>
        <v>JD8C-2420-AA</v>
      </c>
      <c r="ED1216" s="60">
        <f>VLOOKUP($M1216,[1]Detail!$M:$BO,22,0)</f>
        <v>-35.700000000000003</v>
      </c>
      <c r="EE1216" s="60">
        <f>VLOOKUP($M1216,[1]Detail!$M:$BO,42,0)</f>
        <v>-163200</v>
      </c>
      <c r="EF1216" s="60">
        <f>VLOOKUP($M1216,[1]Detail!$M:$BO,45,0)</f>
        <v>-56105</v>
      </c>
      <c r="EH1216" s="60">
        <f t="shared" si="1417"/>
        <v>0</v>
      </c>
      <c r="EI1216" s="60">
        <f t="shared" si="1418"/>
        <v>0</v>
      </c>
      <c r="EJ1216" s="60">
        <f t="shared" si="1419"/>
        <v>0</v>
      </c>
    </row>
    <row r="1217" spans="1:140" ht="12.75" hidden="1" customHeight="1">
      <c r="B1217" s="1" t="s">
        <v>2010</v>
      </c>
      <c r="C1217" s="2" t="s">
        <v>2008</v>
      </c>
      <c r="D1217" s="1" t="s">
        <v>2009</v>
      </c>
      <c r="E1217" s="1" t="s">
        <v>347</v>
      </c>
      <c r="F1217" s="2" t="s">
        <v>348</v>
      </c>
      <c r="G1217" s="3" t="s">
        <v>1921</v>
      </c>
      <c r="J1217" s="3" t="s">
        <v>98</v>
      </c>
      <c r="K1217" s="1">
        <v>2420</v>
      </c>
      <c r="L1217" s="3" t="s">
        <v>111</v>
      </c>
      <c r="M1217" s="90" t="str">
        <f t="shared" si="1432"/>
        <v>JD8C-2420-BA</v>
      </c>
      <c r="N1217" s="2"/>
      <c r="O1217" s="89">
        <v>0</v>
      </c>
      <c r="P1217" s="89">
        <v>1</v>
      </c>
      <c r="Q1217" s="89">
        <v>0</v>
      </c>
      <c r="R1217" s="89">
        <v>1</v>
      </c>
      <c r="S1217" s="89">
        <v>0</v>
      </c>
      <c r="T1217" s="89">
        <v>0</v>
      </c>
      <c r="U1217" s="89">
        <v>1</v>
      </c>
      <c r="V1217" s="89">
        <v>0</v>
      </c>
      <c r="W1217" s="89">
        <f t="shared" si="1429"/>
        <v>0.44</v>
      </c>
      <c r="Y1217" s="63">
        <v>-182.49</v>
      </c>
      <c r="Z1217" s="63">
        <v>-0.98</v>
      </c>
      <c r="AA1217" s="63">
        <v>-2.0099999999999998</v>
      </c>
      <c r="AB1217" s="63">
        <v>-0.19</v>
      </c>
      <c r="AC1217" s="63">
        <v>-0.55000000000000004</v>
      </c>
      <c r="AD1217" s="8">
        <f t="shared" si="1396"/>
        <v>-186.22</v>
      </c>
      <c r="AE1217" s="2" t="s">
        <v>91</v>
      </c>
      <c r="AG1217" s="61">
        <v>-426000</v>
      </c>
      <c r="AH1217" s="61">
        <f>AG1217</f>
        <v>-426000</v>
      </c>
      <c r="AJ1217" s="61">
        <v>-56105</v>
      </c>
      <c r="AK1217" s="61">
        <v>160972</v>
      </c>
      <c r="AM1217" s="22"/>
      <c r="AO1217" s="3" t="s">
        <v>1820</v>
      </c>
      <c r="AP1217" s="3">
        <v>2420</v>
      </c>
      <c r="AQ1217" s="3" t="s">
        <v>122</v>
      </c>
      <c r="AR1217" s="90" t="str">
        <f t="shared" si="1433"/>
        <v>ED8C -2420-CB</v>
      </c>
      <c r="AT1217" s="89">
        <v>0</v>
      </c>
      <c r="AU1217" s="89">
        <v>1</v>
      </c>
      <c r="AV1217" s="89">
        <v>0</v>
      </c>
      <c r="AW1217" s="89">
        <v>1</v>
      </c>
      <c r="AX1217" s="89">
        <v>0</v>
      </c>
      <c r="AY1217" s="89">
        <v>0</v>
      </c>
      <c r="AZ1217" s="89">
        <v>1</v>
      </c>
      <c r="BA1217" s="89">
        <v>0</v>
      </c>
      <c r="BB1217" s="89">
        <f t="shared" si="1431"/>
        <v>0.44</v>
      </c>
      <c r="BD1217" s="8">
        <f>Y1217+147</f>
        <v>-35.490000000000009</v>
      </c>
      <c r="BE1217" s="8">
        <f>Z1217</f>
        <v>-0.98</v>
      </c>
      <c r="BF1217" s="8">
        <f>AA1217</f>
        <v>-2.0099999999999998</v>
      </c>
      <c r="BG1217" s="63">
        <v>-0.19</v>
      </c>
      <c r="BI1217" s="8">
        <f>SUM(BD1217:BH1217)</f>
        <v>-38.67</v>
      </c>
      <c r="BJ1217" s="2" t="s">
        <v>91</v>
      </c>
      <c r="BL1217" s="63">
        <v>0</v>
      </c>
      <c r="BM1217" s="63">
        <v>0</v>
      </c>
      <c r="BO1217" s="63">
        <v>0</v>
      </c>
      <c r="BP1217" s="63">
        <v>0</v>
      </c>
      <c r="BS1217" s="61">
        <f t="shared" si="1414"/>
        <v>-147</v>
      </c>
      <c r="BT1217" s="61">
        <f t="shared" si="1414"/>
        <v>0</v>
      </c>
      <c r="BU1217" s="61">
        <f t="shared" si="1415"/>
        <v>0</v>
      </c>
      <c r="BV1217" s="61">
        <f t="shared" si="1416"/>
        <v>0</v>
      </c>
      <c r="BW1217" s="61">
        <f t="shared" si="1416"/>
        <v>-0.55000000000000004</v>
      </c>
      <c r="BX1217" s="63">
        <f t="shared" si="1416"/>
        <v>-147.55000000000001</v>
      </c>
      <c r="BY1217" s="61" t="s">
        <v>91</v>
      </c>
      <c r="CA1217" s="61" t="s">
        <v>1155</v>
      </c>
      <c r="CB1217" s="61">
        <f t="shared" si="1420"/>
        <v>-22.115239957875733</v>
      </c>
      <c r="CC1217" s="61">
        <f t="shared" si="1420"/>
        <v>0</v>
      </c>
      <c r="CD1217" s="61">
        <f t="shared" si="1420"/>
        <v>-22.115239957875733</v>
      </c>
      <c r="CE1217" s="61">
        <f t="shared" si="1420"/>
        <v>0</v>
      </c>
      <c r="CF1217" s="61">
        <f t="shared" si="1420"/>
        <v>0</v>
      </c>
      <c r="CG1217" s="61">
        <f t="shared" si="1420"/>
        <v>-22.115239957875733</v>
      </c>
      <c r="CH1217" s="61">
        <f t="shared" si="1420"/>
        <v>0</v>
      </c>
      <c r="CI1217" s="61">
        <f t="shared" si="1421"/>
        <v>-9.7307055814653225</v>
      </c>
      <c r="CK1217" s="61">
        <f t="shared" si="1413"/>
        <v>0</v>
      </c>
      <c r="CL1217" s="61">
        <f t="shared" si="1413"/>
        <v>-22.197984052956222</v>
      </c>
      <c r="CM1217" s="61">
        <f t="shared" si="1413"/>
        <v>0</v>
      </c>
      <c r="CN1217" s="61">
        <f t="shared" si="1413"/>
        <v>-22.197984052956222</v>
      </c>
      <c r="CO1217" s="61">
        <f t="shared" si="1413"/>
        <v>0</v>
      </c>
      <c r="CP1217" s="61">
        <f t="shared" si="1413"/>
        <v>0</v>
      </c>
      <c r="CQ1217" s="61">
        <f t="shared" si="1413"/>
        <v>-22.197984052956222</v>
      </c>
      <c r="CR1217" s="61">
        <f t="shared" si="1413"/>
        <v>0</v>
      </c>
      <c r="CS1217" s="61">
        <f t="shared" si="1422"/>
        <v>-9.7671129833007395</v>
      </c>
      <c r="CT1217" s="63">
        <f t="shared" si="1425"/>
        <v>-64.922000000000011</v>
      </c>
      <c r="CU1217" s="61"/>
      <c r="CV1217" s="61">
        <f t="shared" si="1423"/>
        <v>-426000</v>
      </c>
      <c r="CW1217" s="61">
        <f t="shared" si="1424"/>
        <v>-426000</v>
      </c>
      <c r="CY1217" s="61">
        <f t="shared" si="1428"/>
        <v>-56105</v>
      </c>
      <c r="CZ1217" s="61">
        <f t="shared" si="1426"/>
        <v>160972</v>
      </c>
      <c r="DA1217" s="61">
        <f t="shared" si="1427"/>
        <v>0</v>
      </c>
      <c r="DB1217" s="2" t="s">
        <v>102</v>
      </c>
      <c r="DC1217" s="2" t="s">
        <v>102</v>
      </c>
      <c r="DD1217" s="2" t="s">
        <v>142</v>
      </c>
      <c r="DE1217" s="2" t="s">
        <v>257</v>
      </c>
      <c r="DF1217" s="3" t="s">
        <v>86</v>
      </c>
      <c r="DG1217" s="62">
        <v>43035</v>
      </c>
      <c r="EC1217" s="60" t="str">
        <f>VLOOKUP($M1217,[1]Detail!$M:$BO,1,0)</f>
        <v>JD8C-2420-BA</v>
      </c>
      <c r="ED1217" s="60">
        <f>VLOOKUP($M1217,[1]Detail!$M:$BO,22,0)</f>
        <v>-186.22</v>
      </c>
      <c r="EE1217" s="60">
        <f>VLOOKUP($M1217,[1]Detail!$M:$BO,42,0)</f>
        <v>-426000</v>
      </c>
      <c r="EF1217" s="60">
        <f>VLOOKUP($M1217,[1]Detail!$M:$BO,45,0)</f>
        <v>-56105</v>
      </c>
      <c r="EH1217" s="60">
        <f t="shared" si="1417"/>
        <v>0</v>
      </c>
      <c r="EI1217" s="60">
        <f t="shared" si="1418"/>
        <v>0</v>
      </c>
      <c r="EJ1217" s="60">
        <f t="shared" si="1419"/>
        <v>0</v>
      </c>
    </row>
    <row r="1218" spans="1:140" ht="12.75" hidden="1" customHeight="1">
      <c r="B1218" s="1" t="s">
        <v>2010</v>
      </c>
      <c r="C1218" s="2" t="s">
        <v>2008</v>
      </c>
      <c r="D1218" s="1" t="s">
        <v>2009</v>
      </c>
      <c r="E1218" s="1" t="s">
        <v>347</v>
      </c>
      <c r="F1218" s="2" t="s">
        <v>348</v>
      </c>
      <c r="G1218" s="3" t="s">
        <v>1921</v>
      </c>
      <c r="J1218" s="3" t="s">
        <v>98</v>
      </c>
      <c r="K1218" s="1">
        <v>2420</v>
      </c>
      <c r="L1218" s="3" t="s">
        <v>113</v>
      </c>
      <c r="M1218" s="90" t="str">
        <f t="shared" si="1432"/>
        <v>JD8C-2420-CA</v>
      </c>
      <c r="O1218" s="89">
        <v>0</v>
      </c>
      <c r="P1218" s="89">
        <v>0</v>
      </c>
      <c r="Q1218" s="89">
        <v>0</v>
      </c>
      <c r="R1218" s="89">
        <v>0</v>
      </c>
      <c r="S1218" s="89">
        <v>1</v>
      </c>
      <c r="T1218" s="89">
        <v>1</v>
      </c>
      <c r="U1218" s="89">
        <v>0</v>
      </c>
      <c r="V1218" s="89">
        <v>1</v>
      </c>
      <c r="W1218" s="89">
        <f t="shared" si="1429"/>
        <v>0.28000000000000003</v>
      </c>
      <c r="Y1218" s="63">
        <v>-23.81</v>
      </c>
      <c r="Z1218" s="63">
        <v>-0.67</v>
      </c>
      <c r="AA1218" s="63">
        <v>-1.44</v>
      </c>
      <c r="AB1218" s="63">
        <v>0</v>
      </c>
      <c r="AC1218" s="63">
        <v>-0.35</v>
      </c>
      <c r="AD1218" s="8">
        <f t="shared" si="1396"/>
        <v>-26.270000000000003</v>
      </c>
      <c r="AE1218" s="2" t="s">
        <v>91</v>
      </c>
      <c r="AG1218" s="61">
        <v>-163200</v>
      </c>
      <c r="AH1218" s="61">
        <f>AG1218</f>
        <v>-163200</v>
      </c>
      <c r="AJ1218" s="61">
        <v>-186099.87</v>
      </c>
      <c r="AK1218" s="61">
        <v>252956</v>
      </c>
      <c r="AM1218" s="22"/>
      <c r="AO1218" s="3" t="s">
        <v>98</v>
      </c>
      <c r="AP1218" s="3">
        <v>2420</v>
      </c>
      <c r="AQ1218" s="3" t="s">
        <v>113</v>
      </c>
      <c r="AR1218" s="90" t="str">
        <f t="shared" si="1433"/>
        <v>JD8C-2420-CA</v>
      </c>
      <c r="AT1218" s="89">
        <v>0</v>
      </c>
      <c r="AU1218" s="89">
        <v>0</v>
      </c>
      <c r="AV1218" s="89">
        <v>0</v>
      </c>
      <c r="AW1218" s="89">
        <v>0</v>
      </c>
      <c r="AX1218" s="89">
        <v>1</v>
      </c>
      <c r="AY1218" s="89">
        <v>1</v>
      </c>
      <c r="AZ1218" s="89">
        <v>0</v>
      </c>
      <c r="BA1218" s="89">
        <v>1</v>
      </c>
      <c r="BB1218" s="89">
        <f t="shared" si="1431"/>
        <v>0.28000000000000003</v>
      </c>
      <c r="BD1218" s="63">
        <v>-23.81</v>
      </c>
      <c r="BE1218" s="63">
        <v>-0.67</v>
      </c>
      <c r="BF1218" s="63">
        <v>-1.44</v>
      </c>
      <c r="BG1218" s="63">
        <v>0</v>
      </c>
      <c r="BH1218" s="63">
        <v>-0.35</v>
      </c>
      <c r="BI1218" s="8">
        <f t="shared" ref="BI1218:BI1225" si="1434">SUM(BD1218:BH1218)</f>
        <v>-26.270000000000003</v>
      </c>
      <c r="BJ1218" s="2" t="s">
        <v>91</v>
      </c>
      <c r="BL1218" s="63">
        <v>0</v>
      </c>
      <c r="BM1218" s="63">
        <v>0</v>
      </c>
      <c r="BO1218" s="63">
        <v>0</v>
      </c>
      <c r="BP1218" s="63">
        <v>0</v>
      </c>
      <c r="BS1218" s="61">
        <f t="shared" si="1414"/>
        <v>0</v>
      </c>
      <c r="BT1218" s="61">
        <f t="shared" si="1414"/>
        <v>0</v>
      </c>
      <c r="BU1218" s="61">
        <f t="shared" si="1415"/>
        <v>0</v>
      </c>
      <c r="BV1218" s="61">
        <f t="shared" si="1416"/>
        <v>0</v>
      </c>
      <c r="BW1218" s="61">
        <f t="shared" si="1416"/>
        <v>0</v>
      </c>
      <c r="BX1218" s="63">
        <f t="shared" si="1416"/>
        <v>0</v>
      </c>
      <c r="BY1218" s="61" t="s">
        <v>91</v>
      </c>
      <c r="CA1218" s="61" t="s">
        <v>1155</v>
      </c>
      <c r="CB1218" s="61">
        <f t="shared" si="1420"/>
        <v>0</v>
      </c>
      <c r="CC1218" s="61">
        <f t="shared" si="1420"/>
        <v>0</v>
      </c>
      <c r="CD1218" s="61">
        <f t="shared" si="1420"/>
        <v>0</v>
      </c>
      <c r="CE1218" s="61">
        <f t="shared" si="1420"/>
        <v>0</v>
      </c>
      <c r="CF1218" s="61">
        <f t="shared" si="1420"/>
        <v>0</v>
      </c>
      <c r="CG1218" s="61">
        <f t="shared" si="1420"/>
        <v>0</v>
      </c>
      <c r="CH1218" s="61">
        <f t="shared" si="1420"/>
        <v>0</v>
      </c>
      <c r="CI1218" s="61">
        <f t="shared" si="1421"/>
        <v>0</v>
      </c>
      <c r="CK1218" s="61">
        <f t="shared" si="1413"/>
        <v>0</v>
      </c>
      <c r="CL1218" s="61">
        <f t="shared" si="1413"/>
        <v>0</v>
      </c>
      <c r="CM1218" s="61">
        <f t="shared" si="1413"/>
        <v>0</v>
      </c>
      <c r="CN1218" s="61">
        <f t="shared" si="1413"/>
        <v>0</v>
      </c>
      <c r="CO1218" s="61">
        <f t="shared" si="1413"/>
        <v>0</v>
      </c>
      <c r="CP1218" s="61">
        <f t="shared" si="1413"/>
        <v>0</v>
      </c>
      <c r="CQ1218" s="61">
        <f t="shared" si="1413"/>
        <v>0</v>
      </c>
      <c r="CR1218" s="61">
        <f t="shared" si="1413"/>
        <v>0</v>
      </c>
      <c r="CS1218" s="61">
        <f t="shared" si="1422"/>
        <v>0</v>
      </c>
      <c r="CT1218" s="63">
        <f t="shared" si="1425"/>
        <v>0</v>
      </c>
      <c r="CU1218" s="61"/>
      <c r="CV1218" s="61">
        <f t="shared" si="1423"/>
        <v>-163200</v>
      </c>
      <c r="CW1218" s="61">
        <f t="shared" si="1424"/>
        <v>-163200</v>
      </c>
      <c r="CY1218" s="61">
        <f t="shared" si="1428"/>
        <v>-186099.87</v>
      </c>
      <c r="CZ1218" s="61">
        <f t="shared" si="1426"/>
        <v>252956</v>
      </c>
      <c r="DA1218" s="61">
        <f t="shared" si="1427"/>
        <v>0</v>
      </c>
      <c r="DB1218" s="2" t="s">
        <v>85</v>
      </c>
      <c r="DC1218" s="2" t="s">
        <v>102</v>
      </c>
      <c r="DD1218" s="2" t="s">
        <v>142</v>
      </c>
      <c r="DE1218" s="2" t="s">
        <v>257</v>
      </c>
      <c r="DF1218" s="3" t="s">
        <v>86</v>
      </c>
      <c r="DG1218" s="62">
        <v>43035</v>
      </c>
      <c r="EC1218" s="60"/>
      <c r="ED1218" s="60"/>
      <c r="EE1218" s="60"/>
      <c r="EF1218" s="60"/>
    </row>
    <row r="1219" spans="1:140" ht="12.75" hidden="1" customHeight="1">
      <c r="B1219" s="1" t="s">
        <v>2011</v>
      </c>
      <c r="C1219" s="2" t="s">
        <v>2008</v>
      </c>
      <c r="D1219" s="1" t="s">
        <v>2009</v>
      </c>
      <c r="E1219" s="1" t="s">
        <v>347</v>
      </c>
      <c r="F1219" s="2" t="s">
        <v>348</v>
      </c>
      <c r="G1219" s="3" t="s">
        <v>1921</v>
      </c>
      <c r="J1219" s="3" t="s">
        <v>98</v>
      </c>
      <c r="K1219" s="1">
        <v>2420</v>
      </c>
      <c r="L1219" s="3" t="s">
        <v>122</v>
      </c>
      <c r="M1219" s="90" t="str">
        <f t="shared" si="1432"/>
        <v>JD8C-2420-CB</v>
      </c>
      <c r="O1219" s="89">
        <v>0</v>
      </c>
      <c r="P1219" s="89">
        <v>0</v>
      </c>
      <c r="Q1219" s="89">
        <v>0</v>
      </c>
      <c r="R1219" s="89">
        <v>0</v>
      </c>
      <c r="S1219" s="89">
        <v>1</v>
      </c>
      <c r="T1219" s="89">
        <v>1</v>
      </c>
      <c r="U1219" s="89">
        <v>0</v>
      </c>
      <c r="V1219" s="89">
        <v>1</v>
      </c>
      <c r="W1219" s="89">
        <f t="shared" si="1429"/>
        <v>0.28000000000000003</v>
      </c>
      <c r="Y1219" s="63">
        <v>-23.81</v>
      </c>
      <c r="Z1219" s="63">
        <v>-0.67</v>
      </c>
      <c r="AA1219" s="63">
        <v>-1.44</v>
      </c>
      <c r="AB1219" s="63">
        <v>0</v>
      </c>
      <c r="AC1219" s="63">
        <v>-0.35</v>
      </c>
      <c r="AD1219" s="8">
        <f t="shared" ref="AD1219" si="1435">SUM(Y1219:AC1219)</f>
        <v>-26.270000000000003</v>
      </c>
      <c r="AE1219" s="2" t="s">
        <v>91</v>
      </c>
      <c r="AG1219" s="61">
        <v>-163200</v>
      </c>
      <c r="AH1219" s="61">
        <f>AG1219</f>
        <v>-163200</v>
      </c>
      <c r="AJ1219" s="61">
        <v>-186099.87</v>
      </c>
      <c r="AK1219" s="61">
        <v>252956</v>
      </c>
      <c r="AM1219" s="22"/>
      <c r="AO1219" s="3" t="s">
        <v>98</v>
      </c>
      <c r="AP1219" s="3">
        <v>2420</v>
      </c>
      <c r="AQ1219" s="3" t="s">
        <v>113</v>
      </c>
      <c r="AR1219" s="90" t="str">
        <f t="shared" si="1433"/>
        <v>JD8C-2420-CA</v>
      </c>
      <c r="AT1219" s="89">
        <v>0</v>
      </c>
      <c r="AU1219" s="89">
        <v>0</v>
      </c>
      <c r="AV1219" s="89">
        <v>0</v>
      </c>
      <c r="AW1219" s="89">
        <v>0</v>
      </c>
      <c r="AX1219" s="89">
        <v>1</v>
      </c>
      <c r="AY1219" s="89">
        <v>1</v>
      </c>
      <c r="AZ1219" s="89">
        <v>0</v>
      </c>
      <c r="BA1219" s="89">
        <v>1</v>
      </c>
      <c r="BB1219" s="89">
        <f t="shared" si="1431"/>
        <v>0.28000000000000003</v>
      </c>
      <c r="BD1219" s="63">
        <v>-23.81</v>
      </c>
      <c r="BE1219" s="63">
        <v>-0.67</v>
      </c>
      <c r="BF1219" s="63">
        <v>-1.44</v>
      </c>
      <c r="BG1219" s="63">
        <v>0</v>
      </c>
      <c r="BH1219" s="63">
        <v>-0.35</v>
      </c>
      <c r="BI1219" s="8">
        <f t="shared" si="1434"/>
        <v>-26.270000000000003</v>
      </c>
      <c r="BJ1219" s="2" t="s">
        <v>91</v>
      </c>
      <c r="BL1219" s="63">
        <v>0</v>
      </c>
      <c r="BM1219" s="63">
        <v>0</v>
      </c>
      <c r="BO1219" s="63">
        <v>0</v>
      </c>
      <c r="BP1219" s="63">
        <v>0</v>
      </c>
      <c r="BS1219" s="61">
        <f t="shared" si="1414"/>
        <v>0</v>
      </c>
      <c r="BT1219" s="61">
        <f t="shared" si="1414"/>
        <v>0</v>
      </c>
      <c r="BU1219" s="61">
        <f t="shared" si="1415"/>
        <v>0</v>
      </c>
      <c r="BV1219" s="61">
        <f t="shared" si="1416"/>
        <v>0</v>
      </c>
      <c r="BW1219" s="61">
        <f t="shared" si="1416"/>
        <v>0</v>
      </c>
      <c r="BX1219" s="63">
        <f t="shared" si="1416"/>
        <v>0</v>
      </c>
      <c r="BY1219" s="61" t="s">
        <v>91</v>
      </c>
      <c r="CA1219" s="61" t="s">
        <v>1155</v>
      </c>
      <c r="CB1219" s="61">
        <f t="shared" si="1420"/>
        <v>0</v>
      </c>
      <c r="CC1219" s="61">
        <f t="shared" si="1420"/>
        <v>0</v>
      </c>
      <c r="CD1219" s="61">
        <f t="shared" si="1420"/>
        <v>0</v>
      </c>
      <c r="CE1219" s="61">
        <f t="shared" si="1420"/>
        <v>0</v>
      </c>
      <c r="CF1219" s="61">
        <f t="shared" si="1420"/>
        <v>0</v>
      </c>
      <c r="CG1219" s="61">
        <f t="shared" si="1420"/>
        <v>0</v>
      </c>
      <c r="CH1219" s="61">
        <f t="shared" si="1420"/>
        <v>0</v>
      </c>
      <c r="CI1219" s="61">
        <f t="shared" si="1421"/>
        <v>0</v>
      </c>
      <c r="CK1219" s="61">
        <f t="shared" si="1413"/>
        <v>0</v>
      </c>
      <c r="CL1219" s="61">
        <f t="shared" si="1413"/>
        <v>0</v>
      </c>
      <c r="CM1219" s="61">
        <f t="shared" si="1413"/>
        <v>0</v>
      </c>
      <c r="CN1219" s="61">
        <f t="shared" si="1413"/>
        <v>0</v>
      </c>
      <c r="CO1219" s="61">
        <f t="shared" si="1413"/>
        <v>0</v>
      </c>
      <c r="CP1219" s="61">
        <f t="shared" si="1413"/>
        <v>0</v>
      </c>
      <c r="CQ1219" s="61">
        <f t="shared" si="1413"/>
        <v>0</v>
      </c>
      <c r="CR1219" s="61">
        <f t="shared" si="1413"/>
        <v>0</v>
      </c>
      <c r="CS1219" s="61">
        <f t="shared" si="1422"/>
        <v>0</v>
      </c>
      <c r="CT1219" s="63">
        <f t="shared" si="1425"/>
        <v>0</v>
      </c>
      <c r="CU1219" s="61"/>
      <c r="CV1219" s="61">
        <f t="shared" ref="CV1219" si="1436">SUM(AG1219)-SUM(BL1219)</f>
        <v>-163200</v>
      </c>
      <c r="CW1219" s="61">
        <f t="shared" ref="CW1219" si="1437">SUM(AH1219)-SUM(BM1219)</f>
        <v>-163200</v>
      </c>
      <c r="CY1219" s="61">
        <f t="shared" ref="CY1219:DA1219" si="1438">SUM(AJ1219)-SUM(BO1219)</f>
        <v>-186099.87</v>
      </c>
      <c r="CZ1219" s="61">
        <f t="shared" si="1438"/>
        <v>252956</v>
      </c>
      <c r="DA1219" s="61">
        <f t="shared" si="1438"/>
        <v>0</v>
      </c>
      <c r="DB1219" s="2" t="s">
        <v>102</v>
      </c>
      <c r="DC1219" s="2" t="s">
        <v>85</v>
      </c>
      <c r="DD1219" s="2" t="s">
        <v>142</v>
      </c>
      <c r="DE1219" s="2" t="s">
        <v>106</v>
      </c>
      <c r="DF1219" s="3" t="s">
        <v>102</v>
      </c>
      <c r="DG1219" s="62">
        <v>43055</v>
      </c>
      <c r="EC1219" s="60" t="str">
        <f>VLOOKUP($M1219,[1]Detail!$M:$BO,1,0)</f>
        <v>JD8C-2420-CB</v>
      </c>
      <c r="ED1219" s="60">
        <f>VLOOKUP($M1219,[1]Detail!$M:$BO,22,0)</f>
        <v>-26.270000000000003</v>
      </c>
      <c r="EE1219" s="60">
        <f>VLOOKUP($M1219,[1]Detail!$M:$BO,42,0)</f>
        <v>-163200</v>
      </c>
      <c r="EF1219" s="60">
        <f>VLOOKUP($M1219,[1]Detail!$M:$BO,45,0)</f>
        <v>-186099.87</v>
      </c>
      <c r="EH1219" s="60">
        <f t="shared" ref="EH1219:EH1228" si="1439">ED1219-AD1219</f>
        <v>0</v>
      </c>
      <c r="EI1219" s="60">
        <f t="shared" ref="EI1219:EI1228" si="1440">EE1219-AG1219</f>
        <v>0</v>
      </c>
      <c r="EJ1219" s="60">
        <f t="shared" ref="EJ1219:EJ1228" si="1441">EF1219-AJ1219</f>
        <v>0</v>
      </c>
    </row>
    <row r="1220" spans="1:140" ht="12.75" hidden="1" customHeight="1">
      <c r="B1220" s="1" t="s">
        <v>2012</v>
      </c>
      <c r="C1220" s="2" t="s">
        <v>2013</v>
      </c>
      <c r="D1220" s="1" t="s">
        <v>2014</v>
      </c>
      <c r="E1220" s="1" t="s">
        <v>347</v>
      </c>
      <c r="F1220" s="2" t="s">
        <v>348</v>
      </c>
      <c r="G1220" s="3" t="s">
        <v>983</v>
      </c>
      <c r="J1220" s="3" t="s">
        <v>2015</v>
      </c>
      <c r="K1220" s="1" t="s">
        <v>2016</v>
      </c>
      <c r="L1220" s="3" t="s">
        <v>113</v>
      </c>
      <c r="M1220" s="90" t="str">
        <f t="shared" si="1432"/>
        <v>6M21-1003 -CA</v>
      </c>
      <c r="N1220" s="2"/>
      <c r="O1220" s="89">
        <v>4</v>
      </c>
      <c r="P1220" s="89">
        <v>4</v>
      </c>
      <c r="Q1220" s="89">
        <v>4</v>
      </c>
      <c r="R1220" s="89">
        <v>4</v>
      </c>
      <c r="S1220" s="89">
        <v>4</v>
      </c>
      <c r="T1220" s="89">
        <v>4</v>
      </c>
      <c r="U1220" s="89">
        <v>4</v>
      </c>
      <c r="V1220" s="89">
        <v>4</v>
      </c>
      <c r="W1220" s="89">
        <f t="shared" si="1429"/>
        <v>4</v>
      </c>
      <c r="Y1220" s="63">
        <v>-3.75</v>
      </c>
      <c r="Z1220" s="63">
        <v>-0.05</v>
      </c>
      <c r="AA1220" s="63">
        <v>-0.05</v>
      </c>
      <c r="AB1220" s="63">
        <v>0</v>
      </c>
      <c r="AC1220" s="63">
        <v>0</v>
      </c>
      <c r="AD1220" s="8">
        <f t="shared" si="1396"/>
        <v>-3.8499999999999996</v>
      </c>
      <c r="AE1220" s="2" t="s">
        <v>91</v>
      </c>
      <c r="AG1220" s="61">
        <v>0</v>
      </c>
      <c r="AH1220" s="61">
        <v>0</v>
      </c>
      <c r="AJ1220" s="61">
        <v>0</v>
      </c>
      <c r="AK1220" s="61">
        <v>0</v>
      </c>
      <c r="AM1220" s="22"/>
      <c r="AO1220" s="3" t="s">
        <v>2015</v>
      </c>
      <c r="AP1220" s="3" t="s">
        <v>2016</v>
      </c>
      <c r="AQ1220" s="3" t="s">
        <v>113</v>
      </c>
      <c r="AR1220" s="90" t="str">
        <f t="shared" si="1433"/>
        <v>6M21-1003 -CA</v>
      </c>
      <c r="AT1220" s="89">
        <v>4</v>
      </c>
      <c r="AU1220" s="89">
        <v>4</v>
      </c>
      <c r="AV1220" s="89">
        <v>4</v>
      </c>
      <c r="AW1220" s="89">
        <v>4</v>
      </c>
      <c r="AX1220" s="89">
        <v>4</v>
      </c>
      <c r="AY1220" s="89">
        <v>4</v>
      </c>
      <c r="AZ1220" s="89">
        <v>4</v>
      </c>
      <c r="BA1220" s="89">
        <v>4</v>
      </c>
      <c r="BB1220" s="89">
        <f t="shared" si="1431"/>
        <v>4</v>
      </c>
      <c r="BD1220" s="63">
        <v>-4.21</v>
      </c>
      <c r="BE1220" s="63">
        <v>-0.05</v>
      </c>
      <c r="BF1220" s="63">
        <v>-0.04</v>
      </c>
      <c r="BG1220" s="63">
        <v>0</v>
      </c>
      <c r="BH1220" s="63">
        <v>0</v>
      </c>
      <c r="BI1220" s="8">
        <f t="shared" si="1434"/>
        <v>-4.3</v>
      </c>
      <c r="BJ1220" s="2" t="s">
        <v>91</v>
      </c>
      <c r="BL1220" s="63">
        <v>0</v>
      </c>
      <c r="BM1220" s="63">
        <v>0</v>
      </c>
      <c r="BO1220" s="63">
        <v>0</v>
      </c>
      <c r="BP1220" s="63">
        <v>0</v>
      </c>
      <c r="BS1220" s="61">
        <f t="shared" si="1414"/>
        <v>0.45999999999999996</v>
      </c>
      <c r="BT1220" s="61">
        <f t="shared" si="1414"/>
        <v>0</v>
      </c>
      <c r="BU1220" s="61">
        <f t="shared" si="1415"/>
        <v>-1.0000000000000002E-2</v>
      </c>
      <c r="BV1220" s="61">
        <f t="shared" si="1416"/>
        <v>0</v>
      </c>
      <c r="BW1220" s="61">
        <f t="shared" si="1416"/>
        <v>0</v>
      </c>
      <c r="BX1220" s="63">
        <f t="shared" si="1416"/>
        <v>0.45000000000000018</v>
      </c>
      <c r="BY1220" s="61" t="s">
        <v>91</v>
      </c>
      <c r="CA1220" s="61" t="s">
        <v>1155</v>
      </c>
      <c r="CB1220" s="61">
        <f t="shared" si="1420"/>
        <v>0.27681660899653976</v>
      </c>
      <c r="CC1220" s="61">
        <f t="shared" si="1420"/>
        <v>0.27681660899653976</v>
      </c>
      <c r="CD1220" s="61">
        <f t="shared" si="1420"/>
        <v>0.27681660899653976</v>
      </c>
      <c r="CE1220" s="61">
        <f t="shared" si="1420"/>
        <v>0.27681660899653976</v>
      </c>
      <c r="CF1220" s="61">
        <f t="shared" si="1420"/>
        <v>0.27681660899653976</v>
      </c>
      <c r="CG1220" s="61">
        <f t="shared" si="1420"/>
        <v>0.27681660899653976</v>
      </c>
      <c r="CH1220" s="61">
        <f t="shared" si="1420"/>
        <v>0.27681660899653976</v>
      </c>
      <c r="CI1220" s="61">
        <f t="shared" si="1421"/>
        <v>0.23806228373702415</v>
      </c>
      <c r="CK1220" s="61">
        <f t="shared" si="1413"/>
        <v>0.27079885662704989</v>
      </c>
      <c r="CL1220" s="61">
        <f t="shared" si="1413"/>
        <v>0.27079885662704989</v>
      </c>
      <c r="CM1220" s="61">
        <f t="shared" si="1413"/>
        <v>0.27079885662704989</v>
      </c>
      <c r="CN1220" s="61">
        <f t="shared" si="1413"/>
        <v>0.27079885662704989</v>
      </c>
      <c r="CO1220" s="61">
        <f t="shared" si="1413"/>
        <v>0.27079885662704989</v>
      </c>
      <c r="CP1220" s="61">
        <f t="shared" si="1413"/>
        <v>0.27079885662704989</v>
      </c>
      <c r="CQ1220" s="61">
        <f t="shared" si="1413"/>
        <v>0.27079885662704989</v>
      </c>
      <c r="CR1220" s="61">
        <f t="shared" si="1413"/>
        <v>0.27079885662704989</v>
      </c>
      <c r="CS1220" s="61">
        <f t="shared" si="1422"/>
        <v>0.27079885662704994</v>
      </c>
      <c r="CT1220" s="63">
        <f t="shared" si="1425"/>
        <v>1.8000000000000012</v>
      </c>
      <c r="CU1220" s="61"/>
      <c r="CV1220" s="61">
        <f t="shared" si="1423"/>
        <v>0</v>
      </c>
      <c r="CW1220" s="61">
        <f t="shared" si="1424"/>
        <v>0</v>
      </c>
      <c r="CY1220" s="61">
        <f t="shared" si="1428"/>
        <v>0</v>
      </c>
      <c r="CZ1220" s="61">
        <f t="shared" si="1426"/>
        <v>0</v>
      </c>
      <c r="DA1220" s="61">
        <f t="shared" si="1427"/>
        <v>0</v>
      </c>
      <c r="DB1220" s="2" t="s">
        <v>102</v>
      </c>
      <c r="DC1220" s="2" t="s">
        <v>134</v>
      </c>
      <c r="DD1220" s="2" t="s">
        <v>142</v>
      </c>
      <c r="DE1220" s="2" t="s">
        <v>257</v>
      </c>
      <c r="DF1220" s="3" t="s">
        <v>86</v>
      </c>
      <c r="DG1220" s="62">
        <v>43019</v>
      </c>
      <c r="EC1220" s="60" t="str">
        <f>VLOOKUP($M1220,[1]Detail!$M:$BO,1,0)</f>
        <v>6M21-1003 -CA</v>
      </c>
      <c r="ED1220" s="60">
        <f>VLOOKUP($M1220,[1]Detail!$M:$BO,22,0)</f>
        <v>-3.8499999999999996</v>
      </c>
      <c r="EE1220" s="60">
        <f>VLOOKUP($M1220,[1]Detail!$M:$BO,42,0)</f>
        <v>0</v>
      </c>
      <c r="EF1220" s="60">
        <f>VLOOKUP($M1220,[1]Detail!$M:$BO,45,0)</f>
        <v>0</v>
      </c>
      <c r="EH1220" s="60">
        <f t="shared" si="1439"/>
        <v>0</v>
      </c>
      <c r="EI1220" s="60">
        <f t="shared" si="1440"/>
        <v>0</v>
      </c>
      <c r="EJ1220" s="60">
        <f t="shared" si="1441"/>
        <v>0</v>
      </c>
    </row>
    <row r="1221" spans="1:140" ht="12.75" hidden="1" customHeight="1">
      <c r="B1221" s="1" t="s">
        <v>2017</v>
      </c>
      <c r="C1221" s="2" t="s">
        <v>2018</v>
      </c>
      <c r="D1221" s="1" t="s">
        <v>2019</v>
      </c>
      <c r="E1221" s="1" t="s">
        <v>347</v>
      </c>
      <c r="F1221" s="2" t="s">
        <v>348</v>
      </c>
      <c r="G1221" s="3" t="s">
        <v>994</v>
      </c>
      <c r="J1221" s="3" t="s">
        <v>1893</v>
      </c>
      <c r="K1221" s="1">
        <v>17005</v>
      </c>
      <c r="L1221" s="3" t="s">
        <v>100</v>
      </c>
      <c r="M1221" s="90" t="str">
        <f t="shared" si="1432"/>
        <v>ED8C -17005-AA</v>
      </c>
      <c r="O1221" s="89">
        <v>1</v>
      </c>
      <c r="P1221" s="89">
        <v>1</v>
      </c>
      <c r="Q1221" s="89">
        <v>1</v>
      </c>
      <c r="R1221" s="89">
        <v>1</v>
      </c>
      <c r="S1221" s="89">
        <v>1</v>
      </c>
      <c r="T1221" s="89">
        <v>1</v>
      </c>
      <c r="U1221" s="89">
        <v>1</v>
      </c>
      <c r="V1221" s="89">
        <v>1</v>
      </c>
      <c r="W1221" s="89">
        <f t="shared" si="1429"/>
        <v>1</v>
      </c>
      <c r="Y1221" s="63">
        <f>BD1221</f>
        <v>-1.58</v>
      </c>
      <c r="Z1221" s="63">
        <f>BE1221</f>
        <v>0</v>
      </c>
      <c r="AA1221" s="63">
        <f>BF1221</f>
        <v>0</v>
      </c>
      <c r="AB1221" s="63">
        <f>BG1221</f>
        <v>0</v>
      </c>
      <c r="AC1221" s="63">
        <f>BH1221</f>
        <v>0</v>
      </c>
      <c r="AD1221" s="8">
        <f t="shared" si="1396"/>
        <v>-1.58</v>
      </c>
      <c r="AE1221" s="2" t="s">
        <v>91</v>
      </c>
      <c r="AG1221" s="61">
        <v>0</v>
      </c>
      <c r="AH1221" s="61">
        <v>0</v>
      </c>
      <c r="AJ1221" s="61">
        <v>0</v>
      </c>
      <c r="AK1221" s="61">
        <v>0</v>
      </c>
      <c r="AM1221" s="22"/>
      <c r="AO1221" s="3" t="s">
        <v>1893</v>
      </c>
      <c r="AP1221" s="3">
        <v>17005</v>
      </c>
      <c r="AQ1221" s="3" t="s">
        <v>100</v>
      </c>
      <c r="AR1221" s="90" t="str">
        <f t="shared" si="1433"/>
        <v>ED8C -17005-AA</v>
      </c>
      <c r="AT1221" s="89">
        <v>1</v>
      </c>
      <c r="AU1221" s="89">
        <v>1</v>
      </c>
      <c r="AV1221" s="89">
        <v>1</v>
      </c>
      <c r="AW1221" s="89">
        <v>1</v>
      </c>
      <c r="AX1221" s="89">
        <v>1</v>
      </c>
      <c r="AY1221" s="89">
        <v>1</v>
      </c>
      <c r="AZ1221" s="89">
        <v>1</v>
      </c>
      <c r="BA1221" s="89">
        <v>1</v>
      </c>
      <c r="BB1221" s="89">
        <f t="shared" si="1431"/>
        <v>1</v>
      </c>
      <c r="BD1221" s="63">
        <v>-1.58</v>
      </c>
      <c r="BE1221" s="63"/>
      <c r="BF1221" s="63"/>
      <c r="BG1221" s="63"/>
      <c r="BH1221" s="63"/>
      <c r="BI1221" s="8">
        <f t="shared" si="1434"/>
        <v>-1.58</v>
      </c>
      <c r="BJ1221" s="2" t="s">
        <v>91</v>
      </c>
      <c r="BL1221" s="63">
        <v>0</v>
      </c>
      <c r="BM1221" s="63">
        <v>0</v>
      </c>
      <c r="BO1221" s="63">
        <v>0</v>
      </c>
      <c r="BP1221" s="63">
        <v>0</v>
      </c>
      <c r="BS1221" s="61">
        <f t="shared" si="1414"/>
        <v>0</v>
      </c>
      <c r="BT1221" s="61">
        <f t="shared" si="1414"/>
        <v>0</v>
      </c>
      <c r="BU1221" s="61">
        <f t="shared" si="1415"/>
        <v>0</v>
      </c>
      <c r="BV1221" s="61">
        <f t="shared" si="1416"/>
        <v>0</v>
      </c>
      <c r="BW1221" s="61">
        <f t="shared" si="1416"/>
        <v>0</v>
      </c>
      <c r="BX1221" s="63">
        <f t="shared" si="1416"/>
        <v>0</v>
      </c>
      <c r="BY1221" s="61" t="s">
        <v>91</v>
      </c>
      <c r="CA1221" s="61" t="s">
        <v>1155</v>
      </c>
      <c r="CB1221" s="61">
        <f t="shared" si="1420"/>
        <v>0</v>
      </c>
      <c r="CC1221" s="61">
        <f t="shared" si="1420"/>
        <v>0</v>
      </c>
      <c r="CD1221" s="61">
        <f t="shared" si="1420"/>
        <v>0</v>
      </c>
      <c r="CE1221" s="61">
        <f t="shared" si="1420"/>
        <v>0</v>
      </c>
      <c r="CF1221" s="61">
        <f t="shared" si="1420"/>
        <v>0</v>
      </c>
      <c r="CG1221" s="61">
        <f t="shared" si="1420"/>
        <v>0</v>
      </c>
      <c r="CH1221" s="61">
        <f t="shared" si="1420"/>
        <v>0</v>
      </c>
      <c r="CI1221" s="61">
        <f t="shared" si="1421"/>
        <v>0</v>
      </c>
      <c r="CK1221" s="61">
        <f t="shared" si="1413"/>
        <v>0</v>
      </c>
      <c r="CL1221" s="61">
        <f t="shared" si="1413"/>
        <v>0</v>
      </c>
      <c r="CM1221" s="61">
        <f t="shared" si="1413"/>
        <v>0</v>
      </c>
      <c r="CN1221" s="61">
        <f t="shared" si="1413"/>
        <v>0</v>
      </c>
      <c r="CO1221" s="61">
        <f t="shared" si="1413"/>
        <v>0</v>
      </c>
      <c r="CP1221" s="61">
        <f t="shared" si="1413"/>
        <v>0</v>
      </c>
      <c r="CQ1221" s="61">
        <f t="shared" si="1413"/>
        <v>0</v>
      </c>
      <c r="CR1221" s="61">
        <f t="shared" si="1413"/>
        <v>0</v>
      </c>
      <c r="CS1221" s="61">
        <f t="shared" si="1422"/>
        <v>0</v>
      </c>
      <c r="CT1221" s="63">
        <f t="shared" si="1425"/>
        <v>0</v>
      </c>
      <c r="CU1221" s="61"/>
      <c r="CV1221" s="61">
        <f t="shared" si="1423"/>
        <v>0</v>
      </c>
      <c r="CW1221" s="61">
        <f t="shared" si="1424"/>
        <v>0</v>
      </c>
      <c r="CY1221" s="61">
        <f t="shared" si="1428"/>
        <v>0</v>
      </c>
      <c r="CZ1221" s="61">
        <f t="shared" si="1426"/>
        <v>0</v>
      </c>
      <c r="DA1221" s="61">
        <f t="shared" si="1427"/>
        <v>0</v>
      </c>
      <c r="DB1221" s="2" t="s">
        <v>86</v>
      </c>
      <c r="DC1221" s="2" t="s">
        <v>134</v>
      </c>
      <c r="DD1221" s="2" t="s">
        <v>142</v>
      </c>
      <c r="DE1221" s="2" t="s">
        <v>257</v>
      </c>
      <c r="DF1221" s="3" t="s">
        <v>86</v>
      </c>
      <c r="DG1221" s="62">
        <v>43077</v>
      </c>
      <c r="EC1221" s="60" t="str">
        <f>VLOOKUP($M1221,[1]Detail!$M:$BO,1,0)</f>
        <v>ED8C -17005-AA</v>
      </c>
      <c r="ED1221" s="60">
        <f>VLOOKUP($M1221,[1]Detail!$M:$BO,22,0)</f>
        <v>-1.58</v>
      </c>
      <c r="EE1221" s="60">
        <f>VLOOKUP($M1221,[1]Detail!$M:$BO,42,0)</f>
        <v>0</v>
      </c>
      <c r="EF1221" s="60">
        <f>VLOOKUP($M1221,[1]Detail!$M:$BO,45,0)</f>
        <v>0</v>
      </c>
      <c r="EH1221" s="60">
        <f t="shared" si="1439"/>
        <v>0</v>
      </c>
      <c r="EI1221" s="60">
        <f t="shared" si="1440"/>
        <v>0</v>
      </c>
      <c r="EJ1221" s="60">
        <f t="shared" si="1441"/>
        <v>0</v>
      </c>
    </row>
    <row r="1222" spans="1:140" ht="12.75" hidden="1" customHeight="1">
      <c r="B1222" s="1" t="s">
        <v>2017</v>
      </c>
      <c r="C1222" s="2" t="s">
        <v>2018</v>
      </c>
      <c r="D1222" s="1" t="s">
        <v>2019</v>
      </c>
      <c r="E1222" s="1" t="s">
        <v>347</v>
      </c>
      <c r="F1222" s="2" t="s">
        <v>348</v>
      </c>
      <c r="G1222" s="3" t="s">
        <v>994</v>
      </c>
      <c r="J1222" s="3" t="s">
        <v>1893</v>
      </c>
      <c r="K1222" s="1">
        <v>17085</v>
      </c>
      <c r="L1222" s="3" t="s">
        <v>234</v>
      </c>
      <c r="M1222" s="90" t="str">
        <f t="shared" si="1432"/>
        <v>ED8C -17085-AC</v>
      </c>
      <c r="O1222" s="89">
        <v>1</v>
      </c>
      <c r="P1222" s="89">
        <v>1</v>
      </c>
      <c r="Q1222" s="89">
        <v>1</v>
      </c>
      <c r="R1222" s="89">
        <v>1</v>
      </c>
      <c r="S1222" s="89">
        <v>1</v>
      </c>
      <c r="T1222" s="89">
        <v>1</v>
      </c>
      <c r="U1222" s="89">
        <v>1</v>
      </c>
      <c r="V1222" s="89">
        <v>1</v>
      </c>
      <c r="W1222" s="89">
        <f t="shared" si="1429"/>
        <v>1</v>
      </c>
      <c r="Y1222" s="63">
        <f>BD1222+2.18</f>
        <v>-42.34</v>
      </c>
      <c r="Z1222" s="63">
        <f>BE1222</f>
        <v>0</v>
      </c>
      <c r="AA1222" s="63">
        <f>BF1222</f>
        <v>0</v>
      </c>
      <c r="AB1222" s="63">
        <f>BG1222</f>
        <v>0</v>
      </c>
      <c r="AC1222" s="63">
        <f>BH1222</f>
        <v>0</v>
      </c>
      <c r="AD1222" s="8">
        <f t="shared" si="1396"/>
        <v>-42.34</v>
      </c>
      <c r="AE1222" s="2" t="s">
        <v>91</v>
      </c>
      <c r="AG1222" s="61">
        <v>0</v>
      </c>
      <c r="AH1222" s="61">
        <v>0</v>
      </c>
      <c r="AJ1222" s="61">
        <v>0</v>
      </c>
      <c r="AK1222" s="61">
        <v>0</v>
      </c>
      <c r="AM1222" s="22"/>
      <c r="AO1222" s="3" t="s">
        <v>1893</v>
      </c>
      <c r="AP1222" s="3">
        <v>17085</v>
      </c>
      <c r="AQ1222" s="3" t="s">
        <v>234</v>
      </c>
      <c r="AR1222" s="90" t="str">
        <f t="shared" si="1433"/>
        <v>ED8C -17085-AC</v>
      </c>
      <c r="AT1222" s="89">
        <v>1</v>
      </c>
      <c r="AU1222" s="89">
        <v>1</v>
      </c>
      <c r="AV1222" s="89">
        <v>1</v>
      </c>
      <c r="AW1222" s="89">
        <v>1</v>
      </c>
      <c r="AX1222" s="89">
        <v>1</v>
      </c>
      <c r="AY1222" s="89">
        <v>1</v>
      </c>
      <c r="AZ1222" s="89">
        <v>1</v>
      </c>
      <c r="BA1222" s="89">
        <v>1</v>
      </c>
      <c r="BB1222" s="89">
        <f t="shared" si="1431"/>
        <v>1</v>
      </c>
      <c r="BD1222" s="63">
        <v>-44.52</v>
      </c>
      <c r="BE1222" s="63"/>
      <c r="BF1222" s="63"/>
      <c r="BG1222" s="63"/>
      <c r="BH1222" s="63"/>
      <c r="BI1222" s="8">
        <f t="shared" si="1434"/>
        <v>-44.52</v>
      </c>
      <c r="BJ1222" s="2" t="s">
        <v>91</v>
      </c>
      <c r="BL1222" s="63">
        <v>0</v>
      </c>
      <c r="BM1222" s="63">
        <v>0</v>
      </c>
      <c r="BO1222" s="63">
        <v>0</v>
      </c>
      <c r="BP1222" s="63">
        <v>0</v>
      </c>
      <c r="BS1222" s="61">
        <f t="shared" si="1414"/>
        <v>2.1799999999999997</v>
      </c>
      <c r="BT1222" s="61">
        <f t="shared" si="1414"/>
        <v>0</v>
      </c>
      <c r="BU1222" s="61">
        <f t="shared" si="1415"/>
        <v>0</v>
      </c>
      <c r="BV1222" s="61">
        <f t="shared" si="1416"/>
        <v>0</v>
      </c>
      <c r="BW1222" s="61">
        <f t="shared" si="1416"/>
        <v>0</v>
      </c>
      <c r="BX1222" s="63">
        <f t="shared" si="1416"/>
        <v>2.1799999999999997</v>
      </c>
      <c r="BY1222" s="61" t="s">
        <v>91</v>
      </c>
      <c r="CA1222" s="61" t="s">
        <v>1155</v>
      </c>
      <c r="CB1222" s="61">
        <f t="shared" si="1420"/>
        <v>0.32796750413720471</v>
      </c>
      <c r="CC1222" s="61">
        <f t="shared" si="1420"/>
        <v>0.32796750413720471</v>
      </c>
      <c r="CD1222" s="61">
        <f t="shared" si="1420"/>
        <v>0.32796750413720471</v>
      </c>
      <c r="CE1222" s="61">
        <f t="shared" si="1420"/>
        <v>0.32796750413720471</v>
      </c>
      <c r="CF1222" s="61">
        <f t="shared" si="1420"/>
        <v>0.32796750413720471</v>
      </c>
      <c r="CG1222" s="61">
        <f t="shared" si="1420"/>
        <v>0.32796750413720471</v>
      </c>
      <c r="CH1222" s="61">
        <f t="shared" si="1420"/>
        <v>0.32796750413720471</v>
      </c>
      <c r="CI1222" s="61">
        <f t="shared" si="1421"/>
        <v>0.28205205355799601</v>
      </c>
      <c r="CK1222" s="61">
        <f t="shared" si="1413"/>
        <v>0.32796750413720471</v>
      </c>
      <c r="CL1222" s="61">
        <f t="shared" si="1413"/>
        <v>0.32796750413720471</v>
      </c>
      <c r="CM1222" s="61">
        <f t="shared" si="1413"/>
        <v>0.32796750413720471</v>
      </c>
      <c r="CN1222" s="61">
        <f t="shared" si="1413"/>
        <v>0.32796750413720471</v>
      </c>
      <c r="CO1222" s="61">
        <f t="shared" si="1413"/>
        <v>0.32796750413720471</v>
      </c>
      <c r="CP1222" s="61">
        <f t="shared" si="1413"/>
        <v>0.32796750413720471</v>
      </c>
      <c r="CQ1222" s="61">
        <f t="shared" si="1413"/>
        <v>0.32796750413720471</v>
      </c>
      <c r="CR1222" s="61">
        <f t="shared" si="1413"/>
        <v>0.32796750413720471</v>
      </c>
      <c r="CS1222" s="61">
        <f t="shared" si="1422"/>
        <v>0.32796750413720471</v>
      </c>
      <c r="CT1222" s="63">
        <f t="shared" si="1425"/>
        <v>2.1799999999999997</v>
      </c>
      <c r="CU1222" s="61"/>
      <c r="CV1222" s="61">
        <f t="shared" ref="CV1222:CV1228" si="1442">SUM(AG1222)-SUM(BL1222)</f>
        <v>0</v>
      </c>
      <c r="CW1222" s="61">
        <f t="shared" ref="CW1222:CW1228" si="1443">SUM(AH1222)-SUM(BM1222)</f>
        <v>0</v>
      </c>
      <c r="CY1222" s="61">
        <f t="shared" ref="CY1222:DA1235" si="1444">SUM(AJ1222)-SUM(BO1222)</f>
        <v>0</v>
      </c>
      <c r="CZ1222" s="61">
        <f t="shared" si="1444"/>
        <v>0</v>
      </c>
      <c r="DA1222" s="61">
        <f t="shared" si="1444"/>
        <v>0</v>
      </c>
      <c r="DB1222" s="2" t="s">
        <v>86</v>
      </c>
      <c r="DC1222" s="2" t="s">
        <v>134</v>
      </c>
      <c r="DD1222" s="2" t="s">
        <v>142</v>
      </c>
      <c r="DE1222" s="2" t="s">
        <v>257</v>
      </c>
      <c r="DF1222" s="3" t="s">
        <v>86</v>
      </c>
      <c r="DG1222" s="62">
        <v>43077</v>
      </c>
      <c r="EC1222" s="60" t="str">
        <f>VLOOKUP($M1222,[1]Detail!$M:$BO,1,0)</f>
        <v>ED8C -17085-AC</v>
      </c>
      <c r="ED1222" s="60">
        <f>VLOOKUP($M1222,[1]Detail!$M:$BO,22,0)</f>
        <v>-42.34</v>
      </c>
      <c r="EE1222" s="60">
        <f>VLOOKUP($M1222,[1]Detail!$M:$BO,42,0)</f>
        <v>0</v>
      </c>
      <c r="EF1222" s="60">
        <f>VLOOKUP($M1222,[1]Detail!$M:$BO,45,0)</f>
        <v>0</v>
      </c>
      <c r="EH1222" s="60">
        <f t="shared" si="1439"/>
        <v>0</v>
      </c>
      <c r="EI1222" s="60">
        <f t="shared" si="1440"/>
        <v>0</v>
      </c>
      <c r="EJ1222" s="60">
        <f t="shared" si="1441"/>
        <v>0</v>
      </c>
    </row>
    <row r="1223" spans="1:140" ht="12.75" hidden="1" customHeight="1">
      <c r="B1223" s="1" t="s">
        <v>2020</v>
      </c>
      <c r="C1223" s="2" t="s">
        <v>2021</v>
      </c>
      <c r="D1223" s="1" t="s">
        <v>2022</v>
      </c>
      <c r="E1223" s="1" t="s">
        <v>1591</v>
      </c>
      <c r="F1223" s="2" t="s">
        <v>348</v>
      </c>
      <c r="G1223" s="3" t="s">
        <v>994</v>
      </c>
      <c r="J1223" s="3" t="s">
        <v>2023</v>
      </c>
      <c r="K1223" s="1" t="s">
        <v>2024</v>
      </c>
      <c r="L1223" s="3" t="s">
        <v>2025</v>
      </c>
      <c r="M1223" s="90" t="str">
        <f t="shared" si="1432"/>
        <v>JU5T-14D230-FAA</v>
      </c>
      <c r="O1223" s="89">
        <v>0</v>
      </c>
      <c r="P1223" s="89">
        <v>0</v>
      </c>
      <c r="Q1223" s="89">
        <v>0</v>
      </c>
      <c r="R1223" s="89">
        <v>0</v>
      </c>
      <c r="S1223" s="89">
        <v>0</v>
      </c>
      <c r="T1223" s="89">
        <v>0</v>
      </c>
      <c r="U1223" s="89">
        <v>1</v>
      </c>
      <c r="V1223" s="89">
        <v>1</v>
      </c>
      <c r="W1223" s="89">
        <f t="shared" si="1429"/>
        <v>0.1</v>
      </c>
      <c r="Y1223" s="63">
        <v>-28.39</v>
      </c>
      <c r="Z1223" s="63">
        <f t="shared" ref="Z1223:AC1225" si="1445">BE1223</f>
        <v>0</v>
      </c>
      <c r="AA1223" s="63">
        <f t="shared" si="1445"/>
        <v>0</v>
      </c>
      <c r="AB1223" s="63">
        <f t="shared" si="1445"/>
        <v>0</v>
      </c>
      <c r="AC1223" s="63">
        <f t="shared" si="1445"/>
        <v>0</v>
      </c>
      <c r="AD1223" s="8">
        <f t="shared" si="1396"/>
        <v>-28.39</v>
      </c>
      <c r="AE1223" s="2" t="s">
        <v>91</v>
      </c>
      <c r="AG1223" s="61">
        <v>-3000</v>
      </c>
      <c r="AH1223" s="61">
        <v>-3000</v>
      </c>
      <c r="AJ1223" s="61">
        <v>0</v>
      </c>
      <c r="AK1223" s="61">
        <v>0</v>
      </c>
      <c r="AM1223" s="22" t="s">
        <v>2026</v>
      </c>
      <c r="AO1223" s="3" t="s">
        <v>2027</v>
      </c>
      <c r="AP1223" s="3" t="s">
        <v>2028</v>
      </c>
      <c r="AQ1223" s="3" t="s">
        <v>2029</v>
      </c>
      <c r="AR1223" s="90" t="str">
        <f t="shared" si="1433"/>
        <v>EU5T-14D230-FJC</v>
      </c>
      <c r="AT1223" s="89">
        <v>0</v>
      </c>
      <c r="AU1223" s="89">
        <v>0</v>
      </c>
      <c r="AV1223" s="89">
        <v>0</v>
      </c>
      <c r="AW1223" s="89">
        <v>0</v>
      </c>
      <c r="AX1223" s="89">
        <v>0</v>
      </c>
      <c r="AY1223" s="89">
        <v>0</v>
      </c>
      <c r="AZ1223" s="89">
        <v>1</v>
      </c>
      <c r="BA1223" s="89">
        <v>1</v>
      </c>
      <c r="BB1223" s="89">
        <f t="shared" si="1431"/>
        <v>0.1</v>
      </c>
      <c r="BD1223" s="63">
        <v>-26.4</v>
      </c>
      <c r="BE1223" s="63"/>
      <c r="BF1223" s="63"/>
      <c r="BG1223" s="63"/>
      <c r="BH1223" s="63"/>
      <c r="BI1223" s="8">
        <f t="shared" si="1434"/>
        <v>-26.4</v>
      </c>
      <c r="BJ1223" s="2" t="s">
        <v>91</v>
      </c>
      <c r="BL1223" s="63">
        <v>0</v>
      </c>
      <c r="BM1223" s="63">
        <v>0</v>
      </c>
      <c r="BO1223" s="63">
        <v>0</v>
      </c>
      <c r="BP1223" s="63">
        <v>0</v>
      </c>
      <c r="BS1223" s="61">
        <f t="shared" si="1414"/>
        <v>-1.990000000000002</v>
      </c>
      <c r="BT1223" s="61">
        <f t="shared" si="1414"/>
        <v>0</v>
      </c>
      <c r="BU1223" s="61">
        <f t="shared" si="1415"/>
        <v>0</v>
      </c>
      <c r="BV1223" s="61">
        <f t="shared" si="1416"/>
        <v>0</v>
      </c>
      <c r="BW1223" s="61">
        <f t="shared" si="1416"/>
        <v>0</v>
      </c>
      <c r="BX1223" s="63">
        <f t="shared" si="1416"/>
        <v>-1.990000000000002</v>
      </c>
      <c r="BY1223" s="61" t="s">
        <v>91</v>
      </c>
      <c r="CA1223" s="61" t="s">
        <v>1155</v>
      </c>
      <c r="CB1223" s="61">
        <f t="shared" si="1420"/>
        <v>0</v>
      </c>
      <c r="CC1223" s="61">
        <f t="shared" si="1420"/>
        <v>0</v>
      </c>
      <c r="CD1223" s="61">
        <f t="shared" si="1420"/>
        <v>0</v>
      </c>
      <c r="CE1223" s="61">
        <f t="shared" si="1420"/>
        <v>0</v>
      </c>
      <c r="CF1223" s="61">
        <f t="shared" si="1420"/>
        <v>0</v>
      </c>
      <c r="CG1223" s="61">
        <f t="shared" si="1420"/>
        <v>-0.29938318038212758</v>
      </c>
      <c r="CH1223" s="61">
        <f t="shared" si="1420"/>
        <v>-0.29938318038212758</v>
      </c>
      <c r="CI1223" s="61">
        <f t="shared" si="1421"/>
        <v>-2.9938318038212758E-2</v>
      </c>
      <c r="CK1223" s="61">
        <f t="shared" si="1413"/>
        <v>0</v>
      </c>
      <c r="CL1223" s="61">
        <f t="shared" si="1413"/>
        <v>0</v>
      </c>
      <c r="CM1223" s="61">
        <f t="shared" si="1413"/>
        <v>0</v>
      </c>
      <c r="CN1223" s="61">
        <f t="shared" si="1413"/>
        <v>0</v>
      </c>
      <c r="CO1223" s="61">
        <f t="shared" si="1413"/>
        <v>0</v>
      </c>
      <c r="CP1223" s="61">
        <f t="shared" si="1413"/>
        <v>0</v>
      </c>
      <c r="CQ1223" s="61">
        <f t="shared" si="1413"/>
        <v>-0.29938318038212758</v>
      </c>
      <c r="CR1223" s="61">
        <f t="shared" si="1413"/>
        <v>-0.29938318038212758</v>
      </c>
      <c r="CS1223" s="61">
        <f t="shared" si="1422"/>
        <v>-2.9938318038212758E-2</v>
      </c>
      <c r="CT1223" s="63">
        <f t="shared" si="1425"/>
        <v>-0.1990000000000002</v>
      </c>
      <c r="CU1223" s="61"/>
      <c r="CV1223" s="61">
        <f t="shared" si="1442"/>
        <v>-3000</v>
      </c>
      <c r="CW1223" s="61">
        <f t="shared" si="1443"/>
        <v>-3000</v>
      </c>
      <c r="CY1223" s="61">
        <f t="shared" si="1444"/>
        <v>0</v>
      </c>
      <c r="CZ1223" s="61">
        <f t="shared" si="1444"/>
        <v>0</v>
      </c>
      <c r="DA1223" s="61">
        <f t="shared" si="1444"/>
        <v>0</v>
      </c>
      <c r="DB1223" s="2" t="s">
        <v>86</v>
      </c>
      <c r="DC1223" s="2" t="s">
        <v>102</v>
      </c>
      <c r="DD1223" s="2" t="s">
        <v>142</v>
      </c>
      <c r="DE1223" s="2" t="s">
        <v>257</v>
      </c>
      <c r="DF1223" s="3" t="s">
        <v>86</v>
      </c>
      <c r="DG1223" s="62">
        <v>43035</v>
      </c>
      <c r="EC1223" s="60" t="str">
        <f>VLOOKUP($M1223,[1]Detail!$M:$BO,1,0)</f>
        <v>JU5T-14D230-FAA</v>
      </c>
      <c r="ED1223" s="60">
        <f>VLOOKUP($M1223,[1]Detail!$M:$BO,22,0)</f>
        <v>-28.39</v>
      </c>
      <c r="EE1223" s="60">
        <f>VLOOKUP($M1223,[1]Detail!$M:$BO,42,0)</f>
        <v>-3000</v>
      </c>
      <c r="EF1223" s="60">
        <f>VLOOKUP($M1223,[1]Detail!$M:$BO,45,0)</f>
        <v>0</v>
      </c>
      <c r="EH1223" s="60">
        <f t="shared" si="1439"/>
        <v>0</v>
      </c>
      <c r="EI1223" s="60">
        <f t="shared" si="1440"/>
        <v>0</v>
      </c>
      <c r="EJ1223" s="60">
        <f t="shared" si="1441"/>
        <v>0</v>
      </c>
    </row>
    <row r="1224" spans="1:140" ht="12.75" hidden="1" customHeight="1">
      <c r="B1224" s="1" t="s">
        <v>2030</v>
      </c>
      <c r="C1224" s="2" t="s">
        <v>2021</v>
      </c>
      <c r="D1224" s="1" t="s">
        <v>2022</v>
      </c>
      <c r="E1224" s="1" t="s">
        <v>1591</v>
      </c>
      <c r="F1224" s="2" t="s">
        <v>348</v>
      </c>
      <c r="G1224" s="3" t="s">
        <v>994</v>
      </c>
      <c r="J1224" s="3" t="s">
        <v>2023</v>
      </c>
      <c r="K1224" s="1" t="s">
        <v>2031</v>
      </c>
      <c r="L1224" s="3" t="s">
        <v>2032</v>
      </c>
      <c r="M1224" s="90" t="str">
        <f t="shared" si="1432"/>
        <v>JU5T-14D231-FGA</v>
      </c>
      <c r="O1224" s="89">
        <v>1</v>
      </c>
      <c r="P1224" s="89">
        <v>1</v>
      </c>
      <c r="Q1224" s="89">
        <v>1</v>
      </c>
      <c r="R1224" s="89">
        <v>1</v>
      </c>
      <c r="S1224" s="89">
        <v>1</v>
      </c>
      <c r="T1224" s="89">
        <v>1</v>
      </c>
      <c r="U1224" s="89">
        <v>0</v>
      </c>
      <c r="V1224" s="89">
        <v>0</v>
      </c>
      <c r="W1224" s="89">
        <f t="shared" si="1429"/>
        <v>0.9</v>
      </c>
      <c r="Y1224" s="63">
        <v>-23.4</v>
      </c>
      <c r="Z1224" s="63">
        <f t="shared" si="1445"/>
        <v>0</v>
      </c>
      <c r="AA1224" s="63">
        <f t="shared" si="1445"/>
        <v>0</v>
      </c>
      <c r="AB1224" s="63">
        <f t="shared" si="1445"/>
        <v>0</v>
      </c>
      <c r="AC1224" s="63">
        <f t="shared" si="1445"/>
        <v>0</v>
      </c>
      <c r="AD1224" s="8">
        <f t="shared" si="1396"/>
        <v>-23.4</v>
      </c>
      <c r="AE1224" s="2" t="s">
        <v>91</v>
      </c>
      <c r="AG1224" s="61">
        <v>-3500</v>
      </c>
      <c r="AH1224" s="61">
        <v>-3500</v>
      </c>
      <c r="AJ1224" s="61">
        <v>0</v>
      </c>
      <c r="AK1224" s="61">
        <v>0</v>
      </c>
      <c r="AM1224" s="22" t="s">
        <v>2026</v>
      </c>
      <c r="AO1224" s="3" t="s">
        <v>2027</v>
      </c>
      <c r="AP1224" s="3" t="s">
        <v>2028</v>
      </c>
      <c r="AQ1224" s="3" t="s">
        <v>2033</v>
      </c>
      <c r="AR1224" s="90" t="str">
        <f t="shared" si="1433"/>
        <v>EU5T-14D230-FHC</v>
      </c>
      <c r="AT1224" s="89">
        <v>1</v>
      </c>
      <c r="AU1224" s="89">
        <v>1</v>
      </c>
      <c r="AV1224" s="89">
        <v>1</v>
      </c>
      <c r="AW1224" s="89">
        <v>1</v>
      </c>
      <c r="AX1224" s="89">
        <v>1</v>
      </c>
      <c r="AY1224" s="89">
        <v>1</v>
      </c>
      <c r="AZ1224" s="89">
        <v>0</v>
      </c>
      <c r="BA1224" s="89">
        <v>0</v>
      </c>
      <c r="BB1224" s="89">
        <f t="shared" si="1431"/>
        <v>0.9</v>
      </c>
      <c r="BD1224" s="63">
        <v>-23.4</v>
      </c>
      <c r="BE1224" s="63"/>
      <c r="BF1224" s="63"/>
      <c r="BG1224" s="63"/>
      <c r="BH1224" s="63"/>
      <c r="BI1224" s="8">
        <f t="shared" si="1434"/>
        <v>-23.4</v>
      </c>
      <c r="BJ1224" s="2" t="s">
        <v>91</v>
      </c>
      <c r="BL1224" s="63">
        <v>0</v>
      </c>
      <c r="BM1224" s="63">
        <v>0</v>
      </c>
      <c r="BO1224" s="63">
        <v>0</v>
      </c>
      <c r="BP1224" s="63">
        <v>0</v>
      </c>
      <c r="BS1224" s="61">
        <f t="shared" si="1414"/>
        <v>0</v>
      </c>
      <c r="BT1224" s="61">
        <f t="shared" si="1414"/>
        <v>0</v>
      </c>
      <c r="BU1224" s="61">
        <f t="shared" si="1415"/>
        <v>0</v>
      </c>
      <c r="BV1224" s="61">
        <f t="shared" si="1416"/>
        <v>0</v>
      </c>
      <c r="BW1224" s="61">
        <f t="shared" si="1416"/>
        <v>0</v>
      </c>
      <c r="BX1224" s="63">
        <f t="shared" si="1416"/>
        <v>0</v>
      </c>
      <c r="BY1224" s="61" t="s">
        <v>91</v>
      </c>
      <c r="CA1224" s="61" t="s">
        <v>1155</v>
      </c>
      <c r="CB1224" s="61">
        <f t="shared" si="1420"/>
        <v>0</v>
      </c>
      <c r="CC1224" s="61">
        <f t="shared" si="1420"/>
        <v>0</v>
      </c>
      <c r="CD1224" s="61">
        <f t="shared" si="1420"/>
        <v>0</v>
      </c>
      <c r="CE1224" s="61">
        <f t="shared" si="1420"/>
        <v>0</v>
      </c>
      <c r="CF1224" s="61">
        <f t="shared" si="1420"/>
        <v>0</v>
      </c>
      <c r="CG1224" s="61">
        <f t="shared" si="1420"/>
        <v>0</v>
      </c>
      <c r="CH1224" s="61">
        <f t="shared" si="1420"/>
        <v>0</v>
      </c>
      <c r="CI1224" s="61">
        <f t="shared" si="1421"/>
        <v>0</v>
      </c>
      <c r="CK1224" s="61">
        <f t="shared" si="1413"/>
        <v>0</v>
      </c>
      <c r="CL1224" s="61">
        <f t="shared" si="1413"/>
        <v>0</v>
      </c>
      <c r="CM1224" s="61">
        <f t="shared" si="1413"/>
        <v>0</v>
      </c>
      <c r="CN1224" s="61">
        <f t="shared" si="1413"/>
        <v>0</v>
      </c>
      <c r="CO1224" s="61">
        <f t="shared" si="1413"/>
        <v>0</v>
      </c>
      <c r="CP1224" s="61">
        <f t="shared" si="1413"/>
        <v>0</v>
      </c>
      <c r="CQ1224" s="61">
        <f t="shared" si="1413"/>
        <v>0</v>
      </c>
      <c r="CR1224" s="61">
        <f t="shared" si="1413"/>
        <v>0</v>
      </c>
      <c r="CS1224" s="61">
        <f t="shared" si="1422"/>
        <v>0</v>
      </c>
      <c r="CT1224" s="63">
        <f t="shared" si="1425"/>
        <v>0</v>
      </c>
      <c r="CU1224" s="61"/>
      <c r="CV1224" s="61">
        <f t="shared" si="1442"/>
        <v>-3500</v>
      </c>
      <c r="CW1224" s="61">
        <f t="shared" si="1443"/>
        <v>-3500</v>
      </c>
      <c r="CY1224" s="61">
        <f t="shared" si="1444"/>
        <v>0</v>
      </c>
      <c r="CZ1224" s="61">
        <f t="shared" si="1444"/>
        <v>0</v>
      </c>
      <c r="DA1224" s="61">
        <f t="shared" si="1444"/>
        <v>0</v>
      </c>
      <c r="DB1224" s="2" t="s">
        <v>86</v>
      </c>
      <c r="DC1224" s="2" t="s">
        <v>102</v>
      </c>
      <c r="DD1224" s="2" t="s">
        <v>142</v>
      </c>
      <c r="DE1224" s="2" t="s">
        <v>257</v>
      </c>
      <c r="DF1224" s="3" t="s">
        <v>86</v>
      </c>
      <c r="DG1224" s="62">
        <v>43035</v>
      </c>
      <c r="EC1224" s="60" t="str">
        <f>VLOOKUP($M1224,[1]Detail!$M:$BO,1,0)</f>
        <v>JU5T-14D231-FGA</v>
      </c>
      <c r="ED1224" s="60">
        <f>VLOOKUP($M1224,[1]Detail!$M:$BO,22,0)</f>
        <v>-23.4</v>
      </c>
      <c r="EE1224" s="60">
        <f>VLOOKUP($M1224,[1]Detail!$M:$BO,42,0)</f>
        <v>-3500</v>
      </c>
      <c r="EF1224" s="60">
        <f>VLOOKUP($M1224,[1]Detail!$M:$BO,45,0)</f>
        <v>0</v>
      </c>
      <c r="EH1224" s="60">
        <f t="shared" si="1439"/>
        <v>0</v>
      </c>
      <c r="EI1224" s="60">
        <f t="shared" si="1440"/>
        <v>0</v>
      </c>
      <c r="EJ1224" s="60">
        <f t="shared" si="1441"/>
        <v>0</v>
      </c>
    </row>
    <row r="1225" spans="1:140" ht="12.75" hidden="1" customHeight="1">
      <c r="B1225" s="1" t="s">
        <v>2030</v>
      </c>
      <c r="C1225" s="2" t="s">
        <v>2021</v>
      </c>
      <c r="D1225" s="1" t="s">
        <v>2022</v>
      </c>
      <c r="E1225" s="1" t="s">
        <v>1591</v>
      </c>
      <c r="F1225" s="2" t="s">
        <v>348</v>
      </c>
      <c r="G1225" s="3" t="s">
        <v>994</v>
      </c>
      <c r="J1225" s="3" t="s">
        <v>2023</v>
      </c>
      <c r="K1225" s="1" t="s">
        <v>2031</v>
      </c>
      <c r="L1225" s="3" t="s">
        <v>2034</v>
      </c>
      <c r="M1225" s="90" t="str">
        <f t="shared" si="1432"/>
        <v>JU5T-14D231-FHA</v>
      </c>
      <c r="O1225" s="89">
        <v>0</v>
      </c>
      <c r="P1225" s="89">
        <v>0</v>
      </c>
      <c r="Q1225" s="89">
        <v>0</v>
      </c>
      <c r="R1225" s="89">
        <v>0</v>
      </c>
      <c r="S1225" s="89">
        <v>0</v>
      </c>
      <c r="T1225" s="89">
        <v>0</v>
      </c>
      <c r="U1225" s="89">
        <v>1</v>
      </c>
      <c r="V1225" s="89">
        <v>1</v>
      </c>
      <c r="W1225" s="89">
        <f t="shared" si="1429"/>
        <v>0.1</v>
      </c>
      <c r="Y1225" s="63">
        <v>-95.26</v>
      </c>
      <c r="Z1225" s="63">
        <f t="shared" si="1445"/>
        <v>0</v>
      </c>
      <c r="AA1225" s="63">
        <f t="shared" si="1445"/>
        <v>0</v>
      </c>
      <c r="AB1225" s="63">
        <f t="shared" si="1445"/>
        <v>0</v>
      </c>
      <c r="AC1225" s="63">
        <f t="shared" si="1445"/>
        <v>0</v>
      </c>
      <c r="AD1225" s="8">
        <f t="shared" si="1396"/>
        <v>-95.26</v>
      </c>
      <c r="AE1225" s="2" t="s">
        <v>91</v>
      </c>
      <c r="AG1225" s="61">
        <v>-16500</v>
      </c>
      <c r="AH1225" s="61">
        <v>-16500</v>
      </c>
      <c r="AJ1225" s="61">
        <v>0</v>
      </c>
      <c r="AK1225" s="61">
        <v>0</v>
      </c>
      <c r="AM1225" s="22" t="s">
        <v>2026</v>
      </c>
      <c r="AO1225" s="3" t="s">
        <v>2027</v>
      </c>
      <c r="AP1225" s="3" t="s">
        <v>2028</v>
      </c>
      <c r="AQ1225" s="3" t="s">
        <v>2033</v>
      </c>
      <c r="AR1225" s="90" t="str">
        <f>TRIM(AO1225)&amp;"-"&amp;TRIM(AP1225)&amp;"-"&amp;TRIM(AQ1225)</f>
        <v>EU5T-14D230-FHC</v>
      </c>
      <c r="AT1225" s="89">
        <v>0</v>
      </c>
      <c r="AU1225" s="89">
        <v>0</v>
      </c>
      <c r="AV1225" s="89">
        <v>0</v>
      </c>
      <c r="AW1225" s="89">
        <v>0</v>
      </c>
      <c r="AX1225" s="89">
        <v>0</v>
      </c>
      <c r="AY1225" s="89">
        <v>0</v>
      </c>
      <c r="AZ1225" s="89">
        <v>1</v>
      </c>
      <c r="BA1225" s="89">
        <v>1</v>
      </c>
      <c r="BB1225" s="89">
        <f t="shared" si="1431"/>
        <v>0.1</v>
      </c>
      <c r="BD1225" s="63">
        <v>-23.4</v>
      </c>
      <c r="BE1225" s="63"/>
      <c r="BF1225" s="63"/>
      <c r="BG1225" s="63"/>
      <c r="BH1225" s="63"/>
      <c r="BI1225" s="8">
        <f t="shared" si="1434"/>
        <v>-23.4</v>
      </c>
      <c r="BJ1225" s="2" t="s">
        <v>91</v>
      </c>
      <c r="BL1225" s="63">
        <v>0</v>
      </c>
      <c r="BM1225" s="63">
        <v>0</v>
      </c>
      <c r="BO1225" s="63">
        <v>0</v>
      </c>
      <c r="BP1225" s="63">
        <v>0</v>
      </c>
      <c r="BS1225" s="61">
        <f t="shared" si="1414"/>
        <v>-71.860000000000014</v>
      </c>
      <c r="BT1225" s="61">
        <f t="shared" si="1414"/>
        <v>0</v>
      </c>
      <c r="BU1225" s="61">
        <f t="shared" si="1415"/>
        <v>0</v>
      </c>
      <c r="BV1225" s="61">
        <f t="shared" si="1416"/>
        <v>0</v>
      </c>
      <c r="BW1225" s="61">
        <f t="shared" si="1416"/>
        <v>0</v>
      </c>
      <c r="BX1225" s="63">
        <f t="shared" si="1416"/>
        <v>-71.860000000000014</v>
      </c>
      <c r="BY1225" s="61" t="s">
        <v>91</v>
      </c>
      <c r="CA1225" s="61" t="s">
        <v>1155</v>
      </c>
      <c r="CB1225" s="61">
        <f t="shared" si="1420"/>
        <v>0</v>
      </c>
      <c r="CC1225" s="61">
        <f t="shared" si="1420"/>
        <v>0</v>
      </c>
      <c r="CD1225" s="61">
        <f t="shared" si="1420"/>
        <v>0</v>
      </c>
      <c r="CE1225" s="61">
        <f t="shared" si="1420"/>
        <v>0</v>
      </c>
      <c r="CF1225" s="61">
        <f t="shared" si="1420"/>
        <v>0</v>
      </c>
      <c r="CG1225" s="61">
        <f t="shared" si="1420"/>
        <v>-10.810892131788778</v>
      </c>
      <c r="CH1225" s="61">
        <f t="shared" si="1420"/>
        <v>-10.810892131788778</v>
      </c>
      <c r="CI1225" s="61">
        <f t="shared" si="1421"/>
        <v>-1.0810892131788779</v>
      </c>
      <c r="CK1225" s="61">
        <f t="shared" si="1413"/>
        <v>0</v>
      </c>
      <c r="CL1225" s="61">
        <f t="shared" si="1413"/>
        <v>0</v>
      </c>
      <c r="CM1225" s="61">
        <f t="shared" si="1413"/>
        <v>0</v>
      </c>
      <c r="CN1225" s="61">
        <f t="shared" si="1413"/>
        <v>0</v>
      </c>
      <c r="CO1225" s="61">
        <f t="shared" si="1413"/>
        <v>0</v>
      </c>
      <c r="CP1225" s="61">
        <f t="shared" si="1413"/>
        <v>0</v>
      </c>
      <c r="CQ1225" s="61">
        <f t="shared" si="1413"/>
        <v>-10.810892131788778</v>
      </c>
      <c r="CR1225" s="61">
        <f t="shared" si="1413"/>
        <v>-10.810892131788778</v>
      </c>
      <c r="CS1225" s="61">
        <f t="shared" si="1422"/>
        <v>-1.0810892131788779</v>
      </c>
      <c r="CT1225" s="63">
        <f t="shared" si="1425"/>
        <v>-7.1860000000000017</v>
      </c>
      <c r="CU1225" s="61"/>
      <c r="CV1225" s="61">
        <f t="shared" si="1442"/>
        <v>-16500</v>
      </c>
      <c r="CW1225" s="61">
        <f t="shared" si="1443"/>
        <v>-16500</v>
      </c>
      <c r="CY1225" s="61">
        <f t="shared" si="1444"/>
        <v>0</v>
      </c>
      <c r="CZ1225" s="61">
        <f t="shared" si="1444"/>
        <v>0</v>
      </c>
      <c r="DA1225" s="61">
        <f t="shared" si="1444"/>
        <v>0</v>
      </c>
      <c r="DB1225" s="2" t="s">
        <v>86</v>
      </c>
      <c r="DC1225" s="2" t="s">
        <v>102</v>
      </c>
      <c r="DD1225" s="2" t="s">
        <v>142</v>
      </c>
      <c r="DE1225" s="2" t="s">
        <v>257</v>
      </c>
      <c r="DF1225" s="3" t="s">
        <v>86</v>
      </c>
      <c r="DG1225" s="62">
        <v>43035</v>
      </c>
      <c r="EC1225" s="60" t="str">
        <f>VLOOKUP($M1225,[1]Detail!$M:$BO,1,0)</f>
        <v>JU5T-14D231-FHA</v>
      </c>
      <c r="ED1225" s="60">
        <f>VLOOKUP($M1225,[1]Detail!$M:$BO,22,0)</f>
        <v>-95.26</v>
      </c>
      <c r="EE1225" s="60">
        <f>VLOOKUP($M1225,[1]Detail!$M:$BO,42,0)</f>
        <v>-16500</v>
      </c>
      <c r="EF1225" s="60">
        <f>VLOOKUP($M1225,[1]Detail!$M:$BO,45,0)</f>
        <v>0</v>
      </c>
      <c r="EH1225" s="60">
        <f t="shared" si="1439"/>
        <v>0</v>
      </c>
      <c r="EI1225" s="60">
        <f t="shared" si="1440"/>
        <v>0</v>
      </c>
      <c r="EJ1225" s="60">
        <f t="shared" si="1441"/>
        <v>0</v>
      </c>
    </row>
    <row r="1226" spans="1:140" ht="12.75" hidden="1" customHeight="1">
      <c r="B1226" s="1" t="s">
        <v>2035</v>
      </c>
      <c r="C1226" s="2" t="s">
        <v>2036</v>
      </c>
      <c r="D1226" s="1" t="s">
        <v>2037</v>
      </c>
      <c r="E1226" s="1" t="s">
        <v>347</v>
      </c>
      <c r="F1226" s="2" t="s">
        <v>348</v>
      </c>
      <c r="G1226" s="3" t="s">
        <v>994</v>
      </c>
      <c r="J1226" s="3" t="s">
        <v>1893</v>
      </c>
      <c r="K1226" s="1" t="s">
        <v>2038</v>
      </c>
      <c r="L1226" s="3" t="s">
        <v>599</v>
      </c>
      <c r="M1226" s="90" t="str">
        <f t="shared" si="1432"/>
        <v>ED8C -5482 -BC</v>
      </c>
      <c r="O1226" s="89">
        <v>1</v>
      </c>
      <c r="P1226" s="89">
        <v>1</v>
      </c>
      <c r="Q1226" s="89">
        <v>1</v>
      </c>
      <c r="R1226" s="89">
        <v>1</v>
      </c>
      <c r="S1226" s="89">
        <v>1</v>
      </c>
      <c r="T1226" s="89">
        <v>1</v>
      </c>
      <c r="U1226" s="89">
        <v>1</v>
      </c>
      <c r="V1226" s="89">
        <v>1</v>
      </c>
      <c r="W1226" s="89">
        <f t="shared" si="1429"/>
        <v>1</v>
      </c>
      <c r="Y1226" s="63">
        <v>-75.73</v>
      </c>
      <c r="Z1226" s="63">
        <v>-3.68</v>
      </c>
      <c r="AA1226" s="63">
        <v>-4.5</v>
      </c>
      <c r="AB1226" s="63"/>
      <c r="AC1226" s="63"/>
      <c r="AD1226" s="8">
        <f>SUM(Y1226:AC1226)</f>
        <v>-83.910000000000011</v>
      </c>
      <c r="AE1226" s="2" t="s">
        <v>91</v>
      </c>
      <c r="AG1226" s="61">
        <v>0</v>
      </c>
      <c r="AH1226" s="61">
        <v>0</v>
      </c>
      <c r="AJ1226" s="61">
        <v>0</v>
      </c>
      <c r="AK1226" s="61">
        <v>0</v>
      </c>
      <c r="AM1226" s="22"/>
      <c r="AO1226" s="3" t="s">
        <v>1893</v>
      </c>
      <c r="AP1226" s="3" t="s">
        <v>2038</v>
      </c>
      <c r="AQ1226" s="3" t="s">
        <v>120</v>
      </c>
      <c r="AR1226" s="90" t="str">
        <f>TRIM(AO1226)&amp;"-"&amp;TRIM(AP1226)&amp;"-"&amp;TRIM(AQ1226)</f>
        <v>ED8C -5482 -BB</v>
      </c>
      <c r="AT1226" s="89">
        <v>1</v>
      </c>
      <c r="AU1226" s="89">
        <v>1</v>
      </c>
      <c r="AV1226" s="89">
        <v>1</v>
      </c>
      <c r="AW1226" s="89">
        <v>1</v>
      </c>
      <c r="AX1226" s="89">
        <v>1</v>
      </c>
      <c r="AY1226" s="89">
        <v>1</v>
      </c>
      <c r="AZ1226" s="89">
        <v>1</v>
      </c>
      <c r="BA1226" s="89">
        <v>1</v>
      </c>
      <c r="BB1226" s="89">
        <f t="shared" si="1431"/>
        <v>1</v>
      </c>
      <c r="BD1226" s="63">
        <f>-75.73-0.84</f>
        <v>-76.570000000000007</v>
      </c>
      <c r="BE1226" s="63">
        <v>-3.68</v>
      </c>
      <c r="BF1226" s="63">
        <v>-4.5</v>
      </c>
      <c r="BG1226" s="63"/>
      <c r="BH1226" s="63"/>
      <c r="BI1226" s="8">
        <f>SUM(BD1226:BH1226)</f>
        <v>-84.750000000000014</v>
      </c>
      <c r="BJ1226" s="2" t="s">
        <v>91</v>
      </c>
      <c r="BL1226" s="63">
        <v>0</v>
      </c>
      <c r="BM1226" s="63">
        <v>0</v>
      </c>
      <c r="BO1226" s="63">
        <v>0</v>
      </c>
      <c r="BP1226" s="63">
        <v>0</v>
      </c>
      <c r="BS1226" s="61">
        <f t="shared" si="1414"/>
        <v>0.84000000000000341</v>
      </c>
      <c r="BT1226" s="61">
        <f t="shared" si="1414"/>
        <v>0</v>
      </c>
      <c r="BU1226" s="61">
        <f t="shared" si="1415"/>
        <v>0</v>
      </c>
      <c r="BV1226" s="61">
        <f t="shared" si="1416"/>
        <v>0</v>
      </c>
      <c r="BW1226" s="61">
        <f t="shared" si="1416"/>
        <v>0</v>
      </c>
      <c r="BX1226" s="63">
        <f t="shared" si="1416"/>
        <v>0.84000000000000341</v>
      </c>
      <c r="BY1226" s="61" t="s">
        <v>91</v>
      </c>
      <c r="CA1226" s="61" t="s">
        <v>1155</v>
      </c>
      <c r="CB1226" s="61">
        <f t="shared" si="1420"/>
        <v>0.12637279975929042</v>
      </c>
      <c r="CC1226" s="61">
        <f t="shared" si="1420"/>
        <v>0.12637279975929042</v>
      </c>
      <c r="CD1226" s="61">
        <f t="shared" si="1420"/>
        <v>0.12637279975929042</v>
      </c>
      <c r="CE1226" s="61">
        <f t="shared" si="1420"/>
        <v>0.12637279975929042</v>
      </c>
      <c r="CF1226" s="61">
        <f t="shared" si="1420"/>
        <v>0.12637279975929042</v>
      </c>
      <c r="CG1226" s="61">
        <f t="shared" si="1420"/>
        <v>0.12637279975929042</v>
      </c>
      <c r="CH1226" s="61">
        <f t="shared" si="1420"/>
        <v>0.12637279975929042</v>
      </c>
      <c r="CI1226" s="61">
        <f t="shared" si="1421"/>
        <v>0.10868060779298976</v>
      </c>
      <c r="CK1226" s="61">
        <f t="shared" si="1413"/>
        <v>0.12637279975929042</v>
      </c>
      <c r="CL1226" s="61">
        <f t="shared" si="1413"/>
        <v>0.12637279975929042</v>
      </c>
      <c r="CM1226" s="61">
        <f t="shared" si="1413"/>
        <v>0.12637279975929042</v>
      </c>
      <c r="CN1226" s="61">
        <f t="shared" si="1413"/>
        <v>0.12637279975929042</v>
      </c>
      <c r="CO1226" s="61">
        <f t="shared" si="1413"/>
        <v>0.12637279975929042</v>
      </c>
      <c r="CP1226" s="61">
        <f t="shared" si="1413"/>
        <v>0.12637279975929042</v>
      </c>
      <c r="CQ1226" s="61">
        <f t="shared" si="1413"/>
        <v>0.12637279975929042</v>
      </c>
      <c r="CR1226" s="61">
        <f t="shared" si="1413"/>
        <v>0.12637279975929042</v>
      </c>
      <c r="CS1226" s="61">
        <f t="shared" si="1422"/>
        <v>0.12637279975929044</v>
      </c>
      <c r="CT1226" s="63">
        <f t="shared" si="1425"/>
        <v>0.84000000000000363</v>
      </c>
      <c r="CU1226" s="61"/>
      <c r="CV1226" s="61">
        <f t="shared" si="1442"/>
        <v>0</v>
      </c>
      <c r="CW1226" s="61">
        <f t="shared" si="1443"/>
        <v>0</v>
      </c>
      <c r="CY1226" s="61">
        <f t="shared" si="1444"/>
        <v>0</v>
      </c>
      <c r="CZ1226" s="61">
        <f t="shared" si="1444"/>
        <v>0</v>
      </c>
      <c r="DA1226" s="61">
        <f t="shared" si="1444"/>
        <v>0</v>
      </c>
      <c r="DB1226" s="2" t="s">
        <v>86</v>
      </c>
      <c r="DC1226" s="2" t="s">
        <v>102</v>
      </c>
      <c r="DD1226" s="2" t="s">
        <v>142</v>
      </c>
      <c r="DE1226" s="2" t="s">
        <v>257</v>
      </c>
      <c r="DG1226" s="62"/>
      <c r="EC1226" s="60" t="str">
        <f>VLOOKUP($M1226,[1]Detail!$M:$BO,1,0)</f>
        <v>ED8C -5482 -BC</v>
      </c>
      <c r="ED1226" s="60">
        <f>VLOOKUP($M1226,[1]Detail!$M:$BO,22,0)</f>
        <v>-83.910000000000011</v>
      </c>
      <c r="EE1226" s="60">
        <f>VLOOKUP($M1226,[1]Detail!$M:$BO,42,0)</f>
        <v>0</v>
      </c>
      <c r="EF1226" s="60">
        <f>VLOOKUP($M1226,[1]Detail!$M:$BO,45,0)</f>
        <v>0</v>
      </c>
      <c r="EH1226" s="60">
        <f t="shared" si="1439"/>
        <v>0</v>
      </c>
      <c r="EI1226" s="60">
        <f t="shared" si="1440"/>
        <v>0</v>
      </c>
      <c r="EJ1226" s="60">
        <f t="shared" si="1441"/>
        <v>0</v>
      </c>
    </row>
    <row r="1227" spans="1:140" ht="12.75" hidden="1" customHeight="1">
      <c r="B1227" s="1" t="s">
        <v>2039</v>
      </c>
      <c r="C1227" s="2" t="s">
        <v>1609</v>
      </c>
      <c r="D1227" s="1" t="s">
        <v>2040</v>
      </c>
      <c r="E1227" s="1" t="s">
        <v>347</v>
      </c>
      <c r="F1227" s="2" t="s">
        <v>348</v>
      </c>
      <c r="G1227" s="3" t="s">
        <v>1269</v>
      </c>
      <c r="J1227" s="3" t="s">
        <v>2041</v>
      </c>
      <c r="K1227" s="1" t="s">
        <v>2042</v>
      </c>
      <c r="L1227" s="3" t="s">
        <v>305</v>
      </c>
      <c r="M1227" s="90" t="str">
        <f t="shared" si="1432"/>
        <v>BV6T-2C204-FB</v>
      </c>
      <c r="O1227" s="89">
        <v>2</v>
      </c>
      <c r="P1227" s="89">
        <v>2</v>
      </c>
      <c r="Q1227" s="89">
        <v>2</v>
      </c>
      <c r="R1227" s="89">
        <v>2</v>
      </c>
      <c r="S1227" s="89">
        <v>2</v>
      </c>
      <c r="T1227" s="89">
        <v>2</v>
      </c>
      <c r="U1227" s="89">
        <v>2</v>
      </c>
      <c r="V1227" s="89">
        <v>2</v>
      </c>
      <c r="W1227" s="89">
        <f t="shared" si="1429"/>
        <v>2</v>
      </c>
      <c r="Y1227" s="63">
        <v>-14.65</v>
      </c>
      <c r="Z1227" s="63">
        <v>-0.1</v>
      </c>
      <c r="AA1227" s="63">
        <v>-0.12</v>
      </c>
      <c r="AB1227" s="63"/>
      <c r="AC1227" s="63"/>
      <c r="AD1227" s="8">
        <f>SUM(Y1227:AC1227)</f>
        <v>-14.87</v>
      </c>
      <c r="AE1227" s="2" t="s">
        <v>91</v>
      </c>
      <c r="AG1227" s="61">
        <v>0</v>
      </c>
      <c r="AH1227" s="61">
        <v>0</v>
      </c>
      <c r="AJ1227" s="61">
        <v>0</v>
      </c>
      <c r="AK1227" s="61">
        <v>0</v>
      </c>
      <c r="AM1227" s="22"/>
      <c r="AO1227" s="3" t="s">
        <v>2041</v>
      </c>
      <c r="AP1227" s="3" t="s">
        <v>2042</v>
      </c>
      <c r="AQ1227" s="3" t="s">
        <v>305</v>
      </c>
      <c r="AR1227" s="90" t="str">
        <f>TRIM(AO1227)&amp;"-"&amp;TRIM(AP1227)&amp;"-"&amp;TRIM(AQ1227)</f>
        <v>BV6T-2C204-FB</v>
      </c>
      <c r="AT1227" s="89">
        <v>2</v>
      </c>
      <c r="AU1227" s="89">
        <v>2</v>
      </c>
      <c r="AV1227" s="89">
        <v>2</v>
      </c>
      <c r="AW1227" s="89">
        <v>2</v>
      </c>
      <c r="AX1227" s="89">
        <v>2</v>
      </c>
      <c r="AY1227" s="89">
        <v>2</v>
      </c>
      <c r="AZ1227" s="89">
        <v>2</v>
      </c>
      <c r="BA1227" s="89">
        <v>2</v>
      </c>
      <c r="BB1227" s="89">
        <f t="shared" si="1431"/>
        <v>2</v>
      </c>
      <c r="BD1227" s="63">
        <f>Y1227-0.15</f>
        <v>-14.8</v>
      </c>
      <c r="BE1227" s="63">
        <f>Z1227</f>
        <v>-0.1</v>
      </c>
      <c r="BF1227" s="63">
        <f>AA1227</f>
        <v>-0.12</v>
      </c>
      <c r="BG1227" s="63">
        <f>AB1227</f>
        <v>0</v>
      </c>
      <c r="BH1227" s="63">
        <f>AC1227</f>
        <v>0</v>
      </c>
      <c r="BI1227" s="8">
        <f>SUM(BD1227:BH1227)</f>
        <v>-15.02</v>
      </c>
      <c r="BJ1227" s="2" t="s">
        <v>91</v>
      </c>
      <c r="BL1227" s="63">
        <v>0</v>
      </c>
      <c r="BM1227" s="63">
        <v>0</v>
      </c>
      <c r="BO1227" s="63">
        <v>0</v>
      </c>
      <c r="BP1227" s="63">
        <v>0</v>
      </c>
      <c r="BS1227" s="61">
        <f t="shared" si="1414"/>
        <v>0.15000000000000036</v>
      </c>
      <c r="BT1227" s="61">
        <f t="shared" si="1414"/>
        <v>0</v>
      </c>
      <c r="BU1227" s="61">
        <f t="shared" si="1415"/>
        <v>0</v>
      </c>
      <c r="BV1227" s="61">
        <f t="shared" si="1416"/>
        <v>0</v>
      </c>
      <c r="BW1227" s="61">
        <f t="shared" si="1416"/>
        <v>0</v>
      </c>
      <c r="BX1227" s="63">
        <f t="shared" si="1416"/>
        <v>0.15000000000000036</v>
      </c>
      <c r="BY1227" s="61" t="s">
        <v>91</v>
      </c>
      <c r="CA1227" s="61" t="s">
        <v>1155</v>
      </c>
      <c r="CB1227" s="61">
        <f t="shared" si="1420"/>
        <v>4.5133142771175069E-2</v>
      </c>
      <c r="CC1227" s="61">
        <f t="shared" si="1420"/>
        <v>4.5133142771175069E-2</v>
      </c>
      <c r="CD1227" s="61">
        <f t="shared" si="1420"/>
        <v>4.5133142771175069E-2</v>
      </c>
      <c r="CE1227" s="61">
        <f t="shared" si="1420"/>
        <v>4.5133142771175069E-2</v>
      </c>
      <c r="CF1227" s="61">
        <f t="shared" si="1420"/>
        <v>4.5133142771175069E-2</v>
      </c>
      <c r="CG1227" s="61">
        <f t="shared" si="1420"/>
        <v>4.5133142771175069E-2</v>
      </c>
      <c r="CH1227" s="61">
        <f t="shared" si="1420"/>
        <v>4.5133142771175069E-2</v>
      </c>
      <c r="CI1227" s="61">
        <f t="shared" si="1421"/>
        <v>3.8814502783210567E-2</v>
      </c>
      <c r="CK1227" s="61">
        <f t="shared" si="1413"/>
        <v>4.5133142771175069E-2</v>
      </c>
      <c r="CL1227" s="61">
        <f t="shared" si="1413"/>
        <v>4.5133142771175069E-2</v>
      </c>
      <c r="CM1227" s="61">
        <f t="shared" si="1413"/>
        <v>4.5133142771175069E-2</v>
      </c>
      <c r="CN1227" s="61">
        <f t="shared" ref="CN1227:CR1290" si="1446">(R1227*$AD1227-AW1227*$BI1227)/$C$2</f>
        <v>4.5133142771175069E-2</v>
      </c>
      <c r="CO1227" s="61">
        <f t="shared" si="1446"/>
        <v>4.5133142771175069E-2</v>
      </c>
      <c r="CP1227" s="61">
        <f t="shared" si="1446"/>
        <v>4.5133142771175069E-2</v>
      </c>
      <c r="CQ1227" s="61">
        <f t="shared" si="1446"/>
        <v>4.5133142771175069E-2</v>
      </c>
      <c r="CR1227" s="61">
        <f t="shared" si="1446"/>
        <v>4.5133142771175069E-2</v>
      </c>
      <c r="CS1227" s="61">
        <f t="shared" si="1422"/>
        <v>4.5133142771175069E-2</v>
      </c>
      <c r="CT1227" s="63">
        <f t="shared" si="1425"/>
        <v>0.30000000000000071</v>
      </c>
      <c r="CU1227" s="61"/>
      <c r="CV1227" s="61">
        <f t="shared" si="1442"/>
        <v>0</v>
      </c>
      <c r="CW1227" s="61">
        <f t="shared" si="1443"/>
        <v>0</v>
      </c>
      <c r="CY1227" s="61">
        <f t="shared" si="1444"/>
        <v>0</v>
      </c>
      <c r="CZ1227" s="61">
        <f t="shared" si="1444"/>
        <v>0</v>
      </c>
      <c r="DA1227" s="61">
        <f t="shared" si="1444"/>
        <v>0</v>
      </c>
      <c r="DB1227" s="2" t="s">
        <v>86</v>
      </c>
      <c r="DC1227" s="2" t="s">
        <v>102</v>
      </c>
      <c r="DD1227" s="2" t="s">
        <v>142</v>
      </c>
      <c r="DE1227" s="2" t="s">
        <v>257</v>
      </c>
      <c r="DG1227" s="62"/>
      <c r="EC1227" s="60" t="str">
        <f>VLOOKUP($M1227,[1]Detail!$M:$BO,1,0)</f>
        <v>BV6T-2C204-FB</v>
      </c>
      <c r="ED1227" s="60">
        <f>VLOOKUP($M1227,[1]Detail!$M:$BO,22,0)</f>
        <v>-14.87</v>
      </c>
      <c r="EE1227" s="60">
        <f>VLOOKUP($M1227,[1]Detail!$M:$BO,42,0)</f>
        <v>0</v>
      </c>
      <c r="EF1227" s="60">
        <f>VLOOKUP($M1227,[1]Detail!$M:$BO,45,0)</f>
        <v>0</v>
      </c>
      <c r="EH1227" s="60">
        <f t="shared" si="1439"/>
        <v>0</v>
      </c>
      <c r="EI1227" s="60">
        <f t="shared" si="1440"/>
        <v>0</v>
      </c>
      <c r="EJ1227" s="60">
        <f t="shared" si="1441"/>
        <v>0</v>
      </c>
    </row>
    <row r="1228" spans="1:140" ht="12.75" hidden="1" customHeight="1">
      <c r="A1228" s="2" t="s">
        <v>1155</v>
      </c>
      <c r="B1228" s="1" t="s">
        <v>2043</v>
      </c>
      <c r="C1228" s="2" t="s">
        <v>2044</v>
      </c>
      <c r="D1228" s="1" t="s">
        <v>2045</v>
      </c>
      <c r="E1228" s="1" t="s">
        <v>2046</v>
      </c>
      <c r="F1228" s="2" t="s">
        <v>348</v>
      </c>
      <c r="G1228" s="3" t="s">
        <v>2047</v>
      </c>
      <c r="J1228" s="3" t="s">
        <v>600</v>
      </c>
      <c r="K1228" s="1" t="s">
        <v>2048</v>
      </c>
      <c r="L1228" s="3" t="s">
        <v>113</v>
      </c>
      <c r="M1228" s="90" t="str">
        <f t="shared" si="1432"/>
        <v>JX61-6F072-CA</v>
      </c>
      <c r="O1228" s="89">
        <v>0</v>
      </c>
      <c r="P1228" s="89">
        <v>0</v>
      </c>
      <c r="Q1228" s="89">
        <v>0</v>
      </c>
      <c r="R1228" s="89">
        <v>0</v>
      </c>
      <c r="S1228" s="89">
        <v>1</v>
      </c>
      <c r="T1228" s="89">
        <v>1</v>
      </c>
      <c r="U1228" s="89">
        <v>1</v>
      </c>
      <c r="V1228" s="89">
        <v>1</v>
      </c>
      <c r="W1228" s="89">
        <f t="shared" si="1429"/>
        <v>0.33</v>
      </c>
      <c r="Y1228" s="8">
        <f>-37.91-0.19</f>
        <v>-38.099999999999994</v>
      </c>
      <c r="Z1228" s="63">
        <v>-1.07</v>
      </c>
      <c r="AA1228" s="63">
        <v>-0.32</v>
      </c>
      <c r="AB1228" s="63">
        <v>0</v>
      </c>
      <c r="AC1228" s="63"/>
      <c r="AD1228" s="8">
        <f t="shared" ref="AD1228:AD1232" si="1447">SUM(Y1228:AC1228)</f>
        <v>-39.489999999999995</v>
      </c>
      <c r="AE1228" s="2" t="s">
        <v>91</v>
      </c>
      <c r="AG1228" s="61">
        <v>0</v>
      </c>
      <c r="AH1228" s="61">
        <v>0</v>
      </c>
      <c r="AJ1228" s="61">
        <v>0</v>
      </c>
      <c r="AK1228" s="61">
        <v>0</v>
      </c>
      <c r="AM1228" s="22"/>
      <c r="AO1228" s="3" t="s">
        <v>600</v>
      </c>
      <c r="AP1228" s="3" t="s">
        <v>2048</v>
      </c>
      <c r="AQ1228" s="3" t="s">
        <v>113</v>
      </c>
      <c r="AR1228" s="90" t="str">
        <f t="shared" ref="AR1228:AR1246" si="1448">TRIM(AO1228)&amp;"-"&amp;TRIM(AP1228)&amp;"-"&amp;TRIM(AQ1228)</f>
        <v>JX61-6F072-CA</v>
      </c>
      <c r="AT1228" s="89">
        <v>0</v>
      </c>
      <c r="AU1228" s="89">
        <v>0</v>
      </c>
      <c r="AV1228" s="89">
        <v>0</v>
      </c>
      <c r="AW1228" s="89">
        <v>0</v>
      </c>
      <c r="AX1228" s="89">
        <v>1</v>
      </c>
      <c r="AY1228" s="89">
        <v>1</v>
      </c>
      <c r="AZ1228" s="89">
        <v>1</v>
      </c>
      <c r="BA1228" s="89">
        <v>1</v>
      </c>
      <c r="BB1228" s="89">
        <f t="shared" si="1431"/>
        <v>0.33</v>
      </c>
      <c r="BD1228" s="63">
        <v>-37.090000000000003</v>
      </c>
      <c r="BE1228" s="63">
        <v>-1.07</v>
      </c>
      <c r="BF1228" s="63">
        <v>-0.32</v>
      </c>
      <c r="BG1228" s="63">
        <v>-0.82</v>
      </c>
      <c r="BH1228" s="63">
        <f>AC1228</f>
        <v>0</v>
      </c>
      <c r="BI1228" s="8">
        <f t="shared" ref="BI1228" si="1449">SUM(BD1228:BH1228)</f>
        <v>-39.300000000000004</v>
      </c>
      <c r="BJ1228" s="2" t="s">
        <v>84</v>
      </c>
      <c r="BL1228" s="63">
        <f>-814826*0</f>
        <v>0</v>
      </c>
      <c r="BM1228" s="63">
        <f>-814826*0</f>
        <v>0</v>
      </c>
      <c r="BO1228" s="63">
        <f>-3007528*0</f>
        <v>0</v>
      </c>
      <c r="BP1228" s="63">
        <v>0</v>
      </c>
      <c r="BS1228" s="61">
        <f t="shared" ref="BS1228:BS1261" si="1450">SUM(Y1228)-SUM(BD1228)</f>
        <v>-1.0099999999999909</v>
      </c>
      <c r="BT1228" s="61">
        <f t="shared" ref="BT1228:BT1261" si="1451">SUM(Z1228)-SUM(BE1228)</f>
        <v>0</v>
      </c>
      <c r="BU1228" s="61">
        <f t="shared" si="1415"/>
        <v>0</v>
      </c>
      <c r="BV1228" s="61">
        <f t="shared" ref="BV1228:BX1261" si="1452">SUM(AB1228)-SUM(BG1228)</f>
        <v>0.82</v>
      </c>
      <c r="BW1228" s="61">
        <f t="shared" si="1452"/>
        <v>0</v>
      </c>
      <c r="BX1228" s="63">
        <f t="shared" si="1452"/>
        <v>-0.18999999999999062</v>
      </c>
      <c r="BY1228" s="61" t="s">
        <v>91</v>
      </c>
      <c r="CA1228" s="61">
        <f t="shared" ref="CA1228:CD1259" si="1453">($Y1228*O1228-AT1228*$BD1228)/$C$2</f>
        <v>0</v>
      </c>
      <c r="CB1228" s="61">
        <f t="shared" si="1420"/>
        <v>0</v>
      </c>
      <c r="CC1228" s="61">
        <f t="shared" si="1420"/>
        <v>0</v>
      </c>
      <c r="CD1228" s="61">
        <f t="shared" si="1420"/>
        <v>0</v>
      </c>
      <c r="CE1228" s="61">
        <f t="shared" si="1420"/>
        <v>-0.15194824732962101</v>
      </c>
      <c r="CF1228" s="61">
        <f t="shared" si="1420"/>
        <v>-0.15194824732962101</v>
      </c>
      <c r="CG1228" s="61">
        <f t="shared" si="1420"/>
        <v>-0.15194824732962101</v>
      </c>
      <c r="CH1228" s="61">
        <f t="shared" si="1420"/>
        <v>-0.15194824732962101</v>
      </c>
      <c r="CI1228" s="61">
        <f t="shared" si="1421"/>
        <v>-5.0142921618774934E-2</v>
      </c>
      <c r="CK1228" s="61">
        <f t="shared" ref="CK1228:CR1291" si="1454">(O1228*$AD1228-AT1228*$BI1228)/$C$2</f>
        <v>0</v>
      </c>
      <c r="CL1228" s="61">
        <f t="shared" si="1454"/>
        <v>0</v>
      </c>
      <c r="CM1228" s="61">
        <f t="shared" si="1454"/>
        <v>0</v>
      </c>
      <c r="CN1228" s="61">
        <f t="shared" si="1446"/>
        <v>0</v>
      </c>
      <c r="CO1228" s="61">
        <f t="shared" si="1446"/>
        <v>-2.8584323755076066E-2</v>
      </c>
      <c r="CP1228" s="61">
        <f t="shared" si="1446"/>
        <v>-2.8584323755076066E-2</v>
      </c>
      <c r="CQ1228" s="61">
        <f t="shared" si="1446"/>
        <v>-2.8584323755076066E-2</v>
      </c>
      <c r="CR1228" s="61">
        <f t="shared" si="1446"/>
        <v>-2.8584323755076066E-2</v>
      </c>
      <c r="CS1228" s="61">
        <f t="shared" si="1422"/>
        <v>-9.4328268391751027E-3</v>
      </c>
      <c r="CT1228" s="63">
        <f t="shared" si="1425"/>
        <v>-6.2699999999996911E-2</v>
      </c>
      <c r="CU1228" s="61"/>
      <c r="CV1228" s="61">
        <f t="shared" si="1442"/>
        <v>0</v>
      </c>
      <c r="CW1228" s="61">
        <f t="shared" si="1443"/>
        <v>0</v>
      </c>
      <c r="CY1228" s="61">
        <f t="shared" si="1444"/>
        <v>0</v>
      </c>
      <c r="CZ1228" s="61">
        <f t="shared" si="1444"/>
        <v>0</v>
      </c>
      <c r="DA1228" s="61">
        <f t="shared" si="1444"/>
        <v>0</v>
      </c>
      <c r="DB1228" s="2" t="s">
        <v>86</v>
      </c>
      <c r="DC1228" s="2" t="s">
        <v>85</v>
      </c>
      <c r="DD1228" s="2" t="s">
        <v>87</v>
      </c>
      <c r="DE1228" s="2" t="s">
        <v>106</v>
      </c>
      <c r="DG1228" s="62"/>
      <c r="DZ1228" s="3" t="e">
        <v>#N/A</v>
      </c>
      <c r="EC1228" s="60" t="str">
        <f>VLOOKUP($M1228,[1]Detail!$M:$BO,1,0)</f>
        <v>JX61-6F072-CA</v>
      </c>
      <c r="ED1228" s="60">
        <f>VLOOKUP($M1228,[1]Detail!$M:$BO,22,0)</f>
        <v>-39.49</v>
      </c>
      <c r="EE1228" s="60">
        <f>VLOOKUP($M1228,[1]Detail!$M:$BO,42,0)</f>
        <v>0</v>
      </c>
      <c r="EF1228" s="60">
        <f>VLOOKUP($M1228,[1]Detail!$M:$BO,45,0)</f>
        <v>0</v>
      </c>
      <c r="EH1228" s="60">
        <f t="shared" si="1439"/>
        <v>0</v>
      </c>
      <c r="EI1228" s="60">
        <f t="shared" si="1440"/>
        <v>0</v>
      </c>
      <c r="EJ1228" s="60">
        <f t="shared" si="1441"/>
        <v>0</v>
      </c>
    </row>
    <row r="1229" spans="1:140" ht="12.75" hidden="1" customHeight="1">
      <c r="B1229" s="1" t="s">
        <v>2049</v>
      </c>
      <c r="C1229" s="2" t="s">
        <v>2050</v>
      </c>
      <c r="D1229" s="1" t="s">
        <v>2051</v>
      </c>
      <c r="E1229" s="1" t="s">
        <v>1591</v>
      </c>
      <c r="F1229" s="2" t="s">
        <v>348</v>
      </c>
      <c r="G1229" s="3" t="s">
        <v>1269</v>
      </c>
      <c r="J1229" s="3" t="s">
        <v>2052</v>
      </c>
      <c r="K1229" s="1" t="s">
        <v>2053</v>
      </c>
      <c r="L1229" s="3" t="s">
        <v>196</v>
      </c>
      <c r="M1229" s="90" t="str">
        <f t="shared" si="1432"/>
        <v>BB5T-19A487-AAW</v>
      </c>
      <c r="O1229" s="89">
        <v>1</v>
      </c>
      <c r="P1229" s="89">
        <v>1</v>
      </c>
      <c r="Q1229" s="89">
        <v>2</v>
      </c>
      <c r="R1229" s="89">
        <v>2</v>
      </c>
      <c r="S1229" s="89">
        <v>2</v>
      </c>
      <c r="T1229" s="89">
        <v>2</v>
      </c>
      <c r="U1229" s="89">
        <v>1</v>
      </c>
      <c r="V1229" s="89">
        <v>1</v>
      </c>
      <c r="W1229" s="89">
        <f t="shared" si="1429"/>
        <v>1.6</v>
      </c>
      <c r="Y1229" s="63">
        <v>-2.37</v>
      </c>
      <c r="Z1229" s="63">
        <v>-0.2</v>
      </c>
      <c r="AA1229" s="63">
        <v>0</v>
      </c>
      <c r="AB1229" s="63">
        <v>0</v>
      </c>
      <c r="AC1229" s="63">
        <v>0</v>
      </c>
      <c r="AD1229" s="8">
        <f t="shared" si="1447"/>
        <v>-2.5700000000000003</v>
      </c>
      <c r="AE1229" s="2" t="s">
        <v>91</v>
      </c>
      <c r="AG1229" s="61">
        <v>0</v>
      </c>
      <c r="AH1229" s="61">
        <v>0</v>
      </c>
      <c r="AJ1229" s="61">
        <v>0</v>
      </c>
      <c r="AK1229" s="61">
        <v>0</v>
      </c>
      <c r="AM1229" s="22"/>
      <c r="AO1229" s="3" t="s">
        <v>2052</v>
      </c>
      <c r="AP1229" s="3" t="s">
        <v>2053</v>
      </c>
      <c r="AQ1229" s="3" t="s">
        <v>196</v>
      </c>
      <c r="AR1229" s="90" t="str">
        <f t="shared" si="1448"/>
        <v>BB5T-19A487-AAW</v>
      </c>
      <c r="AT1229" s="89">
        <v>1</v>
      </c>
      <c r="AU1229" s="89">
        <v>1</v>
      </c>
      <c r="AV1229" s="89">
        <v>1</v>
      </c>
      <c r="AW1229" s="89">
        <v>1</v>
      </c>
      <c r="AX1229" s="89">
        <v>1</v>
      </c>
      <c r="AY1229" s="89">
        <v>1</v>
      </c>
      <c r="AZ1229" s="89">
        <v>1</v>
      </c>
      <c r="BA1229" s="89">
        <v>1</v>
      </c>
      <c r="BB1229" s="89">
        <f t="shared" si="1431"/>
        <v>1</v>
      </c>
      <c r="BD1229" s="63">
        <v>-2.37</v>
      </c>
      <c r="BE1229" s="63">
        <v>-0.2</v>
      </c>
      <c r="BF1229" s="63">
        <v>0</v>
      </c>
      <c r="BG1229" s="63">
        <v>0</v>
      </c>
      <c r="BH1229" s="63">
        <v>0</v>
      </c>
      <c r="BI1229" s="8">
        <f t="shared" ref="BI1229:BI1232" si="1455">SUM(BD1229:BH1229)</f>
        <v>-2.5700000000000003</v>
      </c>
      <c r="BJ1229" s="2" t="s">
        <v>84</v>
      </c>
      <c r="BL1229" s="63">
        <f t="shared" ref="BL1229:BM1238" si="1456">-814826*0</f>
        <v>0</v>
      </c>
      <c r="BM1229" s="63">
        <f t="shared" si="1456"/>
        <v>0</v>
      </c>
      <c r="BO1229" s="63">
        <f t="shared" ref="BO1229:BO1241" si="1457">-3007528*0</f>
        <v>0</v>
      </c>
      <c r="BP1229" s="63">
        <v>0</v>
      </c>
      <c r="BS1229" s="61">
        <f t="shared" si="1450"/>
        <v>0</v>
      </c>
      <c r="BT1229" s="61">
        <f t="shared" si="1451"/>
        <v>0</v>
      </c>
      <c r="BU1229" s="61">
        <f t="shared" si="1415"/>
        <v>0</v>
      </c>
      <c r="BV1229" s="61">
        <f t="shared" si="1452"/>
        <v>0</v>
      </c>
      <c r="BW1229" s="61">
        <f t="shared" si="1452"/>
        <v>0</v>
      </c>
      <c r="BX1229" s="63">
        <f t="shared" si="1452"/>
        <v>0</v>
      </c>
      <c r="BY1229" s="61" t="s">
        <v>91</v>
      </c>
      <c r="CA1229" s="61">
        <f t="shared" si="1453"/>
        <v>0</v>
      </c>
      <c r="CB1229" s="61">
        <f t="shared" si="1420"/>
        <v>0</v>
      </c>
      <c r="CC1229" s="61">
        <f t="shared" si="1420"/>
        <v>-0.35655182789228224</v>
      </c>
      <c r="CD1229" s="61">
        <f t="shared" si="1420"/>
        <v>-0.35655182789228224</v>
      </c>
      <c r="CE1229" s="61">
        <f t="shared" si="1420"/>
        <v>-0.35655182789228224</v>
      </c>
      <c r="CF1229" s="61">
        <f t="shared" si="1420"/>
        <v>-0.35655182789228224</v>
      </c>
      <c r="CG1229" s="61">
        <f t="shared" si="1420"/>
        <v>0</v>
      </c>
      <c r="CH1229" s="61">
        <f t="shared" si="1420"/>
        <v>0</v>
      </c>
      <c r="CI1229" s="61">
        <f t="shared" si="1421"/>
        <v>-0.21393109673536936</v>
      </c>
      <c r="CK1229" s="61">
        <f t="shared" si="1454"/>
        <v>0</v>
      </c>
      <c r="CL1229" s="61">
        <f t="shared" si="1454"/>
        <v>0</v>
      </c>
      <c r="CM1229" s="61">
        <f t="shared" si="1454"/>
        <v>-0.38664058973973225</v>
      </c>
      <c r="CN1229" s="61">
        <f t="shared" si="1446"/>
        <v>-0.38664058973973225</v>
      </c>
      <c r="CO1229" s="61">
        <f t="shared" si="1446"/>
        <v>-0.38664058973973225</v>
      </c>
      <c r="CP1229" s="61">
        <f t="shared" si="1446"/>
        <v>-0.38664058973973225</v>
      </c>
      <c r="CQ1229" s="61">
        <f t="shared" si="1446"/>
        <v>0</v>
      </c>
      <c r="CR1229" s="61">
        <f t="shared" si="1446"/>
        <v>0</v>
      </c>
      <c r="CS1229" s="61">
        <f t="shared" si="1422"/>
        <v>-0.23198435384383936</v>
      </c>
      <c r="CT1229" s="63">
        <f t="shared" si="1425"/>
        <v>-1.5420000000000003</v>
      </c>
      <c r="CU1229" s="61"/>
      <c r="CV1229" s="61">
        <f t="shared" ref="CV1229:CV1232" si="1458">SUM(AG1229)-SUM(BL1229)</f>
        <v>0</v>
      </c>
      <c r="CW1229" s="61">
        <f t="shared" ref="CW1229:CW1232" si="1459">SUM(AH1229)-SUM(BM1229)</f>
        <v>0</v>
      </c>
      <c r="CY1229" s="61">
        <f t="shared" si="1444"/>
        <v>0</v>
      </c>
      <c r="CZ1229" s="61">
        <f t="shared" si="1444"/>
        <v>0</v>
      </c>
      <c r="DA1229" s="61">
        <f t="shared" si="1444"/>
        <v>0</v>
      </c>
      <c r="DB1229" s="2" t="s">
        <v>85</v>
      </c>
      <c r="DC1229" s="2" t="s">
        <v>85</v>
      </c>
      <c r="DD1229" s="2" t="s">
        <v>87</v>
      </c>
      <c r="DE1229" s="2" t="s">
        <v>257</v>
      </c>
      <c r="DG1229" s="62"/>
      <c r="EC1229" s="60"/>
      <c r="ED1229" s="60"/>
      <c r="EE1229" s="60"/>
      <c r="EF1229" s="60"/>
    </row>
    <row r="1230" spans="1:140" ht="12.75" hidden="1" customHeight="1">
      <c r="B1230" s="1" t="s">
        <v>2054</v>
      </c>
      <c r="C1230" s="2" t="s">
        <v>2050</v>
      </c>
      <c r="D1230" s="1" t="s">
        <v>2051</v>
      </c>
      <c r="E1230" s="1" t="s">
        <v>1591</v>
      </c>
      <c r="F1230" s="2" t="s">
        <v>348</v>
      </c>
      <c r="G1230" s="3" t="s">
        <v>1269</v>
      </c>
      <c r="J1230" s="3" t="s">
        <v>110</v>
      </c>
      <c r="K1230" s="1" t="s">
        <v>2053</v>
      </c>
      <c r="L1230" s="3" t="s">
        <v>196</v>
      </c>
      <c r="M1230" s="90" t="str">
        <f t="shared" si="1432"/>
        <v>JD8T-19A487-AAW</v>
      </c>
      <c r="O1230" s="89">
        <v>1</v>
      </c>
      <c r="P1230" s="89">
        <v>1</v>
      </c>
      <c r="Q1230" s="89">
        <v>1</v>
      </c>
      <c r="R1230" s="89">
        <v>1</v>
      </c>
      <c r="S1230" s="89">
        <v>1</v>
      </c>
      <c r="T1230" s="89">
        <v>1</v>
      </c>
      <c r="U1230" s="89">
        <v>1</v>
      </c>
      <c r="V1230" s="89">
        <v>1</v>
      </c>
      <c r="W1230" s="89">
        <f t="shared" si="1429"/>
        <v>1</v>
      </c>
      <c r="Y1230" s="63">
        <v>-2.67</v>
      </c>
      <c r="Z1230" s="63">
        <v>-0.2</v>
      </c>
      <c r="AA1230" s="63">
        <v>0</v>
      </c>
      <c r="AB1230" s="63">
        <v>0</v>
      </c>
      <c r="AC1230" s="63">
        <v>0</v>
      </c>
      <c r="AD1230" s="8">
        <f t="shared" si="1447"/>
        <v>-2.87</v>
      </c>
      <c r="AE1230" s="2" t="s">
        <v>91</v>
      </c>
      <c r="AG1230" s="61">
        <v>0</v>
      </c>
      <c r="AH1230" s="61">
        <v>0</v>
      </c>
      <c r="AJ1230" s="61">
        <v>0</v>
      </c>
      <c r="AK1230" s="61">
        <v>0</v>
      </c>
      <c r="AM1230" s="22"/>
      <c r="AO1230" s="3" t="s">
        <v>2052</v>
      </c>
      <c r="AP1230" s="1" t="s">
        <v>2053</v>
      </c>
      <c r="AQ1230" s="3" t="s">
        <v>196</v>
      </c>
      <c r="AR1230" s="90" t="str">
        <f t="shared" si="1448"/>
        <v>BB5T-19A487-AAW</v>
      </c>
      <c r="AS1230" s="3"/>
      <c r="AT1230" s="89">
        <v>1</v>
      </c>
      <c r="AU1230" s="89">
        <v>1</v>
      </c>
      <c r="AV1230" s="89">
        <v>2</v>
      </c>
      <c r="AW1230" s="89">
        <v>2</v>
      </c>
      <c r="AX1230" s="89">
        <v>2</v>
      </c>
      <c r="AY1230" s="89">
        <v>2</v>
      </c>
      <c r="AZ1230" s="89">
        <v>1</v>
      </c>
      <c r="BA1230" s="89">
        <v>1</v>
      </c>
      <c r="BB1230" s="89">
        <f t="shared" si="1431"/>
        <v>1.6</v>
      </c>
      <c r="BD1230" s="63">
        <v>-2.37</v>
      </c>
      <c r="BE1230" s="63">
        <v>-0.2</v>
      </c>
      <c r="BF1230" s="63">
        <v>0</v>
      </c>
      <c r="BG1230" s="63">
        <v>0</v>
      </c>
      <c r="BH1230" s="63">
        <v>0</v>
      </c>
      <c r="BI1230" s="8">
        <f t="shared" ref="BI1230" si="1460">SUM(BD1230:BH1230)</f>
        <v>-2.5700000000000003</v>
      </c>
      <c r="BJ1230" s="2" t="s">
        <v>91</v>
      </c>
      <c r="BL1230" s="61">
        <v>0</v>
      </c>
      <c r="BM1230" s="61">
        <v>0</v>
      </c>
      <c r="BO1230" s="61">
        <v>0</v>
      </c>
      <c r="BP1230" s="61">
        <v>0</v>
      </c>
      <c r="BR1230" s="22"/>
      <c r="BS1230" s="61">
        <f t="shared" si="1450"/>
        <v>-0.29999999999999982</v>
      </c>
      <c r="BT1230" s="61">
        <f t="shared" si="1451"/>
        <v>0</v>
      </c>
      <c r="BU1230" s="61">
        <f t="shared" si="1415"/>
        <v>0</v>
      </c>
      <c r="BV1230" s="61">
        <f t="shared" si="1452"/>
        <v>0</v>
      </c>
      <c r="BW1230" s="61">
        <f t="shared" si="1452"/>
        <v>0</v>
      </c>
      <c r="BX1230" s="63">
        <f t="shared" si="1452"/>
        <v>-0.29999999999999982</v>
      </c>
      <c r="BY1230" s="61" t="s">
        <v>91</v>
      </c>
      <c r="CA1230" s="61">
        <f t="shared" si="1453"/>
        <v>-4.5133142771174938E-2</v>
      </c>
      <c r="CB1230" s="61">
        <f t="shared" si="1420"/>
        <v>-4.5133142771174938E-2</v>
      </c>
      <c r="CC1230" s="61">
        <f t="shared" si="1420"/>
        <v>0.31141868512110732</v>
      </c>
      <c r="CD1230" s="61">
        <f t="shared" si="1420"/>
        <v>0.31141868512110732</v>
      </c>
      <c r="CE1230" s="61">
        <f t="shared" si="1420"/>
        <v>0.31141868512110732</v>
      </c>
      <c r="CF1230" s="61">
        <f t="shared" si="1420"/>
        <v>0.31141868512110732</v>
      </c>
      <c r="CG1230" s="61">
        <f t="shared" si="1420"/>
        <v>-4.5133142771174938E-2</v>
      </c>
      <c r="CH1230" s="61">
        <f t="shared" si="1420"/>
        <v>-4.5133142771174938E-2</v>
      </c>
      <c r="CI1230" s="61">
        <f t="shared" si="1421"/>
        <v>0.16879795396419442</v>
      </c>
      <c r="CK1230" s="61">
        <f t="shared" si="1454"/>
        <v>-4.5133142771174938E-2</v>
      </c>
      <c r="CL1230" s="61">
        <f t="shared" si="1454"/>
        <v>-4.5133142771174938E-2</v>
      </c>
      <c r="CM1230" s="61">
        <f t="shared" si="1454"/>
        <v>0.34150744696855728</v>
      </c>
      <c r="CN1230" s="61">
        <f t="shared" si="1446"/>
        <v>0.34150744696855728</v>
      </c>
      <c r="CO1230" s="61">
        <f t="shared" si="1446"/>
        <v>0.34150744696855728</v>
      </c>
      <c r="CP1230" s="61">
        <f t="shared" si="1446"/>
        <v>0.34150744696855728</v>
      </c>
      <c r="CQ1230" s="61">
        <f t="shared" si="1446"/>
        <v>-4.5133142771174938E-2</v>
      </c>
      <c r="CR1230" s="61">
        <f t="shared" si="1446"/>
        <v>-4.5133142771174938E-2</v>
      </c>
      <c r="CS1230" s="61">
        <f t="shared" si="1422"/>
        <v>0.18685121107266439</v>
      </c>
      <c r="CT1230" s="63">
        <f t="shared" si="1425"/>
        <v>1.2420000000000002</v>
      </c>
      <c r="CU1230" s="61"/>
      <c r="CV1230" s="61">
        <f t="shared" ref="CV1230:CV1231" si="1461">SUM(AG1230)-SUM(BL1230)</f>
        <v>0</v>
      </c>
      <c r="CW1230" s="61">
        <f t="shared" ref="CW1230:CW1231" si="1462">SUM(AH1230)-SUM(BM1230)</f>
        <v>0</v>
      </c>
      <c r="CY1230" s="61">
        <f t="shared" si="1444"/>
        <v>0</v>
      </c>
      <c r="CZ1230" s="61">
        <f t="shared" si="1444"/>
        <v>0</v>
      </c>
      <c r="DA1230" s="61">
        <f t="shared" si="1444"/>
        <v>0</v>
      </c>
      <c r="DB1230" s="2" t="s">
        <v>86</v>
      </c>
      <c r="DC1230" s="2" t="s">
        <v>85</v>
      </c>
      <c r="DD1230" s="2" t="s">
        <v>87</v>
      </c>
      <c r="DE1230" s="2" t="s">
        <v>257</v>
      </c>
      <c r="DG1230" s="62"/>
      <c r="EC1230" s="60" t="str">
        <f>VLOOKUP($M1230,[1]Detail!$M:$BO,1,0)</f>
        <v>JD8T-19A487-AAW</v>
      </c>
      <c r="ED1230" s="60">
        <f>VLOOKUP($M1230,[1]Detail!$M:$BO,22,0)</f>
        <v>-2.87</v>
      </c>
      <c r="EE1230" s="60">
        <f>VLOOKUP($M1230,[1]Detail!$M:$BO,42,0)</f>
        <v>0</v>
      </c>
      <c r="EF1230" s="60">
        <f>VLOOKUP($M1230,[1]Detail!$M:$BO,45,0)</f>
        <v>0</v>
      </c>
      <c r="EH1230" s="60">
        <f t="shared" ref="EH1230:EH1237" si="1463">ED1230-AD1230</f>
        <v>0</v>
      </c>
      <c r="EI1230" s="60">
        <f t="shared" ref="EI1230:EI1237" si="1464">EE1230-AG1230</f>
        <v>0</v>
      </c>
      <c r="EJ1230" s="60">
        <f t="shared" ref="EJ1230:EJ1237" si="1465">EF1230-AJ1230</f>
        <v>0</v>
      </c>
    </row>
    <row r="1231" spans="1:140" ht="12.75" hidden="1" customHeight="1">
      <c r="B1231" s="1" t="s">
        <v>2054</v>
      </c>
      <c r="C1231" s="2" t="s">
        <v>2050</v>
      </c>
      <c r="D1231" s="1" t="s">
        <v>2051</v>
      </c>
      <c r="E1231" s="1" t="s">
        <v>1591</v>
      </c>
      <c r="F1231" s="2" t="s">
        <v>348</v>
      </c>
      <c r="G1231" s="3" t="s">
        <v>1269</v>
      </c>
      <c r="J1231" s="3" t="s">
        <v>110</v>
      </c>
      <c r="K1231" s="1" t="s">
        <v>2053</v>
      </c>
      <c r="L1231" s="3" t="s">
        <v>1527</v>
      </c>
      <c r="M1231" s="90" t="str">
        <f t="shared" si="1432"/>
        <v>JD8T-19A487-ABW </v>
      </c>
      <c r="O1231" s="89">
        <v>1</v>
      </c>
      <c r="P1231" s="89">
        <v>1</v>
      </c>
      <c r="Q1231" s="89">
        <v>1</v>
      </c>
      <c r="R1231" s="89">
        <v>1</v>
      </c>
      <c r="S1231" s="89">
        <v>1</v>
      </c>
      <c r="T1231" s="89">
        <v>1</v>
      </c>
      <c r="U1231" s="89">
        <v>1</v>
      </c>
      <c r="V1231" s="89">
        <v>1</v>
      </c>
      <c r="W1231" s="89">
        <f t="shared" si="1429"/>
        <v>1</v>
      </c>
      <c r="Y1231" s="63">
        <v>-2.67</v>
      </c>
      <c r="Z1231" s="63">
        <v>-0.2</v>
      </c>
      <c r="AA1231" s="63">
        <v>0</v>
      </c>
      <c r="AB1231" s="63">
        <v>0</v>
      </c>
      <c r="AC1231" s="63">
        <v>0</v>
      </c>
      <c r="AD1231" s="8">
        <f t="shared" ref="AD1231" si="1466">SUM(Y1231:AC1231)</f>
        <v>-2.87</v>
      </c>
      <c r="AE1231" s="2" t="s">
        <v>91</v>
      </c>
      <c r="AG1231" s="61">
        <v>0</v>
      </c>
      <c r="AH1231" s="61">
        <v>0</v>
      </c>
      <c r="AJ1231" s="61">
        <v>0</v>
      </c>
      <c r="AK1231" s="61">
        <v>0</v>
      </c>
      <c r="AM1231" s="22"/>
      <c r="AO1231" s="3" t="s">
        <v>2052</v>
      </c>
      <c r="AP1231" s="1" t="s">
        <v>2053</v>
      </c>
      <c r="AQ1231" s="3" t="s">
        <v>196</v>
      </c>
      <c r="AR1231" s="90" t="str">
        <f t="shared" si="1448"/>
        <v>BB5T-19A487-AAW</v>
      </c>
      <c r="AS1231" s="3"/>
      <c r="AT1231" s="89">
        <v>0</v>
      </c>
      <c r="AU1231" s="89">
        <v>0</v>
      </c>
      <c r="AV1231" s="89">
        <v>0</v>
      </c>
      <c r="AW1231" s="89">
        <v>0</v>
      </c>
      <c r="AX1231" s="89">
        <v>0</v>
      </c>
      <c r="AY1231" s="89">
        <v>0</v>
      </c>
      <c r="AZ1231" s="89">
        <v>0</v>
      </c>
      <c r="BA1231" s="89">
        <v>0</v>
      </c>
      <c r="BB1231" s="89">
        <f t="shared" si="1431"/>
        <v>0</v>
      </c>
      <c r="BD1231" s="63">
        <v>-2.37</v>
      </c>
      <c r="BE1231" s="63">
        <v>-0.2</v>
      </c>
      <c r="BF1231" s="63">
        <v>0</v>
      </c>
      <c r="BG1231" s="63">
        <v>0</v>
      </c>
      <c r="BH1231" s="63">
        <v>0</v>
      </c>
      <c r="BI1231" s="8">
        <f t="shared" ref="BI1231" si="1467">SUM(BD1231:BH1231)</f>
        <v>-2.5700000000000003</v>
      </c>
      <c r="BJ1231" s="2" t="s">
        <v>91</v>
      </c>
      <c r="BL1231" s="61">
        <v>0</v>
      </c>
      <c r="BM1231" s="61">
        <v>0</v>
      </c>
      <c r="BO1231" s="61">
        <v>0</v>
      </c>
      <c r="BP1231" s="61">
        <v>0</v>
      </c>
      <c r="BS1231" s="61">
        <f t="shared" si="1450"/>
        <v>-0.29999999999999982</v>
      </c>
      <c r="BT1231" s="61">
        <f t="shared" si="1451"/>
        <v>0</v>
      </c>
      <c r="BU1231" s="61">
        <f t="shared" si="1415"/>
        <v>0</v>
      </c>
      <c r="BV1231" s="61">
        <f t="shared" si="1452"/>
        <v>0</v>
      </c>
      <c r="BW1231" s="61">
        <f t="shared" si="1452"/>
        <v>0</v>
      </c>
      <c r="BX1231" s="63">
        <f t="shared" si="1452"/>
        <v>-0.29999999999999982</v>
      </c>
      <c r="BY1231" s="61" t="s">
        <v>91</v>
      </c>
      <c r="CA1231" s="61">
        <f t="shared" si="1453"/>
        <v>-0.40168497066345715</v>
      </c>
      <c r="CB1231" s="61">
        <f t="shared" si="1420"/>
        <v>-0.40168497066345715</v>
      </c>
      <c r="CC1231" s="61">
        <f t="shared" si="1420"/>
        <v>-0.40168497066345715</v>
      </c>
      <c r="CD1231" s="61">
        <f t="shared" si="1420"/>
        <v>-0.40168497066345715</v>
      </c>
      <c r="CE1231" s="61">
        <f t="shared" si="1420"/>
        <v>-0.40168497066345715</v>
      </c>
      <c r="CF1231" s="61">
        <f t="shared" si="1420"/>
        <v>-0.40168497066345715</v>
      </c>
      <c r="CG1231" s="61">
        <f t="shared" si="1420"/>
        <v>-0.40168497066345715</v>
      </c>
      <c r="CH1231" s="61">
        <f t="shared" si="1420"/>
        <v>-0.40168497066345715</v>
      </c>
      <c r="CI1231" s="61">
        <f t="shared" si="1421"/>
        <v>-0.40168497066345721</v>
      </c>
      <c r="CK1231" s="61">
        <f t="shared" si="1454"/>
        <v>-0.43177373251090717</v>
      </c>
      <c r="CL1231" s="61">
        <f t="shared" si="1454"/>
        <v>-0.43177373251090717</v>
      </c>
      <c r="CM1231" s="61">
        <f t="shared" si="1454"/>
        <v>-0.43177373251090717</v>
      </c>
      <c r="CN1231" s="61">
        <f t="shared" si="1446"/>
        <v>-0.43177373251090717</v>
      </c>
      <c r="CO1231" s="61">
        <f t="shared" si="1446"/>
        <v>-0.43177373251090717</v>
      </c>
      <c r="CP1231" s="61">
        <f t="shared" si="1446"/>
        <v>-0.43177373251090717</v>
      </c>
      <c r="CQ1231" s="61">
        <f t="shared" si="1446"/>
        <v>-0.43177373251090717</v>
      </c>
      <c r="CR1231" s="61">
        <f t="shared" si="1446"/>
        <v>-0.43177373251090717</v>
      </c>
      <c r="CS1231" s="61">
        <f t="shared" si="1422"/>
        <v>-0.43177373251090717</v>
      </c>
      <c r="CT1231" s="63">
        <f t="shared" si="1425"/>
        <v>-2.87</v>
      </c>
      <c r="CU1231" s="61"/>
      <c r="CV1231" s="61">
        <f t="shared" si="1461"/>
        <v>0</v>
      </c>
      <c r="CW1231" s="61">
        <f t="shared" si="1462"/>
        <v>0</v>
      </c>
      <c r="CY1231" s="61">
        <f t="shared" si="1444"/>
        <v>0</v>
      </c>
      <c r="CZ1231" s="61">
        <f t="shared" si="1444"/>
        <v>0</v>
      </c>
      <c r="DA1231" s="61">
        <f t="shared" si="1444"/>
        <v>0</v>
      </c>
      <c r="DB1231" s="2" t="s">
        <v>86</v>
      </c>
      <c r="DC1231" s="2" t="s">
        <v>85</v>
      </c>
      <c r="DD1231" s="2" t="s">
        <v>87</v>
      </c>
      <c r="DE1231" s="2" t="s">
        <v>257</v>
      </c>
      <c r="DG1231" s="62"/>
      <c r="EC1231" s="60" t="str">
        <f>VLOOKUP($M1231,[1]Detail!$M:$BO,1,0)</f>
        <v>JD8T-19A487-ABW </v>
      </c>
      <c r="ED1231" s="60">
        <f>VLOOKUP($M1231,[1]Detail!$M:$BO,22,0)</f>
        <v>-2.87</v>
      </c>
      <c r="EE1231" s="60">
        <f>VLOOKUP($M1231,[1]Detail!$M:$BO,42,0)</f>
        <v>0</v>
      </c>
      <c r="EF1231" s="60">
        <f>VLOOKUP($M1231,[1]Detail!$M:$BO,45,0)</f>
        <v>0</v>
      </c>
      <c r="EH1231" s="60">
        <f t="shared" si="1463"/>
        <v>0</v>
      </c>
      <c r="EI1231" s="60">
        <f t="shared" si="1464"/>
        <v>0</v>
      </c>
      <c r="EJ1231" s="60">
        <f t="shared" si="1465"/>
        <v>0</v>
      </c>
    </row>
    <row r="1232" spans="1:140" ht="12.75" hidden="1" customHeight="1">
      <c r="B1232" s="1" t="s">
        <v>2049</v>
      </c>
      <c r="C1232" s="2" t="s">
        <v>2050</v>
      </c>
      <c r="D1232" s="1" t="s">
        <v>2051</v>
      </c>
      <c r="E1232" s="1" t="s">
        <v>1591</v>
      </c>
      <c r="F1232" s="2" t="s">
        <v>348</v>
      </c>
      <c r="G1232" s="3" t="s">
        <v>1269</v>
      </c>
      <c r="J1232" s="3" t="s">
        <v>2055</v>
      </c>
      <c r="K1232" s="1" t="s">
        <v>2056</v>
      </c>
      <c r="L1232" s="3" t="s">
        <v>100</v>
      </c>
      <c r="M1232" s="90" t="str">
        <f t="shared" si="1432"/>
        <v>6R33 -19G247-AA</v>
      </c>
      <c r="O1232" s="89">
        <v>1</v>
      </c>
      <c r="P1232" s="89">
        <v>1</v>
      </c>
      <c r="Q1232" s="89">
        <v>2</v>
      </c>
      <c r="R1232" s="89">
        <v>2</v>
      </c>
      <c r="S1232" s="89">
        <v>2</v>
      </c>
      <c r="T1232" s="89">
        <v>2</v>
      </c>
      <c r="U1232" s="89">
        <v>1</v>
      </c>
      <c r="V1232" s="89">
        <v>1</v>
      </c>
      <c r="W1232" s="89">
        <f t="shared" si="1429"/>
        <v>1.6</v>
      </c>
      <c r="Y1232" s="63">
        <v>-2.62</v>
      </c>
      <c r="Z1232" s="63">
        <v>-0.1</v>
      </c>
      <c r="AA1232" s="63">
        <v>0</v>
      </c>
      <c r="AB1232" s="63">
        <v>0</v>
      </c>
      <c r="AC1232" s="63">
        <v>0</v>
      </c>
      <c r="AD1232" s="8">
        <f t="shared" si="1447"/>
        <v>-2.72</v>
      </c>
      <c r="AE1232" s="2" t="s">
        <v>91</v>
      </c>
      <c r="AG1232" s="61">
        <v>0</v>
      </c>
      <c r="AH1232" s="61">
        <v>0</v>
      </c>
      <c r="AJ1232" s="61">
        <v>0</v>
      </c>
      <c r="AK1232" s="61">
        <v>0</v>
      </c>
      <c r="AM1232" s="22"/>
      <c r="AO1232" s="3" t="s">
        <v>2055</v>
      </c>
      <c r="AP1232" s="3" t="s">
        <v>2056</v>
      </c>
      <c r="AQ1232" s="3" t="s">
        <v>100</v>
      </c>
      <c r="AR1232" s="90" t="str">
        <f t="shared" si="1448"/>
        <v>6R33 -19G247-AA</v>
      </c>
      <c r="AT1232" s="89">
        <v>1</v>
      </c>
      <c r="AU1232" s="89">
        <v>1</v>
      </c>
      <c r="AV1232" s="89">
        <v>1</v>
      </c>
      <c r="AW1232" s="89">
        <v>1</v>
      </c>
      <c r="AX1232" s="89">
        <v>1</v>
      </c>
      <c r="AY1232" s="89">
        <v>1</v>
      </c>
      <c r="AZ1232" s="89">
        <v>1</v>
      </c>
      <c r="BA1232" s="89">
        <v>1</v>
      </c>
      <c r="BB1232" s="89">
        <f t="shared" si="1431"/>
        <v>1</v>
      </c>
      <c r="BD1232" s="63">
        <v>-2.62</v>
      </c>
      <c r="BE1232" s="63">
        <v>-0.1</v>
      </c>
      <c r="BF1232" s="63">
        <v>0</v>
      </c>
      <c r="BG1232" s="63">
        <v>0</v>
      </c>
      <c r="BH1232" s="63">
        <v>0</v>
      </c>
      <c r="BI1232" s="8">
        <f t="shared" si="1455"/>
        <v>-2.72</v>
      </c>
      <c r="BJ1232" s="2" t="s">
        <v>84</v>
      </c>
      <c r="BL1232" s="63">
        <f t="shared" si="1456"/>
        <v>0</v>
      </c>
      <c r="BM1232" s="63">
        <f t="shared" si="1456"/>
        <v>0</v>
      </c>
      <c r="BO1232" s="63">
        <f t="shared" si="1457"/>
        <v>0</v>
      </c>
      <c r="BP1232" s="63">
        <v>0</v>
      </c>
      <c r="BS1232" s="61">
        <f t="shared" si="1450"/>
        <v>0</v>
      </c>
      <c r="BT1232" s="61">
        <f t="shared" si="1451"/>
        <v>0</v>
      </c>
      <c r="BU1232" s="61">
        <f t="shared" si="1415"/>
        <v>0</v>
      </c>
      <c r="BV1232" s="61">
        <f t="shared" si="1452"/>
        <v>0</v>
      </c>
      <c r="BW1232" s="61">
        <f t="shared" si="1452"/>
        <v>0</v>
      </c>
      <c r="BX1232" s="63">
        <f t="shared" si="1452"/>
        <v>0</v>
      </c>
      <c r="BY1232" s="61" t="s">
        <v>91</v>
      </c>
      <c r="CA1232" s="61">
        <f t="shared" si="1453"/>
        <v>0</v>
      </c>
      <c r="CB1232" s="61">
        <f t="shared" si="1420"/>
        <v>0</v>
      </c>
      <c r="CC1232" s="61">
        <f t="shared" si="1420"/>
        <v>-0.39416278020159473</v>
      </c>
      <c r="CD1232" s="61">
        <f t="shared" si="1420"/>
        <v>-0.39416278020159473</v>
      </c>
      <c r="CE1232" s="61">
        <f t="shared" si="1420"/>
        <v>-0.39416278020159473</v>
      </c>
      <c r="CF1232" s="61">
        <f t="shared" si="1420"/>
        <v>-0.39416278020159473</v>
      </c>
      <c r="CG1232" s="61">
        <f t="shared" si="1420"/>
        <v>0</v>
      </c>
      <c r="CH1232" s="61">
        <f t="shared" si="1420"/>
        <v>0</v>
      </c>
      <c r="CI1232" s="61">
        <f t="shared" si="1421"/>
        <v>-0.23649766812095685</v>
      </c>
      <c r="CK1232" s="61">
        <f t="shared" si="1454"/>
        <v>0</v>
      </c>
      <c r="CL1232" s="61">
        <f t="shared" si="1454"/>
        <v>0</v>
      </c>
      <c r="CM1232" s="61">
        <f t="shared" si="1454"/>
        <v>-0.40920716112531969</v>
      </c>
      <c r="CN1232" s="61">
        <f t="shared" si="1446"/>
        <v>-0.40920716112531969</v>
      </c>
      <c r="CO1232" s="61">
        <f t="shared" si="1446"/>
        <v>-0.40920716112531969</v>
      </c>
      <c r="CP1232" s="61">
        <f t="shared" si="1446"/>
        <v>-0.40920716112531969</v>
      </c>
      <c r="CQ1232" s="61">
        <f t="shared" si="1446"/>
        <v>0</v>
      </c>
      <c r="CR1232" s="61">
        <f t="shared" si="1446"/>
        <v>0</v>
      </c>
      <c r="CS1232" s="61">
        <f t="shared" si="1422"/>
        <v>-0.24552429667519182</v>
      </c>
      <c r="CT1232" s="63">
        <f t="shared" si="1425"/>
        <v>-1.6320000000000001</v>
      </c>
      <c r="CU1232" s="61"/>
      <c r="CV1232" s="61">
        <f t="shared" si="1458"/>
        <v>0</v>
      </c>
      <c r="CW1232" s="61">
        <f t="shared" si="1459"/>
        <v>0</v>
      </c>
      <c r="CY1232" s="61">
        <f t="shared" si="1444"/>
        <v>0</v>
      </c>
      <c r="CZ1232" s="61">
        <f t="shared" si="1444"/>
        <v>0</v>
      </c>
      <c r="DA1232" s="61">
        <f t="shared" si="1444"/>
        <v>0</v>
      </c>
      <c r="DB1232" s="2" t="s">
        <v>86</v>
      </c>
      <c r="DC1232" s="2" t="s">
        <v>85</v>
      </c>
      <c r="DD1232" s="2" t="s">
        <v>87</v>
      </c>
      <c r="DE1232" s="2" t="s">
        <v>257</v>
      </c>
      <c r="DG1232" s="62"/>
      <c r="EC1232" s="60" t="str">
        <f>VLOOKUP($M1232,[1]Detail!$M:$BO,1,0)</f>
        <v>6R33 -19G247-AA</v>
      </c>
      <c r="ED1232" s="60">
        <f>VLOOKUP($M1232,[1]Detail!$M:$BO,22,0)</f>
        <v>-2.72</v>
      </c>
      <c r="EE1232" s="60">
        <f>VLOOKUP($M1232,[1]Detail!$M:$BO,42,0)</f>
        <v>0</v>
      </c>
      <c r="EF1232" s="60">
        <f>VLOOKUP($M1232,[1]Detail!$M:$BO,45,0)</f>
        <v>0</v>
      </c>
      <c r="EH1232" s="60">
        <f t="shared" si="1463"/>
        <v>0</v>
      </c>
      <c r="EI1232" s="60">
        <f t="shared" si="1464"/>
        <v>0</v>
      </c>
      <c r="EJ1232" s="60">
        <f t="shared" si="1465"/>
        <v>0</v>
      </c>
    </row>
    <row r="1233" spans="2:140" ht="12.75" hidden="1" customHeight="1">
      <c r="B1233" s="1" t="s">
        <v>2057</v>
      </c>
      <c r="C1233" s="2" t="s">
        <v>2058</v>
      </c>
      <c r="D1233" s="1" t="s">
        <v>2059</v>
      </c>
      <c r="E1233" s="1" t="s">
        <v>1024</v>
      </c>
      <c r="F1233" s="2" t="s">
        <v>1025</v>
      </c>
      <c r="G1233" s="3" t="s">
        <v>1269</v>
      </c>
      <c r="J1233" s="3" t="s">
        <v>2060</v>
      </c>
      <c r="K1233" s="1" t="s">
        <v>2061</v>
      </c>
      <c r="L1233" s="3" t="s">
        <v>111</v>
      </c>
      <c r="M1233" s="90" t="str">
        <f t="shared" si="1432"/>
        <v>2N11-15201 -BA</v>
      </c>
      <c r="O1233" s="89">
        <v>1</v>
      </c>
      <c r="P1233" s="89">
        <v>1</v>
      </c>
      <c r="Q1233" s="89">
        <v>1</v>
      </c>
      <c r="R1233" s="89">
        <v>1</v>
      </c>
      <c r="S1233" s="89">
        <v>1</v>
      </c>
      <c r="T1233" s="89">
        <v>1</v>
      </c>
      <c r="U1233" s="89">
        <v>0</v>
      </c>
      <c r="V1233" s="89">
        <v>0</v>
      </c>
      <c r="W1233" s="89">
        <f t="shared" si="1429"/>
        <v>0.9</v>
      </c>
      <c r="Y1233" s="63">
        <v>-34.82</v>
      </c>
      <c r="Z1233" s="63">
        <v>-0.5</v>
      </c>
      <c r="AA1233" s="63">
        <v>-1.1000000000000001</v>
      </c>
      <c r="AB1233" s="63">
        <v>0</v>
      </c>
      <c r="AC1233" s="63">
        <v>0</v>
      </c>
      <c r="AD1233" s="8">
        <f t="shared" ref="AD1233:AD1248" si="1468">SUM(Y1233:AC1233)</f>
        <v>-36.42</v>
      </c>
      <c r="AE1233" s="2" t="s">
        <v>91</v>
      </c>
      <c r="AG1233" s="61">
        <v>0</v>
      </c>
      <c r="AH1233" s="61">
        <v>0</v>
      </c>
      <c r="AJ1233" s="61">
        <v>0</v>
      </c>
      <c r="AK1233" s="61">
        <v>0</v>
      </c>
      <c r="AM1233" s="22"/>
      <c r="AO1233" s="3" t="s">
        <v>2060</v>
      </c>
      <c r="AP1233" s="3" t="s">
        <v>2061</v>
      </c>
      <c r="AQ1233" s="3" t="s">
        <v>132</v>
      </c>
      <c r="AR1233" s="90" t="str">
        <f t="shared" si="1448"/>
        <v>2N11-15201 -AB</v>
      </c>
      <c r="AT1233" s="89">
        <v>1</v>
      </c>
      <c r="AU1233" s="89">
        <v>1</v>
      </c>
      <c r="AV1233" s="89">
        <v>1</v>
      </c>
      <c r="AW1233" s="89">
        <v>1</v>
      </c>
      <c r="AX1233" s="89">
        <v>1</v>
      </c>
      <c r="AY1233" s="89">
        <v>1</v>
      </c>
      <c r="AZ1233" s="89">
        <v>0</v>
      </c>
      <c r="BA1233" s="89">
        <v>0</v>
      </c>
      <c r="BB1233" s="89">
        <f t="shared" si="1431"/>
        <v>0.9</v>
      </c>
      <c r="BD1233" s="63">
        <v>-34.82</v>
      </c>
      <c r="BE1233" s="63">
        <v>-0.5</v>
      </c>
      <c r="BF1233" s="63">
        <v>-1.1000000000000001</v>
      </c>
      <c r="BG1233" s="63">
        <v>0</v>
      </c>
      <c r="BH1233" s="63">
        <v>0</v>
      </c>
      <c r="BI1233" s="8">
        <f t="shared" ref="BI1233" si="1469">SUM(BD1233:BH1233)</f>
        <v>-36.42</v>
      </c>
      <c r="BJ1233" s="2" t="s">
        <v>84</v>
      </c>
      <c r="BL1233" s="63">
        <f t="shared" si="1456"/>
        <v>0</v>
      </c>
      <c r="BM1233" s="63">
        <f t="shared" si="1456"/>
        <v>0</v>
      </c>
      <c r="BO1233" s="63">
        <f t="shared" si="1457"/>
        <v>0</v>
      </c>
      <c r="BP1233" s="63">
        <v>0</v>
      </c>
      <c r="BS1233" s="61">
        <f t="shared" si="1450"/>
        <v>0</v>
      </c>
      <c r="BT1233" s="61">
        <f t="shared" si="1451"/>
        <v>0</v>
      </c>
      <c r="BU1233" s="61">
        <f t="shared" si="1415"/>
        <v>0</v>
      </c>
      <c r="BV1233" s="61">
        <f t="shared" si="1452"/>
        <v>0</v>
      </c>
      <c r="BW1233" s="61">
        <f t="shared" si="1452"/>
        <v>0</v>
      </c>
      <c r="BX1233" s="63">
        <f t="shared" si="1452"/>
        <v>0</v>
      </c>
      <c r="BY1233" s="61" t="s">
        <v>91</v>
      </c>
      <c r="CA1233" s="61">
        <f t="shared" si="1453"/>
        <v>0</v>
      </c>
      <c r="CB1233" s="61">
        <f t="shared" si="1420"/>
        <v>0</v>
      </c>
      <c r="CC1233" s="61">
        <f t="shared" si="1420"/>
        <v>0</v>
      </c>
      <c r="CD1233" s="61">
        <f t="shared" si="1420"/>
        <v>0</v>
      </c>
      <c r="CE1233" s="61">
        <f t="shared" si="1420"/>
        <v>0</v>
      </c>
      <c r="CF1233" s="61">
        <f t="shared" si="1420"/>
        <v>0</v>
      </c>
      <c r="CG1233" s="61">
        <f t="shared" si="1420"/>
        <v>0</v>
      </c>
      <c r="CH1233" s="61">
        <f t="shared" si="1420"/>
        <v>0</v>
      </c>
      <c r="CI1233" s="61">
        <f t="shared" si="1421"/>
        <v>0</v>
      </c>
      <c r="CK1233" s="61">
        <f t="shared" si="1454"/>
        <v>0</v>
      </c>
      <c r="CL1233" s="61">
        <f t="shared" si="1454"/>
        <v>0</v>
      </c>
      <c r="CM1233" s="61">
        <f t="shared" si="1454"/>
        <v>0</v>
      </c>
      <c r="CN1233" s="61">
        <f t="shared" si="1446"/>
        <v>0</v>
      </c>
      <c r="CO1233" s="61">
        <f t="shared" si="1446"/>
        <v>0</v>
      </c>
      <c r="CP1233" s="61">
        <f t="shared" si="1446"/>
        <v>0</v>
      </c>
      <c r="CQ1233" s="61">
        <f t="shared" si="1446"/>
        <v>0</v>
      </c>
      <c r="CR1233" s="61">
        <f t="shared" si="1446"/>
        <v>0</v>
      </c>
      <c r="CS1233" s="61">
        <f t="shared" si="1422"/>
        <v>0</v>
      </c>
      <c r="CT1233" s="63">
        <f t="shared" si="1425"/>
        <v>0</v>
      </c>
      <c r="CU1233" s="61"/>
      <c r="CV1233" s="61">
        <f t="shared" ref="CV1233" si="1470">SUM(AG1233)-SUM(BL1233)</f>
        <v>0</v>
      </c>
      <c r="CW1233" s="61">
        <f t="shared" ref="CW1233:CW1234" si="1471">SUM(AH1233)-SUM(BM1233)</f>
        <v>0</v>
      </c>
      <c r="CY1233" s="61">
        <f t="shared" si="1444"/>
        <v>0</v>
      </c>
      <c r="CZ1233" s="61">
        <f t="shared" si="1444"/>
        <v>0</v>
      </c>
      <c r="DA1233" s="61">
        <f t="shared" si="1444"/>
        <v>0</v>
      </c>
      <c r="DB1233" s="2" t="s">
        <v>86</v>
      </c>
      <c r="DC1233" s="2" t="s">
        <v>85</v>
      </c>
      <c r="DD1233" s="2" t="s">
        <v>87</v>
      </c>
      <c r="DE1233" s="2" t="s">
        <v>257</v>
      </c>
      <c r="DF1233" s="3" t="s">
        <v>86</v>
      </c>
      <c r="DG1233" s="62">
        <v>43070</v>
      </c>
      <c r="EC1233" s="60" t="str">
        <f>VLOOKUP($M1233,[1]Detail!$M:$BO,1,0)</f>
        <v>2N11-15201 -BA</v>
      </c>
      <c r="ED1233" s="60">
        <f>VLOOKUP($M1233,[1]Detail!$M:$BO,22,0)</f>
        <v>-36.42</v>
      </c>
      <c r="EE1233" s="60">
        <f>VLOOKUP($M1233,[1]Detail!$M:$BO,42,0)</f>
        <v>0</v>
      </c>
      <c r="EF1233" s="60">
        <f>VLOOKUP($M1233,[1]Detail!$M:$BO,45,0)</f>
        <v>0</v>
      </c>
      <c r="EH1233" s="60">
        <f t="shared" si="1463"/>
        <v>0</v>
      </c>
      <c r="EI1233" s="60">
        <f t="shared" si="1464"/>
        <v>0</v>
      </c>
      <c r="EJ1233" s="60">
        <f t="shared" si="1465"/>
        <v>0</v>
      </c>
    </row>
    <row r="1234" spans="2:140" ht="12.75" hidden="1" customHeight="1">
      <c r="B1234" s="1" t="s">
        <v>2062</v>
      </c>
      <c r="C1234" s="2" t="s">
        <v>2063</v>
      </c>
      <c r="D1234" s="1" t="s">
        <v>2064</v>
      </c>
      <c r="E1234" s="1" t="s">
        <v>1591</v>
      </c>
      <c r="F1234" s="2" t="s">
        <v>1025</v>
      </c>
      <c r="G1234" s="3" t="s">
        <v>2065</v>
      </c>
      <c r="J1234" s="3" t="s">
        <v>2066</v>
      </c>
      <c r="K1234" s="1" t="s">
        <v>2067</v>
      </c>
      <c r="L1234" s="3" t="s">
        <v>730</v>
      </c>
      <c r="M1234" s="90" t="str">
        <f t="shared" si="1432"/>
        <v>JB3T-14017 -EAW</v>
      </c>
      <c r="O1234" s="89">
        <v>1</v>
      </c>
      <c r="P1234" s="89">
        <v>1</v>
      </c>
      <c r="Q1234" s="89">
        <v>1</v>
      </c>
      <c r="R1234" s="89">
        <v>1</v>
      </c>
      <c r="S1234" s="89">
        <v>1</v>
      </c>
      <c r="T1234" s="89">
        <v>1</v>
      </c>
      <c r="U1234" s="89">
        <v>1</v>
      </c>
      <c r="V1234" s="89">
        <v>1</v>
      </c>
      <c r="W1234" s="89">
        <f t="shared" si="1429"/>
        <v>1</v>
      </c>
      <c r="Y1234" s="63">
        <v>-12.44</v>
      </c>
      <c r="Z1234" s="63">
        <v>-0.06</v>
      </c>
      <c r="AA1234" s="63">
        <v>-0.02</v>
      </c>
      <c r="AB1234" s="63">
        <v>0</v>
      </c>
      <c r="AC1234" s="63">
        <v>0</v>
      </c>
      <c r="AD1234" s="8">
        <f t="shared" si="1468"/>
        <v>-12.52</v>
      </c>
      <c r="AE1234" s="2" t="s">
        <v>91</v>
      </c>
      <c r="AG1234" s="61">
        <v>0</v>
      </c>
      <c r="AH1234" s="61">
        <v>0</v>
      </c>
      <c r="AJ1234" s="61">
        <v>0</v>
      </c>
      <c r="AK1234" s="61">
        <v>0</v>
      </c>
      <c r="AM1234" s="22" t="s">
        <v>2068</v>
      </c>
      <c r="AO1234" s="3" t="s">
        <v>2066</v>
      </c>
      <c r="AP1234" s="3" t="s">
        <v>2067</v>
      </c>
      <c r="AQ1234" s="3" t="s">
        <v>198</v>
      </c>
      <c r="AR1234" s="90" t="str">
        <f t="shared" si="1448"/>
        <v>JB3T-14017 -BAW</v>
      </c>
      <c r="AT1234" s="89">
        <v>1</v>
      </c>
      <c r="AU1234" s="89">
        <v>1</v>
      </c>
      <c r="AV1234" s="89">
        <v>1</v>
      </c>
      <c r="AW1234" s="89">
        <v>1</v>
      </c>
      <c r="AX1234" s="89">
        <v>1</v>
      </c>
      <c r="AY1234" s="89">
        <v>1</v>
      </c>
      <c r="AZ1234" s="89">
        <v>1</v>
      </c>
      <c r="BA1234" s="89">
        <v>1</v>
      </c>
      <c r="BB1234" s="89">
        <f t="shared" si="1431"/>
        <v>1</v>
      </c>
      <c r="BD1234" s="63">
        <f>-3.01*6.44*1.1*1.016*1.1</f>
        <v>-23.830405984000002</v>
      </c>
      <c r="BE1234" s="63">
        <v>0</v>
      </c>
      <c r="BF1234" s="63">
        <v>0</v>
      </c>
      <c r="BG1234" s="63">
        <v>0</v>
      </c>
      <c r="BH1234" s="63">
        <v>0</v>
      </c>
      <c r="BI1234" s="8">
        <f t="shared" ref="BI1234:BI1235" si="1472">SUM(BD1234:BH1234)</f>
        <v>-23.830405984000002</v>
      </c>
      <c r="BJ1234" s="2" t="s">
        <v>84</v>
      </c>
      <c r="BL1234" s="63">
        <f t="shared" si="1456"/>
        <v>0</v>
      </c>
      <c r="BM1234" s="63">
        <f t="shared" si="1456"/>
        <v>0</v>
      </c>
      <c r="BO1234" s="63">
        <f t="shared" si="1457"/>
        <v>0</v>
      </c>
      <c r="BP1234" s="63">
        <v>0</v>
      </c>
      <c r="BS1234" s="61">
        <f t="shared" si="1450"/>
        <v>11.390405984000003</v>
      </c>
      <c r="BT1234" s="61">
        <f t="shared" si="1451"/>
        <v>-0.06</v>
      </c>
      <c r="BU1234" s="61">
        <f t="shared" si="1415"/>
        <v>-0.02</v>
      </c>
      <c r="BV1234" s="61">
        <f t="shared" si="1452"/>
        <v>0</v>
      </c>
      <c r="BW1234" s="61">
        <f t="shared" si="1452"/>
        <v>0</v>
      </c>
      <c r="BX1234" s="63">
        <f t="shared" si="1452"/>
        <v>11.310405984000003</v>
      </c>
      <c r="BY1234" s="61" t="s">
        <v>91</v>
      </c>
      <c r="CA1234" s="61">
        <f t="shared" si="1453"/>
        <v>1.713616064991726</v>
      </c>
      <c r="CB1234" s="61">
        <f t="shared" si="1420"/>
        <v>1.713616064991726</v>
      </c>
      <c r="CC1234" s="61">
        <f t="shared" si="1420"/>
        <v>1.713616064991726</v>
      </c>
      <c r="CD1234" s="61">
        <f t="shared" si="1420"/>
        <v>1.713616064991726</v>
      </c>
      <c r="CE1234" s="61">
        <f t="shared" si="1420"/>
        <v>1.713616064991726</v>
      </c>
      <c r="CF1234" s="61">
        <f t="shared" si="1420"/>
        <v>1.713616064991726</v>
      </c>
      <c r="CG1234" s="61">
        <f t="shared" si="1420"/>
        <v>1.713616064991726</v>
      </c>
      <c r="CH1234" s="61">
        <f t="shared" si="1420"/>
        <v>1.713616064991726</v>
      </c>
      <c r="CI1234" s="61">
        <f t="shared" si="1421"/>
        <v>1.7136160649917265</v>
      </c>
      <c r="CK1234" s="61">
        <f t="shared" si="1454"/>
        <v>1.7015805602527458</v>
      </c>
      <c r="CL1234" s="61">
        <f t="shared" si="1454"/>
        <v>1.7015805602527458</v>
      </c>
      <c r="CM1234" s="61">
        <f t="shared" si="1454"/>
        <v>1.7015805602527458</v>
      </c>
      <c r="CN1234" s="61">
        <f t="shared" si="1446"/>
        <v>1.7015805602527458</v>
      </c>
      <c r="CO1234" s="61">
        <f t="shared" si="1446"/>
        <v>1.7015805602527458</v>
      </c>
      <c r="CP1234" s="61">
        <f t="shared" si="1446"/>
        <v>1.7015805602527458</v>
      </c>
      <c r="CQ1234" s="61">
        <f t="shared" si="1446"/>
        <v>1.7015805602527458</v>
      </c>
      <c r="CR1234" s="61">
        <f t="shared" si="1446"/>
        <v>1.7015805602527458</v>
      </c>
      <c r="CS1234" s="61">
        <f t="shared" si="1422"/>
        <v>1.7015805602527458</v>
      </c>
      <c r="CT1234" s="63">
        <f t="shared" si="1425"/>
        <v>11.310405984000003</v>
      </c>
      <c r="CU1234" s="61"/>
      <c r="CV1234" s="61">
        <f t="shared" ref="CV1234" si="1473">SUM(AG1234)-SUM(BL1234)</f>
        <v>0</v>
      </c>
      <c r="CW1234" s="61">
        <f t="shared" si="1471"/>
        <v>0</v>
      </c>
      <c r="CY1234" s="61">
        <f t="shared" si="1444"/>
        <v>0</v>
      </c>
      <c r="CZ1234" s="61">
        <f t="shared" si="1444"/>
        <v>0</v>
      </c>
      <c r="DA1234" s="61">
        <f t="shared" si="1444"/>
        <v>0</v>
      </c>
      <c r="DB1234" s="2" t="s">
        <v>86</v>
      </c>
      <c r="DC1234" s="2" t="s">
        <v>85</v>
      </c>
      <c r="DD1234" s="2" t="s">
        <v>87</v>
      </c>
      <c r="DE1234" s="2" t="s">
        <v>257</v>
      </c>
      <c r="DF1234" s="3" t="s">
        <v>86</v>
      </c>
      <c r="DG1234" s="62">
        <v>43077</v>
      </c>
      <c r="EC1234" s="60" t="str">
        <f>VLOOKUP($M1234,[1]Detail!$M:$BO,1,0)</f>
        <v>JB3T-14017 -EAW</v>
      </c>
      <c r="ED1234" s="60">
        <f>VLOOKUP($M1234,[1]Detail!$M:$BO,22,0)</f>
        <v>-12.52</v>
      </c>
      <c r="EE1234" s="60">
        <f>VLOOKUP($M1234,[1]Detail!$M:$BO,42,0)</f>
        <v>0</v>
      </c>
      <c r="EF1234" s="60">
        <f>VLOOKUP($M1234,[1]Detail!$M:$BO,45,0)</f>
        <v>0</v>
      </c>
      <c r="EH1234" s="60">
        <f t="shared" si="1463"/>
        <v>0</v>
      </c>
      <c r="EI1234" s="60">
        <f t="shared" si="1464"/>
        <v>0</v>
      </c>
      <c r="EJ1234" s="60">
        <f t="shared" si="1465"/>
        <v>0</v>
      </c>
    </row>
    <row r="1235" spans="2:140" ht="12.75" hidden="1" customHeight="1">
      <c r="B1235" s="1" t="s">
        <v>2069</v>
      </c>
      <c r="C1235" s="153" t="s">
        <v>2070</v>
      </c>
      <c r="D1235" s="66" t="s">
        <v>2071</v>
      </c>
      <c r="E1235" s="2" t="s">
        <v>968</v>
      </c>
      <c r="F1235" s="55" t="s">
        <v>2072</v>
      </c>
      <c r="G1235" s="118"/>
      <c r="J1235" s="3" t="s">
        <v>128</v>
      </c>
      <c r="K1235" s="1">
        <v>141</v>
      </c>
      <c r="L1235" s="3" t="s">
        <v>2073</v>
      </c>
      <c r="M1235" s="90" t="str">
        <f t="shared" si="1432"/>
        <v>ED8B-141-AA5HQH </v>
      </c>
      <c r="O1235" s="89">
        <v>1</v>
      </c>
      <c r="P1235" s="89">
        <v>1</v>
      </c>
      <c r="Q1235" s="89">
        <v>1</v>
      </c>
      <c r="R1235" s="89">
        <v>1</v>
      </c>
      <c r="S1235" s="89">
        <v>1</v>
      </c>
      <c r="T1235" s="89">
        <v>1</v>
      </c>
      <c r="U1235" s="89">
        <v>1</v>
      </c>
      <c r="V1235" s="89">
        <v>1</v>
      </c>
      <c r="W1235" s="89">
        <f t="shared" si="1429"/>
        <v>1</v>
      </c>
      <c r="Y1235" s="63">
        <v>-374.29</v>
      </c>
      <c r="Z1235" s="63">
        <v>0</v>
      </c>
      <c r="AA1235" s="63">
        <v>0</v>
      </c>
      <c r="AB1235" s="63">
        <v>0</v>
      </c>
      <c r="AC1235" s="63">
        <v>0</v>
      </c>
      <c r="AD1235" s="8">
        <f t="shared" si="1468"/>
        <v>-374.29</v>
      </c>
      <c r="AE1235" s="2" t="s">
        <v>91</v>
      </c>
      <c r="AG1235" s="61">
        <v>0</v>
      </c>
      <c r="AH1235" s="61">
        <v>0</v>
      </c>
      <c r="AJ1235" s="61">
        <v>0</v>
      </c>
      <c r="AK1235" s="61">
        <v>0</v>
      </c>
      <c r="AM1235" s="22"/>
      <c r="AO1235" s="3" t="s">
        <v>128</v>
      </c>
      <c r="AP1235" s="3">
        <v>141</v>
      </c>
      <c r="AQ1235" s="3" t="s">
        <v>2073</v>
      </c>
      <c r="AR1235" s="90" t="str">
        <f t="shared" si="1448"/>
        <v>ED8B-141-AA5HQH </v>
      </c>
      <c r="AS1235" s="3"/>
      <c r="AT1235" s="89">
        <v>1</v>
      </c>
      <c r="AU1235" s="89">
        <v>1</v>
      </c>
      <c r="AV1235" s="89">
        <v>1</v>
      </c>
      <c r="AW1235" s="89">
        <v>1</v>
      </c>
      <c r="AX1235" s="89">
        <v>1</v>
      </c>
      <c r="AY1235" s="89">
        <v>1</v>
      </c>
      <c r="AZ1235" s="89">
        <v>1</v>
      </c>
      <c r="BA1235" s="89">
        <v>1</v>
      </c>
      <c r="BB1235" s="89">
        <f t="shared" si="1431"/>
        <v>1</v>
      </c>
      <c r="BD1235" s="63">
        <v>-374.29</v>
      </c>
      <c r="BE1235" s="63">
        <v>0</v>
      </c>
      <c r="BF1235" s="63">
        <v>0</v>
      </c>
      <c r="BG1235" s="63">
        <v>0</v>
      </c>
      <c r="BH1235" s="63">
        <v>0</v>
      </c>
      <c r="BI1235" s="8">
        <f t="shared" si="1472"/>
        <v>-374.29</v>
      </c>
      <c r="BJ1235" s="2" t="s">
        <v>84</v>
      </c>
      <c r="BL1235" s="63">
        <f t="shared" si="1456"/>
        <v>0</v>
      </c>
      <c r="BM1235" s="63">
        <f t="shared" si="1456"/>
        <v>0</v>
      </c>
      <c r="BO1235" s="63">
        <f t="shared" si="1457"/>
        <v>0</v>
      </c>
      <c r="BP1235" s="63">
        <v>0</v>
      </c>
      <c r="BS1235" s="61">
        <f t="shared" si="1450"/>
        <v>0</v>
      </c>
      <c r="BT1235" s="61">
        <f t="shared" si="1451"/>
        <v>0</v>
      </c>
      <c r="BU1235" s="61">
        <f t="shared" si="1415"/>
        <v>0</v>
      </c>
      <c r="BV1235" s="61">
        <f t="shared" si="1452"/>
        <v>0</v>
      </c>
      <c r="BW1235" s="61">
        <f t="shared" si="1452"/>
        <v>0</v>
      </c>
      <c r="BX1235" s="63">
        <f t="shared" si="1452"/>
        <v>0</v>
      </c>
      <c r="BY1235" s="61" t="s">
        <v>91</v>
      </c>
      <c r="CA1235" s="61">
        <f t="shared" si="1453"/>
        <v>0</v>
      </c>
      <c r="CB1235" s="61">
        <f t="shared" si="1420"/>
        <v>0</v>
      </c>
      <c r="CC1235" s="61">
        <f t="shared" si="1420"/>
        <v>0</v>
      </c>
      <c r="CD1235" s="61">
        <f t="shared" si="1420"/>
        <v>0</v>
      </c>
      <c r="CE1235" s="61">
        <f t="shared" si="1420"/>
        <v>0</v>
      </c>
      <c r="CF1235" s="61">
        <f t="shared" si="1420"/>
        <v>0</v>
      </c>
      <c r="CG1235" s="61">
        <f t="shared" si="1420"/>
        <v>0</v>
      </c>
      <c r="CH1235" s="61">
        <f t="shared" si="1420"/>
        <v>0</v>
      </c>
      <c r="CI1235" s="61">
        <f t="shared" si="1421"/>
        <v>0</v>
      </c>
      <c r="CK1235" s="61">
        <f t="shared" si="1454"/>
        <v>0</v>
      </c>
      <c r="CL1235" s="61">
        <f t="shared" si="1454"/>
        <v>0</v>
      </c>
      <c r="CM1235" s="61">
        <f t="shared" si="1454"/>
        <v>0</v>
      </c>
      <c r="CN1235" s="61">
        <f t="shared" si="1446"/>
        <v>0</v>
      </c>
      <c r="CO1235" s="61">
        <f t="shared" si="1446"/>
        <v>0</v>
      </c>
      <c r="CP1235" s="61">
        <f t="shared" si="1446"/>
        <v>0</v>
      </c>
      <c r="CQ1235" s="61">
        <f t="shared" si="1446"/>
        <v>0</v>
      </c>
      <c r="CR1235" s="61">
        <f t="shared" si="1446"/>
        <v>0</v>
      </c>
      <c r="CS1235" s="61">
        <f t="shared" si="1422"/>
        <v>0</v>
      </c>
      <c r="CT1235" s="63">
        <f t="shared" si="1425"/>
        <v>0</v>
      </c>
      <c r="CU1235" s="61"/>
      <c r="CV1235" s="61">
        <f t="shared" ref="CV1235" si="1474">SUM(AG1235)-SUM(BL1235)</f>
        <v>0</v>
      </c>
      <c r="CW1235" s="61">
        <f t="shared" ref="CW1235" si="1475">SUM(AH1235)-SUM(BM1235)</f>
        <v>0</v>
      </c>
      <c r="CY1235" s="61">
        <f t="shared" si="1444"/>
        <v>0</v>
      </c>
      <c r="CZ1235" s="61">
        <f t="shared" si="1444"/>
        <v>0</v>
      </c>
      <c r="DA1235" s="61">
        <f t="shared" si="1444"/>
        <v>0</v>
      </c>
      <c r="DB1235" s="2" t="s">
        <v>86</v>
      </c>
      <c r="DC1235" s="2" t="s">
        <v>85</v>
      </c>
      <c r="DD1235" s="2" t="s">
        <v>87</v>
      </c>
      <c r="DE1235" s="2" t="s">
        <v>106</v>
      </c>
      <c r="DF1235" s="3" t="s">
        <v>102</v>
      </c>
      <c r="DG1235" s="62">
        <v>43062</v>
      </c>
      <c r="EC1235" s="60" t="str">
        <f>VLOOKUP($M1235,[1]Detail!$M:$BO,1,0)</f>
        <v>ED8B-141-AA5HQH </v>
      </c>
      <c r="ED1235" s="60">
        <f>VLOOKUP($M1235,[1]Detail!$M:$BO,22,0)</f>
        <v>-374.29</v>
      </c>
      <c r="EE1235" s="60">
        <f>VLOOKUP($M1235,[1]Detail!$M:$BO,42,0)</f>
        <v>0</v>
      </c>
      <c r="EF1235" s="60">
        <f>VLOOKUP($M1235,[1]Detail!$M:$BO,45,0)</f>
        <v>0</v>
      </c>
      <c r="EH1235" s="60">
        <f t="shared" si="1463"/>
        <v>0</v>
      </c>
      <c r="EI1235" s="60">
        <f t="shared" si="1464"/>
        <v>0</v>
      </c>
      <c r="EJ1235" s="60">
        <f t="shared" si="1465"/>
        <v>0</v>
      </c>
    </row>
    <row r="1236" spans="2:140" ht="12.75" hidden="1" customHeight="1">
      <c r="B1236" s="1" t="s">
        <v>2069</v>
      </c>
      <c r="C1236" s="292" t="s">
        <v>2070</v>
      </c>
      <c r="D1236" s="149" t="s">
        <v>2074</v>
      </c>
      <c r="E1236" s="86" t="s">
        <v>968</v>
      </c>
      <c r="F1236" s="85" t="s">
        <v>2072</v>
      </c>
      <c r="J1236" s="3" t="s">
        <v>128</v>
      </c>
      <c r="K1236" s="1">
        <v>141</v>
      </c>
      <c r="L1236" s="3" t="s">
        <v>2075</v>
      </c>
      <c r="M1236" s="90" t="str">
        <f t="shared" si="1432"/>
        <v>ED8B-141-AA5JCT</v>
      </c>
      <c r="O1236" s="89">
        <v>1</v>
      </c>
      <c r="P1236" s="89">
        <v>1</v>
      </c>
      <c r="Q1236" s="89">
        <v>1</v>
      </c>
      <c r="R1236" s="89">
        <v>1</v>
      </c>
      <c r="S1236" s="89">
        <v>1</v>
      </c>
      <c r="T1236" s="89">
        <v>1</v>
      </c>
      <c r="U1236" s="89">
        <v>1</v>
      </c>
      <c r="V1236" s="89">
        <v>1</v>
      </c>
      <c r="W1236" s="89">
        <f t="shared" si="1429"/>
        <v>1</v>
      </c>
      <c r="Y1236" s="63">
        <v>-369.06</v>
      </c>
      <c r="Z1236" s="63">
        <v>0</v>
      </c>
      <c r="AA1236" s="63">
        <v>0</v>
      </c>
      <c r="AB1236" s="63">
        <v>0</v>
      </c>
      <c r="AC1236" s="63">
        <v>0</v>
      </c>
      <c r="AD1236" s="8">
        <f t="shared" si="1468"/>
        <v>-369.06</v>
      </c>
      <c r="AE1236" s="2" t="s">
        <v>91</v>
      </c>
      <c r="AG1236" s="61">
        <v>0</v>
      </c>
      <c r="AH1236" s="61">
        <v>0</v>
      </c>
      <c r="AJ1236" s="61">
        <v>0</v>
      </c>
      <c r="AK1236" s="61">
        <v>0</v>
      </c>
      <c r="AM1236" s="22"/>
      <c r="AO1236" s="3" t="s">
        <v>128</v>
      </c>
      <c r="AP1236" s="3">
        <v>141</v>
      </c>
      <c r="AQ1236" s="3" t="s">
        <v>2075</v>
      </c>
      <c r="AR1236" s="90" t="str">
        <f t="shared" si="1448"/>
        <v>ED8B-141-AA5JCT</v>
      </c>
      <c r="AS1236" s="87"/>
      <c r="AT1236" s="89">
        <v>1</v>
      </c>
      <c r="AU1236" s="89">
        <v>1</v>
      </c>
      <c r="AV1236" s="89">
        <v>1</v>
      </c>
      <c r="AW1236" s="89">
        <v>1</v>
      </c>
      <c r="AX1236" s="89">
        <v>1</v>
      </c>
      <c r="AY1236" s="89">
        <v>1</v>
      </c>
      <c r="AZ1236" s="89">
        <v>1</v>
      </c>
      <c r="BA1236" s="89">
        <v>1</v>
      </c>
      <c r="BB1236" s="89">
        <f t="shared" si="1431"/>
        <v>1</v>
      </c>
      <c r="BD1236" s="63">
        <v>-369.06</v>
      </c>
      <c r="BE1236" s="63">
        <v>0</v>
      </c>
      <c r="BF1236" s="63">
        <v>0</v>
      </c>
      <c r="BG1236" s="63">
        <v>0</v>
      </c>
      <c r="BH1236" s="63">
        <v>0</v>
      </c>
      <c r="BI1236" s="8">
        <f t="shared" ref="BI1236:BI1246" si="1476">SUM(BD1236:BH1236)</f>
        <v>-369.06</v>
      </c>
      <c r="BJ1236" s="2" t="s">
        <v>84</v>
      </c>
      <c r="BL1236" s="63">
        <f t="shared" si="1456"/>
        <v>0</v>
      </c>
      <c r="BM1236" s="63">
        <f t="shared" si="1456"/>
        <v>0</v>
      </c>
      <c r="BO1236" s="63">
        <f t="shared" si="1457"/>
        <v>0</v>
      </c>
      <c r="BP1236" s="63">
        <v>0</v>
      </c>
      <c r="BS1236" s="61">
        <f t="shared" si="1450"/>
        <v>0</v>
      </c>
      <c r="BT1236" s="61">
        <f t="shared" si="1451"/>
        <v>0</v>
      </c>
      <c r="BU1236" s="61">
        <f t="shared" si="1415"/>
        <v>0</v>
      </c>
      <c r="BV1236" s="61">
        <f t="shared" si="1452"/>
        <v>0</v>
      </c>
      <c r="BW1236" s="61">
        <f t="shared" si="1452"/>
        <v>0</v>
      </c>
      <c r="BX1236" s="63">
        <f t="shared" si="1452"/>
        <v>0</v>
      </c>
      <c r="BY1236" s="61" t="s">
        <v>91</v>
      </c>
      <c r="CA1236" s="61">
        <f t="shared" si="1453"/>
        <v>0</v>
      </c>
      <c r="CB1236" s="61">
        <f t="shared" si="1420"/>
        <v>0</v>
      </c>
      <c r="CC1236" s="61">
        <f t="shared" si="1420"/>
        <v>0</v>
      </c>
      <c r="CD1236" s="61">
        <f t="shared" si="1420"/>
        <v>0</v>
      </c>
      <c r="CE1236" s="61">
        <f t="shared" si="1420"/>
        <v>0</v>
      </c>
      <c r="CF1236" s="61">
        <f t="shared" si="1420"/>
        <v>0</v>
      </c>
      <c r="CG1236" s="61">
        <f t="shared" si="1420"/>
        <v>0</v>
      </c>
      <c r="CH1236" s="61">
        <f t="shared" si="1420"/>
        <v>0</v>
      </c>
      <c r="CI1236" s="61">
        <f t="shared" si="1421"/>
        <v>0</v>
      </c>
      <c r="CK1236" s="61">
        <f t="shared" si="1454"/>
        <v>0</v>
      </c>
      <c r="CL1236" s="61">
        <f t="shared" si="1454"/>
        <v>0</v>
      </c>
      <c r="CM1236" s="61">
        <f t="shared" si="1454"/>
        <v>0</v>
      </c>
      <c r="CN1236" s="61">
        <f t="shared" si="1446"/>
        <v>0</v>
      </c>
      <c r="CO1236" s="61">
        <f t="shared" si="1446"/>
        <v>0</v>
      </c>
      <c r="CP1236" s="61">
        <f t="shared" si="1446"/>
        <v>0</v>
      </c>
      <c r="CQ1236" s="61">
        <f t="shared" si="1446"/>
        <v>0</v>
      </c>
      <c r="CR1236" s="61">
        <f t="shared" si="1446"/>
        <v>0</v>
      </c>
      <c r="CS1236" s="61">
        <f t="shared" si="1422"/>
        <v>0</v>
      </c>
      <c r="CT1236" s="63">
        <f t="shared" si="1425"/>
        <v>0</v>
      </c>
      <c r="CU1236" s="61"/>
      <c r="CV1236" s="61">
        <f t="shared" ref="CV1236:CW1245" si="1477">SUM(AG1236)-SUM(BL1236)</f>
        <v>0</v>
      </c>
      <c r="CW1236" s="61">
        <f t="shared" si="1477"/>
        <v>0</v>
      </c>
      <c r="CY1236" s="61">
        <f t="shared" ref="CY1236:DA1245" si="1478">SUM(AJ1236)-SUM(BO1236)</f>
        <v>0</v>
      </c>
      <c r="CZ1236" s="61">
        <f t="shared" si="1478"/>
        <v>0</v>
      </c>
      <c r="DA1236" s="61">
        <f t="shared" si="1478"/>
        <v>0</v>
      </c>
      <c r="DB1236" s="2" t="s">
        <v>86</v>
      </c>
      <c r="DC1236" s="2" t="s">
        <v>85</v>
      </c>
      <c r="DD1236" s="2" t="s">
        <v>87</v>
      </c>
      <c r="DE1236" s="2" t="s">
        <v>106</v>
      </c>
      <c r="DF1236" s="3" t="s">
        <v>102</v>
      </c>
      <c r="DG1236" s="62">
        <v>43062</v>
      </c>
      <c r="EC1236" s="60" t="str">
        <f>VLOOKUP($M1236,[1]Detail!$M:$BO,1,0)</f>
        <v>ED8B-141-AA5JCT</v>
      </c>
      <c r="ED1236" s="60">
        <f>VLOOKUP($M1236,[1]Detail!$M:$BO,22,0)</f>
        <v>-369.06</v>
      </c>
      <c r="EE1236" s="60">
        <f>VLOOKUP($M1236,[1]Detail!$M:$BO,42,0)</f>
        <v>0</v>
      </c>
      <c r="EF1236" s="60">
        <f>VLOOKUP($M1236,[1]Detail!$M:$BO,45,0)</f>
        <v>0</v>
      </c>
      <c r="EH1236" s="60">
        <f t="shared" si="1463"/>
        <v>0</v>
      </c>
      <c r="EI1236" s="60">
        <f t="shared" si="1464"/>
        <v>0</v>
      </c>
      <c r="EJ1236" s="60">
        <f t="shared" si="1465"/>
        <v>0</v>
      </c>
    </row>
    <row r="1237" spans="2:140" ht="12.75" hidden="1" customHeight="1">
      <c r="B1237" s="1" t="s">
        <v>2069</v>
      </c>
      <c r="C1237" s="292" t="s">
        <v>2070</v>
      </c>
      <c r="D1237" s="149" t="s">
        <v>2076</v>
      </c>
      <c r="E1237" s="86" t="s">
        <v>968</v>
      </c>
      <c r="F1237" s="85" t="s">
        <v>2072</v>
      </c>
      <c r="J1237" s="3" t="s">
        <v>128</v>
      </c>
      <c r="K1237" s="1">
        <v>141</v>
      </c>
      <c r="L1237" s="3" t="s">
        <v>2077</v>
      </c>
      <c r="M1237" s="90" t="str">
        <f t="shared" si="1432"/>
        <v>ED8B-141-AA5KRC</v>
      </c>
      <c r="O1237" s="89">
        <v>1</v>
      </c>
      <c r="P1237" s="89">
        <v>1</v>
      </c>
      <c r="Q1237" s="89">
        <v>1</v>
      </c>
      <c r="R1237" s="89">
        <v>1</v>
      </c>
      <c r="S1237" s="89">
        <v>1</v>
      </c>
      <c r="T1237" s="89">
        <v>1</v>
      </c>
      <c r="U1237" s="89">
        <v>1</v>
      </c>
      <c r="V1237" s="89">
        <v>1</v>
      </c>
      <c r="W1237" s="89">
        <f t="shared" si="1429"/>
        <v>1</v>
      </c>
      <c r="Y1237" s="63">
        <v>-416.4</v>
      </c>
      <c r="Z1237" s="63">
        <v>0</v>
      </c>
      <c r="AA1237" s="63">
        <v>0</v>
      </c>
      <c r="AB1237" s="63">
        <v>0</v>
      </c>
      <c r="AC1237" s="63">
        <v>0</v>
      </c>
      <c r="AD1237" s="8">
        <f t="shared" si="1468"/>
        <v>-416.4</v>
      </c>
      <c r="AE1237" s="2" t="s">
        <v>91</v>
      </c>
      <c r="AG1237" s="61">
        <v>0</v>
      </c>
      <c r="AH1237" s="61">
        <v>0</v>
      </c>
      <c r="AJ1237" s="61">
        <v>0</v>
      </c>
      <c r="AK1237" s="61">
        <v>0</v>
      </c>
      <c r="AM1237" s="22"/>
      <c r="AO1237" s="3" t="s">
        <v>128</v>
      </c>
      <c r="AP1237" s="3">
        <v>141</v>
      </c>
      <c r="AQ1237" s="3" t="s">
        <v>2077</v>
      </c>
      <c r="AR1237" s="90" t="str">
        <f t="shared" si="1448"/>
        <v>ED8B-141-AA5KRC</v>
      </c>
      <c r="AS1237" s="87"/>
      <c r="AT1237" s="89">
        <v>1</v>
      </c>
      <c r="AU1237" s="89">
        <v>1</v>
      </c>
      <c r="AV1237" s="89">
        <v>1</v>
      </c>
      <c r="AW1237" s="89">
        <v>1</v>
      </c>
      <c r="AX1237" s="89">
        <v>1</v>
      </c>
      <c r="AY1237" s="89">
        <v>1</v>
      </c>
      <c r="AZ1237" s="89">
        <v>1</v>
      </c>
      <c r="BA1237" s="89">
        <v>1</v>
      </c>
      <c r="BB1237" s="89">
        <f t="shared" si="1431"/>
        <v>1</v>
      </c>
      <c r="BD1237" s="63">
        <v>-416.4</v>
      </c>
      <c r="BE1237" s="63">
        <v>0</v>
      </c>
      <c r="BF1237" s="63">
        <v>0</v>
      </c>
      <c r="BG1237" s="63">
        <v>0</v>
      </c>
      <c r="BH1237" s="63">
        <v>0</v>
      </c>
      <c r="BI1237" s="8">
        <f t="shared" si="1476"/>
        <v>-416.4</v>
      </c>
      <c r="BJ1237" s="2" t="s">
        <v>84</v>
      </c>
      <c r="BL1237" s="63">
        <f t="shared" si="1456"/>
        <v>0</v>
      </c>
      <c r="BM1237" s="63">
        <f t="shared" si="1456"/>
        <v>0</v>
      </c>
      <c r="BO1237" s="63">
        <f t="shared" si="1457"/>
        <v>0</v>
      </c>
      <c r="BP1237" s="63">
        <v>0</v>
      </c>
      <c r="BS1237" s="61">
        <f t="shared" si="1450"/>
        <v>0</v>
      </c>
      <c r="BT1237" s="61">
        <f t="shared" si="1451"/>
        <v>0</v>
      </c>
      <c r="BU1237" s="61">
        <f t="shared" si="1415"/>
        <v>0</v>
      </c>
      <c r="BV1237" s="61">
        <f t="shared" si="1452"/>
        <v>0</v>
      </c>
      <c r="BW1237" s="61">
        <f t="shared" si="1452"/>
        <v>0</v>
      </c>
      <c r="BX1237" s="63">
        <f t="shared" si="1452"/>
        <v>0</v>
      </c>
      <c r="BY1237" s="61" t="s">
        <v>91</v>
      </c>
      <c r="CA1237" s="61">
        <f t="shared" si="1453"/>
        <v>0</v>
      </c>
      <c r="CB1237" s="61">
        <f t="shared" si="1420"/>
        <v>0</v>
      </c>
      <c r="CC1237" s="61">
        <f t="shared" si="1420"/>
        <v>0</v>
      </c>
      <c r="CD1237" s="61">
        <f t="shared" si="1420"/>
        <v>0</v>
      </c>
      <c r="CE1237" s="61">
        <f t="shared" si="1420"/>
        <v>0</v>
      </c>
      <c r="CF1237" s="61">
        <f t="shared" si="1420"/>
        <v>0</v>
      </c>
      <c r="CG1237" s="61">
        <f t="shared" si="1420"/>
        <v>0</v>
      </c>
      <c r="CH1237" s="61">
        <f t="shared" si="1420"/>
        <v>0</v>
      </c>
      <c r="CI1237" s="61">
        <f t="shared" si="1421"/>
        <v>0</v>
      </c>
      <c r="CK1237" s="61">
        <f t="shared" si="1454"/>
        <v>0</v>
      </c>
      <c r="CL1237" s="61">
        <f t="shared" si="1454"/>
        <v>0</v>
      </c>
      <c r="CM1237" s="61">
        <f t="shared" si="1454"/>
        <v>0</v>
      </c>
      <c r="CN1237" s="61">
        <f t="shared" si="1446"/>
        <v>0</v>
      </c>
      <c r="CO1237" s="61">
        <f t="shared" si="1446"/>
        <v>0</v>
      </c>
      <c r="CP1237" s="61">
        <f t="shared" si="1446"/>
        <v>0</v>
      </c>
      <c r="CQ1237" s="61">
        <f t="shared" si="1446"/>
        <v>0</v>
      </c>
      <c r="CR1237" s="61">
        <f t="shared" si="1446"/>
        <v>0</v>
      </c>
      <c r="CS1237" s="61">
        <f t="shared" si="1422"/>
        <v>0</v>
      </c>
      <c r="CT1237" s="63">
        <f t="shared" si="1425"/>
        <v>0</v>
      </c>
      <c r="CU1237" s="61"/>
      <c r="CV1237" s="61">
        <f t="shared" si="1477"/>
        <v>0</v>
      </c>
      <c r="CW1237" s="61">
        <f t="shared" si="1477"/>
        <v>0</v>
      </c>
      <c r="CY1237" s="61">
        <f t="shared" si="1478"/>
        <v>0</v>
      </c>
      <c r="CZ1237" s="61">
        <f t="shared" si="1478"/>
        <v>0</v>
      </c>
      <c r="DA1237" s="61">
        <f t="shared" si="1478"/>
        <v>0</v>
      </c>
      <c r="DB1237" s="2" t="s">
        <v>86</v>
      </c>
      <c r="DC1237" s="2" t="s">
        <v>85</v>
      </c>
      <c r="DD1237" s="2" t="s">
        <v>87</v>
      </c>
      <c r="DE1237" s="2" t="s">
        <v>106</v>
      </c>
      <c r="DF1237" s="3" t="s">
        <v>102</v>
      </c>
      <c r="DG1237" s="62">
        <v>43062</v>
      </c>
      <c r="EC1237" s="60" t="str">
        <f>VLOOKUP($M1237,[1]Detail!$M:$BO,1,0)</f>
        <v>ED8B-141-AA5KRC</v>
      </c>
      <c r="ED1237" s="60">
        <f>VLOOKUP($M1237,[1]Detail!$M:$BO,22,0)</f>
        <v>-416.4</v>
      </c>
      <c r="EE1237" s="60">
        <f>VLOOKUP($M1237,[1]Detail!$M:$BO,42,0)</f>
        <v>0</v>
      </c>
      <c r="EF1237" s="60">
        <f>VLOOKUP($M1237,[1]Detail!$M:$BO,45,0)</f>
        <v>0</v>
      </c>
      <c r="EH1237" s="60">
        <f t="shared" si="1463"/>
        <v>0</v>
      </c>
      <c r="EI1237" s="60">
        <f t="shared" si="1464"/>
        <v>0</v>
      </c>
      <c r="EJ1237" s="60">
        <f t="shared" si="1465"/>
        <v>0</v>
      </c>
    </row>
    <row r="1238" spans="2:140" ht="12.75" hidden="1" customHeight="1">
      <c r="B1238" s="1" t="s">
        <v>2078</v>
      </c>
      <c r="C1238" s="292" t="s">
        <v>1079</v>
      </c>
      <c r="D1238" s="149" t="s">
        <v>2079</v>
      </c>
      <c r="E1238" s="86" t="s">
        <v>2046</v>
      </c>
      <c r="F1238" s="85" t="s">
        <v>2080</v>
      </c>
      <c r="J1238" s="3" t="s">
        <v>1016</v>
      </c>
      <c r="K1238" s="1" t="s">
        <v>1081</v>
      </c>
      <c r="L1238" s="3" t="s">
        <v>111</v>
      </c>
      <c r="M1238" s="90" t="str">
        <f t="shared" si="1432"/>
        <v>GN11-5K291-BA</v>
      </c>
      <c r="O1238" s="89">
        <v>1</v>
      </c>
      <c r="P1238" s="89">
        <v>1</v>
      </c>
      <c r="Q1238" s="89">
        <v>1</v>
      </c>
      <c r="R1238" s="89">
        <v>1</v>
      </c>
      <c r="S1238" s="89">
        <v>0</v>
      </c>
      <c r="T1238" s="89">
        <v>0</v>
      </c>
      <c r="U1238" s="89">
        <v>0</v>
      </c>
      <c r="V1238" s="89">
        <v>0</v>
      </c>
      <c r="W1238" s="89">
        <f t="shared" si="1429"/>
        <v>0.67</v>
      </c>
      <c r="Y1238" s="63">
        <v>-18.16</v>
      </c>
      <c r="Z1238" s="63">
        <v>0</v>
      </c>
      <c r="AA1238" s="63">
        <v>0</v>
      </c>
      <c r="AB1238" s="63">
        <v>0</v>
      </c>
      <c r="AC1238" s="63">
        <v>0</v>
      </c>
      <c r="AD1238" s="8">
        <f t="shared" si="1468"/>
        <v>-18.16</v>
      </c>
      <c r="AE1238" s="2" t="s">
        <v>91</v>
      </c>
      <c r="AG1238" s="61">
        <v>0</v>
      </c>
      <c r="AH1238" s="61">
        <v>0</v>
      </c>
      <c r="AJ1238" s="61">
        <v>0</v>
      </c>
      <c r="AK1238" s="61">
        <v>0</v>
      </c>
      <c r="AM1238" s="22"/>
      <c r="AO1238" s="3" t="s">
        <v>1016</v>
      </c>
      <c r="AP1238" s="3" t="s">
        <v>1088</v>
      </c>
      <c r="AQ1238" s="3" t="s">
        <v>111</v>
      </c>
      <c r="AR1238" s="90" t="str">
        <f t="shared" si="1448"/>
        <v>GN11-5K291-BA</v>
      </c>
      <c r="AS1238" s="87"/>
      <c r="AT1238" s="89">
        <v>1</v>
      </c>
      <c r="AU1238" s="89">
        <v>1</v>
      </c>
      <c r="AV1238" s="89">
        <v>1</v>
      </c>
      <c r="AW1238" s="89">
        <v>1</v>
      </c>
      <c r="AX1238" s="89">
        <v>0</v>
      </c>
      <c r="AY1238" s="89">
        <v>0</v>
      </c>
      <c r="AZ1238" s="89">
        <v>0</v>
      </c>
      <c r="BA1238" s="89">
        <v>0</v>
      </c>
      <c r="BB1238" s="89">
        <f t="shared" si="1431"/>
        <v>0.67</v>
      </c>
      <c r="BD1238" s="63">
        <v>-18.16</v>
      </c>
      <c r="BE1238" s="63">
        <v>0</v>
      </c>
      <c r="BF1238" s="63">
        <v>0</v>
      </c>
      <c r="BG1238" s="63">
        <v>0</v>
      </c>
      <c r="BH1238" s="63">
        <v>0</v>
      </c>
      <c r="BI1238" s="8">
        <f t="shared" si="1476"/>
        <v>-18.16</v>
      </c>
      <c r="BJ1238" s="2" t="s">
        <v>91</v>
      </c>
      <c r="BL1238" s="63">
        <f t="shared" si="1456"/>
        <v>0</v>
      </c>
      <c r="BM1238" s="63">
        <f t="shared" si="1456"/>
        <v>0</v>
      </c>
      <c r="BO1238" s="63">
        <f t="shared" si="1457"/>
        <v>0</v>
      </c>
      <c r="BP1238" s="63">
        <v>0</v>
      </c>
      <c r="BS1238" s="61">
        <f t="shared" si="1450"/>
        <v>0</v>
      </c>
      <c r="BT1238" s="61">
        <f t="shared" si="1451"/>
        <v>0</v>
      </c>
      <c r="BU1238" s="61">
        <f t="shared" si="1415"/>
        <v>0</v>
      </c>
      <c r="BV1238" s="61">
        <f t="shared" si="1452"/>
        <v>0</v>
      </c>
      <c r="BW1238" s="61">
        <f t="shared" si="1452"/>
        <v>0</v>
      </c>
      <c r="BX1238" s="63">
        <f t="shared" si="1452"/>
        <v>0</v>
      </c>
      <c r="BY1238" s="61" t="s">
        <v>91</v>
      </c>
      <c r="CA1238" s="61">
        <f t="shared" si="1453"/>
        <v>0</v>
      </c>
      <c r="CB1238" s="61">
        <f t="shared" si="1420"/>
        <v>0</v>
      </c>
      <c r="CC1238" s="61">
        <f t="shared" si="1420"/>
        <v>0</v>
      </c>
      <c r="CD1238" s="61">
        <f t="shared" si="1420"/>
        <v>0</v>
      </c>
      <c r="CE1238" s="61">
        <f t="shared" ref="CE1238:CH1301" si="1479">($Y1238*S1238-AX1238*$BD1238)/$C$2</f>
        <v>0</v>
      </c>
      <c r="CF1238" s="61">
        <f t="shared" si="1479"/>
        <v>0</v>
      </c>
      <c r="CG1238" s="61">
        <f t="shared" si="1479"/>
        <v>0</v>
      </c>
      <c r="CH1238" s="61">
        <f t="shared" si="1479"/>
        <v>0</v>
      </c>
      <c r="CI1238" s="61">
        <f t="shared" si="1421"/>
        <v>0</v>
      </c>
      <c r="CK1238" s="61">
        <f t="shared" si="1454"/>
        <v>0</v>
      </c>
      <c r="CL1238" s="61">
        <f t="shared" si="1454"/>
        <v>0</v>
      </c>
      <c r="CM1238" s="61">
        <f t="shared" si="1454"/>
        <v>0</v>
      </c>
      <c r="CN1238" s="61">
        <f t="shared" si="1446"/>
        <v>0</v>
      </c>
      <c r="CO1238" s="61">
        <f t="shared" si="1446"/>
        <v>0</v>
      </c>
      <c r="CP1238" s="61">
        <f t="shared" si="1446"/>
        <v>0</v>
      </c>
      <c r="CQ1238" s="61">
        <f t="shared" si="1446"/>
        <v>0</v>
      </c>
      <c r="CR1238" s="61">
        <f t="shared" si="1446"/>
        <v>0</v>
      </c>
      <c r="CS1238" s="61">
        <f t="shared" si="1422"/>
        <v>0</v>
      </c>
      <c r="CT1238" s="63">
        <f t="shared" si="1425"/>
        <v>0</v>
      </c>
      <c r="CU1238" s="61"/>
      <c r="CV1238" s="61">
        <f t="shared" si="1477"/>
        <v>0</v>
      </c>
      <c r="CW1238" s="61">
        <f t="shared" si="1477"/>
        <v>0</v>
      </c>
      <c r="CY1238" s="61">
        <f t="shared" si="1478"/>
        <v>0</v>
      </c>
      <c r="CZ1238" s="61">
        <f t="shared" si="1478"/>
        <v>0</v>
      </c>
      <c r="DA1238" s="61">
        <f t="shared" si="1478"/>
        <v>0</v>
      </c>
      <c r="DB1238" s="2" t="s">
        <v>85</v>
      </c>
      <c r="DC1238" s="2" t="s">
        <v>86</v>
      </c>
      <c r="DD1238" s="2" t="s">
        <v>87</v>
      </c>
      <c r="DE1238" s="2" t="s">
        <v>106</v>
      </c>
      <c r="DF1238" s="3" t="s">
        <v>86</v>
      </c>
      <c r="DG1238" s="62">
        <v>43105</v>
      </c>
      <c r="EC1238" s="60"/>
      <c r="ED1238" s="60"/>
      <c r="EE1238" s="60"/>
      <c r="EF1238" s="60"/>
    </row>
    <row r="1239" spans="2:140" s="22" customFormat="1" ht="12.75" hidden="1" customHeight="1">
      <c r="B1239" s="23" t="s">
        <v>2081</v>
      </c>
      <c r="C1239" s="292" t="s">
        <v>1079</v>
      </c>
      <c r="D1239" s="149" t="s">
        <v>2079</v>
      </c>
      <c r="E1239" s="149" t="s">
        <v>2046</v>
      </c>
      <c r="F1239" s="85" t="s">
        <v>2080</v>
      </c>
      <c r="G1239" s="24"/>
      <c r="J1239" s="24" t="s">
        <v>1016</v>
      </c>
      <c r="K1239" s="23" t="s">
        <v>1081</v>
      </c>
      <c r="L1239" s="24" t="s">
        <v>115</v>
      </c>
      <c r="M1239" s="293" t="str">
        <f t="shared" si="1432"/>
        <v>GN11-5K291-DA</v>
      </c>
      <c r="N1239" s="24"/>
      <c r="O1239" s="294">
        <v>1</v>
      </c>
      <c r="P1239" s="294">
        <v>1</v>
      </c>
      <c r="Q1239" s="294">
        <v>1</v>
      </c>
      <c r="R1239" s="294">
        <v>1</v>
      </c>
      <c r="S1239" s="294">
        <v>0</v>
      </c>
      <c r="T1239" s="294">
        <v>0</v>
      </c>
      <c r="U1239" s="294">
        <v>0</v>
      </c>
      <c r="V1239" s="294">
        <v>0</v>
      </c>
      <c r="W1239" s="294">
        <f t="shared" si="1429"/>
        <v>0.67</v>
      </c>
      <c r="Y1239" s="295">
        <f>-18.16-20.81</f>
        <v>-38.97</v>
      </c>
      <c r="Z1239" s="295">
        <v>0</v>
      </c>
      <c r="AA1239" s="295">
        <v>0</v>
      </c>
      <c r="AB1239" s="295">
        <v>0</v>
      </c>
      <c r="AC1239" s="295">
        <v>0</v>
      </c>
      <c r="AD1239" s="105">
        <f t="shared" ref="AD1239:AD1240" si="1480">SUM(Y1239:AC1239)</f>
        <v>-38.97</v>
      </c>
      <c r="AE1239" s="22" t="s">
        <v>91</v>
      </c>
      <c r="AG1239" s="110">
        <v>-790135</v>
      </c>
      <c r="AH1239" s="110">
        <v>-790135</v>
      </c>
      <c r="AJ1239" s="110">
        <v>0</v>
      </c>
      <c r="AK1239" s="110">
        <v>0</v>
      </c>
      <c r="AO1239" s="24" t="s">
        <v>1016</v>
      </c>
      <c r="AP1239" s="23" t="s">
        <v>1088</v>
      </c>
      <c r="AQ1239" s="24" t="s">
        <v>182</v>
      </c>
      <c r="AR1239" s="293" t="str">
        <f>TRIM(AO1239)&amp;"-"&amp;TRIM(AP1239)&amp;"-"&amp;TRIM(AQ1239)</f>
        <v>GN11-5K291-BA</v>
      </c>
      <c r="AS1239" s="24"/>
      <c r="AT1239" s="294">
        <v>1</v>
      </c>
      <c r="AU1239" s="294">
        <v>1</v>
      </c>
      <c r="AV1239" s="294">
        <v>1</v>
      </c>
      <c r="AW1239" s="294">
        <v>1</v>
      </c>
      <c r="AX1239" s="294">
        <v>0</v>
      </c>
      <c r="AY1239" s="294">
        <v>0</v>
      </c>
      <c r="AZ1239" s="294">
        <v>0</v>
      </c>
      <c r="BA1239" s="294">
        <v>0</v>
      </c>
      <c r="BB1239" s="294">
        <f t="shared" si="1431"/>
        <v>0.67</v>
      </c>
      <c r="BD1239" s="295">
        <v>-18.16</v>
      </c>
      <c r="BE1239" s="295">
        <v>0</v>
      </c>
      <c r="BF1239" s="295">
        <v>0</v>
      </c>
      <c r="BG1239" s="295">
        <v>0</v>
      </c>
      <c r="BH1239" s="295">
        <v>0</v>
      </c>
      <c r="BI1239" s="105">
        <f>SUM(BD1239:BH1239)</f>
        <v>-18.16</v>
      </c>
      <c r="BJ1239" s="22" t="s">
        <v>91</v>
      </c>
      <c r="BL1239" s="296">
        <v>0</v>
      </c>
      <c r="BM1239" s="296">
        <v>0</v>
      </c>
      <c r="BO1239" s="295">
        <f t="shared" si="1457"/>
        <v>0</v>
      </c>
      <c r="BP1239" s="295">
        <v>0</v>
      </c>
      <c r="BS1239" s="110">
        <f t="shared" si="1450"/>
        <v>-20.81</v>
      </c>
      <c r="BT1239" s="110">
        <f t="shared" si="1451"/>
        <v>0</v>
      </c>
      <c r="BU1239" s="110">
        <f t="shared" si="1415"/>
        <v>0</v>
      </c>
      <c r="BV1239" s="110">
        <f t="shared" si="1452"/>
        <v>0</v>
      </c>
      <c r="BW1239" s="110">
        <f t="shared" si="1452"/>
        <v>0</v>
      </c>
      <c r="BX1239" s="295">
        <f t="shared" si="1452"/>
        <v>-20.81</v>
      </c>
      <c r="BY1239" s="110" t="s">
        <v>91</v>
      </c>
      <c r="CA1239" s="110">
        <f t="shared" si="1453"/>
        <v>-3.1307356702271698</v>
      </c>
      <c r="CB1239" s="110">
        <f t="shared" si="1453"/>
        <v>-3.1307356702271698</v>
      </c>
      <c r="CC1239" s="110">
        <f t="shared" si="1453"/>
        <v>-3.1307356702271698</v>
      </c>
      <c r="CD1239" s="110">
        <f t="shared" si="1453"/>
        <v>-3.1307356702271698</v>
      </c>
      <c r="CE1239" s="110">
        <f t="shared" si="1479"/>
        <v>0</v>
      </c>
      <c r="CF1239" s="110">
        <f t="shared" si="1479"/>
        <v>0</v>
      </c>
      <c r="CG1239" s="110">
        <f t="shared" si="1479"/>
        <v>0</v>
      </c>
      <c r="CH1239" s="110">
        <f t="shared" si="1479"/>
        <v>0</v>
      </c>
      <c r="CI1239" s="110">
        <f t="shared" si="1421"/>
        <v>-2.0975928990522039</v>
      </c>
      <c r="CK1239" s="110">
        <f t="shared" si="1454"/>
        <v>-3.1307356702271698</v>
      </c>
      <c r="CL1239" s="110">
        <f t="shared" si="1454"/>
        <v>-3.1307356702271698</v>
      </c>
      <c r="CM1239" s="110">
        <f t="shared" si="1454"/>
        <v>-3.1307356702271698</v>
      </c>
      <c r="CN1239" s="110">
        <f t="shared" si="1446"/>
        <v>-3.1307356702271698</v>
      </c>
      <c r="CO1239" s="110">
        <f t="shared" si="1446"/>
        <v>0</v>
      </c>
      <c r="CP1239" s="110">
        <f t="shared" si="1446"/>
        <v>0</v>
      </c>
      <c r="CQ1239" s="110">
        <f t="shared" si="1446"/>
        <v>0</v>
      </c>
      <c r="CR1239" s="110">
        <f t="shared" si="1446"/>
        <v>0</v>
      </c>
      <c r="CS1239" s="110">
        <f t="shared" si="1422"/>
        <v>-2.0975928990522039</v>
      </c>
      <c r="CT1239" s="295">
        <f t="shared" si="1425"/>
        <v>-13.9427</v>
      </c>
      <c r="CU1239" s="110"/>
      <c r="CV1239" s="110">
        <f t="shared" ref="CV1239" si="1481">SUM(AG1239)-SUM(BL1239)</f>
        <v>-790135</v>
      </c>
      <c r="CW1239" s="110">
        <f t="shared" ref="CW1239" si="1482">SUM(AH1239)-SUM(BM1239)</f>
        <v>-790135</v>
      </c>
      <c r="CY1239" s="110">
        <f t="shared" ref="CY1239:DA1240" si="1483">SUM(AJ1239)-SUM(BO1239)</f>
        <v>0</v>
      </c>
      <c r="CZ1239" s="110">
        <f t="shared" si="1483"/>
        <v>0</v>
      </c>
      <c r="DA1239" s="110">
        <f t="shared" si="1483"/>
        <v>0</v>
      </c>
      <c r="DB1239" s="22" t="s">
        <v>85</v>
      </c>
      <c r="DC1239" s="22" t="s">
        <v>85</v>
      </c>
      <c r="DD1239" s="22" t="s">
        <v>87</v>
      </c>
      <c r="DE1239" s="22" t="s">
        <v>106</v>
      </c>
      <c r="DF1239" s="24" t="s">
        <v>86</v>
      </c>
      <c r="DG1239" s="111">
        <v>43102</v>
      </c>
      <c r="DZ1239" s="24"/>
      <c r="EC1239" s="60"/>
      <c r="ED1239" s="60"/>
      <c r="EE1239" s="60"/>
      <c r="EF1239" s="60"/>
    </row>
    <row r="1240" spans="2:140" s="22" customFormat="1" ht="12.75" hidden="1" customHeight="1">
      <c r="B1240" s="23" t="s">
        <v>2082</v>
      </c>
      <c r="C1240" s="292" t="s">
        <v>1079</v>
      </c>
      <c r="D1240" s="149" t="s">
        <v>2079</v>
      </c>
      <c r="E1240" s="149" t="s">
        <v>2046</v>
      </c>
      <c r="F1240" s="85" t="s">
        <v>2080</v>
      </c>
      <c r="G1240" s="24"/>
      <c r="J1240" s="24" t="s">
        <v>1016</v>
      </c>
      <c r="K1240" s="23" t="s">
        <v>1081</v>
      </c>
      <c r="L1240" s="24" t="s">
        <v>758</v>
      </c>
      <c r="M1240" s="293" t="str">
        <f t="shared" si="1432"/>
        <v>GN11-5K291-DB</v>
      </c>
      <c r="N1240" s="24"/>
      <c r="O1240" s="294">
        <v>1</v>
      </c>
      <c r="P1240" s="294">
        <v>1</v>
      </c>
      <c r="Q1240" s="294">
        <v>1</v>
      </c>
      <c r="R1240" s="294">
        <v>1</v>
      </c>
      <c r="S1240" s="294">
        <v>0</v>
      </c>
      <c r="T1240" s="294">
        <v>0</v>
      </c>
      <c r="U1240" s="294">
        <v>0</v>
      </c>
      <c r="V1240" s="294">
        <v>0</v>
      </c>
      <c r="W1240" s="294">
        <f t="shared" si="1429"/>
        <v>0.67</v>
      </c>
      <c r="Y1240" s="295">
        <f>-18.16-20.81</f>
        <v>-38.97</v>
      </c>
      <c r="Z1240" s="295">
        <v>0</v>
      </c>
      <c r="AA1240" s="295">
        <v>0</v>
      </c>
      <c r="AB1240" s="295">
        <v>0</v>
      </c>
      <c r="AC1240" s="295">
        <v>0</v>
      </c>
      <c r="AD1240" s="105">
        <f t="shared" si="1480"/>
        <v>-38.97</v>
      </c>
      <c r="AE1240" s="22" t="s">
        <v>91</v>
      </c>
      <c r="AG1240" s="110">
        <v>-790135</v>
      </c>
      <c r="AH1240" s="110">
        <v>-790135</v>
      </c>
      <c r="AJ1240" s="110">
        <v>0</v>
      </c>
      <c r="AK1240" s="110">
        <v>0</v>
      </c>
      <c r="AO1240" s="24" t="s">
        <v>1016</v>
      </c>
      <c r="AP1240" s="23" t="s">
        <v>1081</v>
      </c>
      <c r="AQ1240" s="24" t="s">
        <v>115</v>
      </c>
      <c r="AR1240" s="293" t="str">
        <f t="shared" ref="AR1240" si="1484">TRIM(AO1240)&amp;"-"&amp;TRIM(AP1240)&amp;"-"&amp;TRIM(AQ1240)</f>
        <v>GN11-5K291-DA</v>
      </c>
      <c r="AS1240" s="24"/>
      <c r="AT1240" s="294">
        <v>1</v>
      </c>
      <c r="AU1240" s="294">
        <v>1</v>
      </c>
      <c r="AV1240" s="294">
        <v>1</v>
      </c>
      <c r="AW1240" s="294">
        <v>1</v>
      </c>
      <c r="AX1240" s="294">
        <v>0</v>
      </c>
      <c r="AY1240" s="294">
        <v>0</v>
      </c>
      <c r="AZ1240" s="294">
        <v>0</v>
      </c>
      <c r="BA1240" s="294">
        <v>0</v>
      </c>
      <c r="BB1240" s="294">
        <f t="shared" si="1431"/>
        <v>0.67</v>
      </c>
      <c r="BD1240" s="295">
        <f>-18.16-20.81</f>
        <v>-38.97</v>
      </c>
      <c r="BE1240" s="295">
        <v>0</v>
      </c>
      <c r="BF1240" s="295">
        <v>0</v>
      </c>
      <c r="BG1240" s="295">
        <v>0</v>
      </c>
      <c r="BH1240" s="295">
        <v>0</v>
      </c>
      <c r="BI1240" s="105">
        <f t="shared" ref="BI1240" si="1485">SUM(BD1240:BH1240)</f>
        <v>-38.97</v>
      </c>
      <c r="BJ1240" s="22" t="s">
        <v>91</v>
      </c>
      <c r="BL1240" s="110">
        <v>-790135</v>
      </c>
      <c r="BM1240" s="110">
        <v>-790135</v>
      </c>
      <c r="BO1240" s="295">
        <f t="shared" si="1457"/>
        <v>0</v>
      </c>
      <c r="BP1240" s="295">
        <v>0</v>
      </c>
      <c r="BS1240" s="110">
        <f t="shared" si="1450"/>
        <v>0</v>
      </c>
      <c r="BT1240" s="110">
        <f t="shared" si="1451"/>
        <v>0</v>
      </c>
      <c r="BU1240" s="110">
        <f t="shared" si="1415"/>
        <v>0</v>
      </c>
      <c r="BV1240" s="110">
        <f t="shared" si="1452"/>
        <v>0</v>
      </c>
      <c r="BW1240" s="110">
        <f t="shared" si="1452"/>
        <v>0</v>
      </c>
      <c r="BX1240" s="295">
        <f t="shared" si="1452"/>
        <v>0</v>
      </c>
      <c r="BY1240" s="110" t="s">
        <v>91</v>
      </c>
      <c r="CA1240" s="110">
        <f t="shared" si="1453"/>
        <v>0</v>
      </c>
      <c r="CB1240" s="110">
        <f t="shared" si="1453"/>
        <v>0</v>
      </c>
      <c r="CC1240" s="110">
        <f t="shared" si="1453"/>
        <v>0</v>
      </c>
      <c r="CD1240" s="110">
        <f t="shared" si="1453"/>
        <v>0</v>
      </c>
      <c r="CE1240" s="110">
        <f t="shared" si="1479"/>
        <v>0</v>
      </c>
      <c r="CF1240" s="110">
        <f t="shared" si="1479"/>
        <v>0</v>
      </c>
      <c r="CG1240" s="110">
        <f t="shared" si="1479"/>
        <v>0</v>
      </c>
      <c r="CH1240" s="110">
        <f t="shared" si="1479"/>
        <v>0</v>
      </c>
      <c r="CI1240" s="110">
        <f t="shared" si="1421"/>
        <v>0</v>
      </c>
      <c r="CK1240" s="110">
        <f t="shared" si="1454"/>
        <v>0</v>
      </c>
      <c r="CL1240" s="110">
        <f t="shared" si="1454"/>
        <v>0</v>
      </c>
      <c r="CM1240" s="110">
        <f t="shared" si="1454"/>
        <v>0</v>
      </c>
      <c r="CN1240" s="110">
        <f t="shared" si="1446"/>
        <v>0</v>
      </c>
      <c r="CO1240" s="110">
        <f t="shared" si="1446"/>
        <v>0</v>
      </c>
      <c r="CP1240" s="110">
        <f t="shared" si="1446"/>
        <v>0</v>
      </c>
      <c r="CQ1240" s="110">
        <f t="shared" si="1446"/>
        <v>0</v>
      </c>
      <c r="CR1240" s="110">
        <f t="shared" si="1446"/>
        <v>0</v>
      </c>
      <c r="CS1240" s="110">
        <f t="shared" si="1422"/>
        <v>0</v>
      </c>
      <c r="CT1240" s="295">
        <f t="shared" si="1425"/>
        <v>0</v>
      </c>
      <c r="CU1240" s="110"/>
      <c r="CV1240" s="110">
        <f t="shared" ref="CV1240" si="1486">SUM(AG1240)-SUM(BL1240)</f>
        <v>0</v>
      </c>
      <c r="CW1240" s="110">
        <f t="shared" ref="CW1240" si="1487">SUM(AH1240)-SUM(BM1240)</f>
        <v>0</v>
      </c>
      <c r="CY1240" s="110">
        <f t="shared" si="1483"/>
        <v>0</v>
      </c>
      <c r="CZ1240" s="110">
        <f t="shared" si="1483"/>
        <v>0</v>
      </c>
      <c r="DA1240" s="110">
        <f t="shared" si="1483"/>
        <v>0</v>
      </c>
      <c r="DB1240" s="22" t="s">
        <v>86</v>
      </c>
      <c r="DC1240" s="22" t="s">
        <v>85</v>
      </c>
      <c r="DD1240" s="22" t="s">
        <v>87</v>
      </c>
      <c r="DE1240" s="22" t="s">
        <v>106</v>
      </c>
      <c r="DF1240" s="3" t="s">
        <v>86</v>
      </c>
      <c r="DG1240" s="62">
        <v>43136</v>
      </c>
      <c r="DZ1240" s="24"/>
      <c r="EC1240" s="60" t="str">
        <f>VLOOKUP($M1240,[1]Detail!$M:$BO,1,0)</f>
        <v>GN11-5K291-DB</v>
      </c>
      <c r="ED1240" s="60">
        <f>VLOOKUP($M1240,[1]Detail!$M:$BO,22,0)</f>
        <v>-38.97</v>
      </c>
      <c r="EE1240" s="60">
        <f>VLOOKUP($M1240,[1]Detail!$M:$BO,42,0)</f>
        <v>-790135</v>
      </c>
      <c r="EF1240" s="60">
        <f>VLOOKUP($M1240,[1]Detail!$M:$BO,45,0)</f>
        <v>0</v>
      </c>
      <c r="EH1240" s="60">
        <f>ED1240-AD1240</f>
        <v>0</v>
      </c>
      <c r="EI1240" s="60">
        <f>EE1240-AG1240</f>
        <v>0</v>
      </c>
      <c r="EJ1240" s="60">
        <f>EF1240-AJ1240</f>
        <v>0</v>
      </c>
    </row>
    <row r="1241" spans="2:140" ht="12.75" hidden="1" customHeight="1">
      <c r="B1241" s="1" t="s">
        <v>2083</v>
      </c>
      <c r="C1241" s="22" t="s">
        <v>2084</v>
      </c>
      <c r="D1241" s="149" t="s">
        <v>2085</v>
      </c>
      <c r="E1241" s="86" t="s">
        <v>2046</v>
      </c>
      <c r="F1241" s="85" t="s">
        <v>2080</v>
      </c>
      <c r="G1241" s="297"/>
      <c r="J1241" s="298" t="s">
        <v>286</v>
      </c>
      <c r="K1241" s="299" t="s">
        <v>2086</v>
      </c>
      <c r="L1241" s="3" t="s">
        <v>132</v>
      </c>
      <c r="M1241" s="51" t="str">
        <f t="shared" si="1432"/>
        <v>JD8G-5E292-AB</v>
      </c>
      <c r="O1241" s="89">
        <v>1</v>
      </c>
      <c r="P1241" s="89">
        <v>1</v>
      </c>
      <c r="Q1241" s="89">
        <v>1</v>
      </c>
      <c r="R1241" s="89">
        <v>1</v>
      </c>
      <c r="S1241" s="89">
        <v>0</v>
      </c>
      <c r="T1241" s="89">
        <v>0</v>
      </c>
      <c r="U1241" s="89">
        <v>0</v>
      </c>
      <c r="V1241" s="89">
        <v>0</v>
      </c>
      <c r="W1241" s="164">
        <f t="shared" si="1429"/>
        <v>0.67</v>
      </c>
      <c r="Y1241" s="8">
        <v>-572.54999999999995</v>
      </c>
      <c r="Z1241" s="63">
        <v>0</v>
      </c>
      <c r="AA1241" s="63">
        <v>0</v>
      </c>
      <c r="AB1241" s="63">
        <v>0</v>
      </c>
      <c r="AC1241" s="63">
        <v>0</v>
      </c>
      <c r="AD1241" s="8">
        <f>SUM(Y1241:AC1241)</f>
        <v>-572.54999999999995</v>
      </c>
      <c r="AE1241" s="2" t="s">
        <v>91</v>
      </c>
      <c r="AG1241" s="300">
        <f>-640000-175000</f>
        <v>-815000</v>
      </c>
      <c r="AH1241" s="300">
        <f>-640000-175000</f>
        <v>-815000</v>
      </c>
      <c r="AJ1241" s="300">
        <v>-453813</v>
      </c>
      <c r="AK1241" s="176"/>
      <c r="AM1241" s="22"/>
      <c r="AO1241" s="298" t="s">
        <v>286</v>
      </c>
      <c r="AP1241" s="297" t="s">
        <v>2086</v>
      </c>
      <c r="AQ1241" s="3" t="s">
        <v>132</v>
      </c>
      <c r="AR1241" s="90" t="str">
        <f>TRIM(AO1241)&amp;"-"&amp;TRIM(AP1241)&amp;"-"&amp;TRIM(AQ1241)</f>
        <v>JD8G-5E292-AB</v>
      </c>
      <c r="AT1241" s="89">
        <v>1</v>
      </c>
      <c r="AU1241" s="89">
        <v>1</v>
      </c>
      <c r="AV1241" s="89">
        <v>1</v>
      </c>
      <c r="AW1241" s="89">
        <v>1</v>
      </c>
      <c r="AX1241" s="89">
        <v>0</v>
      </c>
      <c r="AY1241" s="89">
        <v>0</v>
      </c>
      <c r="AZ1241" s="89">
        <v>0</v>
      </c>
      <c r="BA1241" s="89">
        <v>0</v>
      </c>
      <c r="BB1241" s="89">
        <f t="shared" si="1431"/>
        <v>0.67</v>
      </c>
      <c r="BD1241" s="60">
        <v>-549.39</v>
      </c>
      <c r="BE1241" s="63">
        <v>0</v>
      </c>
      <c r="BF1241" s="63">
        <v>0</v>
      </c>
      <c r="BG1241" s="63">
        <v>0</v>
      </c>
      <c r="BH1241" s="63">
        <v>0</v>
      </c>
      <c r="BI1241" s="8">
        <f>SUM(BD1241:BH1241)</f>
        <v>-549.39</v>
      </c>
      <c r="BJ1241" s="2" t="s">
        <v>91</v>
      </c>
      <c r="BL1241" s="63">
        <v>-640000</v>
      </c>
      <c r="BM1241" s="63">
        <v>-640000</v>
      </c>
      <c r="BN1241" s="267"/>
      <c r="BO1241" s="63">
        <f t="shared" si="1457"/>
        <v>0</v>
      </c>
      <c r="BP1241" s="63">
        <v>0</v>
      </c>
      <c r="BS1241" s="61">
        <f t="shared" si="1450"/>
        <v>-23.159999999999968</v>
      </c>
      <c r="BT1241" s="61">
        <f t="shared" si="1451"/>
        <v>0</v>
      </c>
      <c r="BU1241" s="61">
        <f t="shared" si="1415"/>
        <v>0</v>
      </c>
      <c r="BV1241" s="61">
        <f t="shared" si="1452"/>
        <v>0</v>
      </c>
      <c r="BW1241" s="61">
        <f t="shared" si="1452"/>
        <v>0</v>
      </c>
      <c r="BX1241" s="63">
        <f t="shared" si="1452"/>
        <v>-23.159999999999968</v>
      </c>
      <c r="BY1241" s="61" t="s">
        <v>91</v>
      </c>
      <c r="CA1241" s="61">
        <f t="shared" si="1453"/>
        <v>-3.4842786219347026</v>
      </c>
      <c r="CB1241" s="61">
        <f t="shared" si="1453"/>
        <v>-3.4842786219347026</v>
      </c>
      <c r="CC1241" s="61">
        <f t="shared" si="1453"/>
        <v>-3.4842786219347026</v>
      </c>
      <c r="CD1241" s="61">
        <f t="shared" si="1453"/>
        <v>-3.4842786219347026</v>
      </c>
      <c r="CE1241" s="61">
        <f t="shared" si="1479"/>
        <v>0</v>
      </c>
      <c r="CF1241" s="61">
        <f t="shared" si="1479"/>
        <v>0</v>
      </c>
      <c r="CG1241" s="61">
        <f t="shared" si="1479"/>
        <v>0</v>
      </c>
      <c r="CH1241" s="61">
        <f t="shared" si="1479"/>
        <v>0</v>
      </c>
      <c r="CI1241" s="61">
        <f t="shared" si="1421"/>
        <v>-2.334466676696251</v>
      </c>
      <c r="CJ1241" s="267"/>
      <c r="CK1241" s="61">
        <f t="shared" si="1454"/>
        <v>-3.4842786219347026</v>
      </c>
      <c r="CL1241" s="61">
        <f t="shared" si="1454"/>
        <v>-3.4842786219347026</v>
      </c>
      <c r="CM1241" s="61">
        <f t="shared" si="1454"/>
        <v>-3.4842786219347026</v>
      </c>
      <c r="CN1241" s="61">
        <f t="shared" si="1446"/>
        <v>-3.4842786219347026</v>
      </c>
      <c r="CO1241" s="61">
        <f t="shared" si="1446"/>
        <v>0</v>
      </c>
      <c r="CP1241" s="61">
        <f t="shared" si="1446"/>
        <v>0</v>
      </c>
      <c r="CQ1241" s="61">
        <f t="shared" si="1446"/>
        <v>0</v>
      </c>
      <c r="CR1241" s="61">
        <f t="shared" si="1446"/>
        <v>0</v>
      </c>
      <c r="CS1241" s="61">
        <f t="shared" si="1422"/>
        <v>-2.334466676696251</v>
      </c>
      <c r="CT1241" s="63">
        <f t="shared" si="1425"/>
        <v>-15.517199999999981</v>
      </c>
      <c r="CU1241" s="73"/>
      <c r="CV1241" s="61">
        <f>SUM(AG1241)-SUM(BL1241)</f>
        <v>-175000</v>
      </c>
      <c r="CW1241" s="61">
        <f>SUM(AH1241)-SUM(BM1241)</f>
        <v>-175000</v>
      </c>
      <c r="CY1241" s="61">
        <f t="shared" ref="CY1241:DA1242" si="1488">SUM(AJ1241)-SUM(BO1241)</f>
        <v>-453813</v>
      </c>
      <c r="CZ1241" s="61">
        <f t="shared" si="1488"/>
        <v>0</v>
      </c>
      <c r="DA1241" s="61">
        <f t="shared" si="1488"/>
        <v>0</v>
      </c>
      <c r="DB1241" s="2" t="s">
        <v>134</v>
      </c>
      <c r="DC1241" s="2" t="s">
        <v>86</v>
      </c>
      <c r="DD1241" s="2" t="s">
        <v>87</v>
      </c>
      <c r="DE1241" s="2" t="s">
        <v>106</v>
      </c>
      <c r="DF1241" s="3" t="s">
        <v>102</v>
      </c>
      <c r="DG1241" s="62">
        <v>43062</v>
      </c>
      <c r="EC1241" s="60"/>
      <c r="ED1241" s="60"/>
      <c r="EE1241" s="60"/>
      <c r="EF1241" s="60"/>
    </row>
    <row r="1242" spans="2:140" ht="12.75" hidden="1" customHeight="1">
      <c r="B1242" s="1" t="s">
        <v>2087</v>
      </c>
      <c r="C1242" s="22" t="s">
        <v>2084</v>
      </c>
      <c r="D1242" s="149" t="s">
        <v>2085</v>
      </c>
      <c r="E1242" s="86" t="s">
        <v>2046</v>
      </c>
      <c r="F1242" s="85" t="s">
        <v>2080</v>
      </c>
      <c r="G1242" s="297"/>
      <c r="J1242" s="298" t="s">
        <v>286</v>
      </c>
      <c r="K1242" s="299" t="s">
        <v>2086</v>
      </c>
      <c r="L1242" s="3" t="s">
        <v>234</v>
      </c>
      <c r="M1242" s="51" t="str">
        <f t="shared" si="1432"/>
        <v>JD8G-5E292-AC</v>
      </c>
      <c r="O1242" s="89">
        <v>1</v>
      </c>
      <c r="P1242" s="89">
        <v>1</v>
      </c>
      <c r="Q1242" s="89">
        <v>1</v>
      </c>
      <c r="R1242" s="89">
        <v>1</v>
      </c>
      <c r="S1242" s="89">
        <v>0</v>
      </c>
      <c r="T1242" s="89">
        <v>0</v>
      </c>
      <c r="U1242" s="89">
        <v>0</v>
      </c>
      <c r="V1242" s="89">
        <v>0</v>
      </c>
      <c r="W1242" s="164">
        <f t="shared" si="1429"/>
        <v>0.67</v>
      </c>
      <c r="Y1242" s="8">
        <v>-572.54999999999995</v>
      </c>
      <c r="Z1242" s="63">
        <v>0</v>
      </c>
      <c r="AA1242" s="63">
        <v>0</v>
      </c>
      <c r="AB1242" s="63">
        <v>0</v>
      </c>
      <c r="AC1242" s="63">
        <v>0</v>
      </c>
      <c r="AD1242" s="8">
        <f>SUM(Y1242:AC1242)</f>
        <v>-572.54999999999995</v>
      </c>
      <c r="AE1242" s="2" t="s">
        <v>91</v>
      </c>
      <c r="AG1242" s="300">
        <f>-640000-175000</f>
        <v>-815000</v>
      </c>
      <c r="AH1242" s="300">
        <f>-640000-175000</f>
        <v>-815000</v>
      </c>
      <c r="AJ1242" s="300">
        <v>-453813</v>
      </c>
      <c r="AK1242" s="176"/>
      <c r="AM1242" s="22"/>
      <c r="AO1242" s="298" t="s">
        <v>286</v>
      </c>
      <c r="AP1242" s="297" t="s">
        <v>2086</v>
      </c>
      <c r="AQ1242" s="3" t="s">
        <v>132</v>
      </c>
      <c r="AR1242" s="90" t="str">
        <f>TRIM(AO1242)&amp;"-"&amp;TRIM(AP1242)&amp;"-"&amp;TRIM(AQ1242)</f>
        <v>JD8G-5E292-AB</v>
      </c>
      <c r="AT1242" s="89">
        <v>1</v>
      </c>
      <c r="AU1242" s="89">
        <v>1</v>
      </c>
      <c r="AV1242" s="89">
        <v>1</v>
      </c>
      <c r="AW1242" s="89">
        <v>1</v>
      </c>
      <c r="AX1242" s="89">
        <v>0</v>
      </c>
      <c r="AY1242" s="89">
        <v>0</v>
      </c>
      <c r="AZ1242" s="89">
        <v>0</v>
      </c>
      <c r="BA1242" s="89">
        <v>0</v>
      </c>
      <c r="BB1242" s="89">
        <f t="shared" si="1431"/>
        <v>0.67</v>
      </c>
      <c r="BD1242" s="60">
        <v>-572.54999999999995</v>
      </c>
      <c r="BE1242" s="63">
        <v>0</v>
      </c>
      <c r="BF1242" s="63">
        <v>0</v>
      </c>
      <c r="BG1242" s="63">
        <v>0</v>
      </c>
      <c r="BH1242" s="63">
        <v>0</v>
      </c>
      <c r="BI1242" s="8">
        <f>SUM(BD1242:BH1242)</f>
        <v>-572.54999999999995</v>
      </c>
      <c r="BJ1242" s="2" t="s">
        <v>91</v>
      </c>
      <c r="BL1242" s="63">
        <f>-640000-175000</f>
        <v>-815000</v>
      </c>
      <c r="BM1242" s="63">
        <f>-640000-175000</f>
        <v>-815000</v>
      </c>
      <c r="BN1242" s="267"/>
      <c r="BO1242" s="63">
        <v>-453813</v>
      </c>
      <c r="BP1242" s="63">
        <v>0</v>
      </c>
      <c r="BS1242" s="61">
        <f t="shared" si="1450"/>
        <v>0</v>
      </c>
      <c r="BT1242" s="61">
        <f t="shared" si="1451"/>
        <v>0</v>
      </c>
      <c r="BU1242" s="61">
        <f t="shared" si="1415"/>
        <v>0</v>
      </c>
      <c r="BV1242" s="61">
        <f t="shared" si="1452"/>
        <v>0</v>
      </c>
      <c r="BW1242" s="61">
        <f t="shared" si="1452"/>
        <v>0</v>
      </c>
      <c r="BX1242" s="63">
        <f t="shared" si="1452"/>
        <v>0</v>
      </c>
      <c r="BY1242" s="61" t="s">
        <v>91</v>
      </c>
      <c r="CA1242" s="61">
        <f t="shared" si="1453"/>
        <v>0</v>
      </c>
      <c r="CB1242" s="61">
        <f t="shared" si="1453"/>
        <v>0</v>
      </c>
      <c r="CC1242" s="61">
        <f t="shared" si="1453"/>
        <v>0</v>
      </c>
      <c r="CD1242" s="61">
        <f t="shared" si="1453"/>
        <v>0</v>
      </c>
      <c r="CE1242" s="61">
        <f t="shared" si="1479"/>
        <v>0</v>
      </c>
      <c r="CF1242" s="61">
        <f t="shared" si="1479"/>
        <v>0</v>
      </c>
      <c r="CG1242" s="61">
        <f t="shared" si="1479"/>
        <v>0</v>
      </c>
      <c r="CH1242" s="61">
        <f t="shared" si="1479"/>
        <v>0</v>
      </c>
      <c r="CI1242" s="61">
        <f t="shared" si="1421"/>
        <v>0</v>
      </c>
      <c r="CJ1242" s="267"/>
      <c r="CK1242" s="61">
        <f t="shared" si="1454"/>
        <v>0</v>
      </c>
      <c r="CL1242" s="61">
        <f t="shared" si="1454"/>
        <v>0</v>
      </c>
      <c r="CM1242" s="61">
        <f t="shared" si="1454"/>
        <v>0</v>
      </c>
      <c r="CN1242" s="61">
        <f t="shared" si="1446"/>
        <v>0</v>
      </c>
      <c r="CO1242" s="61">
        <f t="shared" si="1446"/>
        <v>0</v>
      </c>
      <c r="CP1242" s="61">
        <f t="shared" si="1446"/>
        <v>0</v>
      </c>
      <c r="CQ1242" s="61">
        <f t="shared" si="1446"/>
        <v>0</v>
      </c>
      <c r="CR1242" s="61">
        <f t="shared" si="1446"/>
        <v>0</v>
      </c>
      <c r="CS1242" s="61">
        <f t="shared" si="1422"/>
        <v>0</v>
      </c>
      <c r="CT1242" s="63">
        <f t="shared" si="1425"/>
        <v>0</v>
      </c>
      <c r="CU1242" s="73"/>
      <c r="CV1242" s="61">
        <f>SUM(AG1242)-SUM(BL1242)</f>
        <v>0</v>
      </c>
      <c r="CW1242" s="61">
        <f>SUM(AH1242)-SUM(BM1242)</f>
        <v>0</v>
      </c>
      <c r="CY1242" s="61">
        <f t="shared" si="1488"/>
        <v>0</v>
      </c>
      <c r="CZ1242" s="61">
        <f t="shared" si="1488"/>
        <v>0</v>
      </c>
      <c r="DA1242" s="61">
        <f t="shared" si="1488"/>
        <v>0</v>
      </c>
      <c r="DB1242" s="2" t="s">
        <v>102</v>
      </c>
      <c r="DC1242" s="2" t="s">
        <v>85</v>
      </c>
      <c r="DD1242" s="2" t="s">
        <v>87</v>
      </c>
      <c r="DE1242" s="2" t="s">
        <v>106</v>
      </c>
      <c r="DF1242" s="3" t="s">
        <v>86</v>
      </c>
      <c r="DG1242" s="62">
        <v>43084</v>
      </c>
      <c r="EC1242" s="60" t="str">
        <f>VLOOKUP($M1242,[1]Detail!$M:$BO,1,0)</f>
        <v>JD8G-5E292-AC</v>
      </c>
      <c r="ED1242" s="60">
        <f>VLOOKUP($M1242,[1]Detail!$M:$BO,22,0)</f>
        <v>-572.54999999999995</v>
      </c>
      <c r="EE1242" s="60">
        <f>VLOOKUP($M1242,[1]Detail!$M:$BO,42,0)</f>
        <v>-815000</v>
      </c>
      <c r="EF1242" s="60">
        <f>VLOOKUP($M1242,[1]Detail!$M:$BO,45,0)</f>
        <v>-453813</v>
      </c>
      <c r="EH1242" s="60">
        <f>ED1242-AD1242</f>
        <v>0</v>
      </c>
      <c r="EI1242" s="60">
        <f>EE1242-AG1242</f>
        <v>0</v>
      </c>
      <c r="EJ1242" s="60">
        <f>EF1242-AJ1242</f>
        <v>0</v>
      </c>
    </row>
    <row r="1243" spans="2:140" ht="12.75" hidden="1" customHeight="1">
      <c r="B1243" s="1" t="s">
        <v>2088</v>
      </c>
      <c r="C1243" s="22" t="s">
        <v>2089</v>
      </c>
      <c r="D1243" s="149" t="s">
        <v>2090</v>
      </c>
      <c r="E1243" s="86" t="s">
        <v>2046</v>
      </c>
      <c r="F1243" s="85" t="s">
        <v>2080</v>
      </c>
      <c r="G1243" s="297"/>
      <c r="J1243" s="298" t="s">
        <v>286</v>
      </c>
      <c r="K1243" s="299" t="s">
        <v>2091</v>
      </c>
      <c r="L1243" s="3" t="s">
        <v>111</v>
      </c>
      <c r="M1243" s="51" t="str">
        <f t="shared" si="1432"/>
        <v>JD8G-9K007-BA</v>
      </c>
      <c r="O1243" s="89">
        <v>1</v>
      </c>
      <c r="P1243" s="89">
        <v>1</v>
      </c>
      <c r="Q1243" s="89">
        <v>1</v>
      </c>
      <c r="R1243" s="89">
        <v>1</v>
      </c>
      <c r="S1243" s="89">
        <v>0</v>
      </c>
      <c r="T1243" s="89">
        <v>0</v>
      </c>
      <c r="U1243" s="89">
        <v>0</v>
      </c>
      <c r="V1243" s="89">
        <v>0</v>
      </c>
      <c r="W1243" s="164">
        <f t="shared" si="1429"/>
        <v>0.67</v>
      </c>
      <c r="Y1243" s="8">
        <v>-639.26</v>
      </c>
      <c r="Z1243" s="63">
        <v>-1.33</v>
      </c>
      <c r="AA1243" s="63">
        <v>-7.87</v>
      </c>
      <c r="AB1243" s="63">
        <v>0</v>
      </c>
      <c r="AC1243" s="63">
        <v>-39.71</v>
      </c>
      <c r="AD1243" s="8">
        <f t="shared" si="1468"/>
        <v>-688.17000000000007</v>
      </c>
      <c r="AE1243" s="2" t="s">
        <v>91</v>
      </c>
      <c r="AG1243" s="300">
        <v>-2362000</v>
      </c>
      <c r="AH1243" s="300">
        <v>-2362000</v>
      </c>
      <c r="AJ1243" s="300">
        <v>-1620020</v>
      </c>
      <c r="AK1243" s="176">
        <v>40793</v>
      </c>
      <c r="AM1243" s="22"/>
      <c r="AO1243" s="298" t="s">
        <v>286</v>
      </c>
      <c r="AP1243" s="297" t="s">
        <v>2091</v>
      </c>
      <c r="AQ1243" s="3" t="s">
        <v>111</v>
      </c>
      <c r="AR1243" s="90" t="str">
        <f t="shared" si="1448"/>
        <v>JD8G-9K007-BA</v>
      </c>
      <c r="AT1243" s="89">
        <v>1</v>
      </c>
      <c r="AU1243" s="89">
        <v>1</v>
      </c>
      <c r="AV1243" s="89">
        <v>1</v>
      </c>
      <c r="AW1243" s="89">
        <v>1</v>
      </c>
      <c r="AX1243" s="89">
        <v>0</v>
      </c>
      <c r="AY1243" s="89">
        <v>0</v>
      </c>
      <c r="AZ1243" s="89">
        <v>0</v>
      </c>
      <c r="BA1243" s="89">
        <v>0</v>
      </c>
      <c r="BB1243" s="89">
        <f t="shared" si="1431"/>
        <v>0.67</v>
      </c>
      <c r="BD1243" s="60">
        <v>-639.26</v>
      </c>
      <c r="BE1243" s="63">
        <v>-1.33</v>
      </c>
      <c r="BF1243" s="63">
        <v>-7.87</v>
      </c>
      <c r="BG1243" s="63">
        <v>0</v>
      </c>
      <c r="BH1243" s="63">
        <v>-39.71</v>
      </c>
      <c r="BI1243" s="8">
        <f t="shared" si="1476"/>
        <v>-688.17000000000007</v>
      </c>
      <c r="BJ1243" s="2" t="s">
        <v>91</v>
      </c>
      <c r="BL1243" s="63">
        <v>-2362000</v>
      </c>
      <c r="BM1243" s="63">
        <v>-2362000</v>
      </c>
      <c r="BN1243" s="267"/>
      <c r="BO1243" s="63">
        <v>-1620020</v>
      </c>
      <c r="BP1243" s="63">
        <v>40793</v>
      </c>
      <c r="BS1243" s="61">
        <f t="shared" si="1450"/>
        <v>0</v>
      </c>
      <c r="BT1243" s="61">
        <f t="shared" si="1451"/>
        <v>0</v>
      </c>
      <c r="BU1243" s="61">
        <f t="shared" si="1415"/>
        <v>0</v>
      </c>
      <c r="BV1243" s="61">
        <f t="shared" si="1452"/>
        <v>0</v>
      </c>
      <c r="BW1243" s="61">
        <f t="shared" si="1452"/>
        <v>0</v>
      </c>
      <c r="BX1243" s="63">
        <f t="shared" si="1452"/>
        <v>0</v>
      </c>
      <c r="BY1243" s="61" t="s">
        <v>91</v>
      </c>
      <c r="CA1243" s="61">
        <f t="shared" si="1453"/>
        <v>0</v>
      </c>
      <c r="CB1243" s="61">
        <f t="shared" si="1453"/>
        <v>0</v>
      </c>
      <c r="CC1243" s="61">
        <f t="shared" si="1453"/>
        <v>0</v>
      </c>
      <c r="CD1243" s="61">
        <f t="shared" si="1453"/>
        <v>0</v>
      </c>
      <c r="CE1243" s="61">
        <f t="shared" si="1479"/>
        <v>0</v>
      </c>
      <c r="CF1243" s="61">
        <f t="shared" si="1479"/>
        <v>0</v>
      </c>
      <c r="CG1243" s="61">
        <f t="shared" si="1479"/>
        <v>0</v>
      </c>
      <c r="CH1243" s="61">
        <f t="shared" si="1479"/>
        <v>0</v>
      </c>
      <c r="CI1243" s="61">
        <f t="shared" si="1421"/>
        <v>0</v>
      </c>
      <c r="CJ1243" s="267"/>
      <c r="CK1243" s="61">
        <f t="shared" si="1454"/>
        <v>0</v>
      </c>
      <c r="CL1243" s="61">
        <f t="shared" si="1454"/>
        <v>0</v>
      </c>
      <c r="CM1243" s="61">
        <f t="shared" si="1454"/>
        <v>0</v>
      </c>
      <c r="CN1243" s="61">
        <f t="shared" si="1446"/>
        <v>0</v>
      </c>
      <c r="CO1243" s="61">
        <f t="shared" si="1446"/>
        <v>0</v>
      </c>
      <c r="CP1243" s="61">
        <f t="shared" si="1446"/>
        <v>0</v>
      </c>
      <c r="CQ1243" s="61">
        <f t="shared" si="1446"/>
        <v>0</v>
      </c>
      <c r="CR1243" s="61">
        <f t="shared" si="1446"/>
        <v>0</v>
      </c>
      <c r="CS1243" s="61">
        <f t="shared" si="1422"/>
        <v>0</v>
      </c>
      <c r="CT1243" s="63">
        <f t="shared" si="1425"/>
        <v>0</v>
      </c>
      <c r="CU1243" s="73"/>
      <c r="CV1243" s="61">
        <f t="shared" si="1477"/>
        <v>0</v>
      </c>
      <c r="CW1243" s="61">
        <f t="shared" si="1477"/>
        <v>0</v>
      </c>
      <c r="CY1243" s="61">
        <f t="shared" si="1478"/>
        <v>0</v>
      </c>
      <c r="CZ1243" s="61">
        <f t="shared" si="1478"/>
        <v>0</v>
      </c>
      <c r="DA1243" s="61">
        <f t="shared" si="1478"/>
        <v>0</v>
      </c>
      <c r="DB1243" s="2" t="s">
        <v>85</v>
      </c>
      <c r="DC1243" s="2" t="s">
        <v>86</v>
      </c>
      <c r="DD1243" s="2" t="s">
        <v>87</v>
      </c>
      <c r="DE1243" s="2" t="s">
        <v>106</v>
      </c>
      <c r="DF1243" s="3" t="s">
        <v>86</v>
      </c>
      <c r="DG1243" s="62">
        <v>43084</v>
      </c>
      <c r="EC1243" s="60"/>
      <c r="ED1243" s="60"/>
      <c r="EE1243" s="60"/>
      <c r="EF1243" s="60"/>
    </row>
    <row r="1244" spans="2:140" ht="12.75" hidden="1" customHeight="1">
      <c r="B1244" s="1" t="s">
        <v>2092</v>
      </c>
      <c r="C1244" s="22" t="s">
        <v>2089</v>
      </c>
      <c r="D1244" s="149" t="s">
        <v>2090</v>
      </c>
      <c r="E1244" s="86" t="s">
        <v>2046</v>
      </c>
      <c r="F1244" s="85" t="s">
        <v>2080</v>
      </c>
      <c r="G1244" s="297"/>
      <c r="J1244" s="298" t="s">
        <v>286</v>
      </c>
      <c r="K1244" s="299" t="s">
        <v>2091</v>
      </c>
      <c r="L1244" s="3" t="s">
        <v>120</v>
      </c>
      <c r="M1244" s="51" t="str">
        <f t="shared" si="1432"/>
        <v>JD8G-9K007-BB</v>
      </c>
      <c r="O1244" s="89">
        <v>1</v>
      </c>
      <c r="P1244" s="89">
        <v>1</v>
      </c>
      <c r="Q1244" s="89">
        <v>1</v>
      </c>
      <c r="R1244" s="89">
        <v>1</v>
      </c>
      <c r="S1244" s="89">
        <v>0</v>
      </c>
      <c r="T1244" s="89">
        <v>0</v>
      </c>
      <c r="U1244" s="89">
        <v>0</v>
      </c>
      <c r="V1244" s="89">
        <v>0</v>
      </c>
      <c r="W1244" s="164">
        <f t="shared" si="1429"/>
        <v>0.67</v>
      </c>
      <c r="Y1244" s="8">
        <f>-639.26+1</f>
        <v>-638.26</v>
      </c>
      <c r="Z1244" s="63">
        <v>-1.33</v>
      </c>
      <c r="AA1244" s="63">
        <v>-7.87</v>
      </c>
      <c r="AB1244" s="63">
        <v>0</v>
      </c>
      <c r="AC1244" s="63">
        <v>-39.71</v>
      </c>
      <c r="AD1244" s="8">
        <f t="shared" si="1468"/>
        <v>-687.17000000000007</v>
      </c>
      <c r="AE1244" s="2" t="s">
        <v>91</v>
      </c>
      <c r="AG1244" s="300">
        <v>-2362000</v>
      </c>
      <c r="AH1244" s="300">
        <v>-2362000</v>
      </c>
      <c r="AJ1244" s="300">
        <v>-1620020</v>
      </c>
      <c r="AK1244" s="176">
        <v>40793</v>
      </c>
      <c r="AM1244" s="22"/>
      <c r="AO1244" s="298" t="s">
        <v>286</v>
      </c>
      <c r="AP1244" s="299" t="s">
        <v>2091</v>
      </c>
      <c r="AQ1244" s="3" t="s">
        <v>111</v>
      </c>
      <c r="AR1244" s="51" t="str">
        <f t="shared" si="1448"/>
        <v>JD8G-9K007-BA</v>
      </c>
      <c r="AS1244" s="3"/>
      <c r="AT1244" s="89">
        <v>1</v>
      </c>
      <c r="AU1244" s="89">
        <v>1</v>
      </c>
      <c r="AV1244" s="89">
        <v>1</v>
      </c>
      <c r="AW1244" s="89">
        <v>1</v>
      </c>
      <c r="AX1244" s="89">
        <v>0</v>
      </c>
      <c r="AY1244" s="89">
        <v>0</v>
      </c>
      <c r="AZ1244" s="89">
        <v>0</v>
      </c>
      <c r="BA1244" s="89">
        <v>0</v>
      </c>
      <c r="BB1244" s="164">
        <f t="shared" si="1431"/>
        <v>0.67</v>
      </c>
      <c r="BD1244" s="8">
        <v>-639.26</v>
      </c>
      <c r="BE1244" s="63">
        <v>-1.33</v>
      </c>
      <c r="BF1244" s="63">
        <v>-7.87</v>
      </c>
      <c r="BG1244" s="63">
        <v>0</v>
      </c>
      <c r="BH1244" s="63">
        <v>-39.71</v>
      </c>
      <c r="BI1244" s="8">
        <f t="shared" ref="BI1244" si="1489">SUM(BD1244:BH1244)</f>
        <v>-688.17000000000007</v>
      </c>
      <c r="BJ1244" s="2" t="s">
        <v>91</v>
      </c>
      <c r="BL1244" s="63">
        <v>-2362000</v>
      </c>
      <c r="BM1244" s="63">
        <v>-2362000</v>
      </c>
      <c r="BN1244" s="267"/>
      <c r="BO1244" s="63">
        <v>-1620020</v>
      </c>
      <c r="BP1244" s="63">
        <v>40793</v>
      </c>
      <c r="BS1244" s="61">
        <f t="shared" si="1450"/>
        <v>1</v>
      </c>
      <c r="BT1244" s="61">
        <f t="shared" si="1451"/>
        <v>0</v>
      </c>
      <c r="BU1244" s="61">
        <f t="shared" si="1415"/>
        <v>0</v>
      </c>
      <c r="BV1244" s="61">
        <f t="shared" si="1452"/>
        <v>0</v>
      </c>
      <c r="BW1244" s="61">
        <f t="shared" si="1452"/>
        <v>0</v>
      </c>
      <c r="BX1244" s="63">
        <f t="shared" si="1452"/>
        <v>1</v>
      </c>
      <c r="BY1244" s="61" t="s">
        <v>91</v>
      </c>
      <c r="CA1244" s="61">
        <f t="shared" si="1453"/>
        <v>0.15044380923724987</v>
      </c>
      <c r="CB1244" s="61">
        <f t="shared" si="1453"/>
        <v>0.15044380923724987</v>
      </c>
      <c r="CC1244" s="61">
        <f t="shared" si="1453"/>
        <v>0.15044380923724987</v>
      </c>
      <c r="CD1244" s="61">
        <f t="shared" si="1453"/>
        <v>0.15044380923724987</v>
      </c>
      <c r="CE1244" s="61">
        <f t="shared" si="1479"/>
        <v>0</v>
      </c>
      <c r="CF1244" s="61">
        <f t="shared" si="1479"/>
        <v>0</v>
      </c>
      <c r="CG1244" s="61">
        <f t="shared" si="1479"/>
        <v>0</v>
      </c>
      <c r="CH1244" s="61">
        <f t="shared" si="1479"/>
        <v>0</v>
      </c>
      <c r="CI1244" s="61">
        <f t="shared" si="1421"/>
        <v>0.10079735218895741</v>
      </c>
      <c r="CJ1244" s="267"/>
      <c r="CK1244" s="61">
        <f t="shared" si="1454"/>
        <v>0.15044380923724987</v>
      </c>
      <c r="CL1244" s="61">
        <f t="shared" si="1454"/>
        <v>0.15044380923724987</v>
      </c>
      <c r="CM1244" s="61">
        <f t="shared" si="1454"/>
        <v>0.15044380923724987</v>
      </c>
      <c r="CN1244" s="61">
        <f t="shared" si="1446"/>
        <v>0.15044380923724987</v>
      </c>
      <c r="CO1244" s="61">
        <f t="shared" si="1446"/>
        <v>0</v>
      </c>
      <c r="CP1244" s="61">
        <f t="shared" si="1446"/>
        <v>0</v>
      </c>
      <c r="CQ1244" s="61">
        <f t="shared" si="1446"/>
        <v>0</v>
      </c>
      <c r="CR1244" s="61">
        <f t="shared" si="1446"/>
        <v>0</v>
      </c>
      <c r="CS1244" s="61">
        <f t="shared" si="1422"/>
        <v>0.10079735218895741</v>
      </c>
      <c r="CT1244" s="63">
        <f t="shared" si="1425"/>
        <v>0.66999999999999993</v>
      </c>
      <c r="CU1244" s="73"/>
      <c r="CV1244" s="61">
        <f t="shared" ref="CV1244" si="1490">SUM(AG1244)-SUM(BL1244)</f>
        <v>0</v>
      </c>
      <c r="CW1244" s="61">
        <f t="shared" ref="CW1244" si="1491">SUM(AH1244)-SUM(BM1244)</f>
        <v>0</v>
      </c>
      <c r="CY1244" s="61">
        <f t="shared" ref="CY1244:DA1244" si="1492">SUM(AJ1244)-SUM(BO1244)</f>
        <v>0</v>
      </c>
      <c r="CZ1244" s="61">
        <f t="shared" si="1492"/>
        <v>0</v>
      </c>
      <c r="DA1244" s="61">
        <f t="shared" si="1492"/>
        <v>0</v>
      </c>
      <c r="DB1244" s="2" t="s">
        <v>86</v>
      </c>
      <c r="DC1244" s="2" t="s">
        <v>85</v>
      </c>
      <c r="DD1244" s="2" t="s">
        <v>87</v>
      </c>
      <c r="DE1244" s="2" t="s">
        <v>106</v>
      </c>
      <c r="DF1244" s="3" t="s">
        <v>86</v>
      </c>
      <c r="DG1244" s="62">
        <v>43084</v>
      </c>
      <c r="EC1244" s="60" t="str">
        <f>VLOOKUP($M1244,[1]Detail!$M:$BO,1,0)</f>
        <v>JD8G-9K007-BB</v>
      </c>
      <c r="ED1244" s="60">
        <f>VLOOKUP($M1244,[1]Detail!$M:$BO,22,0)</f>
        <v>-687.17000000000007</v>
      </c>
      <c r="EE1244" s="60">
        <f>VLOOKUP($M1244,[1]Detail!$M:$BO,42,0)</f>
        <v>-310000</v>
      </c>
      <c r="EF1244" s="60">
        <f>VLOOKUP($M1244,[1]Detail!$M:$BO,45,0)</f>
        <v>-1620020</v>
      </c>
      <c r="EH1244" s="60">
        <f>ED1244-AD1244</f>
        <v>0</v>
      </c>
      <c r="EI1244" s="60">
        <f>EE1244-AG1244</f>
        <v>2052000</v>
      </c>
      <c r="EJ1244" s="60">
        <f>EF1244-AJ1244</f>
        <v>0</v>
      </c>
    </row>
    <row r="1245" spans="2:140" ht="12.75" hidden="1" customHeight="1">
      <c r="B1245" s="1" t="s">
        <v>2093</v>
      </c>
      <c r="C1245" s="22" t="s">
        <v>2089</v>
      </c>
      <c r="D1245" s="149" t="s">
        <v>2094</v>
      </c>
      <c r="E1245" s="86" t="s">
        <v>2046</v>
      </c>
      <c r="F1245" s="85" t="s">
        <v>2080</v>
      </c>
      <c r="G1245" s="297"/>
      <c r="J1245" s="298" t="s">
        <v>286</v>
      </c>
      <c r="K1245" s="299" t="s">
        <v>2091</v>
      </c>
      <c r="L1245" s="3" t="s">
        <v>113</v>
      </c>
      <c r="M1245" s="51" t="str">
        <f t="shared" si="1432"/>
        <v>JD8G-9K007-CA</v>
      </c>
      <c r="O1245" s="89">
        <v>0</v>
      </c>
      <c r="P1245" s="89">
        <v>0</v>
      </c>
      <c r="Q1245" s="89">
        <v>0</v>
      </c>
      <c r="R1245" s="89">
        <v>0</v>
      </c>
      <c r="S1245" s="89">
        <v>1</v>
      </c>
      <c r="T1245" s="89">
        <v>1</v>
      </c>
      <c r="U1245" s="89">
        <v>1</v>
      </c>
      <c r="V1245" s="89">
        <v>1</v>
      </c>
      <c r="W1245" s="164">
        <f t="shared" si="1429"/>
        <v>0.33</v>
      </c>
      <c r="Y1245" s="8">
        <f>-475.5-27.05</f>
        <v>-502.55</v>
      </c>
      <c r="Z1245" s="63">
        <v>-2.4249999999999998</v>
      </c>
      <c r="AA1245" s="63">
        <v>-3</v>
      </c>
      <c r="AB1245" s="63">
        <v>-1.08</v>
      </c>
      <c r="AC1245" s="63">
        <v>0</v>
      </c>
      <c r="AD1245" s="8">
        <f t="shared" si="1468"/>
        <v>-509.05500000000001</v>
      </c>
      <c r="AE1245" s="2" t="s">
        <v>91</v>
      </c>
      <c r="AG1245" s="300">
        <v>-301000</v>
      </c>
      <c r="AH1245" s="300">
        <v>-301000</v>
      </c>
      <c r="AI1245" s="2">
        <v>0</v>
      </c>
      <c r="AJ1245" s="300">
        <v>0</v>
      </c>
      <c r="AK1245" s="176">
        <v>0</v>
      </c>
      <c r="AM1245" s="22" t="s">
        <v>2095</v>
      </c>
      <c r="AO1245" s="298" t="s">
        <v>1460</v>
      </c>
      <c r="AP1245" s="297" t="s">
        <v>2091</v>
      </c>
      <c r="AQ1245" s="3" t="s">
        <v>129</v>
      </c>
      <c r="AR1245" s="90" t="str">
        <f t="shared" si="1448"/>
        <v>ED8G-9K007-AE</v>
      </c>
      <c r="AT1245" s="89">
        <v>1</v>
      </c>
      <c r="AU1245" s="89">
        <v>1</v>
      </c>
      <c r="AV1245" s="89">
        <v>1</v>
      </c>
      <c r="AW1245" s="89">
        <v>1</v>
      </c>
      <c r="AX1245" s="89">
        <v>1</v>
      </c>
      <c r="AY1245" s="89">
        <v>1</v>
      </c>
      <c r="AZ1245" s="89">
        <v>1</v>
      </c>
      <c r="BA1245" s="89">
        <v>1</v>
      </c>
      <c r="BB1245" s="89">
        <f t="shared" si="1431"/>
        <v>1</v>
      </c>
      <c r="BD1245" s="60">
        <f>(-264.97-209.33-6.12)*0-486.07*0-492.19*0-492.64+17.14</f>
        <v>-475.5</v>
      </c>
      <c r="BE1245" s="63">
        <f>-2.425</f>
        <v>-2.4249999999999998</v>
      </c>
      <c r="BF1245" s="63">
        <f>-3</f>
        <v>-3</v>
      </c>
      <c r="BG1245" s="63">
        <f>-0.91*0-1.08</f>
        <v>-1.08</v>
      </c>
      <c r="BH1245" s="63">
        <v>0</v>
      </c>
      <c r="BI1245" s="8">
        <f t="shared" si="1476"/>
        <v>-482.005</v>
      </c>
      <c r="BJ1245" s="2" t="s">
        <v>91</v>
      </c>
      <c r="BL1245" s="63"/>
      <c r="BM1245" s="63"/>
      <c r="BN1245" s="267"/>
      <c r="BO1245" s="63"/>
      <c r="BP1245" s="63"/>
      <c r="BS1245" s="61">
        <f t="shared" si="1450"/>
        <v>-27.050000000000011</v>
      </c>
      <c r="BT1245" s="61">
        <f t="shared" si="1451"/>
        <v>0</v>
      </c>
      <c r="BU1245" s="61">
        <f t="shared" si="1415"/>
        <v>0</v>
      </c>
      <c r="BV1245" s="61">
        <f t="shared" si="1452"/>
        <v>0</v>
      </c>
      <c r="BW1245" s="61">
        <f t="shared" si="1452"/>
        <v>0</v>
      </c>
      <c r="BX1245" s="63">
        <f t="shared" si="1452"/>
        <v>-27.050000000000011</v>
      </c>
      <c r="BY1245" s="61" t="s">
        <v>91</v>
      </c>
      <c r="CA1245" s="61">
        <f t="shared" si="1453"/>
        <v>71.536031292312316</v>
      </c>
      <c r="CB1245" s="61">
        <f t="shared" si="1453"/>
        <v>71.536031292312316</v>
      </c>
      <c r="CC1245" s="61">
        <f t="shared" si="1453"/>
        <v>71.536031292312316</v>
      </c>
      <c r="CD1245" s="61">
        <f t="shared" si="1453"/>
        <v>71.536031292312316</v>
      </c>
      <c r="CE1245" s="61">
        <f t="shared" si="1479"/>
        <v>-4.0695050398676109</v>
      </c>
      <c r="CF1245" s="61">
        <f t="shared" si="1479"/>
        <v>-4.0695050398676109</v>
      </c>
      <c r="CG1245" s="61">
        <f t="shared" si="1479"/>
        <v>-4.0695050398676109</v>
      </c>
      <c r="CH1245" s="61">
        <f t="shared" si="1479"/>
        <v>-4.0695050398676109</v>
      </c>
      <c r="CI1245" s="61">
        <f t="shared" si="1421"/>
        <v>46.586204302692948</v>
      </c>
      <c r="CJ1245" s="267"/>
      <c r="CK1245" s="61">
        <f t="shared" si="1454"/>
        <v>72.514668271400623</v>
      </c>
      <c r="CL1245" s="61">
        <f t="shared" si="1454"/>
        <v>72.514668271400623</v>
      </c>
      <c r="CM1245" s="61">
        <f t="shared" si="1454"/>
        <v>72.514668271400623</v>
      </c>
      <c r="CN1245" s="61">
        <f t="shared" si="1446"/>
        <v>72.514668271400623</v>
      </c>
      <c r="CO1245" s="61">
        <f t="shared" si="1446"/>
        <v>-4.0695050398676109</v>
      </c>
      <c r="CP1245" s="61">
        <f t="shared" si="1446"/>
        <v>-4.0695050398676109</v>
      </c>
      <c r="CQ1245" s="61">
        <f t="shared" si="1446"/>
        <v>-4.0695050398676109</v>
      </c>
      <c r="CR1245" s="61">
        <f t="shared" si="1446"/>
        <v>-4.0695050398676109</v>
      </c>
      <c r="CS1245" s="61">
        <f t="shared" si="1422"/>
        <v>47.241891078682116</v>
      </c>
      <c r="CT1245" s="63">
        <f t="shared" si="1425"/>
        <v>314.01685000000003</v>
      </c>
      <c r="CU1245" s="73"/>
      <c r="CV1245" s="61">
        <f t="shared" si="1477"/>
        <v>-301000</v>
      </c>
      <c r="CW1245" s="61">
        <f t="shared" si="1477"/>
        <v>-301000</v>
      </c>
      <c r="CY1245" s="61">
        <f t="shared" si="1478"/>
        <v>0</v>
      </c>
      <c r="CZ1245" s="61">
        <f t="shared" si="1478"/>
        <v>0</v>
      </c>
      <c r="DA1245" s="61">
        <f t="shared" si="1478"/>
        <v>0</v>
      </c>
      <c r="DB1245" s="2" t="s">
        <v>289</v>
      </c>
      <c r="DC1245" s="2" t="s">
        <v>86</v>
      </c>
      <c r="DD1245" s="2" t="s">
        <v>87</v>
      </c>
      <c r="DE1245" s="2" t="s">
        <v>106</v>
      </c>
      <c r="DF1245" s="3" t="s">
        <v>86</v>
      </c>
      <c r="DG1245" s="62">
        <v>43084</v>
      </c>
      <c r="EC1245" s="60"/>
      <c r="ED1245" s="60"/>
      <c r="EE1245" s="60"/>
      <c r="EF1245" s="60"/>
    </row>
    <row r="1246" spans="2:140" ht="12.75" hidden="1" customHeight="1">
      <c r="B1246" s="1" t="s">
        <v>1472</v>
      </c>
      <c r="C1246" s="22" t="s">
        <v>2089</v>
      </c>
      <c r="D1246" s="149" t="s">
        <v>2094</v>
      </c>
      <c r="E1246" s="86" t="s">
        <v>2046</v>
      </c>
      <c r="F1246" s="85" t="s">
        <v>2080</v>
      </c>
      <c r="G1246" s="297"/>
      <c r="J1246" s="298" t="s">
        <v>286</v>
      </c>
      <c r="K1246" s="299" t="s">
        <v>2091</v>
      </c>
      <c r="L1246" s="3" t="s">
        <v>122</v>
      </c>
      <c r="M1246" s="51" t="str">
        <f t="shared" si="1432"/>
        <v>JD8G-9K007-CB</v>
      </c>
      <c r="O1246" s="89">
        <v>0</v>
      </c>
      <c r="P1246" s="89">
        <v>0</v>
      </c>
      <c r="Q1246" s="89">
        <v>0</v>
      </c>
      <c r="R1246" s="89">
        <v>0</v>
      </c>
      <c r="S1246" s="89">
        <v>1</v>
      </c>
      <c r="T1246" s="89">
        <v>1</v>
      </c>
      <c r="U1246" s="89">
        <v>1</v>
      </c>
      <c r="V1246" s="89">
        <v>1</v>
      </c>
      <c r="W1246" s="164">
        <f t="shared" si="1429"/>
        <v>0.33</v>
      </c>
      <c r="Y1246" s="8">
        <f>-475.5-27.05+0.47</f>
        <v>-502.08</v>
      </c>
      <c r="Z1246" s="63">
        <v>-2.4249999999999998</v>
      </c>
      <c r="AA1246" s="63">
        <v>-3</v>
      </c>
      <c r="AB1246" s="63">
        <v>-1.08</v>
      </c>
      <c r="AC1246" s="63">
        <v>0</v>
      </c>
      <c r="AD1246" s="8">
        <f t="shared" ref="AD1246" si="1493">SUM(Y1246:AC1246)</f>
        <v>-508.58499999999998</v>
      </c>
      <c r="AE1246" s="2" t="s">
        <v>91</v>
      </c>
      <c r="AG1246" s="300">
        <v>-301000</v>
      </c>
      <c r="AH1246" s="300">
        <v>-301000</v>
      </c>
      <c r="AI1246" s="2">
        <v>0</v>
      </c>
      <c r="AJ1246" s="300">
        <v>0</v>
      </c>
      <c r="AK1246" s="176">
        <v>0</v>
      </c>
      <c r="AM1246" s="22" t="s">
        <v>2095</v>
      </c>
      <c r="AO1246" s="298" t="s">
        <v>286</v>
      </c>
      <c r="AP1246" s="299" t="s">
        <v>2091</v>
      </c>
      <c r="AQ1246" s="3" t="s">
        <v>113</v>
      </c>
      <c r="AR1246" s="51" t="str">
        <f t="shared" si="1448"/>
        <v>JD8G-9K007-CA</v>
      </c>
      <c r="AS1246" s="3"/>
      <c r="AT1246" s="89">
        <v>0</v>
      </c>
      <c r="AU1246" s="89">
        <v>0</v>
      </c>
      <c r="AV1246" s="89">
        <v>0</v>
      </c>
      <c r="AW1246" s="89">
        <v>0</v>
      </c>
      <c r="AX1246" s="89">
        <v>1</v>
      </c>
      <c r="AY1246" s="89">
        <v>1</v>
      </c>
      <c r="AZ1246" s="89">
        <v>1</v>
      </c>
      <c r="BA1246" s="89">
        <v>1</v>
      </c>
      <c r="BB1246" s="164">
        <f t="shared" si="1431"/>
        <v>0.33</v>
      </c>
      <c r="BD1246" s="8">
        <f>-475.5-27.05</f>
        <v>-502.55</v>
      </c>
      <c r="BE1246" s="63">
        <v>-2.4249999999999998</v>
      </c>
      <c r="BF1246" s="63">
        <v>-3</v>
      </c>
      <c r="BG1246" s="63">
        <v>-1.08</v>
      </c>
      <c r="BH1246" s="63">
        <v>0</v>
      </c>
      <c r="BI1246" s="8">
        <f t="shared" si="1476"/>
        <v>-509.05500000000001</v>
      </c>
      <c r="BJ1246" s="2" t="s">
        <v>91</v>
      </c>
      <c r="BL1246" s="300">
        <v>-301000</v>
      </c>
      <c r="BM1246" s="300">
        <v>-301000</v>
      </c>
      <c r="BN1246" s="2">
        <v>0</v>
      </c>
      <c r="BO1246" s="300">
        <v>0</v>
      </c>
      <c r="BP1246" s="176">
        <v>0</v>
      </c>
      <c r="BS1246" s="61">
        <f t="shared" si="1450"/>
        <v>0.47000000000002728</v>
      </c>
      <c r="BT1246" s="61">
        <f t="shared" si="1451"/>
        <v>0</v>
      </c>
      <c r="BU1246" s="61">
        <f t="shared" si="1415"/>
        <v>0</v>
      </c>
      <c r="BV1246" s="61">
        <f t="shared" si="1452"/>
        <v>0</v>
      </c>
      <c r="BW1246" s="61">
        <f t="shared" si="1452"/>
        <v>0</v>
      </c>
      <c r="BX1246" s="63">
        <f t="shared" si="1452"/>
        <v>0.47000000000002728</v>
      </c>
      <c r="BY1246" s="61" t="s">
        <v>91</v>
      </c>
      <c r="CA1246" s="61">
        <f t="shared" si="1453"/>
        <v>0</v>
      </c>
      <c r="CB1246" s="61">
        <f t="shared" si="1453"/>
        <v>0</v>
      </c>
      <c r="CC1246" s="61">
        <f t="shared" si="1453"/>
        <v>0</v>
      </c>
      <c r="CD1246" s="61">
        <f t="shared" si="1453"/>
        <v>0</v>
      </c>
      <c r="CE1246" s="61">
        <f t="shared" si="1479"/>
        <v>7.0708590341511543E-2</v>
      </c>
      <c r="CF1246" s="61">
        <f t="shared" si="1479"/>
        <v>7.0708590341511543E-2</v>
      </c>
      <c r="CG1246" s="61">
        <f t="shared" si="1479"/>
        <v>7.0708590341511543E-2</v>
      </c>
      <c r="CH1246" s="61">
        <f t="shared" si="1479"/>
        <v>7.0708590341511543E-2</v>
      </c>
      <c r="CI1246" s="61">
        <f t="shared" si="1421"/>
        <v>2.3333834812698809E-2</v>
      </c>
      <c r="CJ1246" s="267"/>
      <c r="CK1246" s="61">
        <f t="shared" si="1454"/>
        <v>0</v>
      </c>
      <c r="CL1246" s="61">
        <f t="shared" si="1454"/>
        <v>0</v>
      </c>
      <c r="CM1246" s="61">
        <f t="shared" si="1454"/>
        <v>0</v>
      </c>
      <c r="CN1246" s="61">
        <f t="shared" si="1446"/>
        <v>0</v>
      </c>
      <c r="CO1246" s="61">
        <f t="shared" si="1446"/>
        <v>7.0708590341511543E-2</v>
      </c>
      <c r="CP1246" s="61">
        <f t="shared" si="1446"/>
        <v>7.0708590341511543E-2</v>
      </c>
      <c r="CQ1246" s="61">
        <f t="shared" si="1446"/>
        <v>7.0708590341511543E-2</v>
      </c>
      <c r="CR1246" s="61">
        <f t="shared" si="1446"/>
        <v>7.0708590341511543E-2</v>
      </c>
      <c r="CS1246" s="61">
        <f t="shared" si="1422"/>
        <v>2.3333834812698809E-2</v>
      </c>
      <c r="CT1246" s="63">
        <f t="shared" si="1425"/>
        <v>0.15510000000000898</v>
      </c>
      <c r="CU1246" s="73"/>
      <c r="CV1246" s="61">
        <f t="shared" ref="CV1246" si="1494">SUM(AG1246)-SUM(BL1246)</f>
        <v>0</v>
      </c>
      <c r="CW1246" s="61">
        <f t="shared" ref="CW1246" si="1495">SUM(AH1246)-SUM(BM1246)</f>
        <v>0</v>
      </c>
      <c r="CY1246" s="61">
        <f t="shared" ref="CY1246:DA1246" si="1496">SUM(AJ1246)-SUM(BO1246)</f>
        <v>0</v>
      </c>
      <c r="CZ1246" s="61">
        <f t="shared" si="1496"/>
        <v>0</v>
      </c>
      <c r="DA1246" s="61">
        <f t="shared" si="1496"/>
        <v>0</v>
      </c>
      <c r="DB1246" s="2" t="s">
        <v>102</v>
      </c>
      <c r="DC1246" s="2" t="s">
        <v>85</v>
      </c>
      <c r="DD1246" s="2" t="s">
        <v>87</v>
      </c>
      <c r="DE1246" s="2" t="s">
        <v>106</v>
      </c>
      <c r="DG1246" s="62"/>
      <c r="EC1246" s="60" t="str">
        <f>VLOOKUP($M1246,[1]Detail!$M:$BO,1,0)</f>
        <v>JD8G-9K007-CB</v>
      </c>
      <c r="ED1246" s="60">
        <f>VLOOKUP($M1246,[1]Detail!$M:$BO,22,0)</f>
        <v>-508.58499999999998</v>
      </c>
      <c r="EE1246" s="60">
        <f>VLOOKUP($M1246,[1]Detail!$M:$BO,42,0)</f>
        <v>-301000</v>
      </c>
      <c r="EF1246" s="60">
        <f>VLOOKUP($M1246,[1]Detail!$M:$BO,45,0)</f>
        <v>0</v>
      </c>
      <c r="EH1246" s="60">
        <f t="shared" ref="EH1246:EH1249" si="1497">ED1246-AD1246</f>
        <v>0</v>
      </c>
      <c r="EI1246" s="60">
        <f t="shared" ref="EI1246:EI1249" si="1498">EE1246-AG1246</f>
        <v>0</v>
      </c>
      <c r="EJ1246" s="60">
        <f t="shared" ref="EJ1246:EJ1249" si="1499">EF1246-AJ1246</f>
        <v>0</v>
      </c>
    </row>
    <row r="1247" spans="2:140" ht="12.75" hidden="1" customHeight="1">
      <c r="B1247" s="1" t="s">
        <v>2096</v>
      </c>
      <c r="C1247" s="22" t="s">
        <v>2097</v>
      </c>
      <c r="D1247" s="149" t="s">
        <v>2098</v>
      </c>
      <c r="E1247" s="86" t="s">
        <v>523</v>
      </c>
      <c r="F1247" s="85" t="s">
        <v>2080</v>
      </c>
      <c r="G1247" s="297" t="s">
        <v>2099</v>
      </c>
      <c r="J1247" s="298" t="s">
        <v>2100</v>
      </c>
      <c r="K1247" s="299">
        <v>6758</v>
      </c>
      <c r="L1247" s="3" t="s">
        <v>100</v>
      </c>
      <c r="M1247" s="51" t="str">
        <f t="shared" si="1432"/>
        <v>H6BG-6758-AA</v>
      </c>
      <c r="O1247" s="89">
        <v>0</v>
      </c>
      <c r="P1247" s="89">
        <v>0</v>
      </c>
      <c r="Q1247" s="89">
        <v>0</v>
      </c>
      <c r="R1247" s="89">
        <v>0</v>
      </c>
      <c r="S1247" s="89">
        <v>1</v>
      </c>
      <c r="T1247" s="89">
        <v>1</v>
      </c>
      <c r="U1247" s="89">
        <v>0</v>
      </c>
      <c r="V1247" s="89">
        <v>1</v>
      </c>
      <c r="W1247" s="164">
        <f t="shared" si="1429"/>
        <v>0.28000000000000003</v>
      </c>
      <c r="Y1247" s="8">
        <v>-32.35</v>
      </c>
      <c r="Z1247" s="63">
        <v>-0.5</v>
      </c>
      <c r="AA1247" s="63">
        <v>-0.4</v>
      </c>
      <c r="AB1247" s="63">
        <v>0</v>
      </c>
      <c r="AC1247" s="63">
        <v>0</v>
      </c>
      <c r="AD1247" s="8">
        <f t="shared" si="1468"/>
        <v>-33.25</v>
      </c>
      <c r="AE1247" s="2" t="s">
        <v>91</v>
      </c>
      <c r="AG1247" s="300">
        <v>0</v>
      </c>
      <c r="AH1247" s="300">
        <v>0</v>
      </c>
      <c r="AJ1247" s="300">
        <v>0</v>
      </c>
      <c r="AK1247" s="176">
        <v>0</v>
      </c>
      <c r="AL1247" s="2">
        <v>0</v>
      </c>
      <c r="AM1247" s="22" t="s">
        <v>2101</v>
      </c>
      <c r="AO1247" s="298" t="s">
        <v>2100</v>
      </c>
      <c r="AP1247" s="297">
        <v>6758</v>
      </c>
      <c r="AQ1247" s="3" t="s">
        <v>100</v>
      </c>
      <c r="AR1247" s="90" t="str">
        <f>TRIM(AO1247)&amp;"-"&amp;TRIM(AP1247)&amp;"-"&amp;TRIM(AQ1247)</f>
        <v>H6BG-6758-AA</v>
      </c>
      <c r="AT1247" s="89">
        <v>0</v>
      </c>
      <c r="AU1247" s="89">
        <v>0</v>
      </c>
      <c r="AV1247" s="89">
        <v>0</v>
      </c>
      <c r="AW1247" s="89">
        <v>0</v>
      </c>
      <c r="AX1247" s="89">
        <v>1</v>
      </c>
      <c r="AY1247" s="89">
        <v>1</v>
      </c>
      <c r="AZ1247" s="89">
        <v>0</v>
      </c>
      <c r="BA1247" s="89">
        <v>1</v>
      </c>
      <c r="BB1247" s="89">
        <f t="shared" si="1431"/>
        <v>0.28000000000000003</v>
      </c>
      <c r="BD1247" s="60">
        <v>-32.35</v>
      </c>
      <c r="BE1247" s="63">
        <v>-0.5</v>
      </c>
      <c r="BF1247" s="63">
        <v>-0.4</v>
      </c>
      <c r="BG1247" s="63">
        <v>0</v>
      </c>
      <c r="BH1247" s="63">
        <v>0</v>
      </c>
      <c r="BI1247" s="8">
        <f>SUM(BD1247:BH1247)</f>
        <v>-33.25</v>
      </c>
      <c r="BJ1247" s="2" t="s">
        <v>91</v>
      </c>
      <c r="BL1247" s="63">
        <v>0</v>
      </c>
      <c r="BM1247" s="63">
        <v>0</v>
      </c>
      <c r="BN1247" s="267"/>
      <c r="BO1247" s="63">
        <v>0</v>
      </c>
      <c r="BP1247" s="63">
        <v>0</v>
      </c>
      <c r="BQ1247" s="2">
        <v>0</v>
      </c>
      <c r="BS1247" s="61">
        <f t="shared" si="1450"/>
        <v>0</v>
      </c>
      <c r="BT1247" s="61">
        <f t="shared" si="1451"/>
        <v>0</v>
      </c>
      <c r="BU1247" s="61">
        <f t="shared" si="1415"/>
        <v>0</v>
      </c>
      <c r="BV1247" s="61">
        <f t="shared" si="1452"/>
        <v>0</v>
      </c>
      <c r="BW1247" s="61">
        <f t="shared" si="1452"/>
        <v>0</v>
      </c>
      <c r="BX1247" s="63">
        <f t="shared" si="1452"/>
        <v>0</v>
      </c>
      <c r="BY1247" s="61" t="s">
        <v>91</v>
      </c>
      <c r="CA1247" s="61">
        <f t="shared" si="1453"/>
        <v>0</v>
      </c>
      <c r="CB1247" s="61">
        <f t="shared" si="1453"/>
        <v>0</v>
      </c>
      <c r="CC1247" s="61">
        <f t="shared" si="1453"/>
        <v>0</v>
      </c>
      <c r="CD1247" s="61">
        <f t="shared" si="1453"/>
        <v>0</v>
      </c>
      <c r="CE1247" s="61">
        <f t="shared" si="1479"/>
        <v>0</v>
      </c>
      <c r="CF1247" s="61">
        <f t="shared" si="1479"/>
        <v>0</v>
      </c>
      <c r="CG1247" s="61">
        <f t="shared" si="1479"/>
        <v>0</v>
      </c>
      <c r="CH1247" s="61">
        <f t="shared" si="1479"/>
        <v>0</v>
      </c>
      <c r="CI1247" s="61">
        <f t="shared" si="1421"/>
        <v>0</v>
      </c>
      <c r="CJ1247" s="267"/>
      <c r="CK1247" s="61">
        <f t="shared" si="1454"/>
        <v>0</v>
      </c>
      <c r="CL1247" s="61">
        <f t="shared" si="1454"/>
        <v>0</v>
      </c>
      <c r="CM1247" s="61">
        <f t="shared" si="1454"/>
        <v>0</v>
      </c>
      <c r="CN1247" s="61">
        <f t="shared" si="1446"/>
        <v>0</v>
      </c>
      <c r="CO1247" s="61">
        <f t="shared" si="1446"/>
        <v>0</v>
      </c>
      <c r="CP1247" s="61">
        <f t="shared" si="1446"/>
        <v>0</v>
      </c>
      <c r="CQ1247" s="61">
        <f t="shared" si="1446"/>
        <v>0</v>
      </c>
      <c r="CR1247" s="61">
        <f t="shared" si="1446"/>
        <v>0</v>
      </c>
      <c r="CS1247" s="61">
        <f t="shared" si="1422"/>
        <v>0</v>
      </c>
      <c r="CT1247" s="63">
        <f t="shared" si="1425"/>
        <v>0</v>
      </c>
      <c r="CU1247" s="73"/>
      <c r="CV1247" s="61">
        <f t="shared" ref="CV1247:CW1249" si="1500">SUM(AG1247)-SUM(BL1247)</f>
        <v>0</v>
      </c>
      <c r="CW1247" s="61">
        <f t="shared" si="1500"/>
        <v>0</v>
      </c>
      <c r="CY1247" s="61">
        <f t="shared" ref="CY1247:DA1249" si="1501">SUM(AJ1247)-SUM(BO1247)</f>
        <v>0</v>
      </c>
      <c r="CZ1247" s="61">
        <f t="shared" si="1501"/>
        <v>0</v>
      </c>
      <c r="DA1247" s="61">
        <f t="shared" si="1501"/>
        <v>0</v>
      </c>
      <c r="DB1247" s="2" t="s">
        <v>102</v>
      </c>
      <c r="DC1247" s="2" t="s">
        <v>86</v>
      </c>
      <c r="DD1247" s="2" t="s">
        <v>87</v>
      </c>
      <c r="DE1247" s="2" t="s">
        <v>106</v>
      </c>
      <c r="DF1247" s="3" t="s">
        <v>86</v>
      </c>
      <c r="DG1247" s="62">
        <v>43084</v>
      </c>
      <c r="EC1247" s="60" t="str">
        <f>VLOOKUP($M1247,[1]Detail!$M:$BO,1,0)</f>
        <v>H6BG-6758-AA</v>
      </c>
      <c r="ED1247" s="60">
        <f>VLOOKUP($M1247,[1]Detail!$M:$BO,22,0)</f>
        <v>-33.25</v>
      </c>
      <c r="EE1247" s="60">
        <f>VLOOKUP($M1247,[1]Detail!$M:$BO,42,0)</f>
        <v>0</v>
      </c>
      <c r="EF1247" s="60">
        <f>VLOOKUP($M1247,[1]Detail!$M:$BO,45,0)</f>
        <v>0</v>
      </c>
      <c r="EH1247" s="60">
        <f t="shared" si="1497"/>
        <v>0</v>
      </c>
      <c r="EI1247" s="60">
        <f t="shared" si="1498"/>
        <v>0</v>
      </c>
      <c r="EJ1247" s="60">
        <f t="shared" si="1499"/>
        <v>0</v>
      </c>
    </row>
    <row r="1248" spans="2:140" ht="12.75" hidden="1" customHeight="1">
      <c r="B1248" s="1" t="s">
        <v>2102</v>
      </c>
      <c r="C1248" s="22" t="s">
        <v>1262</v>
      </c>
      <c r="D1248" s="149" t="s">
        <v>2103</v>
      </c>
      <c r="E1248" s="86" t="s">
        <v>1024</v>
      </c>
      <c r="F1248" s="85" t="s">
        <v>2080</v>
      </c>
      <c r="G1248" s="297"/>
      <c r="J1248" s="298"/>
      <c r="K1248" s="299" t="s">
        <v>2104</v>
      </c>
      <c r="L1248" s="3" t="s">
        <v>823</v>
      </c>
      <c r="M1248" s="51" t="str">
        <f t="shared" si="1432"/>
        <v>-W710210-S300 </v>
      </c>
      <c r="O1248" s="89">
        <v>2</v>
      </c>
      <c r="P1248" s="89">
        <v>2</v>
      </c>
      <c r="Q1248" s="89">
        <v>2</v>
      </c>
      <c r="R1248" s="89">
        <v>2</v>
      </c>
      <c r="S1248" s="89">
        <v>2</v>
      </c>
      <c r="T1248" s="89">
        <v>2</v>
      </c>
      <c r="U1248" s="89">
        <v>2</v>
      </c>
      <c r="V1248" s="89">
        <v>2</v>
      </c>
      <c r="W1248" s="164">
        <f t="shared" si="1429"/>
        <v>2</v>
      </c>
      <c r="Y1248" s="8">
        <v>-0.21</v>
      </c>
      <c r="Z1248" s="63">
        <v>0</v>
      </c>
      <c r="AA1248" s="63">
        <v>0</v>
      </c>
      <c r="AB1248" s="63">
        <v>0</v>
      </c>
      <c r="AC1248" s="63">
        <v>0</v>
      </c>
      <c r="AD1248" s="8">
        <f t="shared" si="1468"/>
        <v>-0.21</v>
      </c>
      <c r="AE1248" s="2" t="s">
        <v>91</v>
      </c>
      <c r="AG1248" s="300">
        <v>0</v>
      </c>
      <c r="AH1248" s="300">
        <v>0</v>
      </c>
      <c r="AI1248" s="2">
        <v>0</v>
      </c>
      <c r="AJ1248" s="300">
        <v>0</v>
      </c>
      <c r="AK1248" s="176">
        <v>0</v>
      </c>
      <c r="AL1248" s="2">
        <v>0</v>
      </c>
      <c r="AM1248" s="22"/>
      <c r="AO1248" s="298"/>
      <c r="AP1248" s="297" t="s">
        <v>2104</v>
      </c>
      <c r="AQ1248" s="3" t="s">
        <v>823</v>
      </c>
      <c r="AR1248" s="90" t="str">
        <f>TRIM(AO1248)&amp;"-"&amp;TRIM(AP1248)&amp;"-"&amp;TRIM(AQ1248)</f>
        <v>-W710210-S300 </v>
      </c>
      <c r="AT1248" s="89">
        <v>2</v>
      </c>
      <c r="AU1248" s="89">
        <v>2</v>
      </c>
      <c r="AV1248" s="89">
        <v>2</v>
      </c>
      <c r="AW1248" s="89">
        <v>2</v>
      </c>
      <c r="AX1248" s="89">
        <v>2</v>
      </c>
      <c r="AY1248" s="89">
        <v>2</v>
      </c>
      <c r="AZ1248" s="89">
        <v>2</v>
      </c>
      <c r="BA1248" s="89">
        <v>2</v>
      </c>
      <c r="BB1248" s="89">
        <f t="shared" si="1431"/>
        <v>2</v>
      </c>
      <c r="BD1248" s="60">
        <v>-0.21</v>
      </c>
      <c r="BE1248" s="63">
        <v>0</v>
      </c>
      <c r="BF1248" s="63">
        <v>0</v>
      </c>
      <c r="BG1248" s="63">
        <v>0</v>
      </c>
      <c r="BH1248" s="63">
        <v>0</v>
      </c>
      <c r="BI1248" s="8">
        <f t="shared" ref="BI1248" si="1502">SUM(BD1248:BH1248)</f>
        <v>-0.21</v>
      </c>
      <c r="BJ1248" s="2" t="s">
        <v>91</v>
      </c>
      <c r="BL1248" s="63">
        <v>0</v>
      </c>
      <c r="BM1248" s="63">
        <v>0</v>
      </c>
      <c r="BN1248" s="267"/>
      <c r="BO1248" s="63">
        <v>0</v>
      </c>
      <c r="BP1248" s="63">
        <v>0</v>
      </c>
      <c r="BQ1248" s="2">
        <v>0</v>
      </c>
      <c r="BS1248" s="61">
        <f t="shared" si="1450"/>
        <v>0</v>
      </c>
      <c r="BT1248" s="61">
        <f t="shared" si="1451"/>
        <v>0</v>
      </c>
      <c r="BU1248" s="61">
        <f t="shared" si="1415"/>
        <v>0</v>
      </c>
      <c r="BV1248" s="61">
        <f t="shared" si="1452"/>
        <v>0</v>
      </c>
      <c r="BW1248" s="61">
        <f t="shared" si="1452"/>
        <v>0</v>
      </c>
      <c r="BX1248" s="63">
        <f t="shared" si="1452"/>
        <v>0</v>
      </c>
      <c r="BY1248" s="61" t="s">
        <v>91</v>
      </c>
      <c r="CA1248" s="61">
        <f t="shared" si="1453"/>
        <v>0</v>
      </c>
      <c r="CB1248" s="61">
        <f t="shared" si="1453"/>
        <v>0</v>
      </c>
      <c r="CC1248" s="61">
        <f t="shared" si="1453"/>
        <v>0</v>
      </c>
      <c r="CD1248" s="61">
        <f t="shared" si="1453"/>
        <v>0</v>
      </c>
      <c r="CE1248" s="61">
        <f t="shared" si="1479"/>
        <v>0</v>
      </c>
      <c r="CF1248" s="61">
        <f t="shared" si="1479"/>
        <v>0</v>
      </c>
      <c r="CG1248" s="61">
        <f t="shared" si="1479"/>
        <v>0</v>
      </c>
      <c r="CH1248" s="61">
        <f t="shared" si="1479"/>
        <v>0</v>
      </c>
      <c r="CI1248" s="61">
        <f t="shared" si="1421"/>
        <v>0</v>
      </c>
      <c r="CJ1248" s="267"/>
      <c r="CK1248" s="61">
        <f t="shared" si="1454"/>
        <v>0</v>
      </c>
      <c r="CL1248" s="61">
        <f t="shared" si="1454"/>
        <v>0</v>
      </c>
      <c r="CM1248" s="61">
        <f t="shared" si="1454"/>
        <v>0</v>
      </c>
      <c r="CN1248" s="61">
        <f t="shared" si="1446"/>
        <v>0</v>
      </c>
      <c r="CO1248" s="61">
        <f t="shared" si="1446"/>
        <v>0</v>
      </c>
      <c r="CP1248" s="61">
        <f t="shared" si="1446"/>
        <v>0</v>
      </c>
      <c r="CQ1248" s="61">
        <f t="shared" si="1446"/>
        <v>0</v>
      </c>
      <c r="CR1248" s="61">
        <f t="shared" si="1446"/>
        <v>0</v>
      </c>
      <c r="CS1248" s="61">
        <f t="shared" si="1422"/>
        <v>0</v>
      </c>
      <c r="CT1248" s="63">
        <f t="shared" si="1425"/>
        <v>0</v>
      </c>
      <c r="CU1248" s="73"/>
      <c r="CV1248" s="61">
        <f t="shared" si="1500"/>
        <v>0</v>
      </c>
      <c r="CW1248" s="61">
        <f t="shared" si="1500"/>
        <v>0</v>
      </c>
      <c r="CY1248" s="61">
        <f t="shared" si="1501"/>
        <v>0</v>
      </c>
      <c r="CZ1248" s="61">
        <f t="shared" si="1501"/>
        <v>0</v>
      </c>
      <c r="DA1248" s="61">
        <f t="shared" si="1501"/>
        <v>0</v>
      </c>
      <c r="DB1248" s="2" t="s">
        <v>102</v>
      </c>
      <c r="DC1248" s="2" t="s">
        <v>85</v>
      </c>
      <c r="DD1248" s="2" t="s">
        <v>87</v>
      </c>
      <c r="DE1248" s="2" t="s">
        <v>106</v>
      </c>
      <c r="DG1248" s="62">
        <v>43084</v>
      </c>
      <c r="EC1248" s="60" t="str">
        <f>VLOOKUP($M1248,[1]Detail!$M:$BO,1,0)</f>
        <v>-W710210-S300 </v>
      </c>
      <c r="ED1248" s="60">
        <f>VLOOKUP($M1248,[1]Detail!$M:$BO,22,0)</f>
        <v>-0.21</v>
      </c>
      <c r="EE1248" s="60">
        <f>VLOOKUP($M1248,[1]Detail!$M:$BO,42,0)</f>
        <v>0</v>
      </c>
      <c r="EF1248" s="60">
        <f>VLOOKUP($M1248,[1]Detail!$M:$BO,45,0)</f>
        <v>0</v>
      </c>
      <c r="EH1248" s="60">
        <f t="shared" si="1497"/>
        <v>0</v>
      </c>
      <c r="EI1248" s="60">
        <f t="shared" si="1498"/>
        <v>0</v>
      </c>
      <c r="EJ1248" s="60">
        <f t="shared" si="1499"/>
        <v>0</v>
      </c>
    </row>
    <row r="1249" spans="2:140" ht="12.75" hidden="1" customHeight="1">
      <c r="B1249" s="1" t="s">
        <v>2105</v>
      </c>
      <c r="C1249" s="22" t="s">
        <v>1262</v>
      </c>
      <c r="D1249" s="149" t="s">
        <v>2106</v>
      </c>
      <c r="E1249" s="86" t="s">
        <v>1024</v>
      </c>
      <c r="F1249" s="85" t="s">
        <v>2080</v>
      </c>
      <c r="G1249" s="297"/>
      <c r="H1249" s="2" t="e">
        <f>TRIM(#REF!)&amp;TRIM(#REF!)&amp;TRIM(L1249)</f>
        <v>#REF!</v>
      </c>
      <c r="J1249" s="298"/>
      <c r="K1249" s="299" t="s">
        <v>1567</v>
      </c>
      <c r="M1249" s="51"/>
      <c r="O1249" s="89">
        <f>2*0</f>
        <v>0</v>
      </c>
      <c r="P1249" s="89">
        <f t="shared" ref="P1249:V1249" si="1503">2*0</f>
        <v>0</v>
      </c>
      <c r="Q1249" s="89">
        <f t="shared" si="1503"/>
        <v>0</v>
      </c>
      <c r="R1249" s="89">
        <f t="shared" si="1503"/>
        <v>0</v>
      </c>
      <c r="S1249" s="89">
        <f t="shared" si="1503"/>
        <v>0</v>
      </c>
      <c r="T1249" s="89">
        <f t="shared" si="1503"/>
        <v>0</v>
      </c>
      <c r="U1249" s="89">
        <f t="shared" si="1503"/>
        <v>0</v>
      </c>
      <c r="V1249" s="89">
        <f t="shared" si="1503"/>
        <v>0</v>
      </c>
      <c r="W1249" s="164">
        <f t="shared" si="1429"/>
        <v>0</v>
      </c>
      <c r="Y1249" s="8">
        <f>-0.75*0</f>
        <v>0</v>
      </c>
      <c r="Z1249" s="63">
        <v>0</v>
      </c>
      <c r="AA1249" s="63">
        <v>0</v>
      </c>
      <c r="AB1249" s="63">
        <v>0</v>
      </c>
      <c r="AC1249" s="63">
        <v>0</v>
      </c>
      <c r="AD1249" s="8">
        <f t="shared" ref="AD1249:AD1250" si="1504">SUM(Y1249:AC1249)</f>
        <v>0</v>
      </c>
      <c r="AE1249" s="2" t="s">
        <v>91</v>
      </c>
      <c r="AG1249" s="300">
        <v>0</v>
      </c>
      <c r="AH1249" s="300">
        <v>0</v>
      </c>
      <c r="AI1249" s="2">
        <v>0</v>
      </c>
      <c r="AJ1249" s="300">
        <v>0</v>
      </c>
      <c r="AK1249" s="176">
        <v>0</v>
      </c>
      <c r="AL1249" s="2">
        <v>0</v>
      </c>
      <c r="AM1249" s="22"/>
      <c r="AO1249" s="298" t="s">
        <v>2107</v>
      </c>
      <c r="AP1249" s="297" t="s">
        <v>2108</v>
      </c>
      <c r="AQ1249" s="3" t="s">
        <v>132</v>
      </c>
      <c r="AR1249" s="90" t="str">
        <f>TRIM(AO1249)&amp;"-"&amp;TRIM(AP1249)&amp;"-"&amp;TRIM(AQ1249)</f>
        <v>LK1S71-A43539-AB</v>
      </c>
      <c r="AT1249" s="89">
        <v>2</v>
      </c>
      <c r="AU1249" s="89">
        <v>2</v>
      </c>
      <c r="AV1249" s="89">
        <v>2</v>
      </c>
      <c r="AW1249" s="89">
        <v>2</v>
      </c>
      <c r="AX1249" s="89">
        <v>2</v>
      </c>
      <c r="AY1249" s="89">
        <v>2</v>
      </c>
      <c r="AZ1249" s="89">
        <v>2</v>
      </c>
      <c r="BA1249" s="89">
        <v>2</v>
      </c>
      <c r="BB1249" s="89">
        <f t="shared" si="1431"/>
        <v>2</v>
      </c>
      <c r="BD1249" s="60">
        <v>-0.75</v>
      </c>
      <c r="BE1249" s="63">
        <v>0</v>
      </c>
      <c r="BF1249" s="63">
        <v>0</v>
      </c>
      <c r="BG1249" s="63">
        <v>0</v>
      </c>
      <c r="BH1249" s="63">
        <v>0</v>
      </c>
      <c r="BI1249" s="8">
        <f t="shared" ref="BI1249" si="1505">SUM(BD1249:BH1249)</f>
        <v>-0.75</v>
      </c>
      <c r="BJ1249" s="2" t="s">
        <v>91</v>
      </c>
      <c r="BL1249" s="63">
        <v>0</v>
      </c>
      <c r="BM1249" s="63">
        <v>0</v>
      </c>
      <c r="BN1249" s="267"/>
      <c r="BO1249" s="63">
        <v>0</v>
      </c>
      <c r="BP1249" s="63">
        <v>0</v>
      </c>
      <c r="BQ1249" s="2">
        <v>0</v>
      </c>
      <c r="BS1249" s="61">
        <f t="shared" si="1450"/>
        <v>0.75</v>
      </c>
      <c r="BT1249" s="61">
        <f t="shared" si="1451"/>
        <v>0</v>
      </c>
      <c r="BU1249" s="61">
        <f t="shared" si="1415"/>
        <v>0</v>
      </c>
      <c r="BV1249" s="61">
        <f t="shared" si="1452"/>
        <v>0</v>
      </c>
      <c r="BW1249" s="61">
        <f t="shared" si="1452"/>
        <v>0</v>
      </c>
      <c r="BX1249" s="63">
        <f t="shared" si="1452"/>
        <v>0.75</v>
      </c>
      <c r="BY1249" s="61" t="s">
        <v>91</v>
      </c>
      <c r="CA1249" s="61">
        <f t="shared" si="1453"/>
        <v>0.22566571385587483</v>
      </c>
      <c r="CB1249" s="61">
        <f t="shared" si="1453"/>
        <v>0.22566571385587483</v>
      </c>
      <c r="CC1249" s="61">
        <f t="shared" si="1453"/>
        <v>0.22566571385587483</v>
      </c>
      <c r="CD1249" s="61">
        <f t="shared" si="1453"/>
        <v>0.22566571385587483</v>
      </c>
      <c r="CE1249" s="61">
        <f t="shared" si="1479"/>
        <v>0.22566571385587483</v>
      </c>
      <c r="CF1249" s="61">
        <f t="shared" si="1479"/>
        <v>0.22566571385587483</v>
      </c>
      <c r="CG1249" s="61">
        <f t="shared" si="1479"/>
        <v>0.22566571385587483</v>
      </c>
      <c r="CH1249" s="61">
        <f t="shared" si="1479"/>
        <v>0.22566571385587483</v>
      </c>
      <c r="CI1249" s="61">
        <f t="shared" si="1421"/>
        <v>0.22566571385587486</v>
      </c>
      <c r="CJ1249" s="267"/>
      <c r="CK1249" s="61">
        <f t="shared" si="1454"/>
        <v>0.22566571385587483</v>
      </c>
      <c r="CL1249" s="61">
        <f t="shared" si="1454"/>
        <v>0.22566571385587483</v>
      </c>
      <c r="CM1249" s="61">
        <f t="shared" si="1454"/>
        <v>0.22566571385587483</v>
      </c>
      <c r="CN1249" s="61">
        <f t="shared" si="1446"/>
        <v>0.22566571385587483</v>
      </c>
      <c r="CO1249" s="61">
        <f t="shared" si="1446"/>
        <v>0.22566571385587483</v>
      </c>
      <c r="CP1249" s="61">
        <f t="shared" si="1446"/>
        <v>0.22566571385587483</v>
      </c>
      <c r="CQ1249" s="61">
        <f t="shared" si="1446"/>
        <v>0.22566571385587483</v>
      </c>
      <c r="CR1249" s="61">
        <f t="shared" si="1446"/>
        <v>0.22566571385587483</v>
      </c>
      <c r="CS1249" s="61">
        <f t="shared" si="1422"/>
        <v>0.22566571385587486</v>
      </c>
      <c r="CT1249" s="63">
        <f t="shared" si="1425"/>
        <v>1.5000000000000002</v>
      </c>
      <c r="CU1249" s="73"/>
      <c r="CV1249" s="61">
        <f t="shared" si="1500"/>
        <v>0</v>
      </c>
      <c r="CW1249" s="61">
        <f t="shared" si="1500"/>
        <v>0</v>
      </c>
      <c r="CY1249" s="61">
        <f t="shared" si="1501"/>
        <v>0</v>
      </c>
      <c r="CZ1249" s="61">
        <f t="shared" si="1501"/>
        <v>0</v>
      </c>
      <c r="DA1249" s="61">
        <f t="shared" si="1501"/>
        <v>0</v>
      </c>
      <c r="DB1249" s="2" t="s">
        <v>102</v>
      </c>
      <c r="DC1249" s="2" t="s">
        <v>85</v>
      </c>
      <c r="DD1249" s="2" t="s">
        <v>87</v>
      </c>
      <c r="DE1249" s="2" t="s">
        <v>106</v>
      </c>
      <c r="DF1249" s="3" t="s">
        <v>86</v>
      </c>
      <c r="DG1249" s="62">
        <v>43084</v>
      </c>
      <c r="EC1249" s="60" t="e">
        <f>VLOOKUP($M1249,[1]Detail!$M:$BO,1,0)</f>
        <v>#N/A</v>
      </c>
      <c r="ED1249" s="60" t="e">
        <f>VLOOKUP($M1249,[1]Detail!$M:$BO,22,0)</f>
        <v>#N/A</v>
      </c>
      <c r="EE1249" s="60" t="e">
        <f>VLOOKUP($M1249,[1]Detail!$M:$BO,42,0)</f>
        <v>#N/A</v>
      </c>
      <c r="EF1249" s="60" t="e">
        <f>VLOOKUP($M1249,[1]Detail!$M:$BO,45,0)</f>
        <v>#N/A</v>
      </c>
      <c r="EH1249" s="60" t="e">
        <f t="shared" si="1497"/>
        <v>#N/A</v>
      </c>
      <c r="EI1249" s="60" t="e">
        <f t="shared" si="1498"/>
        <v>#N/A</v>
      </c>
      <c r="EJ1249" s="60" t="e">
        <f t="shared" si="1499"/>
        <v>#N/A</v>
      </c>
    </row>
    <row r="1250" spans="2:140" ht="12.75" hidden="1" customHeight="1">
      <c r="B1250" s="1" t="s">
        <v>2109</v>
      </c>
      <c r="C1250" s="22" t="s">
        <v>2110</v>
      </c>
      <c r="D1250" s="149" t="s">
        <v>2111</v>
      </c>
      <c r="E1250" s="86" t="s">
        <v>1024</v>
      </c>
      <c r="F1250" s="85" t="s">
        <v>2080</v>
      </c>
      <c r="G1250" s="297"/>
      <c r="J1250" s="298" t="s">
        <v>126</v>
      </c>
      <c r="K1250" s="299" t="s">
        <v>2112</v>
      </c>
      <c r="L1250" s="3" t="s">
        <v>100</v>
      </c>
      <c r="M1250" s="51" t="str">
        <f t="shared" ref="M1250:M1261" si="1506">TRIM(J1250)&amp;"-"&amp;TRIM(K1250)&amp;"-"&amp;TRIM(L1250)</f>
        <v>JD8B-A044C98 -AA</v>
      </c>
      <c r="O1250" s="89">
        <v>1</v>
      </c>
      <c r="P1250" s="89">
        <v>1</v>
      </c>
      <c r="Q1250" s="89">
        <v>1</v>
      </c>
      <c r="R1250" s="89">
        <v>1</v>
      </c>
      <c r="S1250" s="89">
        <v>1</v>
      </c>
      <c r="T1250" s="89">
        <v>1</v>
      </c>
      <c r="U1250" s="89">
        <v>1</v>
      </c>
      <c r="V1250" s="89">
        <v>1</v>
      </c>
      <c r="W1250" s="164">
        <v>1</v>
      </c>
      <c r="Y1250" s="8">
        <v>-7.2</v>
      </c>
      <c r="Z1250" s="63">
        <v>0</v>
      </c>
      <c r="AA1250" s="63">
        <v>0</v>
      </c>
      <c r="AB1250" s="63">
        <v>0</v>
      </c>
      <c r="AC1250" s="63">
        <v>0</v>
      </c>
      <c r="AD1250" s="8">
        <f t="shared" si="1504"/>
        <v>-7.2</v>
      </c>
      <c r="AE1250" s="2" t="s">
        <v>91</v>
      </c>
      <c r="AG1250" s="300">
        <v>0</v>
      </c>
      <c r="AH1250" s="300">
        <v>0</v>
      </c>
      <c r="AI1250" s="2">
        <v>0</v>
      </c>
      <c r="AJ1250" s="300">
        <v>0</v>
      </c>
      <c r="AK1250" s="176">
        <v>0</v>
      </c>
      <c r="AL1250" s="2">
        <v>0</v>
      </c>
      <c r="AM1250" s="22"/>
      <c r="AO1250" s="298"/>
      <c r="AP1250" s="297"/>
      <c r="AR1250" s="90"/>
      <c r="AT1250" s="89"/>
      <c r="AU1250" s="89"/>
      <c r="AV1250" s="89"/>
      <c r="AW1250" s="89"/>
      <c r="AX1250" s="89"/>
      <c r="AY1250" s="89"/>
      <c r="AZ1250" s="89"/>
      <c r="BA1250" s="89"/>
      <c r="BB1250" s="89"/>
      <c r="BD1250" s="60"/>
      <c r="BE1250" s="63"/>
      <c r="BF1250" s="63"/>
      <c r="BG1250" s="63"/>
      <c r="BH1250" s="63"/>
      <c r="BI1250" s="8"/>
      <c r="BL1250" s="63"/>
      <c r="BM1250" s="63"/>
      <c r="BN1250" s="267"/>
      <c r="BO1250" s="63"/>
      <c r="BP1250" s="63"/>
      <c r="BS1250" s="61">
        <f t="shared" si="1450"/>
        <v>-7.2</v>
      </c>
      <c r="BT1250" s="61">
        <f t="shared" si="1451"/>
        <v>0</v>
      </c>
      <c r="BU1250" s="61">
        <f t="shared" si="1415"/>
        <v>0</v>
      </c>
      <c r="BV1250" s="61">
        <f t="shared" si="1452"/>
        <v>0</v>
      </c>
      <c r="BW1250" s="61">
        <f t="shared" si="1452"/>
        <v>0</v>
      </c>
      <c r="BX1250" s="63">
        <f t="shared" si="1452"/>
        <v>-7.2</v>
      </c>
      <c r="BY1250" s="61" t="s">
        <v>91</v>
      </c>
      <c r="CA1250" s="61">
        <f t="shared" si="1453"/>
        <v>-1.0831954265081991</v>
      </c>
      <c r="CB1250" s="61">
        <f t="shared" si="1453"/>
        <v>-1.0831954265081991</v>
      </c>
      <c r="CC1250" s="61">
        <f t="shared" si="1453"/>
        <v>-1.0831954265081991</v>
      </c>
      <c r="CD1250" s="61">
        <f t="shared" si="1453"/>
        <v>-1.0831954265081991</v>
      </c>
      <c r="CE1250" s="61">
        <f t="shared" si="1479"/>
        <v>-1.0831954265081991</v>
      </c>
      <c r="CF1250" s="61">
        <f t="shared" si="1479"/>
        <v>-1.0831954265081991</v>
      </c>
      <c r="CG1250" s="61">
        <f t="shared" si="1479"/>
        <v>-1.0831954265081991</v>
      </c>
      <c r="CH1250" s="61">
        <f t="shared" si="1479"/>
        <v>-1.0831954265081991</v>
      </c>
      <c r="CI1250" s="61">
        <f t="shared" si="1421"/>
        <v>-1.0831954265081993</v>
      </c>
      <c r="CJ1250" s="267"/>
      <c r="CK1250" s="61">
        <f t="shared" si="1454"/>
        <v>-1.0831954265081991</v>
      </c>
      <c r="CL1250" s="61">
        <f t="shared" si="1454"/>
        <v>-1.0831954265081991</v>
      </c>
      <c r="CM1250" s="61">
        <f t="shared" si="1454"/>
        <v>-1.0831954265081991</v>
      </c>
      <c r="CN1250" s="61">
        <f t="shared" si="1446"/>
        <v>-1.0831954265081991</v>
      </c>
      <c r="CO1250" s="61">
        <f t="shared" si="1446"/>
        <v>-1.0831954265081991</v>
      </c>
      <c r="CP1250" s="61">
        <f t="shared" si="1446"/>
        <v>-1.0831954265081991</v>
      </c>
      <c r="CQ1250" s="61">
        <f t="shared" si="1446"/>
        <v>-1.0831954265081991</v>
      </c>
      <c r="CR1250" s="61">
        <f t="shared" si="1446"/>
        <v>-1.0831954265081991</v>
      </c>
      <c r="CS1250" s="61">
        <f t="shared" si="1422"/>
        <v>-1.0831954265081993</v>
      </c>
      <c r="CT1250" s="63">
        <f t="shared" si="1425"/>
        <v>-7.2000000000000011</v>
      </c>
      <c r="CU1250" s="73"/>
      <c r="CV1250" s="61">
        <f t="shared" ref="CV1250:CV1252" si="1507">SUM(AG1250)-SUM(BL1250)</f>
        <v>0</v>
      </c>
      <c r="CW1250" s="61">
        <f t="shared" ref="CW1250:CW1252" si="1508">SUM(AH1250)-SUM(BM1250)</f>
        <v>0</v>
      </c>
      <c r="CY1250" s="61">
        <f t="shared" ref="CY1250:DA1253" si="1509">SUM(AJ1250)-SUM(BO1250)</f>
        <v>0</v>
      </c>
      <c r="CZ1250" s="61">
        <f t="shared" si="1509"/>
        <v>0</v>
      </c>
      <c r="DA1250" s="61">
        <f t="shared" si="1509"/>
        <v>0</v>
      </c>
      <c r="DC1250" s="2" t="s">
        <v>86</v>
      </c>
      <c r="DD1250" s="2" t="s">
        <v>87</v>
      </c>
      <c r="DE1250" s="2" t="s">
        <v>106</v>
      </c>
      <c r="DG1250" s="62"/>
      <c r="EC1250" s="60"/>
      <c r="ED1250" s="60"/>
      <c r="EE1250" s="60"/>
      <c r="EF1250" s="60"/>
    </row>
    <row r="1251" spans="2:140" ht="12.75" hidden="1" customHeight="1">
      <c r="B1251" s="1" t="s">
        <v>2113</v>
      </c>
      <c r="C1251" s="22" t="s">
        <v>2114</v>
      </c>
      <c r="D1251" s="149" t="s">
        <v>2115</v>
      </c>
      <c r="E1251" s="86" t="s">
        <v>347</v>
      </c>
      <c r="F1251" s="85" t="s">
        <v>2080</v>
      </c>
      <c r="G1251" s="297"/>
      <c r="J1251" s="298" t="s">
        <v>2116</v>
      </c>
      <c r="K1251" s="299" t="s">
        <v>2117</v>
      </c>
      <c r="L1251" s="3" t="s">
        <v>2118</v>
      </c>
      <c r="M1251" s="51" t="str">
        <f t="shared" si="1506"/>
        <v>WSS-M6C65 -A216MED</v>
      </c>
      <c r="O1251" s="89">
        <v>0.7</v>
      </c>
      <c r="P1251" s="89">
        <v>0.7</v>
      </c>
      <c r="Q1251" s="89">
        <v>0.7</v>
      </c>
      <c r="R1251" s="89">
        <v>0.7</v>
      </c>
      <c r="S1251" s="89">
        <v>0.7</v>
      </c>
      <c r="T1251" s="89">
        <v>0.7</v>
      </c>
      <c r="U1251" s="89">
        <v>0.7</v>
      </c>
      <c r="V1251" s="89">
        <v>0.7</v>
      </c>
      <c r="W1251" s="164">
        <v>1</v>
      </c>
      <c r="Y1251" s="8">
        <v>-18.3</v>
      </c>
      <c r="Z1251" s="63">
        <v>0</v>
      </c>
      <c r="AA1251" s="63">
        <v>-0.35</v>
      </c>
      <c r="AB1251" s="63">
        <v>0</v>
      </c>
      <c r="AC1251" s="63">
        <v>0</v>
      </c>
      <c r="AD1251" s="8">
        <f t="shared" ref="AD1251" si="1510">SUM(Y1251:AC1251)</f>
        <v>-18.650000000000002</v>
      </c>
      <c r="AE1251" s="2" t="s">
        <v>91</v>
      </c>
      <c r="AG1251" s="300">
        <v>0</v>
      </c>
      <c r="AH1251" s="300">
        <v>0</v>
      </c>
      <c r="AI1251" s="2">
        <v>0</v>
      </c>
      <c r="AJ1251" s="300">
        <v>0</v>
      </c>
      <c r="AK1251" s="176">
        <v>0</v>
      </c>
      <c r="AL1251" s="2">
        <v>0</v>
      </c>
      <c r="AM1251" s="22"/>
      <c r="AO1251" s="298" t="s">
        <v>2116</v>
      </c>
      <c r="AP1251" s="297" t="s">
        <v>2117</v>
      </c>
      <c r="AQ1251" s="3" t="s">
        <v>2119</v>
      </c>
      <c r="AR1251" s="90" t="str">
        <f>TRIM(AO1251)&amp;"-"&amp;TRIM(AP1251)&amp;"-"&amp;TRIM(AQ1251)</f>
        <v>WSS-M6C65 -A216ME</v>
      </c>
      <c r="AT1251" s="89">
        <v>0.7</v>
      </c>
      <c r="AU1251" s="89">
        <v>0.7</v>
      </c>
      <c r="AV1251" s="89">
        <v>0.7</v>
      </c>
      <c r="AW1251" s="89">
        <v>0.7</v>
      </c>
      <c r="AX1251" s="89">
        <v>0.7</v>
      </c>
      <c r="AY1251" s="89">
        <v>0.7</v>
      </c>
      <c r="AZ1251" s="89">
        <v>0.7</v>
      </c>
      <c r="BA1251" s="89">
        <v>0.7</v>
      </c>
      <c r="BB1251" s="89">
        <f t="shared" ref="BB1251:BB1314" si="1511">SUMPRODUCT(AT1251:BA1251,$O$6:$V$6)</f>
        <v>0.70000000000000007</v>
      </c>
      <c r="BD1251" s="60">
        <v>-18.3</v>
      </c>
      <c r="BE1251" s="63"/>
      <c r="BF1251" s="63">
        <v>-0.35</v>
      </c>
      <c r="BG1251" s="63"/>
      <c r="BH1251" s="63"/>
      <c r="BI1251" s="8">
        <f t="shared" ref="BI1251" si="1512">SUM(BD1251:BH1251)</f>
        <v>-18.650000000000002</v>
      </c>
      <c r="BJ1251" s="2" t="s">
        <v>91</v>
      </c>
      <c r="BL1251" s="63">
        <v>0</v>
      </c>
      <c r="BM1251" s="63">
        <v>0</v>
      </c>
      <c r="BN1251" s="267"/>
      <c r="BO1251" s="63">
        <v>0</v>
      </c>
      <c r="BP1251" s="63">
        <v>0</v>
      </c>
      <c r="BQ1251" s="2">
        <v>0</v>
      </c>
      <c r="BS1251" s="61">
        <f t="shared" si="1450"/>
        <v>0</v>
      </c>
      <c r="BT1251" s="61">
        <f t="shared" si="1451"/>
        <v>0</v>
      </c>
      <c r="BU1251" s="61">
        <f t="shared" si="1415"/>
        <v>0</v>
      </c>
      <c r="BV1251" s="61">
        <f t="shared" si="1452"/>
        <v>0</v>
      </c>
      <c r="BW1251" s="61">
        <f t="shared" si="1452"/>
        <v>0</v>
      </c>
      <c r="BX1251" s="63">
        <f t="shared" si="1452"/>
        <v>0</v>
      </c>
      <c r="BY1251" s="61" t="s">
        <v>91</v>
      </c>
      <c r="CA1251" s="61">
        <f t="shared" si="1453"/>
        <v>0</v>
      </c>
      <c r="CB1251" s="61">
        <f t="shared" si="1453"/>
        <v>0</v>
      </c>
      <c r="CC1251" s="61">
        <f t="shared" si="1453"/>
        <v>0</v>
      </c>
      <c r="CD1251" s="61">
        <f t="shared" si="1453"/>
        <v>0</v>
      </c>
      <c r="CE1251" s="61">
        <f t="shared" si="1479"/>
        <v>0</v>
      </c>
      <c r="CF1251" s="61">
        <f t="shared" si="1479"/>
        <v>0</v>
      </c>
      <c r="CG1251" s="61">
        <f t="shared" si="1479"/>
        <v>0</v>
      </c>
      <c r="CH1251" s="61">
        <f t="shared" si="1479"/>
        <v>0</v>
      </c>
      <c r="CI1251" s="61">
        <f t="shared" si="1421"/>
        <v>0</v>
      </c>
      <c r="CJ1251" s="267"/>
      <c r="CK1251" s="61">
        <f t="shared" si="1454"/>
        <v>0</v>
      </c>
      <c r="CL1251" s="61">
        <f t="shared" si="1454"/>
        <v>0</v>
      </c>
      <c r="CM1251" s="61">
        <f t="shared" si="1454"/>
        <v>0</v>
      </c>
      <c r="CN1251" s="61">
        <f t="shared" si="1446"/>
        <v>0</v>
      </c>
      <c r="CO1251" s="61">
        <f t="shared" si="1446"/>
        <v>0</v>
      </c>
      <c r="CP1251" s="61">
        <f t="shared" si="1446"/>
        <v>0</v>
      </c>
      <c r="CQ1251" s="61">
        <f t="shared" si="1446"/>
        <v>0</v>
      </c>
      <c r="CR1251" s="61">
        <f t="shared" si="1446"/>
        <v>0</v>
      </c>
      <c r="CS1251" s="61">
        <f t="shared" si="1422"/>
        <v>0</v>
      </c>
      <c r="CT1251" s="63">
        <f t="shared" si="1425"/>
        <v>0</v>
      </c>
      <c r="CU1251" s="73"/>
      <c r="CV1251" s="61">
        <f t="shared" si="1507"/>
        <v>0</v>
      </c>
      <c r="CW1251" s="61">
        <f t="shared" si="1508"/>
        <v>0</v>
      </c>
      <c r="CY1251" s="61">
        <f t="shared" si="1509"/>
        <v>0</v>
      </c>
      <c r="CZ1251" s="61">
        <f t="shared" si="1509"/>
        <v>0</v>
      </c>
      <c r="DA1251" s="61">
        <f t="shared" si="1509"/>
        <v>0</v>
      </c>
      <c r="DB1251" s="2" t="s">
        <v>86</v>
      </c>
      <c r="DC1251" s="2" t="s">
        <v>86</v>
      </c>
      <c r="DD1251" s="2" t="s">
        <v>87</v>
      </c>
      <c r="DE1251" s="2" t="s">
        <v>169</v>
      </c>
      <c r="DF1251" s="3" t="s">
        <v>86</v>
      </c>
      <c r="DG1251" s="62">
        <v>43077</v>
      </c>
      <c r="EC1251" s="60" t="str">
        <f>VLOOKUP($M1251,[1]Detail!$M:$BO,1,0)</f>
        <v>WSS-M6C65 -A216MED</v>
      </c>
      <c r="ED1251" s="60">
        <f>VLOOKUP($M1251,[1]Detail!$M:$BO,22,0)</f>
        <v>-18.650000000000002</v>
      </c>
      <c r="EE1251" s="60">
        <f>VLOOKUP($M1251,[1]Detail!$M:$BO,42,0)</f>
        <v>0</v>
      </c>
      <c r="EF1251" s="60">
        <f>VLOOKUP($M1251,[1]Detail!$M:$BO,45,0)</f>
        <v>0</v>
      </c>
      <c r="EH1251" s="60">
        <f t="shared" ref="EH1251:EH1252" si="1513">ED1251-AD1251</f>
        <v>0</v>
      </c>
      <c r="EI1251" s="60">
        <f t="shared" ref="EI1251:EI1252" si="1514">EE1251-AG1251</f>
        <v>0</v>
      </c>
      <c r="EJ1251" s="60">
        <f t="shared" ref="EJ1251:EJ1252" si="1515">EF1251-AJ1251</f>
        <v>0</v>
      </c>
    </row>
    <row r="1252" spans="2:140" ht="12.75" hidden="1" customHeight="1">
      <c r="B1252" s="1" t="s">
        <v>2120</v>
      </c>
      <c r="C1252" s="22" t="s">
        <v>2121</v>
      </c>
      <c r="D1252" s="149" t="s">
        <v>2122</v>
      </c>
      <c r="E1252" s="86" t="s">
        <v>1591</v>
      </c>
      <c r="F1252" s="85" t="s">
        <v>2072</v>
      </c>
      <c r="G1252" s="297"/>
      <c r="J1252" s="298" t="s">
        <v>1735</v>
      </c>
      <c r="K1252" s="299" t="s">
        <v>2123</v>
      </c>
      <c r="L1252" s="3" t="s">
        <v>129</v>
      </c>
      <c r="M1252" s="51" t="str">
        <f t="shared" si="1506"/>
        <v>ED8T -14536 -AE</v>
      </c>
      <c r="O1252" s="89">
        <v>1</v>
      </c>
      <c r="P1252" s="89">
        <v>1</v>
      </c>
      <c r="Q1252" s="89">
        <v>1</v>
      </c>
      <c r="R1252" s="89">
        <v>1</v>
      </c>
      <c r="S1252" s="89">
        <v>1</v>
      </c>
      <c r="T1252" s="89">
        <v>1</v>
      </c>
      <c r="U1252" s="89">
        <v>1</v>
      </c>
      <c r="V1252" s="89">
        <v>1</v>
      </c>
      <c r="W1252" s="164">
        <f t="shared" ref="W1252:W1315" si="1516">SUMPRODUCT(O1252:V1252,$O$6:$V$6)</f>
        <v>1</v>
      </c>
      <c r="Y1252" s="8">
        <v>-4.46</v>
      </c>
      <c r="Z1252" s="63">
        <f>-0.22</f>
        <v>-0.22</v>
      </c>
      <c r="AA1252" s="63">
        <v>-0.11</v>
      </c>
      <c r="AB1252" s="63">
        <v>0</v>
      </c>
      <c r="AC1252" s="63">
        <v>0</v>
      </c>
      <c r="AD1252" s="8">
        <f t="shared" ref="AD1252" si="1517">SUM(Y1252:AC1252)</f>
        <v>-4.79</v>
      </c>
      <c r="AE1252" s="2" t="s">
        <v>91</v>
      </c>
      <c r="AG1252" s="301">
        <v>-16000</v>
      </c>
      <c r="AH1252" s="300">
        <v>0</v>
      </c>
      <c r="AJ1252" s="300">
        <v>0</v>
      </c>
      <c r="AK1252" s="176">
        <v>0</v>
      </c>
      <c r="AL1252" s="2">
        <v>0</v>
      </c>
      <c r="AM1252" s="22"/>
      <c r="AO1252" s="298" t="s">
        <v>1735</v>
      </c>
      <c r="AP1252" s="297" t="s">
        <v>2123</v>
      </c>
      <c r="AQ1252" s="3" t="s">
        <v>129</v>
      </c>
      <c r="AR1252" s="90" t="str">
        <f>TRIM(AO1252)&amp;"-"&amp;TRIM(AP1252)&amp;"-"&amp;TRIM(AQ1252)</f>
        <v>ED8T -14536 -AE</v>
      </c>
      <c r="AT1252" s="89">
        <v>1</v>
      </c>
      <c r="AU1252" s="89">
        <v>1</v>
      </c>
      <c r="AV1252" s="89">
        <v>1</v>
      </c>
      <c r="AW1252" s="89">
        <v>1</v>
      </c>
      <c r="AX1252" s="89">
        <v>1</v>
      </c>
      <c r="AY1252" s="89">
        <v>1</v>
      </c>
      <c r="AZ1252" s="89">
        <v>1</v>
      </c>
      <c r="BA1252" s="89">
        <v>1</v>
      </c>
      <c r="BB1252" s="89">
        <f t="shared" si="1511"/>
        <v>1</v>
      </c>
      <c r="BD1252" s="60">
        <v>-4.46</v>
      </c>
      <c r="BE1252" s="63">
        <f>-0.22</f>
        <v>-0.22</v>
      </c>
      <c r="BF1252" s="63">
        <v>-0.11</v>
      </c>
      <c r="BG1252" s="63">
        <v>0</v>
      </c>
      <c r="BH1252" s="63">
        <v>0</v>
      </c>
      <c r="BI1252" s="8">
        <f t="shared" ref="BI1252" si="1518">SUM(BD1252:BH1252)</f>
        <v>-4.79</v>
      </c>
      <c r="BJ1252" s="2" t="s">
        <v>91</v>
      </c>
      <c r="BL1252" s="63">
        <v>0</v>
      </c>
      <c r="BM1252" s="63">
        <v>0</v>
      </c>
      <c r="BN1252" s="267"/>
      <c r="BO1252" s="63">
        <v>0</v>
      </c>
      <c r="BP1252" s="63">
        <v>0</v>
      </c>
      <c r="BQ1252" s="2">
        <v>0</v>
      </c>
      <c r="BS1252" s="61">
        <f t="shared" si="1450"/>
        <v>0</v>
      </c>
      <c r="BT1252" s="61">
        <f t="shared" si="1451"/>
        <v>0</v>
      </c>
      <c r="BU1252" s="61">
        <f t="shared" si="1415"/>
        <v>0</v>
      </c>
      <c r="BV1252" s="61">
        <f t="shared" si="1452"/>
        <v>0</v>
      </c>
      <c r="BW1252" s="61">
        <f t="shared" si="1452"/>
        <v>0</v>
      </c>
      <c r="BX1252" s="63">
        <f t="shared" si="1452"/>
        <v>0</v>
      </c>
      <c r="BY1252" s="61" t="s">
        <v>91</v>
      </c>
      <c r="CA1252" s="61">
        <f t="shared" si="1453"/>
        <v>0</v>
      </c>
      <c r="CB1252" s="61">
        <f t="shared" si="1453"/>
        <v>0</v>
      </c>
      <c r="CC1252" s="61">
        <f t="shared" si="1453"/>
        <v>0</v>
      </c>
      <c r="CD1252" s="61">
        <f t="shared" si="1453"/>
        <v>0</v>
      </c>
      <c r="CE1252" s="61">
        <f t="shared" si="1479"/>
        <v>0</v>
      </c>
      <c r="CF1252" s="61">
        <f t="shared" si="1479"/>
        <v>0</v>
      </c>
      <c r="CG1252" s="61">
        <f t="shared" si="1479"/>
        <v>0</v>
      </c>
      <c r="CH1252" s="61">
        <f t="shared" si="1479"/>
        <v>0</v>
      </c>
      <c r="CI1252" s="61">
        <f t="shared" si="1421"/>
        <v>0</v>
      </c>
      <c r="CJ1252" s="267"/>
      <c r="CK1252" s="61">
        <f t="shared" si="1454"/>
        <v>0</v>
      </c>
      <c r="CL1252" s="61">
        <f t="shared" si="1454"/>
        <v>0</v>
      </c>
      <c r="CM1252" s="61">
        <f t="shared" si="1454"/>
        <v>0</v>
      </c>
      <c r="CN1252" s="61">
        <f t="shared" si="1446"/>
        <v>0</v>
      </c>
      <c r="CO1252" s="61">
        <f t="shared" si="1446"/>
        <v>0</v>
      </c>
      <c r="CP1252" s="61">
        <f t="shared" si="1446"/>
        <v>0</v>
      </c>
      <c r="CQ1252" s="61">
        <f t="shared" si="1446"/>
        <v>0</v>
      </c>
      <c r="CR1252" s="61">
        <f t="shared" si="1446"/>
        <v>0</v>
      </c>
      <c r="CS1252" s="61">
        <f t="shared" si="1422"/>
        <v>0</v>
      </c>
      <c r="CT1252" s="63">
        <f t="shared" si="1425"/>
        <v>0</v>
      </c>
      <c r="CU1252" s="73"/>
      <c r="CV1252" s="61">
        <f t="shared" si="1507"/>
        <v>-16000</v>
      </c>
      <c r="CW1252" s="61">
        <f t="shared" si="1508"/>
        <v>0</v>
      </c>
      <c r="CY1252" s="61">
        <f t="shared" si="1509"/>
        <v>0</v>
      </c>
      <c r="CZ1252" s="61">
        <f t="shared" si="1509"/>
        <v>0</v>
      </c>
      <c r="DA1252" s="61">
        <f t="shared" si="1509"/>
        <v>0</v>
      </c>
      <c r="DB1252" s="2" t="s">
        <v>86</v>
      </c>
      <c r="DC1252" s="2" t="s">
        <v>86</v>
      </c>
      <c r="DD1252" s="2" t="s">
        <v>87</v>
      </c>
      <c r="DE1252" s="2" t="s">
        <v>169</v>
      </c>
      <c r="DF1252" s="3" t="s">
        <v>86</v>
      </c>
      <c r="DG1252" s="62">
        <v>43089</v>
      </c>
      <c r="EC1252" s="60" t="str">
        <f>VLOOKUP($M1252,[1]Detail!$M:$BO,1,0)</f>
        <v>ED8T -14536 -AE</v>
      </c>
      <c r="ED1252" s="60">
        <f>VLOOKUP($M1252,[1]Detail!$M:$BO,22,0)</f>
        <v>-4.79</v>
      </c>
      <c r="EE1252" s="60">
        <f>VLOOKUP($M1252,[1]Detail!$M:$BO,42,0)</f>
        <v>-16000</v>
      </c>
      <c r="EF1252" s="60">
        <f>VLOOKUP($M1252,[1]Detail!$M:$BO,45,0)</f>
        <v>0</v>
      </c>
      <c r="EH1252" s="60">
        <f t="shared" si="1513"/>
        <v>0</v>
      </c>
      <c r="EI1252" s="60">
        <f t="shared" si="1514"/>
        <v>0</v>
      </c>
      <c r="EJ1252" s="60">
        <f t="shared" si="1515"/>
        <v>0</v>
      </c>
    </row>
    <row r="1253" spans="2:140" ht="12.75" hidden="1" customHeight="1">
      <c r="B1253" s="1" t="s">
        <v>2124</v>
      </c>
      <c r="C1253" s="22" t="s">
        <v>2125</v>
      </c>
      <c r="D1253" s="149" t="s">
        <v>2126</v>
      </c>
      <c r="E1253" s="86" t="s">
        <v>523</v>
      </c>
      <c r="F1253" s="85" t="s">
        <v>2080</v>
      </c>
      <c r="G1253" s="297"/>
      <c r="J1253" s="298" t="s">
        <v>286</v>
      </c>
      <c r="K1253" s="299" t="s">
        <v>2127</v>
      </c>
      <c r="L1253" s="1" t="s">
        <v>306</v>
      </c>
      <c r="M1253" s="51" t="str">
        <f t="shared" si="1506"/>
        <v>JD8G-12A650-FA</v>
      </c>
      <c r="O1253" s="89">
        <v>0</v>
      </c>
      <c r="P1253" s="89">
        <v>0</v>
      </c>
      <c r="Q1253" s="89">
        <v>0</v>
      </c>
      <c r="R1253" s="89">
        <v>0</v>
      </c>
      <c r="S1253" s="89">
        <v>0</v>
      </c>
      <c r="T1253" s="89">
        <v>1</v>
      </c>
      <c r="U1253" s="89">
        <v>0</v>
      </c>
      <c r="V1253" s="89">
        <v>1</v>
      </c>
      <c r="W1253" s="164">
        <f t="shared" si="1516"/>
        <v>0.19</v>
      </c>
      <c r="Y1253" s="8">
        <v>-656.26</v>
      </c>
      <c r="Z1253" s="63">
        <v>-7.2</v>
      </c>
      <c r="AA1253" s="63">
        <v>-7</v>
      </c>
      <c r="AB1253" s="63"/>
      <c r="AC1253" s="63"/>
      <c r="AD1253" s="8">
        <f t="shared" ref="AD1253" si="1519">SUM(Y1253:AC1253)</f>
        <v>-670.46</v>
      </c>
      <c r="AE1253" s="2" t="s">
        <v>91</v>
      </c>
      <c r="AG1253" s="300">
        <v>0</v>
      </c>
      <c r="AH1253" s="300">
        <v>0</v>
      </c>
      <c r="AJ1253" s="300">
        <v>0</v>
      </c>
      <c r="AK1253" s="176">
        <v>0</v>
      </c>
      <c r="AL1253" s="2">
        <v>0</v>
      </c>
      <c r="AM1253" s="22"/>
      <c r="AO1253" s="298" t="s">
        <v>286</v>
      </c>
      <c r="AP1253" s="297" t="s">
        <v>2127</v>
      </c>
      <c r="AQ1253" s="3" t="s">
        <v>306</v>
      </c>
      <c r="AR1253" s="90" t="str">
        <f t="shared" ref="AR1253:AR1263" si="1520">TRIM(AO1253)&amp;"-"&amp;TRIM(AP1253)&amp;"-"&amp;TRIM(AQ1253)</f>
        <v>JD8G-12A650-FA</v>
      </c>
      <c r="AT1253" s="89">
        <v>0</v>
      </c>
      <c r="AU1253" s="89">
        <v>0</v>
      </c>
      <c r="AV1253" s="89">
        <v>0</v>
      </c>
      <c r="AW1253" s="89">
        <v>0</v>
      </c>
      <c r="AX1253" s="89">
        <v>0</v>
      </c>
      <c r="AY1253" s="89">
        <v>1</v>
      </c>
      <c r="AZ1253" s="89">
        <v>0</v>
      </c>
      <c r="BA1253" s="89">
        <v>1</v>
      </c>
      <c r="BB1253" s="89">
        <f t="shared" si="1511"/>
        <v>0.19</v>
      </c>
      <c r="BD1253" s="60">
        <v>-656.26</v>
      </c>
      <c r="BE1253" s="63">
        <v>-7.2</v>
      </c>
      <c r="BF1253" s="63">
        <v>-7</v>
      </c>
      <c r="BG1253" s="63"/>
      <c r="BH1253" s="63"/>
      <c r="BI1253" s="8">
        <f t="shared" ref="BI1253" si="1521">SUM(BD1253:BH1253)</f>
        <v>-670.46</v>
      </c>
      <c r="BJ1253" s="2" t="s">
        <v>91</v>
      </c>
      <c r="BL1253" s="63">
        <v>0</v>
      </c>
      <c r="BM1253" s="63">
        <v>0</v>
      </c>
      <c r="BN1253" s="267"/>
      <c r="BO1253" s="63">
        <v>0</v>
      </c>
      <c r="BP1253" s="63">
        <v>0</v>
      </c>
      <c r="BQ1253" s="2">
        <v>0</v>
      </c>
      <c r="BS1253" s="61">
        <f t="shared" si="1450"/>
        <v>0</v>
      </c>
      <c r="BT1253" s="61">
        <f t="shared" si="1451"/>
        <v>0</v>
      </c>
      <c r="BU1253" s="61">
        <f t="shared" si="1415"/>
        <v>0</v>
      </c>
      <c r="BV1253" s="61">
        <f t="shared" si="1452"/>
        <v>0</v>
      </c>
      <c r="BW1253" s="61">
        <f t="shared" si="1452"/>
        <v>0</v>
      </c>
      <c r="BX1253" s="63">
        <f t="shared" si="1452"/>
        <v>0</v>
      </c>
      <c r="BY1253" s="61" t="s">
        <v>91</v>
      </c>
      <c r="CA1253" s="61">
        <f t="shared" si="1453"/>
        <v>0</v>
      </c>
      <c r="CB1253" s="61">
        <f t="shared" si="1453"/>
        <v>0</v>
      </c>
      <c r="CC1253" s="61">
        <f t="shared" si="1453"/>
        <v>0</v>
      </c>
      <c r="CD1253" s="61">
        <f t="shared" si="1453"/>
        <v>0</v>
      </c>
      <c r="CE1253" s="61">
        <f t="shared" si="1479"/>
        <v>0</v>
      </c>
      <c r="CF1253" s="61">
        <f t="shared" si="1479"/>
        <v>0</v>
      </c>
      <c r="CG1253" s="61">
        <f t="shared" si="1479"/>
        <v>0</v>
      </c>
      <c r="CH1253" s="61">
        <f t="shared" si="1479"/>
        <v>0</v>
      </c>
      <c r="CI1253" s="61">
        <f t="shared" si="1421"/>
        <v>0</v>
      </c>
      <c r="CJ1253" s="267"/>
      <c r="CK1253" s="61">
        <f t="shared" si="1454"/>
        <v>0</v>
      </c>
      <c r="CL1253" s="61">
        <f t="shared" si="1454"/>
        <v>0</v>
      </c>
      <c r="CM1253" s="61">
        <f t="shared" si="1454"/>
        <v>0</v>
      </c>
      <c r="CN1253" s="61">
        <f t="shared" si="1446"/>
        <v>0</v>
      </c>
      <c r="CO1253" s="61">
        <f t="shared" si="1446"/>
        <v>0</v>
      </c>
      <c r="CP1253" s="61">
        <f t="shared" si="1446"/>
        <v>0</v>
      </c>
      <c r="CQ1253" s="61">
        <f t="shared" si="1446"/>
        <v>0</v>
      </c>
      <c r="CR1253" s="61">
        <f t="shared" si="1446"/>
        <v>0</v>
      </c>
      <c r="CS1253" s="61">
        <f t="shared" si="1422"/>
        <v>0</v>
      </c>
      <c r="CT1253" s="63">
        <f t="shared" si="1425"/>
        <v>0</v>
      </c>
      <c r="CU1253" s="73"/>
      <c r="CV1253" s="61">
        <f t="shared" ref="CV1253" si="1522">SUM(AG1253)-SUM(BL1253)</f>
        <v>0</v>
      </c>
      <c r="CW1253" s="61">
        <f t="shared" ref="CW1253" si="1523">SUM(AH1253)-SUM(BM1253)</f>
        <v>0</v>
      </c>
      <c r="CY1253" s="61">
        <f t="shared" si="1509"/>
        <v>0</v>
      </c>
      <c r="CZ1253" s="61">
        <f t="shared" si="1509"/>
        <v>0</v>
      </c>
      <c r="DA1253" s="61">
        <f t="shared" si="1509"/>
        <v>0</v>
      </c>
      <c r="DB1253" s="2" t="s">
        <v>134</v>
      </c>
      <c r="DC1253" s="2" t="s">
        <v>86</v>
      </c>
      <c r="DD1253" s="2" t="s">
        <v>87</v>
      </c>
      <c r="DE1253" s="2" t="s">
        <v>106</v>
      </c>
      <c r="DF1253" s="3" t="s">
        <v>86</v>
      </c>
      <c r="DG1253" s="62">
        <v>43084</v>
      </c>
      <c r="EC1253" s="60"/>
      <c r="ED1253" s="60"/>
      <c r="EE1253" s="60"/>
      <c r="EF1253" s="60"/>
    </row>
    <row r="1254" spans="2:140" ht="12.75" hidden="1" customHeight="1">
      <c r="B1254" s="1" t="s">
        <v>2128</v>
      </c>
      <c r="C1254" s="22" t="s">
        <v>2125</v>
      </c>
      <c r="D1254" s="149" t="s">
        <v>2129</v>
      </c>
      <c r="E1254" s="86" t="s">
        <v>523</v>
      </c>
      <c r="F1254" s="85" t="s">
        <v>2080</v>
      </c>
      <c r="G1254" s="297"/>
      <c r="J1254" s="298" t="s">
        <v>286</v>
      </c>
      <c r="K1254" s="299" t="s">
        <v>1211</v>
      </c>
      <c r="L1254" s="1" t="s">
        <v>305</v>
      </c>
      <c r="M1254" s="51" t="str">
        <f t="shared" si="1506"/>
        <v>JD8G-12A650-FB</v>
      </c>
      <c r="O1254" s="89">
        <v>0</v>
      </c>
      <c r="P1254" s="89">
        <v>0</v>
      </c>
      <c r="Q1254" s="89">
        <v>0</v>
      </c>
      <c r="R1254" s="89">
        <v>0</v>
      </c>
      <c r="S1254" s="89">
        <v>0</v>
      </c>
      <c r="T1254" s="89">
        <v>1</v>
      </c>
      <c r="U1254" s="89">
        <v>0</v>
      </c>
      <c r="V1254" s="89">
        <v>1</v>
      </c>
      <c r="W1254" s="164">
        <f t="shared" si="1516"/>
        <v>0.19</v>
      </c>
      <c r="Y1254" s="8">
        <v>-656.26</v>
      </c>
      <c r="Z1254" s="63">
        <v>-7.2</v>
      </c>
      <c r="AA1254" s="63">
        <v>-7</v>
      </c>
      <c r="AB1254" s="63"/>
      <c r="AC1254" s="63"/>
      <c r="AD1254" s="8">
        <f t="shared" ref="AD1254:AD1263" si="1524">SUM(Y1254:AC1254)</f>
        <v>-670.46</v>
      </c>
      <c r="AE1254" s="2" t="s">
        <v>91</v>
      </c>
      <c r="AG1254" s="300">
        <v>0</v>
      </c>
      <c r="AH1254" s="300">
        <v>0</v>
      </c>
      <c r="AJ1254" s="300">
        <v>0</v>
      </c>
      <c r="AK1254" s="176">
        <v>0</v>
      </c>
      <c r="AL1254" s="2">
        <v>0</v>
      </c>
      <c r="AM1254" s="22"/>
      <c r="AO1254" s="298" t="s">
        <v>286</v>
      </c>
      <c r="AP1254" s="297" t="s">
        <v>1211</v>
      </c>
      <c r="AQ1254" s="3" t="s">
        <v>306</v>
      </c>
      <c r="AR1254" s="90" t="str">
        <f t="shared" si="1520"/>
        <v>JD8G-12A650-FA</v>
      </c>
      <c r="AT1254" s="89">
        <v>0</v>
      </c>
      <c r="AU1254" s="89">
        <v>0</v>
      </c>
      <c r="AV1254" s="89">
        <v>0</v>
      </c>
      <c r="AW1254" s="89">
        <v>0</v>
      </c>
      <c r="AX1254" s="89">
        <v>0</v>
      </c>
      <c r="AY1254" s="89">
        <v>1</v>
      </c>
      <c r="AZ1254" s="89">
        <v>0</v>
      </c>
      <c r="BA1254" s="89">
        <v>1</v>
      </c>
      <c r="BB1254" s="89">
        <f t="shared" si="1511"/>
        <v>0.19</v>
      </c>
      <c r="BD1254" s="60">
        <v>-656.26</v>
      </c>
      <c r="BE1254" s="63">
        <v>-7.2</v>
      </c>
      <c r="BF1254" s="63">
        <v>-7</v>
      </c>
      <c r="BG1254" s="63"/>
      <c r="BH1254" s="63"/>
      <c r="BI1254" s="8">
        <f>SUM(BD1254:BH1254)</f>
        <v>-670.46</v>
      </c>
      <c r="BJ1254" s="2" t="s">
        <v>91</v>
      </c>
      <c r="BL1254" s="63">
        <v>0</v>
      </c>
      <c r="BM1254" s="63">
        <v>0</v>
      </c>
      <c r="BN1254" s="267"/>
      <c r="BO1254" s="63">
        <v>0</v>
      </c>
      <c r="BP1254" s="63">
        <v>0</v>
      </c>
      <c r="BQ1254" s="2">
        <v>0</v>
      </c>
      <c r="BS1254" s="61">
        <f t="shared" si="1450"/>
        <v>0</v>
      </c>
      <c r="BT1254" s="61">
        <f t="shared" si="1451"/>
        <v>0</v>
      </c>
      <c r="BU1254" s="61">
        <f t="shared" si="1415"/>
        <v>0</v>
      </c>
      <c r="BV1254" s="61">
        <f t="shared" si="1452"/>
        <v>0</v>
      </c>
      <c r="BW1254" s="61">
        <f t="shared" si="1452"/>
        <v>0</v>
      </c>
      <c r="BX1254" s="63">
        <f t="shared" si="1452"/>
        <v>0</v>
      </c>
      <c r="BY1254" s="61" t="s">
        <v>91</v>
      </c>
      <c r="CA1254" s="61">
        <f t="shared" si="1453"/>
        <v>0</v>
      </c>
      <c r="CB1254" s="61">
        <f t="shared" si="1453"/>
        <v>0</v>
      </c>
      <c r="CC1254" s="61">
        <f t="shared" si="1453"/>
        <v>0</v>
      </c>
      <c r="CD1254" s="61">
        <f t="shared" si="1453"/>
        <v>0</v>
      </c>
      <c r="CE1254" s="61">
        <f t="shared" si="1479"/>
        <v>0</v>
      </c>
      <c r="CF1254" s="61">
        <f t="shared" si="1479"/>
        <v>0</v>
      </c>
      <c r="CG1254" s="61">
        <f t="shared" si="1479"/>
        <v>0</v>
      </c>
      <c r="CH1254" s="61">
        <f t="shared" si="1479"/>
        <v>0</v>
      </c>
      <c r="CI1254" s="61">
        <f t="shared" si="1421"/>
        <v>0</v>
      </c>
      <c r="CJ1254" s="267"/>
      <c r="CK1254" s="61">
        <f t="shared" si="1454"/>
        <v>0</v>
      </c>
      <c r="CL1254" s="61">
        <f t="shared" si="1454"/>
        <v>0</v>
      </c>
      <c r="CM1254" s="61">
        <f t="shared" si="1454"/>
        <v>0</v>
      </c>
      <c r="CN1254" s="61">
        <f t="shared" si="1446"/>
        <v>0</v>
      </c>
      <c r="CO1254" s="61">
        <f t="shared" si="1446"/>
        <v>0</v>
      </c>
      <c r="CP1254" s="61">
        <f t="shared" si="1446"/>
        <v>0</v>
      </c>
      <c r="CQ1254" s="61">
        <f t="shared" si="1446"/>
        <v>0</v>
      </c>
      <c r="CR1254" s="61">
        <f t="shared" si="1446"/>
        <v>0</v>
      </c>
      <c r="CS1254" s="61">
        <f t="shared" si="1422"/>
        <v>0</v>
      </c>
      <c r="CT1254" s="63">
        <f t="shared" si="1425"/>
        <v>0</v>
      </c>
      <c r="CU1254" s="73"/>
      <c r="CV1254" s="61">
        <f t="shared" ref="CV1254:CW1257" si="1525">SUM(AG1254)-SUM(BL1254)</f>
        <v>0</v>
      </c>
      <c r="CW1254" s="61">
        <f t="shared" si="1525"/>
        <v>0</v>
      </c>
      <c r="CY1254" s="61">
        <f t="shared" ref="CY1254:DA1256" si="1526">SUM(AJ1254)-SUM(BO1254)</f>
        <v>0</v>
      </c>
      <c r="CZ1254" s="61">
        <f t="shared" si="1526"/>
        <v>0</v>
      </c>
      <c r="DA1254" s="61">
        <f t="shared" si="1526"/>
        <v>0</v>
      </c>
      <c r="DB1254" s="2" t="s">
        <v>85</v>
      </c>
      <c r="DC1254" s="2" t="s">
        <v>85</v>
      </c>
      <c r="DD1254" s="2" t="s">
        <v>87</v>
      </c>
      <c r="DE1254" s="2" t="s">
        <v>106</v>
      </c>
      <c r="DF1254" s="3" t="s">
        <v>86</v>
      </c>
      <c r="DG1254" s="62">
        <v>43103</v>
      </c>
      <c r="EC1254" s="60"/>
      <c r="ED1254" s="60"/>
      <c r="EE1254" s="60"/>
      <c r="EF1254" s="60"/>
    </row>
    <row r="1255" spans="2:140" ht="12.75" hidden="1" customHeight="1">
      <c r="B1255" s="1" t="s">
        <v>2130</v>
      </c>
      <c r="C1255" s="22" t="s">
        <v>2125</v>
      </c>
      <c r="D1255" s="149" t="s">
        <v>2129</v>
      </c>
      <c r="E1255" s="86" t="s">
        <v>523</v>
      </c>
      <c r="F1255" s="85" t="s">
        <v>2080</v>
      </c>
      <c r="G1255" s="297"/>
      <c r="J1255" s="298" t="s">
        <v>286</v>
      </c>
      <c r="K1255" s="299" t="s">
        <v>1211</v>
      </c>
      <c r="L1255" s="1" t="s">
        <v>2131</v>
      </c>
      <c r="M1255" s="51" t="str">
        <f t="shared" si="1506"/>
        <v>JD8G-12A650-FC</v>
      </c>
      <c r="O1255" s="89">
        <v>0</v>
      </c>
      <c r="P1255" s="89">
        <v>0</v>
      </c>
      <c r="Q1255" s="89">
        <v>0</v>
      </c>
      <c r="R1255" s="89">
        <v>0</v>
      </c>
      <c r="S1255" s="89">
        <v>0</v>
      </c>
      <c r="T1255" s="89">
        <v>1</v>
      </c>
      <c r="U1255" s="89">
        <v>0</v>
      </c>
      <c r="V1255" s="89">
        <v>1</v>
      </c>
      <c r="W1255" s="164">
        <f t="shared" si="1516"/>
        <v>0.19</v>
      </c>
      <c r="Y1255" s="8">
        <v>-656.26</v>
      </c>
      <c r="Z1255" s="63">
        <v>-7.2</v>
      </c>
      <c r="AA1255" s="63">
        <v>-7</v>
      </c>
      <c r="AB1255" s="63"/>
      <c r="AC1255" s="63"/>
      <c r="AD1255" s="8">
        <f t="shared" si="1524"/>
        <v>-670.46</v>
      </c>
      <c r="AE1255" s="2" t="s">
        <v>91</v>
      </c>
      <c r="AG1255" s="300">
        <v>0</v>
      </c>
      <c r="AH1255" s="300">
        <v>0</v>
      </c>
      <c r="AJ1255" s="300">
        <v>0</v>
      </c>
      <c r="AK1255" s="176">
        <v>0</v>
      </c>
      <c r="AL1255" s="2">
        <v>0</v>
      </c>
      <c r="AM1255" s="22"/>
      <c r="AO1255" s="298" t="s">
        <v>286</v>
      </c>
      <c r="AP1255" s="299" t="s">
        <v>1211</v>
      </c>
      <c r="AQ1255" s="3" t="s">
        <v>305</v>
      </c>
      <c r="AR1255" s="51" t="str">
        <f t="shared" si="1520"/>
        <v>JD8G-12A650-FB</v>
      </c>
      <c r="AS1255" s="3"/>
      <c r="AT1255" s="89">
        <v>0</v>
      </c>
      <c r="AU1255" s="89">
        <v>0</v>
      </c>
      <c r="AV1255" s="89">
        <v>0</v>
      </c>
      <c r="AW1255" s="89">
        <v>0</v>
      </c>
      <c r="AX1255" s="89">
        <v>0</v>
      </c>
      <c r="AY1255" s="89">
        <v>1</v>
      </c>
      <c r="AZ1255" s="89">
        <v>0</v>
      </c>
      <c r="BA1255" s="89">
        <v>1</v>
      </c>
      <c r="BB1255" s="164">
        <f t="shared" si="1511"/>
        <v>0.19</v>
      </c>
      <c r="BD1255" s="8">
        <v>-656.26</v>
      </c>
      <c r="BE1255" s="63">
        <v>-7.2</v>
      </c>
      <c r="BF1255" s="63">
        <v>-7</v>
      </c>
      <c r="BG1255" s="63"/>
      <c r="BH1255" s="63"/>
      <c r="BI1255" s="8">
        <f t="shared" ref="BI1255" si="1527">SUM(BD1255:BH1255)</f>
        <v>-670.46</v>
      </c>
      <c r="BJ1255" s="2" t="s">
        <v>91</v>
      </c>
      <c r="BL1255" s="63">
        <v>0</v>
      </c>
      <c r="BM1255" s="63">
        <v>0</v>
      </c>
      <c r="BN1255" s="267"/>
      <c r="BO1255" s="63">
        <v>0</v>
      </c>
      <c r="BP1255" s="63">
        <v>0</v>
      </c>
      <c r="BQ1255" s="2">
        <v>0</v>
      </c>
      <c r="BS1255" s="61">
        <f t="shared" si="1450"/>
        <v>0</v>
      </c>
      <c r="BT1255" s="61">
        <f t="shared" si="1451"/>
        <v>0</v>
      </c>
      <c r="BU1255" s="61">
        <f t="shared" si="1415"/>
        <v>0</v>
      </c>
      <c r="BV1255" s="61">
        <f t="shared" si="1452"/>
        <v>0</v>
      </c>
      <c r="BW1255" s="61">
        <f t="shared" si="1452"/>
        <v>0</v>
      </c>
      <c r="BX1255" s="63">
        <f t="shared" si="1452"/>
        <v>0</v>
      </c>
      <c r="BY1255" s="61" t="s">
        <v>91</v>
      </c>
      <c r="CA1255" s="61">
        <f t="shared" si="1453"/>
        <v>0</v>
      </c>
      <c r="CB1255" s="61">
        <f t="shared" si="1453"/>
        <v>0</v>
      </c>
      <c r="CC1255" s="61">
        <f t="shared" si="1453"/>
        <v>0</v>
      </c>
      <c r="CD1255" s="61">
        <f t="shared" si="1453"/>
        <v>0</v>
      </c>
      <c r="CE1255" s="61">
        <f t="shared" si="1479"/>
        <v>0</v>
      </c>
      <c r="CF1255" s="61">
        <f t="shared" si="1479"/>
        <v>0</v>
      </c>
      <c r="CG1255" s="61">
        <f t="shared" si="1479"/>
        <v>0</v>
      </c>
      <c r="CH1255" s="61">
        <f t="shared" si="1479"/>
        <v>0</v>
      </c>
      <c r="CI1255" s="61">
        <f t="shared" si="1421"/>
        <v>0</v>
      </c>
      <c r="CJ1255" s="267"/>
      <c r="CK1255" s="61">
        <f t="shared" si="1454"/>
        <v>0</v>
      </c>
      <c r="CL1255" s="61">
        <f t="shared" si="1454"/>
        <v>0</v>
      </c>
      <c r="CM1255" s="61">
        <f t="shared" si="1454"/>
        <v>0</v>
      </c>
      <c r="CN1255" s="61">
        <f t="shared" si="1446"/>
        <v>0</v>
      </c>
      <c r="CO1255" s="61">
        <f t="shared" si="1446"/>
        <v>0</v>
      </c>
      <c r="CP1255" s="61">
        <f t="shared" si="1446"/>
        <v>0</v>
      </c>
      <c r="CQ1255" s="61">
        <f t="shared" si="1446"/>
        <v>0</v>
      </c>
      <c r="CR1255" s="61">
        <f t="shared" si="1446"/>
        <v>0</v>
      </c>
      <c r="CS1255" s="61">
        <f t="shared" si="1422"/>
        <v>0</v>
      </c>
      <c r="CT1255" s="63">
        <f t="shared" si="1425"/>
        <v>0</v>
      </c>
      <c r="CU1255" s="73"/>
      <c r="CV1255" s="61">
        <f t="shared" ref="CV1255" si="1528">SUM(AG1255)-SUM(BL1255)</f>
        <v>0</v>
      </c>
      <c r="CW1255" s="61">
        <f t="shared" ref="CW1255" si="1529">SUM(AH1255)-SUM(BM1255)</f>
        <v>0</v>
      </c>
      <c r="CY1255" s="61">
        <f t="shared" ref="CY1255:DA1255" si="1530">SUM(AJ1255)-SUM(BO1255)</f>
        <v>0</v>
      </c>
      <c r="CZ1255" s="61">
        <f t="shared" si="1530"/>
        <v>0</v>
      </c>
      <c r="DA1255" s="61">
        <f t="shared" si="1530"/>
        <v>0</v>
      </c>
      <c r="DB1255" s="2" t="s">
        <v>102</v>
      </c>
      <c r="DC1255" s="2" t="s">
        <v>85</v>
      </c>
      <c r="DD1255" s="2" t="s">
        <v>87</v>
      </c>
      <c r="DE1255" s="2" t="s">
        <v>106</v>
      </c>
      <c r="DF1255" s="115" t="s">
        <v>86</v>
      </c>
      <c r="DG1255" s="62">
        <v>43174</v>
      </c>
      <c r="EC1255" s="60" t="str">
        <f>VLOOKUP($M1255,[1]Detail!$M:$BO,1,0)</f>
        <v>JD8G-12A650-FC</v>
      </c>
      <c r="ED1255" s="60">
        <f>VLOOKUP($M1255,[1]Detail!$M:$BO,22,0)</f>
        <v>-670.46</v>
      </c>
      <c r="EE1255" s="60">
        <f>VLOOKUP($M1255,[1]Detail!$M:$BO,42,0)</f>
        <v>0</v>
      </c>
      <c r="EF1255" s="60">
        <f>VLOOKUP($M1255,[1]Detail!$M:$BO,45,0)</f>
        <v>0</v>
      </c>
      <c r="EH1255" s="60">
        <f>ED1255-AD1255</f>
        <v>0</v>
      </c>
      <c r="EI1255" s="60">
        <f>EE1255-AG1255</f>
        <v>0</v>
      </c>
      <c r="EJ1255" s="60">
        <f>EF1255-AJ1255</f>
        <v>0</v>
      </c>
    </row>
    <row r="1256" spans="2:140" ht="12.75" hidden="1" customHeight="1">
      <c r="B1256" s="1" t="s">
        <v>2132</v>
      </c>
      <c r="C1256" s="22" t="s">
        <v>2125</v>
      </c>
      <c r="D1256" s="149" t="s">
        <v>2133</v>
      </c>
      <c r="E1256" s="86" t="s">
        <v>523</v>
      </c>
      <c r="F1256" s="85" t="s">
        <v>2080</v>
      </c>
      <c r="G1256" s="297"/>
      <c r="J1256" s="298" t="s">
        <v>286</v>
      </c>
      <c r="K1256" s="299" t="s">
        <v>2127</v>
      </c>
      <c r="L1256" s="1" t="s">
        <v>100</v>
      </c>
      <c r="M1256" s="51" t="str">
        <f t="shared" si="1506"/>
        <v>JD8G-12A650-AA</v>
      </c>
      <c r="O1256" s="89">
        <v>1</v>
      </c>
      <c r="P1256" s="89">
        <v>0</v>
      </c>
      <c r="Q1256" s="89">
        <v>1</v>
      </c>
      <c r="R1256" s="89">
        <v>0</v>
      </c>
      <c r="S1256" s="89">
        <v>0</v>
      </c>
      <c r="T1256" s="89">
        <v>0</v>
      </c>
      <c r="U1256" s="89">
        <v>0</v>
      </c>
      <c r="V1256" s="89">
        <v>0</v>
      </c>
      <c r="W1256" s="164">
        <f t="shared" si="1516"/>
        <v>0.28000000000000003</v>
      </c>
      <c r="Y1256" s="8">
        <f>-315.59+13.89</f>
        <v>-301.7</v>
      </c>
      <c r="Z1256" s="63">
        <v>-5.76</v>
      </c>
      <c r="AA1256" s="63">
        <v>-5.6</v>
      </c>
      <c r="AB1256" s="63"/>
      <c r="AC1256" s="63"/>
      <c r="AD1256" s="8">
        <f t="shared" si="1524"/>
        <v>-313.06</v>
      </c>
      <c r="AE1256" s="2" t="s">
        <v>84</v>
      </c>
      <c r="AG1256" s="300">
        <v>-2043752.63</v>
      </c>
      <c r="AH1256" s="300">
        <v>-2043752.63</v>
      </c>
      <c r="AJ1256" s="300"/>
      <c r="AK1256" s="176"/>
      <c r="AM1256" s="22"/>
      <c r="AO1256" s="298" t="s">
        <v>286</v>
      </c>
      <c r="AP1256" s="297" t="s">
        <v>2127</v>
      </c>
      <c r="AQ1256" s="3" t="s">
        <v>100</v>
      </c>
      <c r="AR1256" s="90" t="str">
        <f t="shared" si="1520"/>
        <v>JD8G-12A650-AA</v>
      </c>
      <c r="AT1256" s="89">
        <v>1</v>
      </c>
      <c r="AU1256" s="89">
        <v>0</v>
      </c>
      <c r="AV1256" s="89">
        <v>1</v>
      </c>
      <c r="AW1256" s="89">
        <v>0</v>
      </c>
      <c r="AX1256" s="89">
        <v>0</v>
      </c>
      <c r="AY1256" s="89">
        <v>0</v>
      </c>
      <c r="AZ1256" s="89">
        <v>0</v>
      </c>
      <c r="BA1256" s="89">
        <v>0</v>
      </c>
      <c r="BB1256" s="89">
        <f t="shared" si="1511"/>
        <v>0.28000000000000003</v>
      </c>
      <c r="BD1256" s="60">
        <f>-315.59+13.89</f>
        <v>-301.7</v>
      </c>
      <c r="BE1256" s="63">
        <v>-5.76</v>
      </c>
      <c r="BF1256" s="63">
        <v>-5.6</v>
      </c>
      <c r="BG1256" s="63"/>
      <c r="BH1256" s="63"/>
      <c r="BI1256" s="8">
        <f>SUM(BD1256:BH1256)</f>
        <v>-313.06</v>
      </c>
      <c r="BJ1256" s="2" t="s">
        <v>84</v>
      </c>
      <c r="BL1256" s="63">
        <v>-2043752.63</v>
      </c>
      <c r="BM1256" s="63">
        <v>-2043752.63</v>
      </c>
      <c r="BN1256" s="267"/>
      <c r="BO1256" s="63">
        <v>0</v>
      </c>
      <c r="BP1256" s="63">
        <v>0</v>
      </c>
      <c r="BQ1256" s="2">
        <v>0</v>
      </c>
      <c r="BS1256" s="61">
        <f t="shared" si="1450"/>
        <v>0</v>
      </c>
      <c r="BT1256" s="61">
        <f t="shared" si="1451"/>
        <v>0</v>
      </c>
      <c r="BU1256" s="61">
        <f t="shared" si="1415"/>
        <v>0</v>
      </c>
      <c r="BV1256" s="61">
        <f t="shared" si="1452"/>
        <v>0</v>
      </c>
      <c r="BW1256" s="61">
        <f t="shared" si="1452"/>
        <v>0</v>
      </c>
      <c r="BX1256" s="63">
        <f t="shared" si="1452"/>
        <v>0</v>
      </c>
      <c r="BY1256" s="61" t="s">
        <v>91</v>
      </c>
      <c r="CA1256" s="61">
        <f t="shared" si="1453"/>
        <v>0</v>
      </c>
      <c r="CB1256" s="61">
        <f t="shared" si="1453"/>
        <v>0</v>
      </c>
      <c r="CC1256" s="61">
        <f t="shared" si="1453"/>
        <v>0</v>
      </c>
      <c r="CD1256" s="61">
        <f t="shared" si="1453"/>
        <v>0</v>
      </c>
      <c r="CE1256" s="61">
        <f t="shared" si="1479"/>
        <v>0</v>
      </c>
      <c r="CF1256" s="61">
        <f t="shared" si="1479"/>
        <v>0</v>
      </c>
      <c r="CG1256" s="61">
        <f t="shared" si="1479"/>
        <v>0</v>
      </c>
      <c r="CH1256" s="61">
        <f t="shared" si="1479"/>
        <v>0</v>
      </c>
      <c r="CI1256" s="61">
        <f t="shared" si="1421"/>
        <v>0</v>
      </c>
      <c r="CJ1256" s="267"/>
      <c r="CK1256" s="61">
        <f t="shared" si="1454"/>
        <v>0</v>
      </c>
      <c r="CL1256" s="61">
        <f t="shared" si="1454"/>
        <v>0</v>
      </c>
      <c r="CM1256" s="61">
        <f t="shared" si="1454"/>
        <v>0</v>
      </c>
      <c r="CN1256" s="61">
        <f t="shared" si="1446"/>
        <v>0</v>
      </c>
      <c r="CO1256" s="61">
        <f t="shared" si="1446"/>
        <v>0</v>
      </c>
      <c r="CP1256" s="61">
        <f t="shared" si="1446"/>
        <v>0</v>
      </c>
      <c r="CQ1256" s="61">
        <f t="shared" si="1446"/>
        <v>0</v>
      </c>
      <c r="CR1256" s="61">
        <f t="shared" si="1446"/>
        <v>0</v>
      </c>
      <c r="CS1256" s="61">
        <f t="shared" si="1422"/>
        <v>0</v>
      </c>
      <c r="CT1256" s="63">
        <f t="shared" si="1425"/>
        <v>0</v>
      </c>
      <c r="CU1256" s="73"/>
      <c r="CV1256" s="61">
        <f t="shared" si="1525"/>
        <v>0</v>
      </c>
      <c r="CW1256" s="61">
        <f t="shared" si="1525"/>
        <v>0</v>
      </c>
      <c r="CY1256" s="61">
        <f t="shared" si="1526"/>
        <v>0</v>
      </c>
      <c r="CZ1256" s="61">
        <f t="shared" si="1526"/>
        <v>0</v>
      </c>
      <c r="DA1256" s="61">
        <f t="shared" si="1526"/>
        <v>0</v>
      </c>
      <c r="DB1256" s="2" t="s">
        <v>85</v>
      </c>
      <c r="DC1256" s="2" t="s">
        <v>86</v>
      </c>
      <c r="DD1256" s="2" t="s">
        <v>87</v>
      </c>
      <c r="DE1256" s="2" t="s">
        <v>106</v>
      </c>
      <c r="DF1256" s="3" t="s">
        <v>86</v>
      </c>
      <c r="DG1256" s="62">
        <v>43084</v>
      </c>
      <c r="EC1256" s="60"/>
      <c r="ED1256" s="60"/>
      <c r="EE1256" s="60"/>
      <c r="EF1256" s="60"/>
    </row>
    <row r="1257" spans="2:140" ht="12.75" hidden="1" customHeight="1">
      <c r="B1257" s="1" t="s">
        <v>2134</v>
      </c>
      <c r="C1257" s="22" t="s">
        <v>2125</v>
      </c>
      <c r="D1257" s="149" t="s">
        <v>2133</v>
      </c>
      <c r="E1257" s="86" t="s">
        <v>523</v>
      </c>
      <c r="F1257" s="85" t="s">
        <v>2080</v>
      </c>
      <c r="G1257" s="297"/>
      <c r="J1257" s="298" t="s">
        <v>286</v>
      </c>
      <c r="K1257" s="299" t="s">
        <v>2127</v>
      </c>
      <c r="L1257" s="1" t="s">
        <v>132</v>
      </c>
      <c r="M1257" s="51" t="str">
        <f t="shared" si="1506"/>
        <v>JD8G-12A650-AB</v>
      </c>
      <c r="O1257" s="89">
        <v>1</v>
      </c>
      <c r="P1257" s="89">
        <v>0</v>
      </c>
      <c r="Q1257" s="89">
        <v>1</v>
      </c>
      <c r="R1257" s="89">
        <v>0</v>
      </c>
      <c r="S1257" s="89">
        <v>0</v>
      </c>
      <c r="T1257" s="89">
        <v>0</v>
      </c>
      <c r="U1257" s="89">
        <v>0</v>
      </c>
      <c r="V1257" s="89">
        <v>0</v>
      </c>
      <c r="W1257" s="164">
        <f t="shared" si="1516"/>
        <v>0.28000000000000003</v>
      </c>
      <c r="Y1257" s="8">
        <f>-315.59+13.89</f>
        <v>-301.7</v>
      </c>
      <c r="Z1257" s="63">
        <v>-5.76</v>
      </c>
      <c r="AA1257" s="63">
        <v>-5.6</v>
      </c>
      <c r="AB1257" s="63"/>
      <c r="AC1257" s="63"/>
      <c r="AD1257" s="8">
        <f t="shared" ref="AD1257:AD1258" si="1531">SUM(Y1257:AC1257)</f>
        <v>-313.06</v>
      </c>
      <c r="AE1257" s="2" t="s">
        <v>84</v>
      </c>
      <c r="AG1257" s="300">
        <v>-2043752.63</v>
      </c>
      <c r="AH1257" s="300">
        <v>-2043752.63</v>
      </c>
      <c r="AJ1257" s="300"/>
      <c r="AK1257" s="176"/>
      <c r="AM1257" s="22"/>
      <c r="AO1257" s="298" t="s">
        <v>286</v>
      </c>
      <c r="AP1257" s="297" t="s">
        <v>2127</v>
      </c>
      <c r="AQ1257" s="3" t="s">
        <v>100</v>
      </c>
      <c r="AR1257" s="90" t="str">
        <f t="shared" si="1520"/>
        <v>JD8G-12A650-AA</v>
      </c>
      <c r="AT1257" s="89">
        <v>1</v>
      </c>
      <c r="AU1257" s="89">
        <v>0</v>
      </c>
      <c r="AV1257" s="89">
        <v>1</v>
      </c>
      <c r="AW1257" s="89">
        <v>0</v>
      </c>
      <c r="AX1257" s="89">
        <v>0</v>
      </c>
      <c r="AY1257" s="89">
        <v>0</v>
      </c>
      <c r="AZ1257" s="89">
        <v>0</v>
      </c>
      <c r="BA1257" s="89">
        <v>0</v>
      </c>
      <c r="BB1257" s="89">
        <f t="shared" si="1511"/>
        <v>0.28000000000000003</v>
      </c>
      <c r="BD1257" s="60">
        <f>-315.59+13.89</f>
        <v>-301.7</v>
      </c>
      <c r="BE1257" s="63">
        <v>-5.76</v>
      </c>
      <c r="BF1257" s="63">
        <v>-5.6</v>
      </c>
      <c r="BG1257" s="63"/>
      <c r="BH1257" s="63"/>
      <c r="BI1257" s="8">
        <f t="shared" ref="BI1257:BI1258" si="1532">SUM(BD1257:BH1257)</f>
        <v>-313.06</v>
      </c>
      <c r="BJ1257" s="2" t="s">
        <v>84</v>
      </c>
      <c r="BL1257" s="63">
        <v>-2043752.63</v>
      </c>
      <c r="BM1257" s="63">
        <v>-2043752.63</v>
      </c>
      <c r="BN1257" s="267"/>
      <c r="BO1257" s="63">
        <v>0</v>
      </c>
      <c r="BP1257" s="63">
        <v>0</v>
      </c>
      <c r="BQ1257" s="2">
        <v>0</v>
      </c>
      <c r="BS1257" s="61">
        <f t="shared" si="1450"/>
        <v>0</v>
      </c>
      <c r="BT1257" s="61">
        <f t="shared" si="1451"/>
        <v>0</v>
      </c>
      <c r="BU1257" s="61">
        <f t="shared" si="1415"/>
        <v>0</v>
      </c>
      <c r="BV1257" s="61">
        <f t="shared" si="1452"/>
        <v>0</v>
      </c>
      <c r="BW1257" s="61">
        <f t="shared" si="1452"/>
        <v>0</v>
      </c>
      <c r="BX1257" s="63">
        <f t="shared" si="1452"/>
        <v>0</v>
      </c>
      <c r="BY1257" s="61" t="s">
        <v>91</v>
      </c>
      <c r="CA1257" s="61">
        <f t="shared" si="1453"/>
        <v>0</v>
      </c>
      <c r="CB1257" s="61">
        <f t="shared" si="1453"/>
        <v>0</v>
      </c>
      <c r="CC1257" s="61">
        <f t="shared" si="1453"/>
        <v>0</v>
      </c>
      <c r="CD1257" s="61">
        <f t="shared" si="1453"/>
        <v>0</v>
      </c>
      <c r="CE1257" s="61">
        <f t="shared" si="1479"/>
        <v>0</v>
      </c>
      <c r="CF1257" s="61">
        <f t="shared" si="1479"/>
        <v>0</v>
      </c>
      <c r="CG1257" s="61">
        <f t="shared" si="1479"/>
        <v>0</v>
      </c>
      <c r="CH1257" s="61">
        <f t="shared" si="1479"/>
        <v>0</v>
      </c>
      <c r="CI1257" s="61">
        <f t="shared" si="1421"/>
        <v>0</v>
      </c>
      <c r="CJ1257" s="267"/>
      <c r="CK1257" s="61">
        <f t="shared" si="1454"/>
        <v>0</v>
      </c>
      <c r="CL1257" s="61">
        <f t="shared" si="1454"/>
        <v>0</v>
      </c>
      <c r="CM1257" s="61">
        <f t="shared" si="1454"/>
        <v>0</v>
      </c>
      <c r="CN1257" s="61">
        <f t="shared" si="1446"/>
        <v>0</v>
      </c>
      <c r="CO1257" s="61">
        <f t="shared" si="1446"/>
        <v>0</v>
      </c>
      <c r="CP1257" s="61">
        <f t="shared" si="1446"/>
        <v>0</v>
      </c>
      <c r="CQ1257" s="61">
        <f t="shared" si="1446"/>
        <v>0</v>
      </c>
      <c r="CR1257" s="61">
        <f t="shared" si="1446"/>
        <v>0</v>
      </c>
      <c r="CS1257" s="61">
        <f t="shared" si="1422"/>
        <v>0</v>
      </c>
      <c r="CT1257" s="63">
        <f t="shared" si="1425"/>
        <v>0</v>
      </c>
      <c r="CU1257" s="73"/>
      <c r="CV1257" s="61">
        <f t="shared" si="1525"/>
        <v>0</v>
      </c>
      <c r="CW1257" s="61">
        <f t="shared" si="1525"/>
        <v>0</v>
      </c>
      <c r="CY1257" s="61">
        <f t="shared" ref="CY1257" si="1533">SUM(AJ1257)-SUM(BO1257)</f>
        <v>0</v>
      </c>
      <c r="CZ1257" s="61">
        <f t="shared" ref="CZ1257" si="1534">SUM(AK1257)-SUM(BP1257)</f>
        <v>0</v>
      </c>
      <c r="DA1257" s="61">
        <f t="shared" ref="DA1257:DA1259" si="1535">SUM(AL1257)-SUM(BQ1257)</f>
        <v>0</v>
      </c>
      <c r="DB1257" s="2" t="s">
        <v>85</v>
      </c>
      <c r="DC1257" s="2" t="s">
        <v>85</v>
      </c>
      <c r="DD1257" s="2" t="s">
        <v>87</v>
      </c>
      <c r="DE1257" s="2" t="s">
        <v>106</v>
      </c>
      <c r="DF1257" s="3" t="s">
        <v>86</v>
      </c>
      <c r="DG1257" s="62">
        <v>43103</v>
      </c>
      <c r="EC1257" s="60"/>
      <c r="ED1257" s="60"/>
      <c r="EE1257" s="60"/>
      <c r="EF1257" s="60"/>
      <c r="EH1257" s="60"/>
      <c r="EI1257" s="60"/>
      <c r="EJ1257" s="60"/>
    </row>
    <row r="1258" spans="2:140" ht="12.75" hidden="1" customHeight="1">
      <c r="B1258" s="1" t="s">
        <v>2135</v>
      </c>
      <c r="C1258" s="22" t="s">
        <v>2125</v>
      </c>
      <c r="D1258" s="149" t="s">
        <v>2133</v>
      </c>
      <c r="E1258" s="86" t="s">
        <v>523</v>
      </c>
      <c r="F1258" s="85" t="s">
        <v>2080</v>
      </c>
      <c r="G1258" s="297"/>
      <c r="J1258" s="298" t="s">
        <v>286</v>
      </c>
      <c r="K1258" s="299" t="s">
        <v>2127</v>
      </c>
      <c r="L1258" s="1" t="s">
        <v>234</v>
      </c>
      <c r="M1258" s="51" t="str">
        <f t="shared" si="1506"/>
        <v>JD8G-12A650-AC</v>
      </c>
      <c r="O1258" s="89">
        <v>1</v>
      </c>
      <c r="P1258" s="89">
        <v>0</v>
      </c>
      <c r="Q1258" s="89">
        <v>1</v>
      </c>
      <c r="R1258" s="89">
        <v>0</v>
      </c>
      <c r="S1258" s="89">
        <v>0</v>
      </c>
      <c r="T1258" s="89">
        <v>0</v>
      </c>
      <c r="U1258" s="89">
        <v>0</v>
      </c>
      <c r="V1258" s="89">
        <v>0</v>
      </c>
      <c r="W1258" s="164">
        <f t="shared" si="1516"/>
        <v>0.28000000000000003</v>
      </c>
      <c r="Y1258" s="8">
        <f>-315.59+13.89</f>
        <v>-301.7</v>
      </c>
      <c r="Z1258" s="63">
        <v>-5.76</v>
      </c>
      <c r="AA1258" s="63">
        <v>-5.6</v>
      </c>
      <c r="AB1258" s="63"/>
      <c r="AC1258" s="63"/>
      <c r="AD1258" s="8">
        <f t="shared" si="1531"/>
        <v>-313.06</v>
      </c>
      <c r="AE1258" s="2" t="s">
        <v>84</v>
      </c>
      <c r="AG1258" s="300">
        <v>-2043752.63</v>
      </c>
      <c r="AH1258" s="300">
        <v>-2043752.63</v>
      </c>
      <c r="AJ1258" s="300"/>
      <c r="AK1258" s="176"/>
      <c r="AM1258" s="22"/>
      <c r="AO1258" s="298" t="s">
        <v>286</v>
      </c>
      <c r="AP1258" s="299" t="s">
        <v>2127</v>
      </c>
      <c r="AQ1258" s="3" t="s">
        <v>132</v>
      </c>
      <c r="AR1258" s="51" t="str">
        <f t="shared" si="1520"/>
        <v>JD8G-12A650-AB</v>
      </c>
      <c r="AS1258" s="3"/>
      <c r="AT1258" s="89">
        <v>1</v>
      </c>
      <c r="AU1258" s="89">
        <v>0</v>
      </c>
      <c r="AV1258" s="89">
        <v>1</v>
      </c>
      <c r="AW1258" s="89">
        <v>0</v>
      </c>
      <c r="AX1258" s="89">
        <v>0</v>
      </c>
      <c r="AY1258" s="89">
        <v>0</v>
      </c>
      <c r="AZ1258" s="89">
        <v>0</v>
      </c>
      <c r="BA1258" s="89">
        <v>0</v>
      </c>
      <c r="BB1258" s="164">
        <f t="shared" si="1511"/>
        <v>0.28000000000000003</v>
      </c>
      <c r="BD1258" s="8">
        <f>-315.59+13.89</f>
        <v>-301.7</v>
      </c>
      <c r="BE1258" s="63">
        <v>-5.76</v>
      </c>
      <c r="BF1258" s="63">
        <v>-5.6</v>
      </c>
      <c r="BG1258" s="63"/>
      <c r="BH1258" s="63"/>
      <c r="BI1258" s="8">
        <f t="shared" si="1532"/>
        <v>-313.06</v>
      </c>
      <c r="BJ1258" s="2" t="s">
        <v>84</v>
      </c>
      <c r="BK1258" s="8"/>
      <c r="BM1258" s="300">
        <v>-2043752.63</v>
      </c>
      <c r="BN1258" s="300">
        <v>-2043752.63</v>
      </c>
      <c r="BO1258" s="63">
        <v>0</v>
      </c>
      <c r="BP1258" s="63">
        <v>0</v>
      </c>
      <c r="BQ1258" s="2">
        <v>0</v>
      </c>
      <c r="BS1258" s="61">
        <f t="shared" si="1450"/>
        <v>0</v>
      </c>
      <c r="BT1258" s="61">
        <f t="shared" si="1451"/>
        <v>0</v>
      </c>
      <c r="BU1258" s="61">
        <f t="shared" si="1415"/>
        <v>0</v>
      </c>
      <c r="BV1258" s="61">
        <f t="shared" si="1452"/>
        <v>0</v>
      </c>
      <c r="BW1258" s="61">
        <f t="shared" si="1452"/>
        <v>0</v>
      </c>
      <c r="BX1258" s="63">
        <f t="shared" si="1452"/>
        <v>0</v>
      </c>
      <c r="BY1258" s="61" t="s">
        <v>91</v>
      </c>
      <c r="CA1258" s="61">
        <f t="shared" si="1453"/>
        <v>0</v>
      </c>
      <c r="CB1258" s="61">
        <f t="shared" si="1453"/>
        <v>0</v>
      </c>
      <c r="CC1258" s="61">
        <f t="shared" si="1453"/>
        <v>0</v>
      </c>
      <c r="CD1258" s="61">
        <f t="shared" si="1453"/>
        <v>0</v>
      </c>
      <c r="CE1258" s="61">
        <f t="shared" si="1479"/>
        <v>0</v>
      </c>
      <c r="CF1258" s="61">
        <f t="shared" si="1479"/>
        <v>0</v>
      </c>
      <c r="CG1258" s="61">
        <f t="shared" si="1479"/>
        <v>0</v>
      </c>
      <c r="CH1258" s="61">
        <f t="shared" si="1479"/>
        <v>0</v>
      </c>
      <c r="CI1258" s="61">
        <f t="shared" si="1421"/>
        <v>0</v>
      </c>
      <c r="CJ1258" s="267"/>
      <c r="CK1258" s="61">
        <f t="shared" si="1454"/>
        <v>0</v>
      </c>
      <c r="CL1258" s="61">
        <f t="shared" si="1454"/>
        <v>0</v>
      </c>
      <c r="CM1258" s="61">
        <f t="shared" si="1454"/>
        <v>0</v>
      </c>
      <c r="CN1258" s="61">
        <f t="shared" si="1446"/>
        <v>0</v>
      </c>
      <c r="CO1258" s="61">
        <f t="shared" si="1446"/>
        <v>0</v>
      </c>
      <c r="CP1258" s="61">
        <f t="shared" si="1446"/>
        <v>0</v>
      </c>
      <c r="CQ1258" s="61">
        <f t="shared" si="1446"/>
        <v>0</v>
      </c>
      <c r="CR1258" s="61">
        <f t="shared" si="1446"/>
        <v>0</v>
      </c>
      <c r="CS1258" s="61">
        <f t="shared" si="1422"/>
        <v>0</v>
      </c>
      <c r="CT1258" s="63">
        <f t="shared" si="1425"/>
        <v>0</v>
      </c>
      <c r="CU1258" s="73"/>
      <c r="CV1258" s="61">
        <f t="shared" ref="CV1258" si="1536">SUM(AG1258)-SUM(BL1258)</f>
        <v>-2043752.63</v>
      </c>
      <c r="CW1258" s="61">
        <f t="shared" ref="CW1258" si="1537">SUM(AH1258)-SUM(BM1258)</f>
        <v>0</v>
      </c>
      <c r="CY1258" s="61">
        <f t="shared" ref="CY1258:CZ1259" si="1538">SUM(AJ1258)-SUM(BO1258)</f>
        <v>0</v>
      </c>
      <c r="CZ1258" s="61">
        <f t="shared" si="1538"/>
        <v>0</v>
      </c>
      <c r="DA1258" s="61">
        <f t="shared" si="1535"/>
        <v>0</v>
      </c>
      <c r="DB1258" s="2" t="s">
        <v>86</v>
      </c>
      <c r="DC1258" s="2" t="s">
        <v>85</v>
      </c>
      <c r="DD1258" s="2" t="s">
        <v>87</v>
      </c>
      <c r="DE1258" s="2" t="s">
        <v>106</v>
      </c>
      <c r="DF1258" s="115" t="s">
        <v>86</v>
      </c>
      <c r="DG1258" s="62">
        <v>43174</v>
      </c>
      <c r="EC1258" s="60" t="str">
        <f>VLOOKUP($M1258,[1]Detail!$M:$BO,1,0)</f>
        <v>JD8G-12A650-AC</v>
      </c>
      <c r="ED1258" s="60">
        <f>VLOOKUP($M1258,[1]Detail!$M:$BO,22,0)</f>
        <v>-313.06</v>
      </c>
      <c r="EE1258" s="60">
        <f>VLOOKUP($M1258,[1]Detail!$M:$BO,42,0)</f>
        <v>-2043752.63</v>
      </c>
      <c r="EF1258" s="60">
        <f>VLOOKUP($M1258,[1]Detail!$M:$BO,45,0)</f>
        <v>0</v>
      </c>
      <c r="EH1258" s="60">
        <f t="shared" ref="EH1258:EH1261" si="1539">ED1258-AD1258</f>
        <v>0</v>
      </c>
      <c r="EI1258" s="60">
        <f t="shared" ref="EI1258:EI1261" si="1540">EE1258-AG1258</f>
        <v>0</v>
      </c>
      <c r="EJ1258" s="60">
        <f t="shared" ref="EJ1258:EJ1261" si="1541">EF1258-AJ1258</f>
        <v>0</v>
      </c>
    </row>
    <row r="1259" spans="2:140" ht="12.75" hidden="1" customHeight="1">
      <c r="B1259" s="1" t="s">
        <v>2136</v>
      </c>
      <c r="C1259" s="22" t="s">
        <v>2137</v>
      </c>
      <c r="D1259" s="149" t="s">
        <v>2138</v>
      </c>
      <c r="E1259" s="86" t="s">
        <v>1024</v>
      </c>
      <c r="F1259" s="85" t="s">
        <v>2072</v>
      </c>
      <c r="G1259" s="297"/>
      <c r="J1259" s="298" t="s">
        <v>2139</v>
      </c>
      <c r="K1259" s="299" t="s">
        <v>2140</v>
      </c>
      <c r="L1259" s="3" t="s">
        <v>100</v>
      </c>
      <c r="M1259" s="51" t="str">
        <f t="shared" si="1506"/>
        <v>GR2B-402A16-AA</v>
      </c>
      <c r="O1259" s="89">
        <v>1</v>
      </c>
      <c r="P1259" s="89">
        <v>1</v>
      </c>
      <c r="Q1259" s="89">
        <v>1</v>
      </c>
      <c r="R1259" s="89">
        <v>1</v>
      </c>
      <c r="S1259" s="89">
        <v>1</v>
      </c>
      <c r="T1259" s="89">
        <v>1</v>
      </c>
      <c r="U1259" s="89">
        <v>1</v>
      </c>
      <c r="V1259" s="89">
        <v>1</v>
      </c>
      <c r="W1259" s="164">
        <f t="shared" si="1516"/>
        <v>1</v>
      </c>
      <c r="Y1259" s="8">
        <v>-11.14</v>
      </c>
      <c r="Z1259" s="63">
        <v>0</v>
      </c>
      <c r="AA1259" s="63">
        <v>0</v>
      </c>
      <c r="AB1259" s="63">
        <v>0</v>
      </c>
      <c r="AC1259" s="63">
        <v>0</v>
      </c>
      <c r="AD1259" s="8">
        <f t="shared" si="1524"/>
        <v>-11.14</v>
      </c>
      <c r="AE1259" s="2" t="s">
        <v>84</v>
      </c>
      <c r="AG1259" s="300">
        <v>0</v>
      </c>
      <c r="AH1259" s="300">
        <v>0</v>
      </c>
      <c r="AJ1259" s="300">
        <v>0</v>
      </c>
      <c r="AK1259" s="176">
        <v>0</v>
      </c>
      <c r="AL1259" s="2">
        <v>0</v>
      </c>
      <c r="AM1259" s="22"/>
      <c r="AO1259" s="298" t="s">
        <v>128</v>
      </c>
      <c r="AP1259" s="297" t="s">
        <v>2140</v>
      </c>
      <c r="AQ1259" s="3" t="s">
        <v>234</v>
      </c>
      <c r="AR1259" s="90" t="str">
        <f t="shared" si="1520"/>
        <v>ED8B-402A16-AC</v>
      </c>
      <c r="AT1259" s="89">
        <v>1</v>
      </c>
      <c r="AU1259" s="89">
        <v>1</v>
      </c>
      <c r="AV1259" s="89">
        <v>1</v>
      </c>
      <c r="AW1259" s="89">
        <v>1</v>
      </c>
      <c r="AX1259" s="89">
        <v>1</v>
      </c>
      <c r="AY1259" s="89">
        <v>1</v>
      </c>
      <c r="AZ1259" s="89">
        <v>1</v>
      </c>
      <c r="BA1259" s="89">
        <v>1</v>
      </c>
      <c r="BB1259" s="89">
        <f t="shared" si="1511"/>
        <v>1</v>
      </c>
      <c r="BD1259" s="60">
        <v>-13.48</v>
      </c>
      <c r="BE1259" s="63">
        <v>0</v>
      </c>
      <c r="BF1259" s="63">
        <v>0</v>
      </c>
      <c r="BG1259" s="63">
        <v>0</v>
      </c>
      <c r="BH1259" s="63">
        <v>0</v>
      </c>
      <c r="BI1259" s="8">
        <f t="shared" ref="BI1259" si="1542">SUM(BD1259:BH1259)</f>
        <v>-13.48</v>
      </c>
      <c r="BJ1259" s="2" t="s">
        <v>84</v>
      </c>
      <c r="BL1259" s="63">
        <v>0</v>
      </c>
      <c r="BM1259" s="63">
        <v>0</v>
      </c>
      <c r="BN1259" s="267"/>
      <c r="BO1259" s="63">
        <v>0</v>
      </c>
      <c r="BP1259" s="63">
        <v>0</v>
      </c>
      <c r="BQ1259" s="2">
        <v>0</v>
      </c>
      <c r="BS1259" s="61">
        <f t="shared" si="1450"/>
        <v>2.34</v>
      </c>
      <c r="BT1259" s="61">
        <f t="shared" si="1451"/>
        <v>0</v>
      </c>
      <c r="BU1259" s="61">
        <f t="shared" si="1415"/>
        <v>0</v>
      </c>
      <c r="BV1259" s="61">
        <f t="shared" si="1452"/>
        <v>0</v>
      </c>
      <c r="BW1259" s="61">
        <f t="shared" si="1452"/>
        <v>0</v>
      </c>
      <c r="BX1259" s="63">
        <f t="shared" si="1452"/>
        <v>2.34</v>
      </c>
      <c r="BY1259" s="61" t="s">
        <v>91</v>
      </c>
      <c r="CA1259" s="61">
        <f t="shared" si="1453"/>
        <v>0.35203851361516469</v>
      </c>
      <c r="CB1259" s="61">
        <f t="shared" si="1453"/>
        <v>0.35203851361516469</v>
      </c>
      <c r="CC1259" s="61">
        <f t="shared" si="1453"/>
        <v>0.35203851361516469</v>
      </c>
      <c r="CD1259" s="61">
        <f t="shared" si="1453"/>
        <v>0.35203851361516469</v>
      </c>
      <c r="CE1259" s="61">
        <f t="shared" si="1479"/>
        <v>0.35203851361516469</v>
      </c>
      <c r="CF1259" s="61">
        <f t="shared" si="1479"/>
        <v>0.35203851361516469</v>
      </c>
      <c r="CG1259" s="61">
        <f t="shared" si="1479"/>
        <v>0.35203851361516469</v>
      </c>
      <c r="CH1259" s="61">
        <f t="shared" si="1479"/>
        <v>0.35203851361516469</v>
      </c>
      <c r="CI1259" s="61">
        <f t="shared" si="1421"/>
        <v>0.35203851361516475</v>
      </c>
      <c r="CJ1259" s="267"/>
      <c r="CK1259" s="61">
        <f t="shared" si="1454"/>
        <v>0.35203851361516469</v>
      </c>
      <c r="CL1259" s="61">
        <f t="shared" si="1454"/>
        <v>0.35203851361516469</v>
      </c>
      <c r="CM1259" s="61">
        <f t="shared" si="1454"/>
        <v>0.35203851361516469</v>
      </c>
      <c r="CN1259" s="61">
        <f t="shared" si="1446"/>
        <v>0.35203851361516469</v>
      </c>
      <c r="CO1259" s="61">
        <f t="shared" si="1446"/>
        <v>0.35203851361516469</v>
      </c>
      <c r="CP1259" s="61">
        <f t="shared" si="1446"/>
        <v>0.35203851361516469</v>
      </c>
      <c r="CQ1259" s="61">
        <f t="shared" si="1446"/>
        <v>0.35203851361516469</v>
      </c>
      <c r="CR1259" s="61">
        <f t="shared" si="1446"/>
        <v>0.35203851361516469</v>
      </c>
      <c r="CS1259" s="61">
        <f t="shared" si="1422"/>
        <v>0.35203851361516475</v>
      </c>
      <c r="CT1259" s="63">
        <f t="shared" si="1425"/>
        <v>2.3400000000000003</v>
      </c>
      <c r="CU1259" s="73"/>
      <c r="CV1259" s="61">
        <f t="shared" ref="CV1259" si="1543">SUM(AG1259)-SUM(BL1259)</f>
        <v>0</v>
      </c>
      <c r="CW1259" s="61">
        <f t="shared" ref="CW1259" si="1544">SUM(AH1259)-SUM(BM1259)</f>
        <v>0</v>
      </c>
      <c r="CY1259" s="61">
        <f t="shared" si="1538"/>
        <v>0</v>
      </c>
      <c r="CZ1259" s="61">
        <f t="shared" si="1538"/>
        <v>0</v>
      </c>
      <c r="DA1259" s="61">
        <f t="shared" si="1535"/>
        <v>0</v>
      </c>
      <c r="DB1259" s="2" t="s">
        <v>86</v>
      </c>
      <c r="DC1259" s="2" t="s">
        <v>85</v>
      </c>
      <c r="DD1259" s="2" t="s">
        <v>2141</v>
      </c>
      <c r="DE1259" s="2" t="s">
        <v>106</v>
      </c>
      <c r="DF1259" s="2" t="s">
        <v>86</v>
      </c>
      <c r="DG1259" s="62">
        <v>43129</v>
      </c>
      <c r="EC1259" s="60" t="str">
        <f>VLOOKUP($M1259,[1]Detail!$M:$BO,1,0)</f>
        <v>GR2B-402A16-AA</v>
      </c>
      <c r="ED1259" s="60">
        <f>VLOOKUP($M1259,[1]Detail!$M:$BO,22,0)</f>
        <v>-13.48</v>
      </c>
      <c r="EE1259" s="60">
        <f>VLOOKUP($M1259,[1]Detail!$M:$BO,42,0)</f>
        <v>0</v>
      </c>
      <c r="EF1259" s="60">
        <f>VLOOKUP($M1259,[1]Detail!$M:$BO,45,0)</f>
        <v>0</v>
      </c>
      <c r="EH1259" s="60">
        <f t="shared" si="1539"/>
        <v>-2.34</v>
      </c>
      <c r="EI1259" s="60">
        <f t="shared" si="1540"/>
        <v>0</v>
      </c>
      <c r="EJ1259" s="60">
        <f t="shared" si="1541"/>
        <v>0</v>
      </c>
    </row>
    <row r="1260" spans="2:140" ht="12.75" hidden="1" customHeight="1">
      <c r="B1260" s="1" t="s">
        <v>2142</v>
      </c>
      <c r="C1260" s="22" t="s">
        <v>271</v>
      </c>
      <c r="D1260" s="149" t="s">
        <v>1139</v>
      </c>
      <c r="E1260" s="86" t="s">
        <v>1024</v>
      </c>
      <c r="F1260" s="85" t="s">
        <v>2080</v>
      </c>
      <c r="G1260" s="297"/>
      <c r="J1260" s="298" t="s">
        <v>767</v>
      </c>
      <c r="K1260" s="299" t="s">
        <v>2143</v>
      </c>
      <c r="L1260" s="3" t="s">
        <v>100</v>
      </c>
      <c r="M1260" s="51" t="str">
        <f t="shared" si="1506"/>
        <v>JD8B -R01610 -AA</v>
      </c>
      <c r="O1260" s="89">
        <v>1</v>
      </c>
      <c r="P1260" s="89">
        <v>1</v>
      </c>
      <c r="Q1260" s="89">
        <v>1</v>
      </c>
      <c r="R1260" s="89">
        <v>1</v>
      </c>
      <c r="S1260" s="89">
        <v>1</v>
      </c>
      <c r="T1260" s="89">
        <v>1</v>
      </c>
      <c r="U1260" s="89">
        <v>1</v>
      </c>
      <c r="V1260" s="89">
        <v>1</v>
      </c>
      <c r="W1260" s="164">
        <f t="shared" si="1516"/>
        <v>1</v>
      </c>
      <c r="Y1260" s="8">
        <f>-81.3-0.28</f>
        <v>-81.58</v>
      </c>
      <c r="Z1260" s="63">
        <v>0</v>
      </c>
      <c r="AA1260" s="63">
        <v>0</v>
      </c>
      <c r="AB1260" s="63">
        <v>0</v>
      </c>
      <c r="AC1260" s="63">
        <v>0</v>
      </c>
      <c r="AD1260" s="8">
        <f t="shared" si="1524"/>
        <v>-81.58</v>
      </c>
      <c r="AE1260" s="2" t="s">
        <v>84</v>
      </c>
      <c r="AG1260" s="300">
        <f>-3688596-159675</f>
        <v>-3848271</v>
      </c>
      <c r="AH1260" s="300">
        <f>-3688596-159675</f>
        <v>-3848271</v>
      </c>
      <c r="AJ1260" s="300">
        <f>-6683933-159675</f>
        <v>-6843608</v>
      </c>
      <c r="AK1260" s="176"/>
      <c r="AL1260" s="2">
        <v>0</v>
      </c>
      <c r="AM1260" s="22"/>
      <c r="AO1260" s="298" t="s">
        <v>2144</v>
      </c>
      <c r="AP1260" s="297" t="s">
        <v>2143</v>
      </c>
      <c r="AQ1260" s="3" t="s">
        <v>100</v>
      </c>
      <c r="AR1260" s="90" t="str">
        <f t="shared" si="1520"/>
        <v>ED9B-R01610 -AA</v>
      </c>
      <c r="AT1260" s="89">
        <v>1</v>
      </c>
      <c r="AU1260" s="89">
        <v>1</v>
      </c>
      <c r="AV1260" s="89">
        <v>1</v>
      </c>
      <c r="AW1260" s="89">
        <v>1</v>
      </c>
      <c r="AX1260" s="89">
        <v>1</v>
      </c>
      <c r="AY1260" s="89">
        <v>1</v>
      </c>
      <c r="AZ1260" s="89">
        <v>1</v>
      </c>
      <c r="BA1260" s="89">
        <v>1</v>
      </c>
      <c r="BB1260" s="89">
        <f t="shared" si="1511"/>
        <v>1</v>
      </c>
      <c r="BD1260" s="60">
        <v>-81.3</v>
      </c>
      <c r="BE1260" s="63">
        <v>0</v>
      </c>
      <c r="BF1260" s="63">
        <v>0</v>
      </c>
      <c r="BG1260" s="63">
        <v>0</v>
      </c>
      <c r="BH1260" s="63">
        <v>0</v>
      </c>
      <c r="BI1260" s="8">
        <f t="shared" ref="BI1260:BI1265" si="1545">SUM(BD1260:BH1260)</f>
        <v>-81.3</v>
      </c>
      <c r="BJ1260" s="2" t="s">
        <v>91</v>
      </c>
      <c r="BL1260" s="63">
        <v>-3688596</v>
      </c>
      <c r="BM1260" s="63">
        <v>-3688596</v>
      </c>
      <c r="BN1260" s="267"/>
      <c r="BO1260" s="63">
        <v>0</v>
      </c>
      <c r="BP1260" s="63">
        <v>0</v>
      </c>
      <c r="BQ1260" s="2">
        <v>0</v>
      </c>
      <c r="BS1260" s="61">
        <f t="shared" si="1450"/>
        <v>-0.28000000000000114</v>
      </c>
      <c r="BT1260" s="61">
        <f t="shared" si="1451"/>
        <v>0</v>
      </c>
      <c r="BU1260" s="61">
        <f t="shared" si="1415"/>
        <v>0</v>
      </c>
      <c r="BV1260" s="61">
        <f t="shared" si="1452"/>
        <v>0</v>
      </c>
      <c r="BW1260" s="61">
        <f t="shared" si="1452"/>
        <v>0</v>
      </c>
      <c r="BX1260" s="63">
        <f t="shared" si="1452"/>
        <v>-0.28000000000000114</v>
      </c>
      <c r="BY1260" s="61" t="s">
        <v>91</v>
      </c>
      <c r="CA1260" s="61">
        <f t="shared" ref="CA1260:CD1291" si="1546">($Y1260*O1260-AT1260*$BD1260)/$C$2</f>
        <v>-4.2124266586430141E-2</v>
      </c>
      <c r="CB1260" s="61">
        <f t="shared" si="1546"/>
        <v>-4.2124266586430141E-2</v>
      </c>
      <c r="CC1260" s="61">
        <f t="shared" si="1546"/>
        <v>-4.2124266586430141E-2</v>
      </c>
      <c r="CD1260" s="61">
        <f t="shared" si="1546"/>
        <v>-4.2124266586430141E-2</v>
      </c>
      <c r="CE1260" s="61">
        <f t="shared" si="1479"/>
        <v>-4.2124266586430141E-2</v>
      </c>
      <c r="CF1260" s="61">
        <f t="shared" si="1479"/>
        <v>-4.2124266586430141E-2</v>
      </c>
      <c r="CG1260" s="61">
        <f t="shared" si="1479"/>
        <v>-4.2124266586430141E-2</v>
      </c>
      <c r="CH1260" s="61">
        <f t="shared" si="1479"/>
        <v>-4.2124266586430141E-2</v>
      </c>
      <c r="CI1260" s="61">
        <f t="shared" si="1421"/>
        <v>-4.2124266586430148E-2</v>
      </c>
      <c r="CJ1260" s="267"/>
      <c r="CK1260" s="61">
        <f t="shared" si="1454"/>
        <v>-4.2124266586430141E-2</v>
      </c>
      <c r="CL1260" s="61">
        <f t="shared" si="1454"/>
        <v>-4.2124266586430141E-2</v>
      </c>
      <c r="CM1260" s="61">
        <f t="shared" si="1454"/>
        <v>-4.2124266586430141E-2</v>
      </c>
      <c r="CN1260" s="61">
        <f t="shared" si="1446"/>
        <v>-4.2124266586430141E-2</v>
      </c>
      <c r="CO1260" s="61">
        <f t="shared" si="1446"/>
        <v>-4.2124266586430141E-2</v>
      </c>
      <c r="CP1260" s="61">
        <f t="shared" si="1446"/>
        <v>-4.2124266586430141E-2</v>
      </c>
      <c r="CQ1260" s="61">
        <f t="shared" si="1446"/>
        <v>-4.2124266586430141E-2</v>
      </c>
      <c r="CR1260" s="61">
        <f t="shared" si="1446"/>
        <v>-4.2124266586430141E-2</v>
      </c>
      <c r="CS1260" s="61">
        <f t="shared" si="1422"/>
        <v>-4.2124266586430148E-2</v>
      </c>
      <c r="CT1260" s="63">
        <f t="shared" si="1425"/>
        <v>-0.28000000000000119</v>
      </c>
      <c r="CU1260" s="73"/>
      <c r="CV1260" s="61">
        <f t="shared" ref="CV1260:CW1263" si="1547">SUM(AG1260)-SUM(BL1260)</f>
        <v>-159675</v>
      </c>
      <c r="CW1260" s="61">
        <f t="shared" si="1547"/>
        <v>-159675</v>
      </c>
      <c r="CY1260" s="61">
        <v>0</v>
      </c>
      <c r="CZ1260" s="61">
        <f t="shared" ref="CZ1260:DA1263" si="1548">SUM(AK1260)-SUM(BP1260)</f>
        <v>0</v>
      </c>
      <c r="DA1260" s="61">
        <f t="shared" si="1548"/>
        <v>0</v>
      </c>
      <c r="DB1260" s="2" t="s">
        <v>86</v>
      </c>
      <c r="DC1260" s="2" t="s">
        <v>85</v>
      </c>
      <c r="DD1260" s="2" t="s">
        <v>87</v>
      </c>
      <c r="DE1260" s="2" t="s">
        <v>106</v>
      </c>
      <c r="DF1260" s="3" t="s">
        <v>86</v>
      </c>
      <c r="DG1260" s="62">
        <v>43172</v>
      </c>
      <c r="EC1260" s="60" t="str">
        <f>VLOOKUP($M1260,[1]Detail!$M:$BO,1,0)</f>
        <v>JD8B -R01610 -AA</v>
      </c>
      <c r="ED1260" s="60">
        <f>VLOOKUP($M1260,[1]Detail!$M:$BO,22,0)</f>
        <v>-81.3</v>
      </c>
      <c r="EE1260" s="60">
        <f>VLOOKUP($M1260,[1]Detail!$M:$BO,42,0)</f>
        <v>-3688596</v>
      </c>
      <c r="EF1260" s="60">
        <f>VLOOKUP($M1260,[1]Detail!$M:$BO,45,0)</f>
        <v>0</v>
      </c>
      <c r="EH1260" s="60">
        <f t="shared" si="1539"/>
        <v>0.28000000000000114</v>
      </c>
      <c r="EI1260" s="60">
        <f t="shared" si="1540"/>
        <v>159675</v>
      </c>
      <c r="EJ1260" s="60">
        <f t="shared" si="1541"/>
        <v>6843608</v>
      </c>
    </row>
    <row r="1261" spans="2:140" ht="12.75" hidden="1" customHeight="1">
      <c r="B1261" s="1" t="s">
        <v>2145</v>
      </c>
      <c r="C1261" s="22" t="s">
        <v>2146</v>
      </c>
      <c r="D1261" s="149" t="s">
        <v>2147</v>
      </c>
      <c r="E1261" s="86" t="s">
        <v>523</v>
      </c>
      <c r="F1261" s="85" t="s">
        <v>2080</v>
      </c>
      <c r="G1261" s="297"/>
      <c r="J1261" s="149" t="s">
        <v>600</v>
      </c>
      <c r="K1261" s="299" t="s">
        <v>1065</v>
      </c>
      <c r="L1261" s="1" t="s">
        <v>362</v>
      </c>
      <c r="M1261" s="51" t="str">
        <f t="shared" si="1506"/>
        <v>JX61-9G444-EA</v>
      </c>
      <c r="O1261" s="89">
        <v>0</v>
      </c>
      <c r="P1261" s="89">
        <v>0</v>
      </c>
      <c r="Q1261" s="89">
        <v>0</v>
      </c>
      <c r="R1261" s="89">
        <v>0</v>
      </c>
      <c r="S1261" s="89">
        <v>1</v>
      </c>
      <c r="T1261" s="89">
        <v>1</v>
      </c>
      <c r="U1261" s="89">
        <v>0</v>
      </c>
      <c r="V1261" s="89">
        <v>1</v>
      </c>
      <c r="W1261" s="164">
        <f t="shared" si="1516"/>
        <v>0.28000000000000003</v>
      </c>
      <c r="Y1261" s="8">
        <v>-75.56</v>
      </c>
      <c r="Z1261" s="63">
        <v>0</v>
      </c>
      <c r="AA1261" s="63">
        <v>0</v>
      </c>
      <c r="AB1261" s="63">
        <v>0</v>
      </c>
      <c r="AC1261" s="63">
        <v>0</v>
      </c>
      <c r="AD1261" s="8">
        <f t="shared" si="1524"/>
        <v>-75.56</v>
      </c>
      <c r="AE1261" s="2" t="s">
        <v>84</v>
      </c>
      <c r="AG1261" s="300">
        <v>0</v>
      </c>
      <c r="AH1261" s="300">
        <v>0</v>
      </c>
      <c r="AI1261" s="2">
        <v>0</v>
      </c>
      <c r="AJ1261" s="300">
        <v>0</v>
      </c>
      <c r="AK1261" s="176">
        <v>0</v>
      </c>
      <c r="AL1261" s="2">
        <v>0</v>
      </c>
      <c r="AM1261" s="22"/>
      <c r="AO1261" s="298" t="s">
        <v>286</v>
      </c>
      <c r="AP1261" s="297" t="s">
        <v>615</v>
      </c>
      <c r="AQ1261" s="3" t="s">
        <v>100</v>
      </c>
      <c r="AR1261" s="90" t="str">
        <f t="shared" si="1520"/>
        <v>JD8G-9G444-AA</v>
      </c>
      <c r="AT1261" s="89">
        <v>0</v>
      </c>
      <c r="AU1261" s="89">
        <v>0</v>
      </c>
      <c r="AV1261" s="89">
        <v>0</v>
      </c>
      <c r="AW1261" s="89">
        <v>0</v>
      </c>
      <c r="AX1261" s="89">
        <v>1</v>
      </c>
      <c r="AY1261" s="89">
        <v>1</v>
      </c>
      <c r="AZ1261" s="89">
        <v>0</v>
      </c>
      <c r="BA1261" s="89">
        <v>1</v>
      </c>
      <c r="BB1261" s="89">
        <f t="shared" si="1511"/>
        <v>0.28000000000000003</v>
      </c>
      <c r="BD1261" s="60">
        <v>-74.86</v>
      </c>
      <c r="BE1261" s="63">
        <v>0</v>
      </c>
      <c r="BF1261" s="63">
        <v>0</v>
      </c>
      <c r="BG1261" s="63">
        <v>0</v>
      </c>
      <c r="BH1261" s="63">
        <v>0</v>
      </c>
      <c r="BI1261" s="8">
        <f t="shared" si="1545"/>
        <v>-74.86</v>
      </c>
      <c r="BJ1261" s="2" t="s">
        <v>91</v>
      </c>
      <c r="BL1261" s="63"/>
      <c r="BM1261" s="63"/>
      <c r="BN1261" s="267"/>
      <c r="BO1261" s="63"/>
      <c r="BP1261" s="63"/>
      <c r="BS1261" s="61">
        <f t="shared" si="1450"/>
        <v>-0.70000000000000284</v>
      </c>
      <c r="BT1261" s="61">
        <f t="shared" si="1451"/>
        <v>0</v>
      </c>
      <c r="BU1261" s="61">
        <f t="shared" si="1415"/>
        <v>0</v>
      </c>
      <c r="BV1261" s="61">
        <f t="shared" si="1452"/>
        <v>0</v>
      </c>
      <c r="BW1261" s="61">
        <f t="shared" si="1452"/>
        <v>0</v>
      </c>
      <c r="BX1261" s="63">
        <f t="shared" si="1452"/>
        <v>-0.70000000000000284</v>
      </c>
      <c r="BY1261" s="61" t="s">
        <v>91</v>
      </c>
      <c r="CA1261" s="61">
        <f t="shared" si="1546"/>
        <v>0</v>
      </c>
      <c r="CB1261" s="61">
        <f t="shared" si="1546"/>
        <v>0</v>
      </c>
      <c r="CC1261" s="61">
        <f t="shared" si="1546"/>
        <v>0</v>
      </c>
      <c r="CD1261" s="61">
        <f t="shared" si="1546"/>
        <v>0</v>
      </c>
      <c r="CE1261" s="61">
        <f t="shared" si="1479"/>
        <v>-0.10531066646607534</v>
      </c>
      <c r="CF1261" s="61">
        <f t="shared" si="1479"/>
        <v>-0.10531066646607534</v>
      </c>
      <c r="CG1261" s="61">
        <f t="shared" si="1479"/>
        <v>0</v>
      </c>
      <c r="CH1261" s="61">
        <f t="shared" si="1479"/>
        <v>-0.10531066646607534</v>
      </c>
      <c r="CI1261" s="61">
        <f t="shared" si="1421"/>
        <v>-2.9486986610501097E-2</v>
      </c>
      <c r="CJ1261" s="267"/>
      <c r="CK1261" s="61">
        <f t="shared" si="1454"/>
        <v>0</v>
      </c>
      <c r="CL1261" s="61">
        <f t="shared" si="1454"/>
        <v>0</v>
      </c>
      <c r="CM1261" s="61">
        <f t="shared" si="1454"/>
        <v>0</v>
      </c>
      <c r="CN1261" s="61">
        <f t="shared" si="1446"/>
        <v>0</v>
      </c>
      <c r="CO1261" s="61">
        <f t="shared" si="1446"/>
        <v>-0.10531066646607534</v>
      </c>
      <c r="CP1261" s="61">
        <f t="shared" si="1446"/>
        <v>-0.10531066646607534</v>
      </c>
      <c r="CQ1261" s="61">
        <f t="shared" si="1446"/>
        <v>0</v>
      </c>
      <c r="CR1261" s="61">
        <f t="shared" si="1446"/>
        <v>-0.10531066646607534</v>
      </c>
      <c r="CS1261" s="61">
        <f t="shared" si="1422"/>
        <v>-2.9486986610501097E-2</v>
      </c>
      <c r="CT1261" s="63">
        <f t="shared" si="1425"/>
        <v>-0.19600000000000081</v>
      </c>
      <c r="CU1261" s="73"/>
      <c r="CV1261" s="61">
        <f t="shared" si="1547"/>
        <v>0</v>
      </c>
      <c r="CW1261" s="61">
        <f t="shared" si="1547"/>
        <v>0</v>
      </c>
      <c r="CY1261" s="61">
        <v>1</v>
      </c>
      <c r="CZ1261" s="61">
        <f t="shared" si="1548"/>
        <v>0</v>
      </c>
      <c r="DA1261" s="61">
        <f t="shared" si="1548"/>
        <v>0</v>
      </c>
      <c r="DB1261" s="2" t="s">
        <v>102</v>
      </c>
      <c r="DC1261" s="2" t="s">
        <v>85</v>
      </c>
      <c r="DD1261" s="2" t="s">
        <v>87</v>
      </c>
      <c r="DE1261" s="2" t="s">
        <v>106</v>
      </c>
      <c r="DF1261" s="3" t="s">
        <v>86</v>
      </c>
      <c r="DG1261" s="62">
        <v>43102</v>
      </c>
      <c r="EC1261" s="60" t="str">
        <f>VLOOKUP($M1261,[1]Detail!$M:$BO,1,0)</f>
        <v>JX61-9G444-EA</v>
      </c>
      <c r="ED1261" s="60">
        <f>VLOOKUP($M1261,[1]Detail!$M:$BO,22,0)</f>
        <v>-75.56</v>
      </c>
      <c r="EE1261" s="60">
        <f>VLOOKUP($M1261,[1]Detail!$M:$BO,42,0)</f>
        <v>0</v>
      </c>
      <c r="EF1261" s="60">
        <f>VLOOKUP($M1261,[1]Detail!$M:$BO,45,0)</f>
        <v>0</v>
      </c>
      <c r="EH1261" s="60">
        <f t="shared" si="1539"/>
        <v>0</v>
      </c>
      <c r="EI1261" s="60">
        <f t="shared" si="1540"/>
        <v>0</v>
      </c>
      <c r="EJ1261" s="60">
        <f t="shared" si="1541"/>
        <v>0</v>
      </c>
    </row>
    <row r="1262" spans="2:140" ht="12.75" hidden="1" customHeight="1">
      <c r="B1262" s="1" t="s">
        <v>2148</v>
      </c>
      <c r="C1262" s="22" t="s">
        <v>630</v>
      </c>
      <c r="D1262" s="149" t="s">
        <v>2149</v>
      </c>
      <c r="E1262" s="86" t="s">
        <v>1024</v>
      </c>
      <c r="F1262" s="85" t="s">
        <v>2072</v>
      </c>
      <c r="G1262" s="297"/>
      <c r="J1262" s="298" t="s">
        <v>770</v>
      </c>
      <c r="K1262" s="299" t="s">
        <v>2150</v>
      </c>
      <c r="L1262" s="3" t="s">
        <v>115</v>
      </c>
      <c r="M1262" s="22" t="s">
        <v>2151</v>
      </c>
      <c r="O1262" s="89">
        <v>1</v>
      </c>
      <c r="P1262" s="89">
        <v>1</v>
      </c>
      <c r="Q1262" s="89">
        <v>1</v>
      </c>
      <c r="R1262" s="89">
        <v>1</v>
      </c>
      <c r="S1262" s="89">
        <v>1</v>
      </c>
      <c r="T1262" s="89">
        <v>1</v>
      </c>
      <c r="U1262" s="89">
        <v>1</v>
      </c>
      <c r="V1262" s="89">
        <v>1</v>
      </c>
      <c r="W1262" s="164">
        <f t="shared" si="1516"/>
        <v>1</v>
      </c>
      <c r="Y1262" s="8">
        <v>-137.63</v>
      </c>
      <c r="Z1262" s="63">
        <v>0</v>
      </c>
      <c r="AA1262" s="63">
        <v>0</v>
      </c>
      <c r="AB1262" s="63">
        <v>0</v>
      </c>
      <c r="AC1262" s="63">
        <v>0</v>
      </c>
      <c r="AD1262" s="8">
        <f t="shared" si="1524"/>
        <v>-137.63</v>
      </c>
      <c r="AE1262" s="2" t="s">
        <v>84</v>
      </c>
      <c r="AG1262" s="300">
        <v>0</v>
      </c>
      <c r="AH1262" s="300">
        <v>0</v>
      </c>
      <c r="AI1262" s="2">
        <v>0</v>
      </c>
      <c r="AJ1262" s="300">
        <v>0</v>
      </c>
      <c r="AK1262" s="176">
        <v>0</v>
      </c>
      <c r="AL1262" s="2">
        <v>0</v>
      </c>
      <c r="AM1262" s="22"/>
      <c r="AO1262" s="298" t="s">
        <v>770</v>
      </c>
      <c r="AP1262" s="297" t="s">
        <v>2150</v>
      </c>
      <c r="AQ1262" s="3" t="s">
        <v>924</v>
      </c>
      <c r="AR1262" s="90" t="str">
        <f t="shared" si="1520"/>
        <v>ED8B -13404 -CC</v>
      </c>
      <c r="AT1262" s="89">
        <v>1</v>
      </c>
      <c r="AU1262" s="89">
        <v>1</v>
      </c>
      <c r="AV1262" s="89">
        <v>1</v>
      </c>
      <c r="AW1262" s="89">
        <v>1</v>
      </c>
      <c r="AX1262" s="89">
        <v>1</v>
      </c>
      <c r="AY1262" s="89">
        <v>1</v>
      </c>
      <c r="AZ1262" s="89">
        <v>1</v>
      </c>
      <c r="BA1262" s="89">
        <v>1</v>
      </c>
      <c r="BB1262" s="89">
        <f t="shared" si="1511"/>
        <v>1</v>
      </c>
      <c r="BD1262" s="60">
        <v>-131.72999999999999</v>
      </c>
      <c r="BE1262" s="63">
        <v>0</v>
      </c>
      <c r="BF1262" s="63">
        <v>0</v>
      </c>
      <c r="BG1262" s="63">
        <v>0</v>
      </c>
      <c r="BH1262" s="63">
        <v>0</v>
      </c>
      <c r="BI1262" s="8">
        <f t="shared" si="1545"/>
        <v>-131.72999999999999</v>
      </c>
      <c r="BJ1262" s="2" t="s">
        <v>91</v>
      </c>
      <c r="BL1262" s="63"/>
      <c r="BM1262" s="63"/>
      <c r="BN1262" s="267"/>
      <c r="BO1262" s="63"/>
      <c r="BP1262" s="63"/>
      <c r="BS1262" s="61"/>
      <c r="BT1262" s="61"/>
      <c r="BU1262" s="61"/>
      <c r="BV1262" s="61"/>
      <c r="BW1262" s="61"/>
      <c r="BX1262" s="63"/>
      <c r="BY1262" s="61"/>
      <c r="CA1262" s="61">
        <f t="shared" si="1546"/>
        <v>-0.88761847449977516</v>
      </c>
      <c r="CB1262" s="61">
        <f t="shared" si="1546"/>
        <v>-0.88761847449977516</v>
      </c>
      <c r="CC1262" s="61">
        <f t="shared" si="1546"/>
        <v>-0.88761847449977516</v>
      </c>
      <c r="CD1262" s="61">
        <f t="shared" si="1546"/>
        <v>-0.88761847449977516</v>
      </c>
      <c r="CE1262" s="61">
        <f t="shared" si="1479"/>
        <v>-0.88761847449977516</v>
      </c>
      <c r="CF1262" s="61">
        <f t="shared" si="1479"/>
        <v>-0.88761847449977516</v>
      </c>
      <c r="CG1262" s="61">
        <f t="shared" si="1479"/>
        <v>-0.88761847449977516</v>
      </c>
      <c r="CH1262" s="61">
        <f t="shared" si="1479"/>
        <v>-0.88761847449977516</v>
      </c>
      <c r="CI1262" s="61">
        <f t="shared" si="1421"/>
        <v>-0.88761847449977527</v>
      </c>
      <c r="CJ1262" s="267"/>
      <c r="CK1262" s="61">
        <f t="shared" si="1454"/>
        <v>-0.88761847449977516</v>
      </c>
      <c r="CL1262" s="61">
        <f t="shared" si="1454"/>
        <v>-0.88761847449977516</v>
      </c>
      <c r="CM1262" s="61">
        <f t="shared" si="1454"/>
        <v>-0.88761847449977516</v>
      </c>
      <c r="CN1262" s="61">
        <f t="shared" si="1446"/>
        <v>-0.88761847449977516</v>
      </c>
      <c r="CO1262" s="61">
        <f t="shared" si="1446"/>
        <v>-0.88761847449977516</v>
      </c>
      <c r="CP1262" s="61">
        <f t="shared" si="1446"/>
        <v>-0.88761847449977516</v>
      </c>
      <c r="CQ1262" s="61">
        <f t="shared" si="1446"/>
        <v>-0.88761847449977516</v>
      </c>
      <c r="CR1262" s="61">
        <f t="shared" si="1446"/>
        <v>-0.88761847449977516</v>
      </c>
      <c r="CS1262" s="61">
        <f t="shared" si="1422"/>
        <v>-0.88761847449977527</v>
      </c>
      <c r="CT1262" s="63">
        <f t="shared" si="1425"/>
        <v>-5.9000000000000066</v>
      </c>
      <c r="CU1262" s="73"/>
      <c r="CV1262" s="61">
        <f t="shared" si="1547"/>
        <v>0</v>
      </c>
      <c r="CW1262" s="61">
        <f t="shared" si="1547"/>
        <v>0</v>
      </c>
      <c r="CY1262" s="61">
        <v>2</v>
      </c>
      <c r="CZ1262" s="61">
        <f t="shared" si="1548"/>
        <v>0</v>
      </c>
      <c r="DA1262" s="61">
        <f t="shared" si="1548"/>
        <v>0</v>
      </c>
      <c r="DB1262" s="2" t="s">
        <v>102</v>
      </c>
      <c r="DC1262" s="2" t="s">
        <v>85</v>
      </c>
      <c r="DD1262" s="2" t="s">
        <v>87</v>
      </c>
      <c r="DE1262" s="2" t="s">
        <v>106</v>
      </c>
      <c r="DF1262" s="3" t="s">
        <v>86</v>
      </c>
      <c r="DG1262" s="62">
        <v>43102</v>
      </c>
      <c r="EC1262" s="60">
        <v>-131.72999999999999</v>
      </c>
      <c r="ED1262" s="60">
        <v>0</v>
      </c>
      <c r="EE1262" s="60">
        <v>0</v>
      </c>
      <c r="EF1262" s="60">
        <v>0</v>
      </c>
      <c r="EH1262" s="60">
        <v>0</v>
      </c>
      <c r="EI1262" s="60">
        <v>0</v>
      </c>
      <c r="EJ1262" s="60">
        <v>0</v>
      </c>
    </row>
    <row r="1263" spans="2:140" ht="12.75" hidden="1" customHeight="1">
      <c r="B1263" s="1" t="s">
        <v>2148</v>
      </c>
      <c r="C1263" s="22" t="s">
        <v>630</v>
      </c>
      <c r="D1263" s="149" t="s">
        <v>2149</v>
      </c>
      <c r="E1263" s="86" t="s">
        <v>1024</v>
      </c>
      <c r="F1263" s="85" t="s">
        <v>2072</v>
      </c>
      <c r="G1263" s="297"/>
      <c r="J1263" s="298" t="s">
        <v>770</v>
      </c>
      <c r="K1263" s="299">
        <v>13405</v>
      </c>
      <c r="L1263" s="3" t="s">
        <v>115</v>
      </c>
      <c r="M1263" s="51" t="str">
        <f t="shared" ref="M1263:M1326" si="1549">TRIM(J1263)&amp;"-"&amp;TRIM(K1263)&amp;"-"&amp;TRIM(L1263)</f>
        <v>ED8B -13405-DA</v>
      </c>
      <c r="O1263" s="89">
        <v>1</v>
      </c>
      <c r="P1263" s="89">
        <v>1</v>
      </c>
      <c r="Q1263" s="89">
        <v>1</v>
      </c>
      <c r="R1263" s="89">
        <v>1</v>
      </c>
      <c r="S1263" s="89">
        <v>1</v>
      </c>
      <c r="T1263" s="89">
        <v>1</v>
      </c>
      <c r="U1263" s="89">
        <v>1</v>
      </c>
      <c r="V1263" s="89">
        <v>1</v>
      </c>
      <c r="W1263" s="164">
        <f t="shared" si="1516"/>
        <v>1</v>
      </c>
      <c r="Y1263" s="8">
        <v>-137.63</v>
      </c>
      <c r="Z1263" s="63">
        <v>0</v>
      </c>
      <c r="AA1263" s="63">
        <v>0</v>
      </c>
      <c r="AB1263" s="63">
        <v>0</v>
      </c>
      <c r="AC1263" s="63">
        <v>0</v>
      </c>
      <c r="AD1263" s="8">
        <f t="shared" si="1524"/>
        <v>-137.63</v>
      </c>
      <c r="AE1263" s="2" t="s">
        <v>84</v>
      </c>
      <c r="AG1263" s="300">
        <v>0</v>
      </c>
      <c r="AH1263" s="300">
        <v>0</v>
      </c>
      <c r="AI1263" s="2">
        <v>0</v>
      </c>
      <c r="AJ1263" s="300">
        <v>0</v>
      </c>
      <c r="AK1263" s="176">
        <v>0</v>
      </c>
      <c r="AL1263" s="2">
        <v>0</v>
      </c>
      <c r="AM1263" s="22"/>
      <c r="AO1263" s="298" t="s">
        <v>770</v>
      </c>
      <c r="AP1263" s="297">
        <v>13405</v>
      </c>
      <c r="AQ1263" s="3" t="s">
        <v>924</v>
      </c>
      <c r="AR1263" s="90" t="str">
        <f t="shared" si="1520"/>
        <v>ED8B -13405-CC</v>
      </c>
      <c r="AT1263" s="89">
        <v>1</v>
      </c>
      <c r="AU1263" s="89">
        <v>1</v>
      </c>
      <c r="AV1263" s="89">
        <v>1</v>
      </c>
      <c r="AW1263" s="89">
        <v>1</v>
      </c>
      <c r="AX1263" s="89">
        <v>1</v>
      </c>
      <c r="AY1263" s="89">
        <v>1</v>
      </c>
      <c r="AZ1263" s="89">
        <v>1</v>
      </c>
      <c r="BA1263" s="89">
        <v>1</v>
      </c>
      <c r="BB1263" s="89">
        <f t="shared" si="1511"/>
        <v>1</v>
      </c>
      <c r="BD1263" s="60">
        <v>-131.72999999999999</v>
      </c>
      <c r="BE1263" s="63">
        <v>0</v>
      </c>
      <c r="BF1263" s="63">
        <v>0</v>
      </c>
      <c r="BG1263" s="63">
        <v>0</v>
      </c>
      <c r="BH1263" s="63">
        <v>0</v>
      </c>
      <c r="BI1263" s="8">
        <f t="shared" si="1545"/>
        <v>-131.72999999999999</v>
      </c>
      <c r="BJ1263" s="2" t="s">
        <v>91</v>
      </c>
      <c r="BL1263" s="63"/>
      <c r="BM1263" s="63"/>
      <c r="BN1263" s="267"/>
      <c r="BO1263" s="63"/>
      <c r="BP1263" s="63"/>
      <c r="BS1263" s="61"/>
      <c r="BT1263" s="61"/>
      <c r="BU1263" s="61"/>
      <c r="BV1263" s="61"/>
      <c r="BW1263" s="61"/>
      <c r="BX1263" s="63"/>
      <c r="BY1263" s="61"/>
      <c r="CA1263" s="61">
        <f t="shared" si="1546"/>
        <v>-0.88761847449977516</v>
      </c>
      <c r="CB1263" s="61">
        <f t="shared" si="1546"/>
        <v>-0.88761847449977516</v>
      </c>
      <c r="CC1263" s="61">
        <f t="shared" si="1546"/>
        <v>-0.88761847449977516</v>
      </c>
      <c r="CD1263" s="61">
        <f t="shared" si="1546"/>
        <v>-0.88761847449977516</v>
      </c>
      <c r="CE1263" s="61">
        <f t="shared" si="1479"/>
        <v>-0.88761847449977516</v>
      </c>
      <c r="CF1263" s="61">
        <f t="shared" si="1479"/>
        <v>-0.88761847449977516</v>
      </c>
      <c r="CG1263" s="61">
        <f t="shared" si="1479"/>
        <v>-0.88761847449977516</v>
      </c>
      <c r="CH1263" s="61">
        <f t="shared" si="1479"/>
        <v>-0.88761847449977516</v>
      </c>
      <c r="CI1263" s="61">
        <f t="shared" si="1421"/>
        <v>-0.88761847449977527</v>
      </c>
      <c r="CJ1263" s="267"/>
      <c r="CK1263" s="61">
        <f t="shared" si="1454"/>
        <v>-0.88761847449977516</v>
      </c>
      <c r="CL1263" s="61">
        <f t="shared" si="1454"/>
        <v>-0.88761847449977516</v>
      </c>
      <c r="CM1263" s="61">
        <f t="shared" si="1454"/>
        <v>-0.88761847449977516</v>
      </c>
      <c r="CN1263" s="61">
        <f t="shared" si="1446"/>
        <v>-0.88761847449977516</v>
      </c>
      <c r="CO1263" s="61">
        <f t="shared" si="1446"/>
        <v>-0.88761847449977516</v>
      </c>
      <c r="CP1263" s="61">
        <f t="shared" si="1446"/>
        <v>-0.88761847449977516</v>
      </c>
      <c r="CQ1263" s="61">
        <f t="shared" si="1446"/>
        <v>-0.88761847449977516</v>
      </c>
      <c r="CR1263" s="61">
        <f t="shared" si="1446"/>
        <v>-0.88761847449977516</v>
      </c>
      <c r="CS1263" s="61">
        <f t="shared" si="1422"/>
        <v>-0.88761847449977527</v>
      </c>
      <c r="CT1263" s="63">
        <f t="shared" si="1425"/>
        <v>-5.9000000000000066</v>
      </c>
      <c r="CU1263" s="73"/>
      <c r="CV1263" s="61">
        <f t="shared" si="1547"/>
        <v>0</v>
      </c>
      <c r="CW1263" s="61">
        <f t="shared" si="1547"/>
        <v>0</v>
      </c>
      <c r="CY1263" s="61">
        <v>2</v>
      </c>
      <c r="CZ1263" s="61">
        <f t="shared" si="1548"/>
        <v>0</v>
      </c>
      <c r="DA1263" s="61">
        <f t="shared" si="1548"/>
        <v>0</v>
      </c>
      <c r="DB1263" s="2" t="s">
        <v>102</v>
      </c>
      <c r="DC1263" s="2" t="s">
        <v>85</v>
      </c>
      <c r="DD1263" s="2" t="s">
        <v>87</v>
      </c>
      <c r="DE1263" s="2" t="s">
        <v>106</v>
      </c>
      <c r="DF1263" s="3" t="s">
        <v>86</v>
      </c>
      <c r="DG1263" s="62">
        <v>43102</v>
      </c>
      <c r="EC1263" s="60" t="str">
        <f>M1263</f>
        <v>ED8B -13405-DA</v>
      </c>
      <c r="ED1263" s="60">
        <f>BI1263</f>
        <v>-131.72999999999999</v>
      </c>
      <c r="EE1263" s="60">
        <v>0</v>
      </c>
      <c r="EF1263" s="60">
        <v>0</v>
      </c>
      <c r="EH1263" s="60">
        <v>0</v>
      </c>
      <c r="EI1263" s="60">
        <v>0</v>
      </c>
      <c r="EJ1263" s="60">
        <v>0</v>
      </c>
    </row>
    <row r="1264" spans="2:140" ht="12.75" hidden="1" customHeight="1">
      <c r="B1264" s="1" t="s">
        <v>2152</v>
      </c>
      <c r="C1264" s="22" t="s">
        <v>2153</v>
      </c>
      <c r="D1264" s="149" t="s">
        <v>2154</v>
      </c>
      <c r="E1264" s="86" t="s">
        <v>347</v>
      </c>
      <c r="F1264" s="85" t="s">
        <v>2080</v>
      </c>
      <c r="G1264" s="297" t="s">
        <v>1269</v>
      </c>
      <c r="J1264" s="298" t="s">
        <v>985</v>
      </c>
      <c r="K1264" s="299">
        <v>5414</v>
      </c>
      <c r="L1264" s="3" t="s">
        <v>2155</v>
      </c>
      <c r="M1264" s="51" t="str">
        <f t="shared" si="1549"/>
        <v>CV61-5414-ACD</v>
      </c>
      <c r="O1264" s="89">
        <v>2</v>
      </c>
      <c r="P1264" s="89">
        <v>2</v>
      </c>
      <c r="Q1264" s="89">
        <v>2</v>
      </c>
      <c r="R1264" s="89">
        <v>2</v>
      </c>
      <c r="S1264" s="89">
        <v>2</v>
      </c>
      <c r="T1264" s="89">
        <v>2</v>
      </c>
      <c r="U1264" s="89">
        <v>2</v>
      </c>
      <c r="V1264" s="89">
        <v>2</v>
      </c>
      <c r="W1264" s="164">
        <f t="shared" si="1516"/>
        <v>2</v>
      </c>
      <c r="Y1264" s="8">
        <f>-2.29</f>
        <v>-2.29</v>
      </c>
      <c r="Z1264" s="63">
        <v>-0.12</v>
      </c>
      <c r="AA1264" s="63">
        <v>-0.06</v>
      </c>
      <c r="AB1264" s="63">
        <v>0</v>
      </c>
      <c r="AC1264" s="63">
        <v>0</v>
      </c>
      <c r="AD1264" s="8">
        <f t="shared" ref="AD1264" si="1550">SUM(Y1264:AC1264)</f>
        <v>-2.4700000000000002</v>
      </c>
      <c r="AE1264" s="2" t="s">
        <v>84</v>
      </c>
      <c r="AG1264" s="300">
        <v>0</v>
      </c>
      <c r="AH1264" s="300">
        <v>0</v>
      </c>
      <c r="AJ1264" s="300">
        <v>0</v>
      </c>
      <c r="AK1264" s="176">
        <v>0</v>
      </c>
      <c r="AM1264" s="22"/>
      <c r="AO1264" s="298" t="s">
        <v>357</v>
      </c>
      <c r="AP1264" s="297" t="s">
        <v>2156</v>
      </c>
      <c r="AQ1264" s="3" t="s">
        <v>100</v>
      </c>
      <c r="AR1264" s="90" t="str">
        <f>TRIM(AO1264)&amp;"-"&amp;TRIM(AP1264)&amp;"-"&amp;TRIM(AQ1264)</f>
        <v>ED8C-5414 -AA</v>
      </c>
      <c r="AT1264" s="89">
        <v>2</v>
      </c>
      <c r="AU1264" s="89">
        <v>2</v>
      </c>
      <c r="AV1264" s="89">
        <v>2</v>
      </c>
      <c r="AW1264" s="89">
        <v>2</v>
      </c>
      <c r="AX1264" s="89">
        <v>2</v>
      </c>
      <c r="AY1264" s="89">
        <v>2</v>
      </c>
      <c r="AZ1264" s="89">
        <v>2</v>
      </c>
      <c r="BA1264" s="89">
        <v>2</v>
      </c>
      <c r="BB1264" s="89">
        <f t="shared" si="1511"/>
        <v>2</v>
      </c>
      <c r="BD1264" s="60">
        <f>-2.29-0.42</f>
        <v>-2.71</v>
      </c>
      <c r="BE1264" s="63">
        <v>-0.12</v>
      </c>
      <c r="BF1264" s="63">
        <v>-0.06</v>
      </c>
      <c r="BG1264" s="63">
        <v>0</v>
      </c>
      <c r="BH1264" s="63"/>
      <c r="BI1264" s="8">
        <f t="shared" si="1545"/>
        <v>-2.89</v>
      </c>
      <c r="BJ1264" s="2" t="s">
        <v>84</v>
      </c>
      <c r="BL1264" s="63">
        <v>0</v>
      </c>
      <c r="BM1264" s="63">
        <v>0</v>
      </c>
      <c r="BN1264" s="267"/>
      <c r="BO1264" s="63">
        <v>0</v>
      </c>
      <c r="BP1264" s="63">
        <v>0</v>
      </c>
      <c r="BQ1264" s="2">
        <v>0</v>
      </c>
      <c r="BS1264" s="61">
        <f t="shared" ref="BS1264:BS1295" si="1551">SUM(Y1264)-SUM(BD1264)</f>
        <v>0.41999999999999993</v>
      </c>
      <c r="BT1264" s="61">
        <f t="shared" ref="BT1264:BT1295" si="1552">SUM(Z1264)-SUM(BE1264)</f>
        <v>0</v>
      </c>
      <c r="BU1264" s="61">
        <f t="shared" ref="BU1264:BX1295" si="1553">SUM(AA1264)-SUM(BF1264)</f>
        <v>0</v>
      </c>
      <c r="BV1264" s="61">
        <f t="shared" si="1553"/>
        <v>0</v>
      </c>
      <c r="BW1264" s="61">
        <f t="shared" si="1553"/>
        <v>0</v>
      </c>
      <c r="BX1264" s="63">
        <f t="shared" si="1553"/>
        <v>0.41999999999999993</v>
      </c>
      <c r="BY1264" s="61" t="s">
        <v>91</v>
      </c>
      <c r="CA1264" s="61">
        <f t="shared" si="1546"/>
        <v>0.12637279975928989</v>
      </c>
      <c r="CB1264" s="61">
        <f t="shared" si="1546"/>
        <v>0.12637279975928989</v>
      </c>
      <c r="CC1264" s="61">
        <f t="shared" si="1546"/>
        <v>0.12637279975928989</v>
      </c>
      <c r="CD1264" s="61">
        <f t="shared" si="1546"/>
        <v>0.12637279975928989</v>
      </c>
      <c r="CE1264" s="61">
        <f t="shared" si="1479"/>
        <v>0.12637279975928989</v>
      </c>
      <c r="CF1264" s="61">
        <f t="shared" si="1479"/>
        <v>0.12637279975928989</v>
      </c>
      <c r="CG1264" s="61">
        <f t="shared" si="1479"/>
        <v>0.12637279975928989</v>
      </c>
      <c r="CH1264" s="61">
        <f t="shared" si="1479"/>
        <v>0.12637279975928989</v>
      </c>
      <c r="CI1264" s="61">
        <f t="shared" si="1421"/>
        <v>0.12637279975928992</v>
      </c>
      <c r="CJ1264" s="267"/>
      <c r="CK1264" s="61">
        <f t="shared" si="1454"/>
        <v>0.12637279975928989</v>
      </c>
      <c r="CL1264" s="61">
        <f t="shared" si="1454"/>
        <v>0.12637279975928989</v>
      </c>
      <c r="CM1264" s="61">
        <f t="shared" si="1454"/>
        <v>0.12637279975928989</v>
      </c>
      <c r="CN1264" s="61">
        <f t="shared" si="1446"/>
        <v>0.12637279975928989</v>
      </c>
      <c r="CO1264" s="61">
        <f t="shared" si="1446"/>
        <v>0.12637279975928989</v>
      </c>
      <c r="CP1264" s="61">
        <f t="shared" si="1446"/>
        <v>0.12637279975928989</v>
      </c>
      <c r="CQ1264" s="61">
        <f t="shared" si="1446"/>
        <v>0.12637279975928989</v>
      </c>
      <c r="CR1264" s="61">
        <f t="shared" si="1446"/>
        <v>0.12637279975928989</v>
      </c>
      <c r="CS1264" s="61">
        <f t="shared" si="1422"/>
        <v>0.12637279975928992</v>
      </c>
      <c r="CT1264" s="63">
        <f t="shared" si="1425"/>
        <v>0.84000000000000008</v>
      </c>
      <c r="CU1264" s="73"/>
      <c r="CV1264" s="61">
        <f>SUM(AG1264)-SUM(BL1264)</f>
        <v>0</v>
      </c>
      <c r="CW1264" s="61">
        <f>SUM(AH1264)-SUM(BM1264)</f>
        <v>0</v>
      </c>
      <c r="CY1264" s="61">
        <f t="shared" ref="CY1264:DA1265" si="1554">SUM(AJ1264)-SUM(BO1264)</f>
        <v>0</v>
      </c>
      <c r="CZ1264" s="61">
        <f t="shared" si="1554"/>
        <v>0</v>
      </c>
      <c r="DA1264" s="61">
        <f t="shared" si="1554"/>
        <v>0</v>
      </c>
      <c r="DB1264" s="2" t="s">
        <v>85</v>
      </c>
      <c r="DC1264" s="2" t="s">
        <v>85</v>
      </c>
      <c r="DD1264" s="2" t="s">
        <v>87</v>
      </c>
      <c r="DE1264" s="2" t="s">
        <v>169</v>
      </c>
      <c r="DF1264" s="3" t="s">
        <v>86</v>
      </c>
      <c r="DG1264" s="62">
        <v>43105</v>
      </c>
      <c r="EC1264" s="60"/>
      <c r="ED1264" s="60"/>
      <c r="EE1264" s="60"/>
      <c r="EF1264" s="60"/>
    </row>
    <row r="1265" spans="2:140" ht="12.75" hidden="1" customHeight="1">
      <c r="B1265" s="1" t="s">
        <v>2157</v>
      </c>
      <c r="C1265" s="22" t="s">
        <v>2153</v>
      </c>
      <c r="D1265" s="149" t="s">
        <v>2154</v>
      </c>
      <c r="E1265" s="86" t="s">
        <v>347</v>
      </c>
      <c r="F1265" s="85" t="s">
        <v>2080</v>
      </c>
      <c r="G1265" s="297" t="s">
        <v>1269</v>
      </c>
      <c r="J1265" s="298" t="s">
        <v>985</v>
      </c>
      <c r="K1265" s="299">
        <v>5414</v>
      </c>
      <c r="L1265" s="3" t="s">
        <v>2155</v>
      </c>
      <c r="M1265" s="51" t="str">
        <f t="shared" si="1549"/>
        <v>CV61-5414-ACD</v>
      </c>
      <c r="O1265" s="89">
        <v>2</v>
      </c>
      <c r="P1265" s="89">
        <v>2</v>
      </c>
      <c r="Q1265" s="89">
        <v>2</v>
      </c>
      <c r="R1265" s="89">
        <v>2</v>
      </c>
      <c r="S1265" s="89">
        <v>2</v>
      </c>
      <c r="T1265" s="89">
        <v>2</v>
      </c>
      <c r="U1265" s="89">
        <v>2</v>
      </c>
      <c r="V1265" s="89">
        <v>2</v>
      </c>
      <c r="W1265" s="164">
        <f t="shared" si="1516"/>
        <v>2</v>
      </c>
      <c r="Y1265" s="8">
        <f>-2.29</f>
        <v>-2.29</v>
      </c>
      <c r="Z1265" s="63">
        <v>-0.12</v>
      </c>
      <c r="AA1265" s="63">
        <v>-0.06</v>
      </c>
      <c r="AB1265" s="63">
        <v>0</v>
      </c>
      <c r="AC1265" s="63">
        <v>0</v>
      </c>
      <c r="AD1265" s="8">
        <f t="shared" ref="AD1265" si="1555">SUM(Y1265:AC1265)</f>
        <v>-2.4700000000000002</v>
      </c>
      <c r="AE1265" s="2" t="s">
        <v>84</v>
      </c>
      <c r="AG1265" s="300">
        <v>-88000</v>
      </c>
      <c r="AH1265" s="300">
        <v>-88000</v>
      </c>
      <c r="AJ1265" s="300">
        <v>0</v>
      </c>
      <c r="AK1265" s="176">
        <v>0</v>
      </c>
      <c r="AM1265" s="22"/>
      <c r="AO1265" s="298" t="s">
        <v>357</v>
      </c>
      <c r="AP1265" s="297" t="s">
        <v>2156</v>
      </c>
      <c r="AQ1265" s="3" t="s">
        <v>100</v>
      </c>
      <c r="AR1265" s="90" t="str">
        <f>TRIM(AO1265)&amp;"-"&amp;TRIM(AP1265)&amp;"-"&amp;TRIM(AQ1265)</f>
        <v>ED8C-5414 -AA</v>
      </c>
      <c r="AT1265" s="89">
        <v>2</v>
      </c>
      <c r="AU1265" s="89">
        <v>2</v>
      </c>
      <c r="AV1265" s="89">
        <v>2</v>
      </c>
      <c r="AW1265" s="89">
        <v>2</v>
      </c>
      <c r="AX1265" s="89">
        <v>2</v>
      </c>
      <c r="AY1265" s="89">
        <v>2</v>
      </c>
      <c r="AZ1265" s="89">
        <v>2</v>
      </c>
      <c r="BA1265" s="89">
        <v>2</v>
      </c>
      <c r="BB1265" s="89">
        <f t="shared" si="1511"/>
        <v>2</v>
      </c>
      <c r="BD1265" s="60">
        <f>-2.29-0.42</f>
        <v>-2.71</v>
      </c>
      <c r="BE1265" s="63">
        <v>-0.12</v>
      </c>
      <c r="BF1265" s="63">
        <v>-0.06</v>
      </c>
      <c r="BG1265" s="63">
        <v>0</v>
      </c>
      <c r="BH1265" s="63"/>
      <c r="BI1265" s="8">
        <f t="shared" si="1545"/>
        <v>-2.89</v>
      </c>
      <c r="BJ1265" s="2" t="s">
        <v>84</v>
      </c>
      <c r="BL1265" s="63">
        <v>0</v>
      </c>
      <c r="BM1265" s="63">
        <v>0</v>
      </c>
      <c r="BN1265" s="267"/>
      <c r="BO1265" s="63">
        <v>0</v>
      </c>
      <c r="BP1265" s="63">
        <v>0</v>
      </c>
      <c r="BQ1265" s="2">
        <v>0</v>
      </c>
      <c r="BS1265" s="61">
        <f t="shared" si="1551"/>
        <v>0.41999999999999993</v>
      </c>
      <c r="BT1265" s="61">
        <f t="shared" si="1552"/>
        <v>0</v>
      </c>
      <c r="BU1265" s="61">
        <f t="shared" si="1553"/>
        <v>0</v>
      </c>
      <c r="BV1265" s="61">
        <f t="shared" si="1553"/>
        <v>0</v>
      </c>
      <c r="BW1265" s="61">
        <f t="shared" si="1553"/>
        <v>0</v>
      </c>
      <c r="BX1265" s="63">
        <f t="shared" si="1553"/>
        <v>0.41999999999999993</v>
      </c>
      <c r="BY1265" s="61" t="s">
        <v>91</v>
      </c>
      <c r="CA1265" s="61">
        <f t="shared" si="1546"/>
        <v>0.12637279975928989</v>
      </c>
      <c r="CB1265" s="61">
        <f t="shared" si="1546"/>
        <v>0.12637279975928989</v>
      </c>
      <c r="CC1265" s="61">
        <f t="shared" si="1546"/>
        <v>0.12637279975928989</v>
      </c>
      <c r="CD1265" s="61">
        <f t="shared" si="1546"/>
        <v>0.12637279975928989</v>
      </c>
      <c r="CE1265" s="61">
        <f t="shared" si="1479"/>
        <v>0.12637279975928989</v>
      </c>
      <c r="CF1265" s="61">
        <f t="shared" si="1479"/>
        <v>0.12637279975928989</v>
      </c>
      <c r="CG1265" s="61">
        <f t="shared" si="1479"/>
        <v>0.12637279975928989</v>
      </c>
      <c r="CH1265" s="61">
        <f t="shared" si="1479"/>
        <v>0.12637279975928989</v>
      </c>
      <c r="CI1265" s="61">
        <f t="shared" si="1421"/>
        <v>0.12637279975928992</v>
      </c>
      <c r="CJ1265" s="267"/>
      <c r="CK1265" s="61">
        <f t="shared" si="1454"/>
        <v>0.12637279975928989</v>
      </c>
      <c r="CL1265" s="61">
        <f t="shared" si="1454"/>
        <v>0.12637279975928989</v>
      </c>
      <c r="CM1265" s="61">
        <f t="shared" si="1454"/>
        <v>0.12637279975928989</v>
      </c>
      <c r="CN1265" s="61">
        <f t="shared" si="1446"/>
        <v>0.12637279975928989</v>
      </c>
      <c r="CO1265" s="61">
        <f t="shared" si="1446"/>
        <v>0.12637279975928989</v>
      </c>
      <c r="CP1265" s="61">
        <f t="shared" si="1446"/>
        <v>0.12637279975928989</v>
      </c>
      <c r="CQ1265" s="61">
        <f t="shared" si="1446"/>
        <v>0.12637279975928989</v>
      </c>
      <c r="CR1265" s="61">
        <f t="shared" si="1446"/>
        <v>0.12637279975928989</v>
      </c>
      <c r="CS1265" s="61">
        <f t="shared" si="1422"/>
        <v>0.12637279975928992</v>
      </c>
      <c r="CT1265" s="63">
        <f t="shared" si="1425"/>
        <v>0.84000000000000008</v>
      </c>
      <c r="CU1265" s="73"/>
      <c r="CV1265" s="61">
        <f>SUM(AG1265)-SUM(BL1265)</f>
        <v>-88000</v>
      </c>
      <c r="CW1265" s="61">
        <f>SUM(AH1265)-SUM(BM1265)</f>
        <v>-88000</v>
      </c>
      <c r="CY1265" s="61">
        <f t="shared" si="1554"/>
        <v>0</v>
      </c>
      <c r="CZ1265" s="61">
        <f t="shared" si="1554"/>
        <v>0</v>
      </c>
      <c r="DA1265" s="61">
        <f t="shared" si="1554"/>
        <v>0</v>
      </c>
      <c r="DB1265" s="2" t="s">
        <v>86</v>
      </c>
      <c r="DC1265" s="2" t="s">
        <v>85</v>
      </c>
      <c r="DD1265" s="2" t="s">
        <v>87</v>
      </c>
      <c r="DE1265" s="2" t="s">
        <v>106</v>
      </c>
      <c r="DF1265" s="3" t="s">
        <v>86</v>
      </c>
      <c r="DG1265" s="62">
        <v>43166</v>
      </c>
      <c r="EC1265" s="60" t="str">
        <f>VLOOKUP($M1265,[1]Detail!$M:$BO,1,0)</f>
        <v>CV61-5414-ACD</v>
      </c>
      <c r="ED1265" s="60">
        <f>VLOOKUP($M1265,[1]Detail!$M:$BO,22,0)</f>
        <v>-2.4700000000000002</v>
      </c>
      <c r="EE1265" s="60">
        <f>VLOOKUP($M1265,[1]Detail!$M:$BO,42,0)</f>
        <v>-88000</v>
      </c>
      <c r="EF1265" s="60">
        <f>VLOOKUP($M1265,[1]Detail!$M:$BO,45,0)</f>
        <v>0</v>
      </c>
      <c r="EH1265" s="60">
        <f t="shared" ref="EH1265:EH1267" si="1556">ED1265-AD1265</f>
        <v>0</v>
      </c>
      <c r="EI1265" s="60">
        <f t="shared" ref="EI1265:EI1267" si="1557">EE1265-AG1265</f>
        <v>0</v>
      </c>
      <c r="EJ1265" s="60">
        <f t="shared" ref="EJ1265:EJ1267" si="1558">EF1265-AJ1265</f>
        <v>0</v>
      </c>
    </row>
    <row r="1266" spans="2:140" ht="12.75" hidden="1" customHeight="1">
      <c r="B1266" s="1" t="s">
        <v>2158</v>
      </c>
      <c r="C1266" s="22" t="s">
        <v>2159</v>
      </c>
      <c r="D1266" s="149" t="s">
        <v>1466</v>
      </c>
      <c r="E1266" s="86" t="s">
        <v>523</v>
      </c>
      <c r="F1266" s="85" t="s">
        <v>2080</v>
      </c>
      <c r="G1266" s="297" t="s">
        <v>987</v>
      </c>
      <c r="J1266" s="298" t="s">
        <v>286</v>
      </c>
      <c r="K1266" s="299" t="s">
        <v>2160</v>
      </c>
      <c r="L1266" s="3" t="s">
        <v>100</v>
      </c>
      <c r="M1266" s="51" t="str">
        <f t="shared" si="1549"/>
        <v>JD8G-9A322-AA</v>
      </c>
      <c r="O1266" s="89">
        <v>1</v>
      </c>
      <c r="P1266" s="89">
        <v>1</v>
      </c>
      <c r="Q1266" s="89">
        <v>1</v>
      </c>
      <c r="R1266" s="89">
        <v>1</v>
      </c>
      <c r="S1266" s="89">
        <v>1</v>
      </c>
      <c r="T1266" s="89">
        <v>1</v>
      </c>
      <c r="U1266" s="89">
        <v>1</v>
      </c>
      <c r="V1266" s="89">
        <v>1</v>
      </c>
      <c r="W1266" s="164">
        <f t="shared" si="1516"/>
        <v>1</v>
      </c>
      <c r="Y1266" s="8">
        <v>-87.272740979626903</v>
      </c>
      <c r="Z1266" s="63">
        <v>-0.3</v>
      </c>
      <c r="AA1266" s="63">
        <v>-0.31</v>
      </c>
      <c r="AB1266" s="63">
        <v>-0.18</v>
      </c>
      <c r="AC1266" s="63"/>
      <c r="AD1266" s="8">
        <f t="shared" ref="AD1266:AD1297" si="1559">SUM(Y1266:AC1266)</f>
        <v>-88.062740979626909</v>
      </c>
      <c r="AE1266" s="2" t="s">
        <v>84</v>
      </c>
      <c r="AG1266" s="302">
        <v>-97740</v>
      </c>
      <c r="AH1266" s="302">
        <v>-97740</v>
      </c>
      <c r="AJ1266" s="300">
        <v>0</v>
      </c>
      <c r="AK1266" s="176">
        <v>0</v>
      </c>
      <c r="AM1266" s="22"/>
      <c r="AO1266" s="298" t="s">
        <v>1460</v>
      </c>
      <c r="AP1266" s="297" t="s">
        <v>2160</v>
      </c>
      <c r="AQ1266" s="3" t="s">
        <v>132</v>
      </c>
      <c r="AR1266" s="90" t="str">
        <f>TRIM(AO1266)&amp;"-"&amp;TRIM(AP1266)&amp;"-"&amp;TRIM(AQ1266)</f>
        <v>ED8G-9A322-AB</v>
      </c>
      <c r="AT1266" s="89">
        <v>1</v>
      </c>
      <c r="AU1266" s="89">
        <v>1</v>
      </c>
      <c r="AV1266" s="89">
        <v>1</v>
      </c>
      <c r="AW1266" s="89">
        <v>1</v>
      </c>
      <c r="AX1266" s="89">
        <v>1</v>
      </c>
      <c r="AY1266" s="89">
        <v>1</v>
      </c>
      <c r="AZ1266" s="89">
        <v>1</v>
      </c>
      <c r="BA1266" s="89">
        <v>1</v>
      </c>
      <c r="BB1266" s="89">
        <f t="shared" si="1511"/>
        <v>1</v>
      </c>
      <c r="BD1266" s="60">
        <v>-13.79</v>
      </c>
      <c r="BE1266" s="63">
        <v>0</v>
      </c>
      <c r="BF1266" s="63">
        <v>0</v>
      </c>
      <c r="BG1266" s="63">
        <v>0</v>
      </c>
      <c r="BH1266" s="63">
        <v>0</v>
      </c>
      <c r="BI1266" s="8">
        <f t="shared" ref="BI1266:BI1297" si="1560">SUM(BD1266:BH1266)</f>
        <v>-13.79</v>
      </c>
      <c r="BJ1266" s="2" t="s">
        <v>84</v>
      </c>
      <c r="BL1266" s="63"/>
      <c r="BM1266" s="63">
        <v>0</v>
      </c>
      <c r="BN1266" s="267"/>
      <c r="BO1266" s="63">
        <v>0</v>
      </c>
      <c r="BP1266" s="63">
        <v>0</v>
      </c>
      <c r="BQ1266" s="2">
        <v>0</v>
      </c>
      <c r="BS1266" s="61">
        <f t="shared" si="1551"/>
        <v>-73.482740979626897</v>
      </c>
      <c r="BT1266" s="61">
        <f t="shared" si="1552"/>
        <v>-0.3</v>
      </c>
      <c r="BU1266" s="61">
        <f t="shared" si="1553"/>
        <v>-0.31</v>
      </c>
      <c r="BV1266" s="61">
        <f t="shared" si="1553"/>
        <v>-0.18</v>
      </c>
      <c r="BW1266" s="61">
        <f t="shared" si="1553"/>
        <v>0</v>
      </c>
      <c r="BX1266" s="63">
        <f t="shared" si="1553"/>
        <v>-74.272740979626917</v>
      </c>
      <c r="BY1266" s="61" t="s">
        <v>91</v>
      </c>
      <c r="CA1266" s="61">
        <f t="shared" si="1546"/>
        <v>-11.055023466169233</v>
      </c>
      <c r="CB1266" s="61">
        <f t="shared" si="1546"/>
        <v>-11.055023466169233</v>
      </c>
      <c r="CC1266" s="61">
        <f t="shared" si="1546"/>
        <v>-11.055023466169233</v>
      </c>
      <c r="CD1266" s="61">
        <f t="shared" si="1546"/>
        <v>-11.055023466169233</v>
      </c>
      <c r="CE1266" s="61">
        <f t="shared" si="1479"/>
        <v>-11.055023466169233</v>
      </c>
      <c r="CF1266" s="61">
        <f t="shared" si="1479"/>
        <v>-11.055023466169233</v>
      </c>
      <c r="CG1266" s="61">
        <f t="shared" si="1479"/>
        <v>-11.055023466169233</v>
      </c>
      <c r="CH1266" s="61">
        <f t="shared" si="1479"/>
        <v>-11.055023466169233</v>
      </c>
      <c r="CI1266" s="61">
        <f t="shared" ref="CI1266:CI1329" si="1561">SUMPRODUCT(CA1266:CH1266,$O$6:$V$6)</f>
        <v>-11.055023466169233</v>
      </c>
      <c r="CJ1266" s="267"/>
      <c r="CK1266" s="61">
        <f t="shared" si="1454"/>
        <v>-11.173874075466664</v>
      </c>
      <c r="CL1266" s="61">
        <f t="shared" si="1454"/>
        <v>-11.173874075466664</v>
      </c>
      <c r="CM1266" s="61">
        <f t="shared" si="1454"/>
        <v>-11.173874075466664</v>
      </c>
      <c r="CN1266" s="61">
        <f t="shared" si="1446"/>
        <v>-11.173874075466664</v>
      </c>
      <c r="CO1266" s="61">
        <f t="shared" si="1446"/>
        <v>-11.173874075466664</v>
      </c>
      <c r="CP1266" s="61">
        <f t="shared" si="1446"/>
        <v>-11.173874075466664</v>
      </c>
      <c r="CQ1266" s="61">
        <f t="shared" si="1446"/>
        <v>-11.173874075466664</v>
      </c>
      <c r="CR1266" s="61">
        <f t="shared" si="1446"/>
        <v>-11.173874075466664</v>
      </c>
      <c r="CS1266" s="61">
        <f t="shared" ref="CS1266:CS1329" si="1562">SUMPRODUCT(CK1266:CR1266,$O$6:$V$6)</f>
        <v>-11.173874075466664</v>
      </c>
      <c r="CT1266" s="63">
        <f t="shared" si="1425"/>
        <v>-74.272740979626917</v>
      </c>
      <c r="CU1266" s="73"/>
      <c r="CV1266" s="61">
        <f t="shared" ref="CV1266:CV1297" si="1563">SUM(AG1266)-SUM(BL1266)</f>
        <v>-97740</v>
      </c>
      <c r="CW1266" s="61">
        <f t="shared" ref="CW1266:CW1329" si="1564">SUM(AH1266)-SUM(BM1266)</f>
        <v>-97740</v>
      </c>
      <c r="CY1266" s="61">
        <f t="shared" ref="CY1266:DA1297" si="1565">SUM(AJ1266)-SUM(BO1266)</f>
        <v>0</v>
      </c>
      <c r="CZ1266" s="61">
        <f t="shared" si="1565"/>
        <v>0</v>
      </c>
      <c r="DA1266" s="61">
        <f t="shared" si="1565"/>
        <v>0</v>
      </c>
      <c r="DB1266" s="2" t="s">
        <v>86</v>
      </c>
      <c r="DC1266" s="2" t="s">
        <v>86</v>
      </c>
      <c r="DD1266" s="2" t="s">
        <v>87</v>
      </c>
      <c r="DE1266" s="2" t="s">
        <v>106</v>
      </c>
      <c r="DG1266" s="62"/>
      <c r="EC1266" s="60" t="str">
        <f>VLOOKUP($M1266,[1]Detail!$M:$BO,1,0)</f>
        <v>JD8G-9A322-AA</v>
      </c>
      <c r="ED1266" s="60">
        <f>VLOOKUP($M1266,[1]Detail!$M:$BO,22,0)</f>
        <v>-88.062740979626909</v>
      </c>
      <c r="EE1266" s="60">
        <f>VLOOKUP($M1266,[1]Detail!$M:$BO,42,0)</f>
        <v>-97740</v>
      </c>
      <c r="EF1266" s="60">
        <f>VLOOKUP($M1266,[1]Detail!$M:$BO,45,0)</f>
        <v>0</v>
      </c>
      <c r="EH1266" s="60">
        <f t="shared" si="1556"/>
        <v>0</v>
      </c>
      <c r="EI1266" s="60">
        <f t="shared" si="1557"/>
        <v>0</v>
      </c>
      <c r="EJ1266" s="60">
        <f t="shared" si="1558"/>
        <v>0</v>
      </c>
    </row>
    <row r="1267" spans="2:140" ht="12.75" hidden="1" customHeight="1">
      <c r="B1267" s="1" t="s">
        <v>2158</v>
      </c>
      <c r="C1267" s="22" t="s">
        <v>2161</v>
      </c>
      <c r="D1267" s="149" t="s">
        <v>1466</v>
      </c>
      <c r="E1267" s="86" t="s">
        <v>523</v>
      </c>
      <c r="F1267" s="85" t="s">
        <v>2080</v>
      </c>
      <c r="G1267" s="297" t="s">
        <v>987</v>
      </c>
      <c r="J1267" s="298" t="s">
        <v>286</v>
      </c>
      <c r="K1267" s="299" t="s">
        <v>2160</v>
      </c>
      <c r="L1267" s="3" t="s">
        <v>111</v>
      </c>
      <c r="M1267" s="51" t="str">
        <f t="shared" si="1549"/>
        <v>JD8G-9A322-BA</v>
      </c>
      <c r="O1267" s="89">
        <v>1</v>
      </c>
      <c r="P1267" s="89">
        <v>1</v>
      </c>
      <c r="Q1267" s="89">
        <v>1</v>
      </c>
      <c r="R1267" s="89">
        <v>1</v>
      </c>
      <c r="S1267" s="89">
        <v>0</v>
      </c>
      <c r="T1267" s="89">
        <v>0</v>
      </c>
      <c r="U1267" s="89">
        <v>1</v>
      </c>
      <c r="V1267" s="89">
        <v>0</v>
      </c>
      <c r="W1267" s="164">
        <f t="shared" si="1516"/>
        <v>0.72000000000000008</v>
      </c>
      <c r="Y1267" s="8">
        <v>-17.4509772194444</v>
      </c>
      <c r="Z1267" s="63">
        <v>-0.3</v>
      </c>
      <c r="AA1267" s="63">
        <v>-0.31</v>
      </c>
      <c r="AB1267" s="63">
        <v>-0.18</v>
      </c>
      <c r="AC1267" s="63"/>
      <c r="AD1267" s="8">
        <f t="shared" si="1559"/>
        <v>-18.2409772194444</v>
      </c>
      <c r="AE1267" s="2" t="s">
        <v>84</v>
      </c>
      <c r="AG1267" s="302">
        <v>-61200</v>
      </c>
      <c r="AH1267" s="302">
        <v>-61200</v>
      </c>
      <c r="AJ1267" s="300">
        <v>0</v>
      </c>
      <c r="AK1267" s="176">
        <v>0</v>
      </c>
      <c r="AM1267" s="22"/>
      <c r="AO1267" s="298" t="s">
        <v>286</v>
      </c>
      <c r="AP1267" s="297" t="s">
        <v>2160</v>
      </c>
      <c r="AQ1267" s="3" t="s">
        <v>111</v>
      </c>
      <c r="AR1267" s="90" t="str">
        <f>TRIM(AO1267)&amp;"-"&amp;TRIM(AP1267)&amp;"-"&amp;TRIM(AQ1267)</f>
        <v>JD8G-9A322-BA</v>
      </c>
      <c r="AT1267" s="89">
        <v>1</v>
      </c>
      <c r="AU1267" s="89">
        <v>1</v>
      </c>
      <c r="AV1267" s="89">
        <v>1</v>
      </c>
      <c r="AW1267" s="89">
        <v>1</v>
      </c>
      <c r="AX1267" s="89">
        <v>0</v>
      </c>
      <c r="AY1267" s="89">
        <v>0</v>
      </c>
      <c r="AZ1267" s="89">
        <v>1</v>
      </c>
      <c r="BA1267" s="89">
        <v>0</v>
      </c>
      <c r="BB1267" s="89">
        <f t="shared" si="1511"/>
        <v>0.72000000000000008</v>
      </c>
      <c r="BD1267" s="60">
        <v>-18.53</v>
      </c>
      <c r="BE1267" s="63">
        <v>0</v>
      </c>
      <c r="BF1267" s="63">
        <v>0</v>
      </c>
      <c r="BG1267" s="63">
        <v>0</v>
      </c>
      <c r="BH1267" s="63">
        <v>0</v>
      </c>
      <c r="BI1267" s="8">
        <f t="shared" si="1560"/>
        <v>-18.53</v>
      </c>
      <c r="BJ1267" s="2" t="s">
        <v>84</v>
      </c>
      <c r="BL1267" s="63">
        <v>-61200</v>
      </c>
      <c r="BM1267" s="63">
        <v>-61200</v>
      </c>
      <c r="BN1267" s="267"/>
      <c r="BO1267" s="63">
        <v>0</v>
      </c>
      <c r="BP1267" s="63">
        <v>0</v>
      </c>
      <c r="BQ1267" s="2">
        <v>0</v>
      </c>
      <c r="BS1267" s="61">
        <f t="shared" si="1551"/>
        <v>1.0790227805556007</v>
      </c>
      <c r="BT1267" s="61">
        <f t="shared" si="1552"/>
        <v>-0.3</v>
      </c>
      <c r="BU1267" s="61">
        <f t="shared" si="1553"/>
        <v>-0.31</v>
      </c>
      <c r="BV1267" s="61">
        <f t="shared" si="1553"/>
        <v>-0.18</v>
      </c>
      <c r="BW1267" s="61">
        <f t="shared" si="1553"/>
        <v>0</v>
      </c>
      <c r="BX1267" s="63">
        <f t="shared" si="1553"/>
        <v>0.2890227805556016</v>
      </c>
      <c r="BY1267" s="61" t="s">
        <v>91</v>
      </c>
      <c r="CA1267" s="61">
        <f t="shared" si="1546"/>
        <v>0.16233229736055374</v>
      </c>
      <c r="CB1267" s="61">
        <f t="shared" si="1546"/>
        <v>0.16233229736055374</v>
      </c>
      <c r="CC1267" s="61">
        <f t="shared" si="1546"/>
        <v>0.16233229736055374</v>
      </c>
      <c r="CD1267" s="61">
        <f t="shared" si="1546"/>
        <v>0.16233229736055374</v>
      </c>
      <c r="CE1267" s="61">
        <f t="shared" si="1479"/>
        <v>0</v>
      </c>
      <c r="CF1267" s="61">
        <f t="shared" si="1479"/>
        <v>0</v>
      </c>
      <c r="CG1267" s="61">
        <f t="shared" si="1479"/>
        <v>0.16233229736055374</v>
      </c>
      <c r="CH1267" s="61">
        <f t="shared" si="1479"/>
        <v>0</v>
      </c>
      <c r="CI1267" s="61">
        <f t="shared" si="1561"/>
        <v>0.11687925409959871</v>
      </c>
      <c r="CJ1267" s="267"/>
      <c r="CK1267" s="61">
        <f t="shared" si="1454"/>
        <v>4.348168806312646E-2</v>
      </c>
      <c r="CL1267" s="61">
        <f t="shared" si="1454"/>
        <v>4.348168806312646E-2</v>
      </c>
      <c r="CM1267" s="61">
        <f t="shared" si="1454"/>
        <v>4.348168806312646E-2</v>
      </c>
      <c r="CN1267" s="61">
        <f t="shared" si="1446"/>
        <v>4.348168806312646E-2</v>
      </c>
      <c r="CO1267" s="61">
        <f t="shared" si="1446"/>
        <v>0</v>
      </c>
      <c r="CP1267" s="61">
        <f t="shared" si="1446"/>
        <v>0</v>
      </c>
      <c r="CQ1267" s="61">
        <f t="shared" si="1446"/>
        <v>4.348168806312646E-2</v>
      </c>
      <c r="CR1267" s="61">
        <f t="shared" si="1446"/>
        <v>0</v>
      </c>
      <c r="CS1267" s="61">
        <f t="shared" si="1562"/>
        <v>3.1306815405451056E-2</v>
      </c>
      <c r="CT1267" s="63">
        <f t="shared" si="1425"/>
        <v>0.20809640200003318</v>
      </c>
      <c r="CU1267" s="73"/>
      <c r="CV1267" s="61">
        <f t="shared" si="1563"/>
        <v>0</v>
      </c>
      <c r="CW1267" s="61">
        <f t="shared" si="1564"/>
        <v>0</v>
      </c>
      <c r="CY1267" s="61">
        <f t="shared" si="1565"/>
        <v>0</v>
      </c>
      <c r="CZ1267" s="61">
        <f t="shared" si="1565"/>
        <v>0</v>
      </c>
      <c r="DA1267" s="61">
        <f t="shared" si="1565"/>
        <v>0</v>
      </c>
      <c r="DB1267" s="2" t="s">
        <v>86</v>
      </c>
      <c r="DC1267" s="2" t="s">
        <v>86</v>
      </c>
      <c r="DD1267" s="2" t="s">
        <v>87</v>
      </c>
      <c r="DE1267" s="2" t="s">
        <v>106</v>
      </c>
      <c r="DG1267" s="62"/>
      <c r="EC1267" s="60" t="str">
        <f>VLOOKUP($M1267,[1]Detail!$M:$BO,1,0)</f>
        <v>JD8G-9A322-BA</v>
      </c>
      <c r="ED1267" s="60">
        <f>VLOOKUP($M1267,[1]Detail!$M:$BO,22,0)</f>
        <v>-18.2409772194444</v>
      </c>
      <c r="EE1267" s="60">
        <f>VLOOKUP($M1267,[1]Detail!$M:$BO,42,0)</f>
        <v>-61200</v>
      </c>
      <c r="EF1267" s="60">
        <f>VLOOKUP($M1267,[1]Detail!$M:$BO,45,0)</f>
        <v>0</v>
      </c>
      <c r="EH1267" s="60">
        <f t="shared" si="1556"/>
        <v>0</v>
      </c>
      <c r="EI1267" s="60">
        <f t="shared" si="1557"/>
        <v>0</v>
      </c>
      <c r="EJ1267" s="60">
        <f t="shared" si="1558"/>
        <v>0</v>
      </c>
    </row>
    <row r="1268" spans="2:140" ht="12.75" hidden="1" customHeight="1">
      <c r="B1268" s="1" t="s">
        <v>2158</v>
      </c>
      <c r="C1268" s="22" t="s">
        <v>2159</v>
      </c>
      <c r="D1268" s="149" t="s">
        <v>1466</v>
      </c>
      <c r="E1268" s="86" t="s">
        <v>523</v>
      </c>
      <c r="F1268" s="85" t="s">
        <v>2080</v>
      </c>
      <c r="G1268" s="297" t="s">
        <v>987</v>
      </c>
      <c r="J1268" s="298" t="s">
        <v>286</v>
      </c>
      <c r="K1268" s="299" t="s">
        <v>2162</v>
      </c>
      <c r="L1268" s="3" t="s">
        <v>100</v>
      </c>
      <c r="M1268" s="51" t="str">
        <f t="shared" si="1549"/>
        <v>JD8G-9C047-AA</v>
      </c>
      <c r="O1268" s="89">
        <v>1</v>
      </c>
      <c r="P1268" s="89">
        <v>1</v>
      </c>
      <c r="Q1268" s="89">
        <v>1</v>
      </c>
      <c r="R1268" s="89">
        <v>1</v>
      </c>
      <c r="S1268" s="89">
        <v>1</v>
      </c>
      <c r="T1268" s="89">
        <v>1</v>
      </c>
      <c r="U1268" s="89">
        <v>1</v>
      </c>
      <c r="V1268" s="89">
        <v>1</v>
      </c>
      <c r="W1268" s="164">
        <f t="shared" si="1516"/>
        <v>1</v>
      </c>
      <c r="Y1268" s="8">
        <v>-17.718008919802902</v>
      </c>
      <c r="Z1268" s="63">
        <v>-0.5</v>
      </c>
      <c r="AA1268" s="63">
        <v>-0.5</v>
      </c>
      <c r="AB1268" s="63">
        <v>0</v>
      </c>
      <c r="AC1268" s="63">
        <v>-0.37</v>
      </c>
      <c r="AD1268" s="8">
        <f t="shared" si="1559"/>
        <v>-19.088008919802903</v>
      </c>
      <c r="AE1268" s="2" t="s">
        <v>84</v>
      </c>
      <c r="AG1268" s="302">
        <v>-141840</v>
      </c>
      <c r="AH1268" s="302">
        <v>-141840</v>
      </c>
      <c r="AJ1268" s="300">
        <v>0</v>
      </c>
      <c r="AK1268" s="176">
        <v>0</v>
      </c>
      <c r="AM1268" s="22"/>
      <c r="AO1268" s="298" t="s">
        <v>1460</v>
      </c>
      <c r="AP1268" s="297" t="s">
        <v>2162</v>
      </c>
      <c r="AQ1268" s="3" t="s">
        <v>132</v>
      </c>
      <c r="AR1268" s="90" t="str">
        <f t="shared" ref="AR1268:AR1372" si="1566">TRIM(AO1268)&amp;"-"&amp;TRIM(AP1268)&amp;"-"&amp;TRIM(AQ1268)</f>
        <v>ED8G-9C047-AB</v>
      </c>
      <c r="AT1268" s="89">
        <v>1</v>
      </c>
      <c r="AU1268" s="89">
        <v>1</v>
      </c>
      <c r="AV1268" s="89">
        <v>1</v>
      </c>
      <c r="AW1268" s="89">
        <v>1</v>
      </c>
      <c r="AX1268" s="89">
        <v>1</v>
      </c>
      <c r="AY1268" s="89">
        <v>1</v>
      </c>
      <c r="AZ1268" s="89">
        <v>1</v>
      </c>
      <c r="BA1268" s="89">
        <v>1</v>
      </c>
      <c r="BB1268" s="89">
        <f t="shared" si="1511"/>
        <v>1</v>
      </c>
      <c r="BD1268" s="60">
        <v>-16.89</v>
      </c>
      <c r="BE1268" s="63">
        <v>0</v>
      </c>
      <c r="BF1268" s="63">
        <v>0</v>
      </c>
      <c r="BG1268" s="63">
        <v>0</v>
      </c>
      <c r="BH1268" s="63">
        <v>0</v>
      </c>
      <c r="BI1268" s="8">
        <f t="shared" si="1560"/>
        <v>-16.89</v>
      </c>
      <c r="BJ1268" s="2" t="s">
        <v>84</v>
      </c>
      <c r="BL1268" s="63"/>
      <c r="BM1268" s="63">
        <v>0</v>
      </c>
      <c r="BN1268" s="267"/>
      <c r="BO1268" s="63">
        <v>0</v>
      </c>
      <c r="BP1268" s="63">
        <v>0</v>
      </c>
      <c r="BQ1268" s="2">
        <v>0</v>
      </c>
      <c r="BS1268" s="61">
        <f t="shared" si="1551"/>
        <v>-0.82800891980290103</v>
      </c>
      <c r="BT1268" s="61">
        <f t="shared" si="1552"/>
        <v>-0.5</v>
      </c>
      <c r="BU1268" s="61">
        <f t="shared" si="1553"/>
        <v>-0.5</v>
      </c>
      <c r="BV1268" s="61">
        <f t="shared" si="1553"/>
        <v>0</v>
      </c>
      <c r="BW1268" s="61">
        <f t="shared" si="1553"/>
        <v>-0.37</v>
      </c>
      <c r="BX1268" s="63">
        <f t="shared" si="1553"/>
        <v>-2.198008919802902</v>
      </c>
      <c r="BY1268" s="61" t="s">
        <v>91</v>
      </c>
      <c r="CA1268" s="61">
        <f t="shared" si="1546"/>
        <v>-0.12456881597756898</v>
      </c>
      <c r="CB1268" s="61">
        <f t="shared" si="1546"/>
        <v>-0.12456881597756898</v>
      </c>
      <c r="CC1268" s="61">
        <f t="shared" si="1546"/>
        <v>-0.12456881597756898</v>
      </c>
      <c r="CD1268" s="61">
        <f t="shared" si="1546"/>
        <v>-0.12456881597756898</v>
      </c>
      <c r="CE1268" s="61">
        <f t="shared" si="1479"/>
        <v>-0.12456881597756898</v>
      </c>
      <c r="CF1268" s="61">
        <f t="shared" si="1479"/>
        <v>-0.12456881597756898</v>
      </c>
      <c r="CG1268" s="61">
        <f t="shared" si="1479"/>
        <v>-0.12456881597756898</v>
      </c>
      <c r="CH1268" s="61">
        <f t="shared" si="1479"/>
        <v>-0.12456881597756898</v>
      </c>
      <c r="CI1268" s="61">
        <f t="shared" si="1561"/>
        <v>-0.124568815977569</v>
      </c>
      <c r="CJ1268" s="267"/>
      <c r="CK1268" s="61">
        <f t="shared" si="1454"/>
        <v>-0.33067683463260145</v>
      </c>
      <c r="CL1268" s="61">
        <f t="shared" si="1454"/>
        <v>-0.33067683463260145</v>
      </c>
      <c r="CM1268" s="61">
        <f t="shared" si="1454"/>
        <v>-0.33067683463260145</v>
      </c>
      <c r="CN1268" s="61">
        <f t="shared" si="1446"/>
        <v>-0.33067683463260145</v>
      </c>
      <c r="CO1268" s="61">
        <f t="shared" si="1446"/>
        <v>-0.33067683463260145</v>
      </c>
      <c r="CP1268" s="61">
        <f t="shared" si="1446"/>
        <v>-0.33067683463260145</v>
      </c>
      <c r="CQ1268" s="61">
        <f t="shared" si="1446"/>
        <v>-0.33067683463260145</v>
      </c>
      <c r="CR1268" s="61">
        <f t="shared" si="1446"/>
        <v>-0.33067683463260145</v>
      </c>
      <c r="CS1268" s="61">
        <f t="shared" si="1562"/>
        <v>-0.3306768346326015</v>
      </c>
      <c r="CT1268" s="63">
        <f t="shared" si="1425"/>
        <v>-2.1980089198029025</v>
      </c>
      <c r="CU1268" s="73"/>
      <c r="CV1268" s="61">
        <f t="shared" si="1563"/>
        <v>-141840</v>
      </c>
      <c r="CW1268" s="61">
        <f t="shared" si="1564"/>
        <v>-141840</v>
      </c>
      <c r="CY1268" s="61">
        <f t="shared" si="1565"/>
        <v>0</v>
      </c>
      <c r="CZ1268" s="61">
        <f t="shared" si="1565"/>
        <v>0</v>
      </c>
      <c r="DA1268" s="61">
        <f t="shared" si="1565"/>
        <v>0</v>
      </c>
      <c r="DB1268" s="2" t="s">
        <v>85</v>
      </c>
      <c r="DC1268" s="2" t="s">
        <v>86</v>
      </c>
      <c r="DD1268" s="2" t="s">
        <v>87</v>
      </c>
      <c r="DE1268" s="2" t="s">
        <v>106</v>
      </c>
      <c r="DG1268" s="62"/>
      <c r="EC1268" s="60"/>
      <c r="ED1268" s="60"/>
      <c r="EE1268" s="60"/>
      <c r="EF1268" s="60"/>
    </row>
    <row r="1269" spans="2:140" ht="12.75" hidden="1" customHeight="1">
      <c r="B1269" s="1" t="s">
        <v>1461</v>
      </c>
      <c r="C1269" s="22" t="s">
        <v>2159</v>
      </c>
      <c r="D1269" s="149" t="s">
        <v>1466</v>
      </c>
      <c r="E1269" s="86" t="s">
        <v>523</v>
      </c>
      <c r="F1269" s="85" t="s">
        <v>2080</v>
      </c>
      <c r="G1269" s="297" t="s">
        <v>987</v>
      </c>
      <c r="J1269" s="298" t="s">
        <v>286</v>
      </c>
      <c r="K1269" s="299" t="s">
        <v>2162</v>
      </c>
      <c r="L1269" s="3" t="s">
        <v>132</v>
      </c>
      <c r="M1269" s="51" t="str">
        <f t="shared" si="1549"/>
        <v>JD8G-9C047-AB</v>
      </c>
      <c r="O1269" s="89">
        <v>1</v>
      </c>
      <c r="P1269" s="89">
        <v>1</v>
      </c>
      <c r="Q1269" s="89">
        <v>1</v>
      </c>
      <c r="R1269" s="89">
        <v>1</v>
      </c>
      <c r="S1269" s="89">
        <v>1</v>
      </c>
      <c r="T1269" s="89">
        <v>1</v>
      </c>
      <c r="U1269" s="89">
        <v>1</v>
      </c>
      <c r="V1269" s="89">
        <v>1</v>
      </c>
      <c r="W1269" s="164">
        <f t="shared" si="1516"/>
        <v>1</v>
      </c>
      <c r="Y1269" s="8">
        <f>-2.38-16.89+0.07</f>
        <v>-19.2</v>
      </c>
      <c r="Z1269" s="63">
        <v>0</v>
      </c>
      <c r="AA1269" s="63">
        <v>0</v>
      </c>
      <c r="AB1269" s="63">
        <v>0</v>
      </c>
      <c r="AC1269" s="63">
        <v>0</v>
      </c>
      <c r="AD1269" s="8">
        <f t="shared" ref="AD1269" si="1567">SUM(Y1269:AC1269)</f>
        <v>-19.2</v>
      </c>
      <c r="AE1269" s="2" t="s">
        <v>84</v>
      </c>
      <c r="AG1269" s="300">
        <f>-141840</f>
        <v>-141840</v>
      </c>
      <c r="AH1269" s="300">
        <f>-141840</f>
        <v>-141840</v>
      </c>
      <c r="AJ1269" s="300">
        <v>0</v>
      </c>
      <c r="AK1269" s="176">
        <v>0</v>
      </c>
      <c r="AM1269" s="22"/>
      <c r="AO1269" s="298" t="s">
        <v>286</v>
      </c>
      <c r="AP1269" s="297" t="s">
        <v>2162</v>
      </c>
      <c r="AQ1269" s="3" t="s">
        <v>100</v>
      </c>
      <c r="AR1269" s="90" t="str">
        <f t="shared" si="1566"/>
        <v>JD8G-9C047-AA</v>
      </c>
      <c r="AT1269" s="89">
        <v>1</v>
      </c>
      <c r="AU1269" s="89">
        <v>1</v>
      </c>
      <c r="AV1269" s="89">
        <v>1</v>
      </c>
      <c r="AW1269" s="89">
        <v>1</v>
      </c>
      <c r="AX1269" s="89">
        <v>1</v>
      </c>
      <c r="AY1269" s="89">
        <v>1</v>
      </c>
      <c r="AZ1269" s="89">
        <v>1</v>
      </c>
      <c r="BA1269" s="89">
        <v>1</v>
      </c>
      <c r="BB1269" s="89">
        <f t="shared" si="1511"/>
        <v>1</v>
      </c>
      <c r="BD1269" s="60">
        <f>-2.38-16.89</f>
        <v>-19.27</v>
      </c>
      <c r="BE1269" s="63">
        <v>0</v>
      </c>
      <c r="BF1269" s="63">
        <v>0</v>
      </c>
      <c r="BG1269" s="63">
        <v>0</v>
      </c>
      <c r="BH1269" s="63">
        <v>0</v>
      </c>
      <c r="BI1269" s="8">
        <f t="shared" ref="BI1269" si="1568">SUM(BD1269:BH1269)</f>
        <v>-19.27</v>
      </c>
      <c r="BJ1269" s="2" t="s">
        <v>84</v>
      </c>
      <c r="BL1269" s="63">
        <v>-141840</v>
      </c>
      <c r="BM1269" s="63">
        <v>-141840</v>
      </c>
      <c r="BN1269" s="267"/>
      <c r="BO1269" s="63">
        <v>0</v>
      </c>
      <c r="BP1269" s="63">
        <v>0</v>
      </c>
      <c r="BQ1269" s="2">
        <v>0</v>
      </c>
      <c r="BS1269" s="61">
        <f t="shared" si="1551"/>
        <v>7.0000000000000284E-2</v>
      </c>
      <c r="BT1269" s="61">
        <f t="shared" si="1552"/>
        <v>0</v>
      </c>
      <c r="BU1269" s="61">
        <f t="shared" si="1553"/>
        <v>0</v>
      </c>
      <c r="BV1269" s="61">
        <f t="shared" si="1553"/>
        <v>0</v>
      </c>
      <c r="BW1269" s="61">
        <f t="shared" si="1553"/>
        <v>0</v>
      </c>
      <c r="BX1269" s="63">
        <f t="shared" si="1553"/>
        <v>7.0000000000000284E-2</v>
      </c>
      <c r="BY1269" s="61" t="s">
        <v>91</v>
      </c>
      <c r="CA1269" s="61">
        <f t="shared" si="1546"/>
        <v>1.0531066646607535E-2</v>
      </c>
      <c r="CB1269" s="61">
        <f t="shared" si="1546"/>
        <v>1.0531066646607535E-2</v>
      </c>
      <c r="CC1269" s="61">
        <f t="shared" si="1546"/>
        <v>1.0531066646607535E-2</v>
      </c>
      <c r="CD1269" s="61">
        <f t="shared" si="1546"/>
        <v>1.0531066646607535E-2</v>
      </c>
      <c r="CE1269" s="61">
        <f t="shared" si="1479"/>
        <v>1.0531066646607535E-2</v>
      </c>
      <c r="CF1269" s="61">
        <f t="shared" si="1479"/>
        <v>1.0531066646607535E-2</v>
      </c>
      <c r="CG1269" s="61">
        <f t="shared" si="1479"/>
        <v>1.0531066646607535E-2</v>
      </c>
      <c r="CH1269" s="61">
        <f t="shared" si="1479"/>
        <v>1.0531066646607535E-2</v>
      </c>
      <c r="CI1269" s="61">
        <f t="shared" si="1561"/>
        <v>1.0531066646607537E-2</v>
      </c>
      <c r="CJ1269" s="267"/>
      <c r="CK1269" s="61">
        <f t="shared" si="1454"/>
        <v>1.0531066646607535E-2</v>
      </c>
      <c r="CL1269" s="61">
        <f t="shared" si="1454"/>
        <v>1.0531066646607535E-2</v>
      </c>
      <c r="CM1269" s="61">
        <f t="shared" si="1454"/>
        <v>1.0531066646607535E-2</v>
      </c>
      <c r="CN1269" s="61">
        <f t="shared" si="1446"/>
        <v>1.0531066646607535E-2</v>
      </c>
      <c r="CO1269" s="61">
        <f t="shared" si="1446"/>
        <v>1.0531066646607535E-2</v>
      </c>
      <c r="CP1269" s="61">
        <f t="shared" si="1446"/>
        <v>1.0531066646607535E-2</v>
      </c>
      <c r="CQ1269" s="61">
        <f t="shared" si="1446"/>
        <v>1.0531066646607535E-2</v>
      </c>
      <c r="CR1269" s="61">
        <f t="shared" si="1446"/>
        <v>1.0531066646607535E-2</v>
      </c>
      <c r="CS1269" s="61">
        <f t="shared" si="1562"/>
        <v>1.0531066646607537E-2</v>
      </c>
      <c r="CT1269" s="63">
        <f t="shared" ref="CT1269:CT1332" si="1569">CS1269*$C$2</f>
        <v>7.0000000000000298E-2</v>
      </c>
      <c r="CU1269" s="73"/>
      <c r="CV1269" s="61">
        <f t="shared" ref="CV1269" si="1570">SUM(AG1269)-SUM(BL1269)</f>
        <v>0</v>
      </c>
      <c r="CW1269" s="61">
        <f t="shared" ref="CW1269" si="1571">SUM(AH1269)-SUM(BM1269)</f>
        <v>0</v>
      </c>
      <c r="CY1269" s="61">
        <f t="shared" si="1565"/>
        <v>0</v>
      </c>
      <c r="CZ1269" s="61">
        <f t="shared" si="1565"/>
        <v>0</v>
      </c>
      <c r="DA1269" s="61">
        <f t="shared" si="1565"/>
        <v>0</v>
      </c>
      <c r="DB1269" s="2" t="s">
        <v>86</v>
      </c>
      <c r="DC1269" s="2" t="s">
        <v>85</v>
      </c>
      <c r="DD1269" s="2" t="s">
        <v>87</v>
      </c>
      <c r="DE1269" s="2" t="s">
        <v>106</v>
      </c>
      <c r="DF1269" s="3" t="s">
        <v>86</v>
      </c>
      <c r="DG1269" s="62" t="s">
        <v>929</v>
      </c>
      <c r="EC1269" s="60" t="str">
        <f>VLOOKUP($M1269,[1]Detail!$M:$BO,1,0)</f>
        <v>JD8G-9C047-AB</v>
      </c>
      <c r="ED1269" s="60">
        <f>VLOOKUP($M1269,[1]Detail!$M:$BO,22,0)</f>
        <v>-19.2</v>
      </c>
      <c r="EE1269" s="60">
        <f>VLOOKUP($M1269,[1]Detail!$M:$BO,42,0)</f>
        <v>-141840</v>
      </c>
      <c r="EF1269" s="60">
        <f>VLOOKUP($M1269,[1]Detail!$M:$BO,45,0)</f>
        <v>0</v>
      </c>
      <c r="EH1269" s="60">
        <f>ED1269-AD1269</f>
        <v>0</v>
      </c>
      <c r="EI1269" s="60">
        <f>EE1269-AG1269</f>
        <v>0</v>
      </c>
      <c r="EJ1269" s="60">
        <f>EF1269-AJ1269</f>
        <v>0</v>
      </c>
    </row>
    <row r="1270" spans="2:140" ht="12.75" hidden="1" customHeight="1">
      <c r="B1270" s="1" t="s">
        <v>2158</v>
      </c>
      <c r="C1270" s="22" t="s">
        <v>2159</v>
      </c>
      <c r="D1270" s="149" t="s">
        <v>1466</v>
      </c>
      <c r="E1270" s="86" t="s">
        <v>523</v>
      </c>
      <c r="F1270" s="85" t="s">
        <v>2080</v>
      </c>
      <c r="G1270" s="297" t="s">
        <v>987</v>
      </c>
      <c r="J1270" s="298" t="s">
        <v>286</v>
      </c>
      <c r="K1270" s="299" t="s">
        <v>2163</v>
      </c>
      <c r="L1270" s="3" t="s">
        <v>111</v>
      </c>
      <c r="M1270" s="51" t="str">
        <f t="shared" si="1549"/>
        <v>JD8G-9D289-BA</v>
      </c>
      <c r="O1270" s="89">
        <v>0</v>
      </c>
      <c r="P1270" s="89">
        <v>0</v>
      </c>
      <c r="Q1270" s="89">
        <v>0</v>
      </c>
      <c r="R1270" s="89">
        <v>0</v>
      </c>
      <c r="S1270" s="89">
        <v>1</v>
      </c>
      <c r="T1270" s="89">
        <v>1</v>
      </c>
      <c r="U1270" s="89">
        <v>0</v>
      </c>
      <c r="V1270" s="89">
        <v>1</v>
      </c>
      <c r="W1270" s="164">
        <f t="shared" si="1516"/>
        <v>0.28000000000000003</v>
      </c>
      <c r="Y1270" s="8">
        <f>-68.07-60.49</f>
        <v>-128.56</v>
      </c>
      <c r="Z1270" s="63">
        <v>0</v>
      </c>
      <c r="AA1270" s="63">
        <v>0</v>
      </c>
      <c r="AB1270" s="63">
        <v>0</v>
      </c>
      <c r="AC1270" s="63">
        <v>-2.9767116907312499</v>
      </c>
      <c r="AD1270" s="8">
        <f t="shared" si="1559"/>
        <v>-131.53671169073124</v>
      </c>
      <c r="AE1270" s="2" t="s">
        <v>84</v>
      </c>
      <c r="AG1270" s="302">
        <v>-390240</v>
      </c>
      <c r="AH1270" s="302">
        <v>-390240</v>
      </c>
      <c r="AJ1270" s="300">
        <v>0</v>
      </c>
      <c r="AK1270" s="176">
        <v>0</v>
      </c>
      <c r="AM1270" s="22"/>
      <c r="AO1270" s="298" t="s">
        <v>1460</v>
      </c>
      <c r="AP1270" s="297" t="s">
        <v>2163</v>
      </c>
      <c r="AQ1270" s="3" t="s">
        <v>234</v>
      </c>
      <c r="AR1270" s="90" t="str">
        <f t="shared" si="1566"/>
        <v>ED8G-9D289-AC</v>
      </c>
      <c r="AT1270" s="89">
        <v>0</v>
      </c>
      <c r="AU1270" s="89">
        <v>0</v>
      </c>
      <c r="AV1270" s="89">
        <v>0</v>
      </c>
      <c r="AW1270" s="89">
        <v>0</v>
      </c>
      <c r="AX1270" s="89">
        <v>1</v>
      </c>
      <c r="AY1270" s="89">
        <v>1</v>
      </c>
      <c r="AZ1270" s="89">
        <v>0</v>
      </c>
      <c r="BA1270" s="89">
        <v>1</v>
      </c>
      <c r="BB1270" s="89">
        <f t="shared" si="1511"/>
        <v>0.28000000000000003</v>
      </c>
      <c r="BD1270" s="60">
        <v>-60.49</v>
      </c>
      <c r="BE1270" s="63">
        <v>0</v>
      </c>
      <c r="BF1270" s="63">
        <v>0</v>
      </c>
      <c r="BG1270" s="63">
        <v>0</v>
      </c>
      <c r="BH1270" s="63">
        <v>0</v>
      </c>
      <c r="BI1270" s="8">
        <f t="shared" si="1560"/>
        <v>-60.49</v>
      </c>
      <c r="BJ1270" s="2" t="s">
        <v>84</v>
      </c>
      <c r="BL1270" s="63"/>
      <c r="BM1270" s="63">
        <v>0</v>
      </c>
      <c r="BN1270" s="267"/>
      <c r="BO1270" s="63">
        <v>0</v>
      </c>
      <c r="BP1270" s="63">
        <v>0</v>
      </c>
      <c r="BQ1270" s="2">
        <v>0</v>
      </c>
      <c r="BS1270" s="61">
        <f t="shared" si="1551"/>
        <v>-68.069999999999993</v>
      </c>
      <c r="BT1270" s="61">
        <f t="shared" si="1552"/>
        <v>0</v>
      </c>
      <c r="BU1270" s="61">
        <f t="shared" si="1553"/>
        <v>0</v>
      </c>
      <c r="BV1270" s="61">
        <f t="shared" si="1553"/>
        <v>0</v>
      </c>
      <c r="BW1270" s="61">
        <f t="shared" si="1553"/>
        <v>-2.9767116907312499</v>
      </c>
      <c r="BX1270" s="63">
        <f t="shared" si="1553"/>
        <v>-71.046711690731229</v>
      </c>
      <c r="BY1270" s="61" t="s">
        <v>91</v>
      </c>
      <c r="CA1270" s="61">
        <f t="shared" si="1546"/>
        <v>0</v>
      </c>
      <c r="CB1270" s="61">
        <f t="shared" si="1546"/>
        <v>0</v>
      </c>
      <c r="CC1270" s="61">
        <f t="shared" si="1546"/>
        <v>0</v>
      </c>
      <c r="CD1270" s="61">
        <f t="shared" si="1546"/>
        <v>0</v>
      </c>
      <c r="CE1270" s="61">
        <f t="shared" si="1479"/>
        <v>-10.240710094779599</v>
      </c>
      <c r="CF1270" s="61">
        <f t="shared" si="1479"/>
        <v>-10.240710094779599</v>
      </c>
      <c r="CG1270" s="61">
        <f t="shared" si="1479"/>
        <v>0</v>
      </c>
      <c r="CH1270" s="61">
        <f t="shared" si="1479"/>
        <v>-10.240710094779599</v>
      </c>
      <c r="CI1270" s="61">
        <f t="shared" si="1561"/>
        <v>-2.8673988265382877</v>
      </c>
      <c r="CJ1270" s="267"/>
      <c r="CK1270" s="61">
        <f t="shared" si="1454"/>
        <v>0</v>
      </c>
      <c r="CL1270" s="61">
        <f t="shared" si="1454"/>
        <v>0</v>
      </c>
      <c r="CM1270" s="61">
        <f t="shared" si="1454"/>
        <v>0</v>
      </c>
      <c r="CN1270" s="61">
        <f t="shared" si="1446"/>
        <v>0</v>
      </c>
      <c r="CO1270" s="61">
        <f t="shared" si="1446"/>
        <v>-10.68853794053426</v>
      </c>
      <c r="CP1270" s="61">
        <f t="shared" si="1446"/>
        <v>-10.68853794053426</v>
      </c>
      <c r="CQ1270" s="61">
        <f t="shared" si="1446"/>
        <v>0</v>
      </c>
      <c r="CR1270" s="61">
        <f t="shared" si="1446"/>
        <v>-10.68853794053426</v>
      </c>
      <c r="CS1270" s="61">
        <f t="shared" si="1562"/>
        <v>-2.9927906233495931</v>
      </c>
      <c r="CT1270" s="63">
        <f t="shared" si="1569"/>
        <v>-19.893079273404748</v>
      </c>
      <c r="CU1270" s="73"/>
      <c r="CV1270" s="61">
        <f t="shared" si="1563"/>
        <v>-390240</v>
      </c>
      <c r="CW1270" s="61">
        <f t="shared" si="1564"/>
        <v>-390240</v>
      </c>
      <c r="CY1270" s="61">
        <f t="shared" si="1565"/>
        <v>0</v>
      </c>
      <c r="CZ1270" s="61">
        <f t="shared" si="1565"/>
        <v>0</v>
      </c>
      <c r="DA1270" s="61">
        <f t="shared" si="1565"/>
        <v>0</v>
      </c>
      <c r="DB1270" s="2" t="s">
        <v>85</v>
      </c>
      <c r="DC1270" s="2" t="s">
        <v>86</v>
      </c>
      <c r="DD1270" s="2" t="s">
        <v>87</v>
      </c>
      <c r="DE1270" s="2" t="s">
        <v>106</v>
      </c>
      <c r="DG1270" s="62"/>
      <c r="EC1270" s="60"/>
      <c r="ED1270" s="60"/>
      <c r="EE1270" s="60"/>
      <c r="EF1270" s="60"/>
    </row>
    <row r="1271" spans="2:140" ht="12.75" hidden="1" customHeight="1">
      <c r="B1271" s="1" t="s">
        <v>2158</v>
      </c>
      <c r="C1271" s="22" t="s">
        <v>2159</v>
      </c>
      <c r="D1271" s="149" t="s">
        <v>1466</v>
      </c>
      <c r="E1271" s="86" t="s">
        <v>523</v>
      </c>
      <c r="F1271" s="85" t="s">
        <v>2080</v>
      </c>
      <c r="G1271" s="297" t="s">
        <v>987</v>
      </c>
      <c r="J1271" s="298" t="s">
        <v>286</v>
      </c>
      <c r="K1271" s="299" t="s">
        <v>2163</v>
      </c>
      <c r="L1271" s="3" t="s">
        <v>100</v>
      </c>
      <c r="M1271" s="51" t="str">
        <f t="shared" si="1549"/>
        <v>JD8G-9D289-AA</v>
      </c>
      <c r="O1271" s="89">
        <v>1</v>
      </c>
      <c r="P1271" s="89">
        <v>1</v>
      </c>
      <c r="Q1271" s="89">
        <v>1</v>
      </c>
      <c r="R1271" s="89">
        <v>1</v>
      </c>
      <c r="S1271" s="89">
        <v>0</v>
      </c>
      <c r="T1271" s="89">
        <v>0</v>
      </c>
      <c r="U1271" s="89">
        <v>1</v>
      </c>
      <c r="V1271" s="89">
        <v>0</v>
      </c>
      <c r="W1271" s="164">
        <f t="shared" si="1516"/>
        <v>0.72000000000000008</v>
      </c>
      <c r="Y1271" s="8">
        <f ca="1">AD1271-AC1271</f>
        <v>-52.68</v>
      </c>
      <c r="Z1271" s="63">
        <v>0</v>
      </c>
      <c r="AA1271" s="63">
        <v>0</v>
      </c>
      <c r="AB1271" s="63">
        <v>0</v>
      </c>
      <c r="AC1271" s="63">
        <v>-0.28000000000000003</v>
      </c>
      <c r="AD1271" s="8">
        <f ca="1">SUM(Y1271:AC1271)</f>
        <v>-52.96</v>
      </c>
      <c r="AE1271" s="2" t="s">
        <v>84</v>
      </c>
      <c r="AG1271" s="302">
        <v>-131400</v>
      </c>
      <c r="AH1271" s="302">
        <v>-131400</v>
      </c>
      <c r="AJ1271" s="300">
        <v>0</v>
      </c>
      <c r="AK1271" s="176">
        <v>0</v>
      </c>
      <c r="AM1271" s="22"/>
      <c r="AO1271" s="298" t="s">
        <v>286</v>
      </c>
      <c r="AP1271" s="297" t="s">
        <v>2163</v>
      </c>
      <c r="AQ1271" s="3" t="s">
        <v>100</v>
      </c>
      <c r="AR1271" s="90" t="str">
        <f>TRIM(AO1271)&amp;"-"&amp;TRIM(AP1271)&amp;"-"&amp;TRIM(AQ1271)</f>
        <v>JD8G-9D289-AA</v>
      </c>
      <c r="AT1271" s="89">
        <v>1</v>
      </c>
      <c r="AU1271" s="89">
        <v>1</v>
      </c>
      <c r="AV1271" s="89">
        <v>1</v>
      </c>
      <c r="AW1271" s="89">
        <v>1</v>
      </c>
      <c r="AX1271" s="89">
        <v>0</v>
      </c>
      <c r="AY1271" s="89">
        <v>0</v>
      </c>
      <c r="AZ1271" s="89">
        <v>1</v>
      </c>
      <c r="BA1271" s="89">
        <v>0</v>
      </c>
      <c r="BB1271" s="89">
        <f t="shared" si="1511"/>
        <v>0.72000000000000008</v>
      </c>
      <c r="BD1271" s="60">
        <v>-52.96</v>
      </c>
      <c r="BE1271" s="63">
        <v>0</v>
      </c>
      <c r="BF1271" s="63">
        <v>0</v>
      </c>
      <c r="BG1271" s="63">
        <v>0</v>
      </c>
      <c r="BH1271" s="63">
        <v>0</v>
      </c>
      <c r="BI1271" s="8">
        <f>SUM(BD1271:BH1271)</f>
        <v>-52.96</v>
      </c>
      <c r="BJ1271" s="2" t="s">
        <v>84</v>
      </c>
      <c r="BL1271" s="302">
        <v>-131400</v>
      </c>
      <c r="BM1271" s="302">
        <v>-131400</v>
      </c>
      <c r="BN1271" s="267"/>
      <c r="BO1271" s="63">
        <v>0</v>
      </c>
      <c r="BP1271" s="63">
        <v>0</v>
      </c>
      <c r="BQ1271" s="2">
        <v>0</v>
      </c>
      <c r="BS1271" s="61">
        <f t="shared" ca="1" si="1551"/>
        <v>0.28000000000000114</v>
      </c>
      <c r="BT1271" s="61">
        <f t="shared" si="1552"/>
        <v>0</v>
      </c>
      <c r="BU1271" s="61">
        <f t="shared" si="1553"/>
        <v>0</v>
      </c>
      <c r="BV1271" s="61">
        <f t="shared" si="1553"/>
        <v>0</v>
      </c>
      <c r="BW1271" s="61">
        <f t="shared" si="1553"/>
        <v>-0.28000000000000003</v>
      </c>
      <c r="BX1271" s="63">
        <f t="shared" ca="1" si="1553"/>
        <v>0</v>
      </c>
      <c r="BY1271" s="61" t="s">
        <v>91</v>
      </c>
      <c r="CA1271" s="61">
        <f t="shared" ca="1" si="1546"/>
        <v>4.2124266586430141E-2</v>
      </c>
      <c r="CB1271" s="61">
        <f t="shared" ca="1" si="1546"/>
        <v>4.2124266586430141E-2</v>
      </c>
      <c r="CC1271" s="61">
        <f t="shared" ca="1" si="1546"/>
        <v>4.2124266586430141E-2</v>
      </c>
      <c r="CD1271" s="61">
        <f t="shared" ca="1" si="1546"/>
        <v>4.2124266586430141E-2</v>
      </c>
      <c r="CE1271" s="61">
        <f t="shared" ca="1" si="1479"/>
        <v>0</v>
      </c>
      <c r="CF1271" s="61">
        <f t="shared" ca="1" si="1479"/>
        <v>0</v>
      </c>
      <c r="CG1271" s="61">
        <f t="shared" ca="1" si="1479"/>
        <v>4.2124266586430141E-2</v>
      </c>
      <c r="CH1271" s="61">
        <f t="shared" ca="1" si="1479"/>
        <v>0</v>
      </c>
      <c r="CI1271" s="61">
        <f t="shared" ca="1" si="1561"/>
        <v>3.0329471942229704E-2</v>
      </c>
      <c r="CJ1271" s="267"/>
      <c r="CK1271" s="61">
        <f t="shared" ca="1" si="1454"/>
        <v>0</v>
      </c>
      <c r="CL1271" s="61">
        <f t="shared" ca="1" si="1454"/>
        <v>0</v>
      </c>
      <c r="CM1271" s="61">
        <f t="shared" ca="1" si="1454"/>
        <v>0</v>
      </c>
      <c r="CN1271" s="61">
        <f t="shared" ca="1" si="1446"/>
        <v>0</v>
      </c>
      <c r="CO1271" s="61">
        <f t="shared" ca="1" si="1446"/>
        <v>0</v>
      </c>
      <c r="CP1271" s="61">
        <f t="shared" ca="1" si="1446"/>
        <v>0</v>
      </c>
      <c r="CQ1271" s="61">
        <f t="shared" ca="1" si="1446"/>
        <v>0</v>
      </c>
      <c r="CR1271" s="61">
        <f t="shared" ca="1" si="1446"/>
        <v>0</v>
      </c>
      <c r="CS1271" s="61">
        <f t="shared" ca="1" si="1562"/>
        <v>0</v>
      </c>
      <c r="CT1271" s="63">
        <f t="shared" ca="1" si="1569"/>
        <v>0</v>
      </c>
      <c r="CU1271" s="73"/>
      <c r="CV1271" s="61">
        <f>SUM(AG1271)-SUM(BL1271)</f>
        <v>0</v>
      </c>
      <c r="CW1271" s="61">
        <f>SUM(AH1271)-SUM(BM1271)</f>
        <v>0</v>
      </c>
      <c r="CY1271" s="61">
        <f>SUM(AJ1271)-SUM(BO1271)</f>
        <v>0</v>
      </c>
      <c r="CZ1271" s="61">
        <f>SUM(AK1271)-SUM(BP1271)</f>
        <v>0</v>
      </c>
      <c r="DA1271" s="61">
        <f>SUM(AL1271)-SUM(BQ1271)</f>
        <v>0</v>
      </c>
      <c r="DB1271" s="2" t="s">
        <v>85</v>
      </c>
      <c r="DC1271" s="2" t="s">
        <v>86</v>
      </c>
      <c r="DD1271" s="2" t="s">
        <v>87</v>
      </c>
      <c r="DE1271" s="2" t="s">
        <v>106</v>
      </c>
      <c r="DG1271" s="62"/>
      <c r="EC1271" s="60"/>
      <c r="ED1271" s="60"/>
      <c r="EE1271" s="60"/>
      <c r="EF1271" s="60"/>
    </row>
    <row r="1272" spans="2:140" ht="12.75" hidden="1" customHeight="1">
      <c r="B1272" s="1" t="s">
        <v>2164</v>
      </c>
      <c r="C1272" s="22" t="s">
        <v>2159</v>
      </c>
      <c r="D1272" s="149" t="s">
        <v>1466</v>
      </c>
      <c r="E1272" s="86" t="s">
        <v>523</v>
      </c>
      <c r="F1272" s="85" t="s">
        <v>2080</v>
      </c>
      <c r="G1272" s="297" t="s">
        <v>987</v>
      </c>
      <c r="J1272" s="298" t="s">
        <v>286</v>
      </c>
      <c r="K1272" s="299" t="s">
        <v>2163</v>
      </c>
      <c r="L1272" s="3" t="s">
        <v>120</v>
      </c>
      <c r="M1272" s="51" t="str">
        <f t="shared" si="1549"/>
        <v>JD8G-9D289-BB</v>
      </c>
      <c r="O1272" s="89">
        <v>0</v>
      </c>
      <c r="P1272" s="89">
        <v>0</v>
      </c>
      <c r="Q1272" s="89">
        <v>0</v>
      </c>
      <c r="R1272" s="89">
        <v>0</v>
      </c>
      <c r="S1272" s="89">
        <v>1</v>
      </c>
      <c r="T1272" s="89">
        <v>1</v>
      </c>
      <c r="U1272" s="89">
        <v>0</v>
      </c>
      <c r="V1272" s="89">
        <v>1</v>
      </c>
      <c r="W1272" s="164">
        <f t="shared" si="1516"/>
        <v>0.28000000000000003</v>
      </c>
      <c r="Y1272" s="8">
        <f>-68.07-60.49</f>
        <v>-128.56</v>
      </c>
      <c r="Z1272" s="63">
        <v>0</v>
      </c>
      <c r="AA1272" s="63">
        <v>0</v>
      </c>
      <c r="AB1272" s="63">
        <v>0</v>
      </c>
      <c r="AC1272" s="63">
        <v>0</v>
      </c>
      <c r="AD1272" s="8">
        <f t="shared" ref="AD1272" si="1572">SUM(Y1272:AC1272)</f>
        <v>-128.56</v>
      </c>
      <c r="AE1272" s="2" t="s">
        <v>84</v>
      </c>
      <c r="AG1272" s="300">
        <v>-390240</v>
      </c>
      <c r="AH1272" s="300">
        <v>-390240</v>
      </c>
      <c r="AJ1272" s="300">
        <v>0</v>
      </c>
      <c r="AK1272" s="176">
        <v>0</v>
      </c>
      <c r="AM1272" s="22"/>
      <c r="AO1272" s="298" t="s">
        <v>286</v>
      </c>
      <c r="AP1272" s="297" t="s">
        <v>2163</v>
      </c>
      <c r="AQ1272" s="3" t="s">
        <v>111</v>
      </c>
      <c r="AR1272" s="90" t="str">
        <f t="shared" si="1566"/>
        <v>JD8G-9D289-BA</v>
      </c>
      <c r="AT1272" s="89">
        <v>0</v>
      </c>
      <c r="AU1272" s="89">
        <v>0</v>
      </c>
      <c r="AV1272" s="89">
        <v>0</v>
      </c>
      <c r="AW1272" s="89">
        <v>0</v>
      </c>
      <c r="AX1272" s="89">
        <v>1</v>
      </c>
      <c r="AY1272" s="89">
        <v>1</v>
      </c>
      <c r="AZ1272" s="89">
        <v>0</v>
      </c>
      <c r="BA1272" s="89">
        <v>1</v>
      </c>
      <c r="BB1272" s="89">
        <f t="shared" si="1511"/>
        <v>0.28000000000000003</v>
      </c>
      <c r="BD1272" s="60">
        <f>-68.07-60.49</f>
        <v>-128.56</v>
      </c>
      <c r="BE1272" s="63">
        <v>0</v>
      </c>
      <c r="BF1272" s="63">
        <v>0</v>
      </c>
      <c r="BG1272" s="63">
        <v>0</v>
      </c>
      <c r="BH1272" s="63">
        <v>0</v>
      </c>
      <c r="BI1272" s="8">
        <f t="shared" ref="BI1272" si="1573">SUM(BD1272:BH1272)</f>
        <v>-128.56</v>
      </c>
      <c r="BJ1272" s="2" t="s">
        <v>84</v>
      </c>
      <c r="BL1272" s="63">
        <v>-390240</v>
      </c>
      <c r="BM1272" s="63">
        <v>-390240</v>
      </c>
      <c r="BN1272" s="267"/>
      <c r="BO1272" s="63">
        <v>0</v>
      </c>
      <c r="BP1272" s="63">
        <v>0</v>
      </c>
      <c r="BQ1272" s="2">
        <v>0</v>
      </c>
      <c r="BS1272" s="61">
        <f t="shared" si="1551"/>
        <v>0</v>
      </c>
      <c r="BT1272" s="61">
        <f t="shared" si="1552"/>
        <v>0</v>
      </c>
      <c r="BU1272" s="61">
        <f t="shared" si="1553"/>
        <v>0</v>
      </c>
      <c r="BV1272" s="61">
        <f t="shared" si="1553"/>
        <v>0</v>
      </c>
      <c r="BW1272" s="61">
        <f t="shared" si="1553"/>
        <v>0</v>
      </c>
      <c r="BX1272" s="63">
        <f t="shared" si="1553"/>
        <v>0</v>
      </c>
      <c r="BY1272" s="61" t="s">
        <v>91</v>
      </c>
      <c r="CA1272" s="61">
        <f t="shared" si="1546"/>
        <v>0</v>
      </c>
      <c r="CB1272" s="61">
        <f t="shared" si="1546"/>
        <v>0</v>
      </c>
      <c r="CC1272" s="61">
        <f t="shared" si="1546"/>
        <v>0</v>
      </c>
      <c r="CD1272" s="61">
        <f t="shared" si="1546"/>
        <v>0</v>
      </c>
      <c r="CE1272" s="61">
        <f t="shared" si="1479"/>
        <v>0</v>
      </c>
      <c r="CF1272" s="61">
        <f t="shared" si="1479"/>
        <v>0</v>
      </c>
      <c r="CG1272" s="61">
        <f t="shared" si="1479"/>
        <v>0</v>
      </c>
      <c r="CH1272" s="61">
        <f t="shared" si="1479"/>
        <v>0</v>
      </c>
      <c r="CI1272" s="61">
        <f t="shared" si="1561"/>
        <v>0</v>
      </c>
      <c r="CJ1272" s="267"/>
      <c r="CK1272" s="61">
        <f t="shared" si="1454"/>
        <v>0</v>
      </c>
      <c r="CL1272" s="61">
        <f t="shared" si="1454"/>
        <v>0</v>
      </c>
      <c r="CM1272" s="61">
        <f t="shared" si="1454"/>
        <v>0</v>
      </c>
      <c r="CN1272" s="61">
        <f t="shared" si="1446"/>
        <v>0</v>
      </c>
      <c r="CO1272" s="61">
        <f t="shared" si="1446"/>
        <v>0</v>
      </c>
      <c r="CP1272" s="61">
        <f t="shared" si="1446"/>
        <v>0</v>
      </c>
      <c r="CQ1272" s="61">
        <f t="shared" si="1446"/>
        <v>0</v>
      </c>
      <c r="CR1272" s="61">
        <f t="shared" si="1446"/>
        <v>0</v>
      </c>
      <c r="CS1272" s="61">
        <f t="shared" si="1562"/>
        <v>0</v>
      </c>
      <c r="CT1272" s="63">
        <f t="shared" si="1569"/>
        <v>0</v>
      </c>
      <c r="CU1272" s="73"/>
      <c r="CV1272" s="61">
        <f t="shared" ref="CV1272" si="1574">SUM(AG1272)-SUM(BL1272)</f>
        <v>0</v>
      </c>
      <c r="CW1272" s="61">
        <f t="shared" ref="CW1272" si="1575">SUM(AH1272)-SUM(BM1272)</f>
        <v>0</v>
      </c>
      <c r="CY1272" s="61">
        <f t="shared" ref="CY1272:DA1272" si="1576">SUM(AJ1272)-SUM(BO1272)</f>
        <v>0</v>
      </c>
      <c r="CZ1272" s="61">
        <f t="shared" si="1576"/>
        <v>0</v>
      </c>
      <c r="DA1272" s="61">
        <f t="shared" si="1576"/>
        <v>0</v>
      </c>
      <c r="DB1272" s="2" t="s">
        <v>85</v>
      </c>
      <c r="DC1272" s="2" t="s">
        <v>85</v>
      </c>
      <c r="DD1272" s="2" t="s">
        <v>87</v>
      </c>
      <c r="DE1272" s="2" t="s">
        <v>106</v>
      </c>
      <c r="DF1272" s="3" t="s">
        <v>86</v>
      </c>
      <c r="DG1272" s="62">
        <v>43164</v>
      </c>
      <c r="EC1272" s="60"/>
      <c r="ED1272" s="60"/>
      <c r="EE1272" s="60"/>
      <c r="EF1272" s="60"/>
      <c r="EH1272" s="60"/>
    </row>
    <row r="1273" spans="2:140" ht="12.75" hidden="1" customHeight="1">
      <c r="B1273" s="1" t="s">
        <v>2165</v>
      </c>
      <c r="C1273" s="22" t="s">
        <v>2159</v>
      </c>
      <c r="D1273" s="149" t="s">
        <v>1466</v>
      </c>
      <c r="E1273" s="86" t="s">
        <v>523</v>
      </c>
      <c r="F1273" s="85" t="s">
        <v>2080</v>
      </c>
      <c r="G1273" s="297" t="s">
        <v>987</v>
      </c>
      <c r="J1273" s="298" t="s">
        <v>286</v>
      </c>
      <c r="K1273" s="299" t="s">
        <v>2163</v>
      </c>
      <c r="L1273" s="3" t="s">
        <v>132</v>
      </c>
      <c r="M1273" s="51" t="str">
        <f t="shared" si="1549"/>
        <v>JD8G-9D289-AB</v>
      </c>
      <c r="O1273" s="89">
        <v>1</v>
      </c>
      <c r="P1273" s="89">
        <v>1</v>
      </c>
      <c r="Q1273" s="89">
        <v>1</v>
      </c>
      <c r="R1273" s="89">
        <v>1</v>
      </c>
      <c r="S1273" s="89">
        <v>0</v>
      </c>
      <c r="T1273" s="89">
        <v>0</v>
      </c>
      <c r="U1273" s="89">
        <v>1</v>
      </c>
      <c r="V1273" s="89">
        <v>0</v>
      </c>
      <c r="W1273" s="164">
        <f t="shared" si="1516"/>
        <v>0.72000000000000008</v>
      </c>
      <c r="Y1273" s="8">
        <v>-52.96</v>
      </c>
      <c r="Z1273" s="63">
        <v>0</v>
      </c>
      <c r="AA1273" s="63">
        <v>0</v>
      </c>
      <c r="AB1273" s="63">
        <v>0</v>
      </c>
      <c r="AC1273" s="63">
        <v>0</v>
      </c>
      <c r="AD1273" s="8">
        <f>SUM(Y1273:AC1273)</f>
        <v>-52.96</v>
      </c>
      <c r="AE1273" s="2" t="s">
        <v>84</v>
      </c>
      <c r="AG1273" s="302">
        <v>-131400</v>
      </c>
      <c r="AH1273" s="302">
        <v>-131400</v>
      </c>
      <c r="AJ1273" s="300">
        <v>0</v>
      </c>
      <c r="AK1273" s="176">
        <v>0</v>
      </c>
      <c r="AM1273" s="22"/>
      <c r="AO1273" s="298" t="s">
        <v>286</v>
      </c>
      <c r="AP1273" s="299" t="s">
        <v>2163</v>
      </c>
      <c r="AQ1273" s="3" t="s">
        <v>100</v>
      </c>
      <c r="AR1273" s="51" t="str">
        <f>TRIM(AO1273)&amp;"-"&amp;TRIM(AP1273)&amp;"-"&amp;TRIM(AQ1273)</f>
        <v>JD8G-9D289-AA</v>
      </c>
      <c r="AS1273" s="3"/>
      <c r="AT1273" s="89">
        <v>1</v>
      </c>
      <c r="AU1273" s="89">
        <v>1</v>
      </c>
      <c r="AV1273" s="89">
        <v>1</v>
      </c>
      <c r="AW1273" s="89">
        <v>1</v>
      </c>
      <c r="AX1273" s="89">
        <v>0</v>
      </c>
      <c r="AY1273" s="89">
        <v>0</v>
      </c>
      <c r="AZ1273" s="89">
        <v>1</v>
      </c>
      <c r="BA1273" s="89">
        <v>0</v>
      </c>
      <c r="BB1273" s="164">
        <f t="shared" si="1511"/>
        <v>0.72000000000000008</v>
      </c>
      <c r="BD1273" s="8">
        <v>-52.96</v>
      </c>
      <c r="BE1273" s="63">
        <v>0</v>
      </c>
      <c r="BF1273" s="63">
        <v>0</v>
      </c>
      <c r="BG1273" s="63">
        <v>0</v>
      </c>
      <c r="BH1273" s="63">
        <v>0</v>
      </c>
      <c r="BI1273" s="8">
        <f>SUM(BD1273:BH1273)</f>
        <v>-52.96</v>
      </c>
      <c r="BJ1273" s="2" t="s">
        <v>84</v>
      </c>
      <c r="BL1273" s="302">
        <v>-131400</v>
      </c>
      <c r="BM1273" s="302">
        <v>-131400</v>
      </c>
      <c r="BN1273" s="267"/>
      <c r="BO1273" s="63">
        <v>0</v>
      </c>
      <c r="BP1273" s="63">
        <v>0</v>
      </c>
      <c r="BQ1273" s="2">
        <v>0</v>
      </c>
      <c r="BS1273" s="61">
        <f t="shared" si="1551"/>
        <v>0</v>
      </c>
      <c r="BT1273" s="61">
        <f t="shared" si="1552"/>
        <v>0</v>
      </c>
      <c r="BU1273" s="61">
        <f t="shared" si="1553"/>
        <v>0</v>
      </c>
      <c r="BV1273" s="61">
        <f t="shared" si="1553"/>
        <v>0</v>
      </c>
      <c r="BW1273" s="61">
        <f t="shared" si="1553"/>
        <v>0</v>
      </c>
      <c r="BX1273" s="63">
        <f t="shared" si="1553"/>
        <v>0</v>
      </c>
      <c r="BY1273" s="61" t="s">
        <v>91</v>
      </c>
      <c r="CA1273" s="61">
        <f t="shared" si="1546"/>
        <v>0</v>
      </c>
      <c r="CB1273" s="61">
        <f t="shared" si="1546"/>
        <v>0</v>
      </c>
      <c r="CC1273" s="61">
        <f t="shared" si="1546"/>
        <v>0</v>
      </c>
      <c r="CD1273" s="61">
        <f t="shared" si="1546"/>
        <v>0</v>
      </c>
      <c r="CE1273" s="61">
        <f t="shared" si="1479"/>
        <v>0</v>
      </c>
      <c r="CF1273" s="61">
        <f t="shared" si="1479"/>
        <v>0</v>
      </c>
      <c r="CG1273" s="61">
        <f t="shared" si="1479"/>
        <v>0</v>
      </c>
      <c r="CH1273" s="61">
        <f t="shared" si="1479"/>
        <v>0</v>
      </c>
      <c r="CI1273" s="61">
        <f t="shared" si="1561"/>
        <v>0</v>
      </c>
      <c r="CJ1273" s="267"/>
      <c r="CK1273" s="61">
        <f t="shared" si="1454"/>
        <v>0</v>
      </c>
      <c r="CL1273" s="61">
        <f t="shared" si="1454"/>
        <v>0</v>
      </c>
      <c r="CM1273" s="61">
        <f t="shared" si="1454"/>
        <v>0</v>
      </c>
      <c r="CN1273" s="61">
        <f t="shared" si="1446"/>
        <v>0</v>
      </c>
      <c r="CO1273" s="61">
        <f t="shared" si="1446"/>
        <v>0</v>
      </c>
      <c r="CP1273" s="61">
        <f t="shared" si="1446"/>
        <v>0</v>
      </c>
      <c r="CQ1273" s="61">
        <f t="shared" si="1446"/>
        <v>0</v>
      </c>
      <c r="CR1273" s="61">
        <f t="shared" si="1446"/>
        <v>0</v>
      </c>
      <c r="CS1273" s="61">
        <f t="shared" si="1562"/>
        <v>0</v>
      </c>
      <c r="CT1273" s="63">
        <f t="shared" si="1569"/>
        <v>0</v>
      </c>
      <c r="CU1273" s="73"/>
      <c r="CV1273" s="61">
        <f>SUM(AG1273)-SUM(BL1273)</f>
        <v>0</v>
      </c>
      <c r="CW1273" s="61">
        <f>SUM(AH1273)-SUM(BM1273)</f>
        <v>0</v>
      </c>
      <c r="CY1273" s="61">
        <f>SUM(AJ1273)-SUM(BO1273)</f>
        <v>0</v>
      </c>
      <c r="CZ1273" s="61">
        <f>SUM(AK1273)-SUM(BP1273)</f>
        <v>0</v>
      </c>
      <c r="DA1273" s="61">
        <f>SUM(AL1273)-SUM(BQ1273)</f>
        <v>0</v>
      </c>
      <c r="DB1273" s="2" t="s">
        <v>86</v>
      </c>
      <c r="DC1273" s="2" t="s">
        <v>85</v>
      </c>
      <c r="DD1273" s="2" t="s">
        <v>87</v>
      </c>
      <c r="DE1273" s="2" t="s">
        <v>106</v>
      </c>
      <c r="DF1273" s="3" t="s">
        <v>86</v>
      </c>
      <c r="DG1273" s="62">
        <v>43125</v>
      </c>
      <c r="EC1273" s="60" t="str">
        <f>VLOOKUP($M1273,[1]Detail!$M:$BO,1,0)</f>
        <v>JD8G-9D289-AB</v>
      </c>
      <c r="ED1273" s="60">
        <f>VLOOKUP($M1273,[1]Detail!$M:$BO,22,0)</f>
        <v>-52.96</v>
      </c>
      <c r="EE1273" s="60">
        <f>VLOOKUP($M1273,[1]Detail!$M:$BO,42,0)</f>
        <v>-131400</v>
      </c>
      <c r="EF1273" s="60">
        <f>VLOOKUP($M1273,[1]Detail!$M:$BO,45,0)</f>
        <v>0</v>
      </c>
      <c r="EH1273" s="60">
        <f t="shared" ref="EH1273:EH1274" si="1577">ED1273-AD1273</f>
        <v>0</v>
      </c>
      <c r="EI1273" s="60">
        <f t="shared" ref="EI1273:EI1274" si="1578">EE1273-AG1273</f>
        <v>0</v>
      </c>
      <c r="EJ1273" s="60">
        <f t="shared" ref="EJ1273:EJ1274" si="1579">EF1273-AJ1273</f>
        <v>0</v>
      </c>
    </row>
    <row r="1274" spans="2:140" ht="12.75" hidden="1" customHeight="1">
      <c r="B1274" s="1" t="s">
        <v>2165</v>
      </c>
      <c r="C1274" s="22" t="s">
        <v>2159</v>
      </c>
      <c r="D1274" s="149" t="s">
        <v>1466</v>
      </c>
      <c r="E1274" s="86" t="s">
        <v>523</v>
      </c>
      <c r="F1274" s="85" t="s">
        <v>2080</v>
      </c>
      <c r="G1274" s="297" t="s">
        <v>987</v>
      </c>
      <c r="J1274" s="298" t="s">
        <v>286</v>
      </c>
      <c r="K1274" s="299" t="s">
        <v>2163</v>
      </c>
      <c r="L1274" s="3" t="s">
        <v>599</v>
      </c>
      <c r="M1274" s="51" t="str">
        <f t="shared" si="1549"/>
        <v>JD8G-9D289-BC</v>
      </c>
      <c r="O1274" s="89">
        <v>0</v>
      </c>
      <c r="P1274" s="89">
        <v>0</v>
      </c>
      <c r="Q1274" s="89">
        <v>0</v>
      </c>
      <c r="R1274" s="89">
        <v>0</v>
      </c>
      <c r="S1274" s="89">
        <v>1</v>
      </c>
      <c r="T1274" s="89">
        <v>1</v>
      </c>
      <c r="U1274" s="89">
        <v>0</v>
      </c>
      <c r="V1274" s="89">
        <v>1</v>
      </c>
      <c r="W1274" s="164">
        <f t="shared" si="1516"/>
        <v>0.28000000000000003</v>
      </c>
      <c r="Y1274" s="8">
        <f>-68.07-60.49-6.04</f>
        <v>-134.6</v>
      </c>
      <c r="Z1274" s="63">
        <v>0</v>
      </c>
      <c r="AA1274" s="63">
        <v>0</v>
      </c>
      <c r="AB1274" s="63">
        <v>0</v>
      </c>
      <c r="AC1274" s="63">
        <v>0</v>
      </c>
      <c r="AD1274" s="8">
        <f t="shared" ref="AD1274" si="1580">SUM(Y1274:AC1274)</f>
        <v>-134.6</v>
      </c>
      <c r="AE1274" s="2" t="s">
        <v>84</v>
      </c>
      <c r="AG1274" s="300">
        <f>-390240-80000</f>
        <v>-470240</v>
      </c>
      <c r="AH1274" s="300">
        <f>-390240-80000</f>
        <v>-470240</v>
      </c>
      <c r="AJ1274" s="300">
        <v>0</v>
      </c>
      <c r="AK1274" s="176">
        <v>0</v>
      </c>
      <c r="AM1274" s="22"/>
      <c r="AO1274" s="298" t="s">
        <v>286</v>
      </c>
      <c r="AP1274" s="299" t="s">
        <v>2163</v>
      </c>
      <c r="AQ1274" s="3" t="s">
        <v>120</v>
      </c>
      <c r="AR1274" s="51" t="str">
        <f t="shared" ref="AR1274" si="1581">TRIM(AO1274)&amp;"-"&amp;TRIM(AP1274)&amp;"-"&amp;TRIM(AQ1274)</f>
        <v>JD8G-9D289-BB</v>
      </c>
      <c r="AS1274" s="3"/>
      <c r="AT1274" s="89">
        <v>0</v>
      </c>
      <c r="AU1274" s="89">
        <v>0</v>
      </c>
      <c r="AV1274" s="89">
        <v>0</v>
      </c>
      <c r="AW1274" s="89">
        <v>0</v>
      </c>
      <c r="AX1274" s="89">
        <v>1</v>
      </c>
      <c r="AY1274" s="89">
        <v>1</v>
      </c>
      <c r="AZ1274" s="89">
        <v>0</v>
      </c>
      <c r="BA1274" s="89">
        <v>1</v>
      </c>
      <c r="BB1274" s="164">
        <f t="shared" si="1511"/>
        <v>0.28000000000000003</v>
      </c>
      <c r="BD1274" s="8">
        <f>-68.07-60.49</f>
        <v>-128.56</v>
      </c>
      <c r="BE1274" s="63">
        <v>0</v>
      </c>
      <c r="BF1274" s="63">
        <v>0</v>
      </c>
      <c r="BG1274" s="63">
        <v>0</v>
      </c>
      <c r="BH1274" s="63">
        <v>0</v>
      </c>
      <c r="BI1274" s="8">
        <f t="shared" ref="BI1274" si="1582">SUM(BD1274:BH1274)</f>
        <v>-128.56</v>
      </c>
      <c r="BJ1274" s="2" t="s">
        <v>84</v>
      </c>
      <c r="BL1274" s="300">
        <v>-390240</v>
      </c>
      <c r="BM1274" s="300">
        <v>-390240</v>
      </c>
      <c r="BN1274" s="267"/>
      <c r="BO1274" s="63">
        <v>0</v>
      </c>
      <c r="BP1274" s="63">
        <v>0</v>
      </c>
      <c r="BQ1274" s="2">
        <v>0</v>
      </c>
      <c r="BS1274" s="61">
        <f t="shared" si="1551"/>
        <v>-6.039999999999992</v>
      </c>
      <c r="BT1274" s="61">
        <f t="shared" si="1552"/>
        <v>0</v>
      </c>
      <c r="BU1274" s="61">
        <f t="shared" si="1553"/>
        <v>0</v>
      </c>
      <c r="BV1274" s="61">
        <f t="shared" si="1553"/>
        <v>0</v>
      </c>
      <c r="BW1274" s="61">
        <f t="shared" si="1553"/>
        <v>0</v>
      </c>
      <c r="BX1274" s="63">
        <f t="shared" si="1553"/>
        <v>-6.039999999999992</v>
      </c>
      <c r="BY1274" s="61" t="s">
        <v>91</v>
      </c>
      <c r="CA1274" s="61">
        <f t="shared" si="1546"/>
        <v>0</v>
      </c>
      <c r="CB1274" s="61">
        <f t="shared" si="1546"/>
        <v>0</v>
      </c>
      <c r="CC1274" s="61">
        <f t="shared" si="1546"/>
        <v>0</v>
      </c>
      <c r="CD1274" s="61">
        <f t="shared" si="1546"/>
        <v>0</v>
      </c>
      <c r="CE1274" s="61">
        <f t="shared" si="1479"/>
        <v>-0.90868060779298809</v>
      </c>
      <c r="CF1274" s="61">
        <f t="shared" si="1479"/>
        <v>-0.90868060779298809</v>
      </c>
      <c r="CG1274" s="61">
        <f t="shared" si="1479"/>
        <v>0</v>
      </c>
      <c r="CH1274" s="61">
        <f t="shared" si="1479"/>
        <v>-0.90868060779298809</v>
      </c>
      <c r="CI1274" s="61">
        <f t="shared" si="1561"/>
        <v>-0.25443057018203663</v>
      </c>
      <c r="CJ1274" s="267"/>
      <c r="CK1274" s="61">
        <f t="shared" si="1454"/>
        <v>0</v>
      </c>
      <c r="CL1274" s="61">
        <f t="shared" si="1454"/>
        <v>0</v>
      </c>
      <c r="CM1274" s="61">
        <f t="shared" si="1454"/>
        <v>0</v>
      </c>
      <c r="CN1274" s="61">
        <f t="shared" si="1446"/>
        <v>0</v>
      </c>
      <c r="CO1274" s="61">
        <f t="shared" si="1446"/>
        <v>-0.90868060779298809</v>
      </c>
      <c r="CP1274" s="61">
        <f t="shared" si="1446"/>
        <v>-0.90868060779298809</v>
      </c>
      <c r="CQ1274" s="61">
        <f t="shared" si="1446"/>
        <v>0</v>
      </c>
      <c r="CR1274" s="61">
        <f t="shared" si="1446"/>
        <v>-0.90868060779298809</v>
      </c>
      <c r="CS1274" s="61">
        <f t="shared" si="1562"/>
        <v>-0.25443057018203663</v>
      </c>
      <c r="CT1274" s="63">
        <f t="shared" si="1569"/>
        <v>-1.6911999999999976</v>
      </c>
      <c r="CU1274" s="73"/>
      <c r="CV1274" s="61">
        <f t="shared" ref="CV1274" si="1583">SUM(AG1274)-SUM(BL1274)</f>
        <v>-80000</v>
      </c>
      <c r="CW1274" s="61">
        <f t="shared" ref="CW1274" si="1584">SUM(AH1274)-SUM(BM1274)</f>
        <v>-80000</v>
      </c>
      <c r="CY1274" s="61">
        <f t="shared" ref="CY1274:DA1274" si="1585">SUM(AJ1274)-SUM(BO1274)</f>
        <v>0</v>
      </c>
      <c r="CZ1274" s="61">
        <f t="shared" si="1585"/>
        <v>0</v>
      </c>
      <c r="DA1274" s="61">
        <f t="shared" si="1585"/>
        <v>0</v>
      </c>
      <c r="DB1274" s="2" t="s">
        <v>86</v>
      </c>
      <c r="DC1274" s="2" t="s">
        <v>85</v>
      </c>
      <c r="DD1274" s="2" t="s">
        <v>87</v>
      </c>
      <c r="DE1274" s="2" t="s">
        <v>106</v>
      </c>
      <c r="DF1274" s="3" t="s">
        <v>86</v>
      </c>
      <c r="DG1274" s="62">
        <v>43125</v>
      </c>
      <c r="EC1274" s="60" t="str">
        <f>VLOOKUP($M1274,[1]Detail!$M:$BO,1,0)</f>
        <v>JD8G-9D289-BC</v>
      </c>
      <c r="ED1274" s="60">
        <f>VLOOKUP($M1274,[1]Detail!$M:$BO,22,0)</f>
        <v>-134.6</v>
      </c>
      <c r="EE1274" s="60">
        <f>VLOOKUP($M1274,[1]Detail!$M:$BO,42,0)</f>
        <v>-470240</v>
      </c>
      <c r="EF1274" s="60">
        <f>VLOOKUP($M1274,[1]Detail!$M:$BO,45,0)</f>
        <v>0</v>
      </c>
      <c r="EH1274" s="60">
        <f t="shared" si="1577"/>
        <v>0</v>
      </c>
      <c r="EI1274" s="60">
        <f t="shared" si="1578"/>
        <v>0</v>
      </c>
      <c r="EJ1274" s="60">
        <f t="shared" si="1579"/>
        <v>0</v>
      </c>
    </row>
    <row r="1275" spans="2:140" s="131" customFormat="1" ht="12.75" hidden="1" customHeight="1">
      <c r="B1275" s="303" t="s">
        <v>2166</v>
      </c>
      <c r="C1275" s="130" t="s">
        <v>2161</v>
      </c>
      <c r="D1275" s="157" t="s">
        <v>1466</v>
      </c>
      <c r="E1275" s="304" t="s">
        <v>523</v>
      </c>
      <c r="F1275" s="142" t="s">
        <v>2080</v>
      </c>
      <c r="G1275" s="305" t="s">
        <v>987</v>
      </c>
      <c r="H1275" s="2"/>
      <c r="J1275" s="306" t="s">
        <v>286</v>
      </c>
      <c r="K1275" s="307" t="s">
        <v>2167</v>
      </c>
      <c r="L1275" s="134" t="s">
        <v>100</v>
      </c>
      <c r="M1275" s="133" t="str">
        <f t="shared" si="1549"/>
        <v>JD8G-9D333-AA</v>
      </c>
      <c r="N1275" s="134"/>
      <c r="O1275" s="308">
        <v>1</v>
      </c>
      <c r="P1275" s="308">
        <v>1</v>
      </c>
      <c r="Q1275" s="308">
        <v>1</v>
      </c>
      <c r="R1275" s="308">
        <v>1</v>
      </c>
      <c r="S1275" s="308">
        <v>0</v>
      </c>
      <c r="T1275" s="308">
        <v>0</v>
      </c>
      <c r="U1275" s="308">
        <v>1</v>
      </c>
      <c r="V1275" s="308">
        <v>0</v>
      </c>
      <c r="W1275" s="309">
        <f t="shared" si="1516"/>
        <v>0.72000000000000008</v>
      </c>
      <c r="Y1275" s="136">
        <f ca="1">AD1275-AC1275</f>
        <v>-27.763288309268749</v>
      </c>
      <c r="Z1275" s="237">
        <v>0</v>
      </c>
      <c r="AA1275" s="237">
        <v>0</v>
      </c>
      <c r="AB1275" s="237">
        <v>0</v>
      </c>
      <c r="AC1275" s="237">
        <v>-2.9767116907312499</v>
      </c>
      <c r="AD1275" s="136">
        <f t="shared" ca="1" si="1559"/>
        <v>-30.74</v>
      </c>
      <c r="AE1275" s="131" t="s">
        <v>84</v>
      </c>
      <c r="AG1275" s="310">
        <v>-112020</v>
      </c>
      <c r="AH1275" s="310">
        <v>-112020</v>
      </c>
      <c r="AJ1275" s="301">
        <v>0</v>
      </c>
      <c r="AK1275" s="311">
        <v>0</v>
      </c>
      <c r="AM1275" s="130"/>
      <c r="AO1275" s="306" t="s">
        <v>286</v>
      </c>
      <c r="AP1275" s="305" t="s">
        <v>2167</v>
      </c>
      <c r="AQ1275" s="134" t="s">
        <v>100</v>
      </c>
      <c r="AR1275" s="312" t="str">
        <f t="shared" si="1566"/>
        <v>JD8G-9D333-AA</v>
      </c>
      <c r="AT1275" s="308">
        <v>1</v>
      </c>
      <c r="AU1275" s="308">
        <v>1</v>
      </c>
      <c r="AV1275" s="308">
        <v>1</v>
      </c>
      <c r="AW1275" s="308">
        <v>1</v>
      </c>
      <c r="AX1275" s="308">
        <v>0</v>
      </c>
      <c r="AY1275" s="308">
        <v>0</v>
      </c>
      <c r="AZ1275" s="308">
        <v>1</v>
      </c>
      <c r="BA1275" s="308">
        <v>0</v>
      </c>
      <c r="BB1275" s="308">
        <f t="shared" si="1511"/>
        <v>0.72000000000000008</v>
      </c>
      <c r="BD1275" s="139">
        <v>-30.74</v>
      </c>
      <c r="BE1275" s="237">
        <v>0</v>
      </c>
      <c r="BF1275" s="237">
        <v>0</v>
      </c>
      <c r="BG1275" s="237">
        <v>0</v>
      </c>
      <c r="BH1275" s="237">
        <v>0</v>
      </c>
      <c r="BI1275" s="136">
        <f t="shared" si="1560"/>
        <v>-30.74</v>
      </c>
      <c r="BJ1275" s="131" t="s">
        <v>84</v>
      </c>
      <c r="BL1275" s="310">
        <v>-112020</v>
      </c>
      <c r="BM1275" s="310">
        <v>-112020</v>
      </c>
      <c r="BN1275" s="313"/>
      <c r="BO1275" s="237">
        <v>0</v>
      </c>
      <c r="BP1275" s="237">
        <v>0</v>
      </c>
      <c r="BQ1275" s="131">
        <v>0</v>
      </c>
      <c r="BS1275" s="61">
        <f t="shared" ca="1" si="1551"/>
        <v>2.9767116907312499</v>
      </c>
      <c r="BT1275" s="61">
        <f t="shared" si="1552"/>
        <v>0</v>
      </c>
      <c r="BU1275" s="61">
        <f t="shared" si="1553"/>
        <v>0</v>
      </c>
      <c r="BV1275" s="61">
        <f t="shared" si="1553"/>
        <v>0</v>
      </c>
      <c r="BW1275" s="61">
        <f t="shared" si="1553"/>
        <v>-2.9767116907312499</v>
      </c>
      <c r="BX1275" s="63">
        <f t="shared" ca="1" si="1553"/>
        <v>0</v>
      </c>
      <c r="BY1275" s="61" t="s">
        <v>91</v>
      </c>
      <c r="BZ1275" s="2"/>
      <c r="CA1275" s="61">
        <f t="shared" ca="1" si="1546"/>
        <v>0.44782784575466372</v>
      </c>
      <c r="CB1275" s="61">
        <f t="shared" ca="1" si="1546"/>
        <v>0.44782784575466372</v>
      </c>
      <c r="CC1275" s="61">
        <f t="shared" ca="1" si="1546"/>
        <v>0.44782784575466372</v>
      </c>
      <c r="CD1275" s="61">
        <f t="shared" ca="1" si="1546"/>
        <v>0.44782784575466372</v>
      </c>
      <c r="CE1275" s="61">
        <f t="shared" ca="1" si="1479"/>
        <v>0</v>
      </c>
      <c r="CF1275" s="61">
        <f t="shared" ca="1" si="1479"/>
        <v>0</v>
      </c>
      <c r="CG1275" s="61">
        <f t="shared" ca="1" si="1479"/>
        <v>0.44782784575466372</v>
      </c>
      <c r="CH1275" s="61">
        <f t="shared" ca="1" si="1479"/>
        <v>0</v>
      </c>
      <c r="CI1275" s="61">
        <f t="shared" ca="1" si="1561"/>
        <v>0.32243604894335792</v>
      </c>
      <c r="CJ1275" s="267"/>
      <c r="CK1275" s="61">
        <f t="shared" ca="1" si="1454"/>
        <v>0</v>
      </c>
      <c r="CL1275" s="61">
        <f t="shared" ca="1" si="1454"/>
        <v>0</v>
      </c>
      <c r="CM1275" s="61">
        <f t="shared" ca="1" si="1454"/>
        <v>0</v>
      </c>
      <c r="CN1275" s="61">
        <f t="shared" ca="1" si="1446"/>
        <v>0</v>
      </c>
      <c r="CO1275" s="61">
        <f t="shared" ca="1" si="1446"/>
        <v>0</v>
      </c>
      <c r="CP1275" s="61">
        <f t="shared" ca="1" si="1446"/>
        <v>0</v>
      </c>
      <c r="CQ1275" s="61">
        <f t="shared" ca="1" si="1446"/>
        <v>0</v>
      </c>
      <c r="CR1275" s="61">
        <f t="shared" ca="1" si="1446"/>
        <v>0</v>
      </c>
      <c r="CS1275" s="61">
        <f t="shared" ca="1" si="1562"/>
        <v>0</v>
      </c>
      <c r="CT1275" s="63">
        <f t="shared" ca="1" si="1569"/>
        <v>0</v>
      </c>
      <c r="CU1275" s="73"/>
      <c r="CV1275" s="61">
        <f t="shared" si="1563"/>
        <v>0</v>
      </c>
      <c r="CW1275" s="61">
        <f t="shared" si="1564"/>
        <v>0</v>
      </c>
      <c r="CX1275" s="2"/>
      <c r="CY1275" s="61">
        <f t="shared" si="1565"/>
        <v>0</v>
      </c>
      <c r="CZ1275" s="61">
        <f t="shared" si="1565"/>
        <v>0</v>
      </c>
      <c r="DA1275" s="61">
        <f t="shared" si="1565"/>
        <v>0</v>
      </c>
      <c r="DB1275" s="131" t="s">
        <v>85</v>
      </c>
      <c r="DC1275" s="131" t="s">
        <v>86</v>
      </c>
      <c r="DD1275" s="131" t="s">
        <v>87</v>
      </c>
      <c r="DE1275" s="131" t="s">
        <v>106</v>
      </c>
      <c r="DF1275" s="134"/>
      <c r="DG1275" s="141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134"/>
      <c r="EC1275" s="139"/>
      <c r="ED1275" s="139"/>
      <c r="EE1275" s="139"/>
      <c r="EF1275" s="139"/>
    </row>
    <row r="1276" spans="2:140" ht="12.75" hidden="1" customHeight="1">
      <c r="B1276" s="1" t="s">
        <v>2165</v>
      </c>
      <c r="C1276" s="22" t="s">
        <v>2161</v>
      </c>
      <c r="D1276" s="149" t="s">
        <v>1466</v>
      </c>
      <c r="E1276" s="86" t="s">
        <v>523</v>
      </c>
      <c r="F1276" s="85" t="s">
        <v>2080</v>
      </c>
      <c r="G1276" s="297" t="s">
        <v>987</v>
      </c>
      <c r="J1276" s="298" t="s">
        <v>286</v>
      </c>
      <c r="K1276" s="299" t="s">
        <v>2167</v>
      </c>
      <c r="L1276" s="3" t="s">
        <v>100</v>
      </c>
      <c r="M1276" s="51" t="str">
        <f t="shared" si="1549"/>
        <v>JD8G-9D333-AA</v>
      </c>
      <c r="O1276" s="89">
        <v>1</v>
      </c>
      <c r="P1276" s="89">
        <v>1</v>
      </c>
      <c r="Q1276" s="89">
        <v>1</v>
      </c>
      <c r="R1276" s="89">
        <v>1</v>
      </c>
      <c r="S1276" s="89">
        <v>0</v>
      </c>
      <c r="T1276" s="89">
        <v>0</v>
      </c>
      <c r="U1276" s="89">
        <v>1</v>
      </c>
      <c r="V1276" s="89">
        <v>0</v>
      </c>
      <c r="W1276" s="164">
        <f t="shared" si="1516"/>
        <v>0.72000000000000008</v>
      </c>
      <c r="Y1276" s="8">
        <f>-30.74-0.7</f>
        <v>-31.439999999999998</v>
      </c>
      <c r="Z1276" s="63">
        <v>0</v>
      </c>
      <c r="AA1276" s="63">
        <v>0</v>
      </c>
      <c r="AB1276" s="63">
        <v>0</v>
      </c>
      <c r="AC1276" s="63">
        <v>0</v>
      </c>
      <c r="AD1276" s="8">
        <f t="shared" ref="AD1276" si="1586">SUM(Y1276:AC1276)</f>
        <v>-31.439999999999998</v>
      </c>
      <c r="AE1276" s="2" t="s">
        <v>84</v>
      </c>
      <c r="AG1276" s="302">
        <v>-112020</v>
      </c>
      <c r="AH1276" s="302">
        <v>-112020</v>
      </c>
      <c r="AJ1276" s="300">
        <v>0</v>
      </c>
      <c r="AK1276" s="176">
        <v>0</v>
      </c>
      <c r="AM1276" s="22"/>
      <c r="AO1276" s="298" t="s">
        <v>286</v>
      </c>
      <c r="AP1276" s="297" t="s">
        <v>2167</v>
      </c>
      <c r="AQ1276" s="3" t="s">
        <v>100</v>
      </c>
      <c r="AR1276" s="90" t="str">
        <f t="shared" si="1566"/>
        <v>JD8G-9D333-AA</v>
      </c>
      <c r="AT1276" s="89">
        <v>1</v>
      </c>
      <c r="AU1276" s="89">
        <v>1</v>
      </c>
      <c r="AV1276" s="89">
        <v>1</v>
      </c>
      <c r="AW1276" s="89">
        <v>1</v>
      </c>
      <c r="AX1276" s="89">
        <v>0</v>
      </c>
      <c r="AY1276" s="89">
        <v>0</v>
      </c>
      <c r="AZ1276" s="89">
        <v>1</v>
      </c>
      <c r="BA1276" s="89">
        <v>0</v>
      </c>
      <c r="BB1276" s="89">
        <f t="shared" si="1511"/>
        <v>0.72000000000000008</v>
      </c>
      <c r="BD1276" s="60">
        <v>-30.74</v>
      </c>
      <c r="BE1276" s="63">
        <v>0</v>
      </c>
      <c r="BF1276" s="63">
        <v>0</v>
      </c>
      <c r="BG1276" s="63">
        <v>0</v>
      </c>
      <c r="BH1276" s="63">
        <v>0</v>
      </c>
      <c r="BI1276" s="8">
        <f t="shared" ref="BI1276" si="1587">SUM(BD1276:BH1276)</f>
        <v>-30.74</v>
      </c>
      <c r="BJ1276" s="2" t="s">
        <v>84</v>
      </c>
      <c r="BL1276" s="302">
        <v>-112020</v>
      </c>
      <c r="BM1276" s="302">
        <v>-112020</v>
      </c>
      <c r="BN1276" s="267"/>
      <c r="BO1276" s="63">
        <v>0</v>
      </c>
      <c r="BP1276" s="63">
        <v>0</v>
      </c>
      <c r="BQ1276" s="2">
        <v>0</v>
      </c>
      <c r="BS1276" s="61">
        <f t="shared" si="1551"/>
        <v>-0.69999999999999929</v>
      </c>
      <c r="BT1276" s="61">
        <f t="shared" si="1552"/>
        <v>0</v>
      </c>
      <c r="BU1276" s="61">
        <f t="shared" si="1553"/>
        <v>0</v>
      </c>
      <c r="BV1276" s="61">
        <f t="shared" si="1553"/>
        <v>0</v>
      </c>
      <c r="BW1276" s="61">
        <f t="shared" si="1553"/>
        <v>0</v>
      </c>
      <c r="BX1276" s="63">
        <f t="shared" si="1553"/>
        <v>-0.69999999999999929</v>
      </c>
      <c r="BY1276" s="61" t="s">
        <v>91</v>
      </c>
      <c r="CA1276" s="61">
        <f t="shared" si="1546"/>
        <v>-0.10531066646607481</v>
      </c>
      <c r="CB1276" s="61">
        <f t="shared" si="1546"/>
        <v>-0.10531066646607481</v>
      </c>
      <c r="CC1276" s="61">
        <f t="shared" si="1546"/>
        <v>-0.10531066646607481</v>
      </c>
      <c r="CD1276" s="61">
        <f t="shared" si="1546"/>
        <v>-0.10531066646607481</v>
      </c>
      <c r="CE1276" s="61">
        <f t="shared" si="1479"/>
        <v>0</v>
      </c>
      <c r="CF1276" s="61">
        <f t="shared" si="1479"/>
        <v>0</v>
      </c>
      <c r="CG1276" s="61">
        <f t="shared" si="1479"/>
        <v>-0.10531066646607481</v>
      </c>
      <c r="CH1276" s="61">
        <f t="shared" si="1479"/>
        <v>0</v>
      </c>
      <c r="CI1276" s="61">
        <f t="shared" si="1561"/>
        <v>-7.5823679855573867E-2</v>
      </c>
      <c r="CJ1276" s="267"/>
      <c r="CK1276" s="61">
        <f t="shared" si="1454"/>
        <v>-0.10531066646607481</v>
      </c>
      <c r="CL1276" s="61">
        <f t="shared" si="1454"/>
        <v>-0.10531066646607481</v>
      </c>
      <c r="CM1276" s="61">
        <f t="shared" si="1454"/>
        <v>-0.10531066646607481</v>
      </c>
      <c r="CN1276" s="61">
        <f t="shared" si="1446"/>
        <v>-0.10531066646607481</v>
      </c>
      <c r="CO1276" s="61">
        <f t="shared" si="1446"/>
        <v>0</v>
      </c>
      <c r="CP1276" s="61">
        <f t="shared" si="1446"/>
        <v>0</v>
      </c>
      <c r="CQ1276" s="61">
        <f t="shared" si="1446"/>
        <v>-0.10531066646607481</v>
      </c>
      <c r="CR1276" s="61">
        <f t="shared" si="1446"/>
        <v>0</v>
      </c>
      <c r="CS1276" s="61">
        <f t="shared" si="1562"/>
        <v>-7.5823679855573867E-2</v>
      </c>
      <c r="CT1276" s="63">
        <f t="shared" si="1569"/>
        <v>-0.50399999999999956</v>
      </c>
      <c r="CU1276" s="73"/>
      <c r="CV1276" s="61">
        <f t="shared" ref="CV1276" si="1588">SUM(AG1276)-SUM(BL1276)</f>
        <v>0</v>
      </c>
      <c r="CW1276" s="61">
        <f t="shared" si="1564"/>
        <v>0</v>
      </c>
      <c r="CY1276" s="61">
        <f t="shared" si="1565"/>
        <v>0</v>
      </c>
      <c r="CZ1276" s="61">
        <f t="shared" si="1565"/>
        <v>0</v>
      </c>
      <c r="DA1276" s="61">
        <f t="shared" si="1565"/>
        <v>0</v>
      </c>
      <c r="DB1276" s="2" t="s">
        <v>86</v>
      </c>
      <c r="DC1276" s="2" t="s">
        <v>85</v>
      </c>
      <c r="DD1276" s="2" t="s">
        <v>87</v>
      </c>
      <c r="DE1276" s="2" t="s">
        <v>106</v>
      </c>
      <c r="DF1276" s="3" t="s">
        <v>86</v>
      </c>
      <c r="DG1276" s="62">
        <v>43125</v>
      </c>
      <c r="EC1276" s="60" t="str">
        <f>VLOOKUP($M1276,[1]Detail!$M:$BO,1,0)</f>
        <v>JD8G-9D333-AA</v>
      </c>
      <c r="ED1276" s="60">
        <f>VLOOKUP($M1276,[1]Detail!$M:$BO,22,0)</f>
        <v>-31.439999999999998</v>
      </c>
      <c r="EE1276" s="60">
        <f>VLOOKUP($M1276,[1]Detail!$M:$BO,42,0)</f>
        <v>-112020</v>
      </c>
      <c r="EF1276" s="60">
        <f>VLOOKUP($M1276,[1]Detail!$M:$BO,45,0)</f>
        <v>0</v>
      </c>
      <c r="EH1276" s="60">
        <f t="shared" ref="EH1276" si="1589">ED1276-AD1276</f>
        <v>0</v>
      </c>
      <c r="EI1276" s="60">
        <f t="shared" ref="EI1276" si="1590">EE1276-AG1276</f>
        <v>0</v>
      </c>
      <c r="EJ1276" s="60">
        <f t="shared" ref="EJ1276" si="1591">EF1276-AJ1276</f>
        <v>0</v>
      </c>
    </row>
    <row r="1277" spans="2:140" ht="12.75" hidden="1" customHeight="1">
      <c r="B1277" s="1" t="s">
        <v>2158</v>
      </c>
      <c r="C1277" s="22" t="s">
        <v>2159</v>
      </c>
      <c r="D1277" s="149" t="s">
        <v>1466</v>
      </c>
      <c r="E1277" s="86" t="s">
        <v>523</v>
      </c>
      <c r="F1277" s="85" t="s">
        <v>2080</v>
      </c>
      <c r="G1277" s="297" t="s">
        <v>987</v>
      </c>
      <c r="J1277" s="298" t="s">
        <v>286</v>
      </c>
      <c r="K1277" s="299" t="s">
        <v>2168</v>
      </c>
      <c r="L1277" s="3" t="s">
        <v>100</v>
      </c>
      <c r="M1277" s="51" t="str">
        <f t="shared" si="1549"/>
        <v>JD8G-9D683-AA</v>
      </c>
      <c r="O1277" s="89">
        <v>1</v>
      </c>
      <c r="P1277" s="89">
        <v>1</v>
      </c>
      <c r="Q1277" s="89">
        <v>1</v>
      </c>
      <c r="R1277" s="89">
        <v>1</v>
      </c>
      <c r="S1277" s="89">
        <v>0</v>
      </c>
      <c r="T1277" s="89">
        <v>0</v>
      </c>
      <c r="U1277" s="89">
        <v>1</v>
      </c>
      <c r="V1277" s="89">
        <v>0</v>
      </c>
      <c r="W1277" s="164">
        <f t="shared" si="1516"/>
        <v>0.72000000000000008</v>
      </c>
      <c r="Y1277" s="8">
        <f ca="1">AD1277-AC1277</f>
        <v>-106.71671169073124</v>
      </c>
      <c r="Z1277" s="63">
        <v>0</v>
      </c>
      <c r="AA1277" s="63">
        <v>0</v>
      </c>
      <c r="AB1277" s="63">
        <v>0</v>
      </c>
      <c r="AC1277" s="63">
        <v>2.976711690731253</v>
      </c>
      <c r="AD1277" s="8">
        <f t="shared" ca="1" si="1559"/>
        <v>-103.74</v>
      </c>
      <c r="AE1277" s="2" t="s">
        <v>84</v>
      </c>
      <c r="AG1277" s="302">
        <v>-96600</v>
      </c>
      <c r="AH1277" s="302">
        <v>-96600</v>
      </c>
      <c r="AJ1277" s="300">
        <v>0</v>
      </c>
      <c r="AK1277" s="176">
        <v>0</v>
      </c>
      <c r="AM1277" s="22"/>
      <c r="AO1277" s="298" t="s">
        <v>286</v>
      </c>
      <c r="AP1277" s="297" t="s">
        <v>2168</v>
      </c>
      <c r="AQ1277" s="3" t="s">
        <v>100</v>
      </c>
      <c r="AR1277" s="90" t="str">
        <f t="shared" si="1566"/>
        <v>JD8G-9D683-AA</v>
      </c>
      <c r="AT1277" s="89">
        <v>1</v>
      </c>
      <c r="AU1277" s="89">
        <v>1</v>
      </c>
      <c r="AV1277" s="89">
        <v>1</v>
      </c>
      <c r="AW1277" s="89">
        <v>1</v>
      </c>
      <c r="AX1277" s="89">
        <v>0</v>
      </c>
      <c r="AY1277" s="89">
        <v>0</v>
      </c>
      <c r="AZ1277" s="89">
        <v>1</v>
      </c>
      <c r="BA1277" s="89">
        <v>0</v>
      </c>
      <c r="BB1277" s="89">
        <f t="shared" si="1511"/>
        <v>0.72000000000000008</v>
      </c>
      <c r="BD1277" s="60">
        <v>-103.74</v>
      </c>
      <c r="BE1277" s="63">
        <v>0</v>
      </c>
      <c r="BF1277" s="63">
        <v>0</v>
      </c>
      <c r="BG1277" s="63">
        <v>0</v>
      </c>
      <c r="BH1277" s="63">
        <v>0</v>
      </c>
      <c r="BI1277" s="8">
        <f t="shared" si="1560"/>
        <v>-103.74</v>
      </c>
      <c r="BJ1277" s="2" t="s">
        <v>84</v>
      </c>
      <c r="BL1277" s="302">
        <v>-96600</v>
      </c>
      <c r="BM1277" s="302">
        <v>-96600</v>
      </c>
      <c r="BN1277" s="267"/>
      <c r="BO1277" s="63">
        <v>0</v>
      </c>
      <c r="BP1277" s="63">
        <v>0</v>
      </c>
      <c r="BQ1277" s="2">
        <v>0</v>
      </c>
      <c r="BS1277" s="61">
        <f t="shared" ca="1" si="1551"/>
        <v>-2.9767116907312499</v>
      </c>
      <c r="BT1277" s="61">
        <f t="shared" si="1552"/>
        <v>0</v>
      </c>
      <c r="BU1277" s="61">
        <f t="shared" si="1553"/>
        <v>0</v>
      </c>
      <c r="BV1277" s="61">
        <f t="shared" si="1553"/>
        <v>0</v>
      </c>
      <c r="BW1277" s="61">
        <f t="shared" si="1553"/>
        <v>2.976711690731253</v>
      </c>
      <c r="BX1277" s="63">
        <f t="shared" ca="1" si="1553"/>
        <v>0</v>
      </c>
      <c r="BY1277" s="61" t="s">
        <v>91</v>
      </c>
      <c r="CA1277" s="61">
        <f t="shared" ca="1" si="1546"/>
        <v>-0.44782784575466372</v>
      </c>
      <c r="CB1277" s="61">
        <f t="shared" ca="1" si="1546"/>
        <v>-0.44782784575466372</v>
      </c>
      <c r="CC1277" s="61">
        <f t="shared" ca="1" si="1546"/>
        <v>-0.44782784575466372</v>
      </c>
      <c r="CD1277" s="61">
        <f t="shared" ca="1" si="1546"/>
        <v>-0.44782784575466372</v>
      </c>
      <c r="CE1277" s="61">
        <f t="shared" ca="1" si="1479"/>
        <v>0</v>
      </c>
      <c r="CF1277" s="61">
        <f t="shared" ca="1" si="1479"/>
        <v>0</v>
      </c>
      <c r="CG1277" s="61">
        <f t="shared" ca="1" si="1479"/>
        <v>-0.44782784575466372</v>
      </c>
      <c r="CH1277" s="61">
        <f t="shared" ca="1" si="1479"/>
        <v>0</v>
      </c>
      <c r="CI1277" s="61">
        <f t="shared" ca="1" si="1561"/>
        <v>-0.32243604894335792</v>
      </c>
      <c r="CJ1277" s="267"/>
      <c r="CK1277" s="61">
        <f t="shared" ca="1" si="1454"/>
        <v>0</v>
      </c>
      <c r="CL1277" s="61">
        <f t="shared" ca="1" si="1454"/>
        <v>0</v>
      </c>
      <c r="CM1277" s="61">
        <f t="shared" ca="1" si="1454"/>
        <v>0</v>
      </c>
      <c r="CN1277" s="61">
        <f t="shared" ca="1" si="1446"/>
        <v>0</v>
      </c>
      <c r="CO1277" s="61">
        <f t="shared" ca="1" si="1446"/>
        <v>0</v>
      </c>
      <c r="CP1277" s="61">
        <f t="shared" ca="1" si="1446"/>
        <v>0</v>
      </c>
      <c r="CQ1277" s="61">
        <f t="shared" ca="1" si="1446"/>
        <v>0</v>
      </c>
      <c r="CR1277" s="61">
        <f t="shared" ca="1" si="1446"/>
        <v>0</v>
      </c>
      <c r="CS1277" s="61">
        <f t="shared" ca="1" si="1562"/>
        <v>0</v>
      </c>
      <c r="CT1277" s="63">
        <f t="shared" ca="1" si="1569"/>
        <v>0</v>
      </c>
      <c r="CU1277" s="73"/>
      <c r="CV1277" s="61">
        <f t="shared" si="1563"/>
        <v>0</v>
      </c>
      <c r="CW1277" s="61">
        <f t="shared" si="1564"/>
        <v>0</v>
      </c>
      <c r="CY1277" s="61">
        <f t="shared" si="1565"/>
        <v>0</v>
      </c>
      <c r="CZ1277" s="61">
        <f t="shared" si="1565"/>
        <v>0</v>
      </c>
      <c r="DA1277" s="61">
        <f t="shared" si="1565"/>
        <v>0</v>
      </c>
      <c r="DB1277" s="2" t="s">
        <v>85</v>
      </c>
      <c r="DC1277" s="2" t="s">
        <v>86</v>
      </c>
      <c r="DD1277" s="2" t="s">
        <v>87</v>
      </c>
      <c r="DE1277" s="2" t="s">
        <v>106</v>
      </c>
      <c r="DG1277" s="62"/>
      <c r="EC1277" s="60"/>
      <c r="ED1277" s="60"/>
      <c r="EE1277" s="60"/>
      <c r="EF1277" s="60"/>
      <c r="EH1277" s="60"/>
      <c r="EI1277" s="60"/>
      <c r="EJ1277" s="60"/>
    </row>
    <row r="1278" spans="2:140" ht="12.75" hidden="1" customHeight="1">
      <c r="B1278" s="1" t="s">
        <v>2169</v>
      </c>
      <c r="C1278" s="22" t="s">
        <v>2159</v>
      </c>
      <c r="D1278" s="149" t="s">
        <v>1466</v>
      </c>
      <c r="E1278" s="86" t="s">
        <v>523</v>
      </c>
      <c r="F1278" s="85" t="s">
        <v>2080</v>
      </c>
      <c r="G1278" s="297" t="s">
        <v>987</v>
      </c>
      <c r="J1278" s="298" t="s">
        <v>286</v>
      </c>
      <c r="K1278" s="299" t="s">
        <v>2168</v>
      </c>
      <c r="L1278" s="3" t="s">
        <v>132</v>
      </c>
      <c r="M1278" s="51" t="str">
        <f t="shared" si="1549"/>
        <v>JD8G-9D683-AB</v>
      </c>
      <c r="O1278" s="89">
        <v>1</v>
      </c>
      <c r="P1278" s="89">
        <v>1</v>
      </c>
      <c r="Q1278" s="89">
        <v>1</v>
      </c>
      <c r="R1278" s="89">
        <v>1</v>
      </c>
      <c r="S1278" s="89">
        <v>0</v>
      </c>
      <c r="T1278" s="89">
        <v>0</v>
      </c>
      <c r="U1278" s="89">
        <v>1</v>
      </c>
      <c r="V1278" s="89">
        <v>0</v>
      </c>
      <c r="W1278" s="164">
        <f t="shared" si="1516"/>
        <v>0.72000000000000008</v>
      </c>
      <c r="Y1278" s="8">
        <f>0.2-103.74</f>
        <v>-103.53999999999999</v>
      </c>
      <c r="Z1278" s="63">
        <v>0</v>
      </c>
      <c r="AA1278" s="63">
        <v>0</v>
      </c>
      <c r="AB1278" s="63">
        <v>0</v>
      </c>
      <c r="AC1278" s="63">
        <v>0</v>
      </c>
      <c r="AD1278" s="8">
        <f t="shared" ref="AD1278:AD1279" si="1592">SUM(Y1278:AC1278)</f>
        <v>-103.53999999999999</v>
      </c>
      <c r="AE1278" s="2" t="s">
        <v>84</v>
      </c>
      <c r="AG1278" s="302">
        <v>-96600</v>
      </c>
      <c r="AH1278" s="302">
        <v>-96600</v>
      </c>
      <c r="AJ1278" s="300">
        <v>0</v>
      </c>
      <c r="AK1278" s="176">
        <v>0</v>
      </c>
      <c r="AM1278" s="22"/>
      <c r="AO1278" s="298" t="s">
        <v>286</v>
      </c>
      <c r="AP1278" s="297" t="s">
        <v>2168</v>
      </c>
      <c r="AQ1278" s="3" t="s">
        <v>100</v>
      </c>
      <c r="AR1278" s="90" t="str">
        <f t="shared" si="1566"/>
        <v>JD8G-9D683-AA</v>
      </c>
      <c r="AT1278" s="89">
        <v>1</v>
      </c>
      <c r="AU1278" s="89">
        <v>1</v>
      </c>
      <c r="AV1278" s="89">
        <v>1</v>
      </c>
      <c r="AW1278" s="89">
        <v>1</v>
      </c>
      <c r="AX1278" s="89">
        <v>0</v>
      </c>
      <c r="AY1278" s="89">
        <v>0</v>
      </c>
      <c r="AZ1278" s="89">
        <v>1</v>
      </c>
      <c r="BA1278" s="89">
        <v>0</v>
      </c>
      <c r="BB1278" s="89">
        <f t="shared" si="1511"/>
        <v>0.72000000000000008</v>
      </c>
      <c r="BD1278" s="60">
        <v>-103.74</v>
      </c>
      <c r="BE1278" s="63">
        <v>0</v>
      </c>
      <c r="BF1278" s="63">
        <v>0</v>
      </c>
      <c r="BG1278" s="63">
        <v>0</v>
      </c>
      <c r="BH1278" s="63">
        <v>0</v>
      </c>
      <c r="BI1278" s="8">
        <f t="shared" ref="BI1278" si="1593">SUM(BD1278:BH1278)</f>
        <v>-103.74</v>
      </c>
      <c r="BJ1278" s="2" t="s">
        <v>84</v>
      </c>
      <c r="BL1278" s="302">
        <v>-96600</v>
      </c>
      <c r="BM1278" s="302">
        <v>-96600</v>
      </c>
      <c r="BN1278" s="267"/>
      <c r="BO1278" s="63">
        <v>0</v>
      </c>
      <c r="BP1278" s="63">
        <v>0</v>
      </c>
      <c r="BQ1278" s="2">
        <v>0</v>
      </c>
      <c r="BS1278" s="61">
        <f t="shared" si="1551"/>
        <v>0.20000000000000284</v>
      </c>
      <c r="BT1278" s="61">
        <f t="shared" si="1552"/>
        <v>0</v>
      </c>
      <c r="BU1278" s="61">
        <f t="shared" si="1553"/>
        <v>0</v>
      </c>
      <c r="BV1278" s="61">
        <f t="shared" si="1553"/>
        <v>0</v>
      </c>
      <c r="BW1278" s="61">
        <f t="shared" si="1553"/>
        <v>0</v>
      </c>
      <c r="BX1278" s="63">
        <f t="shared" si="1553"/>
        <v>0.20000000000000284</v>
      </c>
      <c r="BY1278" s="61" t="s">
        <v>91</v>
      </c>
      <c r="CA1278" s="61">
        <f t="shared" si="1546"/>
        <v>3.0088761847450404E-2</v>
      </c>
      <c r="CB1278" s="61">
        <f t="shared" si="1546"/>
        <v>3.0088761847450404E-2</v>
      </c>
      <c r="CC1278" s="61">
        <f t="shared" si="1546"/>
        <v>3.0088761847450404E-2</v>
      </c>
      <c r="CD1278" s="61">
        <f t="shared" si="1546"/>
        <v>3.0088761847450404E-2</v>
      </c>
      <c r="CE1278" s="61">
        <f t="shared" si="1479"/>
        <v>0</v>
      </c>
      <c r="CF1278" s="61">
        <f t="shared" si="1479"/>
        <v>0</v>
      </c>
      <c r="CG1278" s="61">
        <f t="shared" si="1479"/>
        <v>3.0088761847450404E-2</v>
      </c>
      <c r="CH1278" s="61">
        <f t="shared" si="1479"/>
        <v>0</v>
      </c>
      <c r="CI1278" s="61">
        <f t="shared" si="1561"/>
        <v>2.166390853016429E-2</v>
      </c>
      <c r="CJ1278" s="267"/>
      <c r="CK1278" s="61">
        <f t="shared" si="1454"/>
        <v>3.0088761847450404E-2</v>
      </c>
      <c r="CL1278" s="61">
        <f t="shared" si="1454"/>
        <v>3.0088761847450404E-2</v>
      </c>
      <c r="CM1278" s="61">
        <f t="shared" si="1454"/>
        <v>3.0088761847450404E-2</v>
      </c>
      <c r="CN1278" s="61">
        <f t="shared" si="1454"/>
        <v>3.0088761847450404E-2</v>
      </c>
      <c r="CO1278" s="61">
        <f t="shared" si="1454"/>
        <v>0</v>
      </c>
      <c r="CP1278" s="61">
        <f t="shared" si="1454"/>
        <v>0</v>
      </c>
      <c r="CQ1278" s="61">
        <f t="shared" si="1454"/>
        <v>3.0088761847450404E-2</v>
      </c>
      <c r="CR1278" s="61">
        <f t="shared" si="1454"/>
        <v>0</v>
      </c>
      <c r="CS1278" s="61">
        <f t="shared" si="1562"/>
        <v>2.166390853016429E-2</v>
      </c>
      <c r="CT1278" s="63">
        <f t="shared" si="1569"/>
        <v>0.14400000000000204</v>
      </c>
      <c r="CU1278" s="73"/>
      <c r="CV1278" s="61">
        <f t="shared" ref="CV1278" si="1594">SUM(AG1278)-SUM(BL1278)</f>
        <v>0</v>
      </c>
      <c r="CW1278" s="61">
        <f t="shared" si="1564"/>
        <v>0</v>
      </c>
      <c r="CY1278" s="61">
        <f t="shared" si="1565"/>
        <v>0</v>
      </c>
      <c r="CZ1278" s="61">
        <f t="shared" si="1565"/>
        <v>0</v>
      </c>
      <c r="DA1278" s="61">
        <f t="shared" si="1565"/>
        <v>0</v>
      </c>
      <c r="DB1278" s="2" t="s">
        <v>85</v>
      </c>
      <c r="DC1278" s="2" t="s">
        <v>86</v>
      </c>
      <c r="DD1278" s="2" t="s">
        <v>87</v>
      </c>
      <c r="DE1278" s="2" t="s">
        <v>106</v>
      </c>
      <c r="DF1278" s="3" t="s">
        <v>86</v>
      </c>
      <c r="DG1278" s="62">
        <v>43125</v>
      </c>
      <c r="EC1278" s="60"/>
      <c r="ED1278" s="60"/>
      <c r="EE1278" s="60"/>
      <c r="EF1278" s="60"/>
    </row>
    <row r="1279" spans="2:140" ht="12.75" hidden="1" customHeight="1">
      <c r="B1279" s="1" t="s">
        <v>1462</v>
      </c>
      <c r="C1279" s="22" t="s">
        <v>2159</v>
      </c>
      <c r="D1279" s="149" t="s">
        <v>1466</v>
      </c>
      <c r="E1279" s="86" t="s">
        <v>523</v>
      </c>
      <c r="F1279" s="85" t="s">
        <v>2080</v>
      </c>
      <c r="G1279" s="297" t="s">
        <v>987</v>
      </c>
      <c r="J1279" s="298" t="s">
        <v>286</v>
      </c>
      <c r="K1279" s="299" t="s">
        <v>2168</v>
      </c>
      <c r="L1279" s="3" t="s">
        <v>132</v>
      </c>
      <c r="M1279" s="51" t="str">
        <f t="shared" si="1549"/>
        <v>JD8G-9D683-AB</v>
      </c>
      <c r="O1279" s="89">
        <v>1</v>
      </c>
      <c r="P1279" s="89">
        <v>1</v>
      </c>
      <c r="Q1279" s="89">
        <v>1</v>
      </c>
      <c r="R1279" s="89">
        <v>1</v>
      </c>
      <c r="S1279" s="89">
        <v>0</v>
      </c>
      <c r="T1279" s="89">
        <v>0</v>
      </c>
      <c r="U1279" s="89">
        <v>1</v>
      </c>
      <c r="V1279" s="89">
        <v>0</v>
      </c>
      <c r="W1279" s="164">
        <f t="shared" si="1516"/>
        <v>0.72000000000000008</v>
      </c>
      <c r="Y1279" s="8">
        <f>0.2-103.74</f>
        <v>-103.53999999999999</v>
      </c>
      <c r="Z1279" s="63">
        <v>0</v>
      </c>
      <c r="AA1279" s="63">
        <v>0</v>
      </c>
      <c r="AB1279" s="63">
        <v>0</v>
      </c>
      <c r="AC1279" s="63">
        <v>0</v>
      </c>
      <c r="AD1279" s="8">
        <f t="shared" si="1592"/>
        <v>-103.53999999999999</v>
      </c>
      <c r="AE1279" s="2" t="s">
        <v>84</v>
      </c>
      <c r="AG1279" s="302">
        <v>-96600</v>
      </c>
      <c r="AH1279" s="302">
        <v>-96600</v>
      </c>
      <c r="AJ1279" s="300">
        <v>0</v>
      </c>
      <c r="AK1279" s="176">
        <v>0</v>
      </c>
      <c r="AM1279" s="22"/>
      <c r="AO1279" s="298" t="s">
        <v>286</v>
      </c>
      <c r="AP1279" s="297" t="s">
        <v>2168</v>
      </c>
      <c r="AQ1279" s="3" t="s">
        <v>132</v>
      </c>
      <c r="AR1279" s="90" t="str">
        <f t="shared" si="1566"/>
        <v>JD8G-9D683-AB</v>
      </c>
      <c r="AT1279" s="89">
        <v>1</v>
      </c>
      <c r="AU1279" s="89">
        <v>1</v>
      </c>
      <c r="AV1279" s="89">
        <v>1</v>
      </c>
      <c r="AW1279" s="89">
        <v>1</v>
      </c>
      <c r="AX1279" s="89">
        <v>0</v>
      </c>
      <c r="AY1279" s="89">
        <v>0</v>
      </c>
      <c r="AZ1279" s="89">
        <v>1</v>
      </c>
      <c r="BA1279" s="89">
        <v>0</v>
      </c>
      <c r="BB1279" s="89">
        <f t="shared" si="1511"/>
        <v>0.72000000000000008</v>
      </c>
      <c r="BD1279" s="60">
        <f>0.2-103.74</f>
        <v>-103.53999999999999</v>
      </c>
      <c r="BE1279" s="63">
        <v>0</v>
      </c>
      <c r="BF1279" s="63">
        <v>0</v>
      </c>
      <c r="BG1279" s="63">
        <v>0</v>
      </c>
      <c r="BH1279" s="63">
        <v>0</v>
      </c>
      <c r="BI1279" s="8">
        <f t="shared" ref="BI1279" si="1595">SUM(BD1279:BH1279)</f>
        <v>-103.53999999999999</v>
      </c>
      <c r="BJ1279" s="2" t="s">
        <v>84</v>
      </c>
      <c r="BL1279" s="302">
        <v>-96600</v>
      </c>
      <c r="BM1279" s="302">
        <v>-96600</v>
      </c>
      <c r="BN1279" s="267"/>
      <c r="BO1279" s="63">
        <v>0</v>
      </c>
      <c r="BP1279" s="63">
        <v>0</v>
      </c>
      <c r="BQ1279" s="2">
        <v>0</v>
      </c>
      <c r="BS1279" s="61">
        <f t="shared" si="1551"/>
        <v>0</v>
      </c>
      <c r="BT1279" s="61">
        <f t="shared" si="1552"/>
        <v>0</v>
      </c>
      <c r="BU1279" s="61">
        <f t="shared" si="1553"/>
        <v>0</v>
      </c>
      <c r="BV1279" s="61">
        <f t="shared" si="1553"/>
        <v>0</v>
      </c>
      <c r="BW1279" s="61">
        <f t="shared" si="1553"/>
        <v>0</v>
      </c>
      <c r="BX1279" s="63">
        <f t="shared" si="1553"/>
        <v>0</v>
      </c>
      <c r="BY1279" s="61" t="s">
        <v>91</v>
      </c>
      <c r="CA1279" s="61">
        <f t="shared" si="1546"/>
        <v>0</v>
      </c>
      <c r="CB1279" s="61">
        <f t="shared" si="1546"/>
        <v>0</v>
      </c>
      <c r="CC1279" s="61">
        <f t="shared" si="1546"/>
        <v>0</v>
      </c>
      <c r="CD1279" s="61">
        <f t="shared" si="1546"/>
        <v>0</v>
      </c>
      <c r="CE1279" s="61">
        <f t="shared" si="1479"/>
        <v>0</v>
      </c>
      <c r="CF1279" s="61">
        <f t="shared" si="1479"/>
        <v>0</v>
      </c>
      <c r="CG1279" s="61">
        <f t="shared" si="1479"/>
        <v>0</v>
      </c>
      <c r="CH1279" s="61">
        <f t="shared" si="1479"/>
        <v>0</v>
      </c>
      <c r="CI1279" s="61">
        <f t="shared" si="1561"/>
        <v>0</v>
      </c>
      <c r="CJ1279" s="267"/>
      <c r="CK1279" s="61">
        <f t="shared" si="1454"/>
        <v>0</v>
      </c>
      <c r="CL1279" s="61">
        <f t="shared" si="1454"/>
        <v>0</v>
      </c>
      <c r="CM1279" s="61">
        <f t="shared" si="1454"/>
        <v>0</v>
      </c>
      <c r="CN1279" s="61">
        <f t="shared" si="1454"/>
        <v>0</v>
      </c>
      <c r="CO1279" s="61">
        <f t="shared" si="1454"/>
        <v>0</v>
      </c>
      <c r="CP1279" s="61">
        <f t="shared" si="1454"/>
        <v>0</v>
      </c>
      <c r="CQ1279" s="61">
        <f t="shared" si="1454"/>
        <v>0</v>
      </c>
      <c r="CR1279" s="61">
        <f t="shared" si="1454"/>
        <v>0</v>
      </c>
      <c r="CS1279" s="61">
        <f t="shared" si="1562"/>
        <v>0</v>
      </c>
      <c r="CT1279" s="63">
        <f t="shared" si="1569"/>
        <v>0</v>
      </c>
      <c r="CU1279" s="73"/>
      <c r="CV1279" s="61">
        <f t="shared" ref="CV1279" si="1596">SUM(AG1279)-SUM(BL1279)</f>
        <v>0</v>
      </c>
      <c r="CW1279" s="61">
        <f t="shared" si="1564"/>
        <v>0</v>
      </c>
      <c r="CY1279" s="61">
        <f t="shared" si="1565"/>
        <v>0</v>
      </c>
      <c r="CZ1279" s="61">
        <f t="shared" si="1565"/>
        <v>0</v>
      </c>
      <c r="DA1279" s="61">
        <f t="shared" si="1565"/>
        <v>0</v>
      </c>
      <c r="DB1279" s="2" t="s">
        <v>86</v>
      </c>
      <c r="DC1279" s="2" t="s">
        <v>85</v>
      </c>
      <c r="DD1279" s="2" t="s">
        <v>87</v>
      </c>
      <c r="DE1279" s="2" t="s">
        <v>106</v>
      </c>
      <c r="DF1279" s="3" t="s">
        <v>86</v>
      </c>
      <c r="DG1279" s="62">
        <v>43125</v>
      </c>
      <c r="EC1279" s="60" t="str">
        <f>VLOOKUP($M1279,[1]Detail!$M:$BO,1,0)</f>
        <v>JD8G-9D683-AB</v>
      </c>
      <c r="ED1279" s="60">
        <f>VLOOKUP($M1279,[1]Detail!$M:$BO,22,0)</f>
        <v>-103.53999999999999</v>
      </c>
      <c r="EE1279" s="60">
        <f>VLOOKUP($M1279,[1]Detail!$M:$BO,42,0)</f>
        <v>-96600</v>
      </c>
      <c r="EF1279" s="60">
        <f>VLOOKUP($M1279,[1]Detail!$M:$BO,45,0)</f>
        <v>0</v>
      </c>
      <c r="EH1279" s="60">
        <f>ED1279-AD1279</f>
        <v>0</v>
      </c>
      <c r="EI1279" s="60">
        <f>EE1279-AG1279</f>
        <v>0</v>
      </c>
      <c r="EJ1279" s="60">
        <f>EF1279-AJ1279</f>
        <v>0</v>
      </c>
    </row>
    <row r="1280" spans="2:140" s="131" customFormat="1" ht="12.75" hidden="1" customHeight="1">
      <c r="B1280" s="303" t="s">
        <v>2158</v>
      </c>
      <c r="C1280" s="130" t="s">
        <v>2161</v>
      </c>
      <c r="D1280" s="157" t="s">
        <v>1466</v>
      </c>
      <c r="E1280" s="304" t="s">
        <v>523</v>
      </c>
      <c r="F1280" s="142" t="s">
        <v>2080</v>
      </c>
      <c r="G1280" s="305" t="s">
        <v>987</v>
      </c>
      <c r="H1280" s="2"/>
      <c r="J1280" s="306" t="s">
        <v>286</v>
      </c>
      <c r="K1280" s="307" t="s">
        <v>2170</v>
      </c>
      <c r="L1280" s="134" t="s">
        <v>100</v>
      </c>
      <c r="M1280" s="133" t="str">
        <f t="shared" si="1549"/>
        <v>JD8G-9J280-AA</v>
      </c>
      <c r="N1280" s="134"/>
      <c r="O1280" s="308">
        <v>1</v>
      </c>
      <c r="P1280" s="308">
        <v>1</v>
      </c>
      <c r="Q1280" s="308">
        <v>1</v>
      </c>
      <c r="R1280" s="308">
        <v>1</v>
      </c>
      <c r="S1280" s="308">
        <v>0</v>
      </c>
      <c r="T1280" s="308">
        <v>0</v>
      </c>
      <c r="U1280" s="308">
        <v>1</v>
      </c>
      <c r="V1280" s="308">
        <v>0</v>
      </c>
      <c r="W1280" s="309">
        <f t="shared" si="1516"/>
        <v>0.72000000000000008</v>
      </c>
      <c r="Y1280" s="136">
        <f ca="1">AD1280-AC1280</f>
        <v>-25.173496473297828</v>
      </c>
      <c r="Z1280" s="237">
        <v>0</v>
      </c>
      <c r="AA1280" s="237">
        <v>0</v>
      </c>
      <c r="AB1280" s="237">
        <v>0</v>
      </c>
      <c r="AC1280" s="237">
        <v>-1.0665035267021701</v>
      </c>
      <c r="AD1280" s="136">
        <f t="shared" ca="1" si="1559"/>
        <v>-26.24</v>
      </c>
      <c r="AE1280" s="131" t="s">
        <v>84</v>
      </c>
      <c r="AG1280" s="310">
        <v>-287400</v>
      </c>
      <c r="AH1280" s="310">
        <v>-287400</v>
      </c>
      <c r="AJ1280" s="301">
        <v>0</v>
      </c>
      <c r="AK1280" s="311">
        <v>0</v>
      </c>
      <c r="AM1280" s="130"/>
      <c r="AO1280" s="306" t="s">
        <v>286</v>
      </c>
      <c r="AP1280" s="305" t="s">
        <v>2170</v>
      </c>
      <c r="AQ1280" s="134" t="s">
        <v>100</v>
      </c>
      <c r="AR1280" s="312" t="str">
        <f t="shared" si="1566"/>
        <v>JD8G-9J280-AA</v>
      </c>
      <c r="AT1280" s="308">
        <v>1</v>
      </c>
      <c r="AU1280" s="308">
        <v>1</v>
      </c>
      <c r="AV1280" s="308">
        <v>1</v>
      </c>
      <c r="AW1280" s="308">
        <v>1</v>
      </c>
      <c r="AX1280" s="308">
        <v>0</v>
      </c>
      <c r="AY1280" s="308">
        <v>0</v>
      </c>
      <c r="AZ1280" s="308">
        <v>1</v>
      </c>
      <c r="BA1280" s="308">
        <v>0</v>
      </c>
      <c r="BB1280" s="308">
        <f t="shared" si="1511"/>
        <v>0.72000000000000008</v>
      </c>
      <c r="BD1280" s="139">
        <f>-26.24</f>
        <v>-26.24</v>
      </c>
      <c r="BE1280" s="237">
        <v>0</v>
      </c>
      <c r="BF1280" s="237">
        <v>0</v>
      </c>
      <c r="BG1280" s="237">
        <v>0</v>
      </c>
      <c r="BH1280" s="237">
        <v>0</v>
      </c>
      <c r="BI1280" s="136">
        <f t="shared" si="1560"/>
        <v>-26.24</v>
      </c>
      <c r="BJ1280" s="131" t="s">
        <v>84</v>
      </c>
      <c r="BL1280" s="310">
        <v>-287400</v>
      </c>
      <c r="BM1280" s="310">
        <v>-287400</v>
      </c>
      <c r="BN1280" s="313"/>
      <c r="BO1280" s="237">
        <v>0</v>
      </c>
      <c r="BP1280" s="237">
        <v>0</v>
      </c>
      <c r="BQ1280" s="131">
        <v>0</v>
      </c>
      <c r="BS1280" s="61">
        <f t="shared" ca="1" si="1551"/>
        <v>1.0665035267021707</v>
      </c>
      <c r="BT1280" s="61">
        <f t="shared" si="1552"/>
        <v>0</v>
      </c>
      <c r="BU1280" s="61">
        <f t="shared" si="1553"/>
        <v>0</v>
      </c>
      <c r="BV1280" s="61">
        <f t="shared" si="1553"/>
        <v>0</v>
      </c>
      <c r="BW1280" s="61">
        <f t="shared" si="1553"/>
        <v>-1.0665035267021701</v>
      </c>
      <c r="BX1280" s="63">
        <f t="shared" ca="1" si="1553"/>
        <v>0</v>
      </c>
      <c r="BY1280" s="61" t="s">
        <v>91</v>
      </c>
      <c r="BZ1280" s="2"/>
      <c r="CA1280" s="61">
        <f t="shared" ca="1" si="1546"/>
        <v>0.16044885312203561</v>
      </c>
      <c r="CB1280" s="61">
        <f t="shared" ca="1" si="1546"/>
        <v>0.16044885312203561</v>
      </c>
      <c r="CC1280" s="61">
        <f t="shared" ca="1" si="1546"/>
        <v>0.16044885312203561</v>
      </c>
      <c r="CD1280" s="61">
        <f t="shared" ca="1" si="1546"/>
        <v>0.16044885312203561</v>
      </c>
      <c r="CE1280" s="61">
        <f t="shared" ca="1" si="1479"/>
        <v>0</v>
      </c>
      <c r="CF1280" s="61">
        <f t="shared" ca="1" si="1479"/>
        <v>0</v>
      </c>
      <c r="CG1280" s="61">
        <f t="shared" ca="1" si="1479"/>
        <v>0.16044885312203561</v>
      </c>
      <c r="CH1280" s="61">
        <f t="shared" ca="1" si="1479"/>
        <v>0</v>
      </c>
      <c r="CI1280" s="61">
        <f t="shared" ca="1" si="1561"/>
        <v>0.11552317424786565</v>
      </c>
      <c r="CJ1280" s="267"/>
      <c r="CK1280" s="61">
        <f t="shared" ca="1" si="1454"/>
        <v>0</v>
      </c>
      <c r="CL1280" s="61">
        <f t="shared" ca="1" si="1454"/>
        <v>0</v>
      </c>
      <c r="CM1280" s="61">
        <f t="shared" ca="1" si="1454"/>
        <v>0</v>
      </c>
      <c r="CN1280" s="61">
        <f t="shared" ca="1" si="1454"/>
        <v>0</v>
      </c>
      <c r="CO1280" s="61">
        <f t="shared" ca="1" si="1454"/>
        <v>0</v>
      </c>
      <c r="CP1280" s="61">
        <f t="shared" ca="1" si="1454"/>
        <v>0</v>
      </c>
      <c r="CQ1280" s="61">
        <f t="shared" ca="1" si="1454"/>
        <v>0</v>
      </c>
      <c r="CR1280" s="61">
        <f t="shared" ca="1" si="1454"/>
        <v>0</v>
      </c>
      <c r="CS1280" s="61">
        <f t="shared" ca="1" si="1562"/>
        <v>0</v>
      </c>
      <c r="CT1280" s="63">
        <f t="shared" ca="1" si="1569"/>
        <v>0</v>
      </c>
      <c r="CU1280" s="73"/>
      <c r="CV1280" s="61">
        <f t="shared" si="1563"/>
        <v>0</v>
      </c>
      <c r="CW1280" s="61">
        <f t="shared" si="1564"/>
        <v>0</v>
      </c>
      <c r="CX1280" s="2"/>
      <c r="CY1280" s="61">
        <f t="shared" si="1565"/>
        <v>0</v>
      </c>
      <c r="CZ1280" s="61">
        <f t="shared" si="1565"/>
        <v>0</v>
      </c>
      <c r="DA1280" s="61">
        <f t="shared" si="1565"/>
        <v>0</v>
      </c>
      <c r="DB1280" s="131" t="s">
        <v>85</v>
      </c>
      <c r="DC1280" s="131" t="s">
        <v>86</v>
      </c>
      <c r="DD1280" s="131" t="s">
        <v>87</v>
      </c>
      <c r="DE1280" s="131" t="s">
        <v>106</v>
      </c>
      <c r="DF1280" s="134"/>
      <c r="DG1280" s="141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134"/>
      <c r="EC1280" s="139"/>
      <c r="ED1280" s="139"/>
      <c r="EE1280" s="139"/>
      <c r="EF1280" s="139"/>
    </row>
    <row r="1281" spans="2:140" ht="12.75" hidden="1" customHeight="1">
      <c r="B1281" s="1" t="s">
        <v>2165</v>
      </c>
      <c r="C1281" s="22" t="s">
        <v>2161</v>
      </c>
      <c r="D1281" s="149" t="s">
        <v>1466</v>
      </c>
      <c r="E1281" s="86" t="s">
        <v>523</v>
      </c>
      <c r="F1281" s="85" t="s">
        <v>2080</v>
      </c>
      <c r="G1281" s="297" t="s">
        <v>987</v>
      </c>
      <c r="J1281" s="298" t="s">
        <v>286</v>
      </c>
      <c r="K1281" s="299" t="s">
        <v>2170</v>
      </c>
      <c r="L1281" s="3" t="s">
        <v>132</v>
      </c>
      <c r="M1281" s="51" t="str">
        <f t="shared" si="1549"/>
        <v>JD8G-9J280-AB</v>
      </c>
      <c r="O1281" s="89">
        <v>1</v>
      </c>
      <c r="P1281" s="89">
        <v>1</v>
      </c>
      <c r="Q1281" s="89">
        <v>1</v>
      </c>
      <c r="R1281" s="89">
        <v>1</v>
      </c>
      <c r="S1281" s="89">
        <v>0</v>
      </c>
      <c r="T1281" s="89">
        <v>0</v>
      </c>
      <c r="U1281" s="89">
        <v>1</v>
      </c>
      <c r="V1281" s="89">
        <v>0</v>
      </c>
      <c r="W1281" s="164">
        <f t="shared" si="1516"/>
        <v>0.72000000000000008</v>
      </c>
      <c r="Y1281" s="8">
        <f>-26.24-3.1</f>
        <v>-29.34</v>
      </c>
      <c r="Z1281" s="63">
        <v>0</v>
      </c>
      <c r="AA1281" s="63">
        <v>0</v>
      </c>
      <c r="AB1281" s="63">
        <v>0</v>
      </c>
      <c r="AC1281" s="63">
        <v>0</v>
      </c>
      <c r="AD1281" s="8">
        <f t="shared" ref="AD1281" si="1597">SUM(Y1281:AC1281)</f>
        <v>-29.34</v>
      </c>
      <c r="AE1281" s="2" t="s">
        <v>84</v>
      </c>
      <c r="AG1281" s="300">
        <f>-287400-64800</f>
        <v>-352200</v>
      </c>
      <c r="AH1281" s="300">
        <f>-287400-64800</f>
        <v>-352200</v>
      </c>
      <c r="AJ1281" s="300">
        <v>0</v>
      </c>
      <c r="AK1281" s="176">
        <v>0</v>
      </c>
      <c r="AM1281" s="22"/>
      <c r="AO1281" s="298" t="s">
        <v>286</v>
      </c>
      <c r="AP1281" s="299" t="s">
        <v>2170</v>
      </c>
      <c r="AQ1281" s="3" t="s">
        <v>100</v>
      </c>
      <c r="AR1281" s="51" t="str">
        <f t="shared" si="1566"/>
        <v>JD8G-9J280-AA</v>
      </c>
      <c r="AS1281" s="3"/>
      <c r="AT1281" s="89">
        <v>1</v>
      </c>
      <c r="AU1281" s="89">
        <v>1</v>
      </c>
      <c r="AV1281" s="89">
        <v>1</v>
      </c>
      <c r="AW1281" s="89">
        <v>1</v>
      </c>
      <c r="AX1281" s="89">
        <v>0</v>
      </c>
      <c r="AY1281" s="89">
        <v>0</v>
      </c>
      <c r="AZ1281" s="89">
        <v>1</v>
      </c>
      <c r="BA1281" s="89">
        <v>0</v>
      </c>
      <c r="BB1281" s="164">
        <f t="shared" si="1511"/>
        <v>0.72000000000000008</v>
      </c>
      <c r="BD1281" s="8">
        <f>-26.24</f>
        <v>-26.24</v>
      </c>
      <c r="BE1281" s="63">
        <v>0</v>
      </c>
      <c r="BF1281" s="63">
        <v>0</v>
      </c>
      <c r="BG1281" s="63">
        <v>0</v>
      </c>
      <c r="BH1281" s="63">
        <v>0</v>
      </c>
      <c r="BI1281" s="8">
        <f t="shared" ref="BI1281" si="1598">SUM(BD1281:BH1281)</f>
        <v>-26.24</v>
      </c>
      <c r="BJ1281" s="2" t="s">
        <v>84</v>
      </c>
      <c r="BL1281" s="61">
        <v>-287400</v>
      </c>
      <c r="BM1281" s="61">
        <v>-287400</v>
      </c>
      <c r="BN1281" s="267"/>
      <c r="BO1281" s="63">
        <v>0</v>
      </c>
      <c r="BP1281" s="63">
        <v>0</v>
      </c>
      <c r="BQ1281" s="2">
        <v>0</v>
      </c>
      <c r="BS1281" s="61">
        <f t="shared" si="1551"/>
        <v>-3.1000000000000014</v>
      </c>
      <c r="BT1281" s="61">
        <f t="shared" si="1552"/>
        <v>0</v>
      </c>
      <c r="BU1281" s="61">
        <f t="shared" si="1553"/>
        <v>0</v>
      </c>
      <c r="BV1281" s="61">
        <f t="shared" si="1553"/>
        <v>0</v>
      </c>
      <c r="BW1281" s="61">
        <f t="shared" si="1553"/>
        <v>0</v>
      </c>
      <c r="BX1281" s="63">
        <f t="shared" si="1553"/>
        <v>-3.1000000000000014</v>
      </c>
      <c r="BY1281" s="61" t="s">
        <v>91</v>
      </c>
      <c r="CA1281" s="61">
        <f t="shared" si="1546"/>
        <v>-0.46637580863547484</v>
      </c>
      <c r="CB1281" s="61">
        <f t="shared" si="1546"/>
        <v>-0.46637580863547484</v>
      </c>
      <c r="CC1281" s="61">
        <f t="shared" si="1546"/>
        <v>-0.46637580863547484</v>
      </c>
      <c r="CD1281" s="61">
        <f t="shared" si="1546"/>
        <v>-0.46637580863547484</v>
      </c>
      <c r="CE1281" s="61">
        <f t="shared" si="1479"/>
        <v>0</v>
      </c>
      <c r="CF1281" s="61">
        <f t="shared" si="1479"/>
        <v>0</v>
      </c>
      <c r="CG1281" s="61">
        <f t="shared" si="1479"/>
        <v>-0.46637580863547484</v>
      </c>
      <c r="CH1281" s="61">
        <f t="shared" si="1479"/>
        <v>0</v>
      </c>
      <c r="CI1281" s="61">
        <f t="shared" si="1561"/>
        <v>-0.33579058221754193</v>
      </c>
      <c r="CJ1281" s="267"/>
      <c r="CK1281" s="61">
        <f t="shared" si="1454"/>
        <v>-0.46637580863547484</v>
      </c>
      <c r="CL1281" s="61">
        <f t="shared" si="1454"/>
        <v>-0.46637580863547484</v>
      </c>
      <c r="CM1281" s="61">
        <f t="shared" si="1454"/>
        <v>-0.46637580863547484</v>
      </c>
      <c r="CN1281" s="61">
        <f t="shared" si="1454"/>
        <v>-0.46637580863547484</v>
      </c>
      <c r="CO1281" s="61">
        <f t="shared" si="1454"/>
        <v>0</v>
      </c>
      <c r="CP1281" s="61">
        <f t="shared" si="1454"/>
        <v>0</v>
      </c>
      <c r="CQ1281" s="61">
        <f t="shared" si="1454"/>
        <v>-0.46637580863547484</v>
      </c>
      <c r="CR1281" s="61">
        <f t="shared" si="1454"/>
        <v>0</v>
      </c>
      <c r="CS1281" s="61">
        <f t="shared" si="1562"/>
        <v>-0.33579058221754193</v>
      </c>
      <c r="CT1281" s="63">
        <f t="shared" si="1569"/>
        <v>-2.2320000000000011</v>
      </c>
      <c r="CU1281" s="73"/>
      <c r="CV1281" s="61">
        <f t="shared" ref="CV1281" si="1599">SUM(AG1281)-SUM(BL1281)</f>
        <v>-64800</v>
      </c>
      <c r="CW1281" s="61">
        <f t="shared" si="1564"/>
        <v>-64800</v>
      </c>
      <c r="CY1281" s="61">
        <f t="shared" si="1565"/>
        <v>0</v>
      </c>
      <c r="CZ1281" s="61">
        <f t="shared" si="1565"/>
        <v>0</v>
      </c>
      <c r="DA1281" s="61">
        <f t="shared" si="1565"/>
        <v>0</v>
      </c>
      <c r="DB1281" s="2" t="s">
        <v>86</v>
      </c>
      <c r="DC1281" s="2" t="s">
        <v>85</v>
      </c>
      <c r="DD1281" s="2" t="s">
        <v>87</v>
      </c>
      <c r="DE1281" s="2" t="s">
        <v>106</v>
      </c>
      <c r="DF1281" s="3" t="s">
        <v>86</v>
      </c>
      <c r="DG1281" s="62">
        <v>43125</v>
      </c>
      <c r="EC1281" s="60" t="str">
        <f>VLOOKUP($M1281,[1]Detail!$M:$BO,1,0)</f>
        <v>JD8G-9J280-AB</v>
      </c>
      <c r="ED1281" s="60">
        <f>VLOOKUP($M1281,[1]Detail!$M:$BO,22,0)</f>
        <v>-29.34</v>
      </c>
      <c r="EE1281" s="60">
        <f>VLOOKUP($M1281,[1]Detail!$M:$BO,42,0)</f>
        <v>-352200</v>
      </c>
      <c r="EF1281" s="60">
        <f>VLOOKUP($M1281,[1]Detail!$M:$BO,45,0)</f>
        <v>0</v>
      </c>
      <c r="EH1281" s="60">
        <f t="shared" ref="EH1281" si="1600">ED1281-AD1281</f>
        <v>0</v>
      </c>
      <c r="EI1281" s="60">
        <f t="shared" ref="EI1281" si="1601">EE1281-AG1281</f>
        <v>0</v>
      </c>
      <c r="EJ1281" s="60">
        <f t="shared" ref="EJ1281" si="1602">EF1281-AJ1281</f>
        <v>0</v>
      </c>
    </row>
    <row r="1282" spans="2:140" ht="12.75" hidden="1" customHeight="1">
      <c r="B1282" s="1" t="s">
        <v>2158</v>
      </c>
      <c r="C1282" s="22" t="s">
        <v>2159</v>
      </c>
      <c r="D1282" s="149" t="s">
        <v>1466</v>
      </c>
      <c r="E1282" s="86" t="s">
        <v>523</v>
      </c>
      <c r="F1282" s="85" t="s">
        <v>2080</v>
      </c>
      <c r="G1282" s="297" t="s">
        <v>987</v>
      </c>
      <c r="J1282" s="298" t="s">
        <v>286</v>
      </c>
      <c r="K1282" s="299" t="s">
        <v>2170</v>
      </c>
      <c r="L1282" s="3" t="s">
        <v>111</v>
      </c>
      <c r="M1282" s="51" t="str">
        <f t="shared" si="1549"/>
        <v>JD8G-9J280-BA</v>
      </c>
      <c r="O1282" s="89">
        <v>0</v>
      </c>
      <c r="P1282" s="89">
        <v>0</v>
      </c>
      <c r="Q1282" s="89">
        <v>0</v>
      </c>
      <c r="R1282" s="89">
        <v>0</v>
      </c>
      <c r="S1282" s="89">
        <v>1</v>
      </c>
      <c r="T1282" s="89">
        <v>1</v>
      </c>
      <c r="U1282" s="89">
        <v>0</v>
      </c>
      <c r="V1282" s="89">
        <v>1</v>
      </c>
      <c r="W1282" s="164">
        <f t="shared" si="1516"/>
        <v>0.28000000000000003</v>
      </c>
      <c r="Y1282" s="8">
        <f ca="1">AD1282-AC1282</f>
        <v>-75.259999999999991</v>
      </c>
      <c r="Z1282" s="63">
        <v>0</v>
      </c>
      <c r="AA1282" s="63">
        <v>0</v>
      </c>
      <c r="AB1282" s="63">
        <v>0</v>
      </c>
      <c r="AC1282" s="63">
        <v>-0.18</v>
      </c>
      <c r="AD1282" s="8">
        <f t="shared" ca="1" si="1559"/>
        <v>-75.44</v>
      </c>
      <c r="AE1282" s="2" t="s">
        <v>84</v>
      </c>
      <c r="AG1282" s="302">
        <v>-64800</v>
      </c>
      <c r="AH1282" s="302">
        <v>-64800</v>
      </c>
      <c r="AJ1282" s="300">
        <v>0</v>
      </c>
      <c r="AK1282" s="176">
        <v>0</v>
      </c>
      <c r="AM1282" s="22"/>
      <c r="AO1282" s="298" t="s">
        <v>1460</v>
      </c>
      <c r="AP1282" s="297" t="s">
        <v>2170</v>
      </c>
      <c r="AQ1282" s="3" t="s">
        <v>234</v>
      </c>
      <c r="AR1282" s="90" t="str">
        <f t="shared" si="1566"/>
        <v>ED8G-9J280-AC</v>
      </c>
      <c r="AT1282" s="89">
        <v>0</v>
      </c>
      <c r="AU1282" s="89">
        <v>0</v>
      </c>
      <c r="AV1282" s="89">
        <v>0</v>
      </c>
      <c r="AW1282" s="89">
        <v>0</v>
      </c>
      <c r="AX1282" s="89">
        <v>1</v>
      </c>
      <c r="AY1282" s="89">
        <v>1</v>
      </c>
      <c r="AZ1282" s="89">
        <v>0</v>
      </c>
      <c r="BA1282" s="89">
        <v>1</v>
      </c>
      <c r="BB1282" s="89">
        <f t="shared" si="1511"/>
        <v>0.28000000000000003</v>
      </c>
      <c r="BD1282" s="60">
        <v>-19.16</v>
      </c>
      <c r="BE1282" s="63">
        <v>0</v>
      </c>
      <c r="BF1282" s="63">
        <v>0</v>
      </c>
      <c r="BG1282" s="63">
        <v>0</v>
      </c>
      <c r="BH1282" s="63">
        <v>0</v>
      </c>
      <c r="BI1282" s="8">
        <f t="shared" si="1560"/>
        <v>-19.16</v>
      </c>
      <c r="BJ1282" s="2" t="s">
        <v>84</v>
      </c>
      <c r="BL1282" s="63"/>
      <c r="BM1282" s="63">
        <v>0</v>
      </c>
      <c r="BN1282" s="267"/>
      <c r="BO1282" s="63">
        <v>0</v>
      </c>
      <c r="BP1282" s="63">
        <v>0</v>
      </c>
      <c r="BQ1282" s="2">
        <v>0</v>
      </c>
      <c r="BS1282" s="61">
        <f t="shared" ca="1" si="1551"/>
        <v>-56.099999999999994</v>
      </c>
      <c r="BT1282" s="61">
        <f t="shared" si="1552"/>
        <v>0</v>
      </c>
      <c r="BU1282" s="61">
        <f t="shared" si="1553"/>
        <v>0</v>
      </c>
      <c r="BV1282" s="61">
        <f t="shared" si="1553"/>
        <v>0</v>
      </c>
      <c r="BW1282" s="61">
        <f t="shared" si="1553"/>
        <v>-0.18</v>
      </c>
      <c r="BX1282" s="63">
        <f t="shared" ca="1" si="1553"/>
        <v>-56.28</v>
      </c>
      <c r="BY1282" s="61" t="s">
        <v>91</v>
      </c>
      <c r="CA1282" s="61">
        <f t="shared" ca="1" si="1546"/>
        <v>0</v>
      </c>
      <c r="CB1282" s="61">
        <f t="shared" ca="1" si="1546"/>
        <v>0</v>
      </c>
      <c r="CC1282" s="61">
        <f t="shared" ca="1" si="1546"/>
        <v>0</v>
      </c>
      <c r="CD1282" s="61">
        <f t="shared" ca="1" si="1546"/>
        <v>0</v>
      </c>
      <c r="CE1282" s="61">
        <f t="shared" ca="1" si="1479"/>
        <v>-8.4398976982097178</v>
      </c>
      <c r="CF1282" s="61">
        <f t="shared" ca="1" si="1479"/>
        <v>-8.4398976982097178</v>
      </c>
      <c r="CG1282" s="61">
        <f t="shared" ca="1" si="1479"/>
        <v>0</v>
      </c>
      <c r="CH1282" s="61">
        <f t="shared" ca="1" si="1479"/>
        <v>-8.4398976982097178</v>
      </c>
      <c r="CI1282" s="61">
        <f t="shared" ca="1" si="1561"/>
        <v>-2.363171355498721</v>
      </c>
      <c r="CJ1282" s="267"/>
      <c r="CK1282" s="61">
        <f t="shared" ca="1" si="1454"/>
        <v>0</v>
      </c>
      <c r="CL1282" s="61">
        <f t="shared" ca="1" si="1454"/>
        <v>0</v>
      </c>
      <c r="CM1282" s="61">
        <f t="shared" ca="1" si="1454"/>
        <v>0</v>
      </c>
      <c r="CN1282" s="61">
        <f t="shared" ca="1" si="1454"/>
        <v>0</v>
      </c>
      <c r="CO1282" s="61">
        <f t="shared" ca="1" si="1454"/>
        <v>-8.4669775838724242</v>
      </c>
      <c r="CP1282" s="61">
        <f t="shared" ca="1" si="1454"/>
        <v>-8.4669775838724242</v>
      </c>
      <c r="CQ1282" s="61">
        <f t="shared" ca="1" si="1454"/>
        <v>0</v>
      </c>
      <c r="CR1282" s="61">
        <f t="shared" ca="1" si="1454"/>
        <v>-8.4669775838724242</v>
      </c>
      <c r="CS1282" s="61">
        <f t="shared" ca="1" si="1562"/>
        <v>-2.3707537234842788</v>
      </c>
      <c r="CT1282" s="63">
        <f t="shared" ca="1" si="1569"/>
        <v>-15.758400000000002</v>
      </c>
      <c r="CU1282" s="73"/>
      <c r="CV1282" s="61">
        <f t="shared" si="1563"/>
        <v>-64800</v>
      </c>
      <c r="CW1282" s="61">
        <f t="shared" si="1564"/>
        <v>-64800</v>
      </c>
      <c r="CY1282" s="61">
        <f t="shared" si="1565"/>
        <v>0</v>
      </c>
      <c r="CZ1282" s="61">
        <f t="shared" si="1565"/>
        <v>0</v>
      </c>
      <c r="DA1282" s="61">
        <f t="shared" si="1565"/>
        <v>0</v>
      </c>
      <c r="DB1282" s="2" t="s">
        <v>85</v>
      </c>
      <c r="DC1282" s="2" t="s">
        <v>86</v>
      </c>
      <c r="DD1282" s="2" t="s">
        <v>87</v>
      </c>
      <c r="DE1282" s="2" t="s">
        <v>106</v>
      </c>
      <c r="DG1282" s="62"/>
      <c r="EC1282" s="60"/>
      <c r="ED1282" s="60"/>
      <c r="EE1282" s="60"/>
      <c r="EF1282" s="60"/>
      <c r="EH1282" s="60"/>
      <c r="EI1282" s="60"/>
      <c r="EJ1282" s="60"/>
    </row>
    <row r="1283" spans="2:140" ht="12.75" hidden="1" customHeight="1">
      <c r="B1283" s="1" t="s">
        <v>2164</v>
      </c>
      <c r="C1283" s="22" t="s">
        <v>2159</v>
      </c>
      <c r="D1283" s="149" t="s">
        <v>1466</v>
      </c>
      <c r="E1283" s="86" t="s">
        <v>523</v>
      </c>
      <c r="F1283" s="85" t="s">
        <v>2080</v>
      </c>
      <c r="G1283" s="297" t="s">
        <v>987</v>
      </c>
      <c r="J1283" s="298" t="s">
        <v>286</v>
      </c>
      <c r="K1283" s="299" t="s">
        <v>2170</v>
      </c>
      <c r="L1283" s="3" t="s">
        <v>111</v>
      </c>
      <c r="M1283" s="51" t="str">
        <f t="shared" si="1549"/>
        <v>JD8G-9J280-BA</v>
      </c>
      <c r="O1283" s="89">
        <v>0</v>
      </c>
      <c r="P1283" s="89">
        <v>0</v>
      </c>
      <c r="Q1283" s="89">
        <v>0</v>
      </c>
      <c r="R1283" s="89">
        <v>0</v>
      </c>
      <c r="S1283" s="89">
        <v>1</v>
      </c>
      <c r="T1283" s="89">
        <v>1</v>
      </c>
      <c r="U1283" s="89">
        <v>0</v>
      </c>
      <c r="V1283" s="89">
        <v>1</v>
      </c>
      <c r="W1283" s="164">
        <f t="shared" si="1516"/>
        <v>0.28000000000000003</v>
      </c>
      <c r="Y1283" s="8">
        <f>-56.28-19.16</f>
        <v>-75.44</v>
      </c>
      <c r="Z1283" s="63">
        <v>0</v>
      </c>
      <c r="AA1283" s="63">
        <v>0</v>
      </c>
      <c r="AB1283" s="63">
        <v>0</v>
      </c>
      <c r="AC1283" s="63">
        <v>0</v>
      </c>
      <c r="AD1283" s="8">
        <f t="shared" ref="AD1283" si="1603">SUM(Y1283:AC1283)</f>
        <v>-75.44</v>
      </c>
      <c r="AE1283" s="2" t="s">
        <v>84</v>
      </c>
      <c r="AG1283" s="300">
        <v>-64800</v>
      </c>
      <c r="AH1283" s="300">
        <v>-64800</v>
      </c>
      <c r="AJ1283" s="300">
        <v>0</v>
      </c>
      <c r="AK1283" s="176">
        <v>0</v>
      </c>
      <c r="AM1283" s="22"/>
      <c r="AO1283" s="298" t="s">
        <v>286</v>
      </c>
      <c r="AP1283" s="297" t="s">
        <v>2170</v>
      </c>
      <c r="AQ1283" s="3" t="s">
        <v>111</v>
      </c>
      <c r="AR1283" s="90" t="str">
        <f t="shared" si="1566"/>
        <v>JD8G-9J280-BA</v>
      </c>
      <c r="AT1283" s="89">
        <v>0</v>
      </c>
      <c r="AU1283" s="89">
        <v>0</v>
      </c>
      <c r="AV1283" s="89">
        <v>0</v>
      </c>
      <c r="AW1283" s="89">
        <v>0</v>
      </c>
      <c r="AX1283" s="89">
        <v>1</v>
      </c>
      <c r="AY1283" s="89">
        <v>1</v>
      </c>
      <c r="AZ1283" s="89">
        <v>0</v>
      </c>
      <c r="BA1283" s="89">
        <v>1</v>
      </c>
      <c r="BB1283" s="89">
        <f t="shared" si="1511"/>
        <v>0.28000000000000003</v>
      </c>
      <c r="BD1283" s="60">
        <f>-56.28-19.16</f>
        <v>-75.44</v>
      </c>
      <c r="BE1283" s="63">
        <v>0</v>
      </c>
      <c r="BF1283" s="63">
        <v>0</v>
      </c>
      <c r="BG1283" s="63">
        <v>0</v>
      </c>
      <c r="BH1283" s="63">
        <v>0</v>
      </c>
      <c r="BI1283" s="8">
        <f t="shared" ref="BI1283" si="1604">SUM(BD1283:BH1283)</f>
        <v>-75.44</v>
      </c>
      <c r="BJ1283" s="2" t="s">
        <v>84</v>
      </c>
      <c r="BL1283" s="63">
        <v>-64800</v>
      </c>
      <c r="BM1283" s="63">
        <v>-64800</v>
      </c>
      <c r="BN1283" s="267"/>
      <c r="BO1283" s="63">
        <v>0</v>
      </c>
      <c r="BP1283" s="63">
        <v>0</v>
      </c>
      <c r="BQ1283" s="2">
        <v>0</v>
      </c>
      <c r="BS1283" s="61">
        <f t="shared" si="1551"/>
        <v>0</v>
      </c>
      <c r="BT1283" s="61">
        <f t="shared" si="1552"/>
        <v>0</v>
      </c>
      <c r="BU1283" s="61">
        <f t="shared" si="1553"/>
        <v>0</v>
      </c>
      <c r="BV1283" s="61">
        <f t="shared" si="1553"/>
        <v>0</v>
      </c>
      <c r="BW1283" s="61">
        <f t="shared" si="1553"/>
        <v>0</v>
      </c>
      <c r="BX1283" s="63">
        <f t="shared" si="1553"/>
        <v>0</v>
      </c>
      <c r="BY1283" s="61" t="s">
        <v>91</v>
      </c>
      <c r="CA1283" s="61">
        <f t="shared" si="1546"/>
        <v>0</v>
      </c>
      <c r="CB1283" s="61">
        <f t="shared" si="1546"/>
        <v>0</v>
      </c>
      <c r="CC1283" s="61">
        <f t="shared" si="1546"/>
        <v>0</v>
      </c>
      <c r="CD1283" s="61">
        <f t="shared" si="1546"/>
        <v>0</v>
      </c>
      <c r="CE1283" s="61">
        <f t="shared" si="1479"/>
        <v>0</v>
      </c>
      <c r="CF1283" s="61">
        <f t="shared" si="1479"/>
        <v>0</v>
      </c>
      <c r="CG1283" s="61">
        <f t="shared" si="1479"/>
        <v>0</v>
      </c>
      <c r="CH1283" s="61">
        <f t="shared" si="1479"/>
        <v>0</v>
      </c>
      <c r="CI1283" s="61">
        <f t="shared" si="1561"/>
        <v>0</v>
      </c>
      <c r="CJ1283" s="267"/>
      <c r="CK1283" s="61">
        <f t="shared" si="1454"/>
        <v>0</v>
      </c>
      <c r="CL1283" s="61">
        <f t="shared" si="1454"/>
        <v>0</v>
      </c>
      <c r="CM1283" s="61">
        <f t="shared" si="1454"/>
        <v>0</v>
      </c>
      <c r="CN1283" s="61">
        <f t="shared" si="1454"/>
        <v>0</v>
      </c>
      <c r="CO1283" s="61">
        <f t="shared" si="1454"/>
        <v>0</v>
      </c>
      <c r="CP1283" s="61">
        <f t="shared" si="1454"/>
        <v>0</v>
      </c>
      <c r="CQ1283" s="61">
        <f t="shared" si="1454"/>
        <v>0</v>
      </c>
      <c r="CR1283" s="61">
        <f t="shared" si="1454"/>
        <v>0</v>
      </c>
      <c r="CS1283" s="61">
        <f t="shared" si="1562"/>
        <v>0</v>
      </c>
      <c r="CT1283" s="63">
        <f t="shared" si="1569"/>
        <v>0</v>
      </c>
      <c r="CU1283" s="73"/>
      <c r="CV1283" s="61">
        <f t="shared" si="1563"/>
        <v>0</v>
      </c>
      <c r="CW1283" s="61">
        <f t="shared" si="1564"/>
        <v>0</v>
      </c>
      <c r="CY1283" s="61">
        <f t="shared" si="1565"/>
        <v>0</v>
      </c>
      <c r="CZ1283" s="61">
        <f t="shared" si="1565"/>
        <v>0</v>
      </c>
      <c r="DA1283" s="61">
        <f t="shared" si="1565"/>
        <v>0</v>
      </c>
      <c r="DB1283" s="2" t="s">
        <v>86</v>
      </c>
      <c r="DC1283" s="2" t="s">
        <v>85</v>
      </c>
      <c r="DD1283" s="2" t="s">
        <v>87</v>
      </c>
      <c r="DE1283" s="2" t="s">
        <v>106</v>
      </c>
      <c r="DF1283" s="3" t="s">
        <v>86</v>
      </c>
      <c r="DG1283" s="62">
        <v>43164</v>
      </c>
      <c r="EC1283" s="60" t="str">
        <f>VLOOKUP($M1283,[1]Detail!$M:$BO,1,0)</f>
        <v>JD8G-9J280-BA</v>
      </c>
      <c r="ED1283" s="60">
        <f>VLOOKUP($M1283,[1]Detail!$M:$BO,22,0)</f>
        <v>-75.44</v>
      </c>
      <c r="EE1283" s="60">
        <f>VLOOKUP($M1283,[1]Detail!$M:$BO,42,0)</f>
        <v>-64800</v>
      </c>
      <c r="EF1283" s="60">
        <f>VLOOKUP($M1283,[1]Detail!$M:$BO,45,0)</f>
        <v>0</v>
      </c>
      <c r="EH1283" s="60">
        <f t="shared" ref="EH1283" si="1605">ED1283-AD1283</f>
        <v>0</v>
      </c>
      <c r="EI1283" s="60">
        <f t="shared" ref="EI1283" si="1606">EE1283-AG1283</f>
        <v>0</v>
      </c>
      <c r="EJ1283" s="60">
        <f t="shared" ref="EJ1283" si="1607">EF1283-AJ1283</f>
        <v>0</v>
      </c>
    </row>
    <row r="1284" spans="2:140" ht="12.75" hidden="1" customHeight="1">
      <c r="B1284" s="1" t="s">
        <v>2158</v>
      </c>
      <c r="C1284" s="22" t="s">
        <v>2159</v>
      </c>
      <c r="D1284" s="149" t="s">
        <v>1466</v>
      </c>
      <c r="E1284" s="86" t="s">
        <v>523</v>
      </c>
      <c r="F1284" s="85" t="s">
        <v>2080</v>
      </c>
      <c r="G1284" s="297" t="s">
        <v>987</v>
      </c>
      <c r="J1284" s="298" t="s">
        <v>286</v>
      </c>
      <c r="K1284" s="299" t="s">
        <v>2171</v>
      </c>
      <c r="L1284" s="3" t="s">
        <v>100</v>
      </c>
      <c r="M1284" s="51" t="str">
        <f t="shared" si="1549"/>
        <v>JD8G-9L291-AA</v>
      </c>
      <c r="O1284" s="89">
        <v>1</v>
      </c>
      <c r="P1284" s="89">
        <v>1</v>
      </c>
      <c r="Q1284" s="89">
        <v>1</v>
      </c>
      <c r="R1284" s="89">
        <v>1</v>
      </c>
      <c r="S1284" s="89">
        <v>0</v>
      </c>
      <c r="T1284" s="89">
        <v>0</v>
      </c>
      <c r="U1284" s="89">
        <v>1</v>
      </c>
      <c r="V1284" s="89">
        <v>0</v>
      </c>
      <c r="W1284" s="164">
        <f t="shared" si="1516"/>
        <v>0.72000000000000008</v>
      </c>
      <c r="Y1284" s="8">
        <f ca="1">AD1284-AC1284</f>
        <v>-140.21</v>
      </c>
      <c r="Z1284" s="63">
        <v>0</v>
      </c>
      <c r="AA1284" s="63">
        <v>0</v>
      </c>
      <c r="AB1284" s="63">
        <v>0</v>
      </c>
      <c r="AC1284" s="63">
        <v>-0.19</v>
      </c>
      <c r="AD1284" s="8">
        <f t="shared" ca="1" si="1559"/>
        <v>-140.4</v>
      </c>
      <c r="AE1284" s="2" t="s">
        <v>84</v>
      </c>
      <c r="AG1284" s="302">
        <v>-1008300</v>
      </c>
      <c r="AH1284" s="302">
        <v>-1008300</v>
      </c>
      <c r="AJ1284" s="300">
        <v>0</v>
      </c>
      <c r="AK1284" s="176">
        <v>0</v>
      </c>
      <c r="AM1284" s="22"/>
      <c r="AO1284" s="298" t="s">
        <v>1460</v>
      </c>
      <c r="AP1284" s="297" t="s">
        <v>2171</v>
      </c>
      <c r="AQ1284" s="3" t="s">
        <v>812</v>
      </c>
      <c r="AR1284" s="90" t="str">
        <f t="shared" si="1566"/>
        <v>ED8G-9L291-AJ</v>
      </c>
      <c r="AT1284" s="89">
        <v>1</v>
      </c>
      <c r="AU1284" s="89">
        <v>1</v>
      </c>
      <c r="AV1284" s="89">
        <v>1</v>
      </c>
      <c r="AW1284" s="89">
        <v>1</v>
      </c>
      <c r="AX1284" s="89">
        <v>0</v>
      </c>
      <c r="AY1284" s="89">
        <v>0</v>
      </c>
      <c r="AZ1284" s="89">
        <v>1</v>
      </c>
      <c r="BA1284" s="89">
        <v>0</v>
      </c>
      <c r="BB1284" s="89">
        <f t="shared" si="1511"/>
        <v>0.72000000000000008</v>
      </c>
      <c r="BD1284" s="60">
        <v>-117.11</v>
      </c>
      <c r="BE1284" s="63">
        <v>0</v>
      </c>
      <c r="BF1284" s="63">
        <v>0</v>
      </c>
      <c r="BG1284" s="63">
        <v>0</v>
      </c>
      <c r="BH1284" s="63">
        <v>0</v>
      </c>
      <c r="BI1284" s="8">
        <f t="shared" si="1560"/>
        <v>-117.11</v>
      </c>
      <c r="BJ1284" s="2" t="s">
        <v>84</v>
      </c>
      <c r="BL1284" s="63"/>
      <c r="BM1284" s="63">
        <v>0</v>
      </c>
      <c r="BN1284" s="267"/>
      <c r="BO1284" s="63">
        <v>0</v>
      </c>
      <c r="BP1284" s="63">
        <v>0</v>
      </c>
      <c r="BQ1284" s="2">
        <v>0</v>
      </c>
      <c r="BS1284" s="61">
        <f t="shared" ca="1" si="1551"/>
        <v>-23.100000000000009</v>
      </c>
      <c r="BT1284" s="61">
        <f t="shared" si="1552"/>
        <v>0</v>
      </c>
      <c r="BU1284" s="61">
        <f t="shared" si="1553"/>
        <v>0</v>
      </c>
      <c r="BV1284" s="61">
        <f t="shared" si="1553"/>
        <v>0</v>
      </c>
      <c r="BW1284" s="61">
        <f t="shared" si="1553"/>
        <v>-0.19</v>
      </c>
      <c r="BX1284" s="63">
        <f t="shared" ca="1" si="1553"/>
        <v>-23.290000000000006</v>
      </c>
      <c r="BY1284" s="61" t="s">
        <v>91</v>
      </c>
      <c r="CA1284" s="61">
        <f t="shared" ca="1" si="1546"/>
        <v>-3.4752519933804735</v>
      </c>
      <c r="CB1284" s="61">
        <f t="shared" ca="1" si="1546"/>
        <v>-3.4752519933804735</v>
      </c>
      <c r="CC1284" s="61">
        <f t="shared" ca="1" si="1546"/>
        <v>-3.4752519933804735</v>
      </c>
      <c r="CD1284" s="61">
        <f t="shared" ca="1" si="1546"/>
        <v>-3.4752519933804735</v>
      </c>
      <c r="CE1284" s="61">
        <f t="shared" ca="1" si="1479"/>
        <v>0</v>
      </c>
      <c r="CF1284" s="61">
        <f t="shared" ca="1" si="1479"/>
        <v>0</v>
      </c>
      <c r="CG1284" s="61">
        <f t="shared" ca="1" si="1479"/>
        <v>-3.4752519933804735</v>
      </c>
      <c r="CH1284" s="61">
        <f t="shared" ca="1" si="1479"/>
        <v>0</v>
      </c>
      <c r="CI1284" s="61">
        <f t="shared" ca="1" si="1561"/>
        <v>-2.5021814352339407</v>
      </c>
      <c r="CJ1284" s="267"/>
      <c r="CK1284" s="61">
        <f t="shared" ca="1" si="1454"/>
        <v>-3.5038363171355509</v>
      </c>
      <c r="CL1284" s="61">
        <f t="shared" ca="1" si="1454"/>
        <v>-3.5038363171355509</v>
      </c>
      <c r="CM1284" s="61">
        <f t="shared" ca="1" si="1454"/>
        <v>-3.5038363171355509</v>
      </c>
      <c r="CN1284" s="61">
        <f t="shared" ca="1" si="1454"/>
        <v>-3.5038363171355509</v>
      </c>
      <c r="CO1284" s="61">
        <f t="shared" ca="1" si="1454"/>
        <v>0</v>
      </c>
      <c r="CP1284" s="61">
        <f t="shared" ca="1" si="1454"/>
        <v>0</v>
      </c>
      <c r="CQ1284" s="61">
        <f t="shared" ca="1" si="1454"/>
        <v>-3.5038363171355509</v>
      </c>
      <c r="CR1284" s="61">
        <f t="shared" ca="1" si="1454"/>
        <v>0</v>
      </c>
      <c r="CS1284" s="61">
        <f t="shared" ca="1" si="1562"/>
        <v>-2.5227621483375966</v>
      </c>
      <c r="CT1284" s="63">
        <f t="shared" ca="1" si="1569"/>
        <v>-16.768800000000006</v>
      </c>
      <c r="CU1284" s="73"/>
      <c r="CV1284" s="61">
        <f t="shared" si="1563"/>
        <v>-1008300</v>
      </c>
      <c r="CW1284" s="61">
        <f t="shared" si="1564"/>
        <v>-1008300</v>
      </c>
      <c r="CY1284" s="61">
        <f t="shared" si="1565"/>
        <v>0</v>
      </c>
      <c r="CZ1284" s="61">
        <f t="shared" si="1565"/>
        <v>0</v>
      </c>
      <c r="DA1284" s="61">
        <f t="shared" si="1565"/>
        <v>0</v>
      </c>
      <c r="DB1284" s="2" t="s">
        <v>85</v>
      </c>
      <c r="DC1284" s="2" t="s">
        <v>86</v>
      </c>
      <c r="DD1284" s="2" t="s">
        <v>87</v>
      </c>
      <c r="DE1284" s="2" t="s">
        <v>106</v>
      </c>
      <c r="DG1284" s="62"/>
      <c r="EC1284" s="60"/>
      <c r="ED1284" s="60"/>
      <c r="EE1284" s="60"/>
      <c r="EF1284" s="60"/>
    </row>
    <row r="1285" spans="2:140" ht="12.75" hidden="1" customHeight="1">
      <c r="B1285" s="1" t="s">
        <v>1461</v>
      </c>
      <c r="C1285" s="22" t="s">
        <v>2159</v>
      </c>
      <c r="D1285" s="149" t="s">
        <v>1466</v>
      </c>
      <c r="E1285" s="86" t="s">
        <v>523</v>
      </c>
      <c r="F1285" s="85" t="s">
        <v>2080</v>
      </c>
      <c r="G1285" s="297" t="s">
        <v>987</v>
      </c>
      <c r="J1285" s="298" t="s">
        <v>286</v>
      </c>
      <c r="K1285" s="299" t="s">
        <v>2171</v>
      </c>
      <c r="L1285" s="3" t="s">
        <v>132</v>
      </c>
      <c r="M1285" s="51" t="str">
        <f t="shared" si="1549"/>
        <v>JD8G-9L291-AB</v>
      </c>
      <c r="O1285" s="89">
        <v>1</v>
      </c>
      <c r="P1285" s="89">
        <v>1</v>
      </c>
      <c r="Q1285" s="89">
        <v>1</v>
      </c>
      <c r="R1285" s="89">
        <v>1</v>
      </c>
      <c r="S1285" s="89">
        <v>0</v>
      </c>
      <c r="T1285" s="89">
        <v>0</v>
      </c>
      <c r="U1285" s="89">
        <v>1</v>
      </c>
      <c r="V1285" s="89">
        <v>0</v>
      </c>
      <c r="W1285" s="164">
        <f t="shared" si="1516"/>
        <v>0.72000000000000008</v>
      </c>
      <c r="Y1285" s="8">
        <f>-23.29-117.11-0.15</f>
        <v>-140.55000000000001</v>
      </c>
      <c r="Z1285" s="63">
        <v>0</v>
      </c>
      <c r="AA1285" s="63">
        <v>0</v>
      </c>
      <c r="AB1285" s="63">
        <v>0</v>
      </c>
      <c r="AC1285" s="63">
        <v>0</v>
      </c>
      <c r="AD1285" s="8">
        <f t="shared" ref="AD1285:AD1288" si="1608">SUM(Y1285:AC1285)</f>
        <v>-140.55000000000001</v>
      </c>
      <c r="AE1285" s="2" t="s">
        <v>84</v>
      </c>
      <c r="AG1285" s="300">
        <f t="shared" ref="AG1285:AH1287" si="1609">-1008300-41700</f>
        <v>-1050000</v>
      </c>
      <c r="AH1285" s="300">
        <f t="shared" si="1609"/>
        <v>-1050000</v>
      </c>
      <c r="AJ1285" s="300">
        <v>0</v>
      </c>
      <c r="AK1285" s="176">
        <v>0</v>
      </c>
      <c r="AM1285" s="22"/>
      <c r="AO1285" s="298" t="s">
        <v>286</v>
      </c>
      <c r="AP1285" s="297" t="s">
        <v>2171</v>
      </c>
      <c r="AQ1285" s="3" t="s">
        <v>100</v>
      </c>
      <c r="AR1285" s="90" t="str">
        <f t="shared" si="1566"/>
        <v>JD8G-9L291-AA</v>
      </c>
      <c r="AT1285" s="89">
        <v>1</v>
      </c>
      <c r="AU1285" s="89">
        <v>1</v>
      </c>
      <c r="AV1285" s="89">
        <v>1</v>
      </c>
      <c r="AW1285" s="89">
        <v>1</v>
      </c>
      <c r="AX1285" s="89">
        <v>0</v>
      </c>
      <c r="AY1285" s="89">
        <v>0</v>
      </c>
      <c r="AZ1285" s="89">
        <v>1</v>
      </c>
      <c r="BA1285" s="89">
        <v>0</v>
      </c>
      <c r="BB1285" s="89">
        <f t="shared" si="1511"/>
        <v>0.72000000000000008</v>
      </c>
      <c r="BD1285" s="60">
        <f>-23.29-117.11</f>
        <v>-140.4</v>
      </c>
      <c r="BE1285" s="63">
        <v>0</v>
      </c>
      <c r="BF1285" s="63">
        <v>0</v>
      </c>
      <c r="BG1285" s="63">
        <v>0</v>
      </c>
      <c r="BH1285" s="63">
        <v>0</v>
      </c>
      <c r="BI1285" s="8">
        <f t="shared" ref="BI1285:BI1288" si="1610">SUM(BD1285:BH1285)</f>
        <v>-140.4</v>
      </c>
      <c r="BJ1285" s="2" t="s">
        <v>84</v>
      </c>
      <c r="BL1285" s="63">
        <v>-1008300</v>
      </c>
      <c r="BM1285" s="63">
        <v>-1008300</v>
      </c>
      <c r="BN1285" s="267"/>
      <c r="BO1285" s="63">
        <v>0</v>
      </c>
      <c r="BP1285" s="63">
        <v>0</v>
      </c>
      <c r="BQ1285" s="2">
        <v>0</v>
      </c>
      <c r="BS1285" s="61">
        <f t="shared" si="1551"/>
        <v>-0.15000000000000568</v>
      </c>
      <c r="BT1285" s="61">
        <f t="shared" si="1552"/>
        <v>0</v>
      </c>
      <c r="BU1285" s="61">
        <f t="shared" si="1553"/>
        <v>0</v>
      </c>
      <c r="BV1285" s="61">
        <f t="shared" si="1553"/>
        <v>0</v>
      </c>
      <c r="BW1285" s="61">
        <f t="shared" si="1553"/>
        <v>0</v>
      </c>
      <c r="BX1285" s="63">
        <f t="shared" si="1553"/>
        <v>-0.15000000000000568</v>
      </c>
      <c r="BY1285" s="61" t="s">
        <v>91</v>
      </c>
      <c r="CA1285" s="61">
        <f t="shared" si="1546"/>
        <v>-2.2566571385588336E-2</v>
      </c>
      <c r="CB1285" s="61">
        <f t="shared" si="1546"/>
        <v>-2.2566571385588336E-2</v>
      </c>
      <c r="CC1285" s="61">
        <f t="shared" si="1546"/>
        <v>-2.2566571385588336E-2</v>
      </c>
      <c r="CD1285" s="61">
        <f t="shared" si="1546"/>
        <v>-2.2566571385588336E-2</v>
      </c>
      <c r="CE1285" s="61">
        <f t="shared" si="1479"/>
        <v>0</v>
      </c>
      <c r="CF1285" s="61">
        <f t="shared" si="1479"/>
        <v>0</v>
      </c>
      <c r="CG1285" s="61">
        <f t="shared" si="1479"/>
        <v>-2.2566571385588336E-2</v>
      </c>
      <c r="CH1285" s="61">
        <f t="shared" si="1479"/>
        <v>0</v>
      </c>
      <c r="CI1285" s="61">
        <f t="shared" si="1561"/>
        <v>-1.6247931397623604E-2</v>
      </c>
      <c r="CJ1285" s="267"/>
      <c r="CK1285" s="61">
        <f t="shared" si="1454"/>
        <v>-2.2566571385588336E-2</v>
      </c>
      <c r="CL1285" s="61">
        <f t="shared" si="1454"/>
        <v>-2.2566571385588336E-2</v>
      </c>
      <c r="CM1285" s="61">
        <f t="shared" si="1454"/>
        <v>-2.2566571385588336E-2</v>
      </c>
      <c r="CN1285" s="61">
        <f t="shared" si="1454"/>
        <v>-2.2566571385588336E-2</v>
      </c>
      <c r="CO1285" s="61">
        <f t="shared" si="1454"/>
        <v>0</v>
      </c>
      <c r="CP1285" s="61">
        <f t="shared" si="1454"/>
        <v>0</v>
      </c>
      <c r="CQ1285" s="61">
        <f t="shared" si="1454"/>
        <v>-2.2566571385588336E-2</v>
      </c>
      <c r="CR1285" s="61">
        <f t="shared" si="1454"/>
        <v>0</v>
      </c>
      <c r="CS1285" s="61">
        <f t="shared" si="1562"/>
        <v>-1.6247931397623604E-2</v>
      </c>
      <c r="CT1285" s="63">
        <f t="shared" si="1569"/>
        <v>-0.10800000000000411</v>
      </c>
      <c r="CU1285" s="73"/>
      <c r="CV1285" s="61">
        <f t="shared" ref="CV1285" si="1611">SUM(AG1285)-SUM(BL1285)</f>
        <v>-41700</v>
      </c>
      <c r="CW1285" s="61">
        <f t="shared" si="1564"/>
        <v>-41700</v>
      </c>
      <c r="CY1285" s="61">
        <f t="shared" si="1565"/>
        <v>0</v>
      </c>
      <c r="CZ1285" s="61">
        <f t="shared" si="1565"/>
        <v>0</v>
      </c>
      <c r="DA1285" s="61">
        <f t="shared" si="1565"/>
        <v>0</v>
      </c>
      <c r="DB1285" s="2" t="s">
        <v>85</v>
      </c>
      <c r="DC1285" s="2" t="s">
        <v>85</v>
      </c>
      <c r="DD1285" s="2" t="s">
        <v>87</v>
      </c>
      <c r="DE1285" s="2" t="s">
        <v>106</v>
      </c>
      <c r="DF1285" s="3" t="s">
        <v>86</v>
      </c>
      <c r="DG1285" s="62" t="s">
        <v>929</v>
      </c>
      <c r="EC1285" s="60"/>
      <c r="ED1285" s="60"/>
      <c r="EE1285" s="60"/>
      <c r="EF1285" s="60"/>
    </row>
    <row r="1286" spans="2:140" ht="12.75" hidden="1" customHeight="1">
      <c r="B1286" s="1" t="s">
        <v>1462</v>
      </c>
      <c r="C1286" s="22" t="s">
        <v>2159</v>
      </c>
      <c r="D1286" s="149" t="s">
        <v>1466</v>
      </c>
      <c r="E1286" s="86" t="s">
        <v>523</v>
      </c>
      <c r="F1286" s="85" t="s">
        <v>2080</v>
      </c>
      <c r="G1286" s="297" t="s">
        <v>987</v>
      </c>
      <c r="J1286" s="298" t="s">
        <v>286</v>
      </c>
      <c r="K1286" s="299" t="s">
        <v>2171</v>
      </c>
      <c r="L1286" s="3" t="s">
        <v>132</v>
      </c>
      <c r="M1286" s="51" t="str">
        <f t="shared" si="1549"/>
        <v>JD8G-9L291-AB</v>
      </c>
      <c r="O1286" s="89">
        <v>1</v>
      </c>
      <c r="P1286" s="89">
        <v>1</v>
      </c>
      <c r="Q1286" s="89">
        <v>1</v>
      </c>
      <c r="R1286" s="89">
        <v>1</v>
      </c>
      <c r="S1286" s="89">
        <v>0</v>
      </c>
      <c r="T1286" s="89">
        <v>0</v>
      </c>
      <c r="U1286" s="89">
        <v>1</v>
      </c>
      <c r="V1286" s="89">
        <v>0</v>
      </c>
      <c r="W1286" s="164">
        <f t="shared" si="1516"/>
        <v>0.72000000000000008</v>
      </c>
      <c r="Y1286" s="8">
        <f>-23.29-117.11-0.15</f>
        <v>-140.55000000000001</v>
      </c>
      <c r="Z1286" s="63">
        <v>0</v>
      </c>
      <c r="AA1286" s="63">
        <v>0</v>
      </c>
      <c r="AB1286" s="63">
        <v>0</v>
      </c>
      <c r="AC1286" s="63">
        <v>0</v>
      </c>
      <c r="AD1286" s="8">
        <f t="shared" si="1608"/>
        <v>-140.55000000000001</v>
      </c>
      <c r="AE1286" s="2" t="s">
        <v>84</v>
      </c>
      <c r="AG1286" s="300">
        <f t="shared" si="1609"/>
        <v>-1050000</v>
      </c>
      <c r="AH1286" s="300">
        <f t="shared" si="1609"/>
        <v>-1050000</v>
      </c>
      <c r="AJ1286" s="300">
        <v>0</v>
      </c>
      <c r="AK1286" s="176">
        <v>0</v>
      </c>
      <c r="AM1286" s="22"/>
      <c r="AO1286" s="298" t="s">
        <v>286</v>
      </c>
      <c r="AP1286" s="297" t="s">
        <v>2171</v>
      </c>
      <c r="AQ1286" s="3" t="s">
        <v>132</v>
      </c>
      <c r="AR1286" s="90" t="str">
        <f t="shared" si="1566"/>
        <v>JD8G-9L291-AB</v>
      </c>
      <c r="AT1286" s="89">
        <v>1</v>
      </c>
      <c r="AU1286" s="89">
        <v>1</v>
      </c>
      <c r="AV1286" s="89">
        <v>1</v>
      </c>
      <c r="AW1286" s="89">
        <v>1</v>
      </c>
      <c r="AX1286" s="89">
        <v>0</v>
      </c>
      <c r="AY1286" s="89">
        <v>0</v>
      </c>
      <c r="AZ1286" s="89">
        <v>1</v>
      </c>
      <c r="BA1286" s="89">
        <v>0</v>
      </c>
      <c r="BB1286" s="89">
        <f t="shared" si="1511"/>
        <v>0.72000000000000008</v>
      </c>
      <c r="BD1286" s="60">
        <f>-23.29-117.11-0.15</f>
        <v>-140.55000000000001</v>
      </c>
      <c r="BE1286" s="63">
        <v>0</v>
      </c>
      <c r="BF1286" s="63">
        <v>0</v>
      </c>
      <c r="BG1286" s="63">
        <v>0</v>
      </c>
      <c r="BH1286" s="63">
        <v>0</v>
      </c>
      <c r="BI1286" s="8">
        <f t="shared" si="1610"/>
        <v>-140.55000000000001</v>
      </c>
      <c r="BJ1286" s="2" t="s">
        <v>84</v>
      </c>
      <c r="BL1286" s="63">
        <f>-1008300-41700</f>
        <v>-1050000</v>
      </c>
      <c r="BM1286" s="63">
        <f>-1008300-41700</f>
        <v>-1050000</v>
      </c>
      <c r="BN1286" s="267"/>
      <c r="BO1286" s="63">
        <v>0</v>
      </c>
      <c r="BP1286" s="63">
        <v>0</v>
      </c>
      <c r="BQ1286" s="2">
        <v>0</v>
      </c>
      <c r="BS1286" s="61">
        <f t="shared" si="1551"/>
        <v>0</v>
      </c>
      <c r="BT1286" s="61">
        <f t="shared" si="1552"/>
        <v>0</v>
      </c>
      <c r="BU1286" s="61">
        <f t="shared" si="1553"/>
        <v>0</v>
      </c>
      <c r="BV1286" s="61">
        <f t="shared" si="1553"/>
        <v>0</v>
      </c>
      <c r="BW1286" s="61">
        <f t="shared" si="1553"/>
        <v>0</v>
      </c>
      <c r="BX1286" s="63">
        <f t="shared" si="1553"/>
        <v>0</v>
      </c>
      <c r="BY1286" s="61" t="s">
        <v>91</v>
      </c>
      <c r="CA1286" s="61">
        <f t="shared" si="1546"/>
        <v>0</v>
      </c>
      <c r="CB1286" s="61">
        <f t="shared" si="1546"/>
        <v>0</v>
      </c>
      <c r="CC1286" s="61">
        <f t="shared" si="1546"/>
        <v>0</v>
      </c>
      <c r="CD1286" s="61">
        <f t="shared" si="1546"/>
        <v>0</v>
      </c>
      <c r="CE1286" s="61">
        <f t="shared" si="1479"/>
        <v>0</v>
      </c>
      <c r="CF1286" s="61">
        <f t="shared" si="1479"/>
        <v>0</v>
      </c>
      <c r="CG1286" s="61">
        <f t="shared" si="1479"/>
        <v>0</v>
      </c>
      <c r="CH1286" s="61">
        <f t="shared" si="1479"/>
        <v>0</v>
      </c>
      <c r="CI1286" s="61">
        <f t="shared" si="1561"/>
        <v>0</v>
      </c>
      <c r="CJ1286" s="267"/>
      <c r="CK1286" s="61">
        <f t="shared" si="1454"/>
        <v>0</v>
      </c>
      <c r="CL1286" s="61">
        <f t="shared" si="1454"/>
        <v>0</v>
      </c>
      <c r="CM1286" s="61">
        <f t="shared" si="1454"/>
        <v>0</v>
      </c>
      <c r="CN1286" s="61">
        <f t="shared" si="1454"/>
        <v>0</v>
      </c>
      <c r="CO1286" s="61">
        <f t="shared" si="1454"/>
        <v>0</v>
      </c>
      <c r="CP1286" s="61">
        <f t="shared" si="1454"/>
        <v>0</v>
      </c>
      <c r="CQ1286" s="61">
        <f t="shared" si="1454"/>
        <v>0</v>
      </c>
      <c r="CR1286" s="61">
        <f t="shared" si="1454"/>
        <v>0</v>
      </c>
      <c r="CS1286" s="61">
        <f t="shared" si="1562"/>
        <v>0</v>
      </c>
      <c r="CT1286" s="63">
        <f t="shared" si="1569"/>
        <v>0</v>
      </c>
      <c r="CU1286" s="73"/>
      <c r="CV1286" s="61">
        <f t="shared" ref="CV1286:CV1288" si="1612">SUM(AG1286)-SUM(BL1286)</f>
        <v>0</v>
      </c>
      <c r="CW1286" s="61">
        <f t="shared" ref="CW1286:CW1288" si="1613">SUM(AH1286)-SUM(BM1286)</f>
        <v>0</v>
      </c>
      <c r="CY1286" s="61">
        <f t="shared" si="1565"/>
        <v>0</v>
      </c>
      <c r="CZ1286" s="61">
        <f t="shared" si="1565"/>
        <v>0</v>
      </c>
      <c r="DA1286" s="61">
        <f t="shared" si="1565"/>
        <v>0</v>
      </c>
      <c r="DB1286" s="2" t="s">
        <v>85</v>
      </c>
      <c r="DC1286" s="2" t="s">
        <v>85</v>
      </c>
      <c r="DD1286" s="2" t="s">
        <v>87</v>
      </c>
      <c r="DE1286" s="2" t="s">
        <v>106</v>
      </c>
      <c r="DF1286" s="3" t="s">
        <v>86</v>
      </c>
      <c r="DG1286" s="62">
        <v>43125</v>
      </c>
      <c r="EC1286" s="60"/>
      <c r="ED1286" s="60"/>
      <c r="EE1286" s="60"/>
      <c r="EF1286" s="60"/>
    </row>
    <row r="1287" spans="2:140" ht="12.75" hidden="1" customHeight="1">
      <c r="B1287" s="1" t="s">
        <v>2165</v>
      </c>
      <c r="C1287" s="22" t="s">
        <v>2159</v>
      </c>
      <c r="D1287" s="149" t="s">
        <v>1466</v>
      </c>
      <c r="E1287" s="86" t="s">
        <v>523</v>
      </c>
      <c r="F1287" s="85" t="s">
        <v>2080</v>
      </c>
      <c r="G1287" s="297" t="s">
        <v>987</v>
      </c>
      <c r="J1287" s="298" t="s">
        <v>286</v>
      </c>
      <c r="K1287" s="299" t="s">
        <v>2171</v>
      </c>
      <c r="L1287" s="3" t="s">
        <v>234</v>
      </c>
      <c r="M1287" s="51" t="str">
        <f t="shared" si="1549"/>
        <v>JD8G-9L291-AC</v>
      </c>
      <c r="O1287" s="89">
        <v>1</v>
      </c>
      <c r="P1287" s="89">
        <v>1</v>
      </c>
      <c r="Q1287" s="89">
        <v>1</v>
      </c>
      <c r="R1287" s="89">
        <v>1</v>
      </c>
      <c r="S1287" s="89">
        <v>0</v>
      </c>
      <c r="T1287" s="89">
        <v>0</v>
      </c>
      <c r="U1287" s="89">
        <v>1</v>
      </c>
      <c r="V1287" s="89">
        <v>0</v>
      </c>
      <c r="W1287" s="164">
        <f t="shared" si="1516"/>
        <v>0.72000000000000008</v>
      </c>
      <c r="Y1287" s="8">
        <f>-23.29-117.11-0.15+0.67</f>
        <v>-139.88000000000002</v>
      </c>
      <c r="Z1287" s="63">
        <v>0</v>
      </c>
      <c r="AA1287" s="63">
        <v>0</v>
      </c>
      <c r="AB1287" s="63">
        <v>0</v>
      </c>
      <c r="AC1287" s="63">
        <v>0</v>
      </c>
      <c r="AD1287" s="8">
        <f t="shared" si="1608"/>
        <v>-139.88000000000002</v>
      </c>
      <c r="AE1287" s="2" t="s">
        <v>84</v>
      </c>
      <c r="AG1287" s="300">
        <f t="shared" si="1609"/>
        <v>-1050000</v>
      </c>
      <c r="AH1287" s="300">
        <f t="shared" si="1609"/>
        <v>-1050000</v>
      </c>
      <c r="AJ1287" s="300">
        <v>0</v>
      </c>
      <c r="AK1287" s="176">
        <v>0</v>
      </c>
      <c r="AM1287" s="22"/>
      <c r="AO1287" s="298" t="s">
        <v>286</v>
      </c>
      <c r="AP1287" s="297" t="s">
        <v>2171</v>
      </c>
      <c r="AQ1287" s="3" t="s">
        <v>132</v>
      </c>
      <c r="AR1287" s="90" t="str">
        <f t="shared" si="1566"/>
        <v>JD8G-9L291-AB</v>
      </c>
      <c r="AT1287" s="89">
        <v>1</v>
      </c>
      <c r="AU1287" s="89">
        <v>1</v>
      </c>
      <c r="AV1287" s="89">
        <v>1</v>
      </c>
      <c r="AW1287" s="89">
        <v>1</v>
      </c>
      <c r="AX1287" s="89">
        <v>0</v>
      </c>
      <c r="AY1287" s="89">
        <v>0</v>
      </c>
      <c r="AZ1287" s="89">
        <v>1</v>
      </c>
      <c r="BA1287" s="89">
        <v>0</v>
      </c>
      <c r="BB1287" s="89">
        <f t="shared" si="1511"/>
        <v>0.72000000000000008</v>
      </c>
      <c r="BD1287" s="60">
        <f>-23.29-117.11-0.15</f>
        <v>-140.55000000000001</v>
      </c>
      <c r="BE1287" s="63">
        <v>0</v>
      </c>
      <c r="BF1287" s="63">
        <v>0</v>
      </c>
      <c r="BG1287" s="63">
        <v>0</v>
      </c>
      <c r="BH1287" s="63">
        <v>0</v>
      </c>
      <c r="BI1287" s="8">
        <f t="shared" si="1610"/>
        <v>-140.55000000000001</v>
      </c>
      <c r="BJ1287" s="2" t="s">
        <v>84</v>
      </c>
      <c r="BL1287" s="63">
        <f>-1008300-41700</f>
        <v>-1050000</v>
      </c>
      <c r="BM1287" s="63">
        <f>-1008300-41700</f>
        <v>-1050000</v>
      </c>
      <c r="BN1287" s="267"/>
      <c r="BO1287" s="63">
        <v>0</v>
      </c>
      <c r="BP1287" s="63">
        <v>0</v>
      </c>
      <c r="BQ1287" s="2">
        <v>0</v>
      </c>
      <c r="BS1287" s="61">
        <f t="shared" si="1551"/>
        <v>0.66999999999998749</v>
      </c>
      <c r="BT1287" s="61">
        <f t="shared" si="1552"/>
        <v>0</v>
      </c>
      <c r="BU1287" s="61">
        <f t="shared" si="1553"/>
        <v>0</v>
      </c>
      <c r="BV1287" s="61">
        <f t="shared" si="1553"/>
        <v>0</v>
      </c>
      <c r="BW1287" s="61">
        <f t="shared" si="1553"/>
        <v>0</v>
      </c>
      <c r="BX1287" s="63">
        <f t="shared" si="1553"/>
        <v>0.66999999999998749</v>
      </c>
      <c r="BY1287" s="61" t="s">
        <v>91</v>
      </c>
      <c r="CA1287" s="61">
        <f t="shared" si="1546"/>
        <v>0.10079735218895554</v>
      </c>
      <c r="CB1287" s="61">
        <f t="shared" si="1546"/>
        <v>0.10079735218895554</v>
      </c>
      <c r="CC1287" s="61">
        <f t="shared" si="1546"/>
        <v>0.10079735218895554</v>
      </c>
      <c r="CD1287" s="61">
        <f t="shared" si="1546"/>
        <v>0.10079735218895554</v>
      </c>
      <c r="CE1287" s="61">
        <f t="shared" si="1479"/>
        <v>0</v>
      </c>
      <c r="CF1287" s="61">
        <f t="shared" si="1479"/>
        <v>0</v>
      </c>
      <c r="CG1287" s="61">
        <f t="shared" si="1479"/>
        <v>0.10079735218895554</v>
      </c>
      <c r="CH1287" s="61">
        <f t="shared" si="1479"/>
        <v>0</v>
      </c>
      <c r="CI1287" s="61">
        <f t="shared" si="1561"/>
        <v>7.2574093576047979E-2</v>
      </c>
      <c r="CJ1287" s="267"/>
      <c r="CK1287" s="61">
        <f t="shared" si="1454"/>
        <v>0.10079735218895554</v>
      </c>
      <c r="CL1287" s="61">
        <f t="shared" si="1454"/>
        <v>0.10079735218895554</v>
      </c>
      <c r="CM1287" s="61">
        <f t="shared" si="1454"/>
        <v>0.10079735218895554</v>
      </c>
      <c r="CN1287" s="61">
        <f t="shared" si="1454"/>
        <v>0.10079735218895554</v>
      </c>
      <c r="CO1287" s="61">
        <f t="shared" si="1454"/>
        <v>0</v>
      </c>
      <c r="CP1287" s="61">
        <f t="shared" si="1454"/>
        <v>0</v>
      </c>
      <c r="CQ1287" s="61">
        <f t="shared" si="1454"/>
        <v>0.10079735218895554</v>
      </c>
      <c r="CR1287" s="61">
        <f t="shared" si="1454"/>
        <v>0</v>
      </c>
      <c r="CS1287" s="61">
        <f t="shared" si="1562"/>
        <v>7.2574093576047979E-2</v>
      </c>
      <c r="CT1287" s="63">
        <f t="shared" si="1569"/>
        <v>0.48239999999999095</v>
      </c>
      <c r="CU1287" s="73"/>
      <c r="CV1287" s="61">
        <f t="shared" si="1612"/>
        <v>0</v>
      </c>
      <c r="CW1287" s="61">
        <f t="shared" si="1613"/>
        <v>0</v>
      </c>
      <c r="CY1287" s="61">
        <f t="shared" si="1565"/>
        <v>0</v>
      </c>
      <c r="CZ1287" s="61">
        <f t="shared" si="1565"/>
        <v>0</v>
      </c>
      <c r="DA1287" s="61">
        <f t="shared" si="1565"/>
        <v>0</v>
      </c>
      <c r="DB1287" s="2" t="s">
        <v>85</v>
      </c>
      <c r="DC1287" s="2" t="s">
        <v>85</v>
      </c>
      <c r="DD1287" s="2" t="s">
        <v>87</v>
      </c>
      <c r="DE1287" s="2" t="s">
        <v>106</v>
      </c>
      <c r="DF1287" s="3" t="s">
        <v>86</v>
      </c>
      <c r="DG1287" s="62">
        <v>43125</v>
      </c>
      <c r="EC1287" s="60"/>
      <c r="ED1287" s="60"/>
      <c r="EE1287" s="60"/>
      <c r="EF1287" s="60"/>
    </row>
    <row r="1288" spans="2:140" ht="12.75" hidden="1" customHeight="1">
      <c r="B1288" s="1" t="s">
        <v>2172</v>
      </c>
      <c r="C1288" s="22" t="s">
        <v>2159</v>
      </c>
      <c r="D1288" s="149" t="s">
        <v>1466</v>
      </c>
      <c r="E1288" s="86" t="s">
        <v>523</v>
      </c>
      <c r="F1288" s="85" t="s">
        <v>2080</v>
      </c>
      <c r="G1288" s="297" t="s">
        <v>987</v>
      </c>
      <c r="J1288" s="298" t="s">
        <v>286</v>
      </c>
      <c r="K1288" s="299" t="s">
        <v>2171</v>
      </c>
      <c r="L1288" s="3" t="s">
        <v>162</v>
      </c>
      <c r="M1288" s="51" t="str">
        <f t="shared" si="1549"/>
        <v>JD8G-9L291-AD</v>
      </c>
      <c r="O1288" s="89">
        <v>1</v>
      </c>
      <c r="P1288" s="89">
        <v>1</v>
      </c>
      <c r="Q1288" s="89">
        <v>1</v>
      </c>
      <c r="R1288" s="89">
        <v>1</v>
      </c>
      <c r="S1288" s="89">
        <v>0</v>
      </c>
      <c r="T1288" s="89">
        <v>0</v>
      </c>
      <c r="U1288" s="89">
        <v>1</v>
      </c>
      <c r="V1288" s="89">
        <v>0</v>
      </c>
      <c r="W1288" s="164">
        <f t="shared" si="1516"/>
        <v>0.72000000000000008</v>
      </c>
      <c r="Y1288" s="8">
        <f>-23.29-117.11-0.15+0.67-2.99</f>
        <v>-142.87000000000003</v>
      </c>
      <c r="Z1288" s="63">
        <v>0</v>
      </c>
      <c r="AA1288" s="63">
        <v>0</v>
      </c>
      <c r="AB1288" s="63">
        <v>0</v>
      </c>
      <c r="AC1288" s="63">
        <v>0</v>
      </c>
      <c r="AD1288" s="8">
        <f t="shared" si="1608"/>
        <v>-142.87000000000003</v>
      </c>
      <c r="AE1288" s="2" t="s">
        <v>84</v>
      </c>
      <c r="AG1288" s="300">
        <f>-1008300-41700-4000</f>
        <v>-1054000</v>
      </c>
      <c r="AH1288" s="300">
        <f>-1008300-41700-4000</f>
        <v>-1054000</v>
      </c>
      <c r="AJ1288" s="300">
        <v>0</v>
      </c>
      <c r="AK1288" s="176">
        <v>0</v>
      </c>
      <c r="AM1288" s="22"/>
      <c r="AO1288" s="298" t="s">
        <v>286</v>
      </c>
      <c r="AP1288" s="299" t="s">
        <v>2171</v>
      </c>
      <c r="AQ1288" s="3" t="s">
        <v>234</v>
      </c>
      <c r="AR1288" s="51" t="str">
        <f t="shared" si="1566"/>
        <v>JD8G-9L291-AC</v>
      </c>
      <c r="AS1288" s="3"/>
      <c r="AT1288" s="89">
        <v>1</v>
      </c>
      <c r="AU1288" s="89">
        <v>1</v>
      </c>
      <c r="AV1288" s="89">
        <v>1</v>
      </c>
      <c r="AW1288" s="89">
        <v>1</v>
      </c>
      <c r="AX1288" s="89">
        <v>0</v>
      </c>
      <c r="AY1288" s="89">
        <v>0</v>
      </c>
      <c r="AZ1288" s="89">
        <v>1</v>
      </c>
      <c r="BA1288" s="89">
        <v>0</v>
      </c>
      <c r="BB1288" s="164">
        <f t="shared" si="1511"/>
        <v>0.72000000000000008</v>
      </c>
      <c r="BD1288" s="8">
        <f>-23.29-117.11-0.15+0.67</f>
        <v>-139.88000000000002</v>
      </c>
      <c r="BE1288" s="63">
        <v>0</v>
      </c>
      <c r="BF1288" s="63">
        <v>0</v>
      </c>
      <c r="BG1288" s="63">
        <v>0</v>
      </c>
      <c r="BH1288" s="63">
        <v>0</v>
      </c>
      <c r="BI1288" s="8">
        <f t="shared" si="1610"/>
        <v>-139.88000000000002</v>
      </c>
      <c r="BJ1288" s="2" t="s">
        <v>84</v>
      </c>
      <c r="BK1288" s="8"/>
      <c r="BL1288" s="300">
        <f t="shared" ref="BL1288:BN1288" si="1614">-1008300-41700</f>
        <v>-1050000</v>
      </c>
      <c r="BM1288" s="300">
        <f t="shared" si="1614"/>
        <v>-1050000</v>
      </c>
      <c r="BN1288" s="300">
        <f t="shared" si="1614"/>
        <v>-1050000</v>
      </c>
      <c r="BO1288" s="63">
        <v>0</v>
      </c>
      <c r="BP1288" s="63">
        <v>0</v>
      </c>
      <c r="BQ1288" s="2">
        <v>0</v>
      </c>
      <c r="BS1288" s="61">
        <f t="shared" si="1551"/>
        <v>-2.9900000000000091</v>
      </c>
      <c r="BT1288" s="61">
        <f t="shared" si="1552"/>
        <v>0</v>
      </c>
      <c r="BU1288" s="61">
        <f t="shared" si="1553"/>
        <v>0</v>
      </c>
      <c r="BV1288" s="61">
        <f t="shared" si="1553"/>
        <v>0</v>
      </c>
      <c r="BW1288" s="61">
        <f t="shared" si="1553"/>
        <v>0</v>
      </c>
      <c r="BX1288" s="63">
        <f t="shared" si="1553"/>
        <v>-2.9900000000000091</v>
      </c>
      <c r="BY1288" s="61" t="s">
        <v>91</v>
      </c>
      <c r="CA1288" s="61">
        <f t="shared" si="1546"/>
        <v>-0.4498269896193785</v>
      </c>
      <c r="CB1288" s="61">
        <f t="shared" si="1546"/>
        <v>-0.4498269896193785</v>
      </c>
      <c r="CC1288" s="61">
        <f t="shared" si="1546"/>
        <v>-0.4498269896193785</v>
      </c>
      <c r="CD1288" s="61">
        <f t="shared" si="1546"/>
        <v>-0.4498269896193785</v>
      </c>
      <c r="CE1288" s="61">
        <f t="shared" si="1479"/>
        <v>0</v>
      </c>
      <c r="CF1288" s="61">
        <f t="shared" si="1479"/>
        <v>0</v>
      </c>
      <c r="CG1288" s="61">
        <f t="shared" si="1479"/>
        <v>-0.4498269896193785</v>
      </c>
      <c r="CH1288" s="61">
        <f t="shared" si="1479"/>
        <v>0</v>
      </c>
      <c r="CI1288" s="61">
        <f t="shared" si="1561"/>
        <v>-0.32387543252595252</v>
      </c>
      <c r="CJ1288" s="267"/>
      <c r="CK1288" s="61">
        <f t="shared" si="1454"/>
        <v>-0.4498269896193785</v>
      </c>
      <c r="CL1288" s="61">
        <f t="shared" si="1454"/>
        <v>-0.4498269896193785</v>
      </c>
      <c r="CM1288" s="61">
        <f t="shared" si="1454"/>
        <v>-0.4498269896193785</v>
      </c>
      <c r="CN1288" s="61">
        <f t="shared" si="1454"/>
        <v>-0.4498269896193785</v>
      </c>
      <c r="CO1288" s="61">
        <f t="shared" si="1454"/>
        <v>0</v>
      </c>
      <c r="CP1288" s="61">
        <f t="shared" si="1454"/>
        <v>0</v>
      </c>
      <c r="CQ1288" s="61">
        <f t="shared" si="1454"/>
        <v>-0.4498269896193785</v>
      </c>
      <c r="CR1288" s="61">
        <f t="shared" si="1454"/>
        <v>0</v>
      </c>
      <c r="CS1288" s="61">
        <f t="shared" si="1562"/>
        <v>-0.32387543252595252</v>
      </c>
      <c r="CT1288" s="241">
        <f t="shared" si="1569"/>
        <v>-2.1528000000000067</v>
      </c>
      <c r="CU1288" s="73"/>
      <c r="CV1288" s="61">
        <f t="shared" si="1612"/>
        <v>-4000</v>
      </c>
      <c r="CW1288" s="61">
        <f t="shared" si="1613"/>
        <v>-4000</v>
      </c>
      <c r="CY1288" s="61">
        <f t="shared" si="1565"/>
        <v>0</v>
      </c>
      <c r="CZ1288" s="61">
        <f t="shared" si="1565"/>
        <v>0</v>
      </c>
      <c r="DA1288" s="61">
        <f t="shared" si="1565"/>
        <v>0</v>
      </c>
      <c r="DB1288" s="2" t="s">
        <v>86</v>
      </c>
      <c r="DC1288" s="2" t="s">
        <v>85</v>
      </c>
      <c r="DD1288" s="2" t="s">
        <v>87</v>
      </c>
      <c r="DE1288" s="2" t="s">
        <v>106</v>
      </c>
      <c r="DG1288" s="62"/>
      <c r="EC1288" s="60" t="str">
        <f>VLOOKUP($M1288,[1]Detail!$M:$BO,1,0)</f>
        <v>JD8G-9L291-AD</v>
      </c>
      <c r="ED1288" s="60">
        <f>VLOOKUP($M1288,[1]Detail!$M:$BO,22,0)</f>
        <v>-142.87000000000003</v>
      </c>
      <c r="EE1288" s="60">
        <f>VLOOKUP($M1288,[1]Detail!$M:$BO,42,0)</f>
        <v>-1054000</v>
      </c>
      <c r="EF1288" s="60">
        <f>VLOOKUP($M1288,[1]Detail!$M:$BO,45,0)</f>
        <v>0</v>
      </c>
      <c r="EH1288" s="60">
        <f>ED1288-AD1288</f>
        <v>0</v>
      </c>
      <c r="EI1288" s="60">
        <f>EE1288-AG1288</f>
        <v>0</v>
      </c>
      <c r="EJ1288" s="60">
        <f>EF1288-AJ1288</f>
        <v>0</v>
      </c>
    </row>
    <row r="1289" spans="2:140" s="131" customFormat="1" ht="12.75" hidden="1" customHeight="1">
      <c r="B1289" s="303" t="s">
        <v>2158</v>
      </c>
      <c r="C1289" s="130" t="s">
        <v>2161</v>
      </c>
      <c r="D1289" s="157" t="s">
        <v>1466</v>
      </c>
      <c r="E1289" s="304" t="s">
        <v>523</v>
      </c>
      <c r="F1289" s="142" t="s">
        <v>2080</v>
      </c>
      <c r="G1289" s="305" t="s">
        <v>987</v>
      </c>
      <c r="H1289" s="2"/>
      <c r="J1289" s="306" t="s">
        <v>286</v>
      </c>
      <c r="K1289" s="307" t="s">
        <v>2171</v>
      </c>
      <c r="L1289" s="134" t="s">
        <v>111</v>
      </c>
      <c r="M1289" s="133" t="str">
        <f t="shared" si="1549"/>
        <v>JD8G-9L291-BA</v>
      </c>
      <c r="N1289" s="134"/>
      <c r="O1289" s="308">
        <v>1</v>
      </c>
      <c r="P1289" s="308">
        <v>1</v>
      </c>
      <c r="Q1289" s="308">
        <v>1</v>
      </c>
      <c r="R1289" s="308">
        <v>1</v>
      </c>
      <c r="S1289" s="308">
        <v>0</v>
      </c>
      <c r="T1289" s="308">
        <v>0</v>
      </c>
      <c r="U1289" s="308">
        <v>1</v>
      </c>
      <c r="V1289" s="308">
        <v>0</v>
      </c>
      <c r="W1289" s="309">
        <f t="shared" si="1516"/>
        <v>0.72000000000000008</v>
      </c>
      <c r="Y1289" s="136">
        <f ca="1">AD1289-AC1289</f>
        <v>-143.63999999999999</v>
      </c>
      <c r="Z1289" s="237">
        <v>0</v>
      </c>
      <c r="AA1289" s="237">
        <v>0</v>
      </c>
      <c r="AB1289" s="237">
        <v>0</v>
      </c>
      <c r="AC1289" s="237">
        <v>-0.68</v>
      </c>
      <c r="AD1289" s="136">
        <f t="shared" ca="1" si="1559"/>
        <v>-144.32</v>
      </c>
      <c r="AE1289" s="131" t="s">
        <v>84</v>
      </c>
      <c r="AG1289" s="310">
        <v>-466920</v>
      </c>
      <c r="AH1289" s="310">
        <v>-466920</v>
      </c>
      <c r="AJ1289" s="301">
        <v>0</v>
      </c>
      <c r="AK1289" s="311">
        <v>0</v>
      </c>
      <c r="AM1289" s="130"/>
      <c r="AO1289" s="306" t="s">
        <v>286</v>
      </c>
      <c r="AP1289" s="305" t="s">
        <v>2171</v>
      </c>
      <c r="AQ1289" s="134" t="s">
        <v>111</v>
      </c>
      <c r="AR1289" s="312" t="str">
        <f t="shared" si="1566"/>
        <v>JD8G-9L291-BA</v>
      </c>
      <c r="AT1289" s="308">
        <v>1</v>
      </c>
      <c r="AU1289" s="308">
        <v>1</v>
      </c>
      <c r="AV1289" s="308">
        <v>1</v>
      </c>
      <c r="AW1289" s="308">
        <v>1</v>
      </c>
      <c r="AX1289" s="308">
        <v>0</v>
      </c>
      <c r="AY1289" s="308">
        <v>0</v>
      </c>
      <c r="AZ1289" s="308">
        <v>1</v>
      </c>
      <c r="BA1289" s="308">
        <v>0</v>
      </c>
      <c r="BB1289" s="308">
        <f t="shared" si="1511"/>
        <v>0.72000000000000008</v>
      </c>
      <c r="BD1289" s="139">
        <v>-144.32</v>
      </c>
      <c r="BE1289" s="237">
        <v>0</v>
      </c>
      <c r="BF1289" s="237">
        <v>0</v>
      </c>
      <c r="BG1289" s="237">
        <v>0</v>
      </c>
      <c r="BH1289" s="237">
        <v>0</v>
      </c>
      <c r="BI1289" s="136">
        <f t="shared" si="1560"/>
        <v>-144.32</v>
      </c>
      <c r="BJ1289" s="131" t="s">
        <v>84</v>
      </c>
      <c r="BL1289" s="237">
        <v>-466920</v>
      </c>
      <c r="BM1289" s="237">
        <v>-466920</v>
      </c>
      <c r="BN1289" s="313"/>
      <c r="BO1289" s="237">
        <v>0</v>
      </c>
      <c r="BP1289" s="237">
        <v>0</v>
      </c>
      <c r="BQ1289" s="131">
        <v>0</v>
      </c>
      <c r="BS1289" s="61">
        <f t="shared" ca="1" si="1551"/>
        <v>0.68000000000000682</v>
      </c>
      <c r="BT1289" s="61">
        <f t="shared" si="1552"/>
        <v>0</v>
      </c>
      <c r="BU1289" s="61">
        <f t="shared" si="1553"/>
        <v>0</v>
      </c>
      <c r="BV1289" s="61">
        <f t="shared" si="1553"/>
        <v>0</v>
      </c>
      <c r="BW1289" s="61">
        <f t="shared" si="1553"/>
        <v>-0.68</v>
      </c>
      <c r="BX1289" s="63">
        <f t="shared" ca="1" si="1553"/>
        <v>0</v>
      </c>
      <c r="BY1289" s="61" t="s">
        <v>91</v>
      </c>
      <c r="BZ1289" s="2"/>
      <c r="CA1289" s="61">
        <f t="shared" ca="1" si="1546"/>
        <v>0.10230179028133095</v>
      </c>
      <c r="CB1289" s="61">
        <f t="shared" ca="1" si="1546"/>
        <v>0.10230179028133095</v>
      </c>
      <c r="CC1289" s="61">
        <f t="shared" ca="1" si="1546"/>
        <v>0.10230179028133095</v>
      </c>
      <c r="CD1289" s="61">
        <f t="shared" ca="1" si="1546"/>
        <v>0.10230179028133095</v>
      </c>
      <c r="CE1289" s="61">
        <f t="shared" ca="1" si="1479"/>
        <v>0</v>
      </c>
      <c r="CF1289" s="61">
        <f t="shared" ca="1" si="1479"/>
        <v>0</v>
      </c>
      <c r="CG1289" s="61">
        <f t="shared" ca="1" si="1479"/>
        <v>0.10230179028133095</v>
      </c>
      <c r="CH1289" s="61">
        <f t="shared" ca="1" si="1479"/>
        <v>0</v>
      </c>
      <c r="CI1289" s="61">
        <f t="shared" ca="1" si="1561"/>
        <v>7.3657289002558288E-2</v>
      </c>
      <c r="CJ1289" s="267"/>
      <c r="CK1289" s="61">
        <f t="shared" ca="1" si="1454"/>
        <v>0</v>
      </c>
      <c r="CL1289" s="61">
        <f t="shared" ca="1" si="1454"/>
        <v>0</v>
      </c>
      <c r="CM1289" s="61">
        <f t="shared" ca="1" si="1454"/>
        <v>0</v>
      </c>
      <c r="CN1289" s="61">
        <f t="shared" ca="1" si="1454"/>
        <v>0</v>
      </c>
      <c r="CO1289" s="61">
        <f t="shared" ca="1" si="1454"/>
        <v>0</v>
      </c>
      <c r="CP1289" s="61">
        <f t="shared" ca="1" si="1454"/>
        <v>0</v>
      </c>
      <c r="CQ1289" s="61">
        <f t="shared" ca="1" si="1454"/>
        <v>0</v>
      </c>
      <c r="CR1289" s="61">
        <f t="shared" ca="1" si="1454"/>
        <v>0</v>
      </c>
      <c r="CS1289" s="61">
        <f t="shared" ca="1" si="1562"/>
        <v>0</v>
      </c>
      <c r="CT1289" s="63">
        <f t="shared" ca="1" si="1569"/>
        <v>0</v>
      </c>
      <c r="CU1289" s="73"/>
      <c r="CV1289" s="61">
        <f t="shared" si="1563"/>
        <v>0</v>
      </c>
      <c r="CW1289" s="61">
        <f t="shared" si="1564"/>
        <v>0</v>
      </c>
      <c r="CX1289" s="2"/>
      <c r="CY1289" s="61">
        <f t="shared" si="1565"/>
        <v>0</v>
      </c>
      <c r="CZ1289" s="61">
        <f t="shared" si="1565"/>
        <v>0</v>
      </c>
      <c r="DA1289" s="61">
        <f t="shared" si="1565"/>
        <v>0</v>
      </c>
      <c r="DB1289" s="131" t="s">
        <v>85</v>
      </c>
      <c r="DC1289" s="131" t="s">
        <v>86</v>
      </c>
      <c r="DD1289" s="131" t="s">
        <v>87</v>
      </c>
      <c r="DE1289" s="131" t="s">
        <v>106</v>
      </c>
      <c r="DF1289" s="134"/>
      <c r="DG1289" s="141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134"/>
      <c r="EC1289" s="139"/>
      <c r="ED1289" s="139"/>
      <c r="EE1289" s="139"/>
      <c r="EF1289" s="139"/>
    </row>
    <row r="1290" spans="2:140" ht="12.75" hidden="1" customHeight="1">
      <c r="B1290" s="1" t="s">
        <v>1462</v>
      </c>
      <c r="C1290" s="22" t="s">
        <v>2161</v>
      </c>
      <c r="D1290" s="149" t="s">
        <v>1466</v>
      </c>
      <c r="E1290" s="86" t="s">
        <v>523</v>
      </c>
      <c r="F1290" s="85" t="s">
        <v>2080</v>
      </c>
      <c r="G1290" s="297" t="s">
        <v>987</v>
      </c>
      <c r="J1290" s="298" t="s">
        <v>286</v>
      </c>
      <c r="K1290" s="299" t="s">
        <v>2171</v>
      </c>
      <c r="L1290" s="3" t="s">
        <v>111</v>
      </c>
      <c r="M1290" s="51" t="str">
        <f t="shared" si="1549"/>
        <v>JD8G-9L291-BA</v>
      </c>
      <c r="O1290" s="89">
        <v>1</v>
      </c>
      <c r="P1290" s="89">
        <v>1</v>
      </c>
      <c r="Q1290" s="89">
        <v>1</v>
      </c>
      <c r="R1290" s="89">
        <v>1</v>
      </c>
      <c r="S1290" s="89">
        <v>0</v>
      </c>
      <c r="T1290" s="89">
        <v>0</v>
      </c>
      <c r="U1290" s="89">
        <v>1</v>
      </c>
      <c r="V1290" s="89">
        <v>0</v>
      </c>
      <c r="W1290" s="164">
        <f t="shared" si="1516"/>
        <v>0.72000000000000008</v>
      </c>
      <c r="Y1290" s="8">
        <v>-144.32</v>
      </c>
      <c r="Z1290" s="63">
        <v>0</v>
      </c>
      <c r="AA1290" s="63">
        <v>0</v>
      </c>
      <c r="AB1290" s="63">
        <v>0</v>
      </c>
      <c r="AC1290" s="63">
        <v>0</v>
      </c>
      <c r="AD1290" s="8">
        <f t="shared" si="1559"/>
        <v>-144.32</v>
      </c>
      <c r="AE1290" s="2" t="s">
        <v>84</v>
      </c>
      <c r="AG1290" s="300">
        <v>-466920</v>
      </c>
      <c r="AH1290" s="300">
        <v>-466920</v>
      </c>
      <c r="AJ1290" s="300">
        <v>0</v>
      </c>
      <c r="AK1290" s="176">
        <v>0</v>
      </c>
      <c r="AM1290" s="22"/>
      <c r="AO1290" s="298" t="s">
        <v>286</v>
      </c>
      <c r="AP1290" s="297" t="s">
        <v>2171</v>
      </c>
      <c r="AQ1290" s="3" t="s">
        <v>111</v>
      </c>
      <c r="AR1290" s="90" t="str">
        <f t="shared" si="1566"/>
        <v>JD8G-9L291-BA</v>
      </c>
      <c r="AT1290" s="89">
        <v>1</v>
      </c>
      <c r="AU1290" s="89">
        <v>1</v>
      </c>
      <c r="AV1290" s="89">
        <v>1</v>
      </c>
      <c r="AW1290" s="89">
        <v>1</v>
      </c>
      <c r="AX1290" s="89">
        <v>0</v>
      </c>
      <c r="AY1290" s="89">
        <v>0</v>
      </c>
      <c r="AZ1290" s="89">
        <v>1</v>
      </c>
      <c r="BA1290" s="89">
        <v>0</v>
      </c>
      <c r="BB1290" s="89">
        <f t="shared" si="1511"/>
        <v>0.72000000000000008</v>
      </c>
      <c r="BD1290" s="60">
        <v>-144.32</v>
      </c>
      <c r="BE1290" s="63">
        <v>0</v>
      </c>
      <c r="BF1290" s="63">
        <v>0</v>
      </c>
      <c r="BG1290" s="63">
        <v>0</v>
      </c>
      <c r="BH1290" s="63">
        <v>0</v>
      </c>
      <c r="BI1290" s="8">
        <f t="shared" ref="BI1290" si="1615">SUM(BD1290:BH1290)</f>
        <v>-144.32</v>
      </c>
      <c r="BJ1290" s="2" t="s">
        <v>84</v>
      </c>
      <c r="BL1290" s="300">
        <v>-466920</v>
      </c>
      <c r="BM1290" s="300">
        <v>-466920</v>
      </c>
      <c r="BN1290" s="267"/>
      <c r="BO1290" s="63">
        <v>0</v>
      </c>
      <c r="BP1290" s="63">
        <v>0</v>
      </c>
      <c r="BQ1290" s="2">
        <v>0</v>
      </c>
      <c r="BS1290" s="61">
        <f t="shared" si="1551"/>
        <v>0</v>
      </c>
      <c r="BT1290" s="61">
        <f t="shared" si="1552"/>
        <v>0</v>
      </c>
      <c r="BU1290" s="61">
        <f t="shared" si="1553"/>
        <v>0</v>
      </c>
      <c r="BV1290" s="61">
        <f t="shared" si="1553"/>
        <v>0</v>
      </c>
      <c r="BW1290" s="61">
        <f t="shared" si="1553"/>
        <v>0</v>
      </c>
      <c r="BX1290" s="63">
        <f t="shared" si="1553"/>
        <v>0</v>
      </c>
      <c r="BY1290" s="61" t="s">
        <v>91</v>
      </c>
      <c r="CA1290" s="61">
        <f t="shared" si="1546"/>
        <v>0</v>
      </c>
      <c r="CB1290" s="61">
        <f t="shared" si="1546"/>
        <v>0</v>
      </c>
      <c r="CC1290" s="61">
        <f t="shared" si="1546"/>
        <v>0</v>
      </c>
      <c r="CD1290" s="61">
        <f t="shared" si="1546"/>
        <v>0</v>
      </c>
      <c r="CE1290" s="61">
        <f t="shared" si="1479"/>
        <v>0</v>
      </c>
      <c r="CF1290" s="61">
        <f t="shared" si="1479"/>
        <v>0</v>
      </c>
      <c r="CG1290" s="61">
        <f t="shared" si="1479"/>
        <v>0</v>
      </c>
      <c r="CH1290" s="61">
        <f t="shared" si="1479"/>
        <v>0</v>
      </c>
      <c r="CI1290" s="61">
        <f t="shared" si="1561"/>
        <v>0</v>
      </c>
      <c r="CJ1290" s="267"/>
      <c r="CK1290" s="61">
        <f t="shared" si="1454"/>
        <v>0</v>
      </c>
      <c r="CL1290" s="61">
        <f t="shared" si="1454"/>
        <v>0</v>
      </c>
      <c r="CM1290" s="61">
        <f t="shared" si="1454"/>
        <v>0</v>
      </c>
      <c r="CN1290" s="61">
        <f t="shared" si="1454"/>
        <v>0</v>
      </c>
      <c r="CO1290" s="61">
        <f t="shared" si="1454"/>
        <v>0</v>
      </c>
      <c r="CP1290" s="61">
        <f t="shared" si="1454"/>
        <v>0</v>
      </c>
      <c r="CQ1290" s="61">
        <f t="shared" si="1454"/>
        <v>0</v>
      </c>
      <c r="CR1290" s="61">
        <f t="shared" si="1454"/>
        <v>0</v>
      </c>
      <c r="CS1290" s="61">
        <f t="shared" si="1562"/>
        <v>0</v>
      </c>
      <c r="CT1290" s="63">
        <f t="shared" si="1569"/>
        <v>0</v>
      </c>
      <c r="CU1290" s="73"/>
      <c r="CV1290" s="61">
        <f t="shared" ref="CV1290" si="1616">SUM(AG1290)-SUM(BL1290)</f>
        <v>0</v>
      </c>
      <c r="CW1290" s="61">
        <f t="shared" si="1564"/>
        <v>0</v>
      </c>
      <c r="CY1290" s="61">
        <f t="shared" si="1565"/>
        <v>0</v>
      </c>
      <c r="CZ1290" s="61">
        <f t="shared" si="1565"/>
        <v>0</v>
      </c>
      <c r="DA1290" s="61">
        <f t="shared" si="1565"/>
        <v>0</v>
      </c>
      <c r="DB1290" s="2" t="s">
        <v>85</v>
      </c>
      <c r="DC1290" s="2" t="s">
        <v>85</v>
      </c>
      <c r="DD1290" s="2" t="s">
        <v>87</v>
      </c>
      <c r="DE1290" s="2" t="s">
        <v>106</v>
      </c>
      <c r="DF1290" s="3" t="s">
        <v>86</v>
      </c>
      <c r="DG1290" s="62">
        <v>43125</v>
      </c>
      <c r="EC1290" s="60"/>
      <c r="ED1290" s="60"/>
      <c r="EE1290" s="60"/>
      <c r="EF1290" s="60"/>
    </row>
    <row r="1291" spans="2:140" ht="12.75" hidden="1" customHeight="1">
      <c r="B1291" s="1" t="s">
        <v>2173</v>
      </c>
      <c r="C1291" s="22" t="s">
        <v>2161</v>
      </c>
      <c r="D1291" s="149" t="s">
        <v>1466</v>
      </c>
      <c r="E1291" s="86" t="s">
        <v>523</v>
      </c>
      <c r="F1291" s="85" t="s">
        <v>2080</v>
      </c>
      <c r="G1291" s="297" t="s">
        <v>987</v>
      </c>
      <c r="J1291" s="298" t="s">
        <v>286</v>
      </c>
      <c r="K1291" s="299" t="s">
        <v>2171</v>
      </c>
      <c r="L1291" s="3" t="s">
        <v>120</v>
      </c>
      <c r="M1291" s="51" t="str">
        <f t="shared" si="1549"/>
        <v>JD8G-9L291-BB</v>
      </c>
      <c r="O1291" s="89">
        <v>1</v>
      </c>
      <c r="P1291" s="89">
        <v>1</v>
      </c>
      <c r="Q1291" s="89">
        <v>1</v>
      </c>
      <c r="R1291" s="89">
        <v>1</v>
      </c>
      <c r="S1291" s="89">
        <v>0</v>
      </c>
      <c r="T1291" s="89">
        <v>0</v>
      </c>
      <c r="U1291" s="89">
        <v>1</v>
      </c>
      <c r="V1291" s="89">
        <v>0</v>
      </c>
      <c r="W1291" s="164">
        <f t="shared" si="1516"/>
        <v>0.72000000000000008</v>
      </c>
      <c r="Y1291" s="8">
        <f>-144.32+0.67</f>
        <v>-143.65</v>
      </c>
      <c r="Z1291" s="63">
        <v>0</v>
      </c>
      <c r="AA1291" s="63">
        <v>0</v>
      </c>
      <c r="AB1291" s="63">
        <v>0</v>
      </c>
      <c r="AC1291" s="63">
        <v>0</v>
      </c>
      <c r="AD1291" s="8">
        <f t="shared" ref="AD1291:AD1292" si="1617">SUM(Y1291:AC1291)</f>
        <v>-143.65</v>
      </c>
      <c r="AE1291" s="2" t="s">
        <v>84</v>
      </c>
      <c r="AG1291" s="300">
        <v>-466920</v>
      </c>
      <c r="AH1291" s="300">
        <v>-466920</v>
      </c>
      <c r="AJ1291" s="300">
        <v>0</v>
      </c>
      <c r="AK1291" s="176">
        <v>0</v>
      </c>
      <c r="AM1291" s="22"/>
      <c r="AO1291" s="298" t="s">
        <v>286</v>
      </c>
      <c r="AP1291" s="299" t="s">
        <v>2171</v>
      </c>
      <c r="AQ1291" s="3" t="s">
        <v>111</v>
      </c>
      <c r="AR1291" s="51" t="str">
        <f t="shared" si="1566"/>
        <v>JD8G-9L291-BA</v>
      </c>
      <c r="AS1291" s="3"/>
      <c r="AT1291" s="89">
        <v>1</v>
      </c>
      <c r="AU1291" s="89">
        <v>1</v>
      </c>
      <c r="AV1291" s="89">
        <v>1</v>
      </c>
      <c r="AW1291" s="89">
        <v>1</v>
      </c>
      <c r="AX1291" s="89">
        <v>0</v>
      </c>
      <c r="AY1291" s="89">
        <v>0</v>
      </c>
      <c r="AZ1291" s="89">
        <v>1</v>
      </c>
      <c r="BA1291" s="89">
        <v>0</v>
      </c>
      <c r="BB1291" s="164">
        <f t="shared" si="1511"/>
        <v>0.72000000000000008</v>
      </c>
      <c r="BD1291" s="8">
        <v>-144.32</v>
      </c>
      <c r="BE1291" s="63">
        <v>0</v>
      </c>
      <c r="BF1291" s="63">
        <v>0</v>
      </c>
      <c r="BG1291" s="63">
        <v>0</v>
      </c>
      <c r="BH1291" s="63">
        <v>0</v>
      </c>
      <c r="BI1291" s="8">
        <f t="shared" ref="BI1291" si="1618">SUM(BD1291:BH1291)</f>
        <v>-144.32</v>
      </c>
      <c r="BJ1291" s="2" t="s">
        <v>84</v>
      </c>
      <c r="BK1291" s="8"/>
      <c r="BL1291" s="300">
        <v>-466920</v>
      </c>
      <c r="BM1291" s="300">
        <v>-466920</v>
      </c>
      <c r="BN1291" s="300"/>
      <c r="BO1291" s="63">
        <v>0</v>
      </c>
      <c r="BP1291" s="63">
        <v>0</v>
      </c>
      <c r="BQ1291" s="2">
        <v>0</v>
      </c>
      <c r="BS1291" s="61">
        <f t="shared" si="1551"/>
        <v>0.66999999999998749</v>
      </c>
      <c r="BT1291" s="61">
        <f t="shared" si="1552"/>
        <v>0</v>
      </c>
      <c r="BU1291" s="61">
        <f t="shared" si="1553"/>
        <v>0</v>
      </c>
      <c r="BV1291" s="61">
        <f t="shared" si="1553"/>
        <v>0</v>
      </c>
      <c r="BW1291" s="61">
        <f t="shared" si="1553"/>
        <v>0</v>
      </c>
      <c r="BX1291" s="63">
        <f t="shared" si="1553"/>
        <v>0.66999999999998749</v>
      </c>
      <c r="BY1291" s="61" t="s">
        <v>91</v>
      </c>
      <c r="CA1291" s="61">
        <f t="shared" si="1546"/>
        <v>0.10079735218895554</v>
      </c>
      <c r="CB1291" s="61">
        <f t="shared" si="1546"/>
        <v>0.10079735218895554</v>
      </c>
      <c r="CC1291" s="61">
        <f t="shared" si="1546"/>
        <v>0.10079735218895554</v>
      </c>
      <c r="CD1291" s="61">
        <f t="shared" si="1546"/>
        <v>0.10079735218895554</v>
      </c>
      <c r="CE1291" s="61">
        <f t="shared" si="1479"/>
        <v>0</v>
      </c>
      <c r="CF1291" s="61">
        <f t="shared" si="1479"/>
        <v>0</v>
      </c>
      <c r="CG1291" s="61">
        <f t="shared" si="1479"/>
        <v>0.10079735218895554</v>
      </c>
      <c r="CH1291" s="61">
        <f t="shared" si="1479"/>
        <v>0</v>
      </c>
      <c r="CI1291" s="61">
        <f t="shared" si="1561"/>
        <v>7.2574093576047979E-2</v>
      </c>
      <c r="CJ1291" s="267"/>
      <c r="CK1291" s="61">
        <f t="shared" si="1454"/>
        <v>0.10079735218895554</v>
      </c>
      <c r="CL1291" s="61">
        <f t="shared" ref="CL1291:CR1354" si="1619">(P1291*$AD1291-AU1291*$BI1291)/$C$2</f>
        <v>0.10079735218895554</v>
      </c>
      <c r="CM1291" s="61">
        <f t="shared" si="1619"/>
        <v>0.10079735218895554</v>
      </c>
      <c r="CN1291" s="61">
        <f t="shared" si="1619"/>
        <v>0.10079735218895554</v>
      </c>
      <c r="CO1291" s="61">
        <f t="shared" si="1619"/>
        <v>0</v>
      </c>
      <c r="CP1291" s="61">
        <f t="shared" si="1619"/>
        <v>0</v>
      </c>
      <c r="CQ1291" s="61">
        <f t="shared" si="1619"/>
        <v>0.10079735218895554</v>
      </c>
      <c r="CR1291" s="61">
        <f t="shared" si="1619"/>
        <v>0</v>
      </c>
      <c r="CS1291" s="61">
        <f t="shared" si="1562"/>
        <v>7.2574093576047979E-2</v>
      </c>
      <c r="CT1291" s="241">
        <f t="shared" si="1569"/>
        <v>0.48239999999999095</v>
      </c>
      <c r="CU1291" s="73"/>
      <c r="CV1291" s="61">
        <f t="shared" ref="CV1291" si="1620">SUM(AG1291)-SUM(BL1291)</f>
        <v>0</v>
      </c>
      <c r="CW1291" s="61">
        <f t="shared" si="1564"/>
        <v>0</v>
      </c>
      <c r="CY1291" s="61">
        <f t="shared" si="1565"/>
        <v>0</v>
      </c>
      <c r="CZ1291" s="61">
        <f t="shared" si="1565"/>
        <v>0</v>
      </c>
      <c r="DA1291" s="61">
        <f t="shared" si="1565"/>
        <v>0</v>
      </c>
      <c r="DB1291" s="2" t="s">
        <v>85</v>
      </c>
      <c r="DC1291" s="2" t="s">
        <v>85</v>
      </c>
      <c r="DD1291" s="2" t="s">
        <v>87</v>
      </c>
      <c r="DE1291" s="2" t="s">
        <v>106</v>
      </c>
      <c r="DF1291" s="3" t="s">
        <v>86</v>
      </c>
      <c r="DG1291" s="62">
        <v>43125</v>
      </c>
      <c r="EC1291" s="60"/>
      <c r="ED1291" s="60"/>
      <c r="EE1291" s="60"/>
      <c r="EF1291" s="60"/>
    </row>
    <row r="1292" spans="2:140" ht="12.75" hidden="1" customHeight="1">
      <c r="B1292" s="1" t="s">
        <v>2172</v>
      </c>
      <c r="C1292" s="22" t="s">
        <v>2161</v>
      </c>
      <c r="D1292" s="149" t="s">
        <v>1466</v>
      </c>
      <c r="E1292" s="86" t="s">
        <v>523</v>
      </c>
      <c r="F1292" s="85" t="s">
        <v>2080</v>
      </c>
      <c r="G1292" s="297" t="s">
        <v>987</v>
      </c>
      <c r="J1292" s="298" t="s">
        <v>286</v>
      </c>
      <c r="K1292" s="299" t="s">
        <v>2171</v>
      </c>
      <c r="L1292" s="3" t="s">
        <v>599</v>
      </c>
      <c r="M1292" s="51" t="str">
        <f t="shared" si="1549"/>
        <v>JD8G-9L291-BC</v>
      </c>
      <c r="O1292" s="89">
        <v>1</v>
      </c>
      <c r="P1292" s="89">
        <v>1</v>
      </c>
      <c r="Q1292" s="89">
        <v>1</v>
      </c>
      <c r="R1292" s="89">
        <v>1</v>
      </c>
      <c r="S1292" s="89">
        <v>0</v>
      </c>
      <c r="T1292" s="89">
        <v>0</v>
      </c>
      <c r="U1292" s="89">
        <v>1</v>
      </c>
      <c r="V1292" s="89">
        <v>0</v>
      </c>
      <c r="W1292" s="164">
        <f t="shared" si="1516"/>
        <v>0.72000000000000008</v>
      </c>
      <c r="Y1292" s="8">
        <f>-144.32+0.67-2.99</f>
        <v>-146.64000000000001</v>
      </c>
      <c r="Z1292" s="63">
        <v>0</v>
      </c>
      <c r="AA1292" s="63">
        <v>0</v>
      </c>
      <c r="AB1292" s="63">
        <v>0</v>
      </c>
      <c r="AC1292" s="63">
        <v>0</v>
      </c>
      <c r="AD1292" s="8">
        <f t="shared" si="1617"/>
        <v>-146.64000000000001</v>
      </c>
      <c r="AE1292" s="2" t="s">
        <v>84</v>
      </c>
      <c r="AG1292" s="300">
        <f>-4000-466920</f>
        <v>-470920</v>
      </c>
      <c r="AH1292" s="300">
        <f>-4000-466920</f>
        <v>-470920</v>
      </c>
      <c r="AJ1292" s="300">
        <v>0</v>
      </c>
      <c r="AK1292" s="176">
        <v>0</v>
      </c>
      <c r="AM1292" s="22"/>
      <c r="AO1292" s="298" t="s">
        <v>286</v>
      </c>
      <c r="AP1292" s="299" t="s">
        <v>2171</v>
      </c>
      <c r="AQ1292" s="3" t="s">
        <v>120</v>
      </c>
      <c r="AR1292" s="51" t="str">
        <f t="shared" si="1566"/>
        <v>JD8G-9L291-BB</v>
      </c>
      <c r="AS1292" s="3"/>
      <c r="AT1292" s="89">
        <v>1</v>
      </c>
      <c r="AU1292" s="89">
        <v>1</v>
      </c>
      <c r="AV1292" s="89">
        <v>1</v>
      </c>
      <c r="AW1292" s="89">
        <v>1</v>
      </c>
      <c r="AX1292" s="89">
        <v>0</v>
      </c>
      <c r="AY1292" s="89">
        <v>0</v>
      </c>
      <c r="AZ1292" s="89">
        <v>1</v>
      </c>
      <c r="BA1292" s="89">
        <v>0</v>
      </c>
      <c r="BB1292" s="164">
        <f t="shared" si="1511"/>
        <v>0.72000000000000008</v>
      </c>
      <c r="BD1292" s="8">
        <f>-144.32+0.67</f>
        <v>-143.65</v>
      </c>
      <c r="BE1292" s="63">
        <v>0</v>
      </c>
      <c r="BF1292" s="63">
        <v>0</v>
      </c>
      <c r="BG1292" s="63">
        <v>0</v>
      </c>
      <c r="BH1292" s="63">
        <v>0</v>
      </c>
      <c r="BI1292" s="8">
        <f t="shared" ref="BI1292" si="1621">SUM(BD1292:BH1292)</f>
        <v>-143.65</v>
      </c>
      <c r="BJ1292" s="2" t="s">
        <v>84</v>
      </c>
      <c r="BK1292" s="8"/>
      <c r="BL1292" s="300">
        <v>-466920</v>
      </c>
      <c r="BM1292" s="300">
        <v>-466920</v>
      </c>
      <c r="BN1292" s="300"/>
      <c r="BO1292" s="63">
        <v>0</v>
      </c>
      <c r="BP1292" s="63">
        <v>0</v>
      </c>
      <c r="BQ1292" s="2">
        <v>0</v>
      </c>
      <c r="BS1292" s="61">
        <f t="shared" si="1551"/>
        <v>-2.9900000000000091</v>
      </c>
      <c r="BT1292" s="61">
        <f t="shared" si="1552"/>
        <v>0</v>
      </c>
      <c r="BU1292" s="61">
        <f t="shared" si="1553"/>
        <v>0</v>
      </c>
      <c r="BV1292" s="61">
        <f t="shared" si="1553"/>
        <v>0</v>
      </c>
      <c r="BW1292" s="61">
        <f t="shared" si="1553"/>
        <v>0</v>
      </c>
      <c r="BX1292" s="63">
        <f t="shared" si="1553"/>
        <v>-2.9900000000000091</v>
      </c>
      <c r="BY1292" s="61" t="s">
        <v>91</v>
      </c>
      <c r="CA1292" s="61">
        <f t="shared" ref="CA1292:CG1323" si="1622">($Y1292*O1292-AT1292*$BD1292)/$C$2</f>
        <v>-0.4498269896193785</v>
      </c>
      <c r="CB1292" s="61">
        <f t="shared" si="1622"/>
        <v>-0.4498269896193785</v>
      </c>
      <c r="CC1292" s="61">
        <f t="shared" si="1622"/>
        <v>-0.4498269896193785</v>
      </c>
      <c r="CD1292" s="61">
        <f t="shared" si="1622"/>
        <v>-0.4498269896193785</v>
      </c>
      <c r="CE1292" s="61">
        <f t="shared" si="1479"/>
        <v>0</v>
      </c>
      <c r="CF1292" s="61">
        <f t="shared" si="1479"/>
        <v>0</v>
      </c>
      <c r="CG1292" s="61">
        <f t="shared" si="1479"/>
        <v>-0.4498269896193785</v>
      </c>
      <c r="CH1292" s="61">
        <f t="shared" si="1479"/>
        <v>0</v>
      </c>
      <c r="CI1292" s="61">
        <f t="shared" si="1561"/>
        <v>-0.32387543252595252</v>
      </c>
      <c r="CJ1292" s="267"/>
      <c r="CK1292" s="61">
        <f t="shared" ref="CK1292:CN1355" si="1623">(O1292*$AD1292-AT1292*$BI1292)/$C$2</f>
        <v>-0.4498269896193785</v>
      </c>
      <c r="CL1292" s="61">
        <f t="shared" si="1619"/>
        <v>-0.4498269896193785</v>
      </c>
      <c r="CM1292" s="61">
        <f t="shared" si="1619"/>
        <v>-0.4498269896193785</v>
      </c>
      <c r="CN1292" s="61">
        <f t="shared" si="1619"/>
        <v>-0.4498269896193785</v>
      </c>
      <c r="CO1292" s="61">
        <f t="shared" si="1619"/>
        <v>0</v>
      </c>
      <c r="CP1292" s="61">
        <f t="shared" si="1619"/>
        <v>0</v>
      </c>
      <c r="CQ1292" s="61">
        <f t="shared" si="1619"/>
        <v>-0.4498269896193785</v>
      </c>
      <c r="CR1292" s="61">
        <f t="shared" si="1619"/>
        <v>0</v>
      </c>
      <c r="CS1292" s="61">
        <f t="shared" si="1562"/>
        <v>-0.32387543252595252</v>
      </c>
      <c r="CT1292" s="241">
        <f t="shared" si="1569"/>
        <v>-2.1528000000000067</v>
      </c>
      <c r="CU1292" s="73"/>
      <c r="CV1292" s="61">
        <f t="shared" ref="CV1292" si="1624">SUM(AG1292)-SUM(BL1292)</f>
        <v>-4000</v>
      </c>
      <c r="CW1292" s="61">
        <f t="shared" ref="CW1292" si="1625">SUM(AH1292)-SUM(BM1292)</f>
        <v>-4000</v>
      </c>
      <c r="CY1292" s="61">
        <f t="shared" si="1565"/>
        <v>0</v>
      </c>
      <c r="CZ1292" s="61">
        <f t="shared" si="1565"/>
        <v>0</v>
      </c>
      <c r="DA1292" s="61">
        <f t="shared" si="1565"/>
        <v>0</v>
      </c>
      <c r="DB1292" s="2" t="s">
        <v>86</v>
      </c>
      <c r="DC1292" s="2" t="s">
        <v>85</v>
      </c>
      <c r="DD1292" s="2" t="s">
        <v>87</v>
      </c>
      <c r="DE1292" s="2" t="s">
        <v>106</v>
      </c>
      <c r="DG1292" s="62"/>
      <c r="EC1292" s="60" t="str">
        <f>VLOOKUP($M1292,[1]Detail!$M:$BO,1,0)</f>
        <v>JD8G-9L291-BC</v>
      </c>
      <c r="ED1292" s="60">
        <f>VLOOKUP($M1292,[1]Detail!$M:$BO,22,0)</f>
        <v>-146.64000000000001</v>
      </c>
      <c r="EE1292" s="60">
        <f>VLOOKUP($M1292,[1]Detail!$M:$BO,42,0)</f>
        <v>-470920</v>
      </c>
      <c r="EF1292" s="60">
        <f>VLOOKUP($M1292,[1]Detail!$M:$BO,45,0)</f>
        <v>0</v>
      </c>
      <c r="EH1292" s="60">
        <f>ED1292-AD1292</f>
        <v>0</v>
      </c>
      <c r="EI1292" s="60">
        <f>EE1292-AG1292</f>
        <v>0</v>
      </c>
      <c r="EJ1292" s="60">
        <f>EF1292-AJ1292</f>
        <v>0</v>
      </c>
    </row>
    <row r="1293" spans="2:140" ht="12.75" hidden="1" customHeight="1">
      <c r="B1293" s="1" t="s">
        <v>2158</v>
      </c>
      <c r="C1293" s="22" t="s">
        <v>2159</v>
      </c>
      <c r="D1293" s="149" t="s">
        <v>1466</v>
      </c>
      <c r="E1293" s="86" t="s">
        <v>523</v>
      </c>
      <c r="F1293" s="85" t="s">
        <v>2080</v>
      </c>
      <c r="G1293" s="297" t="s">
        <v>987</v>
      </c>
      <c r="J1293" s="298" t="s">
        <v>286</v>
      </c>
      <c r="K1293" s="299" t="s">
        <v>2171</v>
      </c>
      <c r="L1293" s="3" t="s">
        <v>113</v>
      </c>
      <c r="M1293" s="51" t="str">
        <f t="shared" si="1549"/>
        <v>JD8G-9L291-CA</v>
      </c>
      <c r="O1293" s="89">
        <v>0</v>
      </c>
      <c r="P1293" s="89">
        <v>0</v>
      </c>
      <c r="Q1293" s="89">
        <v>0</v>
      </c>
      <c r="R1293" s="89">
        <v>0</v>
      </c>
      <c r="S1293" s="89">
        <v>1</v>
      </c>
      <c r="T1293" s="89">
        <v>1</v>
      </c>
      <c r="U1293" s="89">
        <v>0</v>
      </c>
      <c r="V1293" s="89">
        <v>1</v>
      </c>
      <c r="W1293" s="164">
        <f t="shared" si="1516"/>
        <v>0.28000000000000003</v>
      </c>
      <c r="Y1293" s="8">
        <f ca="1">AD1293-AC1293</f>
        <v>-152.38999999999999</v>
      </c>
      <c r="Z1293" s="63">
        <v>0</v>
      </c>
      <c r="AA1293" s="63">
        <v>0</v>
      </c>
      <c r="AB1293" s="63">
        <v>0</v>
      </c>
      <c r="AC1293" s="63">
        <v>-0.19</v>
      </c>
      <c r="AD1293" s="8">
        <f t="shared" ca="1" si="1559"/>
        <v>-152.57999999999998</v>
      </c>
      <c r="AE1293" s="2" t="s">
        <v>84</v>
      </c>
      <c r="AG1293" s="302">
        <v>-1285930</v>
      </c>
      <c r="AH1293" s="302">
        <v>-1285930</v>
      </c>
      <c r="AJ1293" s="300">
        <v>0</v>
      </c>
      <c r="AK1293" s="176">
        <v>0</v>
      </c>
      <c r="AM1293" s="22"/>
      <c r="AO1293" s="298" t="s">
        <v>1460</v>
      </c>
      <c r="AP1293" s="297" t="s">
        <v>2171</v>
      </c>
      <c r="AQ1293" s="3" t="s">
        <v>812</v>
      </c>
      <c r="AR1293" s="90" t="str">
        <f t="shared" si="1566"/>
        <v>ED8G-9L291-AJ</v>
      </c>
      <c r="AT1293" s="89">
        <v>0</v>
      </c>
      <c r="AU1293" s="89">
        <v>0</v>
      </c>
      <c r="AV1293" s="89">
        <v>0</v>
      </c>
      <c r="AW1293" s="89">
        <v>0</v>
      </c>
      <c r="AX1293" s="89">
        <v>1</v>
      </c>
      <c r="AY1293" s="89">
        <v>1</v>
      </c>
      <c r="AZ1293" s="89">
        <v>0</v>
      </c>
      <c r="BA1293" s="89">
        <v>1</v>
      </c>
      <c r="BB1293" s="89">
        <f t="shared" si="1511"/>
        <v>0.28000000000000003</v>
      </c>
      <c r="BD1293" s="60">
        <v>-117.11</v>
      </c>
      <c r="BE1293" s="63">
        <v>0</v>
      </c>
      <c r="BF1293" s="63">
        <v>0</v>
      </c>
      <c r="BG1293" s="63">
        <v>0</v>
      </c>
      <c r="BH1293" s="63">
        <v>0</v>
      </c>
      <c r="BI1293" s="8">
        <f t="shared" si="1560"/>
        <v>-117.11</v>
      </c>
      <c r="BJ1293" s="2" t="s">
        <v>84</v>
      </c>
      <c r="BL1293" s="63"/>
      <c r="BM1293" s="63">
        <v>0</v>
      </c>
      <c r="BN1293" s="267"/>
      <c r="BO1293" s="63">
        <v>0</v>
      </c>
      <c r="BP1293" s="63">
        <v>0</v>
      </c>
      <c r="BQ1293" s="2">
        <v>0</v>
      </c>
      <c r="BS1293" s="61">
        <f t="shared" ca="1" si="1551"/>
        <v>-35.279999999999987</v>
      </c>
      <c r="BT1293" s="61">
        <f t="shared" si="1552"/>
        <v>0</v>
      </c>
      <c r="BU1293" s="61">
        <f t="shared" si="1553"/>
        <v>0</v>
      </c>
      <c r="BV1293" s="61">
        <f t="shared" si="1553"/>
        <v>0</v>
      </c>
      <c r="BW1293" s="61">
        <f t="shared" si="1553"/>
        <v>-0.19</v>
      </c>
      <c r="BX1293" s="63">
        <f t="shared" ca="1" si="1553"/>
        <v>-35.469999999999985</v>
      </c>
      <c r="BY1293" s="61" t="s">
        <v>91</v>
      </c>
      <c r="CA1293" s="61">
        <f t="shared" ca="1" si="1622"/>
        <v>0</v>
      </c>
      <c r="CB1293" s="61">
        <f t="shared" ca="1" si="1622"/>
        <v>0</v>
      </c>
      <c r="CC1293" s="61">
        <f t="shared" ca="1" si="1622"/>
        <v>0</v>
      </c>
      <c r="CD1293" s="61">
        <f t="shared" ca="1" si="1622"/>
        <v>0</v>
      </c>
      <c r="CE1293" s="61">
        <f t="shared" ca="1" si="1479"/>
        <v>-5.3076575898901739</v>
      </c>
      <c r="CF1293" s="61">
        <f t="shared" ca="1" si="1479"/>
        <v>-5.3076575898901739</v>
      </c>
      <c r="CG1293" s="61">
        <f t="shared" ca="1" si="1479"/>
        <v>0</v>
      </c>
      <c r="CH1293" s="61">
        <f t="shared" ca="1" si="1479"/>
        <v>-5.3076575898901739</v>
      </c>
      <c r="CI1293" s="61">
        <f t="shared" ca="1" si="1561"/>
        <v>-1.4861441251692489</v>
      </c>
      <c r="CJ1293" s="267"/>
      <c r="CK1293" s="61">
        <f t="shared" ca="1" si="1623"/>
        <v>0</v>
      </c>
      <c r="CL1293" s="61">
        <f t="shared" ca="1" si="1619"/>
        <v>0</v>
      </c>
      <c r="CM1293" s="61">
        <f t="shared" ca="1" si="1619"/>
        <v>0</v>
      </c>
      <c r="CN1293" s="61">
        <f t="shared" ca="1" si="1619"/>
        <v>0</v>
      </c>
      <c r="CO1293" s="61">
        <f t="shared" ca="1" si="1619"/>
        <v>-5.3362419136452512</v>
      </c>
      <c r="CP1293" s="61">
        <f t="shared" ca="1" si="1619"/>
        <v>-5.3362419136452512</v>
      </c>
      <c r="CQ1293" s="61">
        <f t="shared" ca="1" si="1619"/>
        <v>0</v>
      </c>
      <c r="CR1293" s="61">
        <f t="shared" ca="1" si="1619"/>
        <v>-5.3362419136452512</v>
      </c>
      <c r="CS1293" s="61">
        <f t="shared" ca="1" si="1562"/>
        <v>-1.4941477358206705</v>
      </c>
      <c r="CT1293" s="63">
        <f t="shared" ca="1" si="1569"/>
        <v>-9.9315999999999978</v>
      </c>
      <c r="CU1293" s="73"/>
      <c r="CV1293" s="61">
        <f t="shared" si="1563"/>
        <v>-1285930</v>
      </c>
      <c r="CW1293" s="61">
        <f t="shared" si="1564"/>
        <v>-1285930</v>
      </c>
      <c r="CY1293" s="61">
        <f t="shared" si="1565"/>
        <v>0</v>
      </c>
      <c r="CZ1293" s="61">
        <f t="shared" si="1565"/>
        <v>0</v>
      </c>
      <c r="DA1293" s="61">
        <f t="shared" si="1565"/>
        <v>0</v>
      </c>
      <c r="DB1293" s="2" t="s">
        <v>85</v>
      </c>
      <c r="DC1293" s="2" t="s">
        <v>86</v>
      </c>
      <c r="DD1293" s="2" t="s">
        <v>87</v>
      </c>
      <c r="DE1293" s="2" t="s">
        <v>106</v>
      </c>
      <c r="DG1293" s="62"/>
      <c r="EC1293" s="60"/>
      <c r="ED1293" s="60"/>
      <c r="EE1293" s="60"/>
      <c r="EF1293" s="60"/>
    </row>
    <row r="1294" spans="2:140" ht="12.75" hidden="1" customHeight="1">
      <c r="B1294" s="1" t="s">
        <v>1461</v>
      </c>
      <c r="C1294" s="22" t="s">
        <v>2159</v>
      </c>
      <c r="D1294" s="149" t="s">
        <v>1466</v>
      </c>
      <c r="E1294" s="86" t="s">
        <v>523</v>
      </c>
      <c r="F1294" s="85" t="s">
        <v>2080</v>
      </c>
      <c r="G1294" s="297" t="s">
        <v>987</v>
      </c>
      <c r="J1294" s="298" t="s">
        <v>286</v>
      </c>
      <c r="K1294" s="299" t="s">
        <v>2171</v>
      </c>
      <c r="L1294" s="3" t="s">
        <v>122</v>
      </c>
      <c r="M1294" s="51" t="str">
        <f t="shared" si="1549"/>
        <v>JD8G-9L291-CB</v>
      </c>
      <c r="O1294" s="89">
        <v>0</v>
      </c>
      <c r="P1294" s="89">
        <v>0</v>
      </c>
      <c r="Q1294" s="89">
        <v>0</v>
      </c>
      <c r="R1294" s="89">
        <v>0</v>
      </c>
      <c r="S1294" s="89">
        <v>1</v>
      </c>
      <c r="T1294" s="89">
        <v>1</v>
      </c>
      <c r="U1294" s="89">
        <v>0</v>
      </c>
      <c r="V1294" s="89">
        <v>1</v>
      </c>
      <c r="W1294" s="164">
        <f t="shared" si="1516"/>
        <v>0.28000000000000003</v>
      </c>
      <c r="Y1294" s="8">
        <f>-35.47-117.11-0.15</f>
        <v>-152.72999999999999</v>
      </c>
      <c r="Z1294" s="63">
        <v>0</v>
      </c>
      <c r="AA1294" s="63">
        <v>0</v>
      </c>
      <c r="AB1294" s="63">
        <v>0</v>
      </c>
      <c r="AC1294" s="63">
        <v>0</v>
      </c>
      <c r="AD1294" s="8">
        <f t="shared" ref="AD1294:AD1296" si="1626">SUM(Y1294:AC1294)</f>
        <v>-152.72999999999999</v>
      </c>
      <c r="AE1294" s="2" t="s">
        <v>84</v>
      </c>
      <c r="AG1294" s="300">
        <f t="shared" ref="AG1294:AH1296" si="1627">-1285930-26850</f>
        <v>-1312780</v>
      </c>
      <c r="AH1294" s="300">
        <f t="shared" si="1627"/>
        <v>-1312780</v>
      </c>
      <c r="AJ1294" s="300">
        <v>0</v>
      </c>
      <c r="AK1294" s="176">
        <v>0</v>
      </c>
      <c r="AM1294" s="22"/>
      <c r="AO1294" s="298" t="s">
        <v>286</v>
      </c>
      <c r="AP1294" s="297" t="s">
        <v>2171</v>
      </c>
      <c r="AQ1294" s="3" t="s">
        <v>113</v>
      </c>
      <c r="AR1294" s="90" t="str">
        <f t="shared" si="1566"/>
        <v>JD8G-9L291-CA</v>
      </c>
      <c r="AT1294" s="89">
        <v>0</v>
      </c>
      <c r="AU1294" s="89">
        <v>0</v>
      </c>
      <c r="AV1294" s="89">
        <v>0</v>
      </c>
      <c r="AW1294" s="89">
        <v>0</v>
      </c>
      <c r="AX1294" s="89">
        <v>1</v>
      </c>
      <c r="AY1294" s="89">
        <v>1</v>
      </c>
      <c r="AZ1294" s="89">
        <v>0</v>
      </c>
      <c r="BA1294" s="89">
        <v>1</v>
      </c>
      <c r="BB1294" s="89">
        <f t="shared" si="1511"/>
        <v>0.28000000000000003</v>
      </c>
      <c r="BD1294" s="60">
        <f>-35.47-117.11</f>
        <v>-152.57999999999998</v>
      </c>
      <c r="BE1294" s="63">
        <v>0</v>
      </c>
      <c r="BF1294" s="63">
        <v>0</v>
      </c>
      <c r="BG1294" s="63">
        <v>0</v>
      </c>
      <c r="BH1294" s="63">
        <v>0</v>
      </c>
      <c r="BI1294" s="8">
        <f t="shared" ref="BI1294:BI1296" si="1628">SUM(BD1294:BH1294)</f>
        <v>-152.57999999999998</v>
      </c>
      <c r="BJ1294" s="2" t="s">
        <v>84</v>
      </c>
      <c r="BL1294" s="63">
        <v>-1285930</v>
      </c>
      <c r="BM1294" s="63">
        <v>-1285930</v>
      </c>
      <c r="BN1294" s="267"/>
      <c r="BO1294" s="63">
        <v>0</v>
      </c>
      <c r="BP1294" s="63">
        <v>0</v>
      </c>
      <c r="BQ1294" s="2">
        <v>0</v>
      </c>
      <c r="BS1294" s="61">
        <f t="shared" si="1551"/>
        <v>-0.15000000000000568</v>
      </c>
      <c r="BT1294" s="61">
        <f t="shared" si="1552"/>
        <v>0</v>
      </c>
      <c r="BU1294" s="61">
        <f t="shared" si="1553"/>
        <v>0</v>
      </c>
      <c r="BV1294" s="61">
        <f t="shared" si="1553"/>
        <v>0</v>
      </c>
      <c r="BW1294" s="61">
        <f t="shared" si="1553"/>
        <v>0</v>
      </c>
      <c r="BX1294" s="63">
        <f t="shared" si="1553"/>
        <v>-0.15000000000000568</v>
      </c>
      <c r="BY1294" s="61" t="s">
        <v>91</v>
      </c>
      <c r="CA1294" s="61">
        <f t="shared" si="1622"/>
        <v>0</v>
      </c>
      <c r="CB1294" s="61">
        <f t="shared" si="1622"/>
        <v>0</v>
      </c>
      <c r="CC1294" s="61">
        <f t="shared" si="1622"/>
        <v>0</v>
      </c>
      <c r="CD1294" s="61">
        <f t="shared" si="1622"/>
        <v>0</v>
      </c>
      <c r="CE1294" s="61">
        <f t="shared" si="1479"/>
        <v>-2.2566571385588336E-2</v>
      </c>
      <c r="CF1294" s="61">
        <f t="shared" si="1479"/>
        <v>-2.2566571385588336E-2</v>
      </c>
      <c r="CG1294" s="61">
        <f t="shared" si="1479"/>
        <v>0</v>
      </c>
      <c r="CH1294" s="61">
        <f t="shared" si="1479"/>
        <v>-2.2566571385588336E-2</v>
      </c>
      <c r="CI1294" s="61">
        <f t="shared" si="1561"/>
        <v>-6.3186399879647335E-3</v>
      </c>
      <c r="CJ1294" s="267"/>
      <c r="CK1294" s="61">
        <f t="shared" si="1623"/>
        <v>0</v>
      </c>
      <c r="CL1294" s="61">
        <f t="shared" si="1619"/>
        <v>0</v>
      </c>
      <c r="CM1294" s="61">
        <f t="shared" si="1619"/>
        <v>0</v>
      </c>
      <c r="CN1294" s="61">
        <f t="shared" si="1619"/>
        <v>0</v>
      </c>
      <c r="CO1294" s="61">
        <f t="shared" si="1619"/>
        <v>-2.2566571385588336E-2</v>
      </c>
      <c r="CP1294" s="61">
        <f t="shared" si="1619"/>
        <v>-2.2566571385588336E-2</v>
      </c>
      <c r="CQ1294" s="61">
        <f t="shared" si="1619"/>
        <v>0</v>
      </c>
      <c r="CR1294" s="61">
        <f t="shared" si="1619"/>
        <v>-2.2566571385588336E-2</v>
      </c>
      <c r="CS1294" s="61">
        <f t="shared" si="1562"/>
        <v>-6.3186399879647335E-3</v>
      </c>
      <c r="CT1294" s="63">
        <f t="shared" si="1569"/>
        <v>-4.2000000000001585E-2</v>
      </c>
      <c r="CU1294" s="73"/>
      <c r="CV1294" s="61">
        <f t="shared" ref="CV1294" si="1629">SUM(AG1294)-SUM(BL1294)</f>
        <v>-26850</v>
      </c>
      <c r="CW1294" s="61">
        <f t="shared" si="1564"/>
        <v>-26850</v>
      </c>
      <c r="CY1294" s="61">
        <f t="shared" si="1565"/>
        <v>0</v>
      </c>
      <c r="CZ1294" s="61">
        <f t="shared" si="1565"/>
        <v>0</v>
      </c>
      <c r="DA1294" s="61">
        <f t="shared" si="1565"/>
        <v>0</v>
      </c>
      <c r="DB1294" s="2" t="s">
        <v>85</v>
      </c>
      <c r="DC1294" s="2" t="s">
        <v>85</v>
      </c>
      <c r="DD1294" s="2" t="s">
        <v>87</v>
      </c>
      <c r="DE1294" s="2" t="s">
        <v>106</v>
      </c>
      <c r="DF1294" s="3" t="s">
        <v>86</v>
      </c>
      <c r="DG1294" s="62" t="s">
        <v>929</v>
      </c>
      <c r="EC1294" s="60"/>
      <c r="ED1294" s="60"/>
      <c r="EE1294" s="60"/>
      <c r="EF1294" s="60"/>
    </row>
    <row r="1295" spans="2:140" ht="12.75" hidden="1" customHeight="1">
      <c r="B1295" s="1" t="s">
        <v>1462</v>
      </c>
      <c r="C1295" s="22" t="s">
        <v>2159</v>
      </c>
      <c r="D1295" s="149" t="s">
        <v>1466</v>
      </c>
      <c r="E1295" s="86" t="s">
        <v>523</v>
      </c>
      <c r="F1295" s="85" t="s">
        <v>2080</v>
      </c>
      <c r="G1295" s="297" t="s">
        <v>987</v>
      </c>
      <c r="J1295" s="298" t="s">
        <v>286</v>
      </c>
      <c r="K1295" s="299" t="s">
        <v>2171</v>
      </c>
      <c r="L1295" s="3" t="s">
        <v>122</v>
      </c>
      <c r="M1295" s="51" t="str">
        <f t="shared" si="1549"/>
        <v>JD8G-9L291-CB</v>
      </c>
      <c r="O1295" s="89">
        <v>0</v>
      </c>
      <c r="P1295" s="89">
        <v>0</v>
      </c>
      <c r="Q1295" s="89">
        <v>0</v>
      </c>
      <c r="R1295" s="89">
        <v>0</v>
      </c>
      <c r="S1295" s="89">
        <v>1</v>
      </c>
      <c r="T1295" s="89">
        <v>1</v>
      </c>
      <c r="U1295" s="89">
        <v>0</v>
      </c>
      <c r="V1295" s="89">
        <v>1</v>
      </c>
      <c r="W1295" s="164">
        <f t="shared" si="1516"/>
        <v>0.28000000000000003</v>
      </c>
      <c r="Y1295" s="8">
        <f>-35.47-117.11-0.15</f>
        <v>-152.72999999999999</v>
      </c>
      <c r="Z1295" s="63">
        <v>0</v>
      </c>
      <c r="AA1295" s="63">
        <v>0</v>
      </c>
      <c r="AB1295" s="63">
        <v>0</v>
      </c>
      <c r="AC1295" s="63">
        <v>0</v>
      </c>
      <c r="AD1295" s="8">
        <f t="shared" si="1626"/>
        <v>-152.72999999999999</v>
      </c>
      <c r="AE1295" s="2" t="s">
        <v>84</v>
      </c>
      <c r="AG1295" s="300">
        <f t="shared" si="1627"/>
        <v>-1312780</v>
      </c>
      <c r="AH1295" s="300">
        <f t="shared" si="1627"/>
        <v>-1312780</v>
      </c>
      <c r="AJ1295" s="300">
        <v>0</v>
      </c>
      <c r="AK1295" s="176">
        <v>0</v>
      </c>
      <c r="AM1295" s="22"/>
      <c r="AO1295" s="298" t="s">
        <v>286</v>
      </c>
      <c r="AP1295" s="297" t="s">
        <v>2171</v>
      </c>
      <c r="AQ1295" s="3" t="s">
        <v>122</v>
      </c>
      <c r="AR1295" s="90" t="str">
        <f t="shared" si="1566"/>
        <v>JD8G-9L291-CB</v>
      </c>
      <c r="AT1295" s="89">
        <v>0</v>
      </c>
      <c r="AU1295" s="89">
        <v>0</v>
      </c>
      <c r="AV1295" s="89">
        <v>0</v>
      </c>
      <c r="AW1295" s="89">
        <v>0</v>
      </c>
      <c r="AX1295" s="89">
        <v>1</v>
      </c>
      <c r="AY1295" s="89">
        <v>1</v>
      </c>
      <c r="AZ1295" s="89">
        <v>0</v>
      </c>
      <c r="BA1295" s="89">
        <v>1</v>
      </c>
      <c r="BB1295" s="89">
        <f t="shared" si="1511"/>
        <v>0.28000000000000003</v>
      </c>
      <c r="BD1295" s="60">
        <f>-35.47-117.11-0.15</f>
        <v>-152.72999999999999</v>
      </c>
      <c r="BE1295" s="63">
        <v>0</v>
      </c>
      <c r="BF1295" s="63">
        <v>0</v>
      </c>
      <c r="BG1295" s="63">
        <v>0</v>
      </c>
      <c r="BH1295" s="63">
        <v>0</v>
      </c>
      <c r="BI1295" s="8">
        <f t="shared" si="1628"/>
        <v>-152.72999999999999</v>
      </c>
      <c r="BJ1295" s="2" t="s">
        <v>84</v>
      </c>
      <c r="BL1295" s="63">
        <f>-1285930-26850</f>
        <v>-1312780</v>
      </c>
      <c r="BM1295" s="63">
        <f>-1285930-26850</f>
        <v>-1312780</v>
      </c>
      <c r="BN1295" s="267"/>
      <c r="BO1295" s="63">
        <v>0</v>
      </c>
      <c r="BP1295" s="63">
        <v>0</v>
      </c>
      <c r="BQ1295" s="2">
        <v>0</v>
      </c>
      <c r="BS1295" s="61">
        <f t="shared" si="1551"/>
        <v>0</v>
      </c>
      <c r="BT1295" s="61">
        <f t="shared" si="1552"/>
        <v>0</v>
      </c>
      <c r="BU1295" s="61">
        <f t="shared" si="1553"/>
        <v>0</v>
      </c>
      <c r="BV1295" s="61">
        <f t="shared" si="1553"/>
        <v>0</v>
      </c>
      <c r="BW1295" s="61">
        <f t="shared" si="1553"/>
        <v>0</v>
      </c>
      <c r="BX1295" s="63">
        <f t="shared" si="1553"/>
        <v>0</v>
      </c>
      <c r="BY1295" s="61" t="s">
        <v>91</v>
      </c>
      <c r="CA1295" s="61">
        <f t="shared" si="1622"/>
        <v>0</v>
      </c>
      <c r="CB1295" s="61">
        <f t="shared" si="1622"/>
        <v>0</v>
      </c>
      <c r="CC1295" s="61">
        <f t="shared" si="1622"/>
        <v>0</v>
      </c>
      <c r="CD1295" s="61">
        <f t="shared" si="1622"/>
        <v>0</v>
      </c>
      <c r="CE1295" s="61">
        <f t="shared" si="1479"/>
        <v>0</v>
      </c>
      <c r="CF1295" s="61">
        <f t="shared" si="1479"/>
        <v>0</v>
      </c>
      <c r="CG1295" s="61">
        <f t="shared" si="1479"/>
        <v>0</v>
      </c>
      <c r="CH1295" s="61">
        <f t="shared" si="1479"/>
        <v>0</v>
      </c>
      <c r="CI1295" s="61">
        <f t="shared" si="1561"/>
        <v>0</v>
      </c>
      <c r="CJ1295" s="267"/>
      <c r="CK1295" s="61">
        <f t="shared" si="1623"/>
        <v>0</v>
      </c>
      <c r="CL1295" s="61">
        <f t="shared" si="1619"/>
        <v>0</v>
      </c>
      <c r="CM1295" s="61">
        <f t="shared" si="1619"/>
        <v>0</v>
      </c>
      <c r="CN1295" s="61">
        <f t="shared" si="1619"/>
        <v>0</v>
      </c>
      <c r="CO1295" s="61">
        <f t="shared" si="1619"/>
        <v>0</v>
      </c>
      <c r="CP1295" s="61">
        <f t="shared" si="1619"/>
        <v>0</v>
      </c>
      <c r="CQ1295" s="61">
        <f t="shared" si="1619"/>
        <v>0</v>
      </c>
      <c r="CR1295" s="61">
        <f t="shared" si="1619"/>
        <v>0</v>
      </c>
      <c r="CS1295" s="61">
        <f t="shared" si="1562"/>
        <v>0</v>
      </c>
      <c r="CT1295" s="63">
        <f t="shared" si="1569"/>
        <v>0</v>
      </c>
      <c r="CU1295" s="73"/>
      <c r="CV1295" s="61">
        <f t="shared" ref="CV1295" si="1630">SUM(AG1295)-SUM(BL1295)</f>
        <v>0</v>
      </c>
      <c r="CW1295" s="61">
        <f t="shared" ref="CW1295" si="1631">SUM(AH1295)-SUM(BM1295)</f>
        <v>0</v>
      </c>
      <c r="CY1295" s="61">
        <f t="shared" si="1565"/>
        <v>0</v>
      </c>
      <c r="CZ1295" s="61">
        <f t="shared" si="1565"/>
        <v>0</v>
      </c>
      <c r="DA1295" s="61">
        <f t="shared" si="1565"/>
        <v>0</v>
      </c>
      <c r="DB1295" s="2" t="s">
        <v>85</v>
      </c>
      <c r="DC1295" s="2" t="s">
        <v>85</v>
      </c>
      <c r="DD1295" s="2" t="s">
        <v>87</v>
      </c>
      <c r="DE1295" s="2" t="s">
        <v>106</v>
      </c>
      <c r="DF1295" s="3" t="s">
        <v>86</v>
      </c>
      <c r="DG1295" s="62">
        <v>43125</v>
      </c>
      <c r="EC1295" s="60"/>
      <c r="ED1295" s="60"/>
      <c r="EE1295" s="60"/>
      <c r="EF1295" s="60"/>
    </row>
    <row r="1296" spans="2:140" ht="12.75" hidden="1" customHeight="1">
      <c r="B1296" s="1" t="s">
        <v>2165</v>
      </c>
      <c r="C1296" s="22" t="s">
        <v>2159</v>
      </c>
      <c r="D1296" s="149" t="s">
        <v>1466</v>
      </c>
      <c r="E1296" s="86" t="s">
        <v>523</v>
      </c>
      <c r="F1296" s="85" t="s">
        <v>2080</v>
      </c>
      <c r="G1296" s="297" t="s">
        <v>987</v>
      </c>
      <c r="J1296" s="298" t="s">
        <v>286</v>
      </c>
      <c r="K1296" s="299" t="s">
        <v>2171</v>
      </c>
      <c r="L1296" s="3" t="s">
        <v>924</v>
      </c>
      <c r="M1296" s="51" t="str">
        <f t="shared" si="1549"/>
        <v>JD8G-9L291-CC</v>
      </c>
      <c r="O1296" s="89">
        <v>0</v>
      </c>
      <c r="P1296" s="89">
        <v>0</v>
      </c>
      <c r="Q1296" s="89">
        <v>0</v>
      </c>
      <c r="R1296" s="89">
        <v>0</v>
      </c>
      <c r="S1296" s="89">
        <v>1</v>
      </c>
      <c r="T1296" s="89">
        <v>1</v>
      </c>
      <c r="U1296" s="89">
        <v>0</v>
      </c>
      <c r="V1296" s="89">
        <v>1</v>
      </c>
      <c r="W1296" s="164">
        <f t="shared" si="1516"/>
        <v>0.28000000000000003</v>
      </c>
      <c r="Y1296" s="8">
        <f>-35.47-117.11-0.15+0.67</f>
        <v>-152.06</v>
      </c>
      <c r="Z1296" s="63">
        <v>0</v>
      </c>
      <c r="AA1296" s="63">
        <v>0</v>
      </c>
      <c r="AB1296" s="63">
        <v>0</v>
      </c>
      <c r="AC1296" s="63">
        <v>0</v>
      </c>
      <c r="AD1296" s="8">
        <f t="shared" si="1626"/>
        <v>-152.06</v>
      </c>
      <c r="AE1296" s="2" t="s">
        <v>84</v>
      </c>
      <c r="AG1296" s="300">
        <f t="shared" si="1627"/>
        <v>-1312780</v>
      </c>
      <c r="AH1296" s="300">
        <f t="shared" si="1627"/>
        <v>-1312780</v>
      </c>
      <c r="AJ1296" s="300">
        <v>0</v>
      </c>
      <c r="AK1296" s="176">
        <v>0</v>
      </c>
      <c r="AM1296" s="22"/>
      <c r="AO1296" s="298" t="s">
        <v>286</v>
      </c>
      <c r="AP1296" s="297" t="s">
        <v>2171</v>
      </c>
      <c r="AQ1296" s="3" t="s">
        <v>122</v>
      </c>
      <c r="AR1296" s="90" t="str">
        <f t="shared" si="1566"/>
        <v>JD8G-9L291-CB</v>
      </c>
      <c r="AT1296" s="89">
        <v>0</v>
      </c>
      <c r="AU1296" s="89">
        <v>0</v>
      </c>
      <c r="AV1296" s="89">
        <v>0</v>
      </c>
      <c r="AW1296" s="89">
        <v>0</v>
      </c>
      <c r="AX1296" s="89">
        <v>1</v>
      </c>
      <c r="AY1296" s="89">
        <v>1</v>
      </c>
      <c r="AZ1296" s="89">
        <v>0</v>
      </c>
      <c r="BA1296" s="89">
        <v>1</v>
      </c>
      <c r="BB1296" s="89">
        <f t="shared" si="1511"/>
        <v>0.28000000000000003</v>
      </c>
      <c r="BD1296" s="60">
        <f>-35.47-117.11-0.15</f>
        <v>-152.72999999999999</v>
      </c>
      <c r="BE1296" s="63">
        <v>0</v>
      </c>
      <c r="BF1296" s="63">
        <v>0</v>
      </c>
      <c r="BG1296" s="63">
        <v>0</v>
      </c>
      <c r="BH1296" s="63">
        <v>0</v>
      </c>
      <c r="BI1296" s="8">
        <f t="shared" si="1628"/>
        <v>-152.72999999999999</v>
      </c>
      <c r="BJ1296" s="2" t="s">
        <v>84</v>
      </c>
      <c r="BL1296" s="63">
        <f>-1285930-26850</f>
        <v>-1312780</v>
      </c>
      <c r="BM1296" s="63">
        <f>-1285930-26850</f>
        <v>-1312780</v>
      </c>
      <c r="BN1296" s="267"/>
      <c r="BO1296" s="63">
        <v>0</v>
      </c>
      <c r="BP1296" s="63">
        <v>0</v>
      </c>
      <c r="BQ1296" s="2">
        <v>0</v>
      </c>
      <c r="BS1296" s="61">
        <f t="shared" ref="BS1296:BS1327" si="1632">SUM(Y1296)-SUM(BD1296)</f>
        <v>0.66999999999998749</v>
      </c>
      <c r="BT1296" s="61">
        <f t="shared" ref="BT1296:BT1327" si="1633">SUM(Z1296)-SUM(BE1296)</f>
        <v>0</v>
      </c>
      <c r="BU1296" s="61">
        <f t="shared" ref="BU1296:BX1327" si="1634">SUM(AA1296)-SUM(BF1296)</f>
        <v>0</v>
      </c>
      <c r="BV1296" s="61">
        <f t="shared" si="1634"/>
        <v>0</v>
      </c>
      <c r="BW1296" s="61">
        <f t="shared" si="1634"/>
        <v>0</v>
      </c>
      <c r="BX1296" s="63">
        <f t="shared" si="1634"/>
        <v>0.66999999999998749</v>
      </c>
      <c r="BY1296" s="61" t="s">
        <v>91</v>
      </c>
      <c r="CA1296" s="61">
        <f t="shared" si="1622"/>
        <v>0</v>
      </c>
      <c r="CB1296" s="61">
        <f t="shared" si="1622"/>
        <v>0</v>
      </c>
      <c r="CC1296" s="61">
        <f t="shared" si="1622"/>
        <v>0</v>
      </c>
      <c r="CD1296" s="61">
        <f t="shared" si="1622"/>
        <v>0</v>
      </c>
      <c r="CE1296" s="61">
        <f t="shared" si="1479"/>
        <v>0.10079735218895554</v>
      </c>
      <c r="CF1296" s="61">
        <f t="shared" si="1479"/>
        <v>0.10079735218895554</v>
      </c>
      <c r="CG1296" s="61">
        <f t="shared" si="1479"/>
        <v>0</v>
      </c>
      <c r="CH1296" s="61">
        <f t="shared" si="1479"/>
        <v>0.10079735218895554</v>
      </c>
      <c r="CI1296" s="61">
        <f t="shared" si="1561"/>
        <v>2.8223258612907549E-2</v>
      </c>
      <c r="CJ1296" s="267"/>
      <c r="CK1296" s="61">
        <f t="shared" si="1623"/>
        <v>0</v>
      </c>
      <c r="CL1296" s="61">
        <f t="shared" si="1619"/>
        <v>0</v>
      </c>
      <c r="CM1296" s="61">
        <f t="shared" si="1619"/>
        <v>0</v>
      </c>
      <c r="CN1296" s="61">
        <f t="shared" si="1619"/>
        <v>0</v>
      </c>
      <c r="CO1296" s="61">
        <f t="shared" si="1619"/>
        <v>0.10079735218895554</v>
      </c>
      <c r="CP1296" s="61">
        <f t="shared" si="1619"/>
        <v>0.10079735218895554</v>
      </c>
      <c r="CQ1296" s="61">
        <f t="shared" si="1619"/>
        <v>0</v>
      </c>
      <c r="CR1296" s="61">
        <f t="shared" si="1619"/>
        <v>0.10079735218895554</v>
      </c>
      <c r="CS1296" s="61">
        <f t="shared" si="1562"/>
        <v>2.8223258612907549E-2</v>
      </c>
      <c r="CT1296" s="63">
        <f t="shared" si="1569"/>
        <v>0.18759999999999649</v>
      </c>
      <c r="CU1296" s="73"/>
      <c r="CV1296" s="61">
        <f t="shared" ref="CV1296:CW1296" si="1635">SUM(AG1296)-SUM(BL1296)</f>
        <v>0</v>
      </c>
      <c r="CW1296" s="61">
        <f t="shared" si="1635"/>
        <v>0</v>
      </c>
      <c r="CY1296" s="61">
        <f t="shared" si="1565"/>
        <v>0</v>
      </c>
      <c r="CZ1296" s="61">
        <f t="shared" si="1565"/>
        <v>0</v>
      </c>
      <c r="DA1296" s="61">
        <f t="shared" si="1565"/>
        <v>0</v>
      </c>
      <c r="DB1296" s="2" t="s">
        <v>86</v>
      </c>
      <c r="DC1296" s="2" t="s">
        <v>85</v>
      </c>
      <c r="DD1296" s="2" t="s">
        <v>87</v>
      </c>
      <c r="DE1296" s="2" t="s">
        <v>106</v>
      </c>
      <c r="DF1296" s="3" t="s">
        <v>86</v>
      </c>
      <c r="DG1296" s="62">
        <v>43125</v>
      </c>
      <c r="EC1296" s="60" t="str">
        <f>VLOOKUP($M1296,[1]Detail!$M:$BO,1,0)</f>
        <v>JD8G-9L291-CC</v>
      </c>
      <c r="ED1296" s="60">
        <f>VLOOKUP($M1296,[1]Detail!$M:$BO,22,0)</f>
        <v>-152.06</v>
      </c>
      <c r="EE1296" s="60">
        <f>VLOOKUP($M1296,[1]Detail!$M:$BO,42,0)</f>
        <v>-1312780</v>
      </c>
      <c r="EF1296" s="60">
        <f>VLOOKUP($M1296,[1]Detail!$M:$BO,45,0)</f>
        <v>0</v>
      </c>
      <c r="EH1296" s="60">
        <f>ED1296-AD1296</f>
        <v>0</v>
      </c>
      <c r="EI1296" s="60">
        <f>EE1296-AG1296</f>
        <v>0</v>
      </c>
      <c r="EJ1296" s="60">
        <f>EF1296-AJ1296</f>
        <v>0</v>
      </c>
    </row>
    <row r="1297" spans="2:140" s="131" customFormat="1" ht="12.75" hidden="1" customHeight="1">
      <c r="B1297" s="303" t="s">
        <v>2158</v>
      </c>
      <c r="C1297" s="130" t="s">
        <v>2161</v>
      </c>
      <c r="D1297" s="157" t="s">
        <v>1466</v>
      </c>
      <c r="E1297" s="304" t="s">
        <v>523</v>
      </c>
      <c r="F1297" s="142" t="s">
        <v>2080</v>
      </c>
      <c r="G1297" s="305" t="s">
        <v>987</v>
      </c>
      <c r="H1297" s="2"/>
      <c r="J1297" s="306" t="s">
        <v>286</v>
      </c>
      <c r="K1297" s="307" t="s">
        <v>2174</v>
      </c>
      <c r="L1297" s="134" t="s">
        <v>100</v>
      </c>
      <c r="M1297" s="133" t="str">
        <f t="shared" si="1549"/>
        <v>JD8G-9S327-AA</v>
      </c>
      <c r="N1297" s="134"/>
      <c r="O1297" s="308">
        <v>1</v>
      </c>
      <c r="P1297" s="308">
        <v>1</v>
      </c>
      <c r="Q1297" s="308">
        <v>1</v>
      </c>
      <c r="R1297" s="308">
        <v>1</v>
      </c>
      <c r="S1297" s="308">
        <v>0</v>
      </c>
      <c r="T1297" s="308">
        <v>0</v>
      </c>
      <c r="U1297" s="308">
        <v>1</v>
      </c>
      <c r="V1297" s="308">
        <v>0</v>
      </c>
      <c r="W1297" s="309">
        <f t="shared" si="1516"/>
        <v>0.72000000000000008</v>
      </c>
      <c r="Y1297" s="136">
        <f ca="1">AD1297-AC1297</f>
        <v>-17.02328830926875</v>
      </c>
      <c r="Z1297" s="237">
        <v>0</v>
      </c>
      <c r="AA1297" s="237">
        <v>0</v>
      </c>
      <c r="AB1297" s="237">
        <v>0</v>
      </c>
      <c r="AC1297" s="237">
        <v>-2.9767116907312499</v>
      </c>
      <c r="AD1297" s="136">
        <f t="shared" ca="1" si="1559"/>
        <v>-20</v>
      </c>
      <c r="AE1297" s="131" t="s">
        <v>84</v>
      </c>
      <c r="AG1297" s="310">
        <v>-82140</v>
      </c>
      <c r="AH1297" s="310">
        <v>-82140</v>
      </c>
      <c r="AJ1297" s="301">
        <v>0</v>
      </c>
      <c r="AK1297" s="311">
        <v>0</v>
      </c>
      <c r="AM1297" s="130"/>
      <c r="AO1297" s="306" t="s">
        <v>286</v>
      </c>
      <c r="AP1297" s="305" t="s">
        <v>2174</v>
      </c>
      <c r="AQ1297" s="134" t="s">
        <v>100</v>
      </c>
      <c r="AR1297" s="312" t="str">
        <f t="shared" si="1566"/>
        <v>JD8G-9S327-AA</v>
      </c>
      <c r="AT1297" s="308">
        <v>1</v>
      </c>
      <c r="AU1297" s="308">
        <v>1</v>
      </c>
      <c r="AV1297" s="308">
        <v>1</v>
      </c>
      <c r="AW1297" s="308">
        <v>1</v>
      </c>
      <c r="AX1297" s="308">
        <v>0</v>
      </c>
      <c r="AY1297" s="308">
        <v>0</v>
      </c>
      <c r="AZ1297" s="308">
        <v>1</v>
      </c>
      <c r="BA1297" s="308">
        <v>0</v>
      </c>
      <c r="BB1297" s="308">
        <f t="shared" si="1511"/>
        <v>0.72000000000000008</v>
      </c>
      <c r="BD1297" s="139">
        <v>-20</v>
      </c>
      <c r="BE1297" s="237">
        <v>0</v>
      </c>
      <c r="BF1297" s="237">
        <v>0</v>
      </c>
      <c r="BG1297" s="237">
        <v>0</v>
      </c>
      <c r="BH1297" s="237">
        <v>0</v>
      </c>
      <c r="BI1297" s="136">
        <f t="shared" si="1560"/>
        <v>-20</v>
      </c>
      <c r="BJ1297" s="131" t="s">
        <v>84</v>
      </c>
      <c r="BL1297" s="310">
        <v>-82140</v>
      </c>
      <c r="BM1297" s="310">
        <v>-82140</v>
      </c>
      <c r="BN1297" s="313"/>
      <c r="BO1297" s="237">
        <v>0</v>
      </c>
      <c r="BP1297" s="237">
        <v>0</v>
      </c>
      <c r="BQ1297" s="131">
        <v>0</v>
      </c>
      <c r="BS1297" s="61">
        <f t="shared" ca="1" si="1632"/>
        <v>2.9767116907312499</v>
      </c>
      <c r="BT1297" s="61">
        <f t="shared" si="1633"/>
        <v>0</v>
      </c>
      <c r="BU1297" s="61">
        <f t="shared" si="1634"/>
        <v>0</v>
      </c>
      <c r="BV1297" s="61">
        <f t="shared" si="1634"/>
        <v>0</v>
      </c>
      <c r="BW1297" s="61">
        <f t="shared" si="1634"/>
        <v>-2.9767116907312499</v>
      </c>
      <c r="BX1297" s="63">
        <f t="shared" ca="1" si="1634"/>
        <v>0</v>
      </c>
      <c r="BY1297" s="61" t="s">
        <v>91</v>
      </c>
      <c r="BZ1297" s="2"/>
      <c r="CA1297" s="61">
        <f t="shared" ca="1" si="1622"/>
        <v>0.44782784575466372</v>
      </c>
      <c r="CB1297" s="61">
        <f t="shared" ca="1" si="1622"/>
        <v>0.44782784575466372</v>
      </c>
      <c r="CC1297" s="61">
        <f t="shared" ca="1" si="1622"/>
        <v>0.44782784575466372</v>
      </c>
      <c r="CD1297" s="61">
        <f t="shared" ca="1" si="1622"/>
        <v>0.44782784575466372</v>
      </c>
      <c r="CE1297" s="61">
        <f t="shared" ca="1" si="1479"/>
        <v>0</v>
      </c>
      <c r="CF1297" s="61">
        <f t="shared" ca="1" si="1479"/>
        <v>0</v>
      </c>
      <c r="CG1297" s="61">
        <f t="shared" ca="1" si="1479"/>
        <v>0.44782784575466372</v>
      </c>
      <c r="CH1297" s="61">
        <f t="shared" ca="1" si="1479"/>
        <v>0</v>
      </c>
      <c r="CI1297" s="61">
        <f t="shared" ca="1" si="1561"/>
        <v>0.32243604894335792</v>
      </c>
      <c r="CJ1297" s="267"/>
      <c r="CK1297" s="61">
        <f t="shared" ca="1" si="1623"/>
        <v>0</v>
      </c>
      <c r="CL1297" s="61">
        <f t="shared" ca="1" si="1619"/>
        <v>0</v>
      </c>
      <c r="CM1297" s="61">
        <f t="shared" ca="1" si="1619"/>
        <v>0</v>
      </c>
      <c r="CN1297" s="61">
        <f t="shared" ca="1" si="1619"/>
        <v>0</v>
      </c>
      <c r="CO1297" s="61">
        <f t="shared" ca="1" si="1619"/>
        <v>0</v>
      </c>
      <c r="CP1297" s="61">
        <f t="shared" ca="1" si="1619"/>
        <v>0</v>
      </c>
      <c r="CQ1297" s="61">
        <f t="shared" ca="1" si="1619"/>
        <v>0</v>
      </c>
      <c r="CR1297" s="61">
        <f t="shared" ca="1" si="1619"/>
        <v>0</v>
      </c>
      <c r="CS1297" s="61">
        <f t="shared" ca="1" si="1562"/>
        <v>0</v>
      </c>
      <c r="CT1297" s="63">
        <f t="shared" ca="1" si="1569"/>
        <v>0</v>
      </c>
      <c r="CU1297" s="73"/>
      <c r="CV1297" s="61">
        <f t="shared" si="1563"/>
        <v>0</v>
      </c>
      <c r="CW1297" s="61">
        <f t="shared" si="1564"/>
        <v>0</v>
      </c>
      <c r="CX1297" s="2"/>
      <c r="CY1297" s="61">
        <f t="shared" si="1565"/>
        <v>0</v>
      </c>
      <c r="CZ1297" s="61">
        <f t="shared" si="1565"/>
        <v>0</v>
      </c>
      <c r="DA1297" s="61">
        <f t="shared" si="1565"/>
        <v>0</v>
      </c>
      <c r="DB1297" s="131" t="s">
        <v>85</v>
      </c>
      <c r="DC1297" s="131" t="s">
        <v>86</v>
      </c>
      <c r="DD1297" s="131" t="s">
        <v>87</v>
      </c>
      <c r="DE1297" s="131" t="s">
        <v>106</v>
      </c>
      <c r="DF1297" s="134"/>
      <c r="DG1297" s="141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134"/>
      <c r="EC1297" s="139"/>
      <c r="ED1297" s="139"/>
      <c r="EE1297" s="139"/>
      <c r="EF1297" s="139"/>
    </row>
    <row r="1298" spans="2:140" ht="12.75" hidden="1" customHeight="1">
      <c r="B1298" s="1" t="s">
        <v>2175</v>
      </c>
      <c r="C1298" s="22" t="s">
        <v>2161</v>
      </c>
      <c r="D1298" s="149" t="s">
        <v>1466</v>
      </c>
      <c r="E1298" s="86" t="s">
        <v>523</v>
      </c>
      <c r="F1298" s="85" t="s">
        <v>2080</v>
      </c>
      <c r="G1298" s="297" t="s">
        <v>987</v>
      </c>
      <c r="J1298" s="298" t="s">
        <v>286</v>
      </c>
      <c r="K1298" s="299" t="s">
        <v>2174</v>
      </c>
      <c r="L1298" s="3" t="s">
        <v>132</v>
      </c>
      <c r="M1298" s="51" t="str">
        <f t="shared" si="1549"/>
        <v>JD8G-9S327-AB</v>
      </c>
      <c r="O1298" s="89">
        <v>1</v>
      </c>
      <c r="P1298" s="89">
        <v>1</v>
      </c>
      <c r="Q1298" s="89">
        <v>1</v>
      </c>
      <c r="R1298" s="89">
        <v>1</v>
      </c>
      <c r="S1298" s="89">
        <v>0</v>
      </c>
      <c r="T1298" s="89">
        <v>0</v>
      </c>
      <c r="U1298" s="89">
        <v>1</v>
      </c>
      <c r="V1298" s="89">
        <v>0</v>
      </c>
      <c r="W1298" s="164">
        <f t="shared" si="1516"/>
        <v>0.72000000000000008</v>
      </c>
      <c r="Y1298" s="8">
        <f>-20-0.69</f>
        <v>-20.69</v>
      </c>
      <c r="Z1298" s="63">
        <v>0</v>
      </c>
      <c r="AA1298" s="63">
        <v>0</v>
      </c>
      <c r="AB1298" s="63">
        <v>0</v>
      </c>
      <c r="AC1298" s="63">
        <v>0</v>
      </c>
      <c r="AD1298" s="8">
        <f t="shared" ref="AD1298" si="1636">SUM(Y1298:AC1298)</f>
        <v>-20.69</v>
      </c>
      <c r="AE1298" s="2" t="s">
        <v>84</v>
      </c>
      <c r="AG1298" s="302">
        <v>-82140</v>
      </c>
      <c r="AH1298" s="302">
        <v>-82140</v>
      </c>
      <c r="AJ1298" s="300">
        <v>0</v>
      </c>
      <c r="AK1298" s="176">
        <v>0</v>
      </c>
      <c r="AM1298" s="22"/>
      <c r="AO1298" s="298" t="s">
        <v>286</v>
      </c>
      <c r="AP1298" s="297" t="s">
        <v>2174</v>
      </c>
      <c r="AQ1298" s="3" t="s">
        <v>100</v>
      </c>
      <c r="AR1298" s="90" t="str">
        <f t="shared" si="1566"/>
        <v>JD8G-9S327-AA</v>
      </c>
      <c r="AT1298" s="89">
        <v>1</v>
      </c>
      <c r="AU1298" s="89">
        <v>1</v>
      </c>
      <c r="AV1298" s="89">
        <v>1</v>
      </c>
      <c r="AW1298" s="89">
        <v>1</v>
      </c>
      <c r="AX1298" s="89">
        <v>0</v>
      </c>
      <c r="AY1298" s="89">
        <v>0</v>
      </c>
      <c r="AZ1298" s="89">
        <v>1</v>
      </c>
      <c r="BA1298" s="89">
        <v>0</v>
      </c>
      <c r="BB1298" s="89">
        <f t="shared" si="1511"/>
        <v>0.72000000000000008</v>
      </c>
      <c r="BD1298" s="60">
        <v>-20</v>
      </c>
      <c r="BE1298" s="63">
        <v>0</v>
      </c>
      <c r="BF1298" s="63">
        <v>0</v>
      </c>
      <c r="BG1298" s="63">
        <v>0</v>
      </c>
      <c r="BH1298" s="63">
        <v>0</v>
      </c>
      <c r="BI1298" s="8">
        <f t="shared" ref="BI1298" si="1637">SUM(BD1298:BH1298)</f>
        <v>-20</v>
      </c>
      <c r="BJ1298" s="2" t="s">
        <v>84</v>
      </c>
      <c r="BL1298" s="302">
        <v>-82140</v>
      </c>
      <c r="BM1298" s="302">
        <v>-82140</v>
      </c>
      <c r="BN1298" s="267"/>
      <c r="BO1298" s="63">
        <v>0</v>
      </c>
      <c r="BP1298" s="63">
        <v>0</v>
      </c>
      <c r="BQ1298" s="2">
        <v>0</v>
      </c>
      <c r="BS1298" s="61">
        <f t="shared" si="1632"/>
        <v>-0.69000000000000128</v>
      </c>
      <c r="BT1298" s="61">
        <f t="shared" si="1633"/>
        <v>0</v>
      </c>
      <c r="BU1298" s="61">
        <f t="shared" si="1634"/>
        <v>0</v>
      </c>
      <c r="BV1298" s="61">
        <f t="shared" si="1634"/>
        <v>0</v>
      </c>
      <c r="BW1298" s="61">
        <f t="shared" si="1634"/>
        <v>0</v>
      </c>
      <c r="BX1298" s="63">
        <f t="shared" si="1634"/>
        <v>-0.69000000000000128</v>
      </c>
      <c r="BY1298" s="61" t="s">
        <v>91</v>
      </c>
      <c r="CA1298" s="61">
        <f t="shared" si="1622"/>
        <v>-0.10380622837370261</v>
      </c>
      <c r="CB1298" s="61">
        <f t="shared" si="1622"/>
        <v>-0.10380622837370261</v>
      </c>
      <c r="CC1298" s="61">
        <f t="shared" si="1622"/>
        <v>-0.10380622837370261</v>
      </c>
      <c r="CD1298" s="61">
        <f t="shared" si="1622"/>
        <v>-0.10380622837370261</v>
      </c>
      <c r="CE1298" s="61">
        <f t="shared" si="1479"/>
        <v>0</v>
      </c>
      <c r="CF1298" s="61">
        <f t="shared" si="1479"/>
        <v>0</v>
      </c>
      <c r="CG1298" s="61">
        <f t="shared" si="1479"/>
        <v>-0.10380622837370261</v>
      </c>
      <c r="CH1298" s="61">
        <f t="shared" si="1479"/>
        <v>0</v>
      </c>
      <c r="CI1298" s="61">
        <f t="shared" si="1561"/>
        <v>-7.474048442906589E-2</v>
      </c>
      <c r="CJ1298" s="267"/>
      <c r="CK1298" s="61">
        <f t="shared" si="1623"/>
        <v>-0.10380622837370261</v>
      </c>
      <c r="CL1298" s="61">
        <f t="shared" si="1619"/>
        <v>-0.10380622837370261</v>
      </c>
      <c r="CM1298" s="61">
        <f t="shared" si="1619"/>
        <v>-0.10380622837370261</v>
      </c>
      <c r="CN1298" s="61">
        <f t="shared" si="1619"/>
        <v>-0.10380622837370261</v>
      </c>
      <c r="CO1298" s="61">
        <f t="shared" si="1619"/>
        <v>0</v>
      </c>
      <c r="CP1298" s="61">
        <f t="shared" si="1619"/>
        <v>0</v>
      </c>
      <c r="CQ1298" s="61">
        <f t="shared" si="1619"/>
        <v>-0.10380622837370261</v>
      </c>
      <c r="CR1298" s="61">
        <f t="shared" si="1619"/>
        <v>0</v>
      </c>
      <c r="CS1298" s="61">
        <f t="shared" si="1562"/>
        <v>-7.474048442906589E-2</v>
      </c>
      <c r="CT1298" s="63">
        <f t="shared" si="1569"/>
        <v>-0.49680000000000096</v>
      </c>
      <c r="CU1298" s="73"/>
      <c r="CV1298" s="61">
        <f t="shared" ref="CV1298" si="1638">SUM(AG1298)-SUM(BL1298)</f>
        <v>0</v>
      </c>
      <c r="CW1298" s="61">
        <f t="shared" si="1564"/>
        <v>0</v>
      </c>
      <c r="CY1298" s="61">
        <f t="shared" ref="CY1298:DA1313" si="1639">SUM(AJ1298)-SUM(BO1298)</f>
        <v>0</v>
      </c>
      <c r="CZ1298" s="61">
        <f t="shared" si="1639"/>
        <v>0</v>
      </c>
      <c r="DA1298" s="61">
        <f t="shared" si="1639"/>
        <v>0</v>
      </c>
      <c r="DB1298" s="2" t="s">
        <v>86</v>
      </c>
      <c r="DC1298" s="2" t="s">
        <v>85</v>
      </c>
      <c r="DD1298" s="2" t="s">
        <v>87</v>
      </c>
      <c r="DE1298" s="2" t="s">
        <v>106</v>
      </c>
      <c r="DF1298" s="3" t="s">
        <v>86</v>
      </c>
      <c r="DG1298" s="62">
        <v>43125</v>
      </c>
      <c r="EC1298" s="60" t="str">
        <f>VLOOKUP($M1298,[1]Detail!$M:$BO,1,0)</f>
        <v>JD8G-9S327-AB</v>
      </c>
      <c r="ED1298" s="60">
        <f>VLOOKUP($M1298,[1]Detail!$M:$BO,22,0)</f>
        <v>-20.69</v>
      </c>
      <c r="EE1298" s="60">
        <f>VLOOKUP($M1298,[1]Detail!$M:$BO,42,0)</f>
        <v>-82140</v>
      </c>
      <c r="EF1298" s="60">
        <f>VLOOKUP($M1298,[1]Detail!$M:$BO,45,0)</f>
        <v>0</v>
      </c>
      <c r="EH1298" s="60">
        <f t="shared" ref="EH1298:EH1317" si="1640">ED1298-AD1298</f>
        <v>0</v>
      </c>
      <c r="EI1298" s="60">
        <f t="shared" ref="EI1298:EI1317" si="1641">EE1298-AG1298</f>
        <v>0</v>
      </c>
      <c r="EJ1298" s="60">
        <f t="shared" ref="EJ1298:EJ1317" si="1642">EF1298-AJ1298</f>
        <v>0</v>
      </c>
    </row>
    <row r="1299" spans="2:140" ht="12.75" hidden="1" customHeight="1">
      <c r="B1299" s="1" t="s">
        <v>2176</v>
      </c>
      <c r="C1299" s="22" t="s">
        <v>2177</v>
      </c>
      <c r="D1299" s="149" t="s">
        <v>2178</v>
      </c>
      <c r="E1299" s="86" t="s">
        <v>1591</v>
      </c>
      <c r="F1299" s="85" t="s">
        <v>2072</v>
      </c>
      <c r="G1299" s="297" t="s">
        <v>994</v>
      </c>
      <c r="J1299" s="298" t="s">
        <v>155</v>
      </c>
      <c r="K1299" s="299" t="s">
        <v>2179</v>
      </c>
      <c r="L1299" s="3" t="s">
        <v>769</v>
      </c>
      <c r="M1299" s="51" t="str">
        <f t="shared" si="1549"/>
        <v>JD8T -14014 -AA </v>
      </c>
      <c r="O1299" s="89">
        <v>1</v>
      </c>
      <c r="P1299" s="89">
        <v>1</v>
      </c>
      <c r="Q1299" s="89">
        <v>0</v>
      </c>
      <c r="R1299" s="89">
        <v>0</v>
      </c>
      <c r="S1299" s="89">
        <v>0</v>
      </c>
      <c r="T1299" s="89">
        <v>0</v>
      </c>
      <c r="U1299" s="89">
        <v>0</v>
      </c>
      <c r="V1299" s="89">
        <v>0</v>
      </c>
      <c r="W1299" s="164">
        <f t="shared" si="1516"/>
        <v>0.30000000000000004</v>
      </c>
      <c r="Y1299" s="8">
        <v>-431.67</v>
      </c>
      <c r="Z1299" s="63">
        <v>-0.82</v>
      </c>
      <c r="AA1299" s="63">
        <v>-0.7</v>
      </c>
      <c r="AB1299" s="63">
        <v>0</v>
      </c>
      <c r="AC1299" s="63">
        <v>0</v>
      </c>
      <c r="AD1299" s="8">
        <f>SUM(Y1299:AC1299)</f>
        <v>-433.19</v>
      </c>
      <c r="AE1299" s="2" t="s">
        <v>84</v>
      </c>
      <c r="AG1299" s="300">
        <v>-5346561</v>
      </c>
      <c r="AH1299" s="300">
        <v>-5346561</v>
      </c>
      <c r="AJ1299" s="302">
        <v>-8615505</v>
      </c>
      <c r="AK1299" s="314">
        <v>-8615505</v>
      </c>
      <c r="AM1299" s="22"/>
      <c r="AO1299" s="298" t="s">
        <v>1735</v>
      </c>
      <c r="AP1299" s="297" t="s">
        <v>2179</v>
      </c>
      <c r="AQ1299" s="3" t="s">
        <v>2180</v>
      </c>
      <c r="AR1299" s="90" t="str">
        <f t="shared" si="1566"/>
        <v>ED8T -14014 -HB </v>
      </c>
      <c r="AT1299" s="89">
        <v>1</v>
      </c>
      <c r="AU1299" s="89">
        <v>1</v>
      </c>
      <c r="AV1299" s="89">
        <v>0</v>
      </c>
      <c r="AW1299" s="89">
        <v>0</v>
      </c>
      <c r="AX1299" s="89">
        <v>0</v>
      </c>
      <c r="AY1299" s="89">
        <v>0</v>
      </c>
      <c r="AZ1299" s="89">
        <v>0</v>
      </c>
      <c r="BA1299" s="89">
        <v>0</v>
      </c>
      <c r="BB1299" s="89">
        <f t="shared" si="1511"/>
        <v>0.30000000000000004</v>
      </c>
      <c r="BD1299" s="60">
        <v>-432.81</v>
      </c>
      <c r="BE1299" s="63">
        <v>-0.82</v>
      </c>
      <c r="BF1299" s="63">
        <v>-0.7</v>
      </c>
      <c r="BG1299" s="63">
        <v>0</v>
      </c>
      <c r="BH1299" s="63">
        <v>0</v>
      </c>
      <c r="BI1299" s="8">
        <f t="shared" ref="BI1299:BI1300" si="1643">SUM(BD1299:BH1299)</f>
        <v>-434.33</v>
      </c>
      <c r="BJ1299" s="2" t="s">
        <v>84</v>
      </c>
      <c r="BL1299" s="63"/>
      <c r="BM1299" s="63">
        <v>0</v>
      </c>
      <c r="BN1299" s="267"/>
      <c r="BO1299" s="63">
        <v>0</v>
      </c>
      <c r="BP1299" s="63">
        <v>0</v>
      </c>
      <c r="BQ1299" s="2">
        <v>0</v>
      </c>
      <c r="BS1299" s="61">
        <f t="shared" si="1632"/>
        <v>1.1399999999999864</v>
      </c>
      <c r="BT1299" s="61">
        <f t="shared" si="1633"/>
        <v>0</v>
      </c>
      <c r="BU1299" s="61">
        <f t="shared" si="1634"/>
        <v>0</v>
      </c>
      <c r="BV1299" s="61">
        <f t="shared" si="1634"/>
        <v>0</v>
      </c>
      <c r="BW1299" s="61">
        <f t="shared" si="1634"/>
        <v>0</v>
      </c>
      <c r="BX1299" s="63">
        <f t="shared" si="1634"/>
        <v>1.1399999999999864</v>
      </c>
      <c r="BY1299" s="61" t="s">
        <v>91</v>
      </c>
      <c r="CA1299" s="61">
        <f t="shared" si="1622"/>
        <v>0.17150594253046281</v>
      </c>
      <c r="CB1299" s="61">
        <f t="shared" si="1622"/>
        <v>0.17150594253046281</v>
      </c>
      <c r="CC1299" s="61">
        <f t="shared" si="1622"/>
        <v>0</v>
      </c>
      <c r="CD1299" s="61">
        <f t="shared" si="1622"/>
        <v>0</v>
      </c>
      <c r="CE1299" s="61">
        <f t="shared" si="1479"/>
        <v>0</v>
      </c>
      <c r="CF1299" s="61">
        <f t="shared" si="1479"/>
        <v>0</v>
      </c>
      <c r="CG1299" s="61">
        <f t="shared" si="1479"/>
        <v>0</v>
      </c>
      <c r="CH1299" s="61">
        <f t="shared" si="1479"/>
        <v>0</v>
      </c>
      <c r="CI1299" s="61">
        <f t="shared" si="1561"/>
        <v>5.1451782759138844E-2</v>
      </c>
      <c r="CJ1299" s="267"/>
      <c r="CK1299" s="61">
        <f t="shared" si="1623"/>
        <v>0.17150594253046281</v>
      </c>
      <c r="CL1299" s="61">
        <f t="shared" si="1619"/>
        <v>0.17150594253046281</v>
      </c>
      <c r="CM1299" s="61">
        <f t="shared" si="1619"/>
        <v>0</v>
      </c>
      <c r="CN1299" s="61">
        <f t="shared" si="1619"/>
        <v>0</v>
      </c>
      <c r="CO1299" s="61">
        <f t="shared" si="1619"/>
        <v>0</v>
      </c>
      <c r="CP1299" s="61">
        <f t="shared" si="1619"/>
        <v>0</v>
      </c>
      <c r="CQ1299" s="61">
        <f t="shared" si="1619"/>
        <v>0</v>
      </c>
      <c r="CR1299" s="61">
        <f t="shared" si="1619"/>
        <v>0</v>
      </c>
      <c r="CS1299" s="61">
        <f t="shared" si="1562"/>
        <v>5.1451782759138844E-2</v>
      </c>
      <c r="CT1299" s="63">
        <f t="shared" si="1569"/>
        <v>0.34199999999999592</v>
      </c>
      <c r="CU1299" s="73"/>
      <c r="CV1299" s="61">
        <f t="shared" ref="CV1299:CV1359" si="1644">SUM(AG1299)-SUM(BL1299)</f>
        <v>-5346561</v>
      </c>
      <c r="CW1299" s="61">
        <f t="shared" si="1564"/>
        <v>-5346561</v>
      </c>
      <c r="CY1299" s="61">
        <f t="shared" si="1639"/>
        <v>-8615505</v>
      </c>
      <c r="CZ1299" s="61">
        <f t="shared" si="1639"/>
        <v>-8615505</v>
      </c>
      <c r="DA1299" s="61">
        <f t="shared" si="1639"/>
        <v>0</v>
      </c>
      <c r="DB1299" s="2" t="s">
        <v>86</v>
      </c>
      <c r="DC1299" s="2" t="s">
        <v>86</v>
      </c>
      <c r="DD1299" s="2" t="s">
        <v>87</v>
      </c>
      <c r="DE1299" s="2" t="s">
        <v>106</v>
      </c>
      <c r="DF1299" s="3" t="s">
        <v>86</v>
      </c>
      <c r="DG1299" s="62">
        <v>43111</v>
      </c>
      <c r="EC1299" s="60" t="str">
        <f>VLOOKUP($M1299,[1]Detail!$M:$BO,1,0)</f>
        <v>JD8T -14014 -AA </v>
      </c>
      <c r="ED1299" s="60">
        <f>VLOOKUP($M1299,[1]Detail!$M:$BO,22,0)</f>
        <v>-433.19</v>
      </c>
      <c r="EE1299" s="60">
        <f>VLOOKUP($M1299,[1]Detail!$M:$BO,42,0)</f>
        <v>-5346561</v>
      </c>
      <c r="EF1299" s="60">
        <f>VLOOKUP($M1299,[1]Detail!$M:$BO,45,0)</f>
        <v>-8615505</v>
      </c>
      <c r="EH1299" s="60">
        <f t="shared" si="1640"/>
        <v>0</v>
      </c>
      <c r="EI1299" s="60">
        <f t="shared" si="1641"/>
        <v>0</v>
      </c>
      <c r="EJ1299" s="60">
        <f t="shared" si="1642"/>
        <v>0</v>
      </c>
    </row>
    <row r="1300" spans="2:140" ht="12.75" hidden="1" customHeight="1">
      <c r="B1300" s="1" t="s">
        <v>2176</v>
      </c>
      <c r="C1300" s="22" t="s">
        <v>2177</v>
      </c>
      <c r="D1300" s="149" t="s">
        <v>2178</v>
      </c>
      <c r="E1300" s="86" t="s">
        <v>1591</v>
      </c>
      <c r="F1300" s="85" t="s">
        <v>2072</v>
      </c>
      <c r="G1300" s="297" t="s">
        <v>994</v>
      </c>
      <c r="J1300" s="298" t="s">
        <v>155</v>
      </c>
      <c r="K1300" s="299" t="s">
        <v>2181</v>
      </c>
      <c r="L1300" s="3" t="s">
        <v>2182</v>
      </c>
      <c r="M1300" s="51" t="str">
        <f t="shared" si="1549"/>
        <v>JD8T -14014 -BA </v>
      </c>
      <c r="O1300" s="89">
        <v>0</v>
      </c>
      <c r="P1300" s="89">
        <v>0</v>
      </c>
      <c r="Q1300" s="89">
        <v>1</v>
      </c>
      <c r="R1300" s="89">
        <v>1</v>
      </c>
      <c r="S1300" s="89">
        <v>0</v>
      </c>
      <c r="T1300" s="89">
        <v>0</v>
      </c>
      <c r="U1300" s="89">
        <v>0</v>
      </c>
      <c r="V1300" s="89">
        <v>0</v>
      </c>
      <c r="W1300" s="164">
        <f t="shared" si="1516"/>
        <v>0.37</v>
      </c>
      <c r="Y1300" s="8">
        <v>-494.35</v>
      </c>
      <c r="Z1300" s="63">
        <v>-0.82</v>
      </c>
      <c r="AA1300" s="63">
        <v>-0.7</v>
      </c>
      <c r="AB1300" s="63">
        <v>0</v>
      </c>
      <c r="AC1300" s="63">
        <v>0</v>
      </c>
      <c r="AD1300" s="8">
        <f t="shared" ref="AD1300:AD1387" si="1645">SUM(Y1300:AC1300)</f>
        <v>-495.87</v>
      </c>
      <c r="AE1300" s="2" t="s">
        <v>84</v>
      </c>
      <c r="AG1300" s="300"/>
      <c r="AH1300" s="300"/>
      <c r="AJ1300" s="300"/>
      <c r="AK1300" s="176"/>
      <c r="AM1300" s="22"/>
      <c r="AO1300" s="298" t="s">
        <v>1735</v>
      </c>
      <c r="AP1300" s="297" t="s">
        <v>2181</v>
      </c>
      <c r="AQ1300" s="3" t="s">
        <v>2183</v>
      </c>
      <c r="AR1300" s="90" t="str">
        <f t="shared" si="1566"/>
        <v>ED8T -14014 -JB </v>
      </c>
      <c r="AT1300" s="89">
        <v>0</v>
      </c>
      <c r="AU1300" s="89">
        <v>0</v>
      </c>
      <c r="AV1300" s="89">
        <v>1</v>
      </c>
      <c r="AW1300" s="89">
        <v>1</v>
      </c>
      <c r="AX1300" s="89">
        <v>0</v>
      </c>
      <c r="AY1300" s="89">
        <v>0</v>
      </c>
      <c r="AZ1300" s="89">
        <v>0</v>
      </c>
      <c r="BA1300" s="89">
        <v>0</v>
      </c>
      <c r="BB1300" s="89">
        <f t="shared" si="1511"/>
        <v>0.37</v>
      </c>
      <c r="BD1300" s="60">
        <v>-503.15</v>
      </c>
      <c r="BE1300" s="63">
        <v>-0.82</v>
      </c>
      <c r="BF1300" s="63">
        <v>-0.7</v>
      </c>
      <c r="BG1300" s="63">
        <v>0</v>
      </c>
      <c r="BH1300" s="63">
        <v>0</v>
      </c>
      <c r="BI1300" s="8">
        <f t="shared" si="1643"/>
        <v>-504.66999999999996</v>
      </c>
      <c r="BJ1300" s="2" t="s">
        <v>84</v>
      </c>
      <c r="BL1300" s="63"/>
      <c r="BM1300" s="63">
        <v>0</v>
      </c>
      <c r="BN1300" s="267"/>
      <c r="BO1300" s="63">
        <v>0</v>
      </c>
      <c r="BP1300" s="63">
        <v>0</v>
      </c>
      <c r="BQ1300" s="2">
        <v>0</v>
      </c>
      <c r="BS1300" s="61">
        <f t="shared" si="1632"/>
        <v>8.7999999999999545</v>
      </c>
      <c r="BT1300" s="61">
        <f t="shared" si="1633"/>
        <v>0</v>
      </c>
      <c r="BU1300" s="61">
        <f t="shared" si="1634"/>
        <v>0</v>
      </c>
      <c r="BV1300" s="61">
        <f t="shared" si="1634"/>
        <v>0</v>
      </c>
      <c r="BW1300" s="61">
        <f t="shared" si="1634"/>
        <v>0</v>
      </c>
      <c r="BX1300" s="63">
        <f t="shared" si="1634"/>
        <v>8.7999999999999545</v>
      </c>
      <c r="BY1300" s="61" t="s">
        <v>91</v>
      </c>
      <c r="CA1300" s="61">
        <f t="shared" si="1622"/>
        <v>0</v>
      </c>
      <c r="CB1300" s="61">
        <f t="shared" si="1622"/>
        <v>0</v>
      </c>
      <c r="CC1300" s="61">
        <f t="shared" si="1622"/>
        <v>1.3239055212877922</v>
      </c>
      <c r="CD1300" s="61">
        <f t="shared" si="1622"/>
        <v>1.3239055212877922</v>
      </c>
      <c r="CE1300" s="61">
        <f t="shared" si="1479"/>
        <v>0</v>
      </c>
      <c r="CF1300" s="61">
        <f t="shared" si="1479"/>
        <v>0</v>
      </c>
      <c r="CG1300" s="61">
        <f t="shared" si="1479"/>
        <v>0</v>
      </c>
      <c r="CH1300" s="61">
        <f t="shared" si="1479"/>
        <v>0</v>
      </c>
      <c r="CI1300" s="61">
        <f t="shared" si="1561"/>
        <v>0.48984504287648312</v>
      </c>
      <c r="CJ1300" s="267"/>
      <c r="CK1300" s="61">
        <f t="shared" si="1623"/>
        <v>0</v>
      </c>
      <c r="CL1300" s="61">
        <f t="shared" si="1619"/>
        <v>0</v>
      </c>
      <c r="CM1300" s="61">
        <f t="shared" si="1619"/>
        <v>1.3239055212877922</v>
      </c>
      <c r="CN1300" s="61">
        <f t="shared" si="1619"/>
        <v>1.3239055212877922</v>
      </c>
      <c r="CO1300" s="61">
        <f t="shared" si="1619"/>
        <v>0</v>
      </c>
      <c r="CP1300" s="61">
        <f t="shared" si="1619"/>
        <v>0</v>
      </c>
      <c r="CQ1300" s="61">
        <f t="shared" si="1619"/>
        <v>0</v>
      </c>
      <c r="CR1300" s="61">
        <f t="shared" si="1619"/>
        <v>0</v>
      </c>
      <c r="CS1300" s="61">
        <f t="shared" si="1562"/>
        <v>0.48984504287648312</v>
      </c>
      <c r="CT1300" s="63">
        <f t="shared" si="1569"/>
        <v>3.2559999999999834</v>
      </c>
      <c r="CU1300" s="73"/>
      <c r="CV1300" s="61">
        <f t="shared" si="1644"/>
        <v>0</v>
      </c>
      <c r="CW1300" s="61">
        <f t="shared" si="1564"/>
        <v>0</v>
      </c>
      <c r="CY1300" s="61">
        <f t="shared" si="1639"/>
        <v>0</v>
      </c>
      <c r="CZ1300" s="61">
        <f t="shared" si="1639"/>
        <v>0</v>
      </c>
      <c r="DA1300" s="61">
        <f t="shared" si="1639"/>
        <v>0</v>
      </c>
      <c r="DB1300" s="2" t="s">
        <v>86</v>
      </c>
      <c r="DC1300" s="2" t="s">
        <v>86</v>
      </c>
      <c r="DD1300" s="2" t="s">
        <v>87</v>
      </c>
      <c r="DE1300" s="2" t="s">
        <v>106</v>
      </c>
      <c r="DF1300" s="3" t="s">
        <v>86</v>
      </c>
      <c r="DG1300" s="62">
        <v>43111</v>
      </c>
      <c r="EC1300" s="60" t="str">
        <f>VLOOKUP($M1300,[1]Detail!$M:$BO,1,0)</f>
        <v>JD8T -14014 -BA </v>
      </c>
      <c r="ED1300" s="60">
        <f>VLOOKUP($M1300,[1]Detail!$M:$BO,22,0)</f>
        <v>-495.87</v>
      </c>
      <c r="EE1300" s="60">
        <f>VLOOKUP($M1300,[1]Detail!$M:$BO,42,0)</f>
        <v>0</v>
      </c>
      <c r="EF1300" s="60">
        <f>VLOOKUP($M1300,[1]Detail!$M:$BO,45,0)</f>
        <v>0</v>
      </c>
      <c r="EH1300" s="60">
        <f t="shared" si="1640"/>
        <v>0</v>
      </c>
      <c r="EI1300" s="60">
        <f t="shared" si="1641"/>
        <v>0</v>
      </c>
      <c r="EJ1300" s="60">
        <f t="shared" si="1642"/>
        <v>0</v>
      </c>
    </row>
    <row r="1301" spans="2:140" ht="12.75" hidden="1" customHeight="1">
      <c r="B1301" s="1" t="s">
        <v>2176</v>
      </c>
      <c r="C1301" s="22" t="s">
        <v>2177</v>
      </c>
      <c r="D1301" s="149" t="s">
        <v>2178</v>
      </c>
      <c r="E1301" s="86" t="s">
        <v>1591</v>
      </c>
      <c r="F1301" s="85" t="s">
        <v>2072</v>
      </c>
      <c r="G1301" s="297" t="s">
        <v>994</v>
      </c>
      <c r="J1301" s="298" t="s">
        <v>155</v>
      </c>
      <c r="K1301" s="299" t="s">
        <v>2181</v>
      </c>
      <c r="L1301" s="3" t="s">
        <v>2184</v>
      </c>
      <c r="M1301" s="51" t="str">
        <f t="shared" si="1549"/>
        <v>JD8T -14014 -CA </v>
      </c>
      <c r="O1301" s="89">
        <v>0</v>
      </c>
      <c r="P1301" s="89">
        <v>0</v>
      </c>
      <c r="Q1301" s="89">
        <v>1</v>
      </c>
      <c r="R1301" s="89">
        <v>1</v>
      </c>
      <c r="S1301" s="89">
        <v>0</v>
      </c>
      <c r="T1301" s="89">
        <v>0</v>
      </c>
      <c r="U1301" s="89">
        <v>0</v>
      </c>
      <c r="V1301" s="89">
        <v>0</v>
      </c>
      <c r="W1301" s="164">
        <f t="shared" si="1516"/>
        <v>0.37</v>
      </c>
      <c r="Y1301" s="8">
        <v>-504.29</v>
      </c>
      <c r="Z1301" s="63">
        <v>-0.82</v>
      </c>
      <c r="AA1301" s="63">
        <v>-0.7</v>
      </c>
      <c r="AB1301" s="63">
        <v>0</v>
      </c>
      <c r="AC1301" s="63">
        <v>0</v>
      </c>
      <c r="AD1301" s="8">
        <f t="shared" si="1645"/>
        <v>-505.81</v>
      </c>
      <c r="AE1301" s="2" t="s">
        <v>84</v>
      </c>
      <c r="AG1301" s="300"/>
      <c r="AH1301" s="300"/>
      <c r="AJ1301" s="300"/>
      <c r="AK1301" s="176"/>
      <c r="AM1301" s="22"/>
      <c r="AO1301" s="298" t="s">
        <v>1735</v>
      </c>
      <c r="AP1301" s="297" t="s">
        <v>2181</v>
      </c>
      <c r="AQ1301" s="3" t="s">
        <v>2185</v>
      </c>
      <c r="AR1301" s="90" t="str">
        <f t="shared" si="1566"/>
        <v>ED8T -14014 -FC </v>
      </c>
      <c r="AT1301" s="89">
        <v>0</v>
      </c>
      <c r="AU1301" s="89">
        <v>0</v>
      </c>
      <c r="AV1301" s="89">
        <v>1</v>
      </c>
      <c r="AW1301" s="89">
        <v>1</v>
      </c>
      <c r="AX1301" s="89">
        <v>0</v>
      </c>
      <c r="AY1301" s="89">
        <v>0</v>
      </c>
      <c r="AZ1301" s="89">
        <v>0</v>
      </c>
      <c r="BA1301" s="89">
        <v>0</v>
      </c>
      <c r="BB1301" s="89">
        <f t="shared" si="1511"/>
        <v>0.37</v>
      </c>
      <c r="BD1301" s="60">
        <v>-521.54</v>
      </c>
      <c r="BE1301" s="63">
        <v>-0.82</v>
      </c>
      <c r="BF1301" s="63">
        <v>-0.7</v>
      </c>
      <c r="BG1301" s="63">
        <v>0</v>
      </c>
      <c r="BH1301" s="63">
        <v>0</v>
      </c>
      <c r="BI1301" s="8">
        <f t="shared" ref="BI1301:BI1330" si="1646">SUM(BD1301:BH1301)</f>
        <v>-523.06000000000006</v>
      </c>
      <c r="BJ1301" s="2" t="s">
        <v>84</v>
      </c>
      <c r="BL1301" s="63"/>
      <c r="BM1301" s="63">
        <v>0</v>
      </c>
      <c r="BN1301" s="267"/>
      <c r="BO1301" s="63">
        <v>0</v>
      </c>
      <c r="BP1301" s="63">
        <v>0</v>
      </c>
      <c r="BQ1301" s="2">
        <v>0</v>
      </c>
      <c r="BS1301" s="61">
        <f t="shared" si="1632"/>
        <v>17.249999999999943</v>
      </c>
      <c r="BT1301" s="61">
        <f t="shared" si="1633"/>
        <v>0</v>
      </c>
      <c r="BU1301" s="61">
        <f t="shared" si="1634"/>
        <v>0</v>
      </c>
      <c r="BV1301" s="61">
        <f t="shared" si="1634"/>
        <v>0</v>
      </c>
      <c r="BW1301" s="61">
        <f t="shared" si="1634"/>
        <v>0</v>
      </c>
      <c r="BX1301" s="63">
        <f t="shared" si="1634"/>
        <v>17.250000000000057</v>
      </c>
      <c r="BY1301" s="61" t="s">
        <v>91</v>
      </c>
      <c r="CA1301" s="61">
        <f t="shared" si="1622"/>
        <v>0</v>
      </c>
      <c r="CB1301" s="61">
        <f t="shared" si="1622"/>
        <v>0</v>
      </c>
      <c r="CC1301" s="61">
        <f t="shared" si="1622"/>
        <v>2.5951557093425519</v>
      </c>
      <c r="CD1301" s="61">
        <f t="shared" si="1622"/>
        <v>2.5951557093425519</v>
      </c>
      <c r="CE1301" s="61">
        <f t="shared" si="1479"/>
        <v>0</v>
      </c>
      <c r="CF1301" s="61">
        <f t="shared" si="1479"/>
        <v>0</v>
      </c>
      <c r="CG1301" s="61">
        <f t="shared" si="1479"/>
        <v>0</v>
      </c>
      <c r="CH1301" s="61">
        <f t="shared" ref="CH1301:CH1364" si="1647">($Y1301*V1301-BA1301*$BD1301)/$C$2</f>
        <v>0</v>
      </c>
      <c r="CI1301" s="61">
        <f t="shared" si="1561"/>
        <v>0.96020761245674424</v>
      </c>
      <c r="CJ1301" s="267"/>
      <c r="CK1301" s="61">
        <f t="shared" si="1623"/>
        <v>0</v>
      </c>
      <c r="CL1301" s="61">
        <f t="shared" si="1619"/>
        <v>0</v>
      </c>
      <c r="CM1301" s="61">
        <f t="shared" si="1619"/>
        <v>2.5951557093425692</v>
      </c>
      <c r="CN1301" s="61">
        <f t="shared" si="1619"/>
        <v>2.5951557093425692</v>
      </c>
      <c r="CO1301" s="61">
        <f t="shared" si="1619"/>
        <v>0</v>
      </c>
      <c r="CP1301" s="61">
        <f t="shared" si="1619"/>
        <v>0</v>
      </c>
      <c r="CQ1301" s="61">
        <f t="shared" si="1619"/>
        <v>0</v>
      </c>
      <c r="CR1301" s="61">
        <f t="shared" si="1619"/>
        <v>0</v>
      </c>
      <c r="CS1301" s="61">
        <f t="shared" si="1562"/>
        <v>0.96020761245675068</v>
      </c>
      <c r="CT1301" s="63">
        <f t="shared" si="1569"/>
        <v>6.3825000000000216</v>
      </c>
      <c r="CU1301" s="73"/>
      <c r="CV1301" s="61">
        <f t="shared" si="1644"/>
        <v>0</v>
      </c>
      <c r="CW1301" s="61">
        <f t="shared" si="1564"/>
        <v>0</v>
      </c>
      <c r="CY1301" s="61">
        <f t="shared" si="1639"/>
        <v>0</v>
      </c>
      <c r="CZ1301" s="61">
        <f t="shared" si="1639"/>
        <v>0</v>
      </c>
      <c r="DA1301" s="61">
        <f t="shared" si="1639"/>
        <v>0</v>
      </c>
      <c r="DB1301" s="2" t="s">
        <v>86</v>
      </c>
      <c r="DC1301" s="2" t="s">
        <v>86</v>
      </c>
      <c r="DD1301" s="2" t="s">
        <v>87</v>
      </c>
      <c r="DE1301" s="2" t="s">
        <v>106</v>
      </c>
      <c r="DF1301" s="3" t="s">
        <v>86</v>
      </c>
      <c r="DG1301" s="62">
        <v>43111</v>
      </c>
      <c r="EC1301" s="60" t="str">
        <f>VLOOKUP($M1301,[1]Detail!$M:$BO,1,0)</f>
        <v>JD8T -14014 -CA </v>
      </c>
      <c r="ED1301" s="60">
        <f>VLOOKUP($M1301,[1]Detail!$M:$BO,22,0)</f>
        <v>-505.81</v>
      </c>
      <c r="EE1301" s="60">
        <f>VLOOKUP($M1301,[1]Detail!$M:$BO,42,0)</f>
        <v>0</v>
      </c>
      <c r="EF1301" s="60">
        <f>VLOOKUP($M1301,[1]Detail!$M:$BO,45,0)</f>
        <v>0</v>
      </c>
      <c r="EH1301" s="60">
        <f t="shared" si="1640"/>
        <v>0</v>
      </c>
      <c r="EI1301" s="60">
        <f t="shared" si="1641"/>
        <v>0</v>
      </c>
      <c r="EJ1301" s="60">
        <f t="shared" si="1642"/>
        <v>0</v>
      </c>
    </row>
    <row r="1302" spans="2:140" ht="12.75" hidden="1" customHeight="1">
      <c r="B1302" s="1" t="s">
        <v>2176</v>
      </c>
      <c r="C1302" s="22" t="s">
        <v>2177</v>
      </c>
      <c r="D1302" s="149" t="s">
        <v>2178</v>
      </c>
      <c r="E1302" s="86" t="s">
        <v>1591</v>
      </c>
      <c r="F1302" s="85" t="s">
        <v>2072</v>
      </c>
      <c r="G1302" s="297" t="s">
        <v>994</v>
      </c>
      <c r="J1302" s="298" t="s">
        <v>155</v>
      </c>
      <c r="K1302" s="299" t="s">
        <v>2181</v>
      </c>
      <c r="L1302" s="3" t="s">
        <v>2186</v>
      </c>
      <c r="M1302" s="51" t="str">
        <f t="shared" si="1549"/>
        <v>JD8T -14014 -DA </v>
      </c>
      <c r="O1302" s="89">
        <v>0</v>
      </c>
      <c r="P1302" s="89">
        <v>0</v>
      </c>
      <c r="Q1302" s="89">
        <v>0</v>
      </c>
      <c r="R1302" s="89">
        <v>1</v>
      </c>
      <c r="S1302" s="89">
        <v>0</v>
      </c>
      <c r="T1302" s="89">
        <v>0</v>
      </c>
      <c r="U1302" s="89">
        <v>0</v>
      </c>
      <c r="V1302" s="89">
        <v>0</v>
      </c>
      <c r="W1302" s="164">
        <f t="shared" si="1516"/>
        <v>0.23</v>
      </c>
      <c r="Y1302" s="8">
        <v>-499.92</v>
      </c>
      <c r="Z1302" s="63">
        <v>-0.82</v>
      </c>
      <c r="AA1302" s="63">
        <v>-0.7</v>
      </c>
      <c r="AB1302" s="63">
        <v>0</v>
      </c>
      <c r="AC1302" s="63">
        <v>0</v>
      </c>
      <c r="AD1302" s="8">
        <f t="shared" si="1645"/>
        <v>-501.44</v>
      </c>
      <c r="AE1302" s="2" t="s">
        <v>84</v>
      </c>
      <c r="AG1302" s="300"/>
      <c r="AH1302" s="300"/>
      <c r="AJ1302" s="300"/>
      <c r="AK1302" s="176"/>
      <c r="AM1302" s="22"/>
      <c r="AO1302" s="298" t="s">
        <v>1735</v>
      </c>
      <c r="AP1302" s="297" t="s">
        <v>2181</v>
      </c>
      <c r="AQ1302" s="3" t="s">
        <v>2187</v>
      </c>
      <c r="AR1302" s="90" t="str">
        <f t="shared" si="1566"/>
        <v>ED8T -14014 -LB </v>
      </c>
      <c r="AT1302" s="89">
        <v>0</v>
      </c>
      <c r="AU1302" s="89">
        <v>0</v>
      </c>
      <c r="AV1302" s="89">
        <v>0</v>
      </c>
      <c r="AW1302" s="89">
        <v>1</v>
      </c>
      <c r="AX1302" s="89">
        <v>0</v>
      </c>
      <c r="AY1302" s="89">
        <v>0</v>
      </c>
      <c r="AZ1302" s="89">
        <v>0</v>
      </c>
      <c r="BA1302" s="89">
        <v>0</v>
      </c>
      <c r="BB1302" s="89">
        <f t="shared" si="1511"/>
        <v>0.23</v>
      </c>
      <c r="BD1302" s="60">
        <v>-488.5</v>
      </c>
      <c r="BE1302" s="63">
        <v>-0.82</v>
      </c>
      <c r="BF1302" s="63">
        <v>-0.7</v>
      </c>
      <c r="BG1302" s="63">
        <v>0</v>
      </c>
      <c r="BH1302" s="63">
        <v>0</v>
      </c>
      <c r="BI1302" s="8">
        <f t="shared" si="1646"/>
        <v>-490.02</v>
      </c>
      <c r="BJ1302" s="2" t="s">
        <v>84</v>
      </c>
      <c r="BL1302" s="63"/>
      <c r="BM1302" s="63">
        <v>0</v>
      </c>
      <c r="BN1302" s="267"/>
      <c r="BO1302" s="63">
        <v>0</v>
      </c>
      <c r="BP1302" s="63">
        <v>0</v>
      </c>
      <c r="BQ1302" s="2">
        <v>0</v>
      </c>
      <c r="BS1302" s="61">
        <f t="shared" si="1632"/>
        <v>-11.420000000000016</v>
      </c>
      <c r="BT1302" s="61">
        <f t="shared" si="1633"/>
        <v>0</v>
      </c>
      <c r="BU1302" s="61">
        <f t="shared" si="1634"/>
        <v>0</v>
      </c>
      <c r="BV1302" s="61">
        <f t="shared" si="1634"/>
        <v>0</v>
      </c>
      <c r="BW1302" s="61">
        <f t="shared" si="1634"/>
        <v>0</v>
      </c>
      <c r="BX1302" s="63">
        <f t="shared" si="1634"/>
        <v>-11.420000000000016</v>
      </c>
      <c r="BY1302" s="61" t="s">
        <v>91</v>
      </c>
      <c r="CA1302" s="61">
        <f t="shared" si="1622"/>
        <v>0</v>
      </c>
      <c r="CB1302" s="61">
        <f t="shared" si="1622"/>
        <v>0</v>
      </c>
      <c r="CC1302" s="61">
        <f t="shared" si="1622"/>
        <v>0</v>
      </c>
      <c r="CD1302" s="61">
        <f t="shared" si="1622"/>
        <v>-1.718068301489396</v>
      </c>
      <c r="CE1302" s="61">
        <f t="shared" si="1622"/>
        <v>0</v>
      </c>
      <c r="CF1302" s="61">
        <f t="shared" si="1622"/>
        <v>0</v>
      </c>
      <c r="CG1302" s="61">
        <f t="shared" si="1622"/>
        <v>0</v>
      </c>
      <c r="CH1302" s="61">
        <f t="shared" si="1647"/>
        <v>0</v>
      </c>
      <c r="CI1302" s="61">
        <f t="shared" si="1561"/>
        <v>-0.39515570934256111</v>
      </c>
      <c r="CJ1302" s="267"/>
      <c r="CK1302" s="61">
        <f t="shared" si="1623"/>
        <v>0</v>
      </c>
      <c r="CL1302" s="61">
        <f t="shared" si="1619"/>
        <v>0</v>
      </c>
      <c r="CM1302" s="61">
        <f t="shared" si="1619"/>
        <v>0</v>
      </c>
      <c r="CN1302" s="61">
        <f t="shared" si="1619"/>
        <v>-1.718068301489396</v>
      </c>
      <c r="CO1302" s="61">
        <f t="shared" si="1619"/>
        <v>0</v>
      </c>
      <c r="CP1302" s="61">
        <f t="shared" si="1619"/>
        <v>0</v>
      </c>
      <c r="CQ1302" s="61">
        <f t="shared" si="1619"/>
        <v>0</v>
      </c>
      <c r="CR1302" s="61">
        <f t="shared" si="1619"/>
        <v>0</v>
      </c>
      <c r="CS1302" s="61">
        <f t="shared" si="1562"/>
        <v>-0.39515570934256111</v>
      </c>
      <c r="CT1302" s="63">
        <f t="shared" si="1569"/>
        <v>-2.6266000000000038</v>
      </c>
      <c r="CU1302" s="73"/>
      <c r="CV1302" s="61">
        <f t="shared" si="1644"/>
        <v>0</v>
      </c>
      <c r="CW1302" s="61">
        <f t="shared" si="1564"/>
        <v>0</v>
      </c>
      <c r="CY1302" s="61">
        <f t="shared" si="1639"/>
        <v>0</v>
      </c>
      <c r="CZ1302" s="61">
        <f t="shared" si="1639"/>
        <v>0</v>
      </c>
      <c r="DA1302" s="61">
        <f t="shared" si="1639"/>
        <v>0</v>
      </c>
      <c r="DB1302" s="2" t="s">
        <v>86</v>
      </c>
      <c r="DC1302" s="2" t="s">
        <v>86</v>
      </c>
      <c r="DD1302" s="2" t="s">
        <v>87</v>
      </c>
      <c r="DE1302" s="2" t="s">
        <v>106</v>
      </c>
      <c r="DF1302" s="3" t="s">
        <v>86</v>
      </c>
      <c r="DG1302" s="62">
        <v>43111</v>
      </c>
      <c r="EC1302" s="60" t="str">
        <f>VLOOKUP($M1302,[1]Detail!$M:$BO,1,0)</f>
        <v>JD8T -14014 -DA </v>
      </c>
      <c r="ED1302" s="60">
        <f>VLOOKUP($M1302,[1]Detail!$M:$BO,22,0)</f>
        <v>-501.44</v>
      </c>
      <c r="EE1302" s="60">
        <f>VLOOKUP($M1302,[1]Detail!$M:$BO,42,0)</f>
        <v>0</v>
      </c>
      <c r="EF1302" s="60">
        <f>VLOOKUP($M1302,[1]Detail!$M:$BO,45,0)</f>
        <v>0</v>
      </c>
      <c r="EH1302" s="60">
        <f t="shared" si="1640"/>
        <v>0</v>
      </c>
      <c r="EI1302" s="60">
        <f t="shared" si="1641"/>
        <v>0</v>
      </c>
      <c r="EJ1302" s="60">
        <f t="shared" si="1642"/>
        <v>0</v>
      </c>
    </row>
    <row r="1303" spans="2:140" ht="12.75" hidden="1" customHeight="1">
      <c r="B1303" s="1" t="s">
        <v>2176</v>
      </c>
      <c r="C1303" s="22" t="s">
        <v>2177</v>
      </c>
      <c r="D1303" s="149" t="s">
        <v>2178</v>
      </c>
      <c r="E1303" s="86" t="s">
        <v>1591</v>
      </c>
      <c r="F1303" s="85" t="s">
        <v>2072</v>
      </c>
      <c r="G1303" s="297" t="s">
        <v>994</v>
      </c>
      <c r="J1303" s="298" t="s">
        <v>155</v>
      </c>
      <c r="K1303" s="299" t="s">
        <v>2181</v>
      </c>
      <c r="L1303" s="3" t="s">
        <v>2188</v>
      </c>
      <c r="M1303" s="51" t="str">
        <f t="shared" si="1549"/>
        <v>JD8T -14014 -EA </v>
      </c>
      <c r="O1303" s="89">
        <v>0</v>
      </c>
      <c r="P1303" s="89">
        <v>0</v>
      </c>
      <c r="Q1303" s="89">
        <v>0</v>
      </c>
      <c r="R1303" s="89">
        <v>1</v>
      </c>
      <c r="S1303" s="89">
        <v>0</v>
      </c>
      <c r="T1303" s="89">
        <v>0</v>
      </c>
      <c r="U1303" s="89">
        <v>0</v>
      </c>
      <c r="V1303" s="89">
        <v>0</v>
      </c>
      <c r="W1303" s="164">
        <f t="shared" si="1516"/>
        <v>0.23</v>
      </c>
      <c r="Y1303" s="8">
        <v>-524.65</v>
      </c>
      <c r="Z1303" s="63">
        <v>-0.82</v>
      </c>
      <c r="AA1303" s="63">
        <v>-0.7</v>
      </c>
      <c r="AB1303" s="63">
        <v>0</v>
      </c>
      <c r="AC1303" s="63">
        <v>0</v>
      </c>
      <c r="AD1303" s="8">
        <f t="shared" si="1645"/>
        <v>-526.17000000000007</v>
      </c>
      <c r="AE1303" s="2" t="s">
        <v>84</v>
      </c>
      <c r="AG1303" s="300"/>
      <c r="AH1303" s="300"/>
      <c r="AJ1303" s="300"/>
      <c r="AK1303" s="176"/>
      <c r="AM1303" s="22"/>
      <c r="AO1303" s="298" t="s">
        <v>1735</v>
      </c>
      <c r="AP1303" s="297" t="s">
        <v>2181</v>
      </c>
      <c r="AQ1303" s="3" t="s">
        <v>2189</v>
      </c>
      <c r="AR1303" s="90" t="str">
        <f t="shared" si="1566"/>
        <v>ED8T -14014 -GC </v>
      </c>
      <c r="AT1303" s="89">
        <v>0</v>
      </c>
      <c r="AU1303" s="89">
        <v>0</v>
      </c>
      <c r="AV1303" s="89">
        <v>0</v>
      </c>
      <c r="AW1303" s="89">
        <v>1</v>
      </c>
      <c r="AX1303" s="89">
        <v>0</v>
      </c>
      <c r="AY1303" s="89">
        <v>0</v>
      </c>
      <c r="AZ1303" s="89">
        <v>0</v>
      </c>
      <c r="BA1303" s="89">
        <v>0</v>
      </c>
      <c r="BB1303" s="89">
        <f t="shared" si="1511"/>
        <v>0.23</v>
      </c>
      <c r="BD1303" s="60">
        <v>-524.16</v>
      </c>
      <c r="BE1303" s="63">
        <v>-0.82</v>
      </c>
      <c r="BF1303" s="63">
        <v>-0.7</v>
      </c>
      <c r="BG1303" s="63">
        <v>0</v>
      </c>
      <c r="BH1303" s="63">
        <v>0</v>
      </c>
      <c r="BI1303" s="8">
        <f t="shared" si="1646"/>
        <v>-525.68000000000006</v>
      </c>
      <c r="BJ1303" s="2" t="s">
        <v>84</v>
      </c>
      <c r="BL1303" s="63"/>
      <c r="BM1303" s="63">
        <v>0</v>
      </c>
      <c r="BN1303" s="267"/>
      <c r="BO1303" s="63">
        <v>0</v>
      </c>
      <c r="BP1303" s="63">
        <v>0</v>
      </c>
      <c r="BQ1303" s="2">
        <v>0</v>
      </c>
      <c r="BS1303" s="61">
        <f t="shared" si="1632"/>
        <v>-0.49000000000000909</v>
      </c>
      <c r="BT1303" s="61">
        <f t="shared" si="1633"/>
        <v>0</v>
      </c>
      <c r="BU1303" s="61">
        <f t="shared" si="1634"/>
        <v>0</v>
      </c>
      <c r="BV1303" s="61">
        <f t="shared" si="1634"/>
        <v>0</v>
      </c>
      <c r="BW1303" s="61">
        <f t="shared" si="1634"/>
        <v>0</v>
      </c>
      <c r="BX1303" s="63">
        <f t="shared" si="1634"/>
        <v>-0.49000000000000909</v>
      </c>
      <c r="BY1303" s="61" t="s">
        <v>91</v>
      </c>
      <c r="CA1303" s="61">
        <f t="shared" si="1622"/>
        <v>0</v>
      </c>
      <c r="CB1303" s="61">
        <f t="shared" si="1622"/>
        <v>0</v>
      </c>
      <c r="CC1303" s="61">
        <f t="shared" si="1622"/>
        <v>0</v>
      </c>
      <c r="CD1303" s="61">
        <f t="shared" si="1622"/>
        <v>-7.3717466526253814E-2</v>
      </c>
      <c r="CE1303" s="61">
        <f t="shared" si="1622"/>
        <v>0</v>
      </c>
      <c r="CF1303" s="61">
        <f t="shared" si="1622"/>
        <v>0</v>
      </c>
      <c r="CG1303" s="61">
        <f t="shared" si="1622"/>
        <v>0</v>
      </c>
      <c r="CH1303" s="61">
        <f t="shared" si="1647"/>
        <v>0</v>
      </c>
      <c r="CI1303" s="61">
        <f t="shared" si="1561"/>
        <v>-1.6955017301038378E-2</v>
      </c>
      <c r="CJ1303" s="267"/>
      <c r="CK1303" s="61">
        <f t="shared" si="1623"/>
        <v>0</v>
      </c>
      <c r="CL1303" s="61">
        <f t="shared" si="1619"/>
        <v>0</v>
      </c>
      <c r="CM1303" s="61">
        <f t="shared" si="1619"/>
        <v>0</v>
      </c>
      <c r="CN1303" s="61">
        <f t="shared" si="1619"/>
        <v>-7.3717466526253814E-2</v>
      </c>
      <c r="CO1303" s="61">
        <f t="shared" si="1619"/>
        <v>0</v>
      </c>
      <c r="CP1303" s="61">
        <f t="shared" si="1619"/>
        <v>0</v>
      </c>
      <c r="CQ1303" s="61">
        <f t="shared" si="1619"/>
        <v>0</v>
      </c>
      <c r="CR1303" s="61">
        <f t="shared" si="1619"/>
        <v>0</v>
      </c>
      <c r="CS1303" s="61">
        <f t="shared" si="1562"/>
        <v>-1.6955017301038378E-2</v>
      </c>
      <c r="CT1303" s="63">
        <f t="shared" si="1569"/>
        <v>-0.1127000000000021</v>
      </c>
      <c r="CU1303" s="73"/>
      <c r="CV1303" s="61">
        <f t="shared" si="1644"/>
        <v>0</v>
      </c>
      <c r="CW1303" s="61">
        <f t="shared" si="1564"/>
        <v>0</v>
      </c>
      <c r="CY1303" s="61">
        <f t="shared" si="1639"/>
        <v>0</v>
      </c>
      <c r="CZ1303" s="61">
        <f t="shared" si="1639"/>
        <v>0</v>
      </c>
      <c r="DA1303" s="61">
        <f t="shared" si="1639"/>
        <v>0</v>
      </c>
      <c r="DB1303" s="2" t="s">
        <v>86</v>
      </c>
      <c r="DC1303" s="2" t="s">
        <v>86</v>
      </c>
      <c r="DD1303" s="2" t="s">
        <v>87</v>
      </c>
      <c r="DE1303" s="2" t="s">
        <v>106</v>
      </c>
      <c r="DF1303" s="3" t="s">
        <v>86</v>
      </c>
      <c r="DG1303" s="62">
        <v>43111</v>
      </c>
      <c r="EC1303" s="60" t="str">
        <f>VLOOKUP($M1303,[1]Detail!$M:$BO,1,0)</f>
        <v>JD8T -14014 -EA </v>
      </c>
      <c r="ED1303" s="60">
        <f>VLOOKUP($M1303,[1]Detail!$M:$BO,22,0)</f>
        <v>-526.17000000000007</v>
      </c>
      <c r="EE1303" s="60">
        <f>VLOOKUP($M1303,[1]Detail!$M:$BO,42,0)</f>
        <v>0</v>
      </c>
      <c r="EF1303" s="60">
        <f>VLOOKUP($M1303,[1]Detail!$M:$BO,45,0)</f>
        <v>0</v>
      </c>
      <c r="EH1303" s="60">
        <f t="shared" si="1640"/>
        <v>0</v>
      </c>
      <c r="EI1303" s="60">
        <f t="shared" si="1641"/>
        <v>0</v>
      </c>
      <c r="EJ1303" s="60">
        <f t="shared" si="1642"/>
        <v>0</v>
      </c>
    </row>
    <row r="1304" spans="2:140" ht="12.75" hidden="1" customHeight="1">
      <c r="B1304" s="1" t="s">
        <v>2176</v>
      </c>
      <c r="C1304" s="22" t="s">
        <v>2177</v>
      </c>
      <c r="D1304" s="149" t="s">
        <v>2178</v>
      </c>
      <c r="E1304" s="86" t="s">
        <v>1591</v>
      </c>
      <c r="F1304" s="85" t="s">
        <v>2072</v>
      </c>
      <c r="G1304" s="297" t="s">
        <v>994</v>
      </c>
      <c r="J1304" s="298" t="s">
        <v>155</v>
      </c>
      <c r="K1304" s="299" t="s">
        <v>2181</v>
      </c>
      <c r="L1304" s="3" t="s">
        <v>2190</v>
      </c>
      <c r="M1304" s="51" t="str">
        <f t="shared" si="1549"/>
        <v>JD8T -14014 -FA </v>
      </c>
      <c r="O1304" s="89">
        <v>0</v>
      </c>
      <c r="P1304" s="89">
        <v>0</v>
      </c>
      <c r="Q1304" s="89">
        <v>0</v>
      </c>
      <c r="R1304" s="89">
        <v>0</v>
      </c>
      <c r="S1304" s="89">
        <v>0</v>
      </c>
      <c r="T1304" s="89">
        <v>0</v>
      </c>
      <c r="U1304" s="89">
        <v>1</v>
      </c>
      <c r="V1304" s="89">
        <v>0</v>
      </c>
      <c r="W1304" s="164">
        <f t="shared" si="1516"/>
        <v>0.05</v>
      </c>
      <c r="Y1304" s="8">
        <v>-563.99</v>
      </c>
      <c r="Z1304" s="63">
        <v>-0.82</v>
      </c>
      <c r="AA1304" s="63">
        <v>-0.7</v>
      </c>
      <c r="AB1304" s="63">
        <v>0</v>
      </c>
      <c r="AC1304" s="63">
        <v>0</v>
      </c>
      <c r="AD1304" s="8">
        <f t="shared" si="1645"/>
        <v>-565.5100000000001</v>
      </c>
      <c r="AE1304" s="2" t="s">
        <v>84</v>
      </c>
      <c r="AG1304" s="300"/>
      <c r="AH1304" s="300"/>
      <c r="AJ1304" s="300"/>
      <c r="AK1304" s="176"/>
      <c r="AM1304" s="22"/>
      <c r="AO1304" s="298" t="s">
        <v>1735</v>
      </c>
      <c r="AP1304" s="297" t="s">
        <v>2181</v>
      </c>
      <c r="AQ1304" s="3" t="s">
        <v>2189</v>
      </c>
      <c r="AR1304" s="90" t="str">
        <f t="shared" si="1566"/>
        <v>ED8T -14014 -GC </v>
      </c>
      <c r="AT1304" s="89">
        <v>0</v>
      </c>
      <c r="AU1304" s="89">
        <v>0</v>
      </c>
      <c r="AV1304" s="89">
        <v>0</v>
      </c>
      <c r="AW1304" s="89">
        <v>0</v>
      </c>
      <c r="AX1304" s="89">
        <v>0</v>
      </c>
      <c r="AY1304" s="89">
        <v>0</v>
      </c>
      <c r="AZ1304" s="89">
        <v>1</v>
      </c>
      <c r="BA1304" s="89">
        <v>0</v>
      </c>
      <c r="BB1304" s="89">
        <f t="shared" si="1511"/>
        <v>0.05</v>
      </c>
      <c r="BD1304" s="60">
        <v>-524.16</v>
      </c>
      <c r="BE1304" s="63">
        <v>-0.82</v>
      </c>
      <c r="BF1304" s="63">
        <v>-0.7</v>
      </c>
      <c r="BG1304" s="63">
        <v>0</v>
      </c>
      <c r="BH1304" s="63">
        <v>0</v>
      </c>
      <c r="BI1304" s="8">
        <f t="shared" si="1646"/>
        <v>-525.68000000000006</v>
      </c>
      <c r="BJ1304" s="2" t="s">
        <v>84</v>
      </c>
      <c r="BL1304" s="63"/>
      <c r="BM1304" s="63">
        <v>0</v>
      </c>
      <c r="BN1304" s="267"/>
      <c r="BO1304" s="63">
        <v>0</v>
      </c>
      <c r="BP1304" s="63">
        <v>0</v>
      </c>
      <c r="BQ1304" s="2">
        <v>0</v>
      </c>
      <c r="BS1304" s="61">
        <f t="shared" si="1632"/>
        <v>-39.830000000000041</v>
      </c>
      <c r="BT1304" s="61">
        <f t="shared" si="1633"/>
        <v>0</v>
      </c>
      <c r="BU1304" s="61">
        <f t="shared" si="1634"/>
        <v>0</v>
      </c>
      <c r="BV1304" s="61">
        <f t="shared" si="1634"/>
        <v>0</v>
      </c>
      <c r="BW1304" s="61">
        <f t="shared" si="1634"/>
        <v>0</v>
      </c>
      <c r="BX1304" s="63">
        <f t="shared" si="1634"/>
        <v>-39.830000000000041</v>
      </c>
      <c r="BY1304" s="61" t="s">
        <v>91</v>
      </c>
      <c r="CA1304" s="61">
        <f t="shared" si="1622"/>
        <v>0</v>
      </c>
      <c r="CB1304" s="61">
        <f t="shared" si="1622"/>
        <v>0</v>
      </c>
      <c r="CC1304" s="61">
        <f t="shared" si="1622"/>
        <v>0</v>
      </c>
      <c r="CD1304" s="61">
        <f t="shared" si="1622"/>
        <v>0</v>
      </c>
      <c r="CE1304" s="61">
        <f t="shared" si="1622"/>
        <v>0</v>
      </c>
      <c r="CF1304" s="61">
        <f t="shared" si="1622"/>
        <v>0</v>
      </c>
      <c r="CG1304" s="61">
        <f t="shared" si="1622"/>
        <v>-5.9921769219196692</v>
      </c>
      <c r="CH1304" s="61">
        <f t="shared" si="1647"/>
        <v>0</v>
      </c>
      <c r="CI1304" s="61">
        <f t="shared" si="1561"/>
        <v>-0.29960884609598348</v>
      </c>
      <c r="CJ1304" s="267"/>
      <c r="CK1304" s="61">
        <f t="shared" si="1623"/>
        <v>0</v>
      </c>
      <c r="CL1304" s="61">
        <f t="shared" si="1619"/>
        <v>0</v>
      </c>
      <c r="CM1304" s="61">
        <f t="shared" si="1619"/>
        <v>0</v>
      </c>
      <c r="CN1304" s="61">
        <f t="shared" si="1619"/>
        <v>0</v>
      </c>
      <c r="CO1304" s="61">
        <f t="shared" si="1619"/>
        <v>0</v>
      </c>
      <c r="CP1304" s="61">
        <f t="shared" si="1619"/>
        <v>0</v>
      </c>
      <c r="CQ1304" s="61">
        <f t="shared" si="1619"/>
        <v>-5.9921769219196692</v>
      </c>
      <c r="CR1304" s="61">
        <f t="shared" si="1619"/>
        <v>0</v>
      </c>
      <c r="CS1304" s="61">
        <f t="shared" si="1562"/>
        <v>-0.29960884609598348</v>
      </c>
      <c r="CT1304" s="63">
        <f t="shared" si="1569"/>
        <v>-1.9915000000000023</v>
      </c>
      <c r="CU1304" s="73"/>
      <c r="CV1304" s="61">
        <f t="shared" si="1644"/>
        <v>0</v>
      </c>
      <c r="CW1304" s="61">
        <f t="shared" si="1564"/>
        <v>0</v>
      </c>
      <c r="CY1304" s="61">
        <f t="shared" si="1639"/>
        <v>0</v>
      </c>
      <c r="CZ1304" s="61">
        <f t="shared" si="1639"/>
        <v>0</v>
      </c>
      <c r="DA1304" s="61">
        <f t="shared" si="1639"/>
        <v>0</v>
      </c>
      <c r="DB1304" s="2" t="s">
        <v>86</v>
      </c>
      <c r="DC1304" s="2" t="s">
        <v>86</v>
      </c>
      <c r="DD1304" s="2" t="s">
        <v>87</v>
      </c>
      <c r="DE1304" s="2" t="s">
        <v>106</v>
      </c>
      <c r="DF1304" s="3" t="s">
        <v>86</v>
      </c>
      <c r="DG1304" s="62">
        <v>43111</v>
      </c>
      <c r="EC1304" s="60" t="str">
        <f>VLOOKUP($M1304,[1]Detail!$M:$BO,1,0)</f>
        <v>JD8T -14014 -FA </v>
      </c>
      <c r="ED1304" s="60">
        <f>VLOOKUP($M1304,[1]Detail!$M:$BO,22,0)</f>
        <v>-565.5100000000001</v>
      </c>
      <c r="EE1304" s="60">
        <f>VLOOKUP($M1304,[1]Detail!$M:$BO,42,0)</f>
        <v>0</v>
      </c>
      <c r="EF1304" s="60">
        <f>VLOOKUP($M1304,[1]Detail!$M:$BO,45,0)</f>
        <v>0</v>
      </c>
      <c r="EH1304" s="60">
        <f t="shared" si="1640"/>
        <v>0</v>
      </c>
      <c r="EI1304" s="60">
        <f t="shared" si="1641"/>
        <v>0</v>
      </c>
      <c r="EJ1304" s="60">
        <f t="shared" si="1642"/>
        <v>0</v>
      </c>
    </row>
    <row r="1305" spans="2:140" ht="12.75" hidden="1" customHeight="1">
      <c r="B1305" s="1" t="s">
        <v>2176</v>
      </c>
      <c r="C1305" s="22" t="s">
        <v>2177</v>
      </c>
      <c r="D1305" s="149" t="s">
        <v>2178</v>
      </c>
      <c r="E1305" s="86" t="s">
        <v>1591</v>
      </c>
      <c r="F1305" s="85" t="s">
        <v>2072</v>
      </c>
      <c r="G1305" s="297" t="s">
        <v>994</v>
      </c>
      <c r="J1305" s="298" t="s">
        <v>155</v>
      </c>
      <c r="K1305" s="299" t="s">
        <v>2181</v>
      </c>
      <c r="L1305" s="3" t="s">
        <v>1593</v>
      </c>
      <c r="M1305" s="51" t="str">
        <f t="shared" si="1549"/>
        <v>JD8T -14014 -GA </v>
      </c>
      <c r="O1305" s="89">
        <v>1</v>
      </c>
      <c r="P1305" s="89">
        <v>1</v>
      </c>
      <c r="Q1305" s="89">
        <v>0</v>
      </c>
      <c r="R1305" s="89">
        <v>0</v>
      </c>
      <c r="S1305" s="89">
        <v>0</v>
      </c>
      <c r="T1305" s="89">
        <v>0</v>
      </c>
      <c r="U1305" s="89">
        <v>0</v>
      </c>
      <c r="V1305" s="89">
        <v>0</v>
      </c>
      <c r="W1305" s="164">
        <f t="shared" si="1516"/>
        <v>0.30000000000000004</v>
      </c>
      <c r="Y1305" s="8">
        <v>-427.8</v>
      </c>
      <c r="Z1305" s="63">
        <v>-0.82</v>
      </c>
      <c r="AA1305" s="63">
        <v>-0.7</v>
      </c>
      <c r="AB1305" s="63">
        <v>0</v>
      </c>
      <c r="AC1305" s="63">
        <v>0</v>
      </c>
      <c r="AD1305" s="8">
        <f t="shared" si="1645"/>
        <v>-429.32</v>
      </c>
      <c r="AE1305" s="2" t="s">
        <v>84</v>
      </c>
      <c r="AG1305" s="300"/>
      <c r="AH1305" s="300"/>
      <c r="AJ1305" s="300"/>
      <c r="AK1305" s="176"/>
      <c r="AM1305" s="22"/>
      <c r="AO1305" s="298" t="s">
        <v>1735</v>
      </c>
      <c r="AP1305" s="297" t="s">
        <v>2181</v>
      </c>
      <c r="AQ1305" s="3" t="s">
        <v>2180</v>
      </c>
      <c r="AR1305" s="90" t="str">
        <f t="shared" si="1566"/>
        <v>ED8T -14014 -HB </v>
      </c>
      <c r="AT1305" s="89">
        <v>1</v>
      </c>
      <c r="AU1305" s="89">
        <v>1</v>
      </c>
      <c r="AV1305" s="89">
        <v>0</v>
      </c>
      <c r="AW1305" s="89">
        <v>0</v>
      </c>
      <c r="AX1305" s="89">
        <v>0</v>
      </c>
      <c r="AY1305" s="89">
        <v>0</v>
      </c>
      <c r="AZ1305" s="89">
        <v>0</v>
      </c>
      <c r="BA1305" s="89">
        <v>0</v>
      </c>
      <c r="BB1305" s="89">
        <f t="shared" si="1511"/>
        <v>0.30000000000000004</v>
      </c>
      <c r="BD1305" s="60">
        <v>-521.54</v>
      </c>
      <c r="BE1305" s="63">
        <v>-0.82</v>
      </c>
      <c r="BF1305" s="63">
        <v>-0.7</v>
      </c>
      <c r="BG1305" s="63">
        <v>0</v>
      </c>
      <c r="BH1305" s="63">
        <v>0</v>
      </c>
      <c r="BI1305" s="8">
        <f t="shared" si="1646"/>
        <v>-523.06000000000006</v>
      </c>
      <c r="BJ1305" s="2" t="s">
        <v>84</v>
      </c>
      <c r="BL1305" s="63"/>
      <c r="BM1305" s="63">
        <v>0</v>
      </c>
      <c r="BN1305" s="267"/>
      <c r="BO1305" s="63">
        <v>0</v>
      </c>
      <c r="BP1305" s="63">
        <v>0</v>
      </c>
      <c r="BQ1305" s="2">
        <v>0</v>
      </c>
      <c r="BS1305" s="61">
        <f t="shared" si="1632"/>
        <v>93.739999999999952</v>
      </c>
      <c r="BT1305" s="61">
        <f t="shared" si="1633"/>
        <v>0</v>
      </c>
      <c r="BU1305" s="61">
        <f t="shared" si="1634"/>
        <v>0</v>
      </c>
      <c r="BV1305" s="61">
        <f t="shared" si="1634"/>
        <v>0</v>
      </c>
      <c r="BW1305" s="61">
        <f t="shared" si="1634"/>
        <v>0</v>
      </c>
      <c r="BX1305" s="63">
        <f t="shared" si="1634"/>
        <v>93.740000000000066</v>
      </c>
      <c r="BY1305" s="61" t="s">
        <v>91</v>
      </c>
      <c r="CA1305" s="61">
        <f t="shared" si="1622"/>
        <v>14.102602677899796</v>
      </c>
      <c r="CB1305" s="61">
        <f t="shared" si="1622"/>
        <v>14.102602677899796</v>
      </c>
      <c r="CC1305" s="61">
        <f t="shared" si="1622"/>
        <v>0</v>
      </c>
      <c r="CD1305" s="61">
        <f t="shared" si="1622"/>
        <v>0</v>
      </c>
      <c r="CE1305" s="61">
        <f t="shared" si="1622"/>
        <v>0</v>
      </c>
      <c r="CF1305" s="61">
        <f t="shared" si="1622"/>
        <v>0</v>
      </c>
      <c r="CG1305" s="61">
        <f t="shared" si="1622"/>
        <v>0</v>
      </c>
      <c r="CH1305" s="61">
        <f t="shared" si="1647"/>
        <v>0</v>
      </c>
      <c r="CI1305" s="61">
        <f t="shared" si="1561"/>
        <v>4.2307808033699388</v>
      </c>
      <c r="CJ1305" s="267"/>
      <c r="CK1305" s="61">
        <f t="shared" si="1623"/>
        <v>14.102602677899814</v>
      </c>
      <c r="CL1305" s="61">
        <f t="shared" si="1619"/>
        <v>14.102602677899814</v>
      </c>
      <c r="CM1305" s="61">
        <f t="shared" si="1619"/>
        <v>0</v>
      </c>
      <c r="CN1305" s="61">
        <f t="shared" si="1619"/>
        <v>0</v>
      </c>
      <c r="CO1305" s="61">
        <f t="shared" si="1619"/>
        <v>0</v>
      </c>
      <c r="CP1305" s="61">
        <f t="shared" si="1619"/>
        <v>0</v>
      </c>
      <c r="CQ1305" s="61">
        <f t="shared" si="1619"/>
        <v>0</v>
      </c>
      <c r="CR1305" s="61">
        <f t="shared" si="1619"/>
        <v>0</v>
      </c>
      <c r="CS1305" s="61">
        <f t="shared" si="1562"/>
        <v>4.2307808033699441</v>
      </c>
      <c r="CT1305" s="63">
        <f t="shared" si="1569"/>
        <v>28.122000000000021</v>
      </c>
      <c r="CU1305" s="73"/>
      <c r="CV1305" s="61">
        <f t="shared" si="1644"/>
        <v>0</v>
      </c>
      <c r="CW1305" s="61">
        <f t="shared" si="1564"/>
        <v>0</v>
      </c>
      <c r="CY1305" s="61">
        <f t="shared" si="1639"/>
        <v>0</v>
      </c>
      <c r="CZ1305" s="61">
        <f t="shared" si="1639"/>
        <v>0</v>
      </c>
      <c r="DA1305" s="61">
        <f t="shared" si="1639"/>
        <v>0</v>
      </c>
      <c r="DB1305" s="2" t="s">
        <v>86</v>
      </c>
      <c r="DC1305" s="2" t="s">
        <v>86</v>
      </c>
      <c r="DD1305" s="2" t="s">
        <v>87</v>
      </c>
      <c r="DE1305" s="2" t="s">
        <v>106</v>
      </c>
      <c r="DF1305" s="3" t="s">
        <v>86</v>
      </c>
      <c r="DG1305" s="62">
        <v>43084</v>
      </c>
      <c r="EC1305" s="60" t="str">
        <f>VLOOKUP($M1305,[1]Detail!$M:$BO,1,0)</f>
        <v>JD8T -14014 -GA </v>
      </c>
      <c r="ED1305" s="60">
        <f>VLOOKUP($M1305,[1]Detail!$M:$BO,22,0)</f>
        <v>-429.32</v>
      </c>
      <c r="EE1305" s="60">
        <f>VLOOKUP($M1305,[1]Detail!$M:$BO,42,0)</f>
        <v>0</v>
      </c>
      <c r="EF1305" s="60">
        <f>VLOOKUP($M1305,[1]Detail!$M:$BO,45,0)</f>
        <v>0</v>
      </c>
      <c r="EH1305" s="60">
        <f t="shared" si="1640"/>
        <v>0</v>
      </c>
      <c r="EI1305" s="60">
        <f t="shared" si="1641"/>
        <v>0</v>
      </c>
      <c r="EJ1305" s="60">
        <f t="shared" si="1642"/>
        <v>0</v>
      </c>
    </row>
    <row r="1306" spans="2:140" ht="12.75" hidden="1" customHeight="1">
      <c r="B1306" s="1" t="s">
        <v>2176</v>
      </c>
      <c r="C1306" s="22" t="s">
        <v>2177</v>
      </c>
      <c r="D1306" s="149" t="s">
        <v>2178</v>
      </c>
      <c r="E1306" s="86" t="s">
        <v>1591</v>
      </c>
      <c r="F1306" s="85" t="s">
        <v>2072</v>
      </c>
      <c r="G1306" s="297" t="s">
        <v>994</v>
      </c>
      <c r="J1306" s="298" t="s">
        <v>155</v>
      </c>
      <c r="K1306" s="299" t="s">
        <v>2181</v>
      </c>
      <c r="L1306" s="3" t="s">
        <v>2191</v>
      </c>
      <c r="M1306" s="51" t="str">
        <f t="shared" si="1549"/>
        <v>JD8T -14014 -HA </v>
      </c>
      <c r="O1306" s="89">
        <v>0</v>
      </c>
      <c r="P1306" s="89">
        <v>1</v>
      </c>
      <c r="Q1306" s="89">
        <v>0</v>
      </c>
      <c r="R1306" s="89">
        <v>0</v>
      </c>
      <c r="S1306" s="89">
        <v>1</v>
      </c>
      <c r="T1306" s="89">
        <v>0</v>
      </c>
      <c r="U1306" s="89">
        <v>0</v>
      </c>
      <c r="V1306" s="89">
        <v>0</v>
      </c>
      <c r="W1306" s="164">
        <f t="shared" si="1516"/>
        <v>0.25</v>
      </c>
      <c r="Y1306" s="8">
        <v>-495.7</v>
      </c>
      <c r="Z1306" s="63">
        <v>-0.82</v>
      </c>
      <c r="AA1306" s="63">
        <v>-0.7</v>
      </c>
      <c r="AB1306" s="63">
        <v>0</v>
      </c>
      <c r="AC1306" s="63">
        <v>0</v>
      </c>
      <c r="AD1306" s="8">
        <f t="shared" si="1645"/>
        <v>-497.21999999999997</v>
      </c>
      <c r="AE1306" s="2" t="s">
        <v>84</v>
      </c>
      <c r="AG1306" s="300"/>
      <c r="AH1306" s="300"/>
      <c r="AJ1306" s="300"/>
      <c r="AK1306" s="176"/>
      <c r="AM1306" s="22"/>
      <c r="AO1306" s="298" t="s">
        <v>1735</v>
      </c>
      <c r="AP1306" s="297" t="s">
        <v>2181</v>
      </c>
      <c r="AQ1306" s="3" t="s">
        <v>2183</v>
      </c>
      <c r="AR1306" s="90" t="str">
        <f t="shared" si="1566"/>
        <v>ED8T -14014 -JB </v>
      </c>
      <c r="AT1306" s="89">
        <v>0</v>
      </c>
      <c r="AU1306" s="89">
        <v>1</v>
      </c>
      <c r="AV1306" s="89">
        <v>0</v>
      </c>
      <c r="AW1306" s="89">
        <v>0</v>
      </c>
      <c r="AX1306" s="89">
        <v>1</v>
      </c>
      <c r="AY1306" s="89">
        <v>0</v>
      </c>
      <c r="AZ1306" s="89">
        <v>0</v>
      </c>
      <c r="BA1306" s="89">
        <v>0</v>
      </c>
      <c r="BB1306" s="89">
        <f t="shared" si="1511"/>
        <v>0.25</v>
      </c>
      <c r="BD1306" s="60">
        <v>-524.16</v>
      </c>
      <c r="BE1306" s="63">
        <v>-0.82</v>
      </c>
      <c r="BF1306" s="63">
        <v>-0.7</v>
      </c>
      <c r="BG1306" s="63">
        <v>0</v>
      </c>
      <c r="BH1306" s="63">
        <v>0</v>
      </c>
      <c r="BI1306" s="8">
        <f t="shared" si="1646"/>
        <v>-525.68000000000006</v>
      </c>
      <c r="BJ1306" s="2" t="s">
        <v>84</v>
      </c>
      <c r="BL1306" s="63"/>
      <c r="BM1306" s="63">
        <v>0</v>
      </c>
      <c r="BN1306" s="267"/>
      <c r="BO1306" s="63">
        <v>0</v>
      </c>
      <c r="BP1306" s="63">
        <v>0</v>
      </c>
      <c r="BQ1306" s="2">
        <v>0</v>
      </c>
      <c r="BS1306" s="61">
        <f t="shared" si="1632"/>
        <v>28.45999999999998</v>
      </c>
      <c r="BT1306" s="61">
        <f t="shared" si="1633"/>
        <v>0</v>
      </c>
      <c r="BU1306" s="61">
        <f t="shared" si="1634"/>
        <v>0</v>
      </c>
      <c r="BV1306" s="61">
        <f t="shared" si="1634"/>
        <v>0</v>
      </c>
      <c r="BW1306" s="61">
        <f t="shared" si="1634"/>
        <v>0</v>
      </c>
      <c r="BX1306" s="63">
        <f t="shared" si="1634"/>
        <v>28.460000000000093</v>
      </c>
      <c r="BY1306" s="61" t="s">
        <v>91</v>
      </c>
      <c r="CA1306" s="61">
        <f t="shared" si="1622"/>
        <v>0</v>
      </c>
      <c r="CB1306" s="61">
        <f t="shared" si="1622"/>
        <v>4.2816308108921284</v>
      </c>
      <c r="CC1306" s="61">
        <f t="shared" si="1622"/>
        <v>0</v>
      </c>
      <c r="CD1306" s="61">
        <f t="shared" si="1622"/>
        <v>0</v>
      </c>
      <c r="CE1306" s="61">
        <f t="shared" si="1622"/>
        <v>4.2816308108921284</v>
      </c>
      <c r="CF1306" s="61">
        <f t="shared" si="1622"/>
        <v>0</v>
      </c>
      <c r="CG1306" s="61">
        <f t="shared" si="1622"/>
        <v>0</v>
      </c>
      <c r="CH1306" s="61">
        <f t="shared" si="1647"/>
        <v>0</v>
      </c>
      <c r="CI1306" s="61">
        <f t="shared" si="1561"/>
        <v>1.0704077027230321</v>
      </c>
      <c r="CJ1306" s="267"/>
      <c r="CK1306" s="61">
        <f t="shared" si="1623"/>
        <v>0</v>
      </c>
      <c r="CL1306" s="61">
        <f t="shared" si="1619"/>
        <v>4.2816308108921453</v>
      </c>
      <c r="CM1306" s="61">
        <f t="shared" si="1619"/>
        <v>0</v>
      </c>
      <c r="CN1306" s="61">
        <f t="shared" si="1619"/>
        <v>0</v>
      </c>
      <c r="CO1306" s="61">
        <f t="shared" si="1619"/>
        <v>4.2816308108921453</v>
      </c>
      <c r="CP1306" s="61">
        <f t="shared" si="1619"/>
        <v>0</v>
      </c>
      <c r="CQ1306" s="61">
        <f t="shared" si="1619"/>
        <v>0</v>
      </c>
      <c r="CR1306" s="61">
        <f t="shared" si="1619"/>
        <v>0</v>
      </c>
      <c r="CS1306" s="61">
        <f t="shared" si="1562"/>
        <v>1.0704077027230363</v>
      </c>
      <c r="CT1306" s="63">
        <f t="shared" si="1569"/>
        <v>7.1150000000000224</v>
      </c>
      <c r="CU1306" s="73"/>
      <c r="CV1306" s="61">
        <f t="shared" si="1644"/>
        <v>0</v>
      </c>
      <c r="CW1306" s="61">
        <f t="shared" si="1564"/>
        <v>0</v>
      </c>
      <c r="CY1306" s="61">
        <f t="shared" si="1639"/>
        <v>0</v>
      </c>
      <c r="CZ1306" s="61">
        <f t="shared" si="1639"/>
        <v>0</v>
      </c>
      <c r="DA1306" s="61">
        <f t="shared" si="1639"/>
        <v>0</v>
      </c>
      <c r="DB1306" s="2" t="s">
        <v>86</v>
      </c>
      <c r="DC1306" s="2" t="s">
        <v>86</v>
      </c>
      <c r="DD1306" s="2" t="s">
        <v>87</v>
      </c>
      <c r="DE1306" s="2" t="s">
        <v>106</v>
      </c>
      <c r="DF1306" s="3" t="s">
        <v>86</v>
      </c>
      <c r="DG1306" s="62">
        <v>43111</v>
      </c>
      <c r="EC1306" s="60" t="str">
        <f>VLOOKUP($M1306,[1]Detail!$M:$BO,1,0)</f>
        <v>JD8T -14014 -HA </v>
      </c>
      <c r="ED1306" s="60">
        <f>VLOOKUP($M1306,[1]Detail!$M:$BO,22,0)</f>
        <v>-497.21999999999997</v>
      </c>
      <c r="EE1306" s="60">
        <f>VLOOKUP($M1306,[1]Detail!$M:$BO,42,0)</f>
        <v>0</v>
      </c>
      <c r="EF1306" s="60">
        <f>VLOOKUP($M1306,[1]Detail!$M:$BO,45,0)</f>
        <v>0</v>
      </c>
      <c r="EH1306" s="60">
        <f t="shared" si="1640"/>
        <v>0</v>
      </c>
      <c r="EI1306" s="60">
        <f t="shared" si="1641"/>
        <v>0</v>
      </c>
      <c r="EJ1306" s="60">
        <f t="shared" si="1642"/>
        <v>0</v>
      </c>
    </row>
    <row r="1307" spans="2:140" ht="12.75" hidden="1" customHeight="1">
      <c r="B1307" s="1" t="s">
        <v>2176</v>
      </c>
      <c r="C1307" s="22" t="s">
        <v>2177</v>
      </c>
      <c r="D1307" s="149" t="s">
        <v>2178</v>
      </c>
      <c r="E1307" s="86" t="s">
        <v>1591</v>
      </c>
      <c r="F1307" s="85" t="s">
        <v>2072</v>
      </c>
      <c r="G1307" s="297" t="s">
        <v>994</v>
      </c>
      <c r="J1307" s="298" t="s">
        <v>155</v>
      </c>
      <c r="K1307" s="299" t="s">
        <v>2181</v>
      </c>
      <c r="L1307" s="3" t="s">
        <v>2192</v>
      </c>
      <c r="M1307" s="51" t="str">
        <f t="shared" si="1549"/>
        <v>JD8T -14014 -JA </v>
      </c>
      <c r="O1307" s="89">
        <v>0</v>
      </c>
      <c r="P1307" s="89">
        <v>0</v>
      </c>
      <c r="Q1307" s="89">
        <v>1</v>
      </c>
      <c r="R1307" s="89">
        <v>0</v>
      </c>
      <c r="S1307" s="89">
        <v>0</v>
      </c>
      <c r="T1307" s="89">
        <v>0</v>
      </c>
      <c r="U1307" s="89">
        <v>0</v>
      </c>
      <c r="V1307" s="89">
        <v>0</v>
      </c>
      <c r="W1307" s="164">
        <f t="shared" si="1516"/>
        <v>0.14000000000000001</v>
      </c>
      <c r="Y1307" s="8">
        <v>-511.82</v>
      </c>
      <c r="Z1307" s="63">
        <v>-0.82</v>
      </c>
      <c r="AA1307" s="63">
        <v>-0.7</v>
      </c>
      <c r="AB1307" s="63">
        <v>0</v>
      </c>
      <c r="AC1307" s="63">
        <v>0</v>
      </c>
      <c r="AD1307" s="8">
        <f t="shared" si="1645"/>
        <v>-513.34</v>
      </c>
      <c r="AE1307" s="2" t="s">
        <v>84</v>
      </c>
      <c r="AG1307" s="300"/>
      <c r="AH1307" s="300"/>
      <c r="AJ1307" s="300"/>
      <c r="AK1307" s="176"/>
      <c r="AM1307" s="22"/>
      <c r="AO1307" s="298" t="s">
        <v>1735</v>
      </c>
      <c r="AP1307" s="297" t="s">
        <v>2181</v>
      </c>
      <c r="AQ1307" s="3" t="s">
        <v>2185</v>
      </c>
      <c r="AR1307" s="90" t="str">
        <f t="shared" si="1566"/>
        <v>ED8T -14014 -FC </v>
      </c>
      <c r="AT1307" s="89">
        <v>0</v>
      </c>
      <c r="AU1307" s="89">
        <v>0</v>
      </c>
      <c r="AV1307" s="89">
        <v>1</v>
      </c>
      <c r="AW1307" s="89">
        <v>0</v>
      </c>
      <c r="AX1307" s="89">
        <v>0</v>
      </c>
      <c r="AY1307" s="89">
        <v>0</v>
      </c>
      <c r="AZ1307" s="89">
        <v>0</v>
      </c>
      <c r="BA1307" s="89">
        <v>0</v>
      </c>
      <c r="BB1307" s="89">
        <f t="shared" si="1511"/>
        <v>0.14000000000000001</v>
      </c>
      <c r="BD1307" s="60">
        <v>-524.16</v>
      </c>
      <c r="BE1307" s="63">
        <v>-0.82</v>
      </c>
      <c r="BF1307" s="63">
        <v>-0.7</v>
      </c>
      <c r="BG1307" s="63">
        <v>0</v>
      </c>
      <c r="BH1307" s="63">
        <v>0</v>
      </c>
      <c r="BI1307" s="8">
        <f t="shared" si="1646"/>
        <v>-525.68000000000006</v>
      </c>
      <c r="BJ1307" s="2" t="s">
        <v>84</v>
      </c>
      <c r="BL1307" s="63"/>
      <c r="BM1307" s="63">
        <v>0</v>
      </c>
      <c r="BN1307" s="267"/>
      <c r="BO1307" s="63">
        <v>0</v>
      </c>
      <c r="BP1307" s="63">
        <v>0</v>
      </c>
      <c r="BQ1307" s="2">
        <v>0</v>
      </c>
      <c r="BS1307" s="61">
        <f t="shared" si="1632"/>
        <v>12.339999999999975</v>
      </c>
      <c r="BT1307" s="61">
        <f t="shared" si="1633"/>
        <v>0</v>
      </c>
      <c r="BU1307" s="61">
        <f t="shared" si="1634"/>
        <v>0</v>
      </c>
      <c r="BV1307" s="61">
        <f t="shared" si="1634"/>
        <v>0</v>
      </c>
      <c r="BW1307" s="61">
        <f t="shared" si="1634"/>
        <v>0</v>
      </c>
      <c r="BX1307" s="63">
        <f t="shared" si="1634"/>
        <v>12.340000000000032</v>
      </c>
      <c r="BY1307" s="61" t="s">
        <v>91</v>
      </c>
      <c r="CA1307" s="61">
        <f t="shared" si="1622"/>
        <v>0</v>
      </c>
      <c r="CB1307" s="61">
        <f t="shared" si="1622"/>
        <v>0</v>
      </c>
      <c r="CC1307" s="61">
        <f t="shared" si="1622"/>
        <v>1.8564766059876598</v>
      </c>
      <c r="CD1307" s="61">
        <f t="shared" si="1622"/>
        <v>0</v>
      </c>
      <c r="CE1307" s="61">
        <f t="shared" si="1622"/>
        <v>0</v>
      </c>
      <c r="CF1307" s="61">
        <f t="shared" si="1622"/>
        <v>0</v>
      </c>
      <c r="CG1307" s="61">
        <f t="shared" si="1622"/>
        <v>0</v>
      </c>
      <c r="CH1307" s="61">
        <f t="shared" si="1647"/>
        <v>0</v>
      </c>
      <c r="CI1307" s="61">
        <f t="shared" si="1561"/>
        <v>0.25990672483827243</v>
      </c>
      <c r="CJ1307" s="267"/>
      <c r="CK1307" s="61">
        <f t="shared" si="1623"/>
        <v>0</v>
      </c>
      <c r="CL1307" s="61">
        <f t="shared" si="1619"/>
        <v>0</v>
      </c>
      <c r="CM1307" s="61">
        <f t="shared" si="1619"/>
        <v>1.8564766059876683</v>
      </c>
      <c r="CN1307" s="61">
        <f t="shared" si="1619"/>
        <v>0</v>
      </c>
      <c r="CO1307" s="61">
        <f t="shared" si="1619"/>
        <v>0</v>
      </c>
      <c r="CP1307" s="61">
        <f t="shared" si="1619"/>
        <v>0</v>
      </c>
      <c r="CQ1307" s="61">
        <f t="shared" si="1619"/>
        <v>0</v>
      </c>
      <c r="CR1307" s="61">
        <f t="shared" si="1619"/>
        <v>0</v>
      </c>
      <c r="CS1307" s="61">
        <f t="shared" si="1562"/>
        <v>0.2599067248382736</v>
      </c>
      <c r="CT1307" s="63">
        <f t="shared" si="1569"/>
        <v>1.7276000000000047</v>
      </c>
      <c r="CU1307" s="73"/>
      <c r="CV1307" s="61">
        <f t="shared" si="1644"/>
        <v>0</v>
      </c>
      <c r="CW1307" s="61">
        <f t="shared" si="1564"/>
        <v>0</v>
      </c>
      <c r="CY1307" s="61">
        <f t="shared" si="1639"/>
        <v>0</v>
      </c>
      <c r="CZ1307" s="61">
        <f t="shared" si="1639"/>
        <v>0</v>
      </c>
      <c r="DA1307" s="61">
        <f t="shared" si="1639"/>
        <v>0</v>
      </c>
      <c r="DB1307" s="2" t="s">
        <v>86</v>
      </c>
      <c r="DC1307" s="2" t="s">
        <v>86</v>
      </c>
      <c r="DD1307" s="2" t="s">
        <v>87</v>
      </c>
      <c r="DE1307" s="2" t="s">
        <v>106</v>
      </c>
      <c r="DF1307" s="3" t="s">
        <v>86</v>
      </c>
      <c r="DG1307" s="62">
        <v>43111</v>
      </c>
      <c r="EC1307" s="60" t="str">
        <f>VLOOKUP($M1307,[1]Detail!$M:$BO,1,0)</f>
        <v>JD8T -14014 -JA </v>
      </c>
      <c r="ED1307" s="60">
        <f>VLOOKUP($M1307,[1]Detail!$M:$BO,22,0)</f>
        <v>-513.34</v>
      </c>
      <c r="EE1307" s="60">
        <f>VLOOKUP($M1307,[1]Detail!$M:$BO,42,0)</f>
        <v>0</v>
      </c>
      <c r="EF1307" s="60">
        <f>VLOOKUP($M1307,[1]Detail!$M:$BO,45,0)</f>
        <v>0</v>
      </c>
      <c r="EH1307" s="60">
        <f t="shared" si="1640"/>
        <v>0</v>
      </c>
      <c r="EI1307" s="60">
        <f t="shared" si="1641"/>
        <v>0</v>
      </c>
      <c r="EJ1307" s="60">
        <f t="shared" si="1642"/>
        <v>0</v>
      </c>
    </row>
    <row r="1308" spans="2:140" ht="12.75" hidden="1" customHeight="1">
      <c r="B1308" s="1" t="s">
        <v>2176</v>
      </c>
      <c r="C1308" s="22" t="s">
        <v>2177</v>
      </c>
      <c r="D1308" s="149" t="s">
        <v>2178</v>
      </c>
      <c r="E1308" s="86" t="s">
        <v>1591</v>
      </c>
      <c r="F1308" s="85" t="s">
        <v>2072</v>
      </c>
      <c r="G1308" s="297" t="s">
        <v>994</v>
      </c>
      <c r="J1308" s="298" t="s">
        <v>155</v>
      </c>
      <c r="K1308" s="299" t="s">
        <v>2181</v>
      </c>
      <c r="L1308" s="3" t="s">
        <v>2193</v>
      </c>
      <c r="M1308" s="51" t="str">
        <f t="shared" si="1549"/>
        <v>JD8T -14014 -KA </v>
      </c>
      <c r="O1308" s="89">
        <v>0</v>
      </c>
      <c r="P1308" s="89">
        <v>0</v>
      </c>
      <c r="Q1308" s="89">
        <v>0</v>
      </c>
      <c r="R1308" s="89">
        <v>1</v>
      </c>
      <c r="S1308" s="89">
        <v>0</v>
      </c>
      <c r="T1308" s="89">
        <v>0</v>
      </c>
      <c r="U1308" s="89">
        <v>0</v>
      </c>
      <c r="V1308" s="89">
        <v>0</v>
      </c>
      <c r="W1308" s="164">
        <f t="shared" si="1516"/>
        <v>0.23</v>
      </c>
      <c r="Y1308" s="8">
        <v>-500.83</v>
      </c>
      <c r="Z1308" s="63">
        <v>-0.82</v>
      </c>
      <c r="AA1308" s="63">
        <v>-0.7</v>
      </c>
      <c r="AB1308" s="63">
        <v>0</v>
      </c>
      <c r="AC1308" s="63">
        <v>0</v>
      </c>
      <c r="AD1308" s="8">
        <f t="shared" si="1645"/>
        <v>-502.34999999999997</v>
      </c>
      <c r="AE1308" s="2" t="s">
        <v>84</v>
      </c>
      <c r="AG1308" s="300"/>
      <c r="AH1308" s="300"/>
      <c r="AJ1308" s="300"/>
      <c r="AK1308" s="176"/>
      <c r="AM1308" s="22"/>
      <c r="AO1308" s="298" t="s">
        <v>1735</v>
      </c>
      <c r="AP1308" s="297" t="s">
        <v>2181</v>
      </c>
      <c r="AQ1308" s="3" t="s">
        <v>2187</v>
      </c>
      <c r="AR1308" s="90" t="str">
        <f t="shared" si="1566"/>
        <v>ED8T -14014 -LB </v>
      </c>
      <c r="AT1308" s="89">
        <v>0</v>
      </c>
      <c r="AU1308" s="89">
        <v>0</v>
      </c>
      <c r="AV1308" s="89">
        <v>0</v>
      </c>
      <c r="AW1308" s="89">
        <v>1</v>
      </c>
      <c r="AX1308" s="89">
        <v>0</v>
      </c>
      <c r="AY1308" s="89">
        <v>0</v>
      </c>
      <c r="AZ1308" s="89">
        <v>0</v>
      </c>
      <c r="BA1308" s="89">
        <v>0</v>
      </c>
      <c r="BB1308" s="89">
        <f t="shared" si="1511"/>
        <v>0.23</v>
      </c>
      <c r="BD1308" s="60">
        <v>-432.81</v>
      </c>
      <c r="BE1308" s="63">
        <v>-0.82</v>
      </c>
      <c r="BF1308" s="63">
        <v>-0.7</v>
      </c>
      <c r="BG1308" s="63">
        <v>0</v>
      </c>
      <c r="BH1308" s="63">
        <v>0</v>
      </c>
      <c r="BI1308" s="8">
        <f t="shared" si="1646"/>
        <v>-434.33</v>
      </c>
      <c r="BJ1308" s="2" t="s">
        <v>84</v>
      </c>
      <c r="BL1308" s="63"/>
      <c r="BM1308" s="63">
        <v>0</v>
      </c>
      <c r="BN1308" s="267"/>
      <c r="BO1308" s="63">
        <v>0</v>
      </c>
      <c r="BP1308" s="63">
        <v>0</v>
      </c>
      <c r="BQ1308" s="2">
        <v>0</v>
      </c>
      <c r="BS1308" s="61">
        <f t="shared" si="1632"/>
        <v>-68.019999999999982</v>
      </c>
      <c r="BT1308" s="61">
        <f t="shared" si="1633"/>
        <v>0</v>
      </c>
      <c r="BU1308" s="61">
        <f t="shared" si="1634"/>
        <v>0</v>
      </c>
      <c r="BV1308" s="61">
        <f t="shared" si="1634"/>
        <v>0</v>
      </c>
      <c r="BW1308" s="61">
        <f t="shared" si="1634"/>
        <v>0</v>
      </c>
      <c r="BX1308" s="63">
        <f t="shared" si="1634"/>
        <v>-68.019999999999982</v>
      </c>
      <c r="BY1308" s="61" t="s">
        <v>91</v>
      </c>
      <c r="CA1308" s="61">
        <f t="shared" si="1622"/>
        <v>0</v>
      </c>
      <c r="CB1308" s="61">
        <f t="shared" si="1622"/>
        <v>0</v>
      </c>
      <c r="CC1308" s="61">
        <f t="shared" si="1622"/>
        <v>0</v>
      </c>
      <c r="CD1308" s="61">
        <f t="shared" si="1622"/>
        <v>-10.233187904317735</v>
      </c>
      <c r="CE1308" s="61">
        <f t="shared" si="1622"/>
        <v>0</v>
      </c>
      <c r="CF1308" s="61">
        <f t="shared" si="1622"/>
        <v>0</v>
      </c>
      <c r="CG1308" s="61">
        <f t="shared" si="1622"/>
        <v>0</v>
      </c>
      <c r="CH1308" s="61">
        <f t="shared" si="1647"/>
        <v>0</v>
      </c>
      <c r="CI1308" s="61">
        <f t="shared" si="1561"/>
        <v>-2.353633217993079</v>
      </c>
      <c r="CJ1308" s="267"/>
      <c r="CK1308" s="61">
        <f t="shared" si="1623"/>
        <v>0</v>
      </c>
      <c r="CL1308" s="61">
        <f t="shared" si="1619"/>
        <v>0</v>
      </c>
      <c r="CM1308" s="61">
        <f t="shared" si="1619"/>
        <v>0</v>
      </c>
      <c r="CN1308" s="61">
        <f t="shared" si="1619"/>
        <v>-10.233187904317735</v>
      </c>
      <c r="CO1308" s="61">
        <f t="shared" si="1619"/>
        <v>0</v>
      </c>
      <c r="CP1308" s="61">
        <f t="shared" si="1619"/>
        <v>0</v>
      </c>
      <c r="CQ1308" s="61">
        <f t="shared" si="1619"/>
        <v>0</v>
      </c>
      <c r="CR1308" s="61">
        <f t="shared" si="1619"/>
        <v>0</v>
      </c>
      <c r="CS1308" s="61">
        <f t="shared" si="1562"/>
        <v>-2.353633217993079</v>
      </c>
      <c r="CT1308" s="63">
        <f t="shared" si="1569"/>
        <v>-15.644599999999997</v>
      </c>
      <c r="CU1308" s="73"/>
      <c r="CV1308" s="61">
        <f t="shared" si="1644"/>
        <v>0</v>
      </c>
      <c r="CW1308" s="61">
        <f t="shared" si="1564"/>
        <v>0</v>
      </c>
      <c r="CY1308" s="61">
        <f t="shared" si="1639"/>
        <v>0</v>
      </c>
      <c r="CZ1308" s="61">
        <f t="shared" si="1639"/>
        <v>0</v>
      </c>
      <c r="DA1308" s="61">
        <f t="shared" si="1639"/>
        <v>0</v>
      </c>
      <c r="DB1308" s="2" t="s">
        <v>86</v>
      </c>
      <c r="DC1308" s="2" t="s">
        <v>86</v>
      </c>
      <c r="DD1308" s="2" t="s">
        <v>87</v>
      </c>
      <c r="DE1308" s="2" t="s">
        <v>106</v>
      </c>
      <c r="DF1308" s="3" t="s">
        <v>86</v>
      </c>
      <c r="DG1308" s="62">
        <v>43111</v>
      </c>
      <c r="EC1308" s="60" t="str">
        <f>VLOOKUP($M1308,[1]Detail!$M:$BO,1,0)</f>
        <v>JD8T -14014 -KA </v>
      </c>
      <c r="ED1308" s="60">
        <f>VLOOKUP($M1308,[1]Detail!$M:$BO,22,0)</f>
        <v>-502.34999999999997</v>
      </c>
      <c r="EE1308" s="60">
        <f>VLOOKUP($M1308,[1]Detail!$M:$BO,42,0)</f>
        <v>0</v>
      </c>
      <c r="EF1308" s="60">
        <f>VLOOKUP($M1308,[1]Detail!$M:$BO,45,0)</f>
        <v>0</v>
      </c>
      <c r="EH1308" s="60">
        <f t="shared" si="1640"/>
        <v>0</v>
      </c>
      <c r="EI1308" s="60">
        <f t="shared" si="1641"/>
        <v>0</v>
      </c>
      <c r="EJ1308" s="60">
        <f t="shared" si="1642"/>
        <v>0</v>
      </c>
    </row>
    <row r="1309" spans="2:140" ht="12.75" hidden="1" customHeight="1">
      <c r="B1309" s="1" t="s">
        <v>2176</v>
      </c>
      <c r="C1309" s="22" t="s">
        <v>2177</v>
      </c>
      <c r="D1309" s="149" t="s">
        <v>2178</v>
      </c>
      <c r="E1309" s="86" t="s">
        <v>1591</v>
      </c>
      <c r="F1309" s="85" t="s">
        <v>2072</v>
      </c>
      <c r="G1309" s="297" t="s">
        <v>994</v>
      </c>
      <c r="J1309" s="298" t="s">
        <v>155</v>
      </c>
      <c r="K1309" s="299" t="s">
        <v>2181</v>
      </c>
      <c r="L1309" s="3" t="s">
        <v>2194</v>
      </c>
      <c r="M1309" s="51" t="str">
        <f t="shared" si="1549"/>
        <v>JD8T -14014 -LA </v>
      </c>
      <c r="O1309" s="89">
        <v>0</v>
      </c>
      <c r="P1309" s="89">
        <v>0</v>
      </c>
      <c r="Q1309" s="89">
        <v>0</v>
      </c>
      <c r="R1309" s="89">
        <v>1</v>
      </c>
      <c r="S1309" s="89">
        <v>0</v>
      </c>
      <c r="T1309" s="89">
        <v>0</v>
      </c>
      <c r="U1309" s="89">
        <v>0</v>
      </c>
      <c r="V1309" s="89">
        <v>0</v>
      </c>
      <c r="W1309" s="164">
        <f t="shared" si="1516"/>
        <v>0.23</v>
      </c>
      <c r="Y1309" s="8">
        <v>-533.89</v>
      </c>
      <c r="Z1309" s="63">
        <v>-0.82</v>
      </c>
      <c r="AA1309" s="63">
        <v>-0.7</v>
      </c>
      <c r="AB1309" s="63">
        <v>0</v>
      </c>
      <c r="AC1309" s="63">
        <v>0</v>
      </c>
      <c r="AD1309" s="8">
        <f t="shared" si="1645"/>
        <v>-535.41000000000008</v>
      </c>
      <c r="AE1309" s="2" t="s">
        <v>84</v>
      </c>
      <c r="AG1309" s="300"/>
      <c r="AH1309" s="300"/>
      <c r="AJ1309" s="300"/>
      <c r="AK1309" s="176"/>
      <c r="AM1309" s="22"/>
      <c r="AO1309" s="298" t="s">
        <v>1735</v>
      </c>
      <c r="AP1309" s="297" t="s">
        <v>2181</v>
      </c>
      <c r="AQ1309" s="3" t="s">
        <v>2189</v>
      </c>
      <c r="AR1309" s="90" t="str">
        <f t="shared" si="1566"/>
        <v>ED8T -14014 -GC </v>
      </c>
      <c r="AT1309" s="89">
        <v>0</v>
      </c>
      <c r="AU1309" s="89">
        <v>0</v>
      </c>
      <c r="AV1309" s="89">
        <v>0</v>
      </c>
      <c r="AW1309" s="89">
        <v>1</v>
      </c>
      <c r="AX1309" s="89">
        <v>0</v>
      </c>
      <c r="AY1309" s="89">
        <v>0</v>
      </c>
      <c r="AZ1309" s="89">
        <v>0</v>
      </c>
      <c r="BA1309" s="89">
        <v>0</v>
      </c>
      <c r="BB1309" s="89">
        <f t="shared" si="1511"/>
        <v>0.23</v>
      </c>
      <c r="BD1309" s="60">
        <v>-34.979999999999997</v>
      </c>
      <c r="BE1309" s="63">
        <v>-0.28000000000000003</v>
      </c>
      <c r="BF1309" s="63">
        <v>-0.28999999999999998</v>
      </c>
      <c r="BG1309" s="63">
        <v>0</v>
      </c>
      <c r="BH1309" s="63">
        <v>0</v>
      </c>
      <c r="BI1309" s="8">
        <f t="shared" si="1646"/>
        <v>-35.549999999999997</v>
      </c>
      <c r="BJ1309" s="2" t="s">
        <v>84</v>
      </c>
      <c r="BL1309" s="63"/>
      <c r="BM1309" s="63">
        <v>0</v>
      </c>
      <c r="BN1309" s="267"/>
      <c r="BO1309" s="63">
        <v>0</v>
      </c>
      <c r="BP1309" s="63">
        <v>0</v>
      </c>
      <c r="BQ1309" s="2">
        <v>0</v>
      </c>
      <c r="BS1309" s="61">
        <f t="shared" si="1632"/>
        <v>-498.90999999999997</v>
      </c>
      <c r="BT1309" s="61">
        <f t="shared" si="1633"/>
        <v>-0.53999999999999992</v>
      </c>
      <c r="BU1309" s="61">
        <f t="shared" si="1634"/>
        <v>-0.41</v>
      </c>
      <c r="BV1309" s="61">
        <f t="shared" si="1634"/>
        <v>0</v>
      </c>
      <c r="BW1309" s="61">
        <f t="shared" si="1634"/>
        <v>0</v>
      </c>
      <c r="BX1309" s="63">
        <f t="shared" si="1634"/>
        <v>-499.86000000000007</v>
      </c>
      <c r="BY1309" s="61" t="s">
        <v>91</v>
      </c>
      <c r="CA1309" s="61">
        <f t="shared" si="1622"/>
        <v>0</v>
      </c>
      <c r="CB1309" s="61">
        <f t="shared" si="1622"/>
        <v>0</v>
      </c>
      <c r="CC1309" s="61">
        <f t="shared" si="1622"/>
        <v>0</v>
      </c>
      <c r="CD1309" s="61">
        <f t="shared" si="1622"/>
        <v>-75.05792086655633</v>
      </c>
      <c r="CE1309" s="61">
        <f t="shared" si="1622"/>
        <v>0</v>
      </c>
      <c r="CF1309" s="61">
        <f t="shared" si="1622"/>
        <v>0</v>
      </c>
      <c r="CG1309" s="61">
        <f t="shared" si="1622"/>
        <v>0</v>
      </c>
      <c r="CH1309" s="61">
        <f t="shared" si="1647"/>
        <v>0</v>
      </c>
      <c r="CI1309" s="61">
        <f t="shared" si="1561"/>
        <v>-17.263321799307956</v>
      </c>
      <c r="CJ1309" s="267"/>
      <c r="CK1309" s="61">
        <f t="shared" si="1623"/>
        <v>0</v>
      </c>
      <c r="CL1309" s="61">
        <f t="shared" si="1619"/>
        <v>0</v>
      </c>
      <c r="CM1309" s="61">
        <f t="shared" si="1619"/>
        <v>0</v>
      </c>
      <c r="CN1309" s="61">
        <f t="shared" si="1619"/>
        <v>-75.200842485331734</v>
      </c>
      <c r="CO1309" s="61">
        <f t="shared" si="1619"/>
        <v>0</v>
      </c>
      <c r="CP1309" s="61">
        <f t="shared" si="1619"/>
        <v>0</v>
      </c>
      <c r="CQ1309" s="61">
        <f t="shared" si="1619"/>
        <v>0</v>
      </c>
      <c r="CR1309" s="61">
        <f t="shared" si="1619"/>
        <v>0</v>
      </c>
      <c r="CS1309" s="61">
        <f t="shared" si="1562"/>
        <v>-17.296193771626299</v>
      </c>
      <c r="CT1309" s="63">
        <f t="shared" si="1569"/>
        <v>-114.96780000000001</v>
      </c>
      <c r="CU1309" s="73"/>
      <c r="CV1309" s="61">
        <f t="shared" si="1644"/>
        <v>0</v>
      </c>
      <c r="CW1309" s="61">
        <f t="shared" si="1564"/>
        <v>0</v>
      </c>
      <c r="CY1309" s="61">
        <f t="shared" si="1639"/>
        <v>0</v>
      </c>
      <c r="CZ1309" s="61">
        <f t="shared" si="1639"/>
        <v>0</v>
      </c>
      <c r="DA1309" s="61">
        <f t="shared" si="1639"/>
        <v>0</v>
      </c>
      <c r="DB1309" s="2" t="s">
        <v>86</v>
      </c>
      <c r="DC1309" s="2" t="s">
        <v>86</v>
      </c>
      <c r="DD1309" s="2" t="s">
        <v>87</v>
      </c>
      <c r="DE1309" s="2" t="s">
        <v>106</v>
      </c>
      <c r="DF1309" s="3" t="s">
        <v>86</v>
      </c>
      <c r="DG1309" s="62">
        <v>43111</v>
      </c>
      <c r="EC1309" s="60" t="str">
        <f>VLOOKUP($M1309,[1]Detail!$M:$BO,1,0)</f>
        <v>JD8T -14014 -LA </v>
      </c>
      <c r="ED1309" s="60">
        <f>VLOOKUP($M1309,[1]Detail!$M:$BO,22,0)</f>
        <v>-535.41000000000008</v>
      </c>
      <c r="EE1309" s="60">
        <f>VLOOKUP($M1309,[1]Detail!$M:$BO,42,0)</f>
        <v>0</v>
      </c>
      <c r="EF1309" s="60">
        <f>VLOOKUP($M1309,[1]Detail!$M:$BO,45,0)</f>
        <v>0</v>
      </c>
      <c r="EH1309" s="60">
        <f t="shared" si="1640"/>
        <v>0</v>
      </c>
      <c r="EI1309" s="60">
        <f t="shared" si="1641"/>
        <v>0</v>
      </c>
      <c r="EJ1309" s="60">
        <f t="shared" si="1642"/>
        <v>0</v>
      </c>
    </row>
    <row r="1310" spans="2:140" ht="12.75" hidden="1" customHeight="1">
      <c r="B1310" s="1" t="s">
        <v>2176</v>
      </c>
      <c r="C1310" s="22" t="s">
        <v>2177</v>
      </c>
      <c r="D1310" s="149" t="s">
        <v>2178</v>
      </c>
      <c r="E1310" s="86" t="s">
        <v>1591</v>
      </c>
      <c r="F1310" s="85" t="s">
        <v>2072</v>
      </c>
      <c r="G1310" s="297" t="s">
        <v>994</v>
      </c>
      <c r="J1310" s="298" t="s">
        <v>155</v>
      </c>
      <c r="K1310" s="299" t="s">
        <v>2181</v>
      </c>
      <c r="L1310" s="3" t="s">
        <v>2195</v>
      </c>
      <c r="M1310" s="51" t="str">
        <f t="shared" si="1549"/>
        <v>JD8T -14014 -MA </v>
      </c>
      <c r="O1310" s="89">
        <v>0</v>
      </c>
      <c r="P1310" s="89">
        <v>0</v>
      </c>
      <c r="Q1310" s="89">
        <v>0</v>
      </c>
      <c r="R1310" s="89">
        <v>0</v>
      </c>
      <c r="S1310" s="89">
        <v>0</v>
      </c>
      <c r="T1310" s="89">
        <v>0</v>
      </c>
      <c r="U1310" s="89">
        <v>1</v>
      </c>
      <c r="V1310" s="89">
        <v>0</v>
      </c>
      <c r="W1310" s="164">
        <f t="shared" si="1516"/>
        <v>0.05</v>
      </c>
      <c r="Y1310" s="8">
        <v>-571.16999999999996</v>
      </c>
      <c r="Z1310" s="63">
        <v>-0.82</v>
      </c>
      <c r="AA1310" s="63">
        <v>-0.7</v>
      </c>
      <c r="AB1310" s="63">
        <v>0</v>
      </c>
      <c r="AC1310" s="63">
        <v>0</v>
      </c>
      <c r="AD1310" s="8">
        <f t="shared" si="1645"/>
        <v>-572.69000000000005</v>
      </c>
      <c r="AE1310" s="2" t="s">
        <v>84</v>
      </c>
      <c r="AG1310" s="300"/>
      <c r="AH1310" s="300"/>
      <c r="AJ1310" s="300"/>
      <c r="AK1310" s="176"/>
      <c r="AM1310" s="22"/>
      <c r="AO1310" s="298" t="s">
        <v>1735</v>
      </c>
      <c r="AP1310" s="297" t="s">
        <v>2181</v>
      </c>
      <c r="AQ1310" s="3" t="s">
        <v>2189</v>
      </c>
      <c r="AR1310" s="90" t="str">
        <f t="shared" si="1566"/>
        <v>ED8T -14014 -GC </v>
      </c>
      <c r="AT1310" s="89">
        <v>0</v>
      </c>
      <c r="AU1310" s="89">
        <v>0</v>
      </c>
      <c r="AV1310" s="89">
        <v>0</v>
      </c>
      <c r="AW1310" s="89">
        <v>0</v>
      </c>
      <c r="AX1310" s="89">
        <v>0</v>
      </c>
      <c r="AY1310" s="89">
        <v>0</v>
      </c>
      <c r="AZ1310" s="89">
        <v>1</v>
      </c>
      <c r="BA1310" s="89">
        <v>0</v>
      </c>
      <c r="BB1310" s="89">
        <f t="shared" si="1511"/>
        <v>0.05</v>
      </c>
      <c r="BD1310" s="60">
        <v>-12.12</v>
      </c>
      <c r="BE1310" s="63">
        <v>-0.28000000000000003</v>
      </c>
      <c r="BF1310" s="63">
        <v>-0.28999999999999998</v>
      </c>
      <c r="BG1310" s="63">
        <v>0</v>
      </c>
      <c r="BH1310" s="63">
        <v>0</v>
      </c>
      <c r="BI1310" s="8">
        <f t="shared" si="1646"/>
        <v>-12.689999999999998</v>
      </c>
      <c r="BJ1310" s="2" t="s">
        <v>84</v>
      </c>
      <c r="BL1310" s="63"/>
      <c r="BM1310" s="63">
        <v>0</v>
      </c>
      <c r="BN1310" s="267"/>
      <c r="BO1310" s="63">
        <v>0</v>
      </c>
      <c r="BP1310" s="63">
        <v>0</v>
      </c>
      <c r="BQ1310" s="2">
        <v>0</v>
      </c>
      <c r="BS1310" s="61">
        <f t="shared" si="1632"/>
        <v>-559.04999999999995</v>
      </c>
      <c r="BT1310" s="61">
        <f t="shared" si="1633"/>
        <v>-0.53999999999999992</v>
      </c>
      <c r="BU1310" s="61">
        <f t="shared" si="1634"/>
        <v>-0.41</v>
      </c>
      <c r="BV1310" s="61">
        <f t="shared" si="1634"/>
        <v>0</v>
      </c>
      <c r="BW1310" s="61">
        <f t="shared" si="1634"/>
        <v>0</v>
      </c>
      <c r="BX1310" s="63">
        <f t="shared" si="1634"/>
        <v>-560</v>
      </c>
      <c r="BY1310" s="61" t="s">
        <v>91</v>
      </c>
      <c r="CA1310" s="61">
        <f t="shared" si="1622"/>
        <v>0</v>
      </c>
      <c r="CB1310" s="61">
        <f t="shared" si="1622"/>
        <v>0</v>
      </c>
      <c r="CC1310" s="61">
        <f t="shared" si="1622"/>
        <v>0</v>
      </c>
      <c r="CD1310" s="61">
        <f t="shared" si="1622"/>
        <v>0</v>
      </c>
      <c r="CE1310" s="61">
        <f t="shared" si="1622"/>
        <v>0</v>
      </c>
      <c r="CF1310" s="61">
        <f t="shared" si="1622"/>
        <v>0</v>
      </c>
      <c r="CG1310" s="61">
        <f t="shared" si="1622"/>
        <v>-84.105611554084533</v>
      </c>
      <c r="CH1310" s="61">
        <f t="shared" si="1647"/>
        <v>0</v>
      </c>
      <c r="CI1310" s="61">
        <f t="shared" si="1561"/>
        <v>-4.2052805777042268</v>
      </c>
      <c r="CJ1310" s="267"/>
      <c r="CK1310" s="61">
        <f t="shared" si="1623"/>
        <v>0</v>
      </c>
      <c r="CL1310" s="61">
        <f t="shared" si="1619"/>
        <v>0</v>
      </c>
      <c r="CM1310" s="61">
        <f t="shared" si="1619"/>
        <v>0</v>
      </c>
      <c r="CN1310" s="61">
        <f t="shared" si="1619"/>
        <v>0</v>
      </c>
      <c r="CO1310" s="61">
        <f t="shared" si="1619"/>
        <v>0</v>
      </c>
      <c r="CP1310" s="61">
        <f t="shared" si="1619"/>
        <v>0</v>
      </c>
      <c r="CQ1310" s="61">
        <f t="shared" si="1619"/>
        <v>-84.248533172859936</v>
      </c>
      <c r="CR1310" s="61">
        <f t="shared" si="1619"/>
        <v>0</v>
      </c>
      <c r="CS1310" s="61">
        <f t="shared" si="1562"/>
        <v>-4.2124266586429968</v>
      </c>
      <c r="CT1310" s="63">
        <f t="shared" si="1569"/>
        <v>-28</v>
      </c>
      <c r="CU1310" s="73"/>
      <c r="CV1310" s="61">
        <f t="shared" si="1644"/>
        <v>0</v>
      </c>
      <c r="CW1310" s="61">
        <f t="shared" si="1564"/>
        <v>0</v>
      </c>
      <c r="CY1310" s="61">
        <f t="shared" si="1639"/>
        <v>0</v>
      </c>
      <c r="CZ1310" s="61">
        <f t="shared" si="1639"/>
        <v>0</v>
      </c>
      <c r="DA1310" s="61">
        <f t="shared" si="1639"/>
        <v>0</v>
      </c>
      <c r="DB1310" s="2" t="s">
        <v>86</v>
      </c>
      <c r="DC1310" s="2" t="s">
        <v>86</v>
      </c>
      <c r="DD1310" s="2" t="s">
        <v>87</v>
      </c>
      <c r="DE1310" s="2" t="s">
        <v>106</v>
      </c>
      <c r="DF1310" s="3" t="s">
        <v>86</v>
      </c>
      <c r="DG1310" s="62">
        <v>43111</v>
      </c>
      <c r="EC1310" s="60" t="str">
        <f>VLOOKUP($M1310,[1]Detail!$M:$BO,1,0)</f>
        <v>JD8T -14014 -MA </v>
      </c>
      <c r="ED1310" s="60">
        <f>VLOOKUP($M1310,[1]Detail!$M:$BO,22,0)</f>
        <v>-572.69000000000005</v>
      </c>
      <c r="EE1310" s="60">
        <f>VLOOKUP($M1310,[1]Detail!$M:$BO,42,0)</f>
        <v>0</v>
      </c>
      <c r="EF1310" s="60">
        <f>VLOOKUP($M1310,[1]Detail!$M:$BO,45,0)</f>
        <v>0</v>
      </c>
      <c r="EH1310" s="60">
        <f t="shared" si="1640"/>
        <v>0</v>
      </c>
      <c r="EI1310" s="60">
        <f t="shared" si="1641"/>
        <v>0</v>
      </c>
      <c r="EJ1310" s="60">
        <f t="shared" si="1642"/>
        <v>0</v>
      </c>
    </row>
    <row r="1311" spans="2:140" ht="12" hidden="1" customHeight="1">
      <c r="B1311" s="1" t="s">
        <v>2176</v>
      </c>
      <c r="C1311" s="22" t="s">
        <v>2177</v>
      </c>
      <c r="D1311" s="149" t="s">
        <v>2178</v>
      </c>
      <c r="E1311" s="86" t="s">
        <v>1591</v>
      </c>
      <c r="F1311" s="85" t="s">
        <v>2072</v>
      </c>
      <c r="G1311" s="297" t="s">
        <v>994</v>
      </c>
      <c r="J1311" s="298" t="s">
        <v>155</v>
      </c>
      <c r="K1311" s="299" t="s">
        <v>2181</v>
      </c>
      <c r="L1311" s="3" t="s">
        <v>2196</v>
      </c>
      <c r="M1311" s="51" t="str">
        <f t="shared" si="1549"/>
        <v>JD8T -14014 -NA </v>
      </c>
      <c r="O1311" s="89">
        <v>0</v>
      </c>
      <c r="P1311" s="89">
        <v>0</v>
      </c>
      <c r="Q1311" s="89">
        <v>0</v>
      </c>
      <c r="R1311" s="89">
        <v>0</v>
      </c>
      <c r="S1311" s="89">
        <v>1</v>
      </c>
      <c r="T1311" s="89">
        <v>1</v>
      </c>
      <c r="U1311" s="89">
        <v>0</v>
      </c>
      <c r="V1311" s="89">
        <v>0</v>
      </c>
      <c r="W1311" s="164">
        <f t="shared" si="1516"/>
        <v>0.23</v>
      </c>
      <c r="Y1311" s="8">
        <v>-551.17999999999995</v>
      </c>
      <c r="Z1311" s="63">
        <v>-0.82</v>
      </c>
      <c r="AA1311" s="63">
        <v>-0.7</v>
      </c>
      <c r="AB1311" s="63">
        <v>0</v>
      </c>
      <c r="AC1311" s="63">
        <v>0</v>
      </c>
      <c r="AD1311" s="8">
        <f t="shared" si="1645"/>
        <v>-552.70000000000005</v>
      </c>
      <c r="AE1311" s="2" t="s">
        <v>84</v>
      </c>
      <c r="AG1311" s="300"/>
      <c r="AH1311" s="300"/>
      <c r="AJ1311" s="300"/>
      <c r="AK1311" s="176"/>
      <c r="AM1311" s="22"/>
      <c r="AO1311" s="298" t="s">
        <v>1735</v>
      </c>
      <c r="AP1311" s="297" t="s">
        <v>2181</v>
      </c>
      <c r="AQ1311" s="3" t="s">
        <v>2185</v>
      </c>
      <c r="AR1311" s="90" t="str">
        <f t="shared" si="1566"/>
        <v>ED8T -14014 -FC </v>
      </c>
      <c r="AT1311" s="89">
        <v>0</v>
      </c>
      <c r="AU1311" s="89">
        <v>0</v>
      </c>
      <c r="AV1311" s="89">
        <v>0</v>
      </c>
      <c r="AW1311" s="89">
        <v>0</v>
      </c>
      <c r="AX1311" s="89">
        <v>1</v>
      </c>
      <c r="AY1311" s="89">
        <v>1</v>
      </c>
      <c r="AZ1311" s="89">
        <v>0</v>
      </c>
      <c r="BA1311" s="89">
        <v>0</v>
      </c>
      <c r="BB1311" s="89">
        <f t="shared" si="1511"/>
        <v>0.23</v>
      </c>
      <c r="BD1311" s="60">
        <v>-18.14</v>
      </c>
      <c r="BE1311" s="63">
        <v>-0.28000000000000003</v>
      </c>
      <c r="BF1311" s="63">
        <v>-0.14000000000000001</v>
      </c>
      <c r="BG1311" s="63">
        <v>0</v>
      </c>
      <c r="BH1311" s="63">
        <v>0</v>
      </c>
      <c r="BI1311" s="8">
        <f t="shared" si="1646"/>
        <v>-18.560000000000002</v>
      </c>
      <c r="BJ1311" s="2" t="s">
        <v>84</v>
      </c>
      <c r="BL1311" s="63"/>
      <c r="BM1311" s="63">
        <v>0</v>
      </c>
      <c r="BN1311" s="267"/>
      <c r="BO1311" s="63">
        <v>0</v>
      </c>
      <c r="BP1311" s="63">
        <v>0</v>
      </c>
      <c r="BQ1311" s="2">
        <v>0</v>
      </c>
      <c r="BS1311" s="61">
        <f t="shared" si="1632"/>
        <v>-533.04</v>
      </c>
      <c r="BT1311" s="61">
        <f t="shared" si="1633"/>
        <v>-0.53999999999999992</v>
      </c>
      <c r="BU1311" s="61">
        <f t="shared" si="1634"/>
        <v>-0.55999999999999994</v>
      </c>
      <c r="BV1311" s="61">
        <f t="shared" si="1634"/>
        <v>0</v>
      </c>
      <c r="BW1311" s="61">
        <f t="shared" si="1634"/>
        <v>0</v>
      </c>
      <c r="BX1311" s="63">
        <f t="shared" si="1634"/>
        <v>-534.1400000000001</v>
      </c>
      <c r="BY1311" s="61" t="s">
        <v>91</v>
      </c>
      <c r="CA1311" s="61">
        <f t="shared" si="1622"/>
        <v>0</v>
      </c>
      <c r="CB1311" s="61">
        <f t="shared" si="1622"/>
        <v>0</v>
      </c>
      <c r="CC1311" s="61">
        <f t="shared" si="1622"/>
        <v>0</v>
      </c>
      <c r="CD1311" s="61">
        <f t="shared" si="1622"/>
        <v>0</v>
      </c>
      <c r="CE1311" s="61">
        <f t="shared" si="1622"/>
        <v>-80.192568075823672</v>
      </c>
      <c r="CF1311" s="61">
        <f t="shared" si="1622"/>
        <v>-80.192568075823672</v>
      </c>
      <c r="CG1311" s="61">
        <f t="shared" si="1622"/>
        <v>0</v>
      </c>
      <c r="CH1311" s="61">
        <f t="shared" si="1647"/>
        <v>0</v>
      </c>
      <c r="CI1311" s="61">
        <f t="shared" si="1561"/>
        <v>-18.444290657439446</v>
      </c>
      <c r="CJ1311" s="267"/>
      <c r="CK1311" s="61">
        <f t="shared" si="1623"/>
        <v>0</v>
      </c>
      <c r="CL1311" s="61">
        <f t="shared" si="1619"/>
        <v>0</v>
      </c>
      <c r="CM1311" s="61">
        <f t="shared" si="1619"/>
        <v>0</v>
      </c>
      <c r="CN1311" s="61">
        <f t="shared" si="1619"/>
        <v>0</v>
      </c>
      <c r="CO1311" s="61">
        <f t="shared" si="1619"/>
        <v>-80.358056265984672</v>
      </c>
      <c r="CP1311" s="61">
        <f t="shared" si="1619"/>
        <v>-80.358056265984672</v>
      </c>
      <c r="CQ1311" s="61">
        <f t="shared" si="1619"/>
        <v>0</v>
      </c>
      <c r="CR1311" s="61">
        <f t="shared" si="1619"/>
        <v>0</v>
      </c>
      <c r="CS1311" s="61">
        <f t="shared" si="1562"/>
        <v>-18.482352941176476</v>
      </c>
      <c r="CT1311" s="63">
        <f t="shared" si="1569"/>
        <v>-122.85220000000004</v>
      </c>
      <c r="CU1311" s="73"/>
      <c r="CV1311" s="61">
        <f t="shared" si="1644"/>
        <v>0</v>
      </c>
      <c r="CW1311" s="61">
        <f t="shared" si="1564"/>
        <v>0</v>
      </c>
      <c r="CY1311" s="61">
        <f t="shared" si="1639"/>
        <v>0</v>
      </c>
      <c r="CZ1311" s="61">
        <f t="shared" si="1639"/>
        <v>0</v>
      </c>
      <c r="DA1311" s="61">
        <f t="shared" si="1639"/>
        <v>0</v>
      </c>
      <c r="DB1311" s="2" t="s">
        <v>86</v>
      </c>
      <c r="DC1311" s="2" t="s">
        <v>86</v>
      </c>
      <c r="DD1311" s="2" t="s">
        <v>87</v>
      </c>
      <c r="DE1311" s="2" t="s">
        <v>106</v>
      </c>
      <c r="DF1311" s="3" t="s">
        <v>86</v>
      </c>
      <c r="DG1311" s="62">
        <v>43111</v>
      </c>
      <c r="EC1311" s="60" t="str">
        <f>VLOOKUP($M1311,[1]Detail!$M:$BO,1,0)</f>
        <v>JD8T -14014 -NA </v>
      </c>
      <c r="ED1311" s="60">
        <f>VLOOKUP($M1311,[1]Detail!$M:$BO,22,0)</f>
        <v>-552.70000000000005</v>
      </c>
      <c r="EE1311" s="60">
        <f>VLOOKUP($M1311,[1]Detail!$M:$BO,42,0)</f>
        <v>0</v>
      </c>
      <c r="EF1311" s="60">
        <f>VLOOKUP($M1311,[1]Detail!$M:$BO,45,0)</f>
        <v>0</v>
      </c>
      <c r="EH1311" s="60">
        <f t="shared" si="1640"/>
        <v>0</v>
      </c>
      <c r="EI1311" s="60">
        <f t="shared" si="1641"/>
        <v>0</v>
      </c>
      <c r="EJ1311" s="60">
        <f t="shared" si="1642"/>
        <v>0</v>
      </c>
    </row>
    <row r="1312" spans="2:140" ht="12.75" hidden="1" customHeight="1">
      <c r="B1312" s="1" t="s">
        <v>2176</v>
      </c>
      <c r="C1312" s="22" t="s">
        <v>2177</v>
      </c>
      <c r="D1312" s="149" t="s">
        <v>2178</v>
      </c>
      <c r="E1312" s="86" t="s">
        <v>1591</v>
      </c>
      <c r="F1312" s="85" t="s">
        <v>2072</v>
      </c>
      <c r="G1312" s="297" t="s">
        <v>994</v>
      </c>
      <c r="J1312" s="298" t="s">
        <v>155</v>
      </c>
      <c r="K1312" s="299" t="s">
        <v>2181</v>
      </c>
      <c r="L1312" s="3" t="s">
        <v>2197</v>
      </c>
      <c r="M1312" s="51" t="str">
        <f t="shared" si="1549"/>
        <v>JD8T -14014 -RA </v>
      </c>
      <c r="O1312" s="89">
        <v>0</v>
      </c>
      <c r="P1312" s="89">
        <v>0</v>
      </c>
      <c r="Q1312" s="89">
        <v>0</v>
      </c>
      <c r="R1312" s="89">
        <v>0</v>
      </c>
      <c r="S1312" s="89">
        <v>0</v>
      </c>
      <c r="T1312" s="89">
        <v>1</v>
      </c>
      <c r="U1312" s="89">
        <v>0</v>
      </c>
      <c r="V1312" s="89">
        <v>0</v>
      </c>
      <c r="W1312" s="164">
        <f t="shared" si="1516"/>
        <v>0.14000000000000001</v>
      </c>
      <c r="Y1312" s="8">
        <v>-572.17999999999995</v>
      </c>
      <c r="Z1312" s="63">
        <v>-0.82</v>
      </c>
      <c r="AA1312" s="63">
        <v>-0.7</v>
      </c>
      <c r="AB1312" s="63"/>
      <c r="AC1312" s="63"/>
      <c r="AD1312" s="8">
        <f t="shared" si="1645"/>
        <v>-573.70000000000005</v>
      </c>
      <c r="AE1312" s="2" t="s">
        <v>84</v>
      </c>
      <c r="AG1312" s="300"/>
      <c r="AH1312" s="300"/>
      <c r="AJ1312" s="300"/>
      <c r="AK1312" s="176"/>
      <c r="AM1312" s="22"/>
      <c r="AO1312" s="298" t="s">
        <v>1735</v>
      </c>
      <c r="AP1312" s="297" t="s">
        <v>2181</v>
      </c>
      <c r="AQ1312" s="3" t="s">
        <v>2189</v>
      </c>
      <c r="AR1312" s="90" t="str">
        <f t="shared" si="1566"/>
        <v>ED8T -14014 -GC </v>
      </c>
      <c r="AT1312" s="89">
        <v>0</v>
      </c>
      <c r="AU1312" s="89">
        <v>0</v>
      </c>
      <c r="AV1312" s="89">
        <v>0</v>
      </c>
      <c r="AW1312" s="89">
        <v>0</v>
      </c>
      <c r="AX1312" s="89">
        <v>0</v>
      </c>
      <c r="AY1312" s="89">
        <v>1</v>
      </c>
      <c r="AZ1312" s="89">
        <v>0</v>
      </c>
      <c r="BA1312" s="89">
        <v>0</v>
      </c>
      <c r="BB1312" s="89">
        <f t="shared" si="1511"/>
        <v>0.14000000000000001</v>
      </c>
      <c r="BD1312" s="60">
        <v>-26.54</v>
      </c>
      <c r="BE1312" s="63">
        <v>-0.28000000000000003</v>
      </c>
      <c r="BF1312" s="63">
        <v>-0.14000000000000001</v>
      </c>
      <c r="BG1312" s="63">
        <v>0</v>
      </c>
      <c r="BH1312" s="63">
        <v>0</v>
      </c>
      <c r="BI1312" s="8">
        <f t="shared" si="1646"/>
        <v>-26.96</v>
      </c>
      <c r="BJ1312" s="2" t="s">
        <v>84</v>
      </c>
      <c r="BL1312" s="63"/>
      <c r="BM1312" s="63">
        <v>0</v>
      </c>
      <c r="BN1312" s="267"/>
      <c r="BO1312" s="63">
        <v>0</v>
      </c>
      <c r="BP1312" s="63">
        <v>0</v>
      </c>
      <c r="BQ1312" s="2">
        <v>0</v>
      </c>
      <c r="BS1312" s="61">
        <f t="shared" si="1632"/>
        <v>-545.64</v>
      </c>
      <c r="BT1312" s="61">
        <f t="shared" si="1633"/>
        <v>-0.53999999999999992</v>
      </c>
      <c r="BU1312" s="61">
        <f t="shared" si="1634"/>
        <v>-0.55999999999999994</v>
      </c>
      <c r="BV1312" s="61">
        <f t="shared" si="1634"/>
        <v>0</v>
      </c>
      <c r="BW1312" s="61">
        <f t="shared" si="1634"/>
        <v>0</v>
      </c>
      <c r="BX1312" s="63">
        <f t="shared" si="1634"/>
        <v>-546.74</v>
      </c>
      <c r="BY1312" s="61" t="s">
        <v>91</v>
      </c>
      <c r="CA1312" s="61">
        <f t="shared" si="1622"/>
        <v>0</v>
      </c>
      <c r="CB1312" s="61">
        <f t="shared" si="1622"/>
        <v>0</v>
      </c>
      <c r="CC1312" s="61">
        <f t="shared" si="1622"/>
        <v>0</v>
      </c>
      <c r="CD1312" s="61">
        <f t="shared" si="1622"/>
        <v>0</v>
      </c>
      <c r="CE1312" s="61">
        <f t="shared" si="1622"/>
        <v>0</v>
      </c>
      <c r="CF1312" s="61">
        <f t="shared" si="1622"/>
        <v>-82.088160072213029</v>
      </c>
      <c r="CG1312" s="61">
        <f t="shared" si="1622"/>
        <v>0</v>
      </c>
      <c r="CH1312" s="61">
        <f t="shared" si="1647"/>
        <v>0</v>
      </c>
      <c r="CI1312" s="61">
        <f t="shared" si="1561"/>
        <v>-11.492342410109826</v>
      </c>
      <c r="CJ1312" s="267"/>
      <c r="CK1312" s="61">
        <f t="shared" si="1623"/>
        <v>0</v>
      </c>
      <c r="CL1312" s="61">
        <f t="shared" si="1619"/>
        <v>0</v>
      </c>
      <c r="CM1312" s="61">
        <f t="shared" si="1619"/>
        <v>0</v>
      </c>
      <c r="CN1312" s="61">
        <f t="shared" si="1619"/>
        <v>0</v>
      </c>
      <c r="CO1312" s="61">
        <f t="shared" si="1619"/>
        <v>0</v>
      </c>
      <c r="CP1312" s="61">
        <f t="shared" si="1619"/>
        <v>-82.253648262374</v>
      </c>
      <c r="CQ1312" s="61">
        <f t="shared" si="1619"/>
        <v>0</v>
      </c>
      <c r="CR1312" s="61">
        <f t="shared" si="1619"/>
        <v>0</v>
      </c>
      <c r="CS1312" s="61">
        <f t="shared" si="1562"/>
        <v>-11.515510756732361</v>
      </c>
      <c r="CT1312" s="63">
        <f t="shared" si="1569"/>
        <v>-76.543600000000012</v>
      </c>
      <c r="CU1312" s="73"/>
      <c r="CV1312" s="61">
        <f t="shared" si="1644"/>
        <v>0</v>
      </c>
      <c r="CW1312" s="61">
        <f t="shared" si="1564"/>
        <v>0</v>
      </c>
      <c r="CY1312" s="61">
        <f t="shared" si="1639"/>
        <v>0</v>
      </c>
      <c r="CZ1312" s="61">
        <f t="shared" si="1639"/>
        <v>0</v>
      </c>
      <c r="DA1312" s="61">
        <f t="shared" si="1639"/>
        <v>0</v>
      </c>
      <c r="DB1312" s="2" t="s">
        <v>86</v>
      </c>
      <c r="DC1312" s="2" t="s">
        <v>86</v>
      </c>
      <c r="DD1312" s="2" t="s">
        <v>87</v>
      </c>
      <c r="DE1312" s="2" t="s">
        <v>106</v>
      </c>
      <c r="DF1312" s="3" t="s">
        <v>86</v>
      </c>
      <c r="DG1312" s="62">
        <v>43111</v>
      </c>
      <c r="EC1312" s="60" t="str">
        <f>VLOOKUP($M1312,[1]Detail!$M:$BO,1,0)</f>
        <v>JD8T -14014 -RA </v>
      </c>
      <c r="ED1312" s="60">
        <f>VLOOKUP($M1312,[1]Detail!$M:$BO,22,0)</f>
        <v>-573.70000000000005</v>
      </c>
      <c r="EE1312" s="60">
        <f>VLOOKUP($M1312,[1]Detail!$M:$BO,42,0)</f>
        <v>0</v>
      </c>
      <c r="EF1312" s="60">
        <f>VLOOKUP($M1312,[1]Detail!$M:$BO,45,0)</f>
        <v>0</v>
      </c>
      <c r="EH1312" s="60">
        <f t="shared" si="1640"/>
        <v>0</v>
      </c>
      <c r="EI1312" s="60">
        <f t="shared" si="1641"/>
        <v>0</v>
      </c>
      <c r="EJ1312" s="60">
        <f t="shared" si="1642"/>
        <v>0</v>
      </c>
    </row>
    <row r="1313" spans="2:140" ht="12.75" hidden="1" customHeight="1">
      <c r="B1313" s="1" t="s">
        <v>2176</v>
      </c>
      <c r="C1313" s="22" t="s">
        <v>2177</v>
      </c>
      <c r="D1313" s="149" t="s">
        <v>2178</v>
      </c>
      <c r="E1313" s="86" t="s">
        <v>1591</v>
      </c>
      <c r="F1313" s="85" t="s">
        <v>2072</v>
      </c>
      <c r="G1313" s="297" t="s">
        <v>994</v>
      </c>
      <c r="J1313" s="298" t="s">
        <v>155</v>
      </c>
      <c r="K1313" s="299" t="s">
        <v>2181</v>
      </c>
      <c r="L1313" s="3" t="s">
        <v>2198</v>
      </c>
      <c r="M1313" s="51" t="str">
        <f t="shared" si="1549"/>
        <v>JD8T -14014 -TA </v>
      </c>
      <c r="O1313" s="89">
        <v>0</v>
      </c>
      <c r="P1313" s="89">
        <v>0</v>
      </c>
      <c r="Q1313" s="89">
        <v>0</v>
      </c>
      <c r="R1313" s="89">
        <v>0</v>
      </c>
      <c r="S1313" s="89">
        <v>0</v>
      </c>
      <c r="T1313" s="89">
        <v>0</v>
      </c>
      <c r="U1313" s="89">
        <v>0</v>
      </c>
      <c r="V1313" s="89">
        <v>1</v>
      </c>
      <c r="W1313" s="164">
        <f t="shared" si="1516"/>
        <v>0.05</v>
      </c>
      <c r="Y1313" s="8">
        <v>-599.97</v>
      </c>
      <c r="Z1313" s="63">
        <v>-0.82</v>
      </c>
      <c r="AA1313" s="63">
        <v>-0.7</v>
      </c>
      <c r="AB1313" s="63"/>
      <c r="AC1313" s="63"/>
      <c r="AD1313" s="8">
        <f t="shared" si="1645"/>
        <v>-601.49000000000012</v>
      </c>
      <c r="AE1313" s="2" t="s">
        <v>84</v>
      </c>
      <c r="AG1313" s="300"/>
      <c r="AH1313" s="300"/>
      <c r="AJ1313" s="300"/>
      <c r="AK1313" s="176"/>
      <c r="AM1313" s="22"/>
      <c r="AO1313" s="298" t="s">
        <v>1735</v>
      </c>
      <c r="AP1313" s="297" t="s">
        <v>2181</v>
      </c>
      <c r="AQ1313" s="3" t="s">
        <v>2189</v>
      </c>
      <c r="AR1313" s="90" t="str">
        <f t="shared" si="1566"/>
        <v>ED8T -14014 -GC </v>
      </c>
      <c r="AT1313" s="89">
        <v>0</v>
      </c>
      <c r="AU1313" s="89">
        <v>0</v>
      </c>
      <c r="AV1313" s="89">
        <v>0</v>
      </c>
      <c r="AW1313" s="89">
        <v>0</v>
      </c>
      <c r="AX1313" s="89">
        <v>0</v>
      </c>
      <c r="AY1313" s="89">
        <v>0</v>
      </c>
      <c r="AZ1313" s="89">
        <v>0</v>
      </c>
      <c r="BA1313" s="89">
        <v>1</v>
      </c>
      <c r="BB1313" s="89">
        <f t="shared" si="1511"/>
        <v>0.05</v>
      </c>
      <c r="BD1313" s="60">
        <v>-26.54</v>
      </c>
      <c r="BE1313" s="63">
        <v>-0.28000000000000003</v>
      </c>
      <c r="BF1313" s="63">
        <v>-0.14000000000000001</v>
      </c>
      <c r="BG1313" s="63">
        <v>0</v>
      </c>
      <c r="BH1313" s="63">
        <v>0</v>
      </c>
      <c r="BI1313" s="8">
        <f t="shared" si="1646"/>
        <v>-26.96</v>
      </c>
      <c r="BJ1313" s="2" t="s">
        <v>84</v>
      </c>
      <c r="BL1313" s="63"/>
      <c r="BM1313" s="63">
        <v>0</v>
      </c>
      <c r="BN1313" s="267"/>
      <c r="BO1313" s="63">
        <v>0</v>
      </c>
      <c r="BP1313" s="63">
        <v>0</v>
      </c>
      <c r="BQ1313" s="2">
        <v>0</v>
      </c>
      <c r="BS1313" s="61">
        <f t="shared" si="1632"/>
        <v>-573.43000000000006</v>
      </c>
      <c r="BT1313" s="61">
        <f t="shared" si="1633"/>
        <v>-0.53999999999999992</v>
      </c>
      <c r="BU1313" s="61">
        <f t="shared" si="1634"/>
        <v>-0.55999999999999994</v>
      </c>
      <c r="BV1313" s="61">
        <f t="shared" si="1634"/>
        <v>0</v>
      </c>
      <c r="BW1313" s="61">
        <f t="shared" si="1634"/>
        <v>0</v>
      </c>
      <c r="BX1313" s="63">
        <f t="shared" si="1634"/>
        <v>-574.53000000000009</v>
      </c>
      <c r="BY1313" s="61" t="s">
        <v>91</v>
      </c>
      <c r="CA1313" s="61">
        <f t="shared" si="1622"/>
        <v>0</v>
      </c>
      <c r="CB1313" s="61">
        <f t="shared" si="1622"/>
        <v>0</v>
      </c>
      <c r="CC1313" s="61">
        <f t="shared" si="1622"/>
        <v>0</v>
      </c>
      <c r="CD1313" s="61">
        <f t="shared" si="1622"/>
        <v>0</v>
      </c>
      <c r="CE1313" s="61">
        <f t="shared" si="1622"/>
        <v>0</v>
      </c>
      <c r="CF1313" s="61">
        <f t="shared" si="1622"/>
        <v>0</v>
      </c>
      <c r="CG1313" s="61">
        <f t="shared" si="1622"/>
        <v>0</v>
      </c>
      <c r="CH1313" s="61">
        <f t="shared" si="1647"/>
        <v>-86.268993530916205</v>
      </c>
      <c r="CI1313" s="61">
        <f t="shared" si="1561"/>
        <v>-4.3134496765458108</v>
      </c>
      <c r="CJ1313" s="267"/>
      <c r="CK1313" s="61">
        <f t="shared" si="1623"/>
        <v>0</v>
      </c>
      <c r="CL1313" s="61">
        <f t="shared" si="1619"/>
        <v>0</v>
      </c>
      <c r="CM1313" s="61">
        <f t="shared" si="1619"/>
        <v>0</v>
      </c>
      <c r="CN1313" s="61">
        <f t="shared" si="1619"/>
        <v>0</v>
      </c>
      <c r="CO1313" s="61">
        <f t="shared" si="1619"/>
        <v>0</v>
      </c>
      <c r="CP1313" s="61">
        <f t="shared" si="1619"/>
        <v>0</v>
      </c>
      <c r="CQ1313" s="61">
        <f t="shared" si="1619"/>
        <v>0</v>
      </c>
      <c r="CR1313" s="61">
        <f t="shared" si="1619"/>
        <v>-86.434481721077191</v>
      </c>
      <c r="CS1313" s="61">
        <f t="shared" si="1562"/>
        <v>-4.3217240860538597</v>
      </c>
      <c r="CT1313" s="63">
        <f t="shared" si="1569"/>
        <v>-28.726500000000005</v>
      </c>
      <c r="CU1313" s="73"/>
      <c r="CV1313" s="61">
        <f t="shared" si="1644"/>
        <v>0</v>
      </c>
      <c r="CW1313" s="61">
        <f t="shared" si="1564"/>
        <v>0</v>
      </c>
      <c r="CY1313" s="61">
        <f t="shared" si="1639"/>
        <v>0</v>
      </c>
      <c r="CZ1313" s="61">
        <f t="shared" si="1639"/>
        <v>0</v>
      </c>
      <c r="DA1313" s="61">
        <f t="shared" si="1639"/>
        <v>0</v>
      </c>
      <c r="DB1313" s="2" t="s">
        <v>86</v>
      </c>
      <c r="DC1313" s="2" t="s">
        <v>86</v>
      </c>
      <c r="DD1313" s="2" t="s">
        <v>87</v>
      </c>
      <c r="DE1313" s="2" t="s">
        <v>106</v>
      </c>
      <c r="DF1313" s="3" t="s">
        <v>86</v>
      </c>
      <c r="DG1313" s="62">
        <v>43084</v>
      </c>
      <c r="EC1313" s="60" t="str">
        <f>VLOOKUP($M1313,[1]Detail!$M:$BO,1,0)</f>
        <v>JD8T -14014 -TA </v>
      </c>
      <c r="ED1313" s="60">
        <f>VLOOKUP($M1313,[1]Detail!$M:$BO,22,0)</f>
        <v>-601.49000000000012</v>
      </c>
      <c r="EE1313" s="60">
        <f>VLOOKUP($M1313,[1]Detail!$M:$BO,42,0)</f>
        <v>0</v>
      </c>
      <c r="EF1313" s="60">
        <f>VLOOKUP($M1313,[1]Detail!$M:$BO,45,0)</f>
        <v>0</v>
      </c>
      <c r="EH1313" s="60">
        <f t="shared" si="1640"/>
        <v>0</v>
      </c>
      <c r="EI1313" s="60">
        <f t="shared" si="1641"/>
        <v>0</v>
      </c>
      <c r="EJ1313" s="60">
        <f t="shared" si="1642"/>
        <v>0</v>
      </c>
    </row>
    <row r="1314" spans="2:140" ht="12.75" hidden="1" customHeight="1">
      <c r="B1314" s="1" t="s">
        <v>2176</v>
      </c>
      <c r="C1314" s="22" t="s">
        <v>2177</v>
      </c>
      <c r="D1314" s="149" t="s">
        <v>2178</v>
      </c>
      <c r="E1314" s="86" t="s">
        <v>1591</v>
      </c>
      <c r="F1314" s="85" t="s">
        <v>2072</v>
      </c>
      <c r="G1314" s="297" t="s">
        <v>994</v>
      </c>
      <c r="J1314" s="298" t="s">
        <v>155</v>
      </c>
      <c r="K1314" s="299" t="s">
        <v>2181</v>
      </c>
      <c r="L1314" s="3" t="s">
        <v>2199</v>
      </c>
      <c r="M1314" s="51" t="str">
        <f t="shared" si="1549"/>
        <v>JD8T -14014 -UA </v>
      </c>
      <c r="O1314" s="89">
        <v>1</v>
      </c>
      <c r="P1314" s="89">
        <v>1</v>
      </c>
      <c r="Q1314" s="89">
        <v>0</v>
      </c>
      <c r="R1314" s="89">
        <v>0</v>
      </c>
      <c r="S1314" s="89">
        <v>0</v>
      </c>
      <c r="T1314" s="89">
        <v>0</v>
      </c>
      <c r="U1314" s="89">
        <v>0</v>
      </c>
      <c r="V1314" s="89">
        <v>0</v>
      </c>
      <c r="W1314" s="164">
        <f t="shared" si="1516"/>
        <v>0.30000000000000004</v>
      </c>
      <c r="Y1314" s="8">
        <v>-447.93</v>
      </c>
      <c r="Z1314" s="63">
        <v>-0.82</v>
      </c>
      <c r="AA1314" s="63">
        <v>-0.7</v>
      </c>
      <c r="AB1314" s="63"/>
      <c r="AC1314" s="63"/>
      <c r="AD1314" s="8">
        <f t="shared" si="1645"/>
        <v>-449.45</v>
      </c>
      <c r="AE1314" s="2" t="s">
        <v>84</v>
      </c>
      <c r="AG1314" s="300"/>
      <c r="AH1314" s="300"/>
      <c r="AJ1314" s="300"/>
      <c r="AK1314" s="176"/>
      <c r="AM1314" s="22"/>
      <c r="AO1314" s="298" t="s">
        <v>1735</v>
      </c>
      <c r="AP1314" s="297" t="s">
        <v>2181</v>
      </c>
      <c r="AQ1314" s="3" t="s">
        <v>2180</v>
      </c>
      <c r="AR1314" s="90" t="str">
        <f t="shared" si="1566"/>
        <v>ED8T -14014 -HB </v>
      </c>
      <c r="AT1314" s="89">
        <v>1</v>
      </c>
      <c r="AU1314" s="89">
        <v>1</v>
      </c>
      <c r="AV1314" s="89">
        <v>0</v>
      </c>
      <c r="AW1314" s="89">
        <v>0</v>
      </c>
      <c r="AX1314" s="89">
        <v>0</v>
      </c>
      <c r="AY1314" s="89">
        <v>0</v>
      </c>
      <c r="AZ1314" s="89">
        <v>0</v>
      </c>
      <c r="BA1314" s="89">
        <v>0</v>
      </c>
      <c r="BB1314" s="89">
        <f t="shared" si="1511"/>
        <v>0.30000000000000004</v>
      </c>
      <c r="BD1314" s="60">
        <v>-26.54</v>
      </c>
      <c r="BE1314" s="63">
        <v>-0.28000000000000003</v>
      </c>
      <c r="BF1314" s="63">
        <v>-0.14000000000000001</v>
      </c>
      <c r="BG1314" s="63">
        <v>0</v>
      </c>
      <c r="BH1314" s="63">
        <v>0</v>
      </c>
      <c r="BI1314" s="8">
        <f t="shared" si="1646"/>
        <v>-26.96</v>
      </c>
      <c r="BJ1314" s="2" t="s">
        <v>84</v>
      </c>
      <c r="BL1314" s="63"/>
      <c r="BM1314" s="63">
        <v>0</v>
      </c>
      <c r="BN1314" s="267"/>
      <c r="BO1314" s="63">
        <v>0</v>
      </c>
      <c r="BP1314" s="63">
        <v>0</v>
      </c>
      <c r="BQ1314" s="2">
        <v>0</v>
      </c>
      <c r="BS1314" s="61">
        <f t="shared" si="1632"/>
        <v>-421.39</v>
      </c>
      <c r="BT1314" s="61">
        <f t="shared" si="1633"/>
        <v>-0.53999999999999992</v>
      </c>
      <c r="BU1314" s="61">
        <f t="shared" si="1634"/>
        <v>-0.55999999999999994</v>
      </c>
      <c r="BV1314" s="61">
        <f t="shared" si="1634"/>
        <v>0</v>
      </c>
      <c r="BW1314" s="61">
        <f t="shared" si="1634"/>
        <v>0</v>
      </c>
      <c r="BX1314" s="63">
        <f t="shared" si="1634"/>
        <v>-422.49</v>
      </c>
      <c r="BY1314" s="61" t="s">
        <v>91</v>
      </c>
      <c r="CA1314" s="61">
        <f t="shared" si="1622"/>
        <v>-63.395516774484726</v>
      </c>
      <c r="CB1314" s="61">
        <f t="shared" si="1622"/>
        <v>-63.395516774484726</v>
      </c>
      <c r="CC1314" s="61">
        <f t="shared" si="1622"/>
        <v>0</v>
      </c>
      <c r="CD1314" s="61">
        <f t="shared" si="1622"/>
        <v>0</v>
      </c>
      <c r="CE1314" s="61">
        <f t="shared" si="1622"/>
        <v>0</v>
      </c>
      <c r="CF1314" s="61">
        <f t="shared" si="1622"/>
        <v>0</v>
      </c>
      <c r="CG1314" s="61">
        <f t="shared" si="1622"/>
        <v>0</v>
      </c>
      <c r="CH1314" s="61">
        <f t="shared" si="1647"/>
        <v>0</v>
      </c>
      <c r="CI1314" s="61">
        <f t="shared" si="1561"/>
        <v>-19.018655032345421</v>
      </c>
      <c r="CJ1314" s="267"/>
      <c r="CK1314" s="61">
        <f t="shared" si="1623"/>
        <v>-63.561004964645704</v>
      </c>
      <c r="CL1314" s="61">
        <f t="shared" si="1619"/>
        <v>-63.561004964645704</v>
      </c>
      <c r="CM1314" s="61">
        <f t="shared" si="1619"/>
        <v>0</v>
      </c>
      <c r="CN1314" s="61">
        <f t="shared" si="1619"/>
        <v>0</v>
      </c>
      <c r="CO1314" s="61">
        <f t="shared" si="1619"/>
        <v>0</v>
      </c>
      <c r="CP1314" s="61">
        <f t="shared" si="1619"/>
        <v>0</v>
      </c>
      <c r="CQ1314" s="61">
        <f t="shared" si="1619"/>
        <v>0</v>
      </c>
      <c r="CR1314" s="61">
        <f t="shared" si="1619"/>
        <v>0</v>
      </c>
      <c r="CS1314" s="61">
        <f t="shared" si="1562"/>
        <v>-19.068301489393711</v>
      </c>
      <c r="CT1314" s="63">
        <f t="shared" si="1569"/>
        <v>-126.747</v>
      </c>
      <c r="CU1314" s="73"/>
      <c r="CV1314" s="61">
        <f t="shared" si="1644"/>
        <v>0</v>
      </c>
      <c r="CW1314" s="61">
        <f t="shared" si="1564"/>
        <v>0</v>
      </c>
      <c r="CY1314" s="61">
        <f t="shared" ref="CY1314:DA1398" si="1648">SUM(AJ1314)-SUM(BO1314)</f>
        <v>0</v>
      </c>
      <c r="CZ1314" s="61">
        <f t="shared" si="1648"/>
        <v>0</v>
      </c>
      <c r="DA1314" s="61">
        <f t="shared" si="1648"/>
        <v>0</v>
      </c>
      <c r="DB1314" s="2" t="s">
        <v>86</v>
      </c>
      <c r="DC1314" s="2" t="s">
        <v>86</v>
      </c>
      <c r="DD1314" s="2" t="s">
        <v>87</v>
      </c>
      <c r="DE1314" s="2" t="s">
        <v>106</v>
      </c>
      <c r="DF1314" s="3" t="s">
        <v>86</v>
      </c>
      <c r="DG1314" s="62">
        <v>43111</v>
      </c>
      <c r="EC1314" s="60" t="str">
        <f>VLOOKUP($M1314,[1]Detail!$M:$BO,1,0)</f>
        <v>JD8T -14014 -UA </v>
      </c>
      <c r="ED1314" s="60">
        <f>VLOOKUP($M1314,[1]Detail!$M:$BO,22,0)</f>
        <v>-449.45</v>
      </c>
      <c r="EE1314" s="60">
        <f>VLOOKUP($M1314,[1]Detail!$M:$BO,42,0)</f>
        <v>0</v>
      </c>
      <c r="EF1314" s="60">
        <f>VLOOKUP($M1314,[1]Detail!$M:$BO,45,0)</f>
        <v>0</v>
      </c>
      <c r="EH1314" s="60">
        <f t="shared" si="1640"/>
        <v>0</v>
      </c>
      <c r="EI1314" s="60">
        <f t="shared" si="1641"/>
        <v>0</v>
      </c>
      <c r="EJ1314" s="60">
        <f t="shared" si="1642"/>
        <v>0</v>
      </c>
    </row>
    <row r="1315" spans="2:140" ht="12.75" hidden="1" customHeight="1">
      <c r="B1315" s="1" t="s">
        <v>2176</v>
      </c>
      <c r="C1315" s="22" t="s">
        <v>2177</v>
      </c>
      <c r="D1315" s="149" t="s">
        <v>2178</v>
      </c>
      <c r="E1315" s="86" t="s">
        <v>1591</v>
      </c>
      <c r="F1315" s="85" t="s">
        <v>2072</v>
      </c>
      <c r="G1315" s="297" t="s">
        <v>994</v>
      </c>
      <c r="J1315" s="298" t="s">
        <v>155</v>
      </c>
      <c r="K1315" s="299" t="s">
        <v>2181</v>
      </c>
      <c r="L1315" s="3" t="s">
        <v>2200</v>
      </c>
      <c r="M1315" s="51" t="str">
        <f t="shared" si="1549"/>
        <v>JD8T -14014 -VA </v>
      </c>
      <c r="O1315" s="89">
        <v>1</v>
      </c>
      <c r="P1315" s="89">
        <v>1</v>
      </c>
      <c r="Q1315" s="89">
        <v>0</v>
      </c>
      <c r="R1315" s="89">
        <v>0</v>
      </c>
      <c r="S1315" s="89">
        <v>0</v>
      </c>
      <c r="T1315" s="89">
        <v>0</v>
      </c>
      <c r="U1315" s="89">
        <v>0</v>
      </c>
      <c r="V1315" s="89">
        <v>0</v>
      </c>
      <c r="W1315" s="164">
        <f t="shared" si="1516"/>
        <v>0.30000000000000004</v>
      </c>
      <c r="Y1315" s="8">
        <v>-449.09</v>
      </c>
      <c r="Z1315" s="63">
        <v>-0.82</v>
      </c>
      <c r="AA1315" s="63">
        <v>-0.7</v>
      </c>
      <c r="AB1315" s="63"/>
      <c r="AC1315" s="63"/>
      <c r="AD1315" s="8">
        <f t="shared" si="1645"/>
        <v>-450.60999999999996</v>
      </c>
      <c r="AE1315" s="2" t="s">
        <v>84</v>
      </c>
      <c r="AG1315" s="300"/>
      <c r="AH1315" s="300"/>
      <c r="AJ1315" s="300"/>
      <c r="AK1315" s="176"/>
      <c r="AM1315" s="22"/>
      <c r="AO1315" s="298" t="s">
        <v>1735</v>
      </c>
      <c r="AP1315" s="297" t="s">
        <v>2181</v>
      </c>
      <c r="AQ1315" s="3" t="s">
        <v>2180</v>
      </c>
      <c r="AR1315" s="90" t="str">
        <f t="shared" si="1566"/>
        <v>ED8T -14014 -HB </v>
      </c>
      <c r="AT1315" s="89">
        <v>1</v>
      </c>
      <c r="AU1315" s="89">
        <v>1</v>
      </c>
      <c r="AV1315" s="89">
        <v>0</v>
      </c>
      <c r="AW1315" s="89">
        <v>0</v>
      </c>
      <c r="AX1315" s="89">
        <v>0</v>
      </c>
      <c r="AY1315" s="89">
        <v>0</v>
      </c>
      <c r="AZ1315" s="89">
        <v>0</v>
      </c>
      <c r="BA1315" s="89">
        <v>0</v>
      </c>
      <c r="BB1315" s="89">
        <f t="shared" ref="BB1315:BB1378" si="1649">SUMPRODUCT(AT1315:BA1315,$O$6:$V$6)</f>
        <v>0.30000000000000004</v>
      </c>
      <c r="BD1315" s="60">
        <v>-212.84</v>
      </c>
      <c r="BE1315" s="63">
        <v>-0.82</v>
      </c>
      <c r="BF1315" s="63">
        <v>-0.7</v>
      </c>
      <c r="BG1315" s="63">
        <v>0</v>
      </c>
      <c r="BH1315" s="63">
        <v>0</v>
      </c>
      <c r="BI1315" s="8">
        <f t="shared" si="1646"/>
        <v>-214.35999999999999</v>
      </c>
      <c r="BJ1315" s="2" t="s">
        <v>84</v>
      </c>
      <c r="BL1315" s="63"/>
      <c r="BM1315" s="63">
        <v>0</v>
      </c>
      <c r="BN1315" s="267"/>
      <c r="BO1315" s="63">
        <v>0</v>
      </c>
      <c r="BP1315" s="63">
        <v>0</v>
      </c>
      <c r="BQ1315" s="2">
        <v>0</v>
      </c>
      <c r="BS1315" s="61">
        <f t="shared" si="1632"/>
        <v>-236.24999999999997</v>
      </c>
      <c r="BT1315" s="61">
        <f t="shared" si="1633"/>
        <v>0</v>
      </c>
      <c r="BU1315" s="61">
        <f t="shared" si="1634"/>
        <v>0</v>
      </c>
      <c r="BV1315" s="61">
        <f t="shared" si="1634"/>
        <v>0</v>
      </c>
      <c r="BW1315" s="61">
        <f t="shared" si="1634"/>
        <v>0</v>
      </c>
      <c r="BX1315" s="63">
        <f t="shared" si="1634"/>
        <v>-236.24999999999997</v>
      </c>
      <c r="BY1315" s="61" t="s">
        <v>91</v>
      </c>
      <c r="CA1315" s="61">
        <f t="shared" si="1622"/>
        <v>-35.542349932300283</v>
      </c>
      <c r="CB1315" s="61">
        <f t="shared" si="1622"/>
        <v>-35.542349932300283</v>
      </c>
      <c r="CC1315" s="61">
        <f t="shared" si="1622"/>
        <v>0</v>
      </c>
      <c r="CD1315" s="61">
        <f t="shared" si="1622"/>
        <v>0</v>
      </c>
      <c r="CE1315" s="61">
        <f t="shared" si="1622"/>
        <v>0</v>
      </c>
      <c r="CF1315" s="61">
        <f t="shared" si="1622"/>
        <v>0</v>
      </c>
      <c r="CG1315" s="61">
        <f t="shared" si="1622"/>
        <v>0</v>
      </c>
      <c r="CH1315" s="61">
        <f t="shared" si="1647"/>
        <v>0</v>
      </c>
      <c r="CI1315" s="61">
        <f t="shared" si="1561"/>
        <v>-10.662704979690085</v>
      </c>
      <c r="CJ1315" s="267"/>
      <c r="CK1315" s="61">
        <f t="shared" si="1623"/>
        <v>-35.542349932300283</v>
      </c>
      <c r="CL1315" s="61">
        <f t="shared" si="1619"/>
        <v>-35.542349932300283</v>
      </c>
      <c r="CM1315" s="61">
        <f t="shared" si="1619"/>
        <v>0</v>
      </c>
      <c r="CN1315" s="61">
        <f t="shared" si="1619"/>
        <v>0</v>
      </c>
      <c r="CO1315" s="61">
        <f t="shared" si="1619"/>
        <v>0</v>
      </c>
      <c r="CP1315" s="61">
        <f t="shared" si="1619"/>
        <v>0</v>
      </c>
      <c r="CQ1315" s="61">
        <f t="shared" si="1619"/>
        <v>0</v>
      </c>
      <c r="CR1315" s="61">
        <f t="shared" si="1619"/>
        <v>0</v>
      </c>
      <c r="CS1315" s="61">
        <f t="shared" si="1562"/>
        <v>-10.662704979690085</v>
      </c>
      <c r="CT1315" s="63">
        <f t="shared" si="1569"/>
        <v>-70.875</v>
      </c>
      <c r="CU1315" s="73"/>
      <c r="CV1315" s="61">
        <f t="shared" si="1644"/>
        <v>0</v>
      </c>
      <c r="CW1315" s="61">
        <f t="shared" si="1564"/>
        <v>0</v>
      </c>
      <c r="CY1315" s="61">
        <f t="shared" si="1648"/>
        <v>0</v>
      </c>
      <c r="CZ1315" s="61">
        <f t="shared" si="1648"/>
        <v>0</v>
      </c>
      <c r="DA1315" s="61">
        <f t="shared" si="1648"/>
        <v>0</v>
      </c>
      <c r="DB1315" s="2" t="s">
        <v>86</v>
      </c>
      <c r="DC1315" s="2" t="s">
        <v>86</v>
      </c>
      <c r="DD1315" s="2" t="s">
        <v>87</v>
      </c>
      <c r="DE1315" s="2" t="s">
        <v>106</v>
      </c>
      <c r="DF1315" s="3" t="s">
        <v>86</v>
      </c>
      <c r="DG1315" s="62">
        <v>43111</v>
      </c>
      <c r="EC1315" s="60" t="str">
        <f>VLOOKUP($M1315,[1]Detail!$M:$BO,1,0)</f>
        <v>JD8T -14014 -VA </v>
      </c>
      <c r="ED1315" s="60">
        <f>VLOOKUP($M1315,[1]Detail!$M:$BO,22,0)</f>
        <v>-450.60999999999996</v>
      </c>
      <c r="EE1315" s="60">
        <f>VLOOKUP($M1315,[1]Detail!$M:$BO,42,0)</f>
        <v>0</v>
      </c>
      <c r="EF1315" s="60">
        <f>VLOOKUP($M1315,[1]Detail!$M:$BO,45,0)</f>
        <v>0</v>
      </c>
      <c r="EH1315" s="60">
        <f t="shared" si="1640"/>
        <v>0</v>
      </c>
      <c r="EI1315" s="60">
        <f t="shared" si="1641"/>
        <v>0</v>
      </c>
      <c r="EJ1315" s="60">
        <f t="shared" si="1642"/>
        <v>0</v>
      </c>
    </row>
    <row r="1316" spans="2:140" ht="12.75" hidden="1" customHeight="1">
      <c r="B1316" s="1" t="s">
        <v>2176</v>
      </c>
      <c r="C1316" s="22" t="s">
        <v>2177</v>
      </c>
      <c r="D1316" s="149" t="s">
        <v>2178</v>
      </c>
      <c r="E1316" s="86" t="s">
        <v>1591</v>
      </c>
      <c r="F1316" s="85" t="s">
        <v>2072</v>
      </c>
      <c r="G1316" s="297" t="s">
        <v>994</v>
      </c>
      <c r="J1316" s="298" t="s">
        <v>155</v>
      </c>
      <c r="K1316" s="299" t="s">
        <v>2201</v>
      </c>
      <c r="L1316" s="3" t="s">
        <v>769</v>
      </c>
      <c r="M1316" s="51" t="str">
        <f t="shared" si="1549"/>
        <v>JD8T -14324 -AA </v>
      </c>
      <c r="O1316" s="89">
        <v>1</v>
      </c>
      <c r="P1316" s="89">
        <v>0</v>
      </c>
      <c r="Q1316" s="89">
        <v>1</v>
      </c>
      <c r="R1316" s="89">
        <v>0</v>
      </c>
      <c r="S1316" s="89">
        <v>1</v>
      </c>
      <c r="T1316" s="89">
        <v>1</v>
      </c>
      <c r="U1316" s="89">
        <v>0</v>
      </c>
      <c r="V1316" s="89">
        <v>0</v>
      </c>
      <c r="W1316" s="164">
        <f t="shared" ref="W1316:W1379" si="1650">SUMPRODUCT(O1316:V1316,$O$6:$V$6)</f>
        <v>0.51</v>
      </c>
      <c r="Y1316" s="8">
        <v>-21.71</v>
      </c>
      <c r="Z1316" s="63">
        <v>-0.28000000000000003</v>
      </c>
      <c r="AA1316" s="63">
        <v>-0.28999999999999998</v>
      </c>
      <c r="AB1316" s="63"/>
      <c r="AC1316" s="63"/>
      <c r="AD1316" s="8">
        <f t="shared" si="1645"/>
        <v>-22.28</v>
      </c>
      <c r="AE1316" s="2" t="s">
        <v>84</v>
      </c>
      <c r="AG1316" s="300"/>
      <c r="AH1316" s="300"/>
      <c r="AJ1316" s="300"/>
      <c r="AK1316" s="176"/>
      <c r="AM1316" s="22"/>
      <c r="AO1316" s="298" t="s">
        <v>1735</v>
      </c>
      <c r="AP1316" s="297" t="s">
        <v>2201</v>
      </c>
      <c r="AQ1316" s="3" t="s">
        <v>2184</v>
      </c>
      <c r="AR1316" s="90" t="str">
        <f t="shared" si="1566"/>
        <v>ED8T -14324 -CA </v>
      </c>
      <c r="AT1316" s="89">
        <v>1</v>
      </c>
      <c r="AU1316" s="89">
        <v>0</v>
      </c>
      <c r="AV1316" s="89">
        <v>1</v>
      </c>
      <c r="AW1316" s="89">
        <v>0</v>
      </c>
      <c r="AX1316" s="89">
        <v>1</v>
      </c>
      <c r="AY1316" s="89">
        <v>1</v>
      </c>
      <c r="AZ1316" s="89">
        <v>0</v>
      </c>
      <c r="BA1316" s="89">
        <v>0</v>
      </c>
      <c r="BB1316" s="89">
        <f t="shared" si="1649"/>
        <v>0.51</v>
      </c>
      <c r="BD1316" s="60">
        <v>-223.14</v>
      </c>
      <c r="BE1316" s="63">
        <v>-0.82</v>
      </c>
      <c r="BF1316" s="63">
        <v>-0.7</v>
      </c>
      <c r="BG1316" s="63">
        <v>0</v>
      </c>
      <c r="BH1316" s="63">
        <v>0</v>
      </c>
      <c r="BI1316" s="8">
        <f t="shared" si="1646"/>
        <v>-224.65999999999997</v>
      </c>
      <c r="BJ1316" s="2" t="s">
        <v>84</v>
      </c>
      <c r="BL1316" s="63"/>
      <c r="BM1316" s="63">
        <v>0</v>
      </c>
      <c r="BN1316" s="267"/>
      <c r="BO1316" s="63">
        <v>0</v>
      </c>
      <c r="BP1316" s="63">
        <v>0</v>
      </c>
      <c r="BQ1316" s="2">
        <v>0</v>
      </c>
      <c r="BS1316" s="61">
        <f t="shared" si="1632"/>
        <v>201.42999999999998</v>
      </c>
      <c r="BT1316" s="61">
        <f t="shared" si="1633"/>
        <v>0.53999999999999992</v>
      </c>
      <c r="BU1316" s="61">
        <f t="shared" si="1634"/>
        <v>0.41</v>
      </c>
      <c r="BV1316" s="61">
        <f t="shared" si="1634"/>
        <v>0</v>
      </c>
      <c r="BW1316" s="61">
        <f t="shared" si="1634"/>
        <v>0</v>
      </c>
      <c r="BX1316" s="63">
        <f t="shared" si="1634"/>
        <v>202.37999999999997</v>
      </c>
      <c r="BY1316" s="61" t="s">
        <v>91</v>
      </c>
      <c r="CA1316" s="61">
        <f t="shared" si="1622"/>
        <v>30.303896494659242</v>
      </c>
      <c r="CB1316" s="61">
        <f t="shared" si="1622"/>
        <v>0</v>
      </c>
      <c r="CC1316" s="61">
        <f t="shared" si="1622"/>
        <v>30.303896494659242</v>
      </c>
      <c r="CD1316" s="61">
        <f t="shared" si="1622"/>
        <v>0</v>
      </c>
      <c r="CE1316" s="61">
        <f t="shared" si="1622"/>
        <v>30.303896494659242</v>
      </c>
      <c r="CF1316" s="61">
        <f t="shared" si="1622"/>
        <v>30.303896494659242</v>
      </c>
      <c r="CG1316" s="61">
        <f t="shared" si="1622"/>
        <v>0</v>
      </c>
      <c r="CH1316" s="61">
        <f t="shared" si="1647"/>
        <v>0</v>
      </c>
      <c r="CI1316" s="61">
        <f t="shared" si="1561"/>
        <v>15.454987212276215</v>
      </c>
      <c r="CJ1316" s="267"/>
      <c r="CK1316" s="61">
        <f t="shared" si="1623"/>
        <v>30.446818113434627</v>
      </c>
      <c r="CL1316" s="61">
        <f t="shared" si="1619"/>
        <v>0</v>
      </c>
      <c r="CM1316" s="61">
        <f t="shared" si="1619"/>
        <v>30.446818113434627</v>
      </c>
      <c r="CN1316" s="61">
        <f t="shared" si="1619"/>
        <v>0</v>
      </c>
      <c r="CO1316" s="61">
        <f t="shared" si="1619"/>
        <v>30.446818113434627</v>
      </c>
      <c r="CP1316" s="61">
        <f t="shared" si="1619"/>
        <v>30.446818113434627</v>
      </c>
      <c r="CQ1316" s="61">
        <f t="shared" si="1619"/>
        <v>0</v>
      </c>
      <c r="CR1316" s="61">
        <f t="shared" si="1619"/>
        <v>0</v>
      </c>
      <c r="CS1316" s="61">
        <f t="shared" si="1562"/>
        <v>15.527877237851659</v>
      </c>
      <c r="CT1316" s="63">
        <f t="shared" si="1569"/>
        <v>103.21379999999998</v>
      </c>
      <c r="CU1316" s="73"/>
      <c r="CV1316" s="61">
        <f t="shared" si="1644"/>
        <v>0</v>
      </c>
      <c r="CW1316" s="61">
        <f t="shared" si="1564"/>
        <v>0</v>
      </c>
      <c r="CY1316" s="61">
        <f t="shared" si="1648"/>
        <v>0</v>
      </c>
      <c r="CZ1316" s="61">
        <f t="shared" si="1648"/>
        <v>0</v>
      </c>
      <c r="DA1316" s="61">
        <f t="shared" si="1648"/>
        <v>0</v>
      </c>
      <c r="DB1316" s="2" t="s">
        <v>86</v>
      </c>
      <c r="DC1316" s="2" t="s">
        <v>86</v>
      </c>
      <c r="DD1316" s="2" t="s">
        <v>87</v>
      </c>
      <c r="DE1316" s="2" t="s">
        <v>106</v>
      </c>
      <c r="DF1316" s="3" t="s">
        <v>86</v>
      </c>
      <c r="DG1316" s="62">
        <v>43111</v>
      </c>
      <c r="EC1316" s="60" t="str">
        <f>VLOOKUP($M1316,[1]Detail!$M:$BO,1,0)</f>
        <v>JD8T -14324 -AA </v>
      </c>
      <c r="ED1316" s="60">
        <f>VLOOKUP($M1316,[1]Detail!$M:$BO,22,0)</f>
        <v>-22.28</v>
      </c>
      <c r="EE1316" s="60">
        <f>VLOOKUP($M1316,[1]Detail!$M:$BO,42,0)</f>
        <v>0</v>
      </c>
      <c r="EF1316" s="60">
        <f>VLOOKUP($M1316,[1]Detail!$M:$BO,45,0)</f>
        <v>0</v>
      </c>
      <c r="EH1316" s="60">
        <f t="shared" si="1640"/>
        <v>0</v>
      </c>
      <c r="EI1316" s="60">
        <f t="shared" si="1641"/>
        <v>0</v>
      </c>
      <c r="EJ1316" s="60">
        <f t="shared" si="1642"/>
        <v>0</v>
      </c>
    </row>
    <row r="1317" spans="2:140" ht="12.75" hidden="1" customHeight="1">
      <c r="B1317" s="1" t="s">
        <v>2176</v>
      </c>
      <c r="C1317" s="22" t="s">
        <v>2177</v>
      </c>
      <c r="D1317" s="149" t="s">
        <v>2178</v>
      </c>
      <c r="E1317" s="86" t="s">
        <v>1591</v>
      </c>
      <c r="F1317" s="85" t="s">
        <v>2072</v>
      </c>
      <c r="G1317" s="297" t="s">
        <v>994</v>
      </c>
      <c r="J1317" s="298" t="s">
        <v>155</v>
      </c>
      <c r="K1317" s="299" t="s">
        <v>2201</v>
      </c>
      <c r="L1317" s="3" t="s">
        <v>2182</v>
      </c>
      <c r="M1317" s="51" t="str">
        <f t="shared" si="1549"/>
        <v>JD8T -14324 -BA </v>
      </c>
      <c r="O1317" s="89">
        <v>0</v>
      </c>
      <c r="P1317" s="89">
        <v>1</v>
      </c>
      <c r="Q1317" s="89">
        <v>0</v>
      </c>
      <c r="R1317" s="89">
        <v>1</v>
      </c>
      <c r="S1317" s="89">
        <v>0</v>
      </c>
      <c r="T1317" s="89">
        <v>0</v>
      </c>
      <c r="U1317" s="89">
        <v>1</v>
      </c>
      <c r="V1317" s="89">
        <v>1</v>
      </c>
      <c r="W1317" s="164">
        <f t="shared" si="1650"/>
        <v>0.49</v>
      </c>
      <c r="Y1317" s="8">
        <v>-12.37</v>
      </c>
      <c r="Z1317" s="63">
        <v>-0.28000000000000003</v>
      </c>
      <c r="AA1317" s="63">
        <v>-0.28999999999999998</v>
      </c>
      <c r="AB1317" s="63"/>
      <c r="AC1317" s="63"/>
      <c r="AD1317" s="8">
        <f t="shared" si="1645"/>
        <v>-12.939999999999998</v>
      </c>
      <c r="AE1317" s="2" t="s">
        <v>84</v>
      </c>
      <c r="AG1317" s="300"/>
      <c r="AH1317" s="300"/>
      <c r="AJ1317" s="300"/>
      <c r="AK1317" s="176"/>
      <c r="AM1317" s="22"/>
      <c r="AO1317" s="298" t="s">
        <v>1735</v>
      </c>
      <c r="AP1317" s="297" t="s">
        <v>2201</v>
      </c>
      <c r="AQ1317" s="3" t="s">
        <v>2202</v>
      </c>
      <c r="AR1317" s="90" t="str">
        <f t="shared" si="1566"/>
        <v>ED8T -14324 -AC </v>
      </c>
      <c r="AT1317" s="89">
        <v>0</v>
      </c>
      <c r="AU1317" s="89">
        <v>1</v>
      </c>
      <c r="AV1317" s="89">
        <v>0</v>
      </c>
      <c r="AW1317" s="89">
        <v>1</v>
      </c>
      <c r="AX1317" s="89">
        <v>0</v>
      </c>
      <c r="AY1317" s="89">
        <v>0</v>
      </c>
      <c r="AZ1317" s="89">
        <v>1</v>
      </c>
      <c r="BA1317" s="89">
        <v>1</v>
      </c>
      <c r="BB1317" s="89">
        <f t="shared" si="1649"/>
        <v>0.49</v>
      </c>
      <c r="BD1317" s="60">
        <v>-224.74</v>
      </c>
      <c r="BE1317" s="63">
        <v>-0.82</v>
      </c>
      <c r="BF1317" s="63">
        <v>-0.7</v>
      </c>
      <c r="BG1317" s="63">
        <v>0</v>
      </c>
      <c r="BH1317" s="63">
        <v>0</v>
      </c>
      <c r="BI1317" s="8">
        <f t="shared" si="1646"/>
        <v>-226.26</v>
      </c>
      <c r="BJ1317" s="2" t="s">
        <v>84</v>
      </c>
      <c r="BL1317" s="63"/>
      <c r="BM1317" s="63">
        <v>0</v>
      </c>
      <c r="BN1317" s="267"/>
      <c r="BO1317" s="63">
        <v>0</v>
      </c>
      <c r="BP1317" s="63">
        <v>0</v>
      </c>
      <c r="BQ1317" s="2">
        <v>0</v>
      </c>
      <c r="BS1317" s="61">
        <f t="shared" si="1632"/>
        <v>212.37</v>
      </c>
      <c r="BT1317" s="61">
        <f t="shared" si="1633"/>
        <v>0.53999999999999992</v>
      </c>
      <c r="BU1317" s="61">
        <f t="shared" si="1634"/>
        <v>0.41</v>
      </c>
      <c r="BV1317" s="61">
        <f t="shared" si="1634"/>
        <v>0</v>
      </c>
      <c r="BW1317" s="61">
        <f t="shared" si="1634"/>
        <v>0</v>
      </c>
      <c r="BX1317" s="63">
        <f t="shared" si="1634"/>
        <v>213.32</v>
      </c>
      <c r="BY1317" s="61" t="s">
        <v>91</v>
      </c>
      <c r="CA1317" s="61">
        <f t="shared" si="1622"/>
        <v>0</v>
      </c>
      <c r="CB1317" s="61">
        <f t="shared" si="1622"/>
        <v>31.949751767714758</v>
      </c>
      <c r="CC1317" s="61">
        <f t="shared" si="1622"/>
        <v>0</v>
      </c>
      <c r="CD1317" s="61">
        <f t="shared" si="1622"/>
        <v>31.949751767714758</v>
      </c>
      <c r="CE1317" s="61">
        <f t="shared" si="1622"/>
        <v>0</v>
      </c>
      <c r="CF1317" s="61">
        <f t="shared" si="1622"/>
        <v>0</v>
      </c>
      <c r="CG1317" s="61">
        <f t="shared" si="1622"/>
        <v>31.949751767714758</v>
      </c>
      <c r="CH1317" s="61">
        <f t="shared" si="1647"/>
        <v>31.949751767714758</v>
      </c>
      <c r="CI1317" s="61">
        <f t="shared" si="1561"/>
        <v>15.65537836618023</v>
      </c>
      <c r="CJ1317" s="267"/>
      <c r="CK1317" s="61">
        <f t="shared" si="1623"/>
        <v>0</v>
      </c>
      <c r="CL1317" s="61">
        <f t="shared" si="1619"/>
        <v>32.092673386490141</v>
      </c>
      <c r="CM1317" s="61">
        <f t="shared" si="1619"/>
        <v>0</v>
      </c>
      <c r="CN1317" s="61">
        <f t="shared" si="1619"/>
        <v>32.092673386490141</v>
      </c>
      <c r="CO1317" s="61">
        <f t="shared" si="1619"/>
        <v>0</v>
      </c>
      <c r="CP1317" s="61">
        <f t="shared" si="1619"/>
        <v>0</v>
      </c>
      <c r="CQ1317" s="61">
        <f t="shared" si="1619"/>
        <v>32.092673386490141</v>
      </c>
      <c r="CR1317" s="61">
        <f t="shared" si="1619"/>
        <v>32.092673386490141</v>
      </c>
      <c r="CS1317" s="61">
        <f t="shared" si="1562"/>
        <v>15.725409959380169</v>
      </c>
      <c r="CT1317" s="63">
        <f t="shared" si="1569"/>
        <v>104.52679999999999</v>
      </c>
      <c r="CU1317" s="73"/>
      <c r="CV1317" s="61">
        <f t="shared" si="1644"/>
        <v>0</v>
      </c>
      <c r="CW1317" s="61">
        <f t="shared" si="1564"/>
        <v>0</v>
      </c>
      <c r="CY1317" s="61">
        <f t="shared" si="1648"/>
        <v>0</v>
      </c>
      <c r="CZ1317" s="61">
        <f t="shared" si="1648"/>
        <v>0</v>
      </c>
      <c r="DA1317" s="61">
        <f t="shared" si="1648"/>
        <v>0</v>
      </c>
      <c r="DB1317" s="2" t="s">
        <v>86</v>
      </c>
      <c r="DC1317" s="2" t="s">
        <v>86</v>
      </c>
      <c r="DD1317" s="2" t="s">
        <v>87</v>
      </c>
      <c r="DE1317" s="2" t="s">
        <v>106</v>
      </c>
      <c r="DF1317" s="3" t="s">
        <v>86</v>
      </c>
      <c r="DG1317" s="62">
        <v>43111</v>
      </c>
      <c r="EC1317" s="60" t="str">
        <f>VLOOKUP($M1317,[1]Detail!$M:$BO,1,0)</f>
        <v>JD8T -14324 -BA </v>
      </c>
      <c r="ED1317" s="60">
        <f>VLOOKUP($M1317,[1]Detail!$M:$BO,22,0)</f>
        <v>-12.939999999999998</v>
      </c>
      <c r="EE1317" s="60">
        <f>VLOOKUP($M1317,[1]Detail!$M:$BO,42,0)</f>
        <v>0</v>
      </c>
      <c r="EF1317" s="60">
        <f>VLOOKUP($M1317,[1]Detail!$M:$BO,45,0)</f>
        <v>0</v>
      </c>
      <c r="EH1317" s="60">
        <f t="shared" si="1640"/>
        <v>0</v>
      </c>
      <c r="EI1317" s="60">
        <f t="shared" si="1641"/>
        <v>0</v>
      </c>
      <c r="EJ1317" s="60">
        <f t="shared" si="1642"/>
        <v>0</v>
      </c>
    </row>
    <row r="1318" spans="2:140" s="321" customFormat="1" ht="12.75" hidden="1" customHeight="1">
      <c r="B1318" s="315" t="s">
        <v>2176</v>
      </c>
      <c r="C1318" s="316" t="s">
        <v>2177</v>
      </c>
      <c r="D1318" s="317" t="s">
        <v>2178</v>
      </c>
      <c r="E1318" s="318" t="s">
        <v>1591</v>
      </c>
      <c r="F1318" s="319" t="s">
        <v>2072</v>
      </c>
      <c r="G1318" s="320" t="s">
        <v>994</v>
      </c>
      <c r="J1318" s="322" t="s">
        <v>155</v>
      </c>
      <c r="K1318" s="323" t="s">
        <v>2203</v>
      </c>
      <c r="L1318" s="324" t="s">
        <v>769</v>
      </c>
      <c r="M1318" s="325" t="str">
        <f t="shared" si="1549"/>
        <v>JD8T -14335 -AA </v>
      </c>
      <c r="N1318" s="324"/>
      <c r="O1318" s="326">
        <v>1</v>
      </c>
      <c r="P1318" s="326">
        <v>1</v>
      </c>
      <c r="Q1318" s="326">
        <v>0</v>
      </c>
      <c r="R1318" s="326">
        <v>0</v>
      </c>
      <c r="S1318" s="326">
        <v>0</v>
      </c>
      <c r="T1318" s="326">
        <v>0</v>
      </c>
      <c r="U1318" s="326">
        <v>0</v>
      </c>
      <c r="V1318" s="326">
        <v>0</v>
      </c>
      <c r="W1318" s="327">
        <f t="shared" si="1650"/>
        <v>0.30000000000000004</v>
      </c>
      <c r="Y1318" s="328">
        <v>-18.59</v>
      </c>
      <c r="Z1318" s="329">
        <v>-0.28000000000000003</v>
      </c>
      <c r="AA1318" s="329">
        <v>-0.14000000000000001</v>
      </c>
      <c r="AB1318" s="329">
        <v>0</v>
      </c>
      <c r="AC1318" s="329">
        <v>0</v>
      </c>
      <c r="AD1318" s="328">
        <f t="shared" si="1645"/>
        <v>-19.010000000000002</v>
      </c>
      <c r="AE1318" s="321" t="s">
        <v>84</v>
      </c>
      <c r="AG1318" s="330">
        <v>0</v>
      </c>
      <c r="AH1318" s="330">
        <v>0</v>
      </c>
      <c r="AJ1318" s="330">
        <v>0</v>
      </c>
      <c r="AK1318" s="331">
        <v>0</v>
      </c>
      <c r="AL1318" s="331">
        <v>0</v>
      </c>
      <c r="AM1318" s="7"/>
      <c r="AO1318" s="322" t="s">
        <v>1735</v>
      </c>
      <c r="AP1318" s="320" t="s">
        <v>2203</v>
      </c>
      <c r="AQ1318" s="324" t="s">
        <v>2204</v>
      </c>
      <c r="AR1318" s="332" t="str">
        <f t="shared" si="1566"/>
        <v>ED8T -14335 -AD </v>
      </c>
      <c r="AT1318" s="326">
        <v>1</v>
      </c>
      <c r="AU1318" s="326">
        <v>1</v>
      </c>
      <c r="AV1318" s="326">
        <v>0</v>
      </c>
      <c r="AW1318" s="326">
        <v>0</v>
      </c>
      <c r="AX1318" s="326">
        <v>0</v>
      </c>
      <c r="AY1318" s="326">
        <v>0</v>
      </c>
      <c r="AZ1318" s="326">
        <v>0</v>
      </c>
      <c r="BA1318" s="326">
        <v>0</v>
      </c>
      <c r="BB1318" s="326">
        <f t="shared" si="1649"/>
        <v>0.30000000000000004</v>
      </c>
      <c r="BD1318" s="328">
        <v>-18.559999999999999</v>
      </c>
      <c r="BE1318" s="329">
        <v>0</v>
      </c>
      <c r="BF1318" s="329">
        <v>0</v>
      </c>
      <c r="BG1318" s="329">
        <v>0</v>
      </c>
      <c r="BH1318" s="329">
        <v>0</v>
      </c>
      <c r="BI1318" s="328">
        <f t="shared" si="1646"/>
        <v>-18.559999999999999</v>
      </c>
      <c r="BJ1318" s="321" t="s">
        <v>84</v>
      </c>
      <c r="BL1318" s="329">
        <v>0</v>
      </c>
      <c r="BM1318" s="329">
        <v>0</v>
      </c>
      <c r="BN1318" s="333"/>
      <c r="BO1318" s="329">
        <v>0</v>
      </c>
      <c r="BP1318" s="329">
        <v>0</v>
      </c>
      <c r="BQ1318" s="321">
        <v>0</v>
      </c>
      <c r="BS1318" s="334">
        <f t="shared" si="1632"/>
        <v>-3.0000000000001137E-2</v>
      </c>
      <c r="BT1318" s="334">
        <f t="shared" si="1633"/>
        <v>-0.28000000000000003</v>
      </c>
      <c r="BU1318" s="334">
        <f t="shared" si="1634"/>
        <v>-0.14000000000000001</v>
      </c>
      <c r="BV1318" s="334">
        <f t="shared" si="1634"/>
        <v>0</v>
      </c>
      <c r="BW1318" s="334">
        <f t="shared" si="1634"/>
        <v>0</v>
      </c>
      <c r="BX1318" s="329">
        <f t="shared" si="1634"/>
        <v>-0.45000000000000284</v>
      </c>
      <c r="BY1318" s="334" t="s">
        <v>91</v>
      </c>
      <c r="CA1318" s="334">
        <f t="shared" si="1622"/>
        <v>-4.5133142771176674E-3</v>
      </c>
      <c r="CB1318" s="334">
        <f t="shared" si="1622"/>
        <v>-4.5133142771176674E-3</v>
      </c>
      <c r="CC1318" s="334">
        <f t="shared" si="1622"/>
        <v>0</v>
      </c>
      <c r="CD1318" s="334">
        <f t="shared" si="1622"/>
        <v>0</v>
      </c>
      <c r="CE1318" s="334">
        <f t="shared" si="1622"/>
        <v>0</v>
      </c>
      <c r="CF1318" s="334">
        <f t="shared" si="1622"/>
        <v>0</v>
      </c>
      <c r="CG1318" s="334">
        <f t="shared" si="1622"/>
        <v>0</v>
      </c>
      <c r="CH1318" s="334">
        <f t="shared" si="1647"/>
        <v>0</v>
      </c>
      <c r="CI1318" s="334">
        <f t="shared" si="1561"/>
        <v>-1.3539942831353002E-3</v>
      </c>
      <c r="CJ1318" s="333"/>
      <c r="CK1318" s="334">
        <f t="shared" si="1623"/>
        <v>-6.7699714156762875E-2</v>
      </c>
      <c r="CL1318" s="334">
        <f t="shared" si="1619"/>
        <v>-6.7699714156762875E-2</v>
      </c>
      <c r="CM1318" s="334">
        <f t="shared" si="1619"/>
        <v>0</v>
      </c>
      <c r="CN1318" s="334">
        <f t="shared" si="1619"/>
        <v>0</v>
      </c>
      <c r="CO1318" s="334">
        <f t="shared" si="1619"/>
        <v>0</v>
      </c>
      <c r="CP1318" s="334">
        <f t="shared" si="1619"/>
        <v>0</v>
      </c>
      <c r="CQ1318" s="334">
        <f t="shared" si="1619"/>
        <v>0</v>
      </c>
      <c r="CR1318" s="334">
        <f t="shared" si="1619"/>
        <v>0</v>
      </c>
      <c r="CS1318" s="334">
        <f t="shared" si="1562"/>
        <v>-2.0309914247028861E-2</v>
      </c>
      <c r="CT1318" s="329">
        <f t="shared" si="1569"/>
        <v>-0.13500000000000084</v>
      </c>
      <c r="CU1318" s="335"/>
      <c r="CV1318" s="334">
        <f t="shared" si="1644"/>
        <v>0</v>
      </c>
      <c r="CW1318" s="334">
        <f t="shared" si="1564"/>
        <v>0</v>
      </c>
      <c r="CY1318" s="334">
        <f t="shared" si="1648"/>
        <v>0</v>
      </c>
      <c r="CZ1318" s="334">
        <f t="shared" si="1648"/>
        <v>0</v>
      </c>
      <c r="DA1318" s="334">
        <f t="shared" si="1648"/>
        <v>0</v>
      </c>
      <c r="DB1318" s="321" t="s">
        <v>85</v>
      </c>
      <c r="DC1318" s="321" t="s">
        <v>86</v>
      </c>
      <c r="DD1318" s="321" t="s">
        <v>87</v>
      </c>
      <c r="DE1318" s="321" t="s">
        <v>106</v>
      </c>
      <c r="DF1318" s="324" t="s">
        <v>86</v>
      </c>
      <c r="DG1318" s="336">
        <v>43111</v>
      </c>
      <c r="DZ1318" s="324"/>
      <c r="EC1318" s="337"/>
      <c r="ED1318" s="337"/>
      <c r="EE1318" s="337"/>
      <c r="EF1318" s="337"/>
    </row>
    <row r="1319" spans="2:140" s="321" customFormat="1" ht="12.75" hidden="1" customHeight="1">
      <c r="B1319" s="315" t="s">
        <v>2176</v>
      </c>
      <c r="C1319" s="316" t="s">
        <v>2177</v>
      </c>
      <c r="D1319" s="317" t="s">
        <v>2178</v>
      </c>
      <c r="E1319" s="318" t="s">
        <v>1591</v>
      </c>
      <c r="F1319" s="319" t="s">
        <v>2072</v>
      </c>
      <c r="G1319" s="320" t="s">
        <v>994</v>
      </c>
      <c r="J1319" s="322" t="s">
        <v>155</v>
      </c>
      <c r="K1319" s="323" t="s">
        <v>2203</v>
      </c>
      <c r="L1319" s="324" t="s">
        <v>2182</v>
      </c>
      <c r="M1319" s="325" t="str">
        <f t="shared" si="1549"/>
        <v>JD8T -14335 -BA </v>
      </c>
      <c r="N1319" s="324"/>
      <c r="O1319" s="326">
        <v>0</v>
      </c>
      <c r="P1319" s="326">
        <v>0</v>
      </c>
      <c r="Q1319" s="326">
        <v>1</v>
      </c>
      <c r="R1319" s="326">
        <v>1</v>
      </c>
      <c r="S1319" s="326">
        <v>0</v>
      </c>
      <c r="T1319" s="326">
        <v>0</v>
      </c>
      <c r="U1319" s="326">
        <v>0</v>
      </c>
      <c r="V1319" s="326">
        <v>0</v>
      </c>
      <c r="W1319" s="327">
        <f t="shared" si="1650"/>
        <v>0.37</v>
      </c>
      <c r="Y1319" s="328">
        <v>-26.94</v>
      </c>
      <c r="Z1319" s="329">
        <v>-0.28000000000000003</v>
      </c>
      <c r="AA1319" s="329">
        <v>-0.14000000000000001</v>
      </c>
      <c r="AB1319" s="329">
        <v>0</v>
      </c>
      <c r="AC1319" s="329">
        <v>0</v>
      </c>
      <c r="AD1319" s="328">
        <f t="shared" si="1645"/>
        <v>-27.360000000000003</v>
      </c>
      <c r="AE1319" s="321" t="s">
        <v>84</v>
      </c>
      <c r="AG1319" s="330">
        <v>0</v>
      </c>
      <c r="AH1319" s="330">
        <v>0</v>
      </c>
      <c r="AJ1319" s="330">
        <v>0</v>
      </c>
      <c r="AK1319" s="331">
        <v>0</v>
      </c>
      <c r="AL1319" s="331">
        <v>0</v>
      </c>
      <c r="AM1319" s="7"/>
      <c r="AO1319" s="322" t="s">
        <v>1735</v>
      </c>
      <c r="AP1319" s="320" t="s">
        <v>2203</v>
      </c>
      <c r="AQ1319" s="324" t="s">
        <v>2205</v>
      </c>
      <c r="AR1319" s="332" t="str">
        <f t="shared" si="1566"/>
        <v>ED8T -14335 -BD </v>
      </c>
      <c r="AT1319" s="326">
        <v>0</v>
      </c>
      <c r="AU1319" s="326">
        <v>0</v>
      </c>
      <c r="AV1319" s="326">
        <v>1</v>
      </c>
      <c r="AW1319" s="326">
        <v>1</v>
      </c>
      <c r="AX1319" s="326">
        <v>0</v>
      </c>
      <c r="AY1319" s="326">
        <v>0</v>
      </c>
      <c r="AZ1319" s="326">
        <v>0</v>
      </c>
      <c r="BA1319" s="326">
        <v>0</v>
      </c>
      <c r="BB1319" s="326">
        <f t="shared" si="1649"/>
        <v>0.37</v>
      </c>
      <c r="BD1319" s="328">
        <v>-26.96</v>
      </c>
      <c r="BE1319" s="329">
        <v>0</v>
      </c>
      <c r="BF1319" s="329">
        <v>0</v>
      </c>
      <c r="BG1319" s="329">
        <v>0</v>
      </c>
      <c r="BH1319" s="329">
        <v>0</v>
      </c>
      <c r="BI1319" s="328">
        <f t="shared" si="1646"/>
        <v>-26.96</v>
      </c>
      <c r="BJ1319" s="321" t="s">
        <v>84</v>
      </c>
      <c r="BL1319" s="329">
        <v>0</v>
      </c>
      <c r="BM1319" s="329">
        <v>0</v>
      </c>
      <c r="BN1319" s="333"/>
      <c r="BO1319" s="329">
        <v>0</v>
      </c>
      <c r="BP1319" s="329">
        <v>0</v>
      </c>
      <c r="BQ1319" s="321">
        <v>0</v>
      </c>
      <c r="BS1319" s="334">
        <f t="shared" ref="BS1319:BS1321" si="1651">SUM(Y1319)-SUM(BD1319)</f>
        <v>1.9999999999999574E-2</v>
      </c>
      <c r="BT1319" s="334">
        <f t="shared" ref="BT1319:BT1321" si="1652">SUM(Z1319)-SUM(BE1319)</f>
        <v>-0.28000000000000003</v>
      </c>
      <c r="BU1319" s="334">
        <f t="shared" si="1634"/>
        <v>-0.14000000000000001</v>
      </c>
      <c r="BV1319" s="334">
        <f t="shared" si="1634"/>
        <v>0</v>
      </c>
      <c r="BW1319" s="334">
        <f t="shared" si="1634"/>
        <v>0</v>
      </c>
      <c r="BX1319" s="329">
        <f t="shared" si="1634"/>
        <v>-0.40000000000000213</v>
      </c>
      <c r="BY1319" s="334" t="s">
        <v>91</v>
      </c>
      <c r="CA1319" s="334">
        <f t="shared" si="1622"/>
        <v>0</v>
      </c>
      <c r="CB1319" s="334">
        <f t="shared" si="1622"/>
        <v>0</v>
      </c>
      <c r="CC1319" s="334">
        <f t="shared" si="1622"/>
        <v>3.0088761847449335E-3</v>
      </c>
      <c r="CD1319" s="334">
        <f t="shared" si="1622"/>
        <v>3.0088761847449335E-3</v>
      </c>
      <c r="CE1319" s="334">
        <f t="shared" si="1622"/>
        <v>0</v>
      </c>
      <c r="CF1319" s="334">
        <f t="shared" si="1622"/>
        <v>0</v>
      </c>
      <c r="CG1319" s="334">
        <f t="shared" si="1622"/>
        <v>0</v>
      </c>
      <c r="CH1319" s="334">
        <f t="shared" si="1647"/>
        <v>0</v>
      </c>
      <c r="CI1319" s="334">
        <f t="shared" si="1561"/>
        <v>1.1132841883556253E-3</v>
      </c>
      <c r="CJ1319" s="333"/>
      <c r="CK1319" s="334">
        <f t="shared" si="1623"/>
        <v>0</v>
      </c>
      <c r="CL1319" s="334">
        <f t="shared" si="1619"/>
        <v>0</v>
      </c>
      <c r="CM1319" s="334">
        <f t="shared" si="1619"/>
        <v>-6.0177523694900273E-2</v>
      </c>
      <c r="CN1319" s="334">
        <f t="shared" si="1619"/>
        <v>-6.0177523694900273E-2</v>
      </c>
      <c r="CO1319" s="334">
        <f t="shared" si="1619"/>
        <v>0</v>
      </c>
      <c r="CP1319" s="334">
        <f t="shared" si="1619"/>
        <v>0</v>
      </c>
      <c r="CQ1319" s="334">
        <f t="shared" si="1619"/>
        <v>0</v>
      </c>
      <c r="CR1319" s="334">
        <f t="shared" si="1619"/>
        <v>0</v>
      </c>
      <c r="CS1319" s="334">
        <f t="shared" si="1562"/>
        <v>-2.2265683767113104E-2</v>
      </c>
      <c r="CT1319" s="329">
        <f t="shared" si="1569"/>
        <v>-0.1480000000000008</v>
      </c>
      <c r="CU1319" s="335"/>
      <c r="CV1319" s="334">
        <f t="shared" ref="CV1319:CW1321" si="1653">SUM(AG1319)-SUM(BL1319)</f>
        <v>0</v>
      </c>
      <c r="CW1319" s="334">
        <f t="shared" si="1653"/>
        <v>0</v>
      </c>
      <c r="CY1319" s="334">
        <f t="shared" si="1648"/>
        <v>0</v>
      </c>
      <c r="CZ1319" s="334">
        <f t="shared" si="1648"/>
        <v>0</v>
      </c>
      <c r="DA1319" s="334">
        <f t="shared" si="1648"/>
        <v>0</v>
      </c>
      <c r="DB1319" s="321" t="s">
        <v>85</v>
      </c>
      <c r="DC1319" s="321" t="s">
        <v>86</v>
      </c>
      <c r="DD1319" s="321" t="s">
        <v>87</v>
      </c>
      <c r="DE1319" s="321" t="s">
        <v>106</v>
      </c>
      <c r="DF1319" s="324" t="s">
        <v>86</v>
      </c>
      <c r="DG1319" s="336">
        <v>43111</v>
      </c>
      <c r="DZ1319" s="324"/>
      <c r="EC1319" s="337"/>
      <c r="ED1319" s="337"/>
      <c r="EE1319" s="337"/>
      <c r="EF1319" s="337"/>
    </row>
    <row r="1320" spans="2:140" s="321" customFormat="1" ht="12.75" hidden="1" customHeight="1">
      <c r="B1320" s="315" t="s">
        <v>2176</v>
      </c>
      <c r="C1320" s="316" t="s">
        <v>2177</v>
      </c>
      <c r="D1320" s="317" t="s">
        <v>2178</v>
      </c>
      <c r="E1320" s="318" t="s">
        <v>1591</v>
      </c>
      <c r="F1320" s="319" t="s">
        <v>2072</v>
      </c>
      <c r="G1320" s="320" t="s">
        <v>994</v>
      </c>
      <c r="J1320" s="322" t="s">
        <v>155</v>
      </c>
      <c r="K1320" s="323" t="s">
        <v>2203</v>
      </c>
      <c r="L1320" s="324" t="s">
        <v>2184</v>
      </c>
      <c r="M1320" s="325" t="str">
        <f t="shared" si="1549"/>
        <v>JD8T -14335 -CA </v>
      </c>
      <c r="N1320" s="324"/>
      <c r="O1320" s="326">
        <v>0</v>
      </c>
      <c r="P1320" s="326">
        <v>0</v>
      </c>
      <c r="Q1320" s="326">
        <v>0</v>
      </c>
      <c r="R1320" s="326">
        <v>0</v>
      </c>
      <c r="S1320" s="326">
        <v>1</v>
      </c>
      <c r="T1320" s="326">
        <v>1</v>
      </c>
      <c r="U1320" s="326">
        <v>1</v>
      </c>
      <c r="V1320" s="326">
        <v>1</v>
      </c>
      <c r="W1320" s="327">
        <f t="shared" si="1650"/>
        <v>0.33</v>
      </c>
      <c r="Y1320" s="328">
        <v>-32.1</v>
      </c>
      <c r="Z1320" s="329">
        <v>-0.28000000000000003</v>
      </c>
      <c r="AA1320" s="329">
        <v>-0.14000000000000001</v>
      </c>
      <c r="AB1320" s="329">
        <v>0</v>
      </c>
      <c r="AC1320" s="329">
        <v>0</v>
      </c>
      <c r="AD1320" s="328">
        <f t="shared" si="1645"/>
        <v>-32.520000000000003</v>
      </c>
      <c r="AE1320" s="321" t="s">
        <v>84</v>
      </c>
      <c r="AG1320" s="330">
        <v>0</v>
      </c>
      <c r="AH1320" s="330">
        <v>0</v>
      </c>
      <c r="AJ1320" s="330">
        <v>0</v>
      </c>
      <c r="AK1320" s="331">
        <v>0</v>
      </c>
      <c r="AL1320" s="331">
        <v>0</v>
      </c>
      <c r="AM1320" s="7"/>
      <c r="AO1320" s="322" t="s">
        <v>1735</v>
      </c>
      <c r="AP1320" s="320" t="s">
        <v>2203</v>
      </c>
      <c r="AQ1320" s="324" t="s">
        <v>2205</v>
      </c>
      <c r="AR1320" s="332" t="str">
        <f t="shared" si="1566"/>
        <v>ED8T -14335 -BD </v>
      </c>
      <c r="AT1320" s="326">
        <v>0</v>
      </c>
      <c r="AU1320" s="326">
        <v>0</v>
      </c>
      <c r="AV1320" s="326">
        <v>0</v>
      </c>
      <c r="AW1320" s="326">
        <v>0</v>
      </c>
      <c r="AX1320" s="326">
        <v>1</v>
      </c>
      <c r="AY1320" s="326">
        <v>1</v>
      </c>
      <c r="AZ1320" s="326">
        <v>1</v>
      </c>
      <c r="BA1320" s="326">
        <v>1</v>
      </c>
      <c r="BB1320" s="326">
        <f t="shared" si="1649"/>
        <v>0.33</v>
      </c>
      <c r="BD1320" s="328">
        <v>-26.96</v>
      </c>
      <c r="BE1320" s="329">
        <v>0</v>
      </c>
      <c r="BF1320" s="329">
        <v>0</v>
      </c>
      <c r="BG1320" s="329">
        <v>0</v>
      </c>
      <c r="BH1320" s="329">
        <v>0</v>
      </c>
      <c r="BI1320" s="328">
        <f t="shared" si="1646"/>
        <v>-26.96</v>
      </c>
      <c r="BJ1320" s="321" t="s">
        <v>84</v>
      </c>
      <c r="BL1320" s="329">
        <v>0</v>
      </c>
      <c r="BM1320" s="329">
        <v>0</v>
      </c>
      <c r="BN1320" s="333"/>
      <c r="BO1320" s="329">
        <v>0</v>
      </c>
      <c r="BP1320" s="329">
        <v>0</v>
      </c>
      <c r="BQ1320" s="321">
        <v>0</v>
      </c>
      <c r="BS1320" s="334">
        <f t="shared" si="1651"/>
        <v>-5.1400000000000006</v>
      </c>
      <c r="BT1320" s="334">
        <f t="shared" si="1652"/>
        <v>-0.28000000000000003</v>
      </c>
      <c r="BU1320" s="334">
        <f t="shared" si="1634"/>
        <v>-0.14000000000000001</v>
      </c>
      <c r="BV1320" s="334">
        <f t="shared" si="1634"/>
        <v>0</v>
      </c>
      <c r="BW1320" s="334">
        <f t="shared" si="1634"/>
        <v>0</v>
      </c>
      <c r="BX1320" s="329">
        <f t="shared" si="1634"/>
        <v>-5.5600000000000023</v>
      </c>
      <c r="BY1320" s="334" t="s">
        <v>91</v>
      </c>
      <c r="CA1320" s="334">
        <f t="shared" si="1622"/>
        <v>0</v>
      </c>
      <c r="CB1320" s="334">
        <f t="shared" si="1622"/>
        <v>0</v>
      </c>
      <c r="CC1320" s="334">
        <f t="shared" si="1622"/>
        <v>0</v>
      </c>
      <c r="CD1320" s="334">
        <f t="shared" si="1622"/>
        <v>0</v>
      </c>
      <c r="CE1320" s="334">
        <f t="shared" si="1622"/>
        <v>-0.77328117947946451</v>
      </c>
      <c r="CF1320" s="334">
        <f t="shared" si="1622"/>
        <v>-0.77328117947946451</v>
      </c>
      <c r="CG1320" s="334">
        <f t="shared" si="1622"/>
        <v>-0.77328117947946451</v>
      </c>
      <c r="CH1320" s="334">
        <f t="shared" si="1647"/>
        <v>-0.77328117947946451</v>
      </c>
      <c r="CI1320" s="334">
        <f t="shared" si="1561"/>
        <v>-0.25518278922822329</v>
      </c>
      <c r="CJ1320" s="333"/>
      <c r="CK1320" s="334">
        <f t="shared" si="1623"/>
        <v>0</v>
      </c>
      <c r="CL1320" s="334">
        <f t="shared" si="1619"/>
        <v>0</v>
      </c>
      <c r="CM1320" s="334">
        <f t="shared" si="1619"/>
        <v>0</v>
      </c>
      <c r="CN1320" s="334">
        <f t="shared" si="1619"/>
        <v>0</v>
      </c>
      <c r="CO1320" s="334">
        <f t="shared" si="1619"/>
        <v>-0.83646757935910965</v>
      </c>
      <c r="CP1320" s="334">
        <f t="shared" si="1619"/>
        <v>-0.83646757935910965</v>
      </c>
      <c r="CQ1320" s="334">
        <f t="shared" si="1619"/>
        <v>-0.83646757935910965</v>
      </c>
      <c r="CR1320" s="334">
        <f t="shared" si="1619"/>
        <v>-0.83646757935910965</v>
      </c>
      <c r="CS1320" s="334">
        <f t="shared" si="1562"/>
        <v>-0.27603430118850619</v>
      </c>
      <c r="CT1320" s="329">
        <f t="shared" si="1569"/>
        <v>-1.8348000000000007</v>
      </c>
      <c r="CU1320" s="335"/>
      <c r="CV1320" s="334">
        <f t="shared" si="1653"/>
        <v>0</v>
      </c>
      <c r="CW1320" s="334">
        <f t="shared" si="1653"/>
        <v>0</v>
      </c>
      <c r="CY1320" s="334">
        <f t="shared" si="1648"/>
        <v>0</v>
      </c>
      <c r="CZ1320" s="334">
        <f t="shared" si="1648"/>
        <v>0</v>
      </c>
      <c r="DA1320" s="334">
        <f t="shared" si="1648"/>
        <v>0</v>
      </c>
      <c r="DB1320" s="321" t="s">
        <v>85</v>
      </c>
      <c r="DC1320" s="321" t="s">
        <v>86</v>
      </c>
      <c r="DD1320" s="321" t="s">
        <v>87</v>
      </c>
      <c r="DE1320" s="321" t="s">
        <v>106</v>
      </c>
      <c r="DF1320" s="324" t="s">
        <v>86</v>
      </c>
      <c r="DG1320" s="336">
        <v>43111</v>
      </c>
      <c r="DZ1320" s="324"/>
      <c r="EC1320" s="337"/>
      <c r="ED1320" s="337"/>
      <c r="EE1320" s="337"/>
      <c r="EF1320" s="337"/>
    </row>
    <row r="1321" spans="2:140" s="321" customFormat="1" ht="12.75" hidden="1" customHeight="1">
      <c r="B1321" s="315" t="s">
        <v>2176</v>
      </c>
      <c r="C1321" s="316" t="s">
        <v>2177</v>
      </c>
      <c r="D1321" s="317" t="s">
        <v>2178</v>
      </c>
      <c r="E1321" s="318" t="s">
        <v>1591</v>
      </c>
      <c r="F1321" s="319" t="s">
        <v>2072</v>
      </c>
      <c r="G1321" s="320" t="s">
        <v>994</v>
      </c>
      <c r="J1321" s="322" t="s">
        <v>155</v>
      </c>
      <c r="K1321" s="323" t="s">
        <v>2203</v>
      </c>
      <c r="L1321" s="324" t="s">
        <v>2188</v>
      </c>
      <c r="M1321" s="325" t="str">
        <f t="shared" si="1549"/>
        <v>JD8T -14335 -EA </v>
      </c>
      <c r="N1321" s="324"/>
      <c r="O1321" s="326">
        <v>0</v>
      </c>
      <c r="P1321" s="326">
        <v>0</v>
      </c>
      <c r="Q1321" s="326">
        <v>1</v>
      </c>
      <c r="R1321" s="326">
        <v>1</v>
      </c>
      <c r="S1321" s="326">
        <v>0</v>
      </c>
      <c r="T1321" s="326">
        <v>0</v>
      </c>
      <c r="U1321" s="326">
        <v>0</v>
      </c>
      <c r="V1321" s="326">
        <v>0</v>
      </c>
      <c r="W1321" s="327">
        <f t="shared" si="1650"/>
        <v>0.37</v>
      </c>
      <c r="Y1321" s="328">
        <v>-24.34</v>
      </c>
      <c r="Z1321" s="329">
        <v>-0.28000000000000003</v>
      </c>
      <c r="AA1321" s="329">
        <v>-0.14000000000000001</v>
      </c>
      <c r="AB1321" s="329">
        <v>0</v>
      </c>
      <c r="AC1321" s="329">
        <v>0</v>
      </c>
      <c r="AD1321" s="328">
        <f t="shared" si="1645"/>
        <v>-24.76</v>
      </c>
      <c r="AE1321" s="321" t="s">
        <v>84</v>
      </c>
      <c r="AG1321" s="330">
        <v>0</v>
      </c>
      <c r="AH1321" s="330">
        <v>0</v>
      </c>
      <c r="AJ1321" s="330">
        <v>0</v>
      </c>
      <c r="AK1321" s="331">
        <v>0</v>
      </c>
      <c r="AL1321" s="331">
        <v>0</v>
      </c>
      <c r="AM1321" s="7"/>
      <c r="AO1321" s="322" t="s">
        <v>1735</v>
      </c>
      <c r="AP1321" s="320" t="s">
        <v>2203</v>
      </c>
      <c r="AQ1321" s="324" t="s">
        <v>2205</v>
      </c>
      <c r="AR1321" s="332" t="str">
        <f t="shared" si="1566"/>
        <v>ED8T -14335 -BD </v>
      </c>
      <c r="AT1321" s="326">
        <v>0</v>
      </c>
      <c r="AU1321" s="326">
        <v>0</v>
      </c>
      <c r="AV1321" s="326">
        <v>1</v>
      </c>
      <c r="AW1321" s="326">
        <v>1</v>
      </c>
      <c r="AX1321" s="326">
        <v>0</v>
      </c>
      <c r="AY1321" s="326">
        <v>0</v>
      </c>
      <c r="AZ1321" s="326">
        <v>0</v>
      </c>
      <c r="BA1321" s="326">
        <v>0</v>
      </c>
      <c r="BB1321" s="326">
        <f t="shared" si="1649"/>
        <v>0.37</v>
      </c>
      <c r="BD1321" s="328">
        <v>-26.96</v>
      </c>
      <c r="BE1321" s="329">
        <v>0</v>
      </c>
      <c r="BF1321" s="329">
        <v>0</v>
      </c>
      <c r="BG1321" s="329">
        <v>0</v>
      </c>
      <c r="BH1321" s="329">
        <v>0</v>
      </c>
      <c r="BI1321" s="328">
        <f t="shared" si="1646"/>
        <v>-26.96</v>
      </c>
      <c r="BJ1321" s="321" t="s">
        <v>84</v>
      </c>
      <c r="BL1321" s="329">
        <v>0</v>
      </c>
      <c r="BM1321" s="329">
        <v>0</v>
      </c>
      <c r="BN1321" s="333"/>
      <c r="BO1321" s="329">
        <v>0</v>
      </c>
      <c r="BP1321" s="329">
        <v>0</v>
      </c>
      <c r="BQ1321" s="321">
        <v>0</v>
      </c>
      <c r="BS1321" s="334">
        <f t="shared" si="1651"/>
        <v>2.620000000000001</v>
      </c>
      <c r="BT1321" s="334">
        <f t="shared" si="1652"/>
        <v>-0.28000000000000003</v>
      </c>
      <c r="BU1321" s="334">
        <f t="shared" si="1634"/>
        <v>-0.14000000000000001</v>
      </c>
      <c r="BV1321" s="334">
        <f t="shared" si="1634"/>
        <v>0</v>
      </c>
      <c r="BW1321" s="334">
        <f t="shared" si="1634"/>
        <v>0</v>
      </c>
      <c r="BX1321" s="329">
        <f t="shared" si="1634"/>
        <v>2.1999999999999993</v>
      </c>
      <c r="BY1321" s="334" t="s">
        <v>91</v>
      </c>
      <c r="CA1321" s="334">
        <f t="shared" si="1622"/>
        <v>0</v>
      </c>
      <c r="CB1321" s="334">
        <f t="shared" si="1622"/>
        <v>0</v>
      </c>
      <c r="CC1321" s="334">
        <f t="shared" si="1622"/>
        <v>0.39416278020159484</v>
      </c>
      <c r="CD1321" s="334">
        <f t="shared" si="1622"/>
        <v>0.39416278020159484</v>
      </c>
      <c r="CE1321" s="334">
        <f t="shared" si="1622"/>
        <v>0</v>
      </c>
      <c r="CF1321" s="334">
        <f t="shared" si="1622"/>
        <v>0</v>
      </c>
      <c r="CG1321" s="334">
        <f t="shared" si="1622"/>
        <v>0</v>
      </c>
      <c r="CH1321" s="334">
        <f t="shared" si="1647"/>
        <v>0</v>
      </c>
      <c r="CI1321" s="334">
        <f t="shared" si="1561"/>
        <v>0.14584022867459009</v>
      </c>
      <c r="CJ1321" s="333"/>
      <c r="CK1321" s="334">
        <f t="shared" si="1623"/>
        <v>0</v>
      </c>
      <c r="CL1321" s="334">
        <f t="shared" si="1619"/>
        <v>0</v>
      </c>
      <c r="CM1321" s="334">
        <f t="shared" si="1619"/>
        <v>0.33097638032194965</v>
      </c>
      <c r="CN1321" s="334">
        <f t="shared" si="1619"/>
        <v>0.33097638032194965</v>
      </c>
      <c r="CO1321" s="334">
        <f t="shared" si="1619"/>
        <v>0</v>
      </c>
      <c r="CP1321" s="334">
        <f t="shared" si="1619"/>
        <v>0</v>
      </c>
      <c r="CQ1321" s="334">
        <f t="shared" si="1619"/>
        <v>0</v>
      </c>
      <c r="CR1321" s="334">
        <f t="shared" si="1619"/>
        <v>0</v>
      </c>
      <c r="CS1321" s="334">
        <f t="shared" si="1562"/>
        <v>0.12246126071912136</v>
      </c>
      <c r="CT1321" s="329">
        <f t="shared" si="1569"/>
        <v>0.81399999999999972</v>
      </c>
      <c r="CU1321" s="335"/>
      <c r="CV1321" s="334">
        <f t="shared" si="1653"/>
        <v>0</v>
      </c>
      <c r="CW1321" s="334">
        <f t="shared" si="1653"/>
        <v>0</v>
      </c>
      <c r="CY1321" s="334">
        <f t="shared" si="1648"/>
        <v>0</v>
      </c>
      <c r="CZ1321" s="334">
        <f t="shared" si="1648"/>
        <v>0</v>
      </c>
      <c r="DA1321" s="334">
        <f t="shared" si="1648"/>
        <v>0</v>
      </c>
      <c r="DB1321" s="321" t="s">
        <v>85</v>
      </c>
      <c r="DC1321" s="321" t="s">
        <v>86</v>
      </c>
      <c r="DD1321" s="321" t="s">
        <v>87</v>
      </c>
      <c r="DE1321" s="321" t="s">
        <v>106</v>
      </c>
      <c r="DF1321" s="324" t="s">
        <v>86</v>
      </c>
      <c r="DG1321" s="336">
        <v>43084</v>
      </c>
      <c r="DZ1321" s="324"/>
      <c r="EC1321" s="337"/>
      <c r="ED1321" s="337"/>
      <c r="EE1321" s="337"/>
      <c r="EF1321" s="337"/>
    </row>
    <row r="1322" spans="2:140" ht="12.75" hidden="1" customHeight="1">
      <c r="B1322" s="1" t="s">
        <v>2206</v>
      </c>
      <c r="C1322" s="22" t="s">
        <v>2177</v>
      </c>
      <c r="D1322" s="149" t="s">
        <v>2178</v>
      </c>
      <c r="E1322" s="86" t="s">
        <v>1591</v>
      </c>
      <c r="F1322" s="85" t="s">
        <v>2072</v>
      </c>
      <c r="G1322" s="297" t="s">
        <v>994</v>
      </c>
      <c r="J1322" s="298" t="s">
        <v>155</v>
      </c>
      <c r="K1322" s="299" t="s">
        <v>2203</v>
      </c>
      <c r="L1322" s="3" t="s">
        <v>132</v>
      </c>
      <c r="M1322" s="51" t="str">
        <f t="shared" si="1549"/>
        <v>JD8T -14335 -AB</v>
      </c>
      <c r="O1322" s="89">
        <v>1</v>
      </c>
      <c r="P1322" s="89">
        <v>1</v>
      </c>
      <c r="Q1322" s="89">
        <v>0</v>
      </c>
      <c r="R1322" s="89">
        <v>0</v>
      </c>
      <c r="S1322" s="89">
        <v>0</v>
      </c>
      <c r="T1322" s="89">
        <v>0</v>
      </c>
      <c r="U1322" s="89">
        <v>0</v>
      </c>
      <c r="V1322" s="89">
        <v>0</v>
      </c>
      <c r="W1322" s="164">
        <f t="shared" si="1650"/>
        <v>0.30000000000000004</v>
      </c>
      <c r="Y1322" s="8">
        <v>-18.059999999999999</v>
      </c>
      <c r="Z1322" s="63">
        <v>-0.28000000000000003</v>
      </c>
      <c r="AA1322" s="63">
        <v>-0.14000000000000001</v>
      </c>
      <c r="AB1322" s="63"/>
      <c r="AC1322" s="63"/>
      <c r="AD1322" s="8">
        <f t="shared" ref="AD1322:AD1325" si="1654">SUM(Y1322:AC1322)</f>
        <v>-18.48</v>
      </c>
      <c r="AE1322" s="2" t="s">
        <v>84</v>
      </c>
      <c r="AG1322" s="300"/>
      <c r="AH1322" s="300"/>
      <c r="AJ1322" s="300"/>
      <c r="AK1322" s="176"/>
      <c r="AO1322" s="298" t="s">
        <v>155</v>
      </c>
      <c r="AP1322" s="299" t="s">
        <v>2203</v>
      </c>
      <c r="AQ1322" s="3" t="s">
        <v>769</v>
      </c>
      <c r="AR1322" s="90" t="str">
        <f t="shared" si="1566"/>
        <v>JD8T -14335 -AA </v>
      </c>
      <c r="AT1322" s="89">
        <v>1</v>
      </c>
      <c r="AU1322" s="89">
        <v>1</v>
      </c>
      <c r="AV1322" s="89">
        <v>0</v>
      </c>
      <c r="AW1322" s="89">
        <v>0</v>
      </c>
      <c r="AX1322" s="89">
        <v>0</v>
      </c>
      <c r="AY1322" s="89">
        <v>0</v>
      </c>
      <c r="AZ1322" s="89">
        <v>0</v>
      </c>
      <c r="BA1322" s="89">
        <v>0</v>
      </c>
      <c r="BB1322" s="89">
        <f t="shared" si="1649"/>
        <v>0.30000000000000004</v>
      </c>
      <c r="BD1322" s="8">
        <v>-18.59</v>
      </c>
      <c r="BE1322" s="63">
        <v>-0.28000000000000003</v>
      </c>
      <c r="BF1322" s="63">
        <v>-0.14000000000000001</v>
      </c>
      <c r="BG1322" s="63"/>
      <c r="BH1322" s="63"/>
      <c r="BI1322" s="8">
        <f t="shared" si="1646"/>
        <v>-19.010000000000002</v>
      </c>
      <c r="BJ1322" s="2" t="s">
        <v>84</v>
      </c>
      <c r="BL1322" s="63"/>
      <c r="BM1322" s="63">
        <v>0</v>
      </c>
      <c r="BN1322" s="267"/>
      <c r="BO1322" s="63">
        <v>0</v>
      </c>
      <c r="BP1322" s="63">
        <v>0</v>
      </c>
      <c r="BQ1322" s="2">
        <v>0</v>
      </c>
      <c r="BS1322" s="61">
        <f t="shared" si="1632"/>
        <v>0.53000000000000114</v>
      </c>
      <c r="BT1322" s="61">
        <f t="shared" si="1633"/>
        <v>0</v>
      </c>
      <c r="BU1322" s="61">
        <f t="shared" si="1634"/>
        <v>0</v>
      </c>
      <c r="BV1322" s="61">
        <f t="shared" si="1634"/>
        <v>0</v>
      </c>
      <c r="BW1322" s="61">
        <f t="shared" si="1634"/>
        <v>0</v>
      </c>
      <c r="BX1322" s="63">
        <f t="shared" si="1634"/>
        <v>0.53000000000000114</v>
      </c>
      <c r="BY1322" s="61" t="s">
        <v>91</v>
      </c>
      <c r="CA1322" s="61">
        <f t="shared" si="1622"/>
        <v>7.9735218895742602E-2</v>
      </c>
      <c r="CB1322" s="61">
        <f t="shared" si="1622"/>
        <v>7.9735218895742602E-2</v>
      </c>
      <c r="CC1322" s="61">
        <f t="shared" si="1622"/>
        <v>0</v>
      </c>
      <c r="CD1322" s="61">
        <f t="shared" si="1622"/>
        <v>0</v>
      </c>
      <c r="CE1322" s="61">
        <f t="shared" si="1622"/>
        <v>0</v>
      </c>
      <c r="CF1322" s="61">
        <f t="shared" si="1622"/>
        <v>0</v>
      </c>
      <c r="CG1322" s="61">
        <f t="shared" si="1622"/>
        <v>0</v>
      </c>
      <c r="CH1322" s="61">
        <f t="shared" si="1647"/>
        <v>0</v>
      </c>
      <c r="CI1322" s="61">
        <f t="shared" si="1561"/>
        <v>2.3920565668722783E-2</v>
      </c>
      <c r="CJ1322" s="267"/>
      <c r="CK1322" s="61">
        <f t="shared" si="1623"/>
        <v>7.9735218895742602E-2</v>
      </c>
      <c r="CL1322" s="61">
        <f t="shared" si="1619"/>
        <v>7.9735218895742602E-2</v>
      </c>
      <c r="CM1322" s="61">
        <f t="shared" si="1619"/>
        <v>0</v>
      </c>
      <c r="CN1322" s="61">
        <f t="shared" si="1619"/>
        <v>0</v>
      </c>
      <c r="CO1322" s="61">
        <f t="shared" si="1619"/>
        <v>0</v>
      </c>
      <c r="CP1322" s="61">
        <f t="shared" si="1619"/>
        <v>0</v>
      </c>
      <c r="CQ1322" s="61">
        <f t="shared" si="1619"/>
        <v>0</v>
      </c>
      <c r="CR1322" s="61">
        <f t="shared" si="1619"/>
        <v>0</v>
      </c>
      <c r="CS1322" s="61">
        <f t="shared" si="1562"/>
        <v>2.3920565668722783E-2</v>
      </c>
      <c r="CT1322" s="63">
        <f t="shared" si="1569"/>
        <v>0.15900000000000034</v>
      </c>
      <c r="CU1322" s="73"/>
      <c r="CV1322" s="61">
        <f t="shared" ref="CV1322:CV1325" si="1655">SUM(AG1322)-SUM(BL1322)</f>
        <v>0</v>
      </c>
      <c r="CW1322" s="61">
        <f t="shared" ref="CW1322:CW1325" si="1656">SUM(AH1322)-SUM(BM1322)</f>
        <v>0</v>
      </c>
      <c r="CY1322" s="61">
        <f t="shared" si="1648"/>
        <v>0</v>
      </c>
      <c r="CZ1322" s="61">
        <f t="shared" si="1648"/>
        <v>0</v>
      </c>
      <c r="DA1322" s="61">
        <f t="shared" si="1648"/>
        <v>0</v>
      </c>
      <c r="DB1322" s="2" t="s">
        <v>86</v>
      </c>
      <c r="DC1322" s="2" t="s">
        <v>85</v>
      </c>
      <c r="DD1322" s="2" t="s">
        <v>87</v>
      </c>
      <c r="DE1322" s="2" t="s">
        <v>106</v>
      </c>
      <c r="DG1322" s="62"/>
      <c r="EC1322" s="60" t="str">
        <f>VLOOKUP($M1322,[1]Detail!$M:$BO,1,0)</f>
        <v>JD8T -14335 -AB</v>
      </c>
      <c r="ED1322" s="60">
        <f>VLOOKUP($M1322,[1]Detail!$M:$BO,22,0)</f>
        <v>-18.48</v>
      </c>
      <c r="EE1322" s="60">
        <f>VLOOKUP($M1322,[1]Detail!$M:$BO,42,0)</f>
        <v>0</v>
      </c>
      <c r="EF1322" s="60">
        <f>VLOOKUP($M1322,[1]Detail!$M:$BO,45,0)</f>
        <v>0</v>
      </c>
      <c r="EH1322" s="60">
        <f t="shared" ref="EH1322:EH1325" si="1657">ED1322-AD1322</f>
        <v>0</v>
      </c>
      <c r="EI1322" s="60">
        <f t="shared" ref="EI1322:EI1325" si="1658">EE1322-AG1322</f>
        <v>0</v>
      </c>
      <c r="EJ1322" s="60">
        <f t="shared" ref="EJ1322:EJ1325" si="1659">EF1322-AJ1322</f>
        <v>0</v>
      </c>
    </row>
    <row r="1323" spans="2:140" ht="12.75" hidden="1" customHeight="1">
      <c r="B1323" s="1" t="s">
        <v>2206</v>
      </c>
      <c r="C1323" s="22" t="s">
        <v>2177</v>
      </c>
      <c r="D1323" s="149" t="s">
        <v>2178</v>
      </c>
      <c r="E1323" s="86" t="s">
        <v>1591</v>
      </c>
      <c r="F1323" s="85" t="s">
        <v>2072</v>
      </c>
      <c r="G1323" s="297" t="s">
        <v>994</v>
      </c>
      <c r="J1323" s="298" t="s">
        <v>155</v>
      </c>
      <c r="K1323" s="299" t="s">
        <v>2203</v>
      </c>
      <c r="L1323" s="3" t="s">
        <v>120</v>
      </c>
      <c r="M1323" s="51" t="str">
        <f t="shared" si="1549"/>
        <v>JD8T -14335 -BB</v>
      </c>
      <c r="O1323" s="89">
        <v>0</v>
      </c>
      <c r="P1323" s="89">
        <v>0</v>
      </c>
      <c r="Q1323" s="89">
        <v>1</v>
      </c>
      <c r="R1323" s="89">
        <v>1</v>
      </c>
      <c r="S1323" s="89">
        <v>0</v>
      </c>
      <c r="T1323" s="89">
        <v>0</v>
      </c>
      <c r="U1323" s="89">
        <v>0</v>
      </c>
      <c r="V1323" s="89">
        <v>0</v>
      </c>
      <c r="W1323" s="164">
        <f t="shared" si="1650"/>
        <v>0.37</v>
      </c>
      <c r="Y1323" s="8">
        <v>-26.4</v>
      </c>
      <c r="Z1323" s="63">
        <v>-0.28000000000000003</v>
      </c>
      <c r="AA1323" s="63">
        <v>-0.14000000000000001</v>
      </c>
      <c r="AB1323" s="63"/>
      <c r="AC1323" s="63"/>
      <c r="AD1323" s="8">
        <f t="shared" si="1654"/>
        <v>-26.82</v>
      </c>
      <c r="AE1323" s="2" t="s">
        <v>84</v>
      </c>
      <c r="AG1323" s="300"/>
      <c r="AH1323" s="300"/>
      <c r="AJ1323" s="300"/>
      <c r="AK1323" s="176"/>
      <c r="AO1323" s="298" t="s">
        <v>155</v>
      </c>
      <c r="AP1323" s="299" t="s">
        <v>2203</v>
      </c>
      <c r="AQ1323" s="3" t="s">
        <v>2182</v>
      </c>
      <c r="AR1323" s="90" t="str">
        <f t="shared" si="1566"/>
        <v>JD8T -14335 -BA </v>
      </c>
      <c r="AT1323" s="89">
        <v>0</v>
      </c>
      <c r="AU1323" s="89">
        <v>0</v>
      </c>
      <c r="AV1323" s="89">
        <v>1</v>
      </c>
      <c r="AW1323" s="89">
        <v>1</v>
      </c>
      <c r="AX1323" s="89">
        <v>0</v>
      </c>
      <c r="AY1323" s="89">
        <v>0</v>
      </c>
      <c r="AZ1323" s="89">
        <v>0</v>
      </c>
      <c r="BA1323" s="89">
        <v>0</v>
      </c>
      <c r="BB1323" s="89">
        <f t="shared" si="1649"/>
        <v>0.37</v>
      </c>
      <c r="BD1323" s="8">
        <v>-26.94</v>
      </c>
      <c r="BE1323" s="63">
        <v>-0.28000000000000003</v>
      </c>
      <c r="BF1323" s="63">
        <v>-0.14000000000000001</v>
      </c>
      <c r="BG1323" s="63"/>
      <c r="BH1323" s="63"/>
      <c r="BI1323" s="8">
        <f t="shared" si="1646"/>
        <v>-27.360000000000003</v>
      </c>
      <c r="BJ1323" s="2" t="s">
        <v>84</v>
      </c>
      <c r="BL1323" s="63"/>
      <c r="BM1323" s="63">
        <v>0</v>
      </c>
      <c r="BN1323" s="267"/>
      <c r="BO1323" s="63">
        <v>0</v>
      </c>
      <c r="BP1323" s="63">
        <v>0</v>
      </c>
      <c r="BQ1323" s="2">
        <v>0</v>
      </c>
      <c r="BS1323" s="61">
        <f t="shared" si="1632"/>
        <v>0.5400000000000027</v>
      </c>
      <c r="BT1323" s="61">
        <f t="shared" si="1633"/>
        <v>0</v>
      </c>
      <c r="BU1323" s="61">
        <f t="shared" si="1634"/>
        <v>0</v>
      </c>
      <c r="BV1323" s="61">
        <f t="shared" si="1634"/>
        <v>0</v>
      </c>
      <c r="BW1323" s="61">
        <f t="shared" si="1634"/>
        <v>0</v>
      </c>
      <c r="BX1323" s="63">
        <f t="shared" si="1634"/>
        <v>0.5400000000000027</v>
      </c>
      <c r="BY1323" s="61" t="s">
        <v>91</v>
      </c>
      <c r="CA1323" s="61">
        <f t="shared" si="1622"/>
        <v>0</v>
      </c>
      <c r="CB1323" s="61">
        <f t="shared" si="1622"/>
        <v>0</v>
      </c>
      <c r="CC1323" s="61">
        <f t="shared" si="1622"/>
        <v>8.1239656988115347E-2</v>
      </c>
      <c r="CD1323" s="61">
        <f t="shared" si="1622"/>
        <v>8.1239656988115347E-2</v>
      </c>
      <c r="CE1323" s="61">
        <f t="shared" si="1622"/>
        <v>0</v>
      </c>
      <c r="CF1323" s="61">
        <f t="shared" si="1622"/>
        <v>0</v>
      </c>
      <c r="CG1323" s="61">
        <f t="shared" si="1622"/>
        <v>0</v>
      </c>
      <c r="CH1323" s="61">
        <f t="shared" si="1647"/>
        <v>0</v>
      </c>
      <c r="CI1323" s="61">
        <f t="shared" si="1561"/>
        <v>3.0058673085602679E-2</v>
      </c>
      <c r="CJ1323" s="267"/>
      <c r="CK1323" s="61">
        <f t="shared" si="1623"/>
        <v>0</v>
      </c>
      <c r="CL1323" s="61">
        <f t="shared" si="1619"/>
        <v>0</v>
      </c>
      <c r="CM1323" s="61">
        <f t="shared" si="1619"/>
        <v>8.1239656988115347E-2</v>
      </c>
      <c r="CN1323" s="61">
        <f t="shared" si="1619"/>
        <v>8.1239656988115347E-2</v>
      </c>
      <c r="CO1323" s="61">
        <f t="shared" si="1619"/>
        <v>0</v>
      </c>
      <c r="CP1323" s="61">
        <f t="shared" si="1619"/>
        <v>0</v>
      </c>
      <c r="CQ1323" s="61">
        <f t="shared" si="1619"/>
        <v>0</v>
      </c>
      <c r="CR1323" s="61">
        <f t="shared" si="1619"/>
        <v>0</v>
      </c>
      <c r="CS1323" s="61">
        <f t="shared" si="1562"/>
        <v>3.0058673085602679E-2</v>
      </c>
      <c r="CT1323" s="63">
        <f t="shared" si="1569"/>
        <v>0.199800000000001</v>
      </c>
      <c r="CU1323" s="73"/>
      <c r="CV1323" s="61">
        <f t="shared" si="1655"/>
        <v>0</v>
      </c>
      <c r="CW1323" s="61">
        <f t="shared" si="1656"/>
        <v>0</v>
      </c>
      <c r="CY1323" s="61">
        <f t="shared" si="1648"/>
        <v>0</v>
      </c>
      <c r="CZ1323" s="61">
        <f t="shared" si="1648"/>
        <v>0</v>
      </c>
      <c r="DA1323" s="61">
        <f t="shared" si="1648"/>
        <v>0</v>
      </c>
      <c r="DB1323" s="2" t="s">
        <v>86</v>
      </c>
      <c r="DC1323" s="2" t="s">
        <v>85</v>
      </c>
      <c r="DD1323" s="2" t="s">
        <v>87</v>
      </c>
      <c r="DE1323" s="2" t="s">
        <v>106</v>
      </c>
      <c r="DG1323" s="62"/>
      <c r="EC1323" s="60" t="str">
        <f>VLOOKUP($M1323,[1]Detail!$M:$BO,1,0)</f>
        <v>JD8T -14335 -BB</v>
      </c>
      <c r="ED1323" s="60">
        <f>VLOOKUP($M1323,[1]Detail!$M:$BO,22,0)</f>
        <v>-26.82</v>
      </c>
      <c r="EE1323" s="60">
        <f>VLOOKUP($M1323,[1]Detail!$M:$BO,42,0)</f>
        <v>0</v>
      </c>
      <c r="EF1323" s="60">
        <f>VLOOKUP($M1323,[1]Detail!$M:$BO,45,0)</f>
        <v>0</v>
      </c>
      <c r="EH1323" s="60">
        <f t="shared" si="1657"/>
        <v>0</v>
      </c>
      <c r="EI1323" s="60">
        <f t="shared" si="1658"/>
        <v>0</v>
      </c>
      <c r="EJ1323" s="60">
        <f t="shared" si="1659"/>
        <v>0</v>
      </c>
    </row>
    <row r="1324" spans="2:140" ht="12.75" hidden="1" customHeight="1">
      <c r="B1324" s="1" t="s">
        <v>2206</v>
      </c>
      <c r="C1324" s="22" t="s">
        <v>2177</v>
      </c>
      <c r="D1324" s="149" t="s">
        <v>2178</v>
      </c>
      <c r="E1324" s="86" t="s">
        <v>1591</v>
      </c>
      <c r="F1324" s="85" t="s">
        <v>2072</v>
      </c>
      <c r="G1324" s="297" t="s">
        <v>994</v>
      </c>
      <c r="J1324" s="298" t="s">
        <v>155</v>
      </c>
      <c r="K1324" s="299" t="s">
        <v>2203</v>
      </c>
      <c r="L1324" s="3" t="s">
        <v>122</v>
      </c>
      <c r="M1324" s="51" t="str">
        <f t="shared" si="1549"/>
        <v>JD8T -14335 -CB</v>
      </c>
      <c r="O1324" s="89">
        <v>0</v>
      </c>
      <c r="P1324" s="89">
        <v>0</v>
      </c>
      <c r="Q1324" s="89">
        <v>0</v>
      </c>
      <c r="R1324" s="89">
        <v>0</v>
      </c>
      <c r="S1324" s="89">
        <v>1</v>
      </c>
      <c r="T1324" s="89">
        <v>1</v>
      </c>
      <c r="U1324" s="89">
        <v>1</v>
      </c>
      <c r="V1324" s="89">
        <v>1</v>
      </c>
      <c r="W1324" s="164">
        <f t="shared" si="1650"/>
        <v>0.33</v>
      </c>
      <c r="Y1324" s="8">
        <v>-28.18</v>
      </c>
      <c r="Z1324" s="63">
        <v>-0.28000000000000003</v>
      </c>
      <c r="AA1324" s="63">
        <v>-0.14000000000000001</v>
      </c>
      <c r="AB1324" s="63"/>
      <c r="AC1324" s="63"/>
      <c r="AD1324" s="8">
        <f t="shared" si="1654"/>
        <v>-28.6</v>
      </c>
      <c r="AE1324" s="2" t="s">
        <v>84</v>
      </c>
      <c r="AG1324" s="300"/>
      <c r="AH1324" s="300"/>
      <c r="AJ1324" s="300"/>
      <c r="AK1324" s="176"/>
      <c r="AO1324" s="298" t="s">
        <v>155</v>
      </c>
      <c r="AP1324" s="299" t="s">
        <v>2203</v>
      </c>
      <c r="AQ1324" s="3" t="s">
        <v>2184</v>
      </c>
      <c r="AR1324" s="90" t="str">
        <f t="shared" si="1566"/>
        <v>JD8T -14335 -CA </v>
      </c>
      <c r="AT1324" s="89">
        <v>0</v>
      </c>
      <c r="AU1324" s="89">
        <v>0</v>
      </c>
      <c r="AV1324" s="89">
        <v>0</v>
      </c>
      <c r="AW1324" s="89">
        <v>0</v>
      </c>
      <c r="AX1324" s="89">
        <v>1</v>
      </c>
      <c r="AY1324" s="89">
        <v>1</v>
      </c>
      <c r="AZ1324" s="89">
        <v>1</v>
      </c>
      <c r="BA1324" s="89">
        <v>1</v>
      </c>
      <c r="BB1324" s="89">
        <f t="shared" si="1649"/>
        <v>0.33</v>
      </c>
      <c r="BD1324" s="8">
        <v>-32.1</v>
      </c>
      <c r="BE1324" s="63">
        <v>-0.28000000000000003</v>
      </c>
      <c r="BF1324" s="63">
        <v>-0.14000000000000001</v>
      </c>
      <c r="BG1324" s="63"/>
      <c r="BH1324" s="63"/>
      <c r="BI1324" s="8">
        <f t="shared" si="1646"/>
        <v>-32.520000000000003</v>
      </c>
      <c r="BJ1324" s="2" t="s">
        <v>84</v>
      </c>
      <c r="BL1324" s="63"/>
      <c r="BM1324" s="63">
        <v>0</v>
      </c>
      <c r="BN1324" s="267"/>
      <c r="BO1324" s="63">
        <v>0</v>
      </c>
      <c r="BP1324" s="63">
        <v>0</v>
      </c>
      <c r="BQ1324" s="2">
        <v>0</v>
      </c>
      <c r="BS1324" s="61">
        <f t="shared" si="1632"/>
        <v>3.9200000000000017</v>
      </c>
      <c r="BT1324" s="61">
        <f t="shared" si="1633"/>
        <v>0</v>
      </c>
      <c r="BU1324" s="61">
        <f t="shared" si="1634"/>
        <v>0</v>
      </c>
      <c r="BV1324" s="61">
        <f t="shared" si="1634"/>
        <v>0</v>
      </c>
      <c r="BW1324" s="61">
        <f t="shared" si="1634"/>
        <v>0</v>
      </c>
      <c r="BX1324" s="63">
        <f t="shared" si="1634"/>
        <v>3.9200000000000017</v>
      </c>
      <c r="BY1324" s="61" t="s">
        <v>91</v>
      </c>
      <c r="CA1324" s="61">
        <f t="shared" ref="CA1324:CG1355" si="1660">($Y1324*O1324-AT1324*$BD1324)/$C$2</f>
        <v>0</v>
      </c>
      <c r="CB1324" s="61">
        <f t="shared" si="1660"/>
        <v>0</v>
      </c>
      <c r="CC1324" s="61">
        <f t="shared" si="1660"/>
        <v>0</v>
      </c>
      <c r="CD1324" s="61">
        <f t="shared" si="1660"/>
        <v>0</v>
      </c>
      <c r="CE1324" s="61">
        <f t="shared" si="1660"/>
        <v>0.58973973221001974</v>
      </c>
      <c r="CF1324" s="61">
        <f t="shared" si="1660"/>
        <v>0.58973973221001974</v>
      </c>
      <c r="CG1324" s="61">
        <f t="shared" si="1660"/>
        <v>0.58973973221001974</v>
      </c>
      <c r="CH1324" s="61">
        <f t="shared" si="1647"/>
        <v>0.58973973221001974</v>
      </c>
      <c r="CI1324" s="61">
        <f t="shared" si="1561"/>
        <v>0.19461411162930653</v>
      </c>
      <c r="CJ1324" s="267"/>
      <c r="CK1324" s="61">
        <f t="shared" si="1623"/>
        <v>0</v>
      </c>
      <c r="CL1324" s="61">
        <f t="shared" si="1619"/>
        <v>0</v>
      </c>
      <c r="CM1324" s="61">
        <f t="shared" si="1619"/>
        <v>0</v>
      </c>
      <c r="CN1324" s="61">
        <f t="shared" si="1619"/>
        <v>0</v>
      </c>
      <c r="CO1324" s="61">
        <f t="shared" si="1619"/>
        <v>0.58973973221001974</v>
      </c>
      <c r="CP1324" s="61">
        <f t="shared" si="1619"/>
        <v>0.58973973221001974</v>
      </c>
      <c r="CQ1324" s="61">
        <f t="shared" si="1619"/>
        <v>0.58973973221001974</v>
      </c>
      <c r="CR1324" s="61">
        <f t="shared" si="1619"/>
        <v>0.58973973221001974</v>
      </c>
      <c r="CS1324" s="61">
        <f t="shared" si="1562"/>
        <v>0.19461411162930653</v>
      </c>
      <c r="CT1324" s="63">
        <f t="shared" si="1569"/>
        <v>1.2936000000000005</v>
      </c>
      <c r="CU1324" s="73"/>
      <c r="CV1324" s="61">
        <f t="shared" si="1655"/>
        <v>0</v>
      </c>
      <c r="CW1324" s="61">
        <f t="shared" si="1656"/>
        <v>0</v>
      </c>
      <c r="CY1324" s="61">
        <f t="shared" si="1648"/>
        <v>0</v>
      </c>
      <c r="CZ1324" s="61">
        <f t="shared" si="1648"/>
        <v>0</v>
      </c>
      <c r="DA1324" s="61">
        <f t="shared" si="1648"/>
        <v>0</v>
      </c>
      <c r="DB1324" s="2" t="s">
        <v>86</v>
      </c>
      <c r="DC1324" s="2" t="s">
        <v>85</v>
      </c>
      <c r="DD1324" s="2" t="s">
        <v>87</v>
      </c>
      <c r="DE1324" s="2" t="s">
        <v>106</v>
      </c>
      <c r="DG1324" s="62"/>
      <c r="EC1324" s="60" t="str">
        <f>VLOOKUP($M1324,[1]Detail!$M:$BO,1,0)</f>
        <v>JD8T -14335 -CB</v>
      </c>
      <c r="ED1324" s="60">
        <f>VLOOKUP($M1324,[1]Detail!$M:$BO,22,0)</f>
        <v>-28.6</v>
      </c>
      <c r="EE1324" s="60">
        <f>VLOOKUP($M1324,[1]Detail!$M:$BO,42,0)</f>
        <v>0</v>
      </c>
      <c r="EF1324" s="60">
        <f>VLOOKUP($M1324,[1]Detail!$M:$BO,45,0)</f>
        <v>0</v>
      </c>
      <c r="EH1324" s="60">
        <f t="shared" si="1657"/>
        <v>0</v>
      </c>
      <c r="EI1324" s="60">
        <f t="shared" si="1658"/>
        <v>0</v>
      </c>
      <c r="EJ1324" s="60">
        <f t="shared" si="1659"/>
        <v>0</v>
      </c>
    </row>
    <row r="1325" spans="2:140" ht="12.75" hidden="1" customHeight="1">
      <c r="B1325" s="1" t="s">
        <v>2206</v>
      </c>
      <c r="C1325" s="22" t="s">
        <v>2177</v>
      </c>
      <c r="D1325" s="149" t="s">
        <v>2178</v>
      </c>
      <c r="E1325" s="86" t="s">
        <v>1591</v>
      </c>
      <c r="F1325" s="85" t="s">
        <v>2072</v>
      </c>
      <c r="G1325" s="297" t="s">
        <v>994</v>
      </c>
      <c r="J1325" s="298" t="s">
        <v>155</v>
      </c>
      <c r="K1325" s="299" t="s">
        <v>2203</v>
      </c>
      <c r="L1325" s="3" t="s">
        <v>2207</v>
      </c>
      <c r="M1325" s="51" t="str">
        <f t="shared" si="1549"/>
        <v>JD8T -14335 -EB </v>
      </c>
      <c r="O1325" s="89">
        <v>0</v>
      </c>
      <c r="P1325" s="89">
        <v>0</v>
      </c>
      <c r="Q1325" s="89">
        <v>1</v>
      </c>
      <c r="R1325" s="89">
        <v>1</v>
      </c>
      <c r="S1325" s="89">
        <v>0</v>
      </c>
      <c r="T1325" s="89">
        <v>0</v>
      </c>
      <c r="U1325" s="89">
        <v>0</v>
      </c>
      <c r="V1325" s="89">
        <v>0</v>
      </c>
      <c r="W1325" s="164">
        <f t="shared" si="1650"/>
        <v>0.37</v>
      </c>
      <c r="Y1325" s="8">
        <v>-20.420000000000002</v>
      </c>
      <c r="Z1325" s="63">
        <v>-0.28000000000000003</v>
      </c>
      <c r="AA1325" s="63">
        <v>-0.14000000000000001</v>
      </c>
      <c r="AB1325" s="63"/>
      <c r="AC1325" s="63"/>
      <c r="AD1325" s="8">
        <f t="shared" si="1654"/>
        <v>-20.840000000000003</v>
      </c>
      <c r="AE1325" s="2" t="s">
        <v>84</v>
      </c>
      <c r="AG1325" s="300"/>
      <c r="AH1325" s="300"/>
      <c r="AJ1325" s="300"/>
      <c r="AK1325" s="176"/>
      <c r="AO1325" s="298" t="s">
        <v>155</v>
      </c>
      <c r="AP1325" s="299" t="s">
        <v>2203</v>
      </c>
      <c r="AQ1325" s="3" t="s">
        <v>2188</v>
      </c>
      <c r="AR1325" s="90" t="str">
        <f t="shared" si="1566"/>
        <v>JD8T -14335 -EA </v>
      </c>
      <c r="AT1325" s="89">
        <v>0</v>
      </c>
      <c r="AU1325" s="89">
        <v>0</v>
      </c>
      <c r="AV1325" s="89">
        <v>1</v>
      </c>
      <c r="AW1325" s="89">
        <v>1</v>
      </c>
      <c r="AX1325" s="89">
        <v>0</v>
      </c>
      <c r="AY1325" s="89">
        <v>0</v>
      </c>
      <c r="AZ1325" s="89">
        <v>0</v>
      </c>
      <c r="BA1325" s="89">
        <v>0</v>
      </c>
      <c r="BB1325" s="89">
        <f t="shared" si="1649"/>
        <v>0.37</v>
      </c>
      <c r="BD1325" s="8">
        <v>-24.34</v>
      </c>
      <c r="BE1325" s="63">
        <v>-0.28000000000000003</v>
      </c>
      <c r="BF1325" s="63">
        <v>-0.14000000000000001</v>
      </c>
      <c r="BG1325" s="63"/>
      <c r="BH1325" s="63"/>
      <c r="BI1325" s="8">
        <f t="shared" si="1646"/>
        <v>-24.76</v>
      </c>
      <c r="BJ1325" s="2" t="s">
        <v>84</v>
      </c>
      <c r="BL1325" s="63"/>
      <c r="BM1325" s="63">
        <v>0</v>
      </c>
      <c r="BN1325" s="267"/>
      <c r="BO1325" s="63">
        <v>0</v>
      </c>
      <c r="BP1325" s="63">
        <v>0</v>
      </c>
      <c r="BQ1325" s="2">
        <v>0</v>
      </c>
      <c r="BS1325" s="61">
        <f t="shared" si="1632"/>
        <v>3.9199999999999982</v>
      </c>
      <c r="BT1325" s="61">
        <f t="shared" si="1633"/>
        <v>0</v>
      </c>
      <c r="BU1325" s="61">
        <f t="shared" si="1634"/>
        <v>0</v>
      </c>
      <c r="BV1325" s="61">
        <f t="shared" si="1634"/>
        <v>0</v>
      </c>
      <c r="BW1325" s="61">
        <f t="shared" si="1634"/>
        <v>0</v>
      </c>
      <c r="BX1325" s="63">
        <f t="shared" si="1634"/>
        <v>3.9199999999999982</v>
      </c>
      <c r="BY1325" s="61" t="s">
        <v>91</v>
      </c>
      <c r="CA1325" s="61">
        <f t="shared" si="1660"/>
        <v>0</v>
      </c>
      <c r="CB1325" s="61">
        <f t="shared" si="1660"/>
        <v>0</v>
      </c>
      <c r="CC1325" s="61">
        <f t="shared" si="1660"/>
        <v>0.5897397322100193</v>
      </c>
      <c r="CD1325" s="61">
        <f t="shared" si="1660"/>
        <v>0.5897397322100193</v>
      </c>
      <c r="CE1325" s="61">
        <f t="shared" si="1660"/>
        <v>0</v>
      </c>
      <c r="CF1325" s="61">
        <f t="shared" si="1660"/>
        <v>0</v>
      </c>
      <c r="CG1325" s="61">
        <f t="shared" si="1660"/>
        <v>0</v>
      </c>
      <c r="CH1325" s="61">
        <f t="shared" si="1647"/>
        <v>0</v>
      </c>
      <c r="CI1325" s="61">
        <f t="shared" si="1561"/>
        <v>0.21820370091770713</v>
      </c>
      <c r="CJ1325" s="267"/>
      <c r="CK1325" s="61">
        <f t="shared" si="1623"/>
        <v>0</v>
      </c>
      <c r="CL1325" s="61">
        <f t="shared" si="1619"/>
        <v>0</v>
      </c>
      <c r="CM1325" s="61">
        <f t="shared" si="1619"/>
        <v>0.5897397322100193</v>
      </c>
      <c r="CN1325" s="61">
        <f t="shared" si="1619"/>
        <v>0.5897397322100193</v>
      </c>
      <c r="CO1325" s="61">
        <f t="shared" si="1619"/>
        <v>0</v>
      </c>
      <c r="CP1325" s="61">
        <f t="shared" si="1619"/>
        <v>0</v>
      </c>
      <c r="CQ1325" s="61">
        <f t="shared" si="1619"/>
        <v>0</v>
      </c>
      <c r="CR1325" s="61">
        <f t="shared" si="1619"/>
        <v>0</v>
      </c>
      <c r="CS1325" s="61">
        <f t="shared" si="1562"/>
        <v>0.21820370091770713</v>
      </c>
      <c r="CT1325" s="63">
        <f t="shared" si="1569"/>
        <v>1.4503999999999995</v>
      </c>
      <c r="CU1325" s="73"/>
      <c r="CV1325" s="61">
        <f t="shared" si="1655"/>
        <v>0</v>
      </c>
      <c r="CW1325" s="61">
        <f t="shared" si="1656"/>
        <v>0</v>
      </c>
      <c r="CY1325" s="61">
        <f t="shared" si="1648"/>
        <v>0</v>
      </c>
      <c r="CZ1325" s="61">
        <f t="shared" si="1648"/>
        <v>0</v>
      </c>
      <c r="DA1325" s="61">
        <f t="shared" si="1648"/>
        <v>0</v>
      </c>
      <c r="DB1325" s="2" t="s">
        <v>86</v>
      </c>
      <c r="DC1325" s="2" t="s">
        <v>85</v>
      </c>
      <c r="DD1325" s="2" t="s">
        <v>87</v>
      </c>
      <c r="DE1325" s="2" t="s">
        <v>106</v>
      </c>
      <c r="DG1325" s="62"/>
      <c r="EC1325" s="60" t="str">
        <f>VLOOKUP($M1325,[1]Detail!$M:$BO,1,0)</f>
        <v>JD8T -14335 -EB </v>
      </c>
      <c r="ED1325" s="60">
        <f>VLOOKUP($M1325,[1]Detail!$M:$BO,22,0)</f>
        <v>-20.840000000000003</v>
      </c>
      <c r="EE1325" s="60">
        <f>VLOOKUP($M1325,[1]Detail!$M:$BO,42,0)</f>
        <v>0</v>
      </c>
      <c r="EF1325" s="60">
        <f>VLOOKUP($M1325,[1]Detail!$M:$BO,45,0)</f>
        <v>0</v>
      </c>
      <c r="EH1325" s="60">
        <f t="shared" si="1657"/>
        <v>0</v>
      </c>
      <c r="EI1325" s="60">
        <f t="shared" si="1658"/>
        <v>0</v>
      </c>
      <c r="EJ1325" s="60">
        <f t="shared" si="1659"/>
        <v>0</v>
      </c>
    </row>
    <row r="1326" spans="2:140" ht="12.75" hidden="1" customHeight="1">
      <c r="B1326" s="1" t="s">
        <v>2176</v>
      </c>
      <c r="C1326" s="22" t="s">
        <v>2177</v>
      </c>
      <c r="D1326" s="149" t="s">
        <v>2178</v>
      </c>
      <c r="E1326" s="86" t="s">
        <v>1591</v>
      </c>
      <c r="F1326" s="85" t="s">
        <v>2072</v>
      </c>
      <c r="G1326" s="297" t="s">
        <v>994</v>
      </c>
      <c r="J1326" s="298" t="s">
        <v>155</v>
      </c>
      <c r="K1326" s="299" t="s">
        <v>2208</v>
      </c>
      <c r="L1326" s="3" t="s">
        <v>769</v>
      </c>
      <c r="M1326" s="51" t="str">
        <f t="shared" si="1549"/>
        <v>JD8T -14401 -AA </v>
      </c>
      <c r="O1326" s="89">
        <v>1</v>
      </c>
      <c r="P1326" s="89">
        <v>0</v>
      </c>
      <c r="Q1326" s="89">
        <v>0</v>
      </c>
      <c r="R1326" s="89">
        <v>0</v>
      </c>
      <c r="S1326" s="89">
        <v>0</v>
      </c>
      <c r="T1326" s="89">
        <v>0</v>
      </c>
      <c r="U1326" s="89">
        <v>0</v>
      </c>
      <c r="V1326" s="89">
        <v>0</v>
      </c>
      <c r="W1326" s="164">
        <f t="shared" si="1650"/>
        <v>0.14000000000000001</v>
      </c>
      <c r="Y1326" s="8">
        <v>-225.93</v>
      </c>
      <c r="Z1326" s="63">
        <v>-0.82</v>
      </c>
      <c r="AA1326" s="63">
        <v>-0.7</v>
      </c>
      <c r="AB1326" s="63"/>
      <c r="AC1326" s="63"/>
      <c r="AD1326" s="8">
        <f t="shared" si="1645"/>
        <v>-227.45</v>
      </c>
      <c r="AE1326" s="2" t="s">
        <v>84</v>
      </c>
      <c r="AG1326" s="300"/>
      <c r="AH1326" s="300"/>
      <c r="AJ1326" s="300"/>
      <c r="AK1326" s="176"/>
      <c r="AM1326" s="22"/>
      <c r="AO1326" s="298" t="s">
        <v>1735</v>
      </c>
      <c r="AP1326" s="297" t="s">
        <v>2208</v>
      </c>
      <c r="AQ1326" s="3" t="s">
        <v>2183</v>
      </c>
      <c r="AR1326" s="90" t="str">
        <f t="shared" si="1566"/>
        <v>ED8T -14401 -JB </v>
      </c>
      <c r="AT1326" s="89">
        <v>1</v>
      </c>
      <c r="AU1326" s="89">
        <v>0</v>
      </c>
      <c r="AV1326" s="89">
        <v>0</v>
      </c>
      <c r="AW1326" s="89">
        <v>0</v>
      </c>
      <c r="AX1326" s="89">
        <v>0</v>
      </c>
      <c r="AY1326" s="89">
        <v>0</v>
      </c>
      <c r="AZ1326" s="89">
        <v>0</v>
      </c>
      <c r="BA1326" s="89">
        <v>0</v>
      </c>
      <c r="BB1326" s="89">
        <f t="shared" si="1649"/>
        <v>0.14000000000000001</v>
      </c>
      <c r="BD1326" s="60">
        <v>-270.48</v>
      </c>
      <c r="BE1326" s="63">
        <v>-0.82</v>
      </c>
      <c r="BF1326" s="63">
        <v>-0.7</v>
      </c>
      <c r="BG1326" s="63">
        <v>0</v>
      </c>
      <c r="BH1326" s="63">
        <v>0</v>
      </c>
      <c r="BI1326" s="8">
        <f t="shared" si="1646"/>
        <v>-272</v>
      </c>
      <c r="BJ1326" s="2" t="s">
        <v>84</v>
      </c>
      <c r="BL1326" s="63"/>
      <c r="BM1326" s="63">
        <v>0</v>
      </c>
      <c r="BN1326" s="267"/>
      <c r="BO1326" s="63">
        <v>0</v>
      </c>
      <c r="BP1326" s="63">
        <v>0</v>
      </c>
      <c r="BQ1326" s="2">
        <v>0</v>
      </c>
      <c r="BS1326" s="61">
        <f t="shared" si="1632"/>
        <v>44.550000000000011</v>
      </c>
      <c r="BT1326" s="61">
        <f t="shared" si="1633"/>
        <v>0</v>
      </c>
      <c r="BU1326" s="61">
        <f t="shared" si="1634"/>
        <v>0</v>
      </c>
      <c r="BV1326" s="61">
        <f t="shared" si="1634"/>
        <v>0</v>
      </c>
      <c r="BW1326" s="61">
        <f t="shared" si="1634"/>
        <v>0</v>
      </c>
      <c r="BX1326" s="63">
        <f t="shared" si="1634"/>
        <v>44.550000000000011</v>
      </c>
      <c r="BY1326" s="61" t="s">
        <v>91</v>
      </c>
      <c r="CA1326" s="61">
        <f t="shared" si="1660"/>
        <v>6.7022717015194839</v>
      </c>
      <c r="CB1326" s="61">
        <f t="shared" si="1660"/>
        <v>0</v>
      </c>
      <c r="CC1326" s="61">
        <f t="shared" si="1660"/>
        <v>0</v>
      </c>
      <c r="CD1326" s="61">
        <f t="shared" si="1660"/>
        <v>0</v>
      </c>
      <c r="CE1326" s="61">
        <f t="shared" si="1660"/>
        <v>0</v>
      </c>
      <c r="CF1326" s="61">
        <f t="shared" si="1660"/>
        <v>0</v>
      </c>
      <c r="CG1326" s="61">
        <f t="shared" si="1660"/>
        <v>0</v>
      </c>
      <c r="CH1326" s="61">
        <f t="shared" si="1647"/>
        <v>0</v>
      </c>
      <c r="CI1326" s="61">
        <f t="shared" si="1561"/>
        <v>0.93831803821272786</v>
      </c>
      <c r="CJ1326" s="267"/>
      <c r="CK1326" s="61">
        <f t="shared" si="1623"/>
        <v>6.7022717015194839</v>
      </c>
      <c r="CL1326" s="61">
        <f t="shared" si="1619"/>
        <v>0</v>
      </c>
      <c r="CM1326" s="61">
        <f t="shared" si="1619"/>
        <v>0</v>
      </c>
      <c r="CN1326" s="61">
        <f t="shared" si="1619"/>
        <v>0</v>
      </c>
      <c r="CO1326" s="61">
        <f t="shared" si="1619"/>
        <v>0</v>
      </c>
      <c r="CP1326" s="61">
        <f t="shared" si="1619"/>
        <v>0</v>
      </c>
      <c r="CQ1326" s="61">
        <f t="shared" si="1619"/>
        <v>0</v>
      </c>
      <c r="CR1326" s="61">
        <f t="shared" si="1619"/>
        <v>0</v>
      </c>
      <c r="CS1326" s="61">
        <f t="shared" si="1562"/>
        <v>0.93831803821272786</v>
      </c>
      <c r="CT1326" s="63">
        <f t="shared" si="1569"/>
        <v>6.2370000000000019</v>
      </c>
      <c r="CU1326" s="73"/>
      <c r="CV1326" s="61">
        <f t="shared" si="1644"/>
        <v>0</v>
      </c>
      <c r="CW1326" s="61">
        <f t="shared" si="1564"/>
        <v>0</v>
      </c>
      <c r="CY1326" s="61">
        <f t="shared" si="1648"/>
        <v>0</v>
      </c>
      <c r="CZ1326" s="61">
        <f t="shared" si="1648"/>
        <v>0</v>
      </c>
      <c r="DA1326" s="61">
        <f t="shared" si="1648"/>
        <v>0</v>
      </c>
      <c r="DB1326" s="2" t="s">
        <v>85</v>
      </c>
      <c r="DC1326" s="2" t="s">
        <v>86</v>
      </c>
      <c r="DD1326" s="2" t="s">
        <v>87</v>
      </c>
      <c r="DE1326" s="2" t="s">
        <v>106</v>
      </c>
      <c r="DF1326" s="3" t="s">
        <v>86</v>
      </c>
      <c r="DG1326" s="62">
        <v>43111</v>
      </c>
      <c r="EC1326" s="60"/>
      <c r="ED1326" s="60"/>
      <c r="EE1326" s="60"/>
      <c r="EF1326" s="60"/>
    </row>
    <row r="1327" spans="2:140" ht="12.75" hidden="1" customHeight="1">
      <c r="B1327" s="1" t="s">
        <v>2176</v>
      </c>
      <c r="C1327" s="22" t="s">
        <v>2177</v>
      </c>
      <c r="D1327" s="149" t="s">
        <v>2178</v>
      </c>
      <c r="E1327" s="86" t="s">
        <v>1591</v>
      </c>
      <c r="F1327" s="85" t="s">
        <v>2072</v>
      </c>
      <c r="G1327" s="297" t="s">
        <v>994</v>
      </c>
      <c r="J1327" s="298" t="s">
        <v>155</v>
      </c>
      <c r="K1327" s="299" t="s">
        <v>2208</v>
      </c>
      <c r="L1327" s="3" t="s">
        <v>2182</v>
      </c>
      <c r="M1327" s="51" t="str">
        <f t="shared" ref="M1327:M1390" si="1661">TRIM(J1327)&amp;"-"&amp;TRIM(K1327)&amp;"-"&amp;TRIM(L1327)</f>
        <v>JD8T -14401 -BA </v>
      </c>
      <c r="O1327" s="89">
        <v>0</v>
      </c>
      <c r="P1327" s="89">
        <v>1</v>
      </c>
      <c r="Q1327" s="89">
        <v>0</v>
      </c>
      <c r="R1327" s="89">
        <v>0</v>
      </c>
      <c r="S1327" s="89">
        <v>0</v>
      </c>
      <c r="T1327" s="89">
        <v>0</v>
      </c>
      <c r="U1327" s="89">
        <v>0</v>
      </c>
      <c r="V1327" s="89">
        <v>0</v>
      </c>
      <c r="W1327" s="164">
        <f t="shared" si="1650"/>
        <v>0.16</v>
      </c>
      <c r="Y1327" s="8">
        <v>-245.12</v>
      </c>
      <c r="Z1327" s="63">
        <v>-0.82</v>
      </c>
      <c r="AA1327" s="63">
        <v>-0.7</v>
      </c>
      <c r="AB1327" s="63"/>
      <c r="AC1327" s="63"/>
      <c r="AD1327" s="8">
        <f t="shared" si="1645"/>
        <v>-246.64</v>
      </c>
      <c r="AE1327" s="2" t="s">
        <v>84</v>
      </c>
      <c r="AG1327" s="300"/>
      <c r="AH1327" s="300"/>
      <c r="AJ1327" s="300"/>
      <c r="AK1327" s="176"/>
      <c r="AM1327" s="22"/>
      <c r="AO1327" s="298" t="s">
        <v>1735</v>
      </c>
      <c r="AP1327" s="297" t="s">
        <v>2208</v>
      </c>
      <c r="AQ1327" s="3" t="s">
        <v>2209</v>
      </c>
      <c r="AR1327" s="90" t="str">
        <f t="shared" si="1566"/>
        <v>ED8T -14401 -KB </v>
      </c>
      <c r="AT1327" s="89">
        <v>0</v>
      </c>
      <c r="AU1327" s="89">
        <v>1</v>
      </c>
      <c r="AV1327" s="89">
        <v>0</v>
      </c>
      <c r="AW1327" s="89">
        <v>0</v>
      </c>
      <c r="AX1327" s="89">
        <v>0</v>
      </c>
      <c r="AY1327" s="89">
        <v>0</v>
      </c>
      <c r="AZ1327" s="89">
        <v>0</v>
      </c>
      <c r="BA1327" s="89">
        <v>0</v>
      </c>
      <c r="BB1327" s="89">
        <f t="shared" si="1649"/>
        <v>0.16</v>
      </c>
      <c r="BD1327" s="60">
        <v>-270.48</v>
      </c>
      <c r="BE1327" s="63">
        <v>-0.82</v>
      </c>
      <c r="BF1327" s="63">
        <v>-0.7</v>
      </c>
      <c r="BG1327" s="63">
        <v>0</v>
      </c>
      <c r="BH1327" s="63">
        <v>0</v>
      </c>
      <c r="BI1327" s="8">
        <f t="shared" si="1646"/>
        <v>-272</v>
      </c>
      <c r="BJ1327" s="2" t="s">
        <v>84</v>
      </c>
      <c r="BL1327" s="63"/>
      <c r="BM1327" s="63">
        <v>0</v>
      </c>
      <c r="BN1327" s="267"/>
      <c r="BO1327" s="63">
        <v>0</v>
      </c>
      <c r="BP1327" s="63">
        <v>0</v>
      </c>
      <c r="BQ1327" s="2">
        <v>0</v>
      </c>
      <c r="BS1327" s="61">
        <f t="shared" si="1632"/>
        <v>25.360000000000014</v>
      </c>
      <c r="BT1327" s="61">
        <f t="shared" si="1633"/>
        <v>0</v>
      </c>
      <c r="BU1327" s="61">
        <f t="shared" si="1634"/>
        <v>0</v>
      </c>
      <c r="BV1327" s="61">
        <f t="shared" si="1634"/>
        <v>0</v>
      </c>
      <c r="BW1327" s="61">
        <f t="shared" si="1634"/>
        <v>0</v>
      </c>
      <c r="BX1327" s="63">
        <f t="shared" si="1634"/>
        <v>25.360000000000014</v>
      </c>
      <c r="BY1327" s="61" t="s">
        <v>91</v>
      </c>
      <c r="CA1327" s="61">
        <f t="shared" si="1660"/>
        <v>0</v>
      </c>
      <c r="CB1327" s="61">
        <f t="shared" si="1660"/>
        <v>3.8152550022566589</v>
      </c>
      <c r="CC1327" s="61">
        <f t="shared" si="1660"/>
        <v>0</v>
      </c>
      <c r="CD1327" s="61">
        <f t="shared" si="1660"/>
        <v>0</v>
      </c>
      <c r="CE1327" s="61">
        <f t="shared" si="1660"/>
        <v>0</v>
      </c>
      <c r="CF1327" s="61">
        <f t="shared" si="1660"/>
        <v>0</v>
      </c>
      <c r="CG1327" s="61">
        <f t="shared" si="1660"/>
        <v>0</v>
      </c>
      <c r="CH1327" s="61">
        <f t="shared" si="1647"/>
        <v>0</v>
      </c>
      <c r="CI1327" s="61">
        <f t="shared" si="1561"/>
        <v>0.61044080036106541</v>
      </c>
      <c r="CJ1327" s="267"/>
      <c r="CK1327" s="61">
        <f t="shared" si="1623"/>
        <v>0</v>
      </c>
      <c r="CL1327" s="61">
        <f t="shared" si="1619"/>
        <v>3.8152550022566589</v>
      </c>
      <c r="CM1327" s="61">
        <f t="shared" si="1619"/>
        <v>0</v>
      </c>
      <c r="CN1327" s="61">
        <f t="shared" si="1619"/>
        <v>0</v>
      </c>
      <c r="CO1327" s="61">
        <f t="shared" ref="CO1327:CR1390" si="1662">(S1327*$AD1327-AX1327*$BI1327)/$C$2</f>
        <v>0</v>
      </c>
      <c r="CP1327" s="61">
        <f t="shared" si="1662"/>
        <v>0</v>
      </c>
      <c r="CQ1327" s="61">
        <f t="shared" si="1662"/>
        <v>0</v>
      </c>
      <c r="CR1327" s="61">
        <f t="shared" si="1662"/>
        <v>0</v>
      </c>
      <c r="CS1327" s="61">
        <f t="shared" si="1562"/>
        <v>0.61044080036106541</v>
      </c>
      <c r="CT1327" s="63">
        <f t="shared" si="1569"/>
        <v>4.0576000000000016</v>
      </c>
      <c r="CU1327" s="73"/>
      <c r="CV1327" s="61">
        <f t="shared" si="1644"/>
        <v>0</v>
      </c>
      <c r="CW1327" s="61">
        <f t="shared" si="1564"/>
        <v>0</v>
      </c>
      <c r="CY1327" s="61">
        <f t="shared" si="1648"/>
        <v>0</v>
      </c>
      <c r="CZ1327" s="61">
        <f t="shared" si="1648"/>
        <v>0</v>
      </c>
      <c r="DA1327" s="61">
        <f t="shared" si="1648"/>
        <v>0</v>
      </c>
      <c r="DB1327" s="2" t="s">
        <v>85</v>
      </c>
      <c r="DC1327" s="2" t="s">
        <v>86</v>
      </c>
      <c r="DD1327" s="2" t="s">
        <v>87</v>
      </c>
      <c r="DE1327" s="2" t="s">
        <v>106</v>
      </c>
      <c r="DF1327" s="3" t="s">
        <v>86</v>
      </c>
      <c r="DG1327" s="62">
        <v>43111</v>
      </c>
      <c r="EC1327" s="60"/>
      <c r="ED1327" s="60"/>
      <c r="EE1327" s="60"/>
      <c r="EF1327" s="60"/>
    </row>
    <row r="1328" spans="2:140" ht="12.75" hidden="1" customHeight="1">
      <c r="B1328" s="1" t="s">
        <v>2176</v>
      </c>
      <c r="C1328" s="22" t="s">
        <v>2177</v>
      </c>
      <c r="D1328" s="149" t="s">
        <v>2178</v>
      </c>
      <c r="E1328" s="86" t="s">
        <v>1591</v>
      </c>
      <c r="F1328" s="85" t="s">
        <v>2072</v>
      </c>
      <c r="G1328" s="297" t="s">
        <v>994</v>
      </c>
      <c r="J1328" s="298" t="s">
        <v>155</v>
      </c>
      <c r="K1328" s="299" t="s">
        <v>2208</v>
      </c>
      <c r="L1328" s="3" t="s">
        <v>2184</v>
      </c>
      <c r="M1328" s="51" t="str">
        <f t="shared" si="1661"/>
        <v>JD8T -14401 -CA </v>
      </c>
      <c r="O1328" s="89">
        <v>0</v>
      </c>
      <c r="P1328" s="89">
        <v>0</v>
      </c>
      <c r="Q1328" s="89">
        <v>1</v>
      </c>
      <c r="R1328" s="89">
        <v>0</v>
      </c>
      <c r="S1328" s="89">
        <v>0</v>
      </c>
      <c r="T1328" s="89">
        <v>0</v>
      </c>
      <c r="U1328" s="89">
        <v>0</v>
      </c>
      <c r="V1328" s="89">
        <v>0</v>
      </c>
      <c r="W1328" s="164">
        <f t="shared" si="1650"/>
        <v>0.14000000000000001</v>
      </c>
      <c r="Y1328" s="8">
        <v>-234.27</v>
      </c>
      <c r="Z1328" s="63">
        <v>-0.82</v>
      </c>
      <c r="AA1328" s="63">
        <v>-0.7</v>
      </c>
      <c r="AB1328" s="63"/>
      <c r="AC1328" s="63"/>
      <c r="AD1328" s="8">
        <f t="shared" si="1645"/>
        <v>-235.79</v>
      </c>
      <c r="AE1328" s="2" t="s">
        <v>84</v>
      </c>
      <c r="AG1328" s="300"/>
      <c r="AH1328" s="300"/>
      <c r="AJ1328" s="300"/>
      <c r="AK1328" s="176"/>
      <c r="AM1328" s="22"/>
      <c r="AO1328" s="298" t="s">
        <v>1735</v>
      </c>
      <c r="AP1328" s="297" t="s">
        <v>2208</v>
      </c>
      <c r="AQ1328" s="3" t="s">
        <v>2187</v>
      </c>
      <c r="AR1328" s="90" t="str">
        <f t="shared" si="1566"/>
        <v>ED8T -14401 -LB </v>
      </c>
      <c r="AT1328" s="89">
        <v>0</v>
      </c>
      <c r="AU1328" s="89">
        <v>0</v>
      </c>
      <c r="AV1328" s="89">
        <v>1</v>
      </c>
      <c r="AW1328" s="89">
        <v>0</v>
      </c>
      <c r="AX1328" s="89">
        <v>0</v>
      </c>
      <c r="AY1328" s="89">
        <v>0</v>
      </c>
      <c r="AZ1328" s="89">
        <v>0</v>
      </c>
      <c r="BA1328" s="89">
        <v>0</v>
      </c>
      <c r="BB1328" s="89">
        <f t="shared" si="1649"/>
        <v>0.14000000000000001</v>
      </c>
      <c r="BD1328" s="60">
        <v>-270.48</v>
      </c>
      <c r="BE1328" s="63">
        <v>-0.82</v>
      </c>
      <c r="BF1328" s="63">
        <v>-0.7</v>
      </c>
      <c r="BG1328" s="63">
        <v>0</v>
      </c>
      <c r="BH1328" s="63">
        <v>0</v>
      </c>
      <c r="BI1328" s="8">
        <f t="shared" si="1646"/>
        <v>-272</v>
      </c>
      <c r="BJ1328" s="2" t="s">
        <v>84</v>
      </c>
      <c r="BL1328" s="63"/>
      <c r="BM1328" s="63">
        <v>0</v>
      </c>
      <c r="BN1328" s="267"/>
      <c r="BO1328" s="63">
        <v>0</v>
      </c>
      <c r="BP1328" s="63">
        <v>0</v>
      </c>
      <c r="BQ1328" s="2">
        <v>0</v>
      </c>
      <c r="BS1328" s="61">
        <f t="shared" ref="BS1328:BS1359" si="1663">SUM(Y1328)-SUM(BD1328)</f>
        <v>36.210000000000008</v>
      </c>
      <c r="BT1328" s="61">
        <f t="shared" ref="BT1328:BT1359" si="1664">SUM(Z1328)-SUM(BE1328)</f>
        <v>0</v>
      </c>
      <c r="BU1328" s="61">
        <f t="shared" ref="BU1328:BX1359" si="1665">SUM(AA1328)-SUM(BF1328)</f>
        <v>0</v>
      </c>
      <c r="BV1328" s="61">
        <f t="shared" si="1665"/>
        <v>0</v>
      </c>
      <c r="BW1328" s="61">
        <f t="shared" si="1665"/>
        <v>0</v>
      </c>
      <c r="BX1328" s="63">
        <f t="shared" si="1665"/>
        <v>36.210000000000008</v>
      </c>
      <c r="BY1328" s="61" t="s">
        <v>91</v>
      </c>
      <c r="CA1328" s="61">
        <f t="shared" si="1660"/>
        <v>0</v>
      </c>
      <c r="CB1328" s="61">
        <f t="shared" si="1660"/>
        <v>0</v>
      </c>
      <c r="CC1328" s="61">
        <f t="shared" si="1660"/>
        <v>5.4475703324808196</v>
      </c>
      <c r="CD1328" s="61">
        <f t="shared" si="1660"/>
        <v>0</v>
      </c>
      <c r="CE1328" s="61">
        <f t="shared" si="1660"/>
        <v>0</v>
      </c>
      <c r="CF1328" s="61">
        <f t="shared" si="1660"/>
        <v>0</v>
      </c>
      <c r="CG1328" s="61">
        <f t="shared" si="1660"/>
        <v>0</v>
      </c>
      <c r="CH1328" s="61">
        <f t="shared" si="1647"/>
        <v>0</v>
      </c>
      <c r="CI1328" s="61">
        <f t="shared" si="1561"/>
        <v>0.76265984654731478</v>
      </c>
      <c r="CJ1328" s="267"/>
      <c r="CK1328" s="61">
        <f t="shared" si="1623"/>
        <v>0</v>
      </c>
      <c r="CL1328" s="61">
        <f t="shared" si="1623"/>
        <v>0</v>
      </c>
      <c r="CM1328" s="61">
        <f t="shared" si="1623"/>
        <v>5.4475703324808196</v>
      </c>
      <c r="CN1328" s="61">
        <f t="shared" si="1623"/>
        <v>0</v>
      </c>
      <c r="CO1328" s="61">
        <f t="shared" si="1662"/>
        <v>0</v>
      </c>
      <c r="CP1328" s="61">
        <f t="shared" si="1662"/>
        <v>0</v>
      </c>
      <c r="CQ1328" s="61">
        <f t="shared" si="1662"/>
        <v>0</v>
      </c>
      <c r="CR1328" s="61">
        <f t="shared" si="1662"/>
        <v>0</v>
      </c>
      <c r="CS1328" s="61">
        <f t="shared" si="1562"/>
        <v>0.76265984654731478</v>
      </c>
      <c r="CT1328" s="63">
        <f t="shared" si="1569"/>
        <v>5.0694000000000017</v>
      </c>
      <c r="CU1328" s="73"/>
      <c r="CV1328" s="61">
        <f t="shared" si="1644"/>
        <v>0</v>
      </c>
      <c r="CW1328" s="61">
        <f t="shared" si="1564"/>
        <v>0</v>
      </c>
      <c r="CY1328" s="61">
        <f t="shared" si="1648"/>
        <v>0</v>
      </c>
      <c r="CZ1328" s="61">
        <f t="shared" si="1648"/>
        <v>0</v>
      </c>
      <c r="DA1328" s="61">
        <f t="shared" si="1648"/>
        <v>0</v>
      </c>
      <c r="DB1328" s="2" t="s">
        <v>85</v>
      </c>
      <c r="DC1328" s="2" t="s">
        <v>86</v>
      </c>
      <c r="DD1328" s="2" t="s">
        <v>87</v>
      </c>
      <c r="DE1328" s="2" t="s">
        <v>106</v>
      </c>
      <c r="DF1328" s="3" t="s">
        <v>86</v>
      </c>
      <c r="DG1328" s="62">
        <v>43111</v>
      </c>
      <c r="EC1328" s="60"/>
      <c r="ED1328" s="60"/>
      <c r="EE1328" s="60"/>
      <c r="EF1328" s="60"/>
    </row>
    <row r="1329" spans="2:140" ht="12.75" hidden="1" customHeight="1">
      <c r="B1329" s="1" t="s">
        <v>2176</v>
      </c>
      <c r="C1329" s="22" t="s">
        <v>2177</v>
      </c>
      <c r="D1329" s="149" t="s">
        <v>2178</v>
      </c>
      <c r="E1329" s="86" t="s">
        <v>1591</v>
      </c>
      <c r="F1329" s="85" t="s">
        <v>2072</v>
      </c>
      <c r="G1329" s="297" t="s">
        <v>994</v>
      </c>
      <c r="J1329" s="298" t="s">
        <v>155</v>
      </c>
      <c r="K1329" s="299" t="s">
        <v>2208</v>
      </c>
      <c r="L1329" s="3" t="s">
        <v>2186</v>
      </c>
      <c r="M1329" s="51" t="str">
        <f t="shared" si="1661"/>
        <v>JD8T -14401 -DA </v>
      </c>
      <c r="O1329" s="89">
        <v>0</v>
      </c>
      <c r="P1329" s="89">
        <v>0</v>
      </c>
      <c r="Q1329" s="89">
        <v>1</v>
      </c>
      <c r="R1329" s="89">
        <v>0</v>
      </c>
      <c r="S1329" s="89">
        <v>0</v>
      </c>
      <c r="T1329" s="89">
        <v>0</v>
      </c>
      <c r="U1329" s="89">
        <v>0</v>
      </c>
      <c r="V1329" s="89">
        <v>0</v>
      </c>
      <c r="W1329" s="164">
        <f t="shared" si="1650"/>
        <v>0.14000000000000001</v>
      </c>
      <c r="Y1329" s="8">
        <v>-268.02999999999997</v>
      </c>
      <c r="Z1329" s="63">
        <v>-0.82</v>
      </c>
      <c r="AA1329" s="63">
        <v>-0.7</v>
      </c>
      <c r="AB1329" s="63"/>
      <c r="AC1329" s="63"/>
      <c r="AD1329" s="8">
        <f t="shared" si="1645"/>
        <v>-269.54999999999995</v>
      </c>
      <c r="AE1329" s="2" t="s">
        <v>84</v>
      </c>
      <c r="AG1329" s="300"/>
      <c r="AH1329" s="300"/>
      <c r="AJ1329" s="300"/>
      <c r="AK1329" s="176"/>
      <c r="AM1329" s="22"/>
      <c r="AO1329" s="298" t="s">
        <v>1735</v>
      </c>
      <c r="AP1329" s="297" t="s">
        <v>2208</v>
      </c>
      <c r="AQ1329" s="3" t="s">
        <v>2210</v>
      </c>
      <c r="AR1329" s="90" t="str">
        <f t="shared" si="1566"/>
        <v>ED8T -14401 -HC </v>
      </c>
      <c r="AT1329" s="89">
        <v>0</v>
      </c>
      <c r="AU1329" s="89">
        <v>0</v>
      </c>
      <c r="AV1329" s="89">
        <v>1</v>
      </c>
      <c r="AW1329" s="89">
        <v>0</v>
      </c>
      <c r="AX1329" s="89">
        <v>0</v>
      </c>
      <c r="AY1329" s="89">
        <v>0</v>
      </c>
      <c r="AZ1329" s="89">
        <v>0</v>
      </c>
      <c r="BA1329" s="89">
        <v>0</v>
      </c>
      <c r="BB1329" s="89">
        <f t="shared" si="1649"/>
        <v>0.14000000000000001</v>
      </c>
      <c r="BD1329" s="60">
        <v>-212.84</v>
      </c>
      <c r="BE1329" s="63">
        <v>-0.82</v>
      </c>
      <c r="BF1329" s="63">
        <v>-0.7</v>
      </c>
      <c r="BG1329" s="63">
        <v>0</v>
      </c>
      <c r="BH1329" s="63">
        <v>0</v>
      </c>
      <c r="BI1329" s="8">
        <f t="shared" si="1646"/>
        <v>-214.35999999999999</v>
      </c>
      <c r="BJ1329" s="2" t="s">
        <v>84</v>
      </c>
      <c r="BL1329" s="63"/>
      <c r="BM1329" s="63">
        <v>0</v>
      </c>
      <c r="BN1329" s="267"/>
      <c r="BO1329" s="63">
        <v>0</v>
      </c>
      <c r="BP1329" s="63">
        <v>0</v>
      </c>
      <c r="BQ1329" s="2">
        <v>0</v>
      </c>
      <c r="BS1329" s="61">
        <f t="shared" si="1663"/>
        <v>-55.189999999999969</v>
      </c>
      <c r="BT1329" s="61">
        <f t="shared" si="1664"/>
        <v>0</v>
      </c>
      <c r="BU1329" s="61">
        <f t="shared" si="1665"/>
        <v>0</v>
      </c>
      <c r="BV1329" s="61">
        <f t="shared" si="1665"/>
        <v>0</v>
      </c>
      <c r="BW1329" s="61">
        <f t="shared" si="1665"/>
        <v>0</v>
      </c>
      <c r="BX1329" s="63">
        <f t="shared" si="1665"/>
        <v>-55.189999999999969</v>
      </c>
      <c r="BY1329" s="61" t="s">
        <v>91</v>
      </c>
      <c r="CA1329" s="61">
        <f t="shared" si="1660"/>
        <v>0</v>
      </c>
      <c r="CB1329" s="61">
        <f t="shared" si="1660"/>
        <v>0</v>
      </c>
      <c r="CC1329" s="61">
        <f t="shared" si="1660"/>
        <v>-8.3029938318038159</v>
      </c>
      <c r="CD1329" s="61">
        <f t="shared" si="1660"/>
        <v>0</v>
      </c>
      <c r="CE1329" s="61">
        <f t="shared" si="1660"/>
        <v>0</v>
      </c>
      <c r="CF1329" s="61">
        <f t="shared" si="1660"/>
        <v>0</v>
      </c>
      <c r="CG1329" s="61">
        <f t="shared" si="1660"/>
        <v>0</v>
      </c>
      <c r="CH1329" s="61">
        <f t="shared" si="1647"/>
        <v>0</v>
      </c>
      <c r="CI1329" s="61">
        <f t="shared" si="1561"/>
        <v>-1.1624191364525343</v>
      </c>
      <c r="CJ1329" s="267"/>
      <c r="CK1329" s="61">
        <f t="shared" si="1623"/>
        <v>0</v>
      </c>
      <c r="CL1329" s="61">
        <f t="shared" si="1623"/>
        <v>0</v>
      </c>
      <c r="CM1329" s="61">
        <f t="shared" si="1623"/>
        <v>-8.3029938318038159</v>
      </c>
      <c r="CN1329" s="61">
        <f t="shared" si="1623"/>
        <v>0</v>
      </c>
      <c r="CO1329" s="61">
        <f t="shared" si="1662"/>
        <v>0</v>
      </c>
      <c r="CP1329" s="61">
        <f t="shared" si="1662"/>
        <v>0</v>
      </c>
      <c r="CQ1329" s="61">
        <f t="shared" si="1662"/>
        <v>0</v>
      </c>
      <c r="CR1329" s="61">
        <f t="shared" si="1662"/>
        <v>0</v>
      </c>
      <c r="CS1329" s="61">
        <f t="shared" si="1562"/>
        <v>-1.1624191364525343</v>
      </c>
      <c r="CT1329" s="63">
        <f t="shared" si="1569"/>
        <v>-7.726599999999995</v>
      </c>
      <c r="CU1329" s="73"/>
      <c r="CV1329" s="61">
        <f t="shared" si="1644"/>
        <v>0</v>
      </c>
      <c r="CW1329" s="61">
        <f t="shared" si="1564"/>
        <v>0</v>
      </c>
      <c r="CY1329" s="61">
        <f t="shared" si="1648"/>
        <v>0</v>
      </c>
      <c r="CZ1329" s="61">
        <f t="shared" si="1648"/>
        <v>0</v>
      </c>
      <c r="DA1329" s="61">
        <f t="shared" si="1648"/>
        <v>0</v>
      </c>
      <c r="DB1329" s="2" t="s">
        <v>85</v>
      </c>
      <c r="DC1329" s="2" t="s">
        <v>86</v>
      </c>
      <c r="DD1329" s="2" t="s">
        <v>87</v>
      </c>
      <c r="DE1329" s="2" t="s">
        <v>106</v>
      </c>
      <c r="DF1329" s="3" t="s">
        <v>86</v>
      </c>
      <c r="DG1329" s="62">
        <v>43111</v>
      </c>
      <c r="EC1329" s="60"/>
      <c r="ED1329" s="60"/>
      <c r="EE1329" s="60"/>
      <c r="EF1329" s="60"/>
    </row>
    <row r="1330" spans="2:140" ht="12.75" hidden="1" customHeight="1">
      <c r="B1330" s="1" t="s">
        <v>2176</v>
      </c>
      <c r="C1330" s="22" t="s">
        <v>2177</v>
      </c>
      <c r="D1330" s="149" t="s">
        <v>2178</v>
      </c>
      <c r="E1330" s="86" t="s">
        <v>1591</v>
      </c>
      <c r="F1330" s="85" t="s">
        <v>2072</v>
      </c>
      <c r="G1330" s="297" t="s">
        <v>994</v>
      </c>
      <c r="J1330" s="298" t="s">
        <v>155</v>
      </c>
      <c r="K1330" s="299" t="s">
        <v>2208</v>
      </c>
      <c r="L1330" s="3" t="s">
        <v>2188</v>
      </c>
      <c r="M1330" s="51" t="str">
        <f t="shared" si="1661"/>
        <v>JD8T -14401 -EA </v>
      </c>
      <c r="O1330" s="89">
        <v>0</v>
      </c>
      <c r="P1330" s="89">
        <v>0</v>
      </c>
      <c r="Q1330" s="89">
        <v>0</v>
      </c>
      <c r="R1330" s="89">
        <v>1</v>
      </c>
      <c r="S1330" s="89">
        <v>0</v>
      </c>
      <c r="T1330" s="89">
        <v>0</v>
      </c>
      <c r="U1330" s="89">
        <v>0</v>
      </c>
      <c r="V1330" s="89">
        <v>0</v>
      </c>
      <c r="W1330" s="164">
        <f t="shared" si="1650"/>
        <v>0.23</v>
      </c>
      <c r="Y1330" s="8">
        <v>-247.58</v>
      </c>
      <c r="Z1330" s="63">
        <v>-0.82</v>
      </c>
      <c r="AA1330" s="63">
        <v>-0.7</v>
      </c>
      <c r="AB1330" s="63"/>
      <c r="AC1330" s="63"/>
      <c r="AD1330" s="8">
        <f t="shared" si="1645"/>
        <v>-249.1</v>
      </c>
      <c r="AE1330" s="2" t="s">
        <v>84</v>
      </c>
      <c r="AG1330" s="300"/>
      <c r="AH1330" s="300"/>
      <c r="AJ1330" s="300"/>
      <c r="AK1330" s="176"/>
      <c r="AM1330" s="22"/>
      <c r="AO1330" s="298" t="s">
        <v>1735</v>
      </c>
      <c r="AP1330" s="297" t="s">
        <v>2208</v>
      </c>
      <c r="AQ1330" s="3" t="s">
        <v>2211</v>
      </c>
      <c r="AR1330" s="90" t="str">
        <f t="shared" si="1566"/>
        <v>ED8T -14401 -MB </v>
      </c>
      <c r="AT1330" s="89">
        <v>0</v>
      </c>
      <c r="AU1330" s="89">
        <v>0</v>
      </c>
      <c r="AV1330" s="89">
        <v>0</v>
      </c>
      <c r="AW1330" s="89">
        <v>1</v>
      </c>
      <c r="AX1330" s="89">
        <v>0</v>
      </c>
      <c r="AY1330" s="89">
        <v>0</v>
      </c>
      <c r="AZ1330" s="89">
        <v>0</v>
      </c>
      <c r="BA1330" s="89">
        <v>0</v>
      </c>
      <c r="BB1330" s="89">
        <f t="shared" si="1649"/>
        <v>0.23</v>
      </c>
      <c r="BD1330" s="60">
        <v>-223.14</v>
      </c>
      <c r="BE1330" s="63">
        <v>-0.82</v>
      </c>
      <c r="BF1330" s="63">
        <v>-0.7</v>
      </c>
      <c r="BG1330" s="63">
        <v>0</v>
      </c>
      <c r="BH1330" s="63">
        <v>0</v>
      </c>
      <c r="BI1330" s="8">
        <f t="shared" si="1646"/>
        <v>-224.65999999999997</v>
      </c>
      <c r="BJ1330" s="2" t="s">
        <v>84</v>
      </c>
      <c r="BL1330" s="63"/>
      <c r="BM1330" s="63">
        <v>0</v>
      </c>
      <c r="BN1330" s="267"/>
      <c r="BO1330" s="63">
        <v>0</v>
      </c>
      <c r="BP1330" s="63">
        <v>0</v>
      </c>
      <c r="BQ1330" s="2">
        <v>0</v>
      </c>
      <c r="BS1330" s="61">
        <f t="shared" si="1663"/>
        <v>-24.440000000000026</v>
      </c>
      <c r="BT1330" s="61">
        <f t="shared" si="1664"/>
        <v>0</v>
      </c>
      <c r="BU1330" s="61">
        <f t="shared" si="1665"/>
        <v>0</v>
      </c>
      <c r="BV1330" s="61">
        <f t="shared" si="1665"/>
        <v>0</v>
      </c>
      <c r="BW1330" s="61">
        <f t="shared" si="1665"/>
        <v>0</v>
      </c>
      <c r="BX1330" s="63">
        <f t="shared" si="1665"/>
        <v>-24.440000000000026</v>
      </c>
      <c r="BY1330" s="61" t="s">
        <v>91</v>
      </c>
      <c r="CA1330" s="61">
        <f t="shared" si="1660"/>
        <v>0</v>
      </c>
      <c r="CB1330" s="61">
        <f t="shared" si="1660"/>
        <v>0</v>
      </c>
      <c r="CC1330" s="61">
        <f t="shared" si="1660"/>
        <v>0</v>
      </c>
      <c r="CD1330" s="61">
        <f t="shared" si="1660"/>
        <v>-3.6768466977583909</v>
      </c>
      <c r="CE1330" s="61">
        <f t="shared" si="1660"/>
        <v>0</v>
      </c>
      <c r="CF1330" s="61">
        <f t="shared" si="1660"/>
        <v>0</v>
      </c>
      <c r="CG1330" s="61">
        <f t="shared" si="1660"/>
        <v>0</v>
      </c>
      <c r="CH1330" s="61">
        <f t="shared" si="1647"/>
        <v>0</v>
      </c>
      <c r="CI1330" s="61">
        <f t="shared" ref="CI1330:CI1393" si="1666">SUMPRODUCT(CA1330:CH1330,$O$6:$V$6)</f>
        <v>-0.84567474048442992</v>
      </c>
      <c r="CJ1330" s="267"/>
      <c r="CK1330" s="61">
        <f t="shared" si="1623"/>
        <v>0</v>
      </c>
      <c r="CL1330" s="61">
        <f t="shared" si="1623"/>
        <v>0</v>
      </c>
      <c r="CM1330" s="61">
        <f t="shared" si="1623"/>
        <v>0</v>
      </c>
      <c r="CN1330" s="61">
        <f t="shared" si="1623"/>
        <v>-3.6768466977583909</v>
      </c>
      <c r="CO1330" s="61">
        <f t="shared" si="1662"/>
        <v>0</v>
      </c>
      <c r="CP1330" s="61">
        <f t="shared" si="1662"/>
        <v>0</v>
      </c>
      <c r="CQ1330" s="61">
        <f t="shared" si="1662"/>
        <v>0</v>
      </c>
      <c r="CR1330" s="61">
        <f t="shared" si="1662"/>
        <v>0</v>
      </c>
      <c r="CS1330" s="61">
        <f t="shared" ref="CS1330:CS1393" si="1667">SUMPRODUCT(CK1330:CR1330,$O$6:$V$6)</f>
        <v>-0.84567474048442992</v>
      </c>
      <c r="CT1330" s="63">
        <f t="shared" si="1569"/>
        <v>-5.6212000000000062</v>
      </c>
      <c r="CU1330" s="73"/>
      <c r="CV1330" s="61">
        <f t="shared" si="1644"/>
        <v>0</v>
      </c>
      <c r="CW1330" s="61">
        <f t="shared" ref="CW1330:CW1414" si="1668">SUM(AH1330)-SUM(BM1330)</f>
        <v>0</v>
      </c>
      <c r="CY1330" s="61">
        <f t="shared" si="1648"/>
        <v>0</v>
      </c>
      <c r="CZ1330" s="61">
        <f t="shared" si="1648"/>
        <v>0</v>
      </c>
      <c r="DA1330" s="61">
        <f t="shared" si="1648"/>
        <v>0</v>
      </c>
      <c r="DB1330" s="2" t="s">
        <v>85</v>
      </c>
      <c r="DC1330" s="2" t="s">
        <v>86</v>
      </c>
      <c r="DD1330" s="2" t="s">
        <v>87</v>
      </c>
      <c r="DE1330" s="2" t="s">
        <v>106</v>
      </c>
      <c r="DF1330" s="3" t="s">
        <v>86</v>
      </c>
      <c r="DG1330" s="62">
        <v>43111</v>
      </c>
      <c r="EC1330" s="60"/>
      <c r="ED1330" s="60"/>
      <c r="EE1330" s="60"/>
      <c r="EF1330" s="60"/>
    </row>
    <row r="1331" spans="2:140" ht="12.75" hidden="1" customHeight="1">
      <c r="B1331" s="1" t="s">
        <v>2176</v>
      </c>
      <c r="C1331" s="22" t="s">
        <v>2177</v>
      </c>
      <c r="D1331" s="149" t="s">
        <v>2178</v>
      </c>
      <c r="E1331" s="86" t="s">
        <v>1591</v>
      </c>
      <c r="F1331" s="85" t="s">
        <v>2072</v>
      </c>
      <c r="G1331" s="297" t="s">
        <v>994</v>
      </c>
      <c r="J1331" s="298" t="s">
        <v>155</v>
      </c>
      <c r="K1331" s="299" t="s">
        <v>2208</v>
      </c>
      <c r="L1331" s="3" t="s">
        <v>2190</v>
      </c>
      <c r="M1331" s="51" t="str">
        <f t="shared" si="1661"/>
        <v>JD8T -14401 -FA </v>
      </c>
      <c r="O1331" s="89">
        <v>0</v>
      </c>
      <c r="P1331" s="89">
        <v>0</v>
      </c>
      <c r="Q1331" s="89">
        <v>0</v>
      </c>
      <c r="R1331" s="89">
        <v>1</v>
      </c>
      <c r="S1331" s="89">
        <v>0</v>
      </c>
      <c r="T1331" s="89">
        <v>0</v>
      </c>
      <c r="U1331" s="89">
        <v>0</v>
      </c>
      <c r="V1331" s="89">
        <v>0</v>
      </c>
      <c r="W1331" s="164">
        <f t="shared" si="1650"/>
        <v>0.23</v>
      </c>
      <c r="Y1331" s="8">
        <v>-274.31</v>
      </c>
      <c r="Z1331" s="63">
        <v>-0.41</v>
      </c>
      <c r="AA1331" s="63">
        <v>-0.14000000000000001</v>
      </c>
      <c r="AB1331" s="63"/>
      <c r="AC1331" s="63"/>
      <c r="AD1331" s="8">
        <f t="shared" si="1645"/>
        <v>-274.86</v>
      </c>
      <c r="AE1331" s="2" t="s">
        <v>84</v>
      </c>
      <c r="AG1331" s="300"/>
      <c r="AH1331" s="300"/>
      <c r="AJ1331" s="300"/>
      <c r="AK1331" s="176"/>
      <c r="AM1331" s="22"/>
      <c r="AO1331" s="298" t="s">
        <v>1735</v>
      </c>
      <c r="AP1331" s="297" t="s">
        <v>2208</v>
      </c>
      <c r="AQ1331" s="3" t="s">
        <v>2189</v>
      </c>
      <c r="AR1331" s="90" t="str">
        <f t="shared" si="1566"/>
        <v>ED8T -14401 -GC </v>
      </c>
      <c r="AT1331" s="89">
        <v>0</v>
      </c>
      <c r="AU1331" s="89">
        <v>0</v>
      </c>
      <c r="AV1331" s="89">
        <v>0</v>
      </c>
      <c r="AW1331" s="89">
        <v>1</v>
      </c>
      <c r="AX1331" s="89">
        <v>0</v>
      </c>
      <c r="AY1331" s="89">
        <v>0</v>
      </c>
      <c r="AZ1331" s="89">
        <v>0</v>
      </c>
      <c r="BA1331" s="89">
        <v>0</v>
      </c>
      <c r="BB1331" s="89">
        <f t="shared" si="1649"/>
        <v>0.23</v>
      </c>
      <c r="BD1331" s="60">
        <v>-47.44</v>
      </c>
      <c r="BE1331" s="63">
        <v>-0.41</v>
      </c>
      <c r="BF1331" s="63">
        <v>-0.14000000000000001</v>
      </c>
      <c r="BG1331" s="63">
        <v>0</v>
      </c>
      <c r="BH1331" s="63">
        <v>0</v>
      </c>
      <c r="BI1331" s="8">
        <f t="shared" ref="BI1331:BI1396" si="1669">SUM(BD1331:BH1331)</f>
        <v>-47.989999999999995</v>
      </c>
      <c r="BJ1331" s="2" t="s">
        <v>84</v>
      </c>
      <c r="BL1331" s="63"/>
      <c r="BM1331" s="63">
        <v>0</v>
      </c>
      <c r="BN1331" s="267"/>
      <c r="BO1331" s="63">
        <v>0</v>
      </c>
      <c r="BP1331" s="63">
        <v>0</v>
      </c>
      <c r="BQ1331" s="2">
        <v>0</v>
      </c>
      <c r="BS1331" s="61">
        <f t="shared" si="1663"/>
        <v>-226.87</v>
      </c>
      <c r="BT1331" s="61">
        <f t="shared" si="1664"/>
        <v>0</v>
      </c>
      <c r="BU1331" s="61">
        <f t="shared" si="1665"/>
        <v>0</v>
      </c>
      <c r="BV1331" s="61">
        <f t="shared" si="1665"/>
        <v>0</v>
      </c>
      <c r="BW1331" s="61">
        <f t="shared" si="1665"/>
        <v>0</v>
      </c>
      <c r="BX1331" s="63">
        <f t="shared" si="1665"/>
        <v>-226.87</v>
      </c>
      <c r="BY1331" s="61" t="s">
        <v>91</v>
      </c>
      <c r="CA1331" s="61">
        <f t="shared" si="1660"/>
        <v>0</v>
      </c>
      <c r="CB1331" s="61">
        <f t="shared" si="1660"/>
        <v>0</v>
      </c>
      <c r="CC1331" s="61">
        <f t="shared" si="1660"/>
        <v>0</v>
      </c>
      <c r="CD1331" s="61">
        <f t="shared" si="1660"/>
        <v>-34.13118700165488</v>
      </c>
      <c r="CE1331" s="61">
        <f t="shared" si="1660"/>
        <v>0</v>
      </c>
      <c r="CF1331" s="61">
        <f t="shared" si="1660"/>
        <v>0</v>
      </c>
      <c r="CG1331" s="61">
        <f t="shared" si="1660"/>
        <v>0</v>
      </c>
      <c r="CH1331" s="61">
        <f t="shared" si="1647"/>
        <v>0</v>
      </c>
      <c r="CI1331" s="61">
        <f t="shared" si="1666"/>
        <v>-7.8501730103806224</v>
      </c>
      <c r="CJ1331" s="267"/>
      <c r="CK1331" s="61">
        <f t="shared" si="1623"/>
        <v>0</v>
      </c>
      <c r="CL1331" s="61">
        <f t="shared" si="1623"/>
        <v>0</v>
      </c>
      <c r="CM1331" s="61">
        <f t="shared" si="1623"/>
        <v>0</v>
      </c>
      <c r="CN1331" s="61">
        <f t="shared" si="1623"/>
        <v>-34.13118700165488</v>
      </c>
      <c r="CO1331" s="61">
        <f t="shared" si="1662"/>
        <v>0</v>
      </c>
      <c r="CP1331" s="61">
        <f t="shared" si="1662"/>
        <v>0</v>
      </c>
      <c r="CQ1331" s="61">
        <f t="shared" si="1662"/>
        <v>0</v>
      </c>
      <c r="CR1331" s="61">
        <f t="shared" si="1662"/>
        <v>0</v>
      </c>
      <c r="CS1331" s="61">
        <f t="shared" si="1667"/>
        <v>-7.8501730103806224</v>
      </c>
      <c r="CT1331" s="63">
        <f t="shared" si="1569"/>
        <v>-52.180099999999996</v>
      </c>
      <c r="CU1331" s="73"/>
      <c r="CV1331" s="61">
        <f t="shared" si="1644"/>
        <v>0</v>
      </c>
      <c r="CW1331" s="61">
        <f t="shared" si="1668"/>
        <v>0</v>
      </c>
      <c r="CY1331" s="61">
        <f t="shared" si="1648"/>
        <v>0</v>
      </c>
      <c r="CZ1331" s="61">
        <f t="shared" si="1648"/>
        <v>0</v>
      </c>
      <c r="DA1331" s="61">
        <f t="shared" si="1648"/>
        <v>0</v>
      </c>
      <c r="DB1331" s="2" t="s">
        <v>85</v>
      </c>
      <c r="DC1331" s="2" t="s">
        <v>86</v>
      </c>
      <c r="DD1331" s="2" t="s">
        <v>87</v>
      </c>
      <c r="DE1331" s="2" t="s">
        <v>106</v>
      </c>
      <c r="DF1331" s="3" t="s">
        <v>86</v>
      </c>
      <c r="DG1331" s="62">
        <v>43111</v>
      </c>
      <c r="EC1331" s="60"/>
      <c r="ED1331" s="60"/>
      <c r="EE1331" s="60"/>
      <c r="EF1331" s="60"/>
    </row>
    <row r="1332" spans="2:140" ht="12.75" hidden="1" customHeight="1">
      <c r="B1332" s="1" t="s">
        <v>2176</v>
      </c>
      <c r="C1332" s="22" t="s">
        <v>2177</v>
      </c>
      <c r="D1332" s="149" t="s">
        <v>2178</v>
      </c>
      <c r="E1332" s="86" t="s">
        <v>1591</v>
      </c>
      <c r="F1332" s="85" t="s">
        <v>2072</v>
      </c>
      <c r="G1332" s="297" t="s">
        <v>994</v>
      </c>
      <c r="J1332" s="298" t="s">
        <v>155</v>
      </c>
      <c r="K1332" s="299" t="s">
        <v>2208</v>
      </c>
      <c r="L1332" s="3" t="s">
        <v>1593</v>
      </c>
      <c r="M1332" s="51" t="str">
        <f t="shared" si="1661"/>
        <v>JD8T -14401 -GA </v>
      </c>
      <c r="O1332" s="89">
        <v>0</v>
      </c>
      <c r="P1332" s="89">
        <v>0</v>
      </c>
      <c r="Q1332" s="89">
        <v>0</v>
      </c>
      <c r="R1332" s="89">
        <v>0</v>
      </c>
      <c r="S1332" s="89">
        <v>1</v>
      </c>
      <c r="T1332" s="89">
        <v>0</v>
      </c>
      <c r="U1332" s="89">
        <v>0</v>
      </c>
      <c r="V1332" s="89">
        <v>0</v>
      </c>
      <c r="W1332" s="164">
        <f t="shared" si="1650"/>
        <v>0.09</v>
      </c>
      <c r="Y1332" s="8">
        <v>-259.81</v>
      </c>
      <c r="Z1332" s="63">
        <v>-0.4</v>
      </c>
      <c r="AA1332" s="63">
        <v>-0.14000000000000001</v>
      </c>
      <c r="AB1332" s="63"/>
      <c r="AC1332" s="63"/>
      <c r="AD1332" s="8">
        <f t="shared" si="1645"/>
        <v>-260.34999999999997</v>
      </c>
      <c r="AE1332" s="2" t="s">
        <v>84</v>
      </c>
      <c r="AG1332" s="300"/>
      <c r="AH1332" s="300"/>
      <c r="AJ1332" s="300"/>
      <c r="AK1332" s="176"/>
      <c r="AM1332" s="22"/>
      <c r="AO1332" s="298" t="s">
        <v>1735</v>
      </c>
      <c r="AP1332" s="297" t="s">
        <v>2208</v>
      </c>
      <c r="AQ1332" s="3" t="s">
        <v>2212</v>
      </c>
      <c r="AR1332" s="90" t="str">
        <f t="shared" si="1566"/>
        <v>ED8T -14401 -FB </v>
      </c>
      <c r="AT1332" s="89">
        <v>0</v>
      </c>
      <c r="AU1332" s="89">
        <v>0</v>
      </c>
      <c r="AV1332" s="89">
        <v>0</v>
      </c>
      <c r="AW1332" s="89">
        <v>0</v>
      </c>
      <c r="AX1332" s="89">
        <v>1</v>
      </c>
      <c r="AY1332" s="89">
        <v>0</v>
      </c>
      <c r="AZ1332" s="89">
        <v>0</v>
      </c>
      <c r="BA1332" s="89">
        <v>0</v>
      </c>
      <c r="BB1332" s="89">
        <f t="shared" si="1649"/>
        <v>0.09</v>
      </c>
      <c r="BD1332" s="60">
        <v>-47.14</v>
      </c>
      <c r="BE1332" s="63">
        <v>-0.4</v>
      </c>
      <c r="BF1332" s="63">
        <v>-0.14000000000000001</v>
      </c>
      <c r="BG1332" s="63">
        <v>0</v>
      </c>
      <c r="BH1332" s="63">
        <v>0</v>
      </c>
      <c r="BI1332" s="8">
        <f t="shared" si="1669"/>
        <v>-47.68</v>
      </c>
      <c r="BJ1332" s="2" t="s">
        <v>84</v>
      </c>
      <c r="BL1332" s="63"/>
      <c r="BM1332" s="63">
        <v>0</v>
      </c>
      <c r="BN1332" s="267"/>
      <c r="BO1332" s="63">
        <v>0</v>
      </c>
      <c r="BP1332" s="63">
        <v>0</v>
      </c>
      <c r="BQ1332" s="2">
        <v>0</v>
      </c>
      <c r="BS1332" s="61">
        <f t="shared" si="1663"/>
        <v>-212.67000000000002</v>
      </c>
      <c r="BT1332" s="61">
        <f t="shared" si="1664"/>
        <v>0</v>
      </c>
      <c r="BU1332" s="61">
        <f t="shared" si="1665"/>
        <v>0</v>
      </c>
      <c r="BV1332" s="61">
        <f t="shared" si="1665"/>
        <v>0</v>
      </c>
      <c r="BW1332" s="61">
        <f t="shared" si="1665"/>
        <v>0</v>
      </c>
      <c r="BX1332" s="63">
        <f t="shared" si="1665"/>
        <v>-212.66999999999996</v>
      </c>
      <c r="BY1332" s="61" t="s">
        <v>91</v>
      </c>
      <c r="CA1332" s="61">
        <f t="shared" si="1660"/>
        <v>0</v>
      </c>
      <c r="CB1332" s="61">
        <f t="shared" si="1660"/>
        <v>0</v>
      </c>
      <c r="CC1332" s="61">
        <f t="shared" si="1660"/>
        <v>0</v>
      </c>
      <c r="CD1332" s="61">
        <f t="shared" si="1660"/>
        <v>0</v>
      </c>
      <c r="CE1332" s="61">
        <f t="shared" si="1660"/>
        <v>-31.994884910485936</v>
      </c>
      <c r="CF1332" s="61">
        <f t="shared" si="1660"/>
        <v>0</v>
      </c>
      <c r="CG1332" s="61">
        <f t="shared" si="1660"/>
        <v>0</v>
      </c>
      <c r="CH1332" s="61">
        <f t="shared" si="1647"/>
        <v>0</v>
      </c>
      <c r="CI1332" s="61">
        <f t="shared" si="1666"/>
        <v>-2.879539641943734</v>
      </c>
      <c r="CJ1332" s="267"/>
      <c r="CK1332" s="61">
        <f t="shared" si="1623"/>
        <v>0</v>
      </c>
      <c r="CL1332" s="61">
        <f t="shared" si="1623"/>
        <v>0</v>
      </c>
      <c r="CM1332" s="61">
        <f t="shared" si="1623"/>
        <v>0</v>
      </c>
      <c r="CN1332" s="61">
        <f t="shared" si="1623"/>
        <v>0</v>
      </c>
      <c r="CO1332" s="61">
        <f t="shared" si="1662"/>
        <v>-31.994884910485926</v>
      </c>
      <c r="CP1332" s="61">
        <f t="shared" si="1662"/>
        <v>0</v>
      </c>
      <c r="CQ1332" s="61">
        <f t="shared" si="1662"/>
        <v>0</v>
      </c>
      <c r="CR1332" s="61">
        <f t="shared" si="1662"/>
        <v>0</v>
      </c>
      <c r="CS1332" s="61">
        <f t="shared" si="1667"/>
        <v>-2.8795396419437331</v>
      </c>
      <c r="CT1332" s="63">
        <f t="shared" si="1569"/>
        <v>-19.140299999999996</v>
      </c>
      <c r="CU1332" s="73"/>
      <c r="CV1332" s="61">
        <f t="shared" si="1644"/>
        <v>0</v>
      </c>
      <c r="CW1332" s="61">
        <f t="shared" si="1668"/>
        <v>0</v>
      </c>
      <c r="CY1332" s="61">
        <f t="shared" si="1648"/>
        <v>0</v>
      </c>
      <c r="CZ1332" s="61">
        <f t="shared" si="1648"/>
        <v>0</v>
      </c>
      <c r="DA1332" s="61">
        <f t="shared" si="1648"/>
        <v>0</v>
      </c>
      <c r="DB1332" s="2" t="s">
        <v>85</v>
      </c>
      <c r="DC1332" s="2" t="s">
        <v>86</v>
      </c>
      <c r="DD1332" s="2" t="s">
        <v>87</v>
      </c>
      <c r="DE1332" s="2" t="s">
        <v>106</v>
      </c>
      <c r="DF1332" s="3" t="s">
        <v>86</v>
      </c>
      <c r="DG1332" s="62">
        <v>43111</v>
      </c>
      <c r="EC1332" s="60"/>
      <c r="ED1332" s="60"/>
      <c r="EE1332" s="60"/>
      <c r="EF1332" s="60"/>
    </row>
    <row r="1333" spans="2:140" ht="12.75" hidden="1" customHeight="1">
      <c r="B1333" s="1" t="s">
        <v>2176</v>
      </c>
      <c r="C1333" s="22" t="s">
        <v>2177</v>
      </c>
      <c r="D1333" s="149" t="s">
        <v>2178</v>
      </c>
      <c r="E1333" s="86" t="s">
        <v>1591</v>
      </c>
      <c r="F1333" s="85" t="s">
        <v>2072</v>
      </c>
      <c r="G1333" s="297" t="s">
        <v>994</v>
      </c>
      <c r="J1333" s="298" t="s">
        <v>155</v>
      </c>
      <c r="K1333" s="299" t="s">
        <v>2208</v>
      </c>
      <c r="L1333" s="3" t="s">
        <v>2192</v>
      </c>
      <c r="M1333" s="51" t="str">
        <f t="shared" si="1661"/>
        <v>JD8T -14401 -JA </v>
      </c>
      <c r="O1333" s="89">
        <v>0</v>
      </c>
      <c r="P1333" s="89">
        <v>0</v>
      </c>
      <c r="Q1333" s="89">
        <v>0</v>
      </c>
      <c r="R1333" s="89">
        <v>0</v>
      </c>
      <c r="S1333" s="89">
        <v>0</v>
      </c>
      <c r="T1333" s="89">
        <v>1</v>
      </c>
      <c r="U1333" s="89">
        <v>0</v>
      </c>
      <c r="V1333" s="89">
        <v>0</v>
      </c>
      <c r="W1333" s="164">
        <f t="shared" si="1650"/>
        <v>0.14000000000000001</v>
      </c>
      <c r="Y1333" s="8">
        <v>-278.99</v>
      </c>
      <c r="Z1333" s="63">
        <v>-0.43</v>
      </c>
      <c r="AA1333" s="63">
        <v>-0.43</v>
      </c>
      <c r="AB1333" s="63"/>
      <c r="AC1333" s="63"/>
      <c r="AD1333" s="8">
        <f t="shared" si="1645"/>
        <v>-279.85000000000002</v>
      </c>
      <c r="AE1333" s="2" t="s">
        <v>84</v>
      </c>
      <c r="AG1333" s="300"/>
      <c r="AH1333" s="300"/>
      <c r="AJ1333" s="300"/>
      <c r="AK1333" s="176"/>
      <c r="AM1333" s="22"/>
      <c r="AO1333" s="298" t="s">
        <v>1735</v>
      </c>
      <c r="AP1333" s="297" t="s">
        <v>2208</v>
      </c>
      <c r="AQ1333" s="3" t="s">
        <v>2189</v>
      </c>
      <c r="AR1333" s="90" t="str">
        <f t="shared" si="1566"/>
        <v>ED8T -14401 -GC </v>
      </c>
      <c r="AT1333" s="89">
        <v>0</v>
      </c>
      <c r="AU1333" s="89">
        <v>0</v>
      </c>
      <c r="AV1333" s="89">
        <v>0</v>
      </c>
      <c r="AW1333" s="89">
        <v>0</v>
      </c>
      <c r="AX1333" s="89">
        <v>0</v>
      </c>
      <c r="AY1333" s="89">
        <v>1</v>
      </c>
      <c r="AZ1333" s="89">
        <v>0</v>
      </c>
      <c r="BA1333" s="89">
        <v>0</v>
      </c>
      <c r="BB1333" s="89">
        <f t="shared" si="1649"/>
        <v>0.14000000000000001</v>
      </c>
      <c r="BD1333" s="60">
        <v>-70.48</v>
      </c>
      <c r="BE1333" s="63">
        <v>-0.43</v>
      </c>
      <c r="BF1333" s="63">
        <v>-0.43</v>
      </c>
      <c r="BG1333" s="63">
        <v>0</v>
      </c>
      <c r="BH1333" s="63">
        <v>0</v>
      </c>
      <c r="BI1333" s="8">
        <f t="shared" si="1669"/>
        <v>-71.340000000000018</v>
      </c>
      <c r="BJ1333" s="2" t="s">
        <v>84</v>
      </c>
      <c r="BL1333" s="63"/>
      <c r="BM1333" s="63">
        <v>0</v>
      </c>
      <c r="BN1333" s="267"/>
      <c r="BO1333" s="63">
        <v>0</v>
      </c>
      <c r="BP1333" s="63">
        <v>0</v>
      </c>
      <c r="BQ1333" s="2">
        <v>0</v>
      </c>
      <c r="BS1333" s="61">
        <f t="shared" si="1663"/>
        <v>-208.51</v>
      </c>
      <c r="BT1333" s="61">
        <f t="shared" si="1664"/>
        <v>0</v>
      </c>
      <c r="BU1333" s="61">
        <f t="shared" si="1665"/>
        <v>0</v>
      </c>
      <c r="BV1333" s="61">
        <f t="shared" si="1665"/>
        <v>0</v>
      </c>
      <c r="BW1333" s="61">
        <f t="shared" si="1665"/>
        <v>0</v>
      </c>
      <c r="BX1333" s="63">
        <f t="shared" si="1665"/>
        <v>-208.51</v>
      </c>
      <c r="BY1333" s="61" t="s">
        <v>91</v>
      </c>
      <c r="CA1333" s="61">
        <f t="shared" si="1660"/>
        <v>0</v>
      </c>
      <c r="CB1333" s="61">
        <f t="shared" si="1660"/>
        <v>0</v>
      </c>
      <c r="CC1333" s="61">
        <f t="shared" si="1660"/>
        <v>0</v>
      </c>
      <c r="CD1333" s="61">
        <f t="shared" si="1660"/>
        <v>0</v>
      </c>
      <c r="CE1333" s="61">
        <f t="shared" si="1660"/>
        <v>0</v>
      </c>
      <c r="CF1333" s="61">
        <f t="shared" si="1660"/>
        <v>-31.369038664058973</v>
      </c>
      <c r="CG1333" s="61">
        <f t="shared" si="1660"/>
        <v>0</v>
      </c>
      <c r="CH1333" s="61">
        <f t="shared" si="1647"/>
        <v>0</v>
      </c>
      <c r="CI1333" s="61">
        <f t="shared" si="1666"/>
        <v>-4.3916654129682566</v>
      </c>
      <c r="CJ1333" s="267"/>
      <c r="CK1333" s="61">
        <f t="shared" si="1623"/>
        <v>0</v>
      </c>
      <c r="CL1333" s="61">
        <f t="shared" si="1623"/>
        <v>0</v>
      </c>
      <c r="CM1333" s="61">
        <f t="shared" si="1623"/>
        <v>0</v>
      </c>
      <c r="CN1333" s="61">
        <f t="shared" si="1623"/>
        <v>0</v>
      </c>
      <c r="CO1333" s="61">
        <f t="shared" si="1662"/>
        <v>0</v>
      </c>
      <c r="CP1333" s="61">
        <f t="shared" si="1662"/>
        <v>-31.369038664058973</v>
      </c>
      <c r="CQ1333" s="61">
        <f t="shared" si="1662"/>
        <v>0</v>
      </c>
      <c r="CR1333" s="61">
        <f t="shared" si="1662"/>
        <v>0</v>
      </c>
      <c r="CS1333" s="61">
        <f t="shared" si="1667"/>
        <v>-4.3916654129682566</v>
      </c>
      <c r="CT1333" s="63">
        <f t="shared" ref="CT1333:CT1396" si="1670">CS1333*$C$2</f>
        <v>-29.191400000000002</v>
      </c>
      <c r="CU1333" s="73"/>
      <c r="CV1333" s="61">
        <f t="shared" si="1644"/>
        <v>0</v>
      </c>
      <c r="CW1333" s="61">
        <f t="shared" si="1668"/>
        <v>0</v>
      </c>
      <c r="CY1333" s="61">
        <f t="shared" si="1648"/>
        <v>0</v>
      </c>
      <c r="CZ1333" s="61">
        <f t="shared" si="1648"/>
        <v>0</v>
      </c>
      <c r="DA1333" s="61">
        <f t="shared" si="1648"/>
        <v>0</v>
      </c>
      <c r="DB1333" s="2" t="s">
        <v>85</v>
      </c>
      <c r="DC1333" s="2" t="s">
        <v>86</v>
      </c>
      <c r="DD1333" s="2" t="s">
        <v>87</v>
      </c>
      <c r="DE1333" s="2" t="s">
        <v>106</v>
      </c>
      <c r="DF1333" s="3" t="s">
        <v>86</v>
      </c>
      <c r="DG1333" s="62">
        <v>43084</v>
      </c>
      <c r="EC1333" s="60"/>
      <c r="ED1333" s="60"/>
      <c r="EE1333" s="60"/>
      <c r="EF1333" s="60"/>
    </row>
    <row r="1334" spans="2:140" ht="12.75" hidden="1" customHeight="1">
      <c r="B1334" s="1" t="s">
        <v>2176</v>
      </c>
      <c r="C1334" s="22" t="s">
        <v>2177</v>
      </c>
      <c r="D1334" s="149" t="s">
        <v>2178</v>
      </c>
      <c r="E1334" s="86" t="s">
        <v>1591</v>
      </c>
      <c r="F1334" s="85" t="s">
        <v>2072</v>
      </c>
      <c r="G1334" s="297" t="s">
        <v>994</v>
      </c>
      <c r="J1334" s="298" t="s">
        <v>155</v>
      </c>
      <c r="K1334" s="299" t="s">
        <v>2208</v>
      </c>
      <c r="L1334" s="3" t="s">
        <v>2194</v>
      </c>
      <c r="M1334" s="51" t="str">
        <f t="shared" si="1661"/>
        <v>JD8T -14401 -LA </v>
      </c>
      <c r="O1334" s="89">
        <v>0</v>
      </c>
      <c r="P1334" s="89">
        <v>0</v>
      </c>
      <c r="Q1334" s="89">
        <v>0</v>
      </c>
      <c r="R1334" s="89">
        <v>0</v>
      </c>
      <c r="S1334" s="89">
        <v>0</v>
      </c>
      <c r="T1334" s="89">
        <v>0</v>
      </c>
      <c r="U1334" s="89">
        <v>1</v>
      </c>
      <c r="V1334" s="89">
        <v>0</v>
      </c>
      <c r="W1334" s="164">
        <f t="shared" si="1650"/>
        <v>0.05</v>
      </c>
      <c r="Y1334" s="8">
        <f>-289.15</f>
        <v>-289.14999999999998</v>
      </c>
      <c r="Z1334" s="63">
        <v>-0.43</v>
      </c>
      <c r="AA1334" s="63">
        <v>-0.43</v>
      </c>
      <c r="AB1334" s="63"/>
      <c r="AC1334" s="63"/>
      <c r="AD1334" s="8">
        <f t="shared" si="1645"/>
        <v>-290.01</v>
      </c>
      <c r="AE1334" s="2" t="s">
        <v>84</v>
      </c>
      <c r="AG1334" s="300"/>
      <c r="AH1334" s="300"/>
      <c r="AJ1334" s="300"/>
      <c r="AK1334" s="176"/>
      <c r="AM1334" s="22"/>
      <c r="AO1334" s="298" t="s">
        <v>1735</v>
      </c>
      <c r="AP1334" s="297" t="s">
        <v>2208</v>
      </c>
      <c r="AQ1334" s="3" t="s">
        <v>2189</v>
      </c>
      <c r="AR1334" s="90" t="str">
        <f t="shared" si="1566"/>
        <v>ED8T -14401 -GC </v>
      </c>
      <c r="AT1334" s="89">
        <v>0</v>
      </c>
      <c r="AU1334" s="89">
        <v>0</v>
      </c>
      <c r="AV1334" s="89">
        <v>0</v>
      </c>
      <c r="AW1334" s="89">
        <v>0</v>
      </c>
      <c r="AX1334" s="89">
        <v>0</v>
      </c>
      <c r="AY1334" s="89">
        <v>0</v>
      </c>
      <c r="AZ1334" s="89">
        <v>1</v>
      </c>
      <c r="BA1334" s="89">
        <v>0</v>
      </c>
      <c r="BB1334" s="89">
        <f t="shared" si="1649"/>
        <v>0.05</v>
      </c>
      <c r="BD1334" s="60">
        <v>-75.47</v>
      </c>
      <c r="BE1334" s="63">
        <v>-0.43</v>
      </c>
      <c r="BF1334" s="63">
        <v>-0.43</v>
      </c>
      <c r="BG1334" s="63">
        <v>0</v>
      </c>
      <c r="BH1334" s="63">
        <v>0</v>
      </c>
      <c r="BI1334" s="8">
        <f t="shared" si="1669"/>
        <v>-76.330000000000013</v>
      </c>
      <c r="BJ1334" s="2" t="s">
        <v>84</v>
      </c>
      <c r="BL1334" s="63"/>
      <c r="BM1334" s="63">
        <v>0</v>
      </c>
      <c r="BN1334" s="267"/>
      <c r="BO1334" s="63">
        <v>0</v>
      </c>
      <c r="BP1334" s="63">
        <v>0</v>
      </c>
      <c r="BQ1334" s="2">
        <v>0</v>
      </c>
      <c r="BS1334" s="61">
        <f t="shared" si="1663"/>
        <v>-213.67999999999998</v>
      </c>
      <c r="BT1334" s="61">
        <f t="shared" si="1664"/>
        <v>0</v>
      </c>
      <c r="BU1334" s="61">
        <f t="shared" si="1665"/>
        <v>0</v>
      </c>
      <c r="BV1334" s="61">
        <f t="shared" si="1665"/>
        <v>0</v>
      </c>
      <c r="BW1334" s="61">
        <f t="shared" si="1665"/>
        <v>0</v>
      </c>
      <c r="BX1334" s="63">
        <f t="shared" si="1665"/>
        <v>-213.67999999999998</v>
      </c>
      <c r="BY1334" s="61" t="s">
        <v>91</v>
      </c>
      <c r="CA1334" s="61">
        <f t="shared" si="1660"/>
        <v>0</v>
      </c>
      <c r="CB1334" s="61">
        <f t="shared" si="1660"/>
        <v>0</v>
      </c>
      <c r="CC1334" s="61">
        <f t="shared" si="1660"/>
        <v>0</v>
      </c>
      <c r="CD1334" s="61">
        <f t="shared" si="1660"/>
        <v>0</v>
      </c>
      <c r="CE1334" s="61">
        <f t="shared" si="1660"/>
        <v>0</v>
      </c>
      <c r="CF1334" s="61">
        <f t="shared" si="1660"/>
        <v>0</v>
      </c>
      <c r="CG1334" s="61">
        <f t="shared" si="1660"/>
        <v>-32.14683315781555</v>
      </c>
      <c r="CH1334" s="61">
        <f t="shared" si="1647"/>
        <v>0</v>
      </c>
      <c r="CI1334" s="61">
        <f t="shared" si="1666"/>
        <v>-1.6073416578907775</v>
      </c>
      <c r="CJ1334" s="267"/>
      <c r="CK1334" s="61">
        <f t="shared" si="1623"/>
        <v>0</v>
      </c>
      <c r="CL1334" s="61">
        <f t="shared" si="1623"/>
        <v>0</v>
      </c>
      <c r="CM1334" s="61">
        <f t="shared" si="1623"/>
        <v>0</v>
      </c>
      <c r="CN1334" s="61">
        <f t="shared" si="1623"/>
        <v>0</v>
      </c>
      <c r="CO1334" s="61">
        <f t="shared" si="1662"/>
        <v>0</v>
      </c>
      <c r="CP1334" s="61">
        <f t="shared" si="1662"/>
        <v>0</v>
      </c>
      <c r="CQ1334" s="61">
        <f t="shared" si="1662"/>
        <v>-32.14683315781555</v>
      </c>
      <c r="CR1334" s="61">
        <f t="shared" si="1662"/>
        <v>0</v>
      </c>
      <c r="CS1334" s="61">
        <f t="shared" si="1667"/>
        <v>-1.6073416578907775</v>
      </c>
      <c r="CT1334" s="63">
        <f t="shared" si="1670"/>
        <v>-10.683999999999999</v>
      </c>
      <c r="CU1334" s="73"/>
      <c r="CV1334" s="61">
        <f t="shared" si="1644"/>
        <v>0</v>
      </c>
      <c r="CW1334" s="61">
        <f t="shared" si="1668"/>
        <v>0</v>
      </c>
      <c r="CY1334" s="61">
        <f t="shared" si="1648"/>
        <v>0</v>
      </c>
      <c r="CZ1334" s="61">
        <f t="shared" si="1648"/>
        <v>0</v>
      </c>
      <c r="DA1334" s="61">
        <f t="shared" si="1648"/>
        <v>0</v>
      </c>
      <c r="DB1334" s="2" t="s">
        <v>85</v>
      </c>
      <c r="DC1334" s="2" t="s">
        <v>86</v>
      </c>
      <c r="DD1334" s="2" t="s">
        <v>87</v>
      </c>
      <c r="DE1334" s="2" t="s">
        <v>106</v>
      </c>
      <c r="DF1334" s="3" t="s">
        <v>86</v>
      </c>
      <c r="DG1334" s="62">
        <v>43111</v>
      </c>
      <c r="EC1334" s="60"/>
      <c r="ED1334" s="60"/>
      <c r="EE1334" s="60"/>
      <c r="EF1334" s="60"/>
    </row>
    <row r="1335" spans="2:140" ht="12.75" hidden="1" customHeight="1">
      <c r="B1335" s="1" t="s">
        <v>2176</v>
      </c>
      <c r="C1335" s="22" t="s">
        <v>2177</v>
      </c>
      <c r="D1335" s="149" t="s">
        <v>2178</v>
      </c>
      <c r="E1335" s="86" t="s">
        <v>1591</v>
      </c>
      <c r="F1335" s="85" t="s">
        <v>2072</v>
      </c>
      <c r="G1335" s="297" t="s">
        <v>994</v>
      </c>
      <c r="J1335" s="298" t="s">
        <v>155</v>
      </c>
      <c r="K1335" s="299" t="s">
        <v>2208</v>
      </c>
      <c r="L1335" s="3" t="s">
        <v>2195</v>
      </c>
      <c r="M1335" s="51" t="str">
        <f t="shared" si="1661"/>
        <v>JD8T -14401 -MA </v>
      </c>
      <c r="O1335" s="89">
        <v>0</v>
      </c>
      <c r="P1335" s="89">
        <v>0</v>
      </c>
      <c r="Q1335" s="89">
        <v>0</v>
      </c>
      <c r="R1335" s="89">
        <v>0</v>
      </c>
      <c r="S1335" s="89">
        <v>0</v>
      </c>
      <c r="T1335" s="89">
        <v>0</v>
      </c>
      <c r="U1335" s="89">
        <v>0</v>
      </c>
      <c r="V1335" s="89">
        <v>1</v>
      </c>
      <c r="W1335" s="164">
        <f t="shared" si="1650"/>
        <v>0.05</v>
      </c>
      <c r="Y1335" s="8">
        <v>-289.14999999999998</v>
      </c>
      <c r="Z1335" s="63">
        <v>-0.82</v>
      </c>
      <c r="AA1335" s="63">
        <v>-0.7</v>
      </c>
      <c r="AB1335" s="63"/>
      <c r="AC1335" s="63"/>
      <c r="AD1335" s="8">
        <f t="shared" si="1645"/>
        <v>-290.66999999999996</v>
      </c>
      <c r="AE1335" s="2" t="s">
        <v>84</v>
      </c>
      <c r="AG1335" s="300"/>
      <c r="AH1335" s="300"/>
      <c r="AJ1335" s="300"/>
      <c r="AK1335" s="176"/>
      <c r="AM1335" s="22"/>
      <c r="AO1335" s="298" t="s">
        <v>1735</v>
      </c>
      <c r="AP1335" s="297" t="s">
        <v>2208</v>
      </c>
      <c r="AQ1335" s="3" t="s">
        <v>2189</v>
      </c>
      <c r="AR1335" s="90" t="str">
        <f t="shared" si="1566"/>
        <v>ED8T -14401 -GC </v>
      </c>
      <c r="AT1335" s="89">
        <v>0</v>
      </c>
      <c r="AU1335" s="89">
        <v>0</v>
      </c>
      <c r="AV1335" s="89">
        <v>0</v>
      </c>
      <c r="AW1335" s="89">
        <v>0</v>
      </c>
      <c r="AX1335" s="89">
        <v>0</v>
      </c>
      <c r="AY1335" s="89">
        <v>0</v>
      </c>
      <c r="AZ1335" s="89">
        <v>0</v>
      </c>
      <c r="BA1335" s="89">
        <v>1</v>
      </c>
      <c r="BB1335" s="89">
        <f t="shared" si="1649"/>
        <v>0.05</v>
      </c>
      <c r="BD1335" s="60">
        <v>-70.48</v>
      </c>
      <c r="BE1335" s="63">
        <v>-0.43</v>
      </c>
      <c r="BF1335" s="63">
        <v>-0.43</v>
      </c>
      <c r="BG1335" s="63">
        <v>0</v>
      </c>
      <c r="BH1335" s="63">
        <v>0</v>
      </c>
      <c r="BI1335" s="8">
        <f t="shared" si="1669"/>
        <v>-71.340000000000018</v>
      </c>
      <c r="BJ1335" s="2" t="s">
        <v>84</v>
      </c>
      <c r="BL1335" s="63"/>
      <c r="BM1335" s="63">
        <v>0</v>
      </c>
      <c r="BN1335" s="267"/>
      <c r="BO1335" s="63">
        <v>0</v>
      </c>
      <c r="BP1335" s="63">
        <v>0</v>
      </c>
      <c r="BQ1335" s="2">
        <v>0</v>
      </c>
      <c r="BS1335" s="61">
        <f t="shared" si="1663"/>
        <v>-218.66999999999996</v>
      </c>
      <c r="BT1335" s="61">
        <f t="shared" si="1664"/>
        <v>-0.38999999999999996</v>
      </c>
      <c r="BU1335" s="61">
        <f t="shared" si="1665"/>
        <v>-0.26999999999999996</v>
      </c>
      <c r="BV1335" s="61">
        <f t="shared" si="1665"/>
        <v>0</v>
      </c>
      <c r="BW1335" s="61">
        <f t="shared" si="1665"/>
        <v>0</v>
      </c>
      <c r="BX1335" s="63">
        <f t="shared" si="1665"/>
        <v>-219.32999999999993</v>
      </c>
      <c r="BY1335" s="61" t="s">
        <v>91</v>
      </c>
      <c r="CA1335" s="61">
        <f t="shared" si="1660"/>
        <v>0</v>
      </c>
      <c r="CB1335" s="61">
        <f t="shared" si="1660"/>
        <v>0</v>
      </c>
      <c r="CC1335" s="61">
        <f t="shared" si="1660"/>
        <v>0</v>
      </c>
      <c r="CD1335" s="61">
        <f t="shared" si="1660"/>
        <v>0</v>
      </c>
      <c r="CE1335" s="61">
        <f t="shared" si="1660"/>
        <v>0</v>
      </c>
      <c r="CF1335" s="61">
        <f t="shared" si="1660"/>
        <v>0</v>
      </c>
      <c r="CG1335" s="61">
        <f t="shared" si="1660"/>
        <v>0</v>
      </c>
      <c r="CH1335" s="61">
        <f t="shared" si="1647"/>
        <v>-32.897547765909422</v>
      </c>
      <c r="CI1335" s="61">
        <f t="shared" si="1666"/>
        <v>-1.6448773882954713</v>
      </c>
      <c r="CJ1335" s="267"/>
      <c r="CK1335" s="61">
        <f t="shared" si="1623"/>
        <v>0</v>
      </c>
      <c r="CL1335" s="61">
        <f t="shared" si="1623"/>
        <v>0</v>
      </c>
      <c r="CM1335" s="61">
        <f t="shared" si="1623"/>
        <v>0</v>
      </c>
      <c r="CN1335" s="61">
        <f t="shared" si="1623"/>
        <v>0</v>
      </c>
      <c r="CO1335" s="61">
        <f t="shared" si="1662"/>
        <v>0</v>
      </c>
      <c r="CP1335" s="61">
        <f t="shared" si="1662"/>
        <v>0</v>
      </c>
      <c r="CQ1335" s="61">
        <f t="shared" si="1662"/>
        <v>0</v>
      </c>
      <c r="CR1335" s="61">
        <f t="shared" si="1662"/>
        <v>-32.996840680006002</v>
      </c>
      <c r="CS1335" s="61">
        <f t="shared" si="1667"/>
        <v>-1.6498420340003002</v>
      </c>
      <c r="CT1335" s="63">
        <f t="shared" si="1670"/>
        <v>-10.966499999999996</v>
      </c>
      <c r="CU1335" s="73"/>
      <c r="CV1335" s="61">
        <f t="shared" si="1644"/>
        <v>0</v>
      </c>
      <c r="CW1335" s="61">
        <f t="shared" si="1668"/>
        <v>0</v>
      </c>
      <c r="CY1335" s="61">
        <f t="shared" si="1648"/>
        <v>0</v>
      </c>
      <c r="CZ1335" s="61">
        <f t="shared" si="1648"/>
        <v>0</v>
      </c>
      <c r="DA1335" s="61">
        <f t="shared" si="1648"/>
        <v>0</v>
      </c>
      <c r="DB1335" s="2" t="s">
        <v>86</v>
      </c>
      <c r="DC1335" s="2" t="s">
        <v>86</v>
      </c>
      <c r="DD1335" s="2" t="s">
        <v>87</v>
      </c>
      <c r="DE1335" s="2" t="s">
        <v>106</v>
      </c>
      <c r="DF1335" s="3" t="s">
        <v>86</v>
      </c>
      <c r="DG1335" s="62">
        <v>43111</v>
      </c>
      <c r="EC1335" s="60" t="str">
        <f>VLOOKUP($M1335,[1]Detail!$M:$BO,1,0)</f>
        <v>JD8T -14401 -MA </v>
      </c>
      <c r="ED1335" s="60">
        <f>VLOOKUP($M1335,[1]Detail!$M:$BO,22,0)</f>
        <v>-290.66999999999996</v>
      </c>
      <c r="EE1335" s="60">
        <f>VLOOKUP($M1335,[1]Detail!$M:$BO,42,0)</f>
        <v>0</v>
      </c>
      <c r="EF1335" s="60">
        <f>VLOOKUP($M1335,[1]Detail!$M:$BO,45,0)</f>
        <v>0</v>
      </c>
      <c r="EH1335" s="60">
        <f>ED1335-AD1335</f>
        <v>0</v>
      </c>
      <c r="EI1335" s="60">
        <f>EE1335-AG1335</f>
        <v>0</v>
      </c>
      <c r="EJ1335" s="60">
        <f>EF1335-AJ1335</f>
        <v>0</v>
      </c>
    </row>
    <row r="1336" spans="2:140" ht="12.75" hidden="1" customHeight="1">
      <c r="B1336" s="1" t="s">
        <v>2176</v>
      </c>
      <c r="C1336" s="22" t="s">
        <v>2177</v>
      </c>
      <c r="D1336" s="149" t="s">
        <v>2178</v>
      </c>
      <c r="E1336" s="86" t="s">
        <v>1591</v>
      </c>
      <c r="F1336" s="85" t="s">
        <v>2072</v>
      </c>
      <c r="G1336" s="297" t="s">
        <v>994</v>
      </c>
      <c r="J1336" s="298" t="s">
        <v>155</v>
      </c>
      <c r="K1336" s="299" t="s">
        <v>2208</v>
      </c>
      <c r="L1336" s="3" t="s">
        <v>2196</v>
      </c>
      <c r="M1336" s="51" t="str">
        <f t="shared" si="1661"/>
        <v>JD8T -14401 -NA </v>
      </c>
      <c r="O1336" s="89">
        <v>1</v>
      </c>
      <c r="P1336" s="89">
        <v>0</v>
      </c>
      <c r="Q1336" s="89">
        <v>0</v>
      </c>
      <c r="R1336" s="89">
        <v>0</v>
      </c>
      <c r="S1336" s="89">
        <v>0</v>
      </c>
      <c r="T1336" s="89">
        <v>0</v>
      </c>
      <c r="U1336" s="89">
        <v>0</v>
      </c>
      <c r="V1336" s="89">
        <v>0</v>
      </c>
      <c r="W1336" s="164">
        <f t="shared" si="1650"/>
        <v>0.14000000000000001</v>
      </c>
      <c r="Y1336" s="8">
        <v>-231.22</v>
      </c>
      <c r="Z1336" s="63">
        <v>-0.43</v>
      </c>
      <c r="AA1336" s="63">
        <v>-0.43</v>
      </c>
      <c r="AB1336" s="63"/>
      <c r="AC1336" s="63"/>
      <c r="AD1336" s="8">
        <f t="shared" si="1645"/>
        <v>-232.08</v>
      </c>
      <c r="AE1336" s="2" t="s">
        <v>84</v>
      </c>
      <c r="AG1336" s="300"/>
      <c r="AH1336" s="300"/>
      <c r="AJ1336" s="300"/>
      <c r="AK1336" s="176"/>
      <c r="AM1336" s="22"/>
      <c r="AO1336" s="298" t="s">
        <v>1735</v>
      </c>
      <c r="AP1336" s="297" t="s">
        <v>2208</v>
      </c>
      <c r="AQ1336" s="3" t="s">
        <v>2183</v>
      </c>
      <c r="AR1336" s="90" t="str">
        <f t="shared" si="1566"/>
        <v>ED8T -14401 -JB </v>
      </c>
      <c r="AT1336" s="89">
        <v>1</v>
      </c>
      <c r="AU1336" s="89">
        <v>0</v>
      </c>
      <c r="AV1336" s="89">
        <v>0</v>
      </c>
      <c r="AW1336" s="89">
        <v>0</v>
      </c>
      <c r="AX1336" s="89">
        <v>0</v>
      </c>
      <c r="AY1336" s="89">
        <v>0</v>
      </c>
      <c r="AZ1336" s="89">
        <v>0</v>
      </c>
      <c r="BA1336" s="89">
        <v>0</v>
      </c>
      <c r="BB1336" s="89">
        <f t="shared" si="1649"/>
        <v>0.14000000000000001</v>
      </c>
      <c r="BD1336" s="60">
        <v>-75.47</v>
      </c>
      <c r="BE1336" s="63">
        <v>-0.43</v>
      </c>
      <c r="BF1336" s="63">
        <v>-0.43</v>
      </c>
      <c r="BG1336" s="63">
        <v>0</v>
      </c>
      <c r="BH1336" s="63">
        <v>0</v>
      </c>
      <c r="BI1336" s="8">
        <f t="shared" si="1669"/>
        <v>-76.330000000000013</v>
      </c>
      <c r="BJ1336" s="2" t="s">
        <v>84</v>
      </c>
      <c r="BL1336" s="63"/>
      <c r="BM1336" s="63">
        <v>0</v>
      </c>
      <c r="BN1336" s="267"/>
      <c r="BO1336" s="63">
        <v>0</v>
      </c>
      <c r="BP1336" s="63">
        <v>0</v>
      </c>
      <c r="BQ1336" s="2">
        <v>0</v>
      </c>
      <c r="BS1336" s="61">
        <f t="shared" si="1663"/>
        <v>-155.75</v>
      </c>
      <c r="BT1336" s="61">
        <f t="shared" si="1664"/>
        <v>0</v>
      </c>
      <c r="BU1336" s="61">
        <f t="shared" si="1665"/>
        <v>0</v>
      </c>
      <c r="BV1336" s="61">
        <f t="shared" si="1665"/>
        <v>0</v>
      </c>
      <c r="BW1336" s="61">
        <f t="shared" si="1665"/>
        <v>0</v>
      </c>
      <c r="BX1336" s="63">
        <f t="shared" si="1665"/>
        <v>-155.75</v>
      </c>
      <c r="BY1336" s="61" t="s">
        <v>91</v>
      </c>
      <c r="CA1336" s="61">
        <f t="shared" si="1660"/>
        <v>-23.431623288701669</v>
      </c>
      <c r="CB1336" s="61">
        <f t="shared" si="1660"/>
        <v>0</v>
      </c>
      <c r="CC1336" s="61">
        <f t="shared" si="1660"/>
        <v>0</v>
      </c>
      <c r="CD1336" s="61">
        <f t="shared" si="1660"/>
        <v>0</v>
      </c>
      <c r="CE1336" s="61">
        <f t="shared" si="1660"/>
        <v>0</v>
      </c>
      <c r="CF1336" s="61">
        <f t="shared" si="1660"/>
        <v>0</v>
      </c>
      <c r="CG1336" s="61">
        <f t="shared" si="1660"/>
        <v>0</v>
      </c>
      <c r="CH1336" s="61">
        <f t="shared" si="1647"/>
        <v>0</v>
      </c>
      <c r="CI1336" s="61">
        <f t="shared" si="1666"/>
        <v>-3.2804272604182341</v>
      </c>
      <c r="CJ1336" s="267"/>
      <c r="CK1336" s="61">
        <f t="shared" si="1623"/>
        <v>-23.431623288701669</v>
      </c>
      <c r="CL1336" s="61">
        <f t="shared" si="1623"/>
        <v>0</v>
      </c>
      <c r="CM1336" s="61">
        <f t="shared" si="1623"/>
        <v>0</v>
      </c>
      <c r="CN1336" s="61">
        <f t="shared" si="1623"/>
        <v>0</v>
      </c>
      <c r="CO1336" s="61">
        <f t="shared" si="1662"/>
        <v>0</v>
      </c>
      <c r="CP1336" s="61">
        <f t="shared" si="1662"/>
        <v>0</v>
      </c>
      <c r="CQ1336" s="61">
        <f t="shared" si="1662"/>
        <v>0</v>
      </c>
      <c r="CR1336" s="61">
        <f t="shared" si="1662"/>
        <v>0</v>
      </c>
      <c r="CS1336" s="61">
        <f t="shared" si="1667"/>
        <v>-3.2804272604182341</v>
      </c>
      <c r="CT1336" s="63">
        <f t="shared" si="1670"/>
        <v>-21.805000000000003</v>
      </c>
      <c r="CU1336" s="73"/>
      <c r="CV1336" s="61">
        <f t="shared" si="1644"/>
        <v>0</v>
      </c>
      <c r="CW1336" s="61">
        <f t="shared" si="1668"/>
        <v>0</v>
      </c>
      <c r="CY1336" s="61">
        <f t="shared" si="1648"/>
        <v>0</v>
      </c>
      <c r="CZ1336" s="61">
        <f t="shared" si="1648"/>
        <v>0</v>
      </c>
      <c r="DA1336" s="61">
        <f t="shared" si="1648"/>
        <v>0</v>
      </c>
      <c r="DB1336" s="2" t="s">
        <v>85</v>
      </c>
      <c r="DC1336" s="2" t="s">
        <v>86</v>
      </c>
      <c r="DD1336" s="2" t="s">
        <v>87</v>
      </c>
      <c r="DE1336" s="2" t="s">
        <v>106</v>
      </c>
      <c r="DF1336" s="3" t="s">
        <v>86</v>
      </c>
      <c r="DG1336" s="62">
        <v>43111</v>
      </c>
      <c r="EC1336" s="60"/>
      <c r="ED1336" s="60"/>
      <c r="EE1336" s="60"/>
      <c r="EF1336" s="60"/>
    </row>
    <row r="1337" spans="2:140" ht="12.75" hidden="1" customHeight="1">
      <c r="B1337" s="1" t="s">
        <v>2176</v>
      </c>
      <c r="C1337" s="22" t="s">
        <v>2177</v>
      </c>
      <c r="D1337" s="149" t="s">
        <v>2178</v>
      </c>
      <c r="E1337" s="86" t="s">
        <v>1591</v>
      </c>
      <c r="F1337" s="85" t="s">
        <v>2072</v>
      </c>
      <c r="G1337" s="297" t="s">
        <v>994</v>
      </c>
      <c r="J1337" s="298" t="s">
        <v>155</v>
      </c>
      <c r="K1337" s="299" t="s">
        <v>2208</v>
      </c>
      <c r="L1337" s="3" t="s">
        <v>2213</v>
      </c>
      <c r="M1337" s="51" t="str">
        <f t="shared" si="1661"/>
        <v>JD8T -14401 -PA </v>
      </c>
      <c r="O1337" s="89">
        <v>0</v>
      </c>
      <c r="P1337" s="89">
        <v>1</v>
      </c>
      <c r="Q1337" s="89">
        <v>0</v>
      </c>
      <c r="R1337" s="89">
        <v>0</v>
      </c>
      <c r="S1337" s="89">
        <v>0</v>
      </c>
      <c r="T1337" s="89">
        <v>0</v>
      </c>
      <c r="U1337" s="89">
        <v>0</v>
      </c>
      <c r="V1337" s="89">
        <v>0</v>
      </c>
      <c r="W1337" s="164">
        <f t="shared" si="1650"/>
        <v>0.16</v>
      </c>
      <c r="Y1337" s="8">
        <v>-238.25</v>
      </c>
      <c r="Z1337" s="63">
        <v>-0.47</v>
      </c>
      <c r="AA1337" s="63">
        <v>-0.14000000000000001</v>
      </c>
      <c r="AB1337" s="63"/>
      <c r="AC1337" s="63"/>
      <c r="AD1337" s="8">
        <f t="shared" si="1645"/>
        <v>-238.85999999999999</v>
      </c>
      <c r="AE1337" s="2" t="s">
        <v>84</v>
      </c>
      <c r="AG1337" s="300"/>
      <c r="AH1337" s="300"/>
      <c r="AJ1337" s="300"/>
      <c r="AK1337" s="176"/>
      <c r="AM1337" s="22"/>
      <c r="AO1337" s="298" t="s">
        <v>1735</v>
      </c>
      <c r="AP1337" s="297" t="s">
        <v>2208</v>
      </c>
      <c r="AQ1337" s="3" t="s">
        <v>2209</v>
      </c>
      <c r="AR1337" s="90" t="str">
        <f t="shared" si="1566"/>
        <v>ED8T -14401 -KB </v>
      </c>
      <c r="AT1337" s="89">
        <v>0</v>
      </c>
      <c r="AU1337" s="89">
        <v>1</v>
      </c>
      <c r="AV1337" s="89">
        <v>0</v>
      </c>
      <c r="AW1337" s="89">
        <v>0</v>
      </c>
      <c r="AX1337" s="89">
        <v>0</v>
      </c>
      <c r="AY1337" s="89">
        <v>0</v>
      </c>
      <c r="AZ1337" s="89">
        <v>0</v>
      </c>
      <c r="BA1337" s="89">
        <v>0</v>
      </c>
      <c r="BB1337" s="89">
        <f t="shared" si="1649"/>
        <v>0.16</v>
      </c>
      <c r="BD1337" s="60">
        <v>-63.93</v>
      </c>
      <c r="BE1337" s="63">
        <v>-0.47</v>
      </c>
      <c r="BF1337" s="63">
        <v>-0.14000000000000001</v>
      </c>
      <c r="BG1337" s="63">
        <v>0</v>
      </c>
      <c r="BH1337" s="63">
        <v>0</v>
      </c>
      <c r="BI1337" s="8">
        <f t="shared" si="1669"/>
        <v>-64.540000000000006</v>
      </c>
      <c r="BJ1337" s="2" t="s">
        <v>84</v>
      </c>
      <c r="BL1337" s="63"/>
      <c r="BM1337" s="63">
        <v>0</v>
      </c>
      <c r="BN1337" s="267"/>
      <c r="BO1337" s="63">
        <v>0</v>
      </c>
      <c r="BP1337" s="63">
        <v>0</v>
      </c>
      <c r="BQ1337" s="2">
        <v>0</v>
      </c>
      <c r="BS1337" s="61">
        <f t="shared" si="1663"/>
        <v>-174.32</v>
      </c>
      <c r="BT1337" s="61">
        <f t="shared" si="1664"/>
        <v>0</v>
      </c>
      <c r="BU1337" s="61">
        <f t="shared" si="1665"/>
        <v>0</v>
      </c>
      <c r="BV1337" s="61">
        <f t="shared" si="1665"/>
        <v>0</v>
      </c>
      <c r="BW1337" s="61">
        <f t="shared" si="1665"/>
        <v>0</v>
      </c>
      <c r="BX1337" s="63">
        <f t="shared" si="1665"/>
        <v>-174.32</v>
      </c>
      <c r="BY1337" s="61" t="s">
        <v>91</v>
      </c>
      <c r="CA1337" s="61">
        <f t="shared" si="1660"/>
        <v>0</v>
      </c>
      <c r="CB1337" s="61">
        <f t="shared" si="1660"/>
        <v>-26.225364826237399</v>
      </c>
      <c r="CC1337" s="61">
        <f t="shared" si="1660"/>
        <v>0</v>
      </c>
      <c r="CD1337" s="61">
        <f t="shared" si="1660"/>
        <v>0</v>
      </c>
      <c r="CE1337" s="61">
        <f t="shared" si="1660"/>
        <v>0</v>
      </c>
      <c r="CF1337" s="61">
        <f t="shared" si="1660"/>
        <v>0</v>
      </c>
      <c r="CG1337" s="61">
        <f t="shared" si="1660"/>
        <v>0</v>
      </c>
      <c r="CH1337" s="61">
        <f t="shared" si="1647"/>
        <v>0</v>
      </c>
      <c r="CI1337" s="61">
        <f t="shared" si="1666"/>
        <v>-4.1960583721979843</v>
      </c>
      <c r="CJ1337" s="267"/>
      <c r="CK1337" s="61">
        <f t="shared" si="1623"/>
        <v>0</v>
      </c>
      <c r="CL1337" s="61">
        <f t="shared" si="1623"/>
        <v>-26.225364826237399</v>
      </c>
      <c r="CM1337" s="61">
        <f t="shared" si="1623"/>
        <v>0</v>
      </c>
      <c r="CN1337" s="61">
        <f t="shared" si="1623"/>
        <v>0</v>
      </c>
      <c r="CO1337" s="61">
        <f t="shared" si="1662"/>
        <v>0</v>
      </c>
      <c r="CP1337" s="61">
        <f t="shared" si="1662"/>
        <v>0</v>
      </c>
      <c r="CQ1337" s="61">
        <f t="shared" si="1662"/>
        <v>0</v>
      </c>
      <c r="CR1337" s="61">
        <f t="shared" si="1662"/>
        <v>0</v>
      </c>
      <c r="CS1337" s="61">
        <f t="shared" si="1667"/>
        <v>-4.1960583721979843</v>
      </c>
      <c r="CT1337" s="63">
        <f t="shared" si="1670"/>
        <v>-27.891200000000001</v>
      </c>
      <c r="CU1337" s="73"/>
      <c r="CV1337" s="61">
        <f t="shared" si="1644"/>
        <v>0</v>
      </c>
      <c r="CW1337" s="61">
        <f t="shared" si="1668"/>
        <v>0</v>
      </c>
      <c r="CY1337" s="61">
        <f t="shared" si="1648"/>
        <v>0</v>
      </c>
      <c r="CZ1337" s="61">
        <f t="shared" si="1648"/>
        <v>0</v>
      </c>
      <c r="DA1337" s="61">
        <f t="shared" si="1648"/>
        <v>0</v>
      </c>
      <c r="DB1337" s="2" t="s">
        <v>85</v>
      </c>
      <c r="DC1337" s="2" t="s">
        <v>86</v>
      </c>
      <c r="DD1337" s="2" t="s">
        <v>87</v>
      </c>
      <c r="DE1337" s="2" t="s">
        <v>106</v>
      </c>
      <c r="DF1337" s="3" t="s">
        <v>86</v>
      </c>
      <c r="DG1337" s="62">
        <v>43111</v>
      </c>
      <c r="EC1337" s="60"/>
      <c r="ED1337" s="60"/>
      <c r="EE1337" s="60"/>
      <c r="EF1337" s="60"/>
    </row>
    <row r="1338" spans="2:140" ht="12.75" hidden="1" customHeight="1">
      <c r="B1338" s="1" t="s">
        <v>2206</v>
      </c>
      <c r="C1338" s="22" t="s">
        <v>2177</v>
      </c>
      <c r="D1338" s="149" t="s">
        <v>2178</v>
      </c>
      <c r="E1338" s="86" t="s">
        <v>1591</v>
      </c>
      <c r="F1338" s="85" t="s">
        <v>2072</v>
      </c>
      <c r="G1338" s="297" t="s">
        <v>994</v>
      </c>
      <c r="J1338" s="298" t="s">
        <v>155</v>
      </c>
      <c r="K1338" s="299" t="s">
        <v>2208</v>
      </c>
      <c r="L1338" s="3" t="s">
        <v>132</v>
      </c>
      <c r="M1338" s="51" t="str">
        <f t="shared" si="1661"/>
        <v>JD8T -14401 -AB</v>
      </c>
      <c r="O1338" s="89">
        <v>1</v>
      </c>
      <c r="P1338" s="89">
        <v>0</v>
      </c>
      <c r="Q1338" s="89">
        <v>0</v>
      </c>
      <c r="R1338" s="89">
        <v>0</v>
      </c>
      <c r="S1338" s="89">
        <v>0</v>
      </c>
      <c r="T1338" s="89">
        <v>0</v>
      </c>
      <c r="U1338" s="89">
        <v>0</v>
      </c>
      <c r="V1338" s="89">
        <v>0</v>
      </c>
      <c r="W1338" s="164">
        <f t="shared" si="1650"/>
        <v>0.14000000000000001</v>
      </c>
      <c r="Y1338" s="8">
        <v>-222</v>
      </c>
      <c r="Z1338" s="63">
        <v>-0.82</v>
      </c>
      <c r="AA1338" s="63">
        <v>-0.7</v>
      </c>
      <c r="AB1338" s="63"/>
      <c r="AC1338" s="63"/>
      <c r="AD1338" s="8">
        <f t="shared" si="1645"/>
        <v>-223.51999999999998</v>
      </c>
      <c r="AE1338" s="2" t="s">
        <v>84</v>
      </c>
      <c r="AG1338" s="300"/>
      <c r="AH1338" s="300"/>
      <c r="AJ1338" s="300"/>
      <c r="AK1338" s="176"/>
      <c r="AM1338" s="22"/>
      <c r="AO1338" s="298" t="s">
        <v>155</v>
      </c>
      <c r="AP1338" s="299" t="s">
        <v>2208</v>
      </c>
      <c r="AQ1338" s="3" t="s">
        <v>769</v>
      </c>
      <c r="AR1338" s="51" t="str">
        <f t="shared" si="1566"/>
        <v>JD8T -14401 -AA </v>
      </c>
      <c r="AT1338" s="89">
        <v>1</v>
      </c>
      <c r="AU1338" s="89">
        <v>0</v>
      </c>
      <c r="AV1338" s="89">
        <v>0</v>
      </c>
      <c r="AW1338" s="89">
        <v>0</v>
      </c>
      <c r="AX1338" s="89">
        <v>0</v>
      </c>
      <c r="AY1338" s="89">
        <v>0</v>
      </c>
      <c r="AZ1338" s="89">
        <v>0</v>
      </c>
      <c r="BA1338" s="89">
        <v>0</v>
      </c>
      <c r="BB1338" s="89">
        <f t="shared" si="1649"/>
        <v>0.14000000000000001</v>
      </c>
      <c r="BD1338" s="8">
        <v>-225.93</v>
      </c>
      <c r="BE1338" s="63">
        <v>-0.82</v>
      </c>
      <c r="BF1338" s="63">
        <v>-0.7</v>
      </c>
      <c r="BG1338" s="63"/>
      <c r="BH1338" s="63"/>
      <c r="BI1338" s="8">
        <f t="shared" si="1669"/>
        <v>-227.45</v>
      </c>
      <c r="BJ1338" s="2" t="s">
        <v>84</v>
      </c>
      <c r="BL1338" s="63"/>
      <c r="BM1338" s="63">
        <v>0</v>
      </c>
      <c r="BN1338" s="267"/>
      <c r="BO1338" s="63">
        <v>0</v>
      </c>
      <c r="BP1338" s="63">
        <v>0</v>
      </c>
      <c r="BQ1338" s="2">
        <v>0</v>
      </c>
      <c r="BS1338" s="61">
        <f t="shared" si="1663"/>
        <v>3.9300000000000068</v>
      </c>
      <c r="BT1338" s="61">
        <f t="shared" si="1664"/>
        <v>0</v>
      </c>
      <c r="BU1338" s="61">
        <f t="shared" si="1665"/>
        <v>0</v>
      </c>
      <c r="BV1338" s="61">
        <f t="shared" si="1665"/>
        <v>0</v>
      </c>
      <c r="BW1338" s="61">
        <f t="shared" si="1665"/>
        <v>0</v>
      </c>
      <c r="BX1338" s="63">
        <f t="shared" si="1665"/>
        <v>3.9300000000000068</v>
      </c>
      <c r="BY1338" s="61" t="s">
        <v>91</v>
      </c>
      <c r="CA1338" s="61">
        <f t="shared" si="1660"/>
        <v>0.59124417030239307</v>
      </c>
      <c r="CB1338" s="61">
        <f t="shared" si="1660"/>
        <v>0</v>
      </c>
      <c r="CC1338" s="61">
        <f t="shared" si="1660"/>
        <v>0</v>
      </c>
      <c r="CD1338" s="61">
        <f t="shared" si="1660"/>
        <v>0</v>
      </c>
      <c r="CE1338" s="61">
        <f t="shared" si="1660"/>
        <v>0</v>
      </c>
      <c r="CF1338" s="61">
        <f t="shared" si="1660"/>
        <v>0</v>
      </c>
      <c r="CG1338" s="61">
        <f t="shared" si="1660"/>
        <v>0</v>
      </c>
      <c r="CH1338" s="61">
        <f t="shared" si="1647"/>
        <v>0</v>
      </c>
      <c r="CI1338" s="61">
        <f t="shared" si="1666"/>
        <v>8.2774183842335036E-2</v>
      </c>
      <c r="CJ1338" s="267"/>
      <c r="CK1338" s="61">
        <f t="shared" si="1623"/>
        <v>0.59124417030239307</v>
      </c>
      <c r="CL1338" s="61">
        <f t="shared" si="1623"/>
        <v>0</v>
      </c>
      <c r="CM1338" s="61">
        <f t="shared" si="1623"/>
        <v>0</v>
      </c>
      <c r="CN1338" s="61">
        <f t="shared" si="1623"/>
        <v>0</v>
      </c>
      <c r="CO1338" s="61">
        <f t="shared" si="1662"/>
        <v>0</v>
      </c>
      <c r="CP1338" s="61">
        <f t="shared" si="1662"/>
        <v>0</v>
      </c>
      <c r="CQ1338" s="61">
        <f t="shared" si="1662"/>
        <v>0</v>
      </c>
      <c r="CR1338" s="61">
        <f t="shared" si="1662"/>
        <v>0</v>
      </c>
      <c r="CS1338" s="61">
        <f t="shared" si="1667"/>
        <v>8.2774183842335036E-2</v>
      </c>
      <c r="CT1338" s="63">
        <f t="shared" si="1670"/>
        <v>0.55020000000000102</v>
      </c>
      <c r="CU1338" s="73"/>
      <c r="CV1338" s="61">
        <f t="shared" si="1644"/>
        <v>0</v>
      </c>
      <c r="CW1338" s="61">
        <f t="shared" si="1668"/>
        <v>0</v>
      </c>
      <c r="CY1338" s="61">
        <f t="shared" si="1648"/>
        <v>0</v>
      </c>
      <c r="CZ1338" s="61">
        <f t="shared" si="1648"/>
        <v>0</v>
      </c>
      <c r="DA1338" s="61">
        <f t="shared" si="1648"/>
        <v>0</v>
      </c>
      <c r="DB1338" s="2" t="s">
        <v>86</v>
      </c>
      <c r="DC1338" s="2" t="s">
        <v>85</v>
      </c>
      <c r="DD1338" s="2" t="s">
        <v>87</v>
      </c>
      <c r="DE1338" s="2" t="s">
        <v>106</v>
      </c>
      <c r="DG1338" s="62"/>
      <c r="EC1338" s="60" t="str">
        <f>VLOOKUP($M1338,[1]Detail!$M:$BO,1,0)</f>
        <v>JD8T -14401 -AB</v>
      </c>
      <c r="ED1338" s="60">
        <f>VLOOKUP($M1338,[1]Detail!$M:$BO,22,0)</f>
        <v>-223.51999999999998</v>
      </c>
      <c r="EE1338" s="60">
        <f>VLOOKUP($M1338,[1]Detail!$M:$BO,42,0)</f>
        <v>0</v>
      </c>
      <c r="EF1338" s="60">
        <f>VLOOKUP($M1338,[1]Detail!$M:$BO,45,0)</f>
        <v>0</v>
      </c>
      <c r="EH1338" s="60">
        <f t="shared" ref="EH1338:EH1350" si="1671">ED1338-AD1338</f>
        <v>0</v>
      </c>
      <c r="EI1338" s="60">
        <f t="shared" ref="EI1338:EI1350" si="1672">EE1338-AG1338</f>
        <v>0</v>
      </c>
      <c r="EJ1338" s="60">
        <f t="shared" ref="EJ1338:EJ1350" si="1673">EF1338-AJ1338</f>
        <v>0</v>
      </c>
    </row>
    <row r="1339" spans="2:140" ht="12.75" hidden="1" customHeight="1">
      <c r="B1339" s="1" t="s">
        <v>2206</v>
      </c>
      <c r="C1339" s="22" t="s">
        <v>2177</v>
      </c>
      <c r="D1339" s="149" t="s">
        <v>2178</v>
      </c>
      <c r="E1339" s="86" t="s">
        <v>1591</v>
      </c>
      <c r="F1339" s="85" t="s">
        <v>2072</v>
      </c>
      <c r="G1339" s="297" t="s">
        <v>994</v>
      </c>
      <c r="J1339" s="298" t="s">
        <v>155</v>
      </c>
      <c r="K1339" s="299" t="s">
        <v>2208</v>
      </c>
      <c r="L1339" s="3" t="s">
        <v>120</v>
      </c>
      <c r="M1339" s="51" t="str">
        <f t="shared" si="1661"/>
        <v>JD8T -14401 -BB</v>
      </c>
      <c r="O1339" s="89">
        <v>0</v>
      </c>
      <c r="P1339" s="89">
        <v>1</v>
      </c>
      <c r="Q1339" s="89">
        <v>0</v>
      </c>
      <c r="R1339" s="89">
        <v>0</v>
      </c>
      <c r="S1339" s="89">
        <v>0</v>
      </c>
      <c r="T1339" s="89">
        <v>0</v>
      </c>
      <c r="U1339" s="89">
        <v>0</v>
      </c>
      <c r="V1339" s="89">
        <v>0</v>
      </c>
      <c r="W1339" s="164">
        <f t="shared" si="1650"/>
        <v>0.16</v>
      </c>
      <c r="Y1339" s="8">
        <v>-241.19</v>
      </c>
      <c r="Z1339" s="63">
        <v>-0.82</v>
      </c>
      <c r="AA1339" s="63">
        <v>-0.7</v>
      </c>
      <c r="AB1339" s="63"/>
      <c r="AC1339" s="63"/>
      <c r="AD1339" s="8">
        <f t="shared" si="1645"/>
        <v>-242.70999999999998</v>
      </c>
      <c r="AE1339" s="2" t="s">
        <v>84</v>
      </c>
      <c r="AG1339" s="300"/>
      <c r="AH1339" s="300"/>
      <c r="AJ1339" s="300"/>
      <c r="AK1339" s="176"/>
      <c r="AM1339" s="22"/>
      <c r="AO1339" s="298" t="s">
        <v>155</v>
      </c>
      <c r="AP1339" s="299" t="s">
        <v>2208</v>
      </c>
      <c r="AQ1339" s="3" t="s">
        <v>2182</v>
      </c>
      <c r="AR1339" s="51" t="str">
        <f t="shared" si="1566"/>
        <v>JD8T -14401 -BA </v>
      </c>
      <c r="AT1339" s="89">
        <v>0</v>
      </c>
      <c r="AU1339" s="89">
        <v>1</v>
      </c>
      <c r="AV1339" s="89">
        <v>0</v>
      </c>
      <c r="AW1339" s="89">
        <v>0</v>
      </c>
      <c r="AX1339" s="89">
        <v>0</v>
      </c>
      <c r="AY1339" s="89">
        <v>0</v>
      </c>
      <c r="AZ1339" s="89">
        <v>0</v>
      </c>
      <c r="BA1339" s="89">
        <v>0</v>
      </c>
      <c r="BB1339" s="89">
        <f t="shared" si="1649"/>
        <v>0.16</v>
      </c>
      <c r="BD1339" s="8">
        <v>-245.12</v>
      </c>
      <c r="BE1339" s="63">
        <v>-0.82</v>
      </c>
      <c r="BF1339" s="63">
        <v>-0.7</v>
      </c>
      <c r="BG1339" s="63"/>
      <c r="BH1339" s="63"/>
      <c r="BI1339" s="8">
        <f t="shared" si="1669"/>
        <v>-246.64</v>
      </c>
      <c r="BJ1339" s="2" t="s">
        <v>84</v>
      </c>
      <c r="BL1339" s="63"/>
      <c r="BM1339" s="63">
        <v>0</v>
      </c>
      <c r="BN1339" s="267"/>
      <c r="BO1339" s="63">
        <v>0</v>
      </c>
      <c r="BP1339" s="63">
        <v>0</v>
      </c>
      <c r="BQ1339" s="2">
        <v>0</v>
      </c>
      <c r="BS1339" s="61">
        <f t="shared" si="1663"/>
        <v>3.9300000000000068</v>
      </c>
      <c r="BT1339" s="61">
        <f t="shared" si="1664"/>
        <v>0</v>
      </c>
      <c r="BU1339" s="61">
        <f t="shared" si="1665"/>
        <v>0</v>
      </c>
      <c r="BV1339" s="61">
        <f t="shared" si="1665"/>
        <v>0</v>
      </c>
      <c r="BW1339" s="61">
        <f t="shared" si="1665"/>
        <v>0</v>
      </c>
      <c r="BX1339" s="63">
        <f t="shared" si="1665"/>
        <v>3.9300000000000068</v>
      </c>
      <c r="BY1339" s="61" t="s">
        <v>91</v>
      </c>
      <c r="CA1339" s="61">
        <f t="shared" si="1660"/>
        <v>0</v>
      </c>
      <c r="CB1339" s="61">
        <f t="shared" si="1660"/>
        <v>0.59124417030239307</v>
      </c>
      <c r="CC1339" s="61">
        <f t="shared" si="1660"/>
        <v>0</v>
      </c>
      <c r="CD1339" s="61">
        <f t="shared" si="1660"/>
        <v>0</v>
      </c>
      <c r="CE1339" s="61">
        <f t="shared" si="1660"/>
        <v>0</v>
      </c>
      <c r="CF1339" s="61">
        <f t="shared" si="1660"/>
        <v>0</v>
      </c>
      <c r="CG1339" s="61">
        <f t="shared" si="1660"/>
        <v>0</v>
      </c>
      <c r="CH1339" s="61">
        <f t="shared" si="1647"/>
        <v>0</v>
      </c>
      <c r="CI1339" s="61">
        <f t="shared" si="1666"/>
        <v>9.4599067248382893E-2</v>
      </c>
      <c r="CJ1339" s="267"/>
      <c r="CK1339" s="61">
        <f t="shared" si="1623"/>
        <v>0</v>
      </c>
      <c r="CL1339" s="61">
        <f t="shared" si="1623"/>
        <v>0.59124417030239307</v>
      </c>
      <c r="CM1339" s="61">
        <f t="shared" si="1623"/>
        <v>0</v>
      </c>
      <c r="CN1339" s="61">
        <f t="shared" si="1623"/>
        <v>0</v>
      </c>
      <c r="CO1339" s="61">
        <f t="shared" si="1662"/>
        <v>0</v>
      </c>
      <c r="CP1339" s="61">
        <f t="shared" si="1662"/>
        <v>0</v>
      </c>
      <c r="CQ1339" s="61">
        <f t="shared" si="1662"/>
        <v>0</v>
      </c>
      <c r="CR1339" s="61">
        <f t="shared" si="1662"/>
        <v>0</v>
      </c>
      <c r="CS1339" s="61">
        <f t="shared" si="1667"/>
        <v>9.4599067248382893E-2</v>
      </c>
      <c r="CT1339" s="63">
        <f t="shared" si="1670"/>
        <v>0.62880000000000114</v>
      </c>
      <c r="CU1339" s="73"/>
      <c r="CV1339" s="61">
        <f t="shared" si="1644"/>
        <v>0</v>
      </c>
      <c r="CW1339" s="61">
        <f t="shared" si="1668"/>
        <v>0</v>
      </c>
      <c r="CY1339" s="61">
        <f t="shared" si="1648"/>
        <v>0</v>
      </c>
      <c r="CZ1339" s="61">
        <f t="shared" si="1648"/>
        <v>0</v>
      </c>
      <c r="DA1339" s="61">
        <f t="shared" si="1648"/>
        <v>0</v>
      </c>
      <c r="DB1339" s="2" t="s">
        <v>86</v>
      </c>
      <c r="DC1339" s="2" t="s">
        <v>85</v>
      </c>
      <c r="DD1339" s="2" t="s">
        <v>87</v>
      </c>
      <c r="DE1339" s="2" t="s">
        <v>106</v>
      </c>
      <c r="DG1339" s="62"/>
      <c r="EC1339" s="60" t="str">
        <f>VLOOKUP($M1339,[1]Detail!$M:$BO,1,0)</f>
        <v>JD8T -14401 -BB</v>
      </c>
      <c r="ED1339" s="60">
        <f>VLOOKUP($M1339,[1]Detail!$M:$BO,22,0)</f>
        <v>-242.70999999999998</v>
      </c>
      <c r="EE1339" s="60">
        <f>VLOOKUP($M1339,[1]Detail!$M:$BO,42,0)</f>
        <v>0</v>
      </c>
      <c r="EF1339" s="60">
        <f>VLOOKUP($M1339,[1]Detail!$M:$BO,45,0)</f>
        <v>0</v>
      </c>
      <c r="EH1339" s="60">
        <f t="shared" si="1671"/>
        <v>0</v>
      </c>
      <c r="EI1339" s="60">
        <f t="shared" si="1672"/>
        <v>0</v>
      </c>
      <c r="EJ1339" s="60">
        <f t="shared" si="1673"/>
        <v>0</v>
      </c>
    </row>
    <row r="1340" spans="2:140" ht="12.75" hidden="1" customHeight="1">
      <c r="B1340" s="1" t="s">
        <v>2206</v>
      </c>
      <c r="C1340" s="22" t="s">
        <v>2177</v>
      </c>
      <c r="D1340" s="149" t="s">
        <v>2178</v>
      </c>
      <c r="E1340" s="86" t="s">
        <v>1591</v>
      </c>
      <c r="F1340" s="85" t="s">
        <v>2072</v>
      </c>
      <c r="G1340" s="297" t="s">
        <v>994</v>
      </c>
      <c r="J1340" s="298" t="s">
        <v>155</v>
      </c>
      <c r="K1340" s="299" t="s">
        <v>2208</v>
      </c>
      <c r="L1340" s="3" t="s">
        <v>122</v>
      </c>
      <c r="M1340" s="51" t="str">
        <f t="shared" si="1661"/>
        <v>JD8T -14401 -CB</v>
      </c>
      <c r="O1340" s="89">
        <v>0</v>
      </c>
      <c r="P1340" s="89">
        <v>0</v>
      </c>
      <c r="Q1340" s="89">
        <v>1</v>
      </c>
      <c r="R1340" s="89">
        <v>0</v>
      </c>
      <c r="S1340" s="89">
        <v>0</v>
      </c>
      <c r="T1340" s="89">
        <v>0</v>
      </c>
      <c r="U1340" s="89">
        <v>0</v>
      </c>
      <c r="V1340" s="89">
        <v>0</v>
      </c>
      <c r="W1340" s="164">
        <f t="shared" si="1650"/>
        <v>0.14000000000000001</v>
      </c>
      <c r="Y1340" s="8">
        <v>-234.27</v>
      </c>
      <c r="Z1340" s="63">
        <v>-0.82</v>
      </c>
      <c r="AA1340" s="63">
        <v>-0.7</v>
      </c>
      <c r="AB1340" s="63"/>
      <c r="AC1340" s="63"/>
      <c r="AD1340" s="8">
        <f t="shared" si="1645"/>
        <v>-235.79</v>
      </c>
      <c r="AE1340" s="2" t="s">
        <v>84</v>
      </c>
      <c r="AG1340" s="300"/>
      <c r="AH1340" s="300"/>
      <c r="AJ1340" s="300"/>
      <c r="AK1340" s="176"/>
      <c r="AM1340" s="22"/>
      <c r="AO1340" s="298" t="s">
        <v>155</v>
      </c>
      <c r="AP1340" s="299" t="s">
        <v>2208</v>
      </c>
      <c r="AQ1340" s="3" t="s">
        <v>2184</v>
      </c>
      <c r="AR1340" s="51" t="str">
        <f t="shared" si="1566"/>
        <v>JD8T -14401 -CA </v>
      </c>
      <c r="AT1340" s="89">
        <v>0</v>
      </c>
      <c r="AU1340" s="89">
        <v>0</v>
      </c>
      <c r="AV1340" s="89">
        <v>1</v>
      </c>
      <c r="AW1340" s="89">
        <v>0</v>
      </c>
      <c r="AX1340" s="89">
        <v>0</v>
      </c>
      <c r="AY1340" s="89">
        <v>0</v>
      </c>
      <c r="AZ1340" s="89">
        <v>0</v>
      </c>
      <c r="BA1340" s="89">
        <v>0</v>
      </c>
      <c r="BB1340" s="89">
        <f t="shared" si="1649"/>
        <v>0.14000000000000001</v>
      </c>
      <c r="BD1340" s="8">
        <v>-234.27</v>
      </c>
      <c r="BE1340" s="63">
        <v>-0.82</v>
      </c>
      <c r="BF1340" s="63">
        <v>-0.7</v>
      </c>
      <c r="BG1340" s="63"/>
      <c r="BH1340" s="63"/>
      <c r="BI1340" s="8">
        <f t="shared" si="1669"/>
        <v>-235.79</v>
      </c>
      <c r="BJ1340" s="2" t="s">
        <v>84</v>
      </c>
      <c r="BL1340" s="63"/>
      <c r="BM1340" s="63">
        <v>0</v>
      </c>
      <c r="BN1340" s="267"/>
      <c r="BO1340" s="63">
        <v>0</v>
      </c>
      <c r="BP1340" s="63">
        <v>0</v>
      </c>
      <c r="BQ1340" s="2">
        <v>0</v>
      </c>
      <c r="BS1340" s="61">
        <f t="shared" si="1663"/>
        <v>0</v>
      </c>
      <c r="BT1340" s="61">
        <f t="shared" si="1664"/>
        <v>0</v>
      </c>
      <c r="BU1340" s="61">
        <f t="shared" si="1665"/>
        <v>0</v>
      </c>
      <c r="BV1340" s="61">
        <f t="shared" si="1665"/>
        <v>0</v>
      </c>
      <c r="BW1340" s="61">
        <f t="shared" si="1665"/>
        <v>0</v>
      </c>
      <c r="BX1340" s="63">
        <f t="shared" si="1665"/>
        <v>0</v>
      </c>
      <c r="BY1340" s="61" t="s">
        <v>91</v>
      </c>
      <c r="CA1340" s="61">
        <f t="shared" si="1660"/>
        <v>0</v>
      </c>
      <c r="CB1340" s="61">
        <f t="shared" si="1660"/>
        <v>0</v>
      </c>
      <c r="CC1340" s="61">
        <f t="shared" si="1660"/>
        <v>0</v>
      </c>
      <c r="CD1340" s="61">
        <f t="shared" si="1660"/>
        <v>0</v>
      </c>
      <c r="CE1340" s="61">
        <f t="shared" si="1660"/>
        <v>0</v>
      </c>
      <c r="CF1340" s="61">
        <f t="shared" si="1660"/>
        <v>0</v>
      </c>
      <c r="CG1340" s="61">
        <f t="shared" si="1660"/>
        <v>0</v>
      </c>
      <c r="CH1340" s="61">
        <f t="shared" si="1647"/>
        <v>0</v>
      </c>
      <c r="CI1340" s="61">
        <f t="shared" si="1666"/>
        <v>0</v>
      </c>
      <c r="CJ1340" s="267"/>
      <c r="CK1340" s="61">
        <f t="shared" si="1623"/>
        <v>0</v>
      </c>
      <c r="CL1340" s="61">
        <f t="shared" si="1623"/>
        <v>0</v>
      </c>
      <c r="CM1340" s="61">
        <f t="shared" si="1623"/>
        <v>0</v>
      </c>
      <c r="CN1340" s="61">
        <f t="shared" si="1623"/>
        <v>0</v>
      </c>
      <c r="CO1340" s="61">
        <f t="shared" si="1662"/>
        <v>0</v>
      </c>
      <c r="CP1340" s="61">
        <f t="shared" si="1662"/>
        <v>0</v>
      </c>
      <c r="CQ1340" s="61">
        <f t="shared" si="1662"/>
        <v>0</v>
      </c>
      <c r="CR1340" s="61">
        <f t="shared" si="1662"/>
        <v>0</v>
      </c>
      <c r="CS1340" s="61">
        <f t="shared" si="1667"/>
        <v>0</v>
      </c>
      <c r="CT1340" s="63">
        <f t="shared" si="1670"/>
        <v>0</v>
      </c>
      <c r="CU1340" s="73"/>
      <c r="CV1340" s="61">
        <f t="shared" si="1644"/>
        <v>0</v>
      </c>
      <c r="CW1340" s="61">
        <f t="shared" si="1668"/>
        <v>0</v>
      </c>
      <c r="CY1340" s="61">
        <f t="shared" si="1648"/>
        <v>0</v>
      </c>
      <c r="CZ1340" s="61">
        <f t="shared" si="1648"/>
        <v>0</v>
      </c>
      <c r="DA1340" s="61">
        <f t="shared" si="1648"/>
        <v>0</v>
      </c>
      <c r="DB1340" s="2" t="s">
        <v>86</v>
      </c>
      <c r="DC1340" s="2" t="s">
        <v>85</v>
      </c>
      <c r="DD1340" s="2" t="s">
        <v>87</v>
      </c>
      <c r="DE1340" s="2" t="s">
        <v>106</v>
      </c>
      <c r="DG1340" s="62"/>
      <c r="EC1340" s="60" t="str">
        <f>VLOOKUP($M1340,[1]Detail!$M:$BO,1,0)</f>
        <v>JD8T -14401 -CB</v>
      </c>
      <c r="ED1340" s="60">
        <f>VLOOKUP($M1340,[1]Detail!$M:$BO,22,0)</f>
        <v>-235.79</v>
      </c>
      <c r="EE1340" s="60">
        <f>VLOOKUP($M1340,[1]Detail!$M:$BO,42,0)</f>
        <v>0</v>
      </c>
      <c r="EF1340" s="60">
        <f>VLOOKUP($M1340,[1]Detail!$M:$BO,45,0)</f>
        <v>0</v>
      </c>
      <c r="EH1340" s="60">
        <f t="shared" si="1671"/>
        <v>0</v>
      </c>
      <c r="EI1340" s="60">
        <f t="shared" si="1672"/>
        <v>0</v>
      </c>
      <c r="EJ1340" s="60">
        <f t="shared" si="1673"/>
        <v>0</v>
      </c>
    </row>
    <row r="1341" spans="2:140" ht="12.75" hidden="1" customHeight="1">
      <c r="B1341" s="1" t="s">
        <v>2206</v>
      </c>
      <c r="C1341" s="22" t="s">
        <v>2177</v>
      </c>
      <c r="D1341" s="149" t="s">
        <v>2178</v>
      </c>
      <c r="E1341" s="86" t="s">
        <v>1591</v>
      </c>
      <c r="F1341" s="85" t="s">
        <v>2072</v>
      </c>
      <c r="G1341" s="297" t="s">
        <v>994</v>
      </c>
      <c r="J1341" s="298" t="s">
        <v>155</v>
      </c>
      <c r="K1341" s="299" t="s">
        <v>2208</v>
      </c>
      <c r="L1341" s="3" t="s">
        <v>758</v>
      </c>
      <c r="M1341" s="51" t="str">
        <f t="shared" si="1661"/>
        <v>JD8T -14401 -DB</v>
      </c>
      <c r="O1341" s="89">
        <v>0</v>
      </c>
      <c r="P1341" s="89">
        <v>0</v>
      </c>
      <c r="Q1341" s="89">
        <v>1</v>
      </c>
      <c r="R1341" s="89">
        <v>0</v>
      </c>
      <c r="S1341" s="89">
        <v>0</v>
      </c>
      <c r="T1341" s="89">
        <v>0</v>
      </c>
      <c r="U1341" s="89">
        <v>0</v>
      </c>
      <c r="V1341" s="89">
        <v>0</v>
      </c>
      <c r="W1341" s="164">
        <f t="shared" si="1650"/>
        <v>0.14000000000000001</v>
      </c>
      <c r="Y1341" s="8">
        <v>-268.02999999999997</v>
      </c>
      <c r="Z1341" s="63">
        <v>-0.82</v>
      </c>
      <c r="AA1341" s="63">
        <v>-0.7</v>
      </c>
      <c r="AB1341" s="63"/>
      <c r="AC1341" s="63"/>
      <c r="AD1341" s="8">
        <f t="shared" si="1645"/>
        <v>-269.54999999999995</v>
      </c>
      <c r="AE1341" s="2" t="s">
        <v>84</v>
      </c>
      <c r="AG1341" s="300"/>
      <c r="AH1341" s="300"/>
      <c r="AJ1341" s="300"/>
      <c r="AK1341" s="176"/>
      <c r="AM1341" s="22"/>
      <c r="AO1341" s="298" t="s">
        <v>155</v>
      </c>
      <c r="AP1341" s="299" t="s">
        <v>2208</v>
      </c>
      <c r="AQ1341" s="3" t="s">
        <v>2186</v>
      </c>
      <c r="AR1341" s="51" t="str">
        <f t="shared" si="1566"/>
        <v>JD8T -14401 -DA </v>
      </c>
      <c r="AT1341" s="89">
        <v>0</v>
      </c>
      <c r="AU1341" s="89">
        <v>0</v>
      </c>
      <c r="AV1341" s="89">
        <v>1</v>
      </c>
      <c r="AW1341" s="89">
        <v>0</v>
      </c>
      <c r="AX1341" s="89">
        <v>0</v>
      </c>
      <c r="AY1341" s="89">
        <v>0</v>
      </c>
      <c r="AZ1341" s="89">
        <v>0</v>
      </c>
      <c r="BA1341" s="89">
        <v>0</v>
      </c>
      <c r="BB1341" s="89">
        <f t="shared" si="1649"/>
        <v>0.14000000000000001</v>
      </c>
      <c r="BD1341" s="8">
        <v>-268.02999999999997</v>
      </c>
      <c r="BE1341" s="63">
        <v>-0.82</v>
      </c>
      <c r="BF1341" s="63">
        <v>-0.7</v>
      </c>
      <c r="BG1341" s="63"/>
      <c r="BH1341" s="63"/>
      <c r="BI1341" s="8">
        <f t="shared" si="1669"/>
        <v>-269.54999999999995</v>
      </c>
      <c r="BJ1341" s="2" t="s">
        <v>84</v>
      </c>
      <c r="BL1341" s="63"/>
      <c r="BM1341" s="63">
        <v>0</v>
      </c>
      <c r="BN1341" s="267"/>
      <c r="BO1341" s="63">
        <v>0</v>
      </c>
      <c r="BP1341" s="63">
        <v>0</v>
      </c>
      <c r="BQ1341" s="2">
        <v>0</v>
      </c>
      <c r="BS1341" s="61">
        <f t="shared" si="1663"/>
        <v>0</v>
      </c>
      <c r="BT1341" s="61">
        <f t="shared" si="1664"/>
        <v>0</v>
      </c>
      <c r="BU1341" s="61">
        <f t="shared" si="1665"/>
        <v>0</v>
      </c>
      <c r="BV1341" s="61">
        <f t="shared" si="1665"/>
        <v>0</v>
      </c>
      <c r="BW1341" s="61">
        <f t="shared" si="1665"/>
        <v>0</v>
      </c>
      <c r="BX1341" s="63">
        <f t="shared" si="1665"/>
        <v>0</v>
      </c>
      <c r="BY1341" s="61" t="s">
        <v>91</v>
      </c>
      <c r="CA1341" s="61">
        <f t="shared" si="1660"/>
        <v>0</v>
      </c>
      <c r="CB1341" s="61">
        <f t="shared" si="1660"/>
        <v>0</v>
      </c>
      <c r="CC1341" s="61">
        <f t="shared" si="1660"/>
        <v>0</v>
      </c>
      <c r="CD1341" s="61">
        <f t="shared" si="1660"/>
        <v>0</v>
      </c>
      <c r="CE1341" s="61">
        <f t="shared" si="1660"/>
        <v>0</v>
      </c>
      <c r="CF1341" s="61">
        <f t="shared" si="1660"/>
        <v>0</v>
      </c>
      <c r="CG1341" s="61">
        <f t="shared" si="1660"/>
        <v>0</v>
      </c>
      <c r="CH1341" s="61">
        <f t="shared" si="1647"/>
        <v>0</v>
      </c>
      <c r="CI1341" s="61">
        <f t="shared" si="1666"/>
        <v>0</v>
      </c>
      <c r="CJ1341" s="267"/>
      <c r="CK1341" s="61">
        <f t="shared" si="1623"/>
        <v>0</v>
      </c>
      <c r="CL1341" s="61">
        <f t="shared" si="1623"/>
        <v>0</v>
      </c>
      <c r="CM1341" s="61">
        <f t="shared" si="1623"/>
        <v>0</v>
      </c>
      <c r="CN1341" s="61">
        <f t="shared" si="1623"/>
        <v>0</v>
      </c>
      <c r="CO1341" s="61">
        <f t="shared" si="1662"/>
        <v>0</v>
      </c>
      <c r="CP1341" s="61">
        <f t="shared" si="1662"/>
        <v>0</v>
      </c>
      <c r="CQ1341" s="61">
        <f t="shared" si="1662"/>
        <v>0</v>
      </c>
      <c r="CR1341" s="61">
        <f t="shared" si="1662"/>
        <v>0</v>
      </c>
      <c r="CS1341" s="61">
        <f t="shared" si="1667"/>
        <v>0</v>
      </c>
      <c r="CT1341" s="63">
        <f t="shared" si="1670"/>
        <v>0</v>
      </c>
      <c r="CU1341" s="73"/>
      <c r="CV1341" s="61">
        <f t="shared" si="1644"/>
        <v>0</v>
      </c>
      <c r="CW1341" s="61">
        <f t="shared" si="1668"/>
        <v>0</v>
      </c>
      <c r="CY1341" s="61">
        <f t="shared" si="1648"/>
        <v>0</v>
      </c>
      <c r="CZ1341" s="61">
        <f t="shared" si="1648"/>
        <v>0</v>
      </c>
      <c r="DA1341" s="61">
        <f t="shared" si="1648"/>
        <v>0</v>
      </c>
      <c r="DB1341" s="2" t="s">
        <v>86</v>
      </c>
      <c r="DC1341" s="2" t="s">
        <v>85</v>
      </c>
      <c r="DD1341" s="2" t="s">
        <v>87</v>
      </c>
      <c r="DE1341" s="2" t="s">
        <v>106</v>
      </c>
      <c r="DG1341" s="62"/>
      <c r="EC1341" s="60" t="str">
        <f>VLOOKUP($M1341,[1]Detail!$M:$BO,1,0)</f>
        <v>JD8T -14401 -DB</v>
      </c>
      <c r="ED1341" s="60">
        <f>VLOOKUP($M1341,[1]Detail!$M:$BO,22,0)</f>
        <v>-269.54999999999995</v>
      </c>
      <c r="EE1341" s="60">
        <f>VLOOKUP($M1341,[1]Detail!$M:$BO,42,0)</f>
        <v>0</v>
      </c>
      <c r="EF1341" s="60">
        <f>VLOOKUP($M1341,[1]Detail!$M:$BO,45,0)</f>
        <v>0</v>
      </c>
      <c r="EH1341" s="60">
        <f t="shared" si="1671"/>
        <v>0</v>
      </c>
      <c r="EI1341" s="60">
        <f t="shared" si="1672"/>
        <v>0</v>
      </c>
      <c r="EJ1341" s="60">
        <f t="shared" si="1673"/>
        <v>0</v>
      </c>
    </row>
    <row r="1342" spans="2:140" ht="12.75" hidden="1" customHeight="1">
      <c r="B1342" s="1" t="s">
        <v>2206</v>
      </c>
      <c r="C1342" s="22" t="s">
        <v>2177</v>
      </c>
      <c r="D1342" s="149" t="s">
        <v>2178</v>
      </c>
      <c r="E1342" s="86" t="s">
        <v>1591</v>
      </c>
      <c r="F1342" s="85" t="s">
        <v>2072</v>
      </c>
      <c r="G1342" s="297" t="s">
        <v>994</v>
      </c>
      <c r="J1342" s="298" t="s">
        <v>155</v>
      </c>
      <c r="K1342" s="299" t="s">
        <v>2208</v>
      </c>
      <c r="L1342" s="3" t="s">
        <v>2207</v>
      </c>
      <c r="M1342" s="51" t="str">
        <f t="shared" si="1661"/>
        <v>JD8T -14401 -EB </v>
      </c>
      <c r="O1342" s="89">
        <v>0</v>
      </c>
      <c r="P1342" s="89">
        <v>0</v>
      </c>
      <c r="Q1342" s="89">
        <v>0</v>
      </c>
      <c r="R1342" s="89">
        <v>1</v>
      </c>
      <c r="S1342" s="89">
        <v>0</v>
      </c>
      <c r="T1342" s="89">
        <v>0</v>
      </c>
      <c r="U1342" s="89">
        <v>0</v>
      </c>
      <c r="V1342" s="89">
        <v>0</v>
      </c>
      <c r="W1342" s="164">
        <f t="shared" si="1650"/>
        <v>0.23</v>
      </c>
      <c r="Y1342" s="8">
        <v>-249.51</v>
      </c>
      <c r="Z1342" s="63">
        <v>-0.82</v>
      </c>
      <c r="AA1342" s="63">
        <v>-0.7</v>
      </c>
      <c r="AB1342" s="63"/>
      <c r="AC1342" s="63"/>
      <c r="AD1342" s="8">
        <f t="shared" si="1645"/>
        <v>-251.02999999999997</v>
      </c>
      <c r="AE1342" s="2" t="s">
        <v>84</v>
      </c>
      <c r="AG1342" s="300"/>
      <c r="AH1342" s="300"/>
      <c r="AJ1342" s="300"/>
      <c r="AK1342" s="176"/>
      <c r="AM1342" s="22"/>
      <c r="AO1342" s="298" t="s">
        <v>155</v>
      </c>
      <c r="AP1342" s="299" t="s">
        <v>2208</v>
      </c>
      <c r="AQ1342" s="3" t="s">
        <v>2188</v>
      </c>
      <c r="AR1342" s="51" t="str">
        <f t="shared" si="1566"/>
        <v>JD8T -14401 -EA </v>
      </c>
      <c r="AT1342" s="89">
        <v>0</v>
      </c>
      <c r="AU1342" s="89">
        <v>0</v>
      </c>
      <c r="AV1342" s="89">
        <v>0</v>
      </c>
      <c r="AW1342" s="89">
        <v>1</v>
      </c>
      <c r="AX1342" s="89">
        <v>0</v>
      </c>
      <c r="AY1342" s="89">
        <v>0</v>
      </c>
      <c r="AZ1342" s="89">
        <v>0</v>
      </c>
      <c r="BA1342" s="89">
        <v>0</v>
      </c>
      <c r="BB1342" s="89">
        <f t="shared" si="1649"/>
        <v>0.23</v>
      </c>
      <c r="BD1342" s="8">
        <v>-247.58</v>
      </c>
      <c r="BE1342" s="63">
        <v>-0.82</v>
      </c>
      <c r="BF1342" s="63">
        <v>-0.7</v>
      </c>
      <c r="BG1342" s="63"/>
      <c r="BH1342" s="63"/>
      <c r="BI1342" s="8">
        <f t="shared" si="1669"/>
        <v>-249.1</v>
      </c>
      <c r="BJ1342" s="2" t="s">
        <v>84</v>
      </c>
      <c r="BL1342" s="63"/>
      <c r="BM1342" s="63">
        <v>0</v>
      </c>
      <c r="BN1342" s="267"/>
      <c r="BO1342" s="63">
        <v>0</v>
      </c>
      <c r="BP1342" s="63">
        <v>0</v>
      </c>
      <c r="BQ1342" s="2">
        <v>0</v>
      </c>
      <c r="BS1342" s="61">
        <f t="shared" si="1663"/>
        <v>-1.9299999999999784</v>
      </c>
      <c r="BT1342" s="61">
        <f t="shared" si="1664"/>
        <v>0</v>
      </c>
      <c r="BU1342" s="61">
        <f t="shared" si="1665"/>
        <v>0</v>
      </c>
      <c r="BV1342" s="61">
        <f t="shared" si="1665"/>
        <v>0</v>
      </c>
      <c r="BW1342" s="61">
        <f t="shared" si="1665"/>
        <v>0</v>
      </c>
      <c r="BX1342" s="63">
        <f t="shared" si="1665"/>
        <v>-1.9299999999999784</v>
      </c>
      <c r="BY1342" s="61" t="s">
        <v>91</v>
      </c>
      <c r="CA1342" s="61">
        <f t="shared" si="1660"/>
        <v>0</v>
      </c>
      <c r="CB1342" s="61">
        <f t="shared" si="1660"/>
        <v>0</v>
      </c>
      <c r="CC1342" s="61">
        <f t="shared" si="1660"/>
        <v>0</v>
      </c>
      <c r="CD1342" s="61">
        <f t="shared" si="1660"/>
        <v>-0.290356551827889</v>
      </c>
      <c r="CE1342" s="61">
        <f t="shared" si="1660"/>
        <v>0</v>
      </c>
      <c r="CF1342" s="61">
        <f t="shared" si="1660"/>
        <v>0</v>
      </c>
      <c r="CG1342" s="61">
        <f t="shared" si="1660"/>
        <v>0</v>
      </c>
      <c r="CH1342" s="61">
        <f t="shared" si="1647"/>
        <v>0</v>
      </c>
      <c r="CI1342" s="61">
        <f t="shared" si="1666"/>
        <v>-6.6782006920414472E-2</v>
      </c>
      <c r="CJ1342" s="267"/>
      <c r="CK1342" s="61">
        <f t="shared" si="1623"/>
        <v>0</v>
      </c>
      <c r="CL1342" s="61">
        <f t="shared" si="1623"/>
        <v>0</v>
      </c>
      <c r="CM1342" s="61">
        <f t="shared" si="1623"/>
        <v>0</v>
      </c>
      <c r="CN1342" s="61">
        <f t="shared" si="1623"/>
        <v>-0.290356551827889</v>
      </c>
      <c r="CO1342" s="61">
        <f t="shared" si="1662"/>
        <v>0</v>
      </c>
      <c r="CP1342" s="61">
        <f t="shared" si="1662"/>
        <v>0</v>
      </c>
      <c r="CQ1342" s="61">
        <f t="shared" si="1662"/>
        <v>0</v>
      </c>
      <c r="CR1342" s="61">
        <f t="shared" si="1662"/>
        <v>0</v>
      </c>
      <c r="CS1342" s="61">
        <f t="shared" si="1667"/>
        <v>-6.6782006920414472E-2</v>
      </c>
      <c r="CT1342" s="63">
        <f t="shared" si="1670"/>
        <v>-0.44389999999999502</v>
      </c>
      <c r="CU1342" s="73"/>
      <c r="CV1342" s="61">
        <f t="shared" si="1644"/>
        <v>0</v>
      </c>
      <c r="CW1342" s="61">
        <f t="shared" si="1668"/>
        <v>0</v>
      </c>
      <c r="CY1342" s="61">
        <f t="shared" si="1648"/>
        <v>0</v>
      </c>
      <c r="CZ1342" s="61">
        <f t="shared" si="1648"/>
        <v>0</v>
      </c>
      <c r="DA1342" s="61">
        <f t="shared" si="1648"/>
        <v>0</v>
      </c>
      <c r="DB1342" s="2" t="s">
        <v>86</v>
      </c>
      <c r="DC1342" s="2" t="s">
        <v>85</v>
      </c>
      <c r="DD1342" s="2" t="s">
        <v>87</v>
      </c>
      <c r="DE1342" s="2" t="s">
        <v>106</v>
      </c>
      <c r="DG1342" s="62"/>
      <c r="EC1342" s="60" t="str">
        <f>VLOOKUP($M1342,[1]Detail!$M:$BO,1,0)</f>
        <v>JD8T -14401 -EB </v>
      </c>
      <c r="ED1342" s="60">
        <f>VLOOKUP($M1342,[1]Detail!$M:$BO,22,0)</f>
        <v>-251.02999999999997</v>
      </c>
      <c r="EE1342" s="60">
        <f>VLOOKUP($M1342,[1]Detail!$M:$BO,42,0)</f>
        <v>0</v>
      </c>
      <c r="EF1342" s="60">
        <f>VLOOKUP($M1342,[1]Detail!$M:$BO,45,0)</f>
        <v>0</v>
      </c>
      <c r="EH1342" s="60">
        <f t="shared" si="1671"/>
        <v>0</v>
      </c>
      <c r="EI1342" s="60">
        <f t="shared" si="1672"/>
        <v>0</v>
      </c>
      <c r="EJ1342" s="60">
        <f t="shared" si="1673"/>
        <v>0</v>
      </c>
    </row>
    <row r="1343" spans="2:140" ht="12.75" hidden="1" customHeight="1">
      <c r="B1343" s="1" t="s">
        <v>2206</v>
      </c>
      <c r="C1343" s="22" t="s">
        <v>2177</v>
      </c>
      <c r="D1343" s="149" t="s">
        <v>2178</v>
      </c>
      <c r="E1343" s="86" t="s">
        <v>1591</v>
      </c>
      <c r="F1343" s="85" t="s">
        <v>2072</v>
      </c>
      <c r="G1343" s="297" t="s">
        <v>994</v>
      </c>
      <c r="J1343" s="298" t="s">
        <v>155</v>
      </c>
      <c r="K1343" s="299" t="s">
        <v>2208</v>
      </c>
      <c r="L1343" s="3" t="s">
        <v>305</v>
      </c>
      <c r="M1343" s="51" t="str">
        <f t="shared" si="1661"/>
        <v>JD8T -14401 -FB</v>
      </c>
      <c r="O1343" s="89">
        <v>0</v>
      </c>
      <c r="P1343" s="89">
        <v>0</v>
      </c>
      <c r="Q1343" s="89">
        <v>0</v>
      </c>
      <c r="R1343" s="89">
        <v>1</v>
      </c>
      <c r="S1343" s="89">
        <v>0</v>
      </c>
      <c r="T1343" s="89">
        <v>0</v>
      </c>
      <c r="U1343" s="89">
        <v>0</v>
      </c>
      <c r="V1343" s="89">
        <v>0</v>
      </c>
      <c r="W1343" s="164">
        <f t="shared" si="1650"/>
        <v>0.23</v>
      </c>
      <c r="Y1343" s="8">
        <v>-273.77</v>
      </c>
      <c r="Z1343" s="63">
        <v>-0.41</v>
      </c>
      <c r="AA1343" s="63">
        <v>-0.14000000000000001</v>
      </c>
      <c r="AB1343" s="63"/>
      <c r="AC1343" s="63"/>
      <c r="AD1343" s="8">
        <f t="shared" si="1645"/>
        <v>-274.32</v>
      </c>
      <c r="AE1343" s="2" t="s">
        <v>84</v>
      </c>
      <c r="AG1343" s="300"/>
      <c r="AH1343" s="300"/>
      <c r="AJ1343" s="300"/>
      <c r="AK1343" s="176"/>
      <c r="AM1343" s="22"/>
      <c r="AO1343" s="298" t="s">
        <v>155</v>
      </c>
      <c r="AP1343" s="299" t="s">
        <v>2208</v>
      </c>
      <c r="AQ1343" s="3" t="s">
        <v>2190</v>
      </c>
      <c r="AR1343" s="51" t="str">
        <f t="shared" si="1566"/>
        <v>JD8T -14401 -FA </v>
      </c>
      <c r="AT1343" s="89">
        <v>0</v>
      </c>
      <c r="AU1343" s="89">
        <v>0</v>
      </c>
      <c r="AV1343" s="89">
        <v>0</v>
      </c>
      <c r="AW1343" s="89">
        <v>1</v>
      </c>
      <c r="AX1343" s="89">
        <v>0</v>
      </c>
      <c r="AY1343" s="89">
        <v>0</v>
      </c>
      <c r="AZ1343" s="89">
        <v>0</v>
      </c>
      <c r="BA1343" s="89">
        <v>0</v>
      </c>
      <c r="BB1343" s="89">
        <f t="shared" si="1649"/>
        <v>0.23</v>
      </c>
      <c r="BD1343" s="8">
        <v>-274.31</v>
      </c>
      <c r="BE1343" s="63">
        <v>-0.41</v>
      </c>
      <c r="BF1343" s="63">
        <v>-0.14000000000000001</v>
      </c>
      <c r="BG1343" s="63"/>
      <c r="BH1343" s="63"/>
      <c r="BI1343" s="8">
        <f t="shared" si="1669"/>
        <v>-274.86</v>
      </c>
      <c r="BJ1343" s="2" t="s">
        <v>84</v>
      </c>
      <c r="BL1343" s="63"/>
      <c r="BM1343" s="63">
        <v>0</v>
      </c>
      <c r="BN1343" s="267"/>
      <c r="BO1343" s="63">
        <v>0</v>
      </c>
      <c r="BP1343" s="63">
        <v>0</v>
      </c>
      <c r="BQ1343" s="2">
        <v>0</v>
      </c>
      <c r="BS1343" s="61">
        <f t="shared" si="1663"/>
        <v>0.54000000000002046</v>
      </c>
      <c r="BT1343" s="61">
        <f t="shared" si="1664"/>
        <v>0</v>
      </c>
      <c r="BU1343" s="61">
        <f t="shared" si="1665"/>
        <v>0</v>
      </c>
      <c r="BV1343" s="61">
        <f t="shared" si="1665"/>
        <v>0</v>
      </c>
      <c r="BW1343" s="61">
        <f t="shared" si="1665"/>
        <v>0</v>
      </c>
      <c r="BX1343" s="63">
        <f t="shared" si="1665"/>
        <v>0.54000000000002046</v>
      </c>
      <c r="BY1343" s="61" t="s">
        <v>91</v>
      </c>
      <c r="CA1343" s="61">
        <f t="shared" si="1660"/>
        <v>0</v>
      </c>
      <c r="CB1343" s="61">
        <f t="shared" si="1660"/>
        <v>0</v>
      </c>
      <c r="CC1343" s="61">
        <f t="shared" si="1660"/>
        <v>0</v>
      </c>
      <c r="CD1343" s="61">
        <f t="shared" si="1660"/>
        <v>8.1239656988118011E-2</v>
      </c>
      <c r="CE1343" s="61">
        <f t="shared" si="1660"/>
        <v>0</v>
      </c>
      <c r="CF1343" s="61">
        <f t="shared" si="1660"/>
        <v>0</v>
      </c>
      <c r="CG1343" s="61">
        <f t="shared" si="1660"/>
        <v>0</v>
      </c>
      <c r="CH1343" s="61">
        <f t="shared" si="1647"/>
        <v>0</v>
      </c>
      <c r="CI1343" s="61">
        <f t="shared" si="1666"/>
        <v>1.8685121107267142E-2</v>
      </c>
      <c r="CJ1343" s="267"/>
      <c r="CK1343" s="61">
        <f t="shared" si="1623"/>
        <v>0</v>
      </c>
      <c r="CL1343" s="61">
        <f t="shared" si="1623"/>
        <v>0</v>
      </c>
      <c r="CM1343" s="61">
        <f t="shared" si="1623"/>
        <v>0</v>
      </c>
      <c r="CN1343" s="61">
        <f t="shared" si="1623"/>
        <v>8.1239656988118011E-2</v>
      </c>
      <c r="CO1343" s="61">
        <f t="shared" si="1662"/>
        <v>0</v>
      </c>
      <c r="CP1343" s="61">
        <f t="shared" si="1662"/>
        <v>0</v>
      </c>
      <c r="CQ1343" s="61">
        <f t="shared" si="1662"/>
        <v>0</v>
      </c>
      <c r="CR1343" s="61">
        <f t="shared" si="1662"/>
        <v>0</v>
      </c>
      <c r="CS1343" s="61">
        <f t="shared" si="1667"/>
        <v>1.8685121107267142E-2</v>
      </c>
      <c r="CT1343" s="63">
        <f t="shared" si="1670"/>
        <v>0.1242000000000047</v>
      </c>
      <c r="CU1343" s="73"/>
      <c r="CV1343" s="61">
        <f t="shared" si="1644"/>
        <v>0</v>
      </c>
      <c r="CW1343" s="61">
        <f t="shared" si="1668"/>
        <v>0</v>
      </c>
      <c r="CY1343" s="61">
        <f t="shared" si="1648"/>
        <v>0</v>
      </c>
      <c r="CZ1343" s="61">
        <f t="shared" si="1648"/>
        <v>0</v>
      </c>
      <c r="DA1343" s="61">
        <f t="shared" si="1648"/>
        <v>0</v>
      </c>
      <c r="DB1343" s="2" t="s">
        <v>86</v>
      </c>
      <c r="DC1343" s="2" t="s">
        <v>85</v>
      </c>
      <c r="DD1343" s="2" t="s">
        <v>87</v>
      </c>
      <c r="DE1343" s="2" t="s">
        <v>106</v>
      </c>
      <c r="DG1343" s="62"/>
      <c r="EC1343" s="60" t="str">
        <f>VLOOKUP($M1343,[1]Detail!$M:$BO,1,0)</f>
        <v>JD8T -14401 -FB</v>
      </c>
      <c r="ED1343" s="60">
        <f>VLOOKUP($M1343,[1]Detail!$M:$BO,22,0)</f>
        <v>-274.32</v>
      </c>
      <c r="EE1343" s="60">
        <f>VLOOKUP($M1343,[1]Detail!$M:$BO,42,0)</f>
        <v>0</v>
      </c>
      <c r="EF1343" s="60">
        <f>VLOOKUP($M1343,[1]Detail!$M:$BO,45,0)</f>
        <v>0</v>
      </c>
      <c r="EH1343" s="60">
        <f t="shared" si="1671"/>
        <v>0</v>
      </c>
      <c r="EI1343" s="60">
        <f t="shared" si="1672"/>
        <v>0</v>
      </c>
      <c r="EJ1343" s="60">
        <f t="shared" si="1673"/>
        <v>0</v>
      </c>
    </row>
    <row r="1344" spans="2:140" ht="12.75" hidden="1" customHeight="1">
      <c r="B1344" s="1" t="s">
        <v>2206</v>
      </c>
      <c r="C1344" s="22" t="s">
        <v>2177</v>
      </c>
      <c r="D1344" s="149" t="s">
        <v>2178</v>
      </c>
      <c r="E1344" s="86" t="s">
        <v>1591</v>
      </c>
      <c r="F1344" s="85" t="s">
        <v>2072</v>
      </c>
      <c r="G1344" s="297" t="s">
        <v>994</v>
      </c>
      <c r="J1344" s="298" t="s">
        <v>155</v>
      </c>
      <c r="K1344" s="299" t="s">
        <v>2208</v>
      </c>
      <c r="L1344" s="3" t="s">
        <v>1600</v>
      </c>
      <c r="M1344" s="51" t="str">
        <f t="shared" si="1661"/>
        <v>JD8T -14401 -GB</v>
      </c>
      <c r="O1344" s="89">
        <v>0</v>
      </c>
      <c r="P1344" s="89">
        <v>0</v>
      </c>
      <c r="Q1344" s="89">
        <v>0</v>
      </c>
      <c r="R1344" s="89">
        <v>0</v>
      </c>
      <c r="S1344" s="89">
        <v>1</v>
      </c>
      <c r="T1344" s="89">
        <v>0</v>
      </c>
      <c r="U1344" s="89">
        <v>0</v>
      </c>
      <c r="V1344" s="89">
        <v>0</v>
      </c>
      <c r="W1344" s="164">
        <f t="shared" si="1650"/>
        <v>0.09</v>
      </c>
      <c r="Y1344" s="8">
        <v>-259.27999999999997</v>
      </c>
      <c r="Z1344" s="63">
        <v>-0.4</v>
      </c>
      <c r="AA1344" s="63">
        <v>-0.14000000000000001</v>
      </c>
      <c r="AB1344" s="63"/>
      <c r="AC1344" s="63"/>
      <c r="AD1344" s="8">
        <f t="shared" si="1645"/>
        <v>-259.81999999999994</v>
      </c>
      <c r="AE1344" s="2" t="s">
        <v>84</v>
      </c>
      <c r="AG1344" s="300"/>
      <c r="AH1344" s="300"/>
      <c r="AJ1344" s="300"/>
      <c r="AK1344" s="176"/>
      <c r="AM1344" s="22"/>
      <c r="AO1344" s="298" t="s">
        <v>155</v>
      </c>
      <c r="AP1344" s="299" t="s">
        <v>2208</v>
      </c>
      <c r="AQ1344" s="3" t="s">
        <v>1593</v>
      </c>
      <c r="AR1344" s="51" t="str">
        <f t="shared" si="1566"/>
        <v>JD8T -14401 -GA </v>
      </c>
      <c r="AT1344" s="89">
        <v>0</v>
      </c>
      <c r="AU1344" s="89">
        <v>0</v>
      </c>
      <c r="AV1344" s="89">
        <v>0</v>
      </c>
      <c r="AW1344" s="89">
        <v>0</v>
      </c>
      <c r="AX1344" s="89">
        <v>1</v>
      </c>
      <c r="AY1344" s="89">
        <v>0</v>
      </c>
      <c r="AZ1344" s="89">
        <v>0</v>
      </c>
      <c r="BA1344" s="89">
        <v>0</v>
      </c>
      <c r="BB1344" s="89">
        <f t="shared" si="1649"/>
        <v>0.09</v>
      </c>
      <c r="BD1344" s="8">
        <v>-259.81</v>
      </c>
      <c r="BE1344" s="63">
        <v>-0.4</v>
      </c>
      <c r="BF1344" s="63">
        <v>-0.14000000000000001</v>
      </c>
      <c r="BG1344" s="63"/>
      <c r="BH1344" s="63"/>
      <c r="BI1344" s="8">
        <f t="shared" si="1669"/>
        <v>-260.34999999999997</v>
      </c>
      <c r="BJ1344" s="2" t="s">
        <v>84</v>
      </c>
      <c r="BL1344" s="63"/>
      <c r="BM1344" s="63">
        <v>0</v>
      </c>
      <c r="BN1344" s="267"/>
      <c r="BO1344" s="63">
        <v>0</v>
      </c>
      <c r="BP1344" s="63">
        <v>0</v>
      </c>
      <c r="BQ1344" s="2">
        <v>0</v>
      </c>
      <c r="BS1344" s="61">
        <f t="shared" si="1663"/>
        <v>0.53000000000002956</v>
      </c>
      <c r="BT1344" s="61">
        <f t="shared" si="1664"/>
        <v>0</v>
      </c>
      <c r="BU1344" s="61">
        <f t="shared" si="1665"/>
        <v>0</v>
      </c>
      <c r="BV1344" s="61">
        <f t="shared" si="1665"/>
        <v>0</v>
      </c>
      <c r="BW1344" s="61">
        <f t="shared" si="1665"/>
        <v>0</v>
      </c>
      <c r="BX1344" s="63">
        <f t="shared" si="1665"/>
        <v>0.53000000000002956</v>
      </c>
      <c r="BY1344" s="61" t="s">
        <v>91</v>
      </c>
      <c r="CA1344" s="61">
        <f t="shared" si="1660"/>
        <v>0</v>
      </c>
      <c r="CB1344" s="61">
        <f t="shared" si="1660"/>
        <v>0</v>
      </c>
      <c r="CC1344" s="61">
        <f t="shared" si="1660"/>
        <v>0</v>
      </c>
      <c r="CD1344" s="61">
        <f t="shared" si="1660"/>
        <v>0</v>
      </c>
      <c r="CE1344" s="61">
        <f t="shared" si="1660"/>
        <v>7.973521889574689E-2</v>
      </c>
      <c r="CF1344" s="61">
        <f t="shared" si="1660"/>
        <v>0</v>
      </c>
      <c r="CG1344" s="61">
        <f t="shared" si="1660"/>
        <v>0</v>
      </c>
      <c r="CH1344" s="61">
        <f t="shared" si="1647"/>
        <v>0</v>
      </c>
      <c r="CI1344" s="61">
        <f t="shared" si="1666"/>
        <v>7.1761697006172201E-3</v>
      </c>
      <c r="CJ1344" s="267"/>
      <c r="CK1344" s="61">
        <f t="shared" si="1623"/>
        <v>0</v>
      </c>
      <c r="CL1344" s="61">
        <f t="shared" si="1623"/>
        <v>0</v>
      </c>
      <c r="CM1344" s="61">
        <f t="shared" si="1623"/>
        <v>0</v>
      </c>
      <c r="CN1344" s="61">
        <f t="shared" si="1623"/>
        <v>0</v>
      </c>
      <c r="CO1344" s="61">
        <f t="shared" si="1662"/>
        <v>7.973521889574689E-2</v>
      </c>
      <c r="CP1344" s="61">
        <f t="shared" si="1662"/>
        <v>0</v>
      </c>
      <c r="CQ1344" s="61">
        <f t="shared" si="1662"/>
        <v>0</v>
      </c>
      <c r="CR1344" s="61">
        <f t="shared" si="1662"/>
        <v>0</v>
      </c>
      <c r="CS1344" s="61">
        <f t="shared" si="1667"/>
        <v>7.1761697006172201E-3</v>
      </c>
      <c r="CT1344" s="63">
        <f t="shared" si="1670"/>
        <v>4.7700000000002664E-2</v>
      </c>
      <c r="CU1344" s="73"/>
      <c r="CV1344" s="61">
        <f t="shared" si="1644"/>
        <v>0</v>
      </c>
      <c r="CW1344" s="61">
        <f t="shared" si="1668"/>
        <v>0</v>
      </c>
      <c r="CY1344" s="61">
        <f t="shared" si="1648"/>
        <v>0</v>
      </c>
      <c r="CZ1344" s="61">
        <f t="shared" si="1648"/>
        <v>0</v>
      </c>
      <c r="DA1344" s="61">
        <f t="shared" si="1648"/>
        <v>0</v>
      </c>
      <c r="DB1344" s="2" t="s">
        <v>86</v>
      </c>
      <c r="DC1344" s="2" t="s">
        <v>85</v>
      </c>
      <c r="DD1344" s="2" t="s">
        <v>87</v>
      </c>
      <c r="DE1344" s="2" t="s">
        <v>106</v>
      </c>
      <c r="DG1344" s="62"/>
      <c r="EC1344" s="60" t="str">
        <f>VLOOKUP($M1344,[1]Detail!$M:$BO,1,0)</f>
        <v>JD8T -14401 -GB</v>
      </c>
      <c r="ED1344" s="60">
        <f>VLOOKUP($M1344,[1]Detail!$M:$BO,22,0)</f>
        <v>-259.81999999999994</v>
      </c>
      <c r="EE1344" s="60">
        <f>VLOOKUP($M1344,[1]Detail!$M:$BO,42,0)</f>
        <v>0</v>
      </c>
      <c r="EF1344" s="60">
        <f>VLOOKUP($M1344,[1]Detail!$M:$BO,45,0)</f>
        <v>0</v>
      </c>
      <c r="EH1344" s="60">
        <f t="shared" si="1671"/>
        <v>0</v>
      </c>
      <c r="EI1344" s="60">
        <f t="shared" si="1672"/>
        <v>0</v>
      </c>
      <c r="EJ1344" s="60">
        <f t="shared" si="1673"/>
        <v>0</v>
      </c>
    </row>
    <row r="1345" spans="2:140" ht="12.75" hidden="1" customHeight="1">
      <c r="B1345" s="1" t="s">
        <v>2206</v>
      </c>
      <c r="C1345" s="22" t="s">
        <v>2177</v>
      </c>
      <c r="D1345" s="149" t="s">
        <v>2178</v>
      </c>
      <c r="E1345" s="86" t="s">
        <v>1591</v>
      </c>
      <c r="F1345" s="85" t="s">
        <v>2072</v>
      </c>
      <c r="G1345" s="297" t="s">
        <v>994</v>
      </c>
      <c r="J1345" s="298" t="s">
        <v>155</v>
      </c>
      <c r="K1345" s="299" t="s">
        <v>2208</v>
      </c>
      <c r="L1345" s="3" t="s">
        <v>2214</v>
      </c>
      <c r="M1345" s="51" t="str">
        <f t="shared" si="1661"/>
        <v>JD8T -14401 -JB</v>
      </c>
      <c r="O1345" s="89">
        <v>0</v>
      </c>
      <c r="P1345" s="89">
        <v>0</v>
      </c>
      <c r="Q1345" s="89">
        <v>0</v>
      </c>
      <c r="R1345" s="89">
        <v>0</v>
      </c>
      <c r="S1345" s="89">
        <v>0</v>
      </c>
      <c r="T1345" s="89">
        <v>1</v>
      </c>
      <c r="U1345" s="89">
        <v>0</v>
      </c>
      <c r="V1345" s="89">
        <v>0</v>
      </c>
      <c r="W1345" s="164">
        <f t="shared" si="1650"/>
        <v>0.14000000000000001</v>
      </c>
      <c r="Y1345" s="8">
        <v>-278.99</v>
      </c>
      <c r="Z1345" s="63">
        <v>-0.43</v>
      </c>
      <c r="AA1345" s="63">
        <v>-0.43</v>
      </c>
      <c r="AB1345" s="63"/>
      <c r="AC1345" s="63"/>
      <c r="AD1345" s="8">
        <f t="shared" si="1645"/>
        <v>-279.85000000000002</v>
      </c>
      <c r="AE1345" s="2" t="s">
        <v>84</v>
      </c>
      <c r="AG1345" s="300"/>
      <c r="AH1345" s="300"/>
      <c r="AJ1345" s="300"/>
      <c r="AK1345" s="176"/>
      <c r="AM1345" s="22"/>
      <c r="AO1345" s="298" t="s">
        <v>155</v>
      </c>
      <c r="AP1345" s="299" t="s">
        <v>2208</v>
      </c>
      <c r="AQ1345" s="3" t="s">
        <v>2192</v>
      </c>
      <c r="AR1345" s="51" t="str">
        <f t="shared" si="1566"/>
        <v>JD8T -14401 -JA </v>
      </c>
      <c r="AT1345" s="89">
        <v>0</v>
      </c>
      <c r="AU1345" s="89">
        <v>0</v>
      </c>
      <c r="AV1345" s="89">
        <v>0</v>
      </c>
      <c r="AW1345" s="89">
        <v>0</v>
      </c>
      <c r="AX1345" s="89">
        <v>0</v>
      </c>
      <c r="AY1345" s="89">
        <v>1</v>
      </c>
      <c r="AZ1345" s="89">
        <v>0</v>
      </c>
      <c r="BA1345" s="89">
        <v>0</v>
      </c>
      <c r="BB1345" s="89">
        <f t="shared" si="1649"/>
        <v>0.14000000000000001</v>
      </c>
      <c r="BD1345" s="8">
        <v>-278.99</v>
      </c>
      <c r="BE1345" s="63">
        <v>-0.43</v>
      </c>
      <c r="BF1345" s="63">
        <v>-0.43</v>
      </c>
      <c r="BG1345" s="63"/>
      <c r="BH1345" s="63"/>
      <c r="BI1345" s="8">
        <f t="shared" si="1669"/>
        <v>-279.85000000000002</v>
      </c>
      <c r="BJ1345" s="2" t="s">
        <v>84</v>
      </c>
      <c r="BL1345" s="63"/>
      <c r="BM1345" s="63">
        <v>0</v>
      </c>
      <c r="BN1345" s="267"/>
      <c r="BO1345" s="63">
        <v>0</v>
      </c>
      <c r="BP1345" s="63">
        <v>0</v>
      </c>
      <c r="BQ1345" s="2">
        <v>0</v>
      </c>
      <c r="BS1345" s="61">
        <f t="shared" si="1663"/>
        <v>0</v>
      </c>
      <c r="BT1345" s="61">
        <f t="shared" si="1664"/>
        <v>0</v>
      </c>
      <c r="BU1345" s="61">
        <f t="shared" si="1665"/>
        <v>0</v>
      </c>
      <c r="BV1345" s="61">
        <f t="shared" si="1665"/>
        <v>0</v>
      </c>
      <c r="BW1345" s="61">
        <f t="shared" si="1665"/>
        <v>0</v>
      </c>
      <c r="BX1345" s="63">
        <f t="shared" si="1665"/>
        <v>0</v>
      </c>
      <c r="BY1345" s="61" t="s">
        <v>91</v>
      </c>
      <c r="CA1345" s="61">
        <f t="shared" si="1660"/>
        <v>0</v>
      </c>
      <c r="CB1345" s="61">
        <f t="shared" si="1660"/>
        <v>0</v>
      </c>
      <c r="CC1345" s="61">
        <f t="shared" si="1660"/>
        <v>0</v>
      </c>
      <c r="CD1345" s="61">
        <f t="shared" si="1660"/>
        <v>0</v>
      </c>
      <c r="CE1345" s="61">
        <f t="shared" si="1660"/>
        <v>0</v>
      </c>
      <c r="CF1345" s="61">
        <f t="shared" si="1660"/>
        <v>0</v>
      </c>
      <c r="CG1345" s="61">
        <f t="shared" si="1660"/>
        <v>0</v>
      </c>
      <c r="CH1345" s="61">
        <f t="shared" si="1647"/>
        <v>0</v>
      </c>
      <c r="CI1345" s="61">
        <f t="shared" si="1666"/>
        <v>0</v>
      </c>
      <c r="CJ1345" s="267"/>
      <c r="CK1345" s="61">
        <f t="shared" si="1623"/>
        <v>0</v>
      </c>
      <c r="CL1345" s="61">
        <f t="shared" si="1623"/>
        <v>0</v>
      </c>
      <c r="CM1345" s="61">
        <f t="shared" si="1623"/>
        <v>0</v>
      </c>
      <c r="CN1345" s="61">
        <f t="shared" si="1623"/>
        <v>0</v>
      </c>
      <c r="CO1345" s="61">
        <f t="shared" si="1662"/>
        <v>0</v>
      </c>
      <c r="CP1345" s="61">
        <f t="shared" si="1662"/>
        <v>0</v>
      </c>
      <c r="CQ1345" s="61">
        <f t="shared" si="1662"/>
        <v>0</v>
      </c>
      <c r="CR1345" s="61">
        <f t="shared" si="1662"/>
        <v>0</v>
      </c>
      <c r="CS1345" s="61">
        <f t="shared" si="1667"/>
        <v>0</v>
      </c>
      <c r="CT1345" s="63">
        <f t="shared" si="1670"/>
        <v>0</v>
      </c>
      <c r="CU1345" s="73"/>
      <c r="CV1345" s="61">
        <f t="shared" si="1644"/>
        <v>0</v>
      </c>
      <c r="CW1345" s="61">
        <f t="shared" si="1668"/>
        <v>0</v>
      </c>
      <c r="CY1345" s="61">
        <f t="shared" si="1648"/>
        <v>0</v>
      </c>
      <c r="CZ1345" s="61">
        <f t="shared" si="1648"/>
        <v>0</v>
      </c>
      <c r="DA1345" s="61">
        <f t="shared" si="1648"/>
        <v>0</v>
      </c>
      <c r="DB1345" s="2" t="s">
        <v>86</v>
      </c>
      <c r="DC1345" s="2" t="s">
        <v>85</v>
      </c>
      <c r="DD1345" s="2" t="s">
        <v>87</v>
      </c>
      <c r="DE1345" s="2" t="s">
        <v>106</v>
      </c>
      <c r="DG1345" s="62"/>
      <c r="EC1345" s="60" t="str">
        <f>VLOOKUP($M1345,[1]Detail!$M:$BO,1,0)</f>
        <v>JD8T -14401 -JB</v>
      </c>
      <c r="ED1345" s="60">
        <f>VLOOKUP($M1345,[1]Detail!$M:$BO,22,0)</f>
        <v>-279.85000000000002</v>
      </c>
      <c r="EE1345" s="60">
        <f>VLOOKUP($M1345,[1]Detail!$M:$BO,42,0)</f>
        <v>0</v>
      </c>
      <c r="EF1345" s="60">
        <f>VLOOKUP($M1345,[1]Detail!$M:$BO,45,0)</f>
        <v>0</v>
      </c>
      <c r="EH1345" s="60">
        <f t="shared" si="1671"/>
        <v>0</v>
      </c>
      <c r="EI1345" s="60">
        <f t="shared" si="1672"/>
        <v>0</v>
      </c>
      <c r="EJ1345" s="60">
        <f t="shared" si="1673"/>
        <v>0</v>
      </c>
    </row>
    <row r="1346" spans="2:140" ht="12.75" hidden="1" customHeight="1">
      <c r="B1346" s="1" t="s">
        <v>2206</v>
      </c>
      <c r="C1346" s="22" t="s">
        <v>2177</v>
      </c>
      <c r="D1346" s="149" t="s">
        <v>2178</v>
      </c>
      <c r="E1346" s="86" t="s">
        <v>1591</v>
      </c>
      <c r="F1346" s="85" t="s">
        <v>2072</v>
      </c>
      <c r="G1346" s="297" t="s">
        <v>994</v>
      </c>
      <c r="J1346" s="298" t="s">
        <v>155</v>
      </c>
      <c r="K1346" s="299" t="s">
        <v>2208</v>
      </c>
      <c r="L1346" s="3" t="s">
        <v>2215</v>
      </c>
      <c r="M1346" s="51" t="str">
        <f t="shared" si="1661"/>
        <v>JD8T -14401 -LB</v>
      </c>
      <c r="O1346" s="89">
        <v>0</v>
      </c>
      <c r="P1346" s="89">
        <v>0</v>
      </c>
      <c r="Q1346" s="89">
        <v>0</v>
      </c>
      <c r="R1346" s="89">
        <v>0</v>
      </c>
      <c r="S1346" s="89">
        <v>0</v>
      </c>
      <c r="T1346" s="89">
        <v>0</v>
      </c>
      <c r="U1346" s="89">
        <v>1</v>
      </c>
      <c r="V1346" s="89">
        <v>0</v>
      </c>
      <c r="W1346" s="164">
        <f t="shared" si="1650"/>
        <v>0.05</v>
      </c>
      <c r="Y1346" s="8">
        <v>-289.14999999999998</v>
      </c>
      <c r="Z1346" s="63">
        <v>-0.43</v>
      </c>
      <c r="AA1346" s="63">
        <v>-0.43</v>
      </c>
      <c r="AB1346" s="63"/>
      <c r="AC1346" s="63"/>
      <c r="AD1346" s="8">
        <f t="shared" si="1645"/>
        <v>-290.01</v>
      </c>
      <c r="AE1346" s="2" t="s">
        <v>84</v>
      </c>
      <c r="AG1346" s="300"/>
      <c r="AH1346" s="300"/>
      <c r="AJ1346" s="300"/>
      <c r="AK1346" s="176"/>
      <c r="AM1346" s="22"/>
      <c r="AO1346" s="298" t="s">
        <v>155</v>
      </c>
      <c r="AP1346" s="299" t="s">
        <v>2208</v>
      </c>
      <c r="AQ1346" s="3" t="s">
        <v>2194</v>
      </c>
      <c r="AR1346" s="51" t="str">
        <f t="shared" si="1566"/>
        <v>JD8T -14401 -LA </v>
      </c>
      <c r="AT1346" s="89">
        <v>0</v>
      </c>
      <c r="AU1346" s="89">
        <v>0</v>
      </c>
      <c r="AV1346" s="89">
        <v>0</v>
      </c>
      <c r="AW1346" s="89">
        <v>0</v>
      </c>
      <c r="AX1346" s="89">
        <v>0</v>
      </c>
      <c r="AY1346" s="89">
        <v>0</v>
      </c>
      <c r="AZ1346" s="89">
        <v>1</v>
      </c>
      <c r="BA1346" s="89">
        <v>0</v>
      </c>
      <c r="BB1346" s="89">
        <f t="shared" si="1649"/>
        <v>0.05</v>
      </c>
      <c r="BD1346" s="8">
        <f>-289.15</f>
        <v>-289.14999999999998</v>
      </c>
      <c r="BE1346" s="63">
        <v>-0.43</v>
      </c>
      <c r="BF1346" s="63">
        <v>-0.43</v>
      </c>
      <c r="BG1346" s="63"/>
      <c r="BH1346" s="63"/>
      <c r="BI1346" s="8">
        <f t="shared" si="1669"/>
        <v>-290.01</v>
      </c>
      <c r="BJ1346" s="2" t="s">
        <v>84</v>
      </c>
      <c r="BL1346" s="63"/>
      <c r="BM1346" s="63">
        <v>0</v>
      </c>
      <c r="BN1346" s="267"/>
      <c r="BO1346" s="63">
        <v>0</v>
      </c>
      <c r="BP1346" s="63">
        <v>0</v>
      </c>
      <c r="BQ1346" s="2">
        <v>0</v>
      </c>
      <c r="BS1346" s="61">
        <f t="shared" si="1663"/>
        <v>0</v>
      </c>
      <c r="BT1346" s="61">
        <f t="shared" si="1664"/>
        <v>0</v>
      </c>
      <c r="BU1346" s="61">
        <f t="shared" si="1665"/>
        <v>0</v>
      </c>
      <c r="BV1346" s="61">
        <f t="shared" si="1665"/>
        <v>0</v>
      </c>
      <c r="BW1346" s="61">
        <f t="shared" si="1665"/>
        <v>0</v>
      </c>
      <c r="BX1346" s="63">
        <f t="shared" si="1665"/>
        <v>0</v>
      </c>
      <c r="BY1346" s="61" t="s">
        <v>91</v>
      </c>
      <c r="CA1346" s="61">
        <f t="shared" si="1660"/>
        <v>0</v>
      </c>
      <c r="CB1346" s="61">
        <f t="shared" si="1660"/>
        <v>0</v>
      </c>
      <c r="CC1346" s="61">
        <f t="shared" si="1660"/>
        <v>0</v>
      </c>
      <c r="CD1346" s="61">
        <f t="shared" si="1660"/>
        <v>0</v>
      </c>
      <c r="CE1346" s="61">
        <f t="shared" si="1660"/>
        <v>0</v>
      </c>
      <c r="CF1346" s="61">
        <f t="shared" si="1660"/>
        <v>0</v>
      </c>
      <c r="CG1346" s="61">
        <f t="shared" si="1660"/>
        <v>0</v>
      </c>
      <c r="CH1346" s="61">
        <f t="shared" si="1647"/>
        <v>0</v>
      </c>
      <c r="CI1346" s="61">
        <f t="shared" si="1666"/>
        <v>0</v>
      </c>
      <c r="CJ1346" s="267"/>
      <c r="CK1346" s="61">
        <f t="shared" si="1623"/>
        <v>0</v>
      </c>
      <c r="CL1346" s="61">
        <f t="shared" si="1623"/>
        <v>0</v>
      </c>
      <c r="CM1346" s="61">
        <f t="shared" si="1623"/>
        <v>0</v>
      </c>
      <c r="CN1346" s="61">
        <f t="shared" si="1623"/>
        <v>0</v>
      </c>
      <c r="CO1346" s="61">
        <f t="shared" si="1662"/>
        <v>0</v>
      </c>
      <c r="CP1346" s="61">
        <f t="shared" si="1662"/>
        <v>0</v>
      </c>
      <c r="CQ1346" s="61">
        <f t="shared" si="1662"/>
        <v>0</v>
      </c>
      <c r="CR1346" s="61">
        <f t="shared" si="1662"/>
        <v>0</v>
      </c>
      <c r="CS1346" s="61">
        <f t="shared" si="1667"/>
        <v>0</v>
      </c>
      <c r="CT1346" s="63">
        <f t="shared" si="1670"/>
        <v>0</v>
      </c>
      <c r="CU1346" s="73"/>
      <c r="CV1346" s="61">
        <f t="shared" si="1644"/>
        <v>0</v>
      </c>
      <c r="CW1346" s="61">
        <f t="shared" si="1668"/>
        <v>0</v>
      </c>
      <c r="CY1346" s="61">
        <f t="shared" si="1648"/>
        <v>0</v>
      </c>
      <c r="CZ1346" s="61">
        <f t="shared" si="1648"/>
        <v>0</v>
      </c>
      <c r="DA1346" s="61">
        <f t="shared" si="1648"/>
        <v>0</v>
      </c>
      <c r="DB1346" s="2" t="s">
        <v>86</v>
      </c>
      <c r="DC1346" s="2" t="s">
        <v>85</v>
      </c>
      <c r="DD1346" s="2" t="s">
        <v>87</v>
      </c>
      <c r="DE1346" s="2" t="s">
        <v>106</v>
      </c>
      <c r="DG1346" s="62"/>
      <c r="EC1346" s="60" t="str">
        <f>VLOOKUP($M1346,[1]Detail!$M:$BO,1,0)</f>
        <v>JD8T -14401 -LB</v>
      </c>
      <c r="ED1346" s="60">
        <f>VLOOKUP($M1346,[1]Detail!$M:$BO,22,0)</f>
        <v>-290.01</v>
      </c>
      <c r="EE1346" s="60">
        <f>VLOOKUP($M1346,[1]Detail!$M:$BO,42,0)</f>
        <v>0</v>
      </c>
      <c r="EF1346" s="60">
        <f>VLOOKUP($M1346,[1]Detail!$M:$BO,45,0)</f>
        <v>0</v>
      </c>
      <c r="EH1346" s="60">
        <f t="shared" si="1671"/>
        <v>0</v>
      </c>
      <c r="EI1346" s="60">
        <f t="shared" si="1672"/>
        <v>0</v>
      </c>
      <c r="EJ1346" s="60">
        <f t="shared" si="1673"/>
        <v>0</v>
      </c>
    </row>
    <row r="1347" spans="2:140" ht="12.75" hidden="1" customHeight="1">
      <c r="B1347" s="1" t="s">
        <v>2206</v>
      </c>
      <c r="C1347" s="22" t="s">
        <v>2177</v>
      </c>
      <c r="D1347" s="149" t="s">
        <v>2178</v>
      </c>
      <c r="E1347" s="86" t="s">
        <v>1591</v>
      </c>
      <c r="F1347" s="85" t="s">
        <v>2072</v>
      </c>
      <c r="G1347" s="297" t="s">
        <v>994</v>
      </c>
      <c r="J1347" s="298" t="s">
        <v>155</v>
      </c>
      <c r="K1347" s="299" t="s">
        <v>2208</v>
      </c>
      <c r="L1347" s="3" t="s">
        <v>2216</v>
      </c>
      <c r="M1347" s="51" t="str">
        <f t="shared" si="1661"/>
        <v>JD8T -14401 -NB</v>
      </c>
      <c r="O1347" s="89">
        <v>1</v>
      </c>
      <c r="P1347" s="89">
        <v>0</v>
      </c>
      <c r="Q1347" s="89">
        <v>0</v>
      </c>
      <c r="R1347" s="89">
        <v>0</v>
      </c>
      <c r="S1347" s="89">
        <v>0</v>
      </c>
      <c r="T1347" s="89">
        <v>0</v>
      </c>
      <c r="U1347" s="89">
        <v>0</v>
      </c>
      <c r="V1347" s="89">
        <v>0</v>
      </c>
      <c r="W1347" s="164">
        <f t="shared" si="1650"/>
        <v>0.14000000000000001</v>
      </c>
      <c r="Y1347" s="8">
        <v>-231.22</v>
      </c>
      <c r="Z1347" s="63">
        <v>-0.43</v>
      </c>
      <c r="AA1347" s="63">
        <v>-0.43</v>
      </c>
      <c r="AB1347" s="63"/>
      <c r="AC1347" s="63"/>
      <c r="AD1347" s="8">
        <f t="shared" si="1645"/>
        <v>-232.08</v>
      </c>
      <c r="AE1347" s="2" t="s">
        <v>84</v>
      </c>
      <c r="AG1347" s="300"/>
      <c r="AH1347" s="300"/>
      <c r="AJ1347" s="300"/>
      <c r="AK1347" s="176"/>
      <c r="AM1347" s="22"/>
      <c r="AO1347" s="298" t="s">
        <v>155</v>
      </c>
      <c r="AP1347" s="299" t="s">
        <v>2208</v>
      </c>
      <c r="AQ1347" s="3" t="s">
        <v>2196</v>
      </c>
      <c r="AR1347" s="51" t="str">
        <f t="shared" si="1566"/>
        <v>JD8T -14401 -NA </v>
      </c>
      <c r="AT1347" s="89">
        <v>1</v>
      </c>
      <c r="AU1347" s="89">
        <v>0</v>
      </c>
      <c r="AV1347" s="89">
        <v>0</v>
      </c>
      <c r="AW1347" s="89">
        <v>0</v>
      </c>
      <c r="AX1347" s="89">
        <v>0</v>
      </c>
      <c r="AY1347" s="89">
        <v>0</v>
      </c>
      <c r="AZ1347" s="89">
        <v>0</v>
      </c>
      <c r="BA1347" s="89">
        <v>0</v>
      </c>
      <c r="BB1347" s="89">
        <f t="shared" si="1649"/>
        <v>0.14000000000000001</v>
      </c>
      <c r="BD1347" s="8">
        <v>-231.22</v>
      </c>
      <c r="BE1347" s="63">
        <v>-0.43</v>
      </c>
      <c r="BF1347" s="63">
        <v>-0.43</v>
      </c>
      <c r="BG1347" s="63"/>
      <c r="BH1347" s="63"/>
      <c r="BI1347" s="8">
        <f t="shared" si="1669"/>
        <v>-232.08</v>
      </c>
      <c r="BJ1347" s="2" t="s">
        <v>84</v>
      </c>
      <c r="BL1347" s="63"/>
      <c r="BM1347" s="63">
        <v>0</v>
      </c>
      <c r="BN1347" s="267"/>
      <c r="BO1347" s="63">
        <v>0</v>
      </c>
      <c r="BP1347" s="63">
        <v>0</v>
      </c>
      <c r="BQ1347" s="2">
        <v>0</v>
      </c>
      <c r="BS1347" s="61">
        <f t="shared" si="1663"/>
        <v>0</v>
      </c>
      <c r="BT1347" s="61">
        <f t="shared" si="1664"/>
        <v>0</v>
      </c>
      <c r="BU1347" s="61">
        <f t="shared" si="1665"/>
        <v>0</v>
      </c>
      <c r="BV1347" s="61">
        <f t="shared" si="1665"/>
        <v>0</v>
      </c>
      <c r="BW1347" s="61">
        <f t="shared" si="1665"/>
        <v>0</v>
      </c>
      <c r="BX1347" s="63">
        <f t="shared" si="1665"/>
        <v>0</v>
      </c>
      <c r="BY1347" s="61" t="s">
        <v>91</v>
      </c>
      <c r="CA1347" s="61">
        <f t="shared" si="1660"/>
        <v>0</v>
      </c>
      <c r="CB1347" s="61">
        <f t="shared" si="1660"/>
        <v>0</v>
      </c>
      <c r="CC1347" s="61">
        <f t="shared" si="1660"/>
        <v>0</v>
      </c>
      <c r="CD1347" s="61">
        <f t="shared" si="1660"/>
        <v>0</v>
      </c>
      <c r="CE1347" s="61">
        <f t="shared" si="1660"/>
        <v>0</v>
      </c>
      <c r="CF1347" s="61">
        <f t="shared" si="1660"/>
        <v>0</v>
      </c>
      <c r="CG1347" s="61">
        <f t="shared" si="1660"/>
        <v>0</v>
      </c>
      <c r="CH1347" s="61">
        <f t="shared" si="1647"/>
        <v>0</v>
      </c>
      <c r="CI1347" s="61">
        <f t="shared" si="1666"/>
        <v>0</v>
      </c>
      <c r="CJ1347" s="267"/>
      <c r="CK1347" s="61">
        <f t="shared" si="1623"/>
        <v>0</v>
      </c>
      <c r="CL1347" s="61">
        <f t="shared" si="1623"/>
        <v>0</v>
      </c>
      <c r="CM1347" s="61">
        <f t="shared" si="1623"/>
        <v>0</v>
      </c>
      <c r="CN1347" s="61">
        <f t="shared" si="1623"/>
        <v>0</v>
      </c>
      <c r="CO1347" s="61">
        <f t="shared" si="1662"/>
        <v>0</v>
      </c>
      <c r="CP1347" s="61">
        <f t="shared" si="1662"/>
        <v>0</v>
      </c>
      <c r="CQ1347" s="61">
        <f t="shared" si="1662"/>
        <v>0</v>
      </c>
      <c r="CR1347" s="61">
        <f t="shared" si="1662"/>
        <v>0</v>
      </c>
      <c r="CS1347" s="61">
        <f t="shared" si="1667"/>
        <v>0</v>
      </c>
      <c r="CT1347" s="63">
        <f t="shared" si="1670"/>
        <v>0</v>
      </c>
      <c r="CU1347" s="73"/>
      <c r="CV1347" s="61">
        <f t="shared" si="1644"/>
        <v>0</v>
      </c>
      <c r="CW1347" s="61">
        <f t="shared" si="1668"/>
        <v>0</v>
      </c>
      <c r="CY1347" s="61">
        <f t="shared" si="1648"/>
        <v>0</v>
      </c>
      <c r="CZ1347" s="61">
        <f t="shared" si="1648"/>
        <v>0</v>
      </c>
      <c r="DA1347" s="61">
        <f t="shared" si="1648"/>
        <v>0</v>
      </c>
      <c r="DB1347" s="2" t="s">
        <v>86</v>
      </c>
      <c r="DC1347" s="2" t="s">
        <v>85</v>
      </c>
      <c r="DD1347" s="2" t="s">
        <v>87</v>
      </c>
      <c r="DE1347" s="2" t="s">
        <v>106</v>
      </c>
      <c r="DG1347" s="62"/>
      <c r="EC1347" s="60" t="str">
        <f>VLOOKUP($M1347,[1]Detail!$M:$BO,1,0)</f>
        <v>JD8T -14401 -NB</v>
      </c>
      <c r="ED1347" s="60">
        <f>VLOOKUP($M1347,[1]Detail!$M:$BO,22,0)</f>
        <v>-232.08</v>
      </c>
      <c r="EE1347" s="60">
        <f>VLOOKUP($M1347,[1]Detail!$M:$BO,42,0)</f>
        <v>0</v>
      </c>
      <c r="EF1347" s="60">
        <f>VLOOKUP($M1347,[1]Detail!$M:$BO,45,0)</f>
        <v>0</v>
      </c>
      <c r="EH1347" s="60">
        <f t="shared" si="1671"/>
        <v>0</v>
      </c>
      <c r="EI1347" s="60">
        <f t="shared" si="1672"/>
        <v>0</v>
      </c>
      <c r="EJ1347" s="60">
        <f t="shared" si="1673"/>
        <v>0</v>
      </c>
    </row>
    <row r="1348" spans="2:140" ht="12.75" hidden="1" customHeight="1">
      <c r="B1348" s="1" t="s">
        <v>2206</v>
      </c>
      <c r="C1348" s="22" t="s">
        <v>2177</v>
      </c>
      <c r="D1348" s="149" t="s">
        <v>2178</v>
      </c>
      <c r="E1348" s="86" t="s">
        <v>1591</v>
      </c>
      <c r="F1348" s="85" t="s">
        <v>2072</v>
      </c>
      <c r="G1348" s="297" t="s">
        <v>994</v>
      </c>
      <c r="J1348" s="298" t="s">
        <v>155</v>
      </c>
      <c r="K1348" s="299" t="s">
        <v>2208</v>
      </c>
      <c r="L1348" s="3" t="s">
        <v>2213</v>
      </c>
      <c r="M1348" s="51" t="str">
        <f t="shared" si="1661"/>
        <v>JD8T -14401 -PA </v>
      </c>
      <c r="O1348" s="89">
        <v>0</v>
      </c>
      <c r="P1348" s="89">
        <v>1</v>
      </c>
      <c r="Q1348" s="89">
        <v>0</v>
      </c>
      <c r="R1348" s="89">
        <v>0</v>
      </c>
      <c r="S1348" s="89">
        <v>0</v>
      </c>
      <c r="T1348" s="89">
        <v>0</v>
      </c>
      <c r="U1348" s="89">
        <v>0</v>
      </c>
      <c r="V1348" s="89">
        <v>0</v>
      </c>
      <c r="W1348" s="164">
        <f t="shared" si="1650"/>
        <v>0.16</v>
      </c>
      <c r="Y1348" s="8">
        <v>-238.25</v>
      </c>
      <c r="Z1348" s="63">
        <v>-0.47</v>
      </c>
      <c r="AA1348" s="63">
        <v>-0.14000000000000001</v>
      </c>
      <c r="AB1348" s="63"/>
      <c r="AC1348" s="63"/>
      <c r="AD1348" s="8">
        <f t="shared" si="1645"/>
        <v>-238.85999999999999</v>
      </c>
      <c r="AE1348" s="2" t="s">
        <v>84</v>
      </c>
      <c r="AG1348" s="300"/>
      <c r="AH1348" s="300"/>
      <c r="AJ1348" s="300"/>
      <c r="AK1348" s="176"/>
      <c r="AM1348" s="22"/>
      <c r="AO1348" s="298" t="s">
        <v>155</v>
      </c>
      <c r="AP1348" s="299" t="s">
        <v>2208</v>
      </c>
      <c r="AQ1348" s="3" t="s">
        <v>2213</v>
      </c>
      <c r="AR1348" s="51" t="str">
        <f t="shared" si="1566"/>
        <v>JD8T -14401 -PA </v>
      </c>
      <c r="AT1348" s="89">
        <v>0</v>
      </c>
      <c r="AU1348" s="89">
        <v>1</v>
      </c>
      <c r="AV1348" s="89">
        <v>0</v>
      </c>
      <c r="AW1348" s="89">
        <v>0</v>
      </c>
      <c r="AX1348" s="89">
        <v>0</v>
      </c>
      <c r="AY1348" s="89">
        <v>0</v>
      </c>
      <c r="AZ1348" s="89">
        <v>0</v>
      </c>
      <c r="BA1348" s="89">
        <v>0</v>
      </c>
      <c r="BB1348" s="89">
        <f t="shared" si="1649"/>
        <v>0.16</v>
      </c>
      <c r="BD1348" s="8">
        <v>-238.25</v>
      </c>
      <c r="BE1348" s="63">
        <v>-0.47</v>
      </c>
      <c r="BF1348" s="63">
        <v>-0.14000000000000001</v>
      </c>
      <c r="BG1348" s="63"/>
      <c r="BH1348" s="63"/>
      <c r="BI1348" s="8">
        <f t="shared" si="1669"/>
        <v>-238.85999999999999</v>
      </c>
      <c r="BJ1348" s="2" t="s">
        <v>84</v>
      </c>
      <c r="BL1348" s="63"/>
      <c r="BM1348" s="63">
        <v>0</v>
      </c>
      <c r="BN1348" s="267"/>
      <c r="BO1348" s="63">
        <v>0</v>
      </c>
      <c r="BP1348" s="63">
        <v>0</v>
      </c>
      <c r="BQ1348" s="2">
        <v>0</v>
      </c>
      <c r="BS1348" s="61">
        <f t="shared" si="1663"/>
        <v>0</v>
      </c>
      <c r="BT1348" s="61">
        <f t="shared" si="1664"/>
        <v>0</v>
      </c>
      <c r="BU1348" s="61">
        <f t="shared" si="1665"/>
        <v>0</v>
      </c>
      <c r="BV1348" s="61">
        <f t="shared" si="1665"/>
        <v>0</v>
      </c>
      <c r="BW1348" s="61">
        <f t="shared" si="1665"/>
        <v>0</v>
      </c>
      <c r="BX1348" s="63">
        <f t="shared" si="1665"/>
        <v>0</v>
      </c>
      <c r="BY1348" s="61" t="s">
        <v>91</v>
      </c>
      <c r="CA1348" s="61">
        <f t="shared" si="1660"/>
        <v>0</v>
      </c>
      <c r="CB1348" s="61">
        <f t="shared" si="1660"/>
        <v>0</v>
      </c>
      <c r="CC1348" s="61">
        <f t="shared" si="1660"/>
        <v>0</v>
      </c>
      <c r="CD1348" s="61">
        <f t="shared" si="1660"/>
        <v>0</v>
      </c>
      <c r="CE1348" s="61">
        <f t="shared" si="1660"/>
        <v>0</v>
      </c>
      <c r="CF1348" s="61">
        <f t="shared" si="1660"/>
        <v>0</v>
      </c>
      <c r="CG1348" s="61">
        <f t="shared" si="1660"/>
        <v>0</v>
      </c>
      <c r="CH1348" s="61">
        <f t="shared" si="1647"/>
        <v>0</v>
      </c>
      <c r="CI1348" s="61">
        <f t="shared" si="1666"/>
        <v>0</v>
      </c>
      <c r="CJ1348" s="267"/>
      <c r="CK1348" s="61">
        <f t="shared" si="1623"/>
        <v>0</v>
      </c>
      <c r="CL1348" s="61">
        <f t="shared" si="1623"/>
        <v>0</v>
      </c>
      <c r="CM1348" s="61">
        <f t="shared" si="1623"/>
        <v>0</v>
      </c>
      <c r="CN1348" s="61">
        <f t="shared" si="1623"/>
        <v>0</v>
      </c>
      <c r="CO1348" s="61">
        <f t="shared" si="1662"/>
        <v>0</v>
      </c>
      <c r="CP1348" s="61">
        <f t="shared" si="1662"/>
        <v>0</v>
      </c>
      <c r="CQ1348" s="61">
        <f t="shared" si="1662"/>
        <v>0</v>
      </c>
      <c r="CR1348" s="61">
        <f t="shared" si="1662"/>
        <v>0</v>
      </c>
      <c r="CS1348" s="61">
        <f t="shared" si="1667"/>
        <v>0</v>
      </c>
      <c r="CT1348" s="63">
        <f t="shared" si="1670"/>
        <v>0</v>
      </c>
      <c r="CU1348" s="73"/>
      <c r="CV1348" s="61">
        <f t="shared" si="1644"/>
        <v>0</v>
      </c>
      <c r="CW1348" s="61">
        <f t="shared" si="1668"/>
        <v>0</v>
      </c>
      <c r="CY1348" s="61">
        <f t="shared" si="1648"/>
        <v>0</v>
      </c>
      <c r="CZ1348" s="61">
        <f t="shared" si="1648"/>
        <v>0</v>
      </c>
      <c r="DA1348" s="61">
        <f t="shared" si="1648"/>
        <v>0</v>
      </c>
      <c r="DB1348" s="2" t="s">
        <v>86</v>
      </c>
      <c r="DC1348" s="2" t="s">
        <v>85</v>
      </c>
      <c r="DD1348" s="2" t="s">
        <v>87</v>
      </c>
      <c r="DE1348" s="2" t="s">
        <v>106</v>
      </c>
      <c r="DG1348" s="62"/>
      <c r="EC1348" s="60" t="str">
        <f>VLOOKUP($M1348,[1]Detail!$M:$BO,1,0)</f>
        <v>JD8T -14401 -PA </v>
      </c>
      <c r="ED1348" s="60">
        <f>VLOOKUP($M1348,[1]Detail!$M:$BO,22,0)</f>
        <v>-238.85999999999999</v>
      </c>
      <c r="EE1348" s="60">
        <f>VLOOKUP($M1348,[1]Detail!$M:$BO,42,0)</f>
        <v>0</v>
      </c>
      <c r="EF1348" s="60">
        <f>VLOOKUP($M1348,[1]Detail!$M:$BO,45,0)</f>
        <v>0</v>
      </c>
      <c r="EH1348" s="60">
        <f t="shared" si="1671"/>
        <v>0</v>
      </c>
      <c r="EI1348" s="60">
        <f t="shared" si="1672"/>
        <v>0</v>
      </c>
      <c r="EJ1348" s="60">
        <f t="shared" si="1673"/>
        <v>0</v>
      </c>
    </row>
    <row r="1349" spans="2:140" ht="12.75" hidden="1" customHeight="1">
      <c r="B1349" s="1" t="s">
        <v>2176</v>
      </c>
      <c r="C1349" s="22" t="s">
        <v>2177</v>
      </c>
      <c r="D1349" s="149" t="s">
        <v>2178</v>
      </c>
      <c r="E1349" s="86" t="s">
        <v>1591</v>
      </c>
      <c r="F1349" s="85" t="s">
        <v>2072</v>
      </c>
      <c r="G1349" s="297" t="s">
        <v>994</v>
      </c>
      <c r="J1349" s="298" t="s">
        <v>155</v>
      </c>
      <c r="K1349" s="299" t="s">
        <v>2217</v>
      </c>
      <c r="L1349" s="3" t="s">
        <v>769</v>
      </c>
      <c r="M1349" s="51" t="str">
        <f t="shared" si="1661"/>
        <v>JD8T -14632 -AA </v>
      </c>
      <c r="O1349" s="89">
        <v>1</v>
      </c>
      <c r="P1349" s="89">
        <v>1</v>
      </c>
      <c r="Q1349" s="89">
        <v>1</v>
      </c>
      <c r="R1349" s="89">
        <v>1</v>
      </c>
      <c r="S1349" s="89">
        <v>1</v>
      </c>
      <c r="T1349" s="89">
        <v>1</v>
      </c>
      <c r="U1349" s="89">
        <v>1</v>
      </c>
      <c r="V1349" s="89">
        <v>1</v>
      </c>
      <c r="W1349" s="164">
        <f t="shared" si="1650"/>
        <v>1</v>
      </c>
      <c r="Y1349" s="8">
        <v>-44.13</v>
      </c>
      <c r="Z1349" s="63">
        <v>-0.41</v>
      </c>
      <c r="AA1349" s="63">
        <v>-0.14000000000000001</v>
      </c>
      <c r="AB1349" s="63"/>
      <c r="AC1349" s="63"/>
      <c r="AD1349" s="8">
        <f t="shared" si="1645"/>
        <v>-44.68</v>
      </c>
      <c r="AE1349" s="2" t="s">
        <v>84</v>
      </c>
      <c r="AG1349" s="300"/>
      <c r="AH1349" s="300"/>
      <c r="AJ1349" s="300"/>
      <c r="AK1349" s="176"/>
      <c r="AM1349" s="22"/>
      <c r="AO1349" s="298" t="s">
        <v>1735</v>
      </c>
      <c r="AP1349" s="297" t="s">
        <v>2217</v>
      </c>
      <c r="AQ1349" s="3" t="s">
        <v>2218</v>
      </c>
      <c r="AR1349" s="90" t="str">
        <f t="shared" si="1566"/>
        <v>ED8T -14632 -AG </v>
      </c>
      <c r="AT1349" s="89">
        <v>1</v>
      </c>
      <c r="AU1349" s="89">
        <v>1</v>
      </c>
      <c r="AV1349" s="89">
        <v>1</v>
      </c>
      <c r="AW1349" s="89">
        <v>1</v>
      </c>
      <c r="AX1349" s="89">
        <v>1</v>
      </c>
      <c r="AY1349" s="89">
        <v>1</v>
      </c>
      <c r="AZ1349" s="89">
        <v>1</v>
      </c>
      <c r="BA1349" s="89">
        <v>1</v>
      </c>
      <c r="BB1349" s="89">
        <f t="shared" si="1649"/>
        <v>1</v>
      </c>
      <c r="BD1349" s="60">
        <v>-63.93</v>
      </c>
      <c r="BE1349" s="63">
        <v>-0.47</v>
      </c>
      <c r="BF1349" s="63">
        <v>-0.14000000000000001</v>
      </c>
      <c r="BG1349" s="63">
        <v>0</v>
      </c>
      <c r="BH1349" s="63">
        <v>0</v>
      </c>
      <c r="BI1349" s="8">
        <f t="shared" si="1669"/>
        <v>-64.540000000000006</v>
      </c>
      <c r="BJ1349" s="2" t="s">
        <v>84</v>
      </c>
      <c r="BL1349" s="63"/>
      <c r="BM1349" s="63">
        <v>0</v>
      </c>
      <c r="BN1349" s="267"/>
      <c r="BO1349" s="63">
        <v>0</v>
      </c>
      <c r="BP1349" s="63">
        <v>0</v>
      </c>
      <c r="BQ1349" s="2">
        <v>0</v>
      </c>
      <c r="BS1349" s="61">
        <f t="shared" si="1663"/>
        <v>19.799999999999997</v>
      </c>
      <c r="BT1349" s="61">
        <f t="shared" si="1664"/>
        <v>0.06</v>
      </c>
      <c r="BU1349" s="61">
        <f t="shared" si="1665"/>
        <v>0</v>
      </c>
      <c r="BV1349" s="61">
        <f t="shared" si="1665"/>
        <v>0</v>
      </c>
      <c r="BW1349" s="61">
        <f t="shared" si="1665"/>
        <v>0</v>
      </c>
      <c r="BX1349" s="63">
        <f t="shared" si="1665"/>
        <v>19.860000000000007</v>
      </c>
      <c r="BY1349" s="61" t="s">
        <v>91</v>
      </c>
      <c r="CA1349" s="61">
        <f t="shared" si="1660"/>
        <v>2.9787874228975473</v>
      </c>
      <c r="CB1349" s="61">
        <f t="shared" si="1660"/>
        <v>2.9787874228975473</v>
      </c>
      <c r="CC1349" s="61">
        <f t="shared" si="1660"/>
        <v>2.9787874228975473</v>
      </c>
      <c r="CD1349" s="61">
        <f t="shared" si="1660"/>
        <v>2.9787874228975473</v>
      </c>
      <c r="CE1349" s="61">
        <f t="shared" si="1660"/>
        <v>2.9787874228975473</v>
      </c>
      <c r="CF1349" s="61">
        <f t="shared" si="1660"/>
        <v>2.9787874228975473</v>
      </c>
      <c r="CG1349" s="61">
        <f t="shared" si="1660"/>
        <v>2.9787874228975473</v>
      </c>
      <c r="CH1349" s="61">
        <f t="shared" si="1647"/>
        <v>2.9787874228975473</v>
      </c>
      <c r="CI1349" s="61">
        <f t="shared" si="1666"/>
        <v>2.9787874228975477</v>
      </c>
      <c r="CJ1349" s="267"/>
      <c r="CK1349" s="61">
        <f t="shared" si="1623"/>
        <v>2.9878140514517835</v>
      </c>
      <c r="CL1349" s="61">
        <f t="shared" si="1623"/>
        <v>2.9878140514517835</v>
      </c>
      <c r="CM1349" s="61">
        <f t="shared" si="1623"/>
        <v>2.9878140514517835</v>
      </c>
      <c r="CN1349" s="61">
        <f t="shared" si="1623"/>
        <v>2.9878140514517835</v>
      </c>
      <c r="CO1349" s="61">
        <f t="shared" si="1662"/>
        <v>2.9878140514517835</v>
      </c>
      <c r="CP1349" s="61">
        <f t="shared" si="1662"/>
        <v>2.9878140514517835</v>
      </c>
      <c r="CQ1349" s="61">
        <f t="shared" si="1662"/>
        <v>2.9878140514517835</v>
      </c>
      <c r="CR1349" s="61">
        <f t="shared" si="1662"/>
        <v>2.9878140514517835</v>
      </c>
      <c r="CS1349" s="61">
        <f t="shared" si="1667"/>
        <v>2.9878140514517839</v>
      </c>
      <c r="CT1349" s="63">
        <f t="shared" si="1670"/>
        <v>19.86000000000001</v>
      </c>
      <c r="CU1349" s="73"/>
      <c r="CV1349" s="61">
        <f t="shared" si="1644"/>
        <v>0</v>
      </c>
      <c r="CW1349" s="61">
        <f t="shared" si="1668"/>
        <v>0</v>
      </c>
      <c r="CY1349" s="61">
        <f t="shared" si="1648"/>
        <v>0</v>
      </c>
      <c r="CZ1349" s="61">
        <f t="shared" si="1648"/>
        <v>0</v>
      </c>
      <c r="DA1349" s="61">
        <f t="shared" si="1648"/>
        <v>0</v>
      </c>
      <c r="DB1349" s="2" t="s">
        <v>86</v>
      </c>
      <c r="DC1349" s="2" t="s">
        <v>86</v>
      </c>
      <c r="DD1349" s="2" t="s">
        <v>87</v>
      </c>
      <c r="DE1349" s="2" t="s">
        <v>106</v>
      </c>
      <c r="DF1349" s="3" t="s">
        <v>86</v>
      </c>
      <c r="DG1349" s="62">
        <v>43111</v>
      </c>
      <c r="EC1349" s="60" t="str">
        <f>VLOOKUP($M1349,[1]Detail!$M:$BO,1,0)</f>
        <v>JD8T -14632 -AA </v>
      </c>
      <c r="ED1349" s="60">
        <f>VLOOKUP($M1349,[1]Detail!$M:$BO,22,0)</f>
        <v>-44.68</v>
      </c>
      <c r="EE1349" s="60">
        <f>VLOOKUP($M1349,[1]Detail!$M:$BO,42,0)</f>
        <v>0</v>
      </c>
      <c r="EF1349" s="60">
        <f>VLOOKUP($M1349,[1]Detail!$M:$BO,45,0)</f>
        <v>0</v>
      </c>
      <c r="EH1349" s="60">
        <f t="shared" si="1671"/>
        <v>0</v>
      </c>
      <c r="EI1349" s="60">
        <f t="shared" si="1672"/>
        <v>0</v>
      </c>
      <c r="EJ1349" s="60">
        <f t="shared" si="1673"/>
        <v>0</v>
      </c>
    </row>
    <row r="1350" spans="2:140" ht="12.75" hidden="1" customHeight="1">
      <c r="B1350" s="1" t="s">
        <v>2176</v>
      </c>
      <c r="C1350" s="22" t="s">
        <v>2177</v>
      </c>
      <c r="D1350" s="149" t="s">
        <v>2178</v>
      </c>
      <c r="E1350" s="86" t="s">
        <v>1591</v>
      </c>
      <c r="F1350" s="85" t="s">
        <v>2072</v>
      </c>
      <c r="G1350" s="297" t="s">
        <v>994</v>
      </c>
      <c r="J1350" s="298" t="s">
        <v>155</v>
      </c>
      <c r="K1350" s="299" t="s">
        <v>2219</v>
      </c>
      <c r="L1350" s="3" t="s">
        <v>769</v>
      </c>
      <c r="M1350" s="51" t="str">
        <f t="shared" si="1661"/>
        <v>JD8T -14633 -AA </v>
      </c>
      <c r="O1350" s="89">
        <v>1</v>
      </c>
      <c r="P1350" s="89">
        <v>1</v>
      </c>
      <c r="Q1350" s="89">
        <v>1</v>
      </c>
      <c r="R1350" s="89">
        <v>1</v>
      </c>
      <c r="S1350" s="89">
        <v>1</v>
      </c>
      <c r="T1350" s="89">
        <v>1</v>
      </c>
      <c r="U1350" s="89">
        <v>1</v>
      </c>
      <c r="V1350" s="89">
        <v>1</v>
      </c>
      <c r="W1350" s="164">
        <f t="shared" si="1650"/>
        <v>1</v>
      </c>
      <c r="Y1350" s="8">
        <v>-44.04</v>
      </c>
      <c r="Z1350" s="63">
        <v>-0.4</v>
      </c>
      <c r="AA1350" s="63">
        <v>-0.14000000000000001</v>
      </c>
      <c r="AB1350" s="63"/>
      <c r="AC1350" s="63"/>
      <c r="AD1350" s="8">
        <f t="shared" si="1645"/>
        <v>-44.58</v>
      </c>
      <c r="AE1350" s="2" t="s">
        <v>84</v>
      </c>
      <c r="AG1350" s="300"/>
      <c r="AH1350" s="300"/>
      <c r="AJ1350" s="300"/>
      <c r="AK1350" s="176"/>
      <c r="AM1350" s="22"/>
      <c r="AO1350" s="298" t="s">
        <v>1735</v>
      </c>
      <c r="AP1350" s="297" t="s">
        <v>2219</v>
      </c>
      <c r="AQ1350" s="3" t="s">
        <v>2218</v>
      </c>
      <c r="AR1350" s="90" t="str">
        <f t="shared" si="1566"/>
        <v>ED8T -14633 -AG </v>
      </c>
      <c r="AT1350" s="89">
        <v>1</v>
      </c>
      <c r="AU1350" s="89">
        <v>1</v>
      </c>
      <c r="AV1350" s="89">
        <v>1</v>
      </c>
      <c r="AW1350" s="89">
        <v>1</v>
      </c>
      <c r="AX1350" s="89">
        <v>1</v>
      </c>
      <c r="AY1350" s="89">
        <v>1</v>
      </c>
      <c r="AZ1350" s="89">
        <v>1</v>
      </c>
      <c r="BA1350" s="89">
        <v>1</v>
      </c>
      <c r="BB1350" s="89">
        <f t="shared" si="1649"/>
        <v>1</v>
      </c>
      <c r="BD1350" s="60">
        <v>-63.93</v>
      </c>
      <c r="BE1350" s="63">
        <v>-0.47</v>
      </c>
      <c r="BF1350" s="63">
        <v>-0.14000000000000001</v>
      </c>
      <c r="BG1350" s="63">
        <v>0</v>
      </c>
      <c r="BH1350" s="63">
        <v>0</v>
      </c>
      <c r="BI1350" s="8">
        <f t="shared" si="1669"/>
        <v>-64.540000000000006</v>
      </c>
      <c r="BJ1350" s="2" t="s">
        <v>84</v>
      </c>
      <c r="BL1350" s="63"/>
      <c r="BM1350" s="63">
        <v>0</v>
      </c>
      <c r="BN1350" s="267"/>
      <c r="BO1350" s="63">
        <v>0</v>
      </c>
      <c r="BP1350" s="63">
        <v>0</v>
      </c>
      <c r="BQ1350" s="2">
        <v>0</v>
      </c>
      <c r="BS1350" s="61">
        <f t="shared" si="1663"/>
        <v>19.89</v>
      </c>
      <c r="BT1350" s="61">
        <f t="shared" si="1664"/>
        <v>6.9999999999999951E-2</v>
      </c>
      <c r="BU1350" s="61">
        <f t="shared" si="1665"/>
        <v>0</v>
      </c>
      <c r="BV1350" s="61">
        <f t="shared" si="1665"/>
        <v>0</v>
      </c>
      <c r="BW1350" s="61">
        <f t="shared" si="1665"/>
        <v>0</v>
      </c>
      <c r="BX1350" s="63">
        <f t="shared" si="1665"/>
        <v>19.960000000000008</v>
      </c>
      <c r="BY1350" s="61" t="s">
        <v>91</v>
      </c>
      <c r="CA1350" s="61">
        <f t="shared" si="1660"/>
        <v>2.9923273657289</v>
      </c>
      <c r="CB1350" s="61">
        <f t="shared" si="1660"/>
        <v>2.9923273657289</v>
      </c>
      <c r="CC1350" s="61">
        <f t="shared" si="1660"/>
        <v>2.9923273657289</v>
      </c>
      <c r="CD1350" s="61">
        <f t="shared" si="1660"/>
        <v>2.9923273657289</v>
      </c>
      <c r="CE1350" s="61">
        <f t="shared" si="1660"/>
        <v>2.9923273657289</v>
      </c>
      <c r="CF1350" s="61">
        <f t="shared" si="1660"/>
        <v>2.9923273657289</v>
      </c>
      <c r="CG1350" s="61">
        <f t="shared" si="1660"/>
        <v>2.9923273657289</v>
      </c>
      <c r="CH1350" s="61">
        <f t="shared" si="1647"/>
        <v>2.9923273657289</v>
      </c>
      <c r="CI1350" s="61">
        <f t="shared" si="1666"/>
        <v>2.9923273657288996</v>
      </c>
      <c r="CJ1350" s="267"/>
      <c r="CK1350" s="61">
        <f t="shared" si="1623"/>
        <v>3.002858432375509</v>
      </c>
      <c r="CL1350" s="61">
        <f t="shared" si="1623"/>
        <v>3.002858432375509</v>
      </c>
      <c r="CM1350" s="61">
        <f t="shared" si="1623"/>
        <v>3.002858432375509</v>
      </c>
      <c r="CN1350" s="61">
        <f t="shared" si="1623"/>
        <v>3.002858432375509</v>
      </c>
      <c r="CO1350" s="61">
        <f t="shared" si="1662"/>
        <v>3.002858432375509</v>
      </c>
      <c r="CP1350" s="61">
        <f t="shared" si="1662"/>
        <v>3.002858432375509</v>
      </c>
      <c r="CQ1350" s="61">
        <f t="shared" si="1662"/>
        <v>3.002858432375509</v>
      </c>
      <c r="CR1350" s="61">
        <f t="shared" si="1662"/>
        <v>3.002858432375509</v>
      </c>
      <c r="CS1350" s="61">
        <f t="shared" si="1667"/>
        <v>3.0028584323755085</v>
      </c>
      <c r="CT1350" s="63">
        <f t="shared" si="1670"/>
        <v>19.960000000000004</v>
      </c>
      <c r="CU1350" s="73"/>
      <c r="CV1350" s="61">
        <f t="shared" si="1644"/>
        <v>0</v>
      </c>
      <c r="CW1350" s="61">
        <f t="shared" si="1668"/>
        <v>0</v>
      </c>
      <c r="CY1350" s="61">
        <f t="shared" si="1648"/>
        <v>0</v>
      </c>
      <c r="CZ1350" s="61">
        <f t="shared" si="1648"/>
        <v>0</v>
      </c>
      <c r="DA1350" s="61">
        <f t="shared" si="1648"/>
        <v>0</v>
      </c>
      <c r="DB1350" s="2" t="s">
        <v>86</v>
      </c>
      <c r="DC1350" s="2" t="s">
        <v>86</v>
      </c>
      <c r="DD1350" s="2" t="s">
        <v>87</v>
      </c>
      <c r="DE1350" s="2" t="s">
        <v>106</v>
      </c>
      <c r="DF1350" s="3" t="s">
        <v>86</v>
      </c>
      <c r="DG1350" s="62">
        <v>43111</v>
      </c>
      <c r="EC1350" s="60" t="str">
        <f>VLOOKUP($M1350,[1]Detail!$M:$BO,1,0)</f>
        <v>JD8T -14633 -AA </v>
      </c>
      <c r="ED1350" s="60">
        <f>VLOOKUP($M1350,[1]Detail!$M:$BO,22,0)</f>
        <v>-44.58</v>
      </c>
      <c r="EE1350" s="60">
        <f>VLOOKUP($M1350,[1]Detail!$M:$BO,42,0)</f>
        <v>0</v>
      </c>
      <c r="EF1350" s="60">
        <f>VLOOKUP($M1350,[1]Detail!$M:$BO,45,0)</f>
        <v>0</v>
      </c>
      <c r="EH1350" s="60">
        <f t="shared" si="1671"/>
        <v>0</v>
      </c>
      <c r="EI1350" s="60">
        <f t="shared" si="1672"/>
        <v>0</v>
      </c>
      <c r="EJ1350" s="60">
        <f t="shared" si="1673"/>
        <v>0</v>
      </c>
    </row>
    <row r="1351" spans="2:140" ht="12.75" hidden="1" customHeight="1">
      <c r="B1351" s="1" t="s">
        <v>2176</v>
      </c>
      <c r="C1351" s="22" t="s">
        <v>2177</v>
      </c>
      <c r="D1351" s="149" t="s">
        <v>2178</v>
      </c>
      <c r="E1351" s="86" t="s">
        <v>1591</v>
      </c>
      <c r="F1351" s="85" t="s">
        <v>2072</v>
      </c>
      <c r="G1351" s="297" t="s">
        <v>994</v>
      </c>
      <c r="J1351" s="298" t="s">
        <v>155</v>
      </c>
      <c r="K1351" s="299" t="s">
        <v>2220</v>
      </c>
      <c r="L1351" s="3" t="s">
        <v>769</v>
      </c>
      <c r="M1351" s="51" t="str">
        <f t="shared" si="1661"/>
        <v>JD8T -14A280 -AA </v>
      </c>
      <c r="O1351" s="89">
        <v>1</v>
      </c>
      <c r="P1351" s="89">
        <v>0</v>
      </c>
      <c r="Q1351" s="89">
        <v>1</v>
      </c>
      <c r="R1351" s="89">
        <v>0</v>
      </c>
      <c r="S1351" s="89">
        <v>0</v>
      </c>
      <c r="T1351" s="89">
        <v>0</v>
      </c>
      <c r="U1351" s="89">
        <v>0</v>
      </c>
      <c r="V1351" s="89">
        <v>0</v>
      </c>
      <c r="W1351" s="164">
        <f t="shared" si="1650"/>
        <v>0.28000000000000003</v>
      </c>
      <c r="Y1351" s="8">
        <v>-151.84</v>
      </c>
      <c r="Z1351" s="63">
        <v>-0.43</v>
      </c>
      <c r="AA1351" s="63">
        <v>-0.43</v>
      </c>
      <c r="AB1351" s="63"/>
      <c r="AC1351" s="63"/>
      <c r="AD1351" s="8">
        <f t="shared" si="1645"/>
        <v>-152.70000000000002</v>
      </c>
      <c r="AE1351" s="2" t="s">
        <v>84</v>
      </c>
      <c r="AG1351" s="300"/>
      <c r="AH1351" s="300"/>
      <c r="AJ1351" s="300"/>
      <c r="AK1351" s="176"/>
      <c r="AM1351" s="22"/>
      <c r="AO1351" s="298" t="s">
        <v>1735</v>
      </c>
      <c r="AP1351" s="297" t="s">
        <v>2220</v>
      </c>
      <c r="AQ1351" s="3" t="s">
        <v>2204</v>
      </c>
      <c r="AR1351" s="90" t="str">
        <f t="shared" si="1566"/>
        <v>ED8T -14A280 -AD </v>
      </c>
      <c r="AT1351" s="89">
        <v>1</v>
      </c>
      <c r="AU1351" s="89">
        <v>0</v>
      </c>
      <c r="AV1351" s="89">
        <v>1</v>
      </c>
      <c r="AW1351" s="89">
        <v>0</v>
      </c>
      <c r="AX1351" s="89">
        <v>0</v>
      </c>
      <c r="AY1351" s="89">
        <v>0</v>
      </c>
      <c r="AZ1351" s="89">
        <v>0</v>
      </c>
      <c r="BA1351" s="89">
        <v>0</v>
      </c>
      <c r="BB1351" s="89">
        <f t="shared" si="1649"/>
        <v>0.28000000000000003</v>
      </c>
      <c r="BD1351" s="60">
        <v>-70.48</v>
      </c>
      <c r="BE1351" s="63">
        <v>-0.43</v>
      </c>
      <c r="BF1351" s="63">
        <v>-0.43</v>
      </c>
      <c r="BG1351" s="63">
        <v>0</v>
      </c>
      <c r="BH1351" s="63">
        <v>0</v>
      </c>
      <c r="BI1351" s="8">
        <f t="shared" ref="BI1351:BI1354" si="1674">SUM(BD1351:BH1351)</f>
        <v>-71.340000000000018</v>
      </c>
      <c r="BJ1351" s="2" t="s">
        <v>84</v>
      </c>
      <c r="BL1351" s="63"/>
      <c r="BM1351" s="63">
        <v>0</v>
      </c>
      <c r="BN1351" s="267"/>
      <c r="BO1351" s="63">
        <v>0</v>
      </c>
      <c r="BP1351" s="63">
        <v>0</v>
      </c>
      <c r="BQ1351" s="2">
        <v>0</v>
      </c>
      <c r="BS1351" s="61">
        <f t="shared" si="1663"/>
        <v>-81.36</v>
      </c>
      <c r="BT1351" s="61">
        <f t="shared" si="1664"/>
        <v>0</v>
      </c>
      <c r="BU1351" s="61">
        <f t="shared" si="1665"/>
        <v>0</v>
      </c>
      <c r="BV1351" s="61">
        <f t="shared" si="1665"/>
        <v>0</v>
      </c>
      <c r="BW1351" s="61">
        <f t="shared" si="1665"/>
        <v>0</v>
      </c>
      <c r="BX1351" s="63">
        <f t="shared" si="1665"/>
        <v>-81.36</v>
      </c>
      <c r="BY1351" s="61" t="s">
        <v>91</v>
      </c>
      <c r="CA1351" s="61">
        <f t="shared" si="1660"/>
        <v>-12.240108319542649</v>
      </c>
      <c r="CB1351" s="61">
        <f t="shared" si="1660"/>
        <v>0</v>
      </c>
      <c r="CC1351" s="61">
        <f t="shared" si="1660"/>
        <v>-12.240108319542649</v>
      </c>
      <c r="CD1351" s="61">
        <f t="shared" si="1660"/>
        <v>0</v>
      </c>
      <c r="CE1351" s="61">
        <f t="shared" si="1660"/>
        <v>0</v>
      </c>
      <c r="CF1351" s="61">
        <f t="shared" si="1660"/>
        <v>0</v>
      </c>
      <c r="CG1351" s="61">
        <f t="shared" si="1660"/>
        <v>0</v>
      </c>
      <c r="CH1351" s="61">
        <f t="shared" si="1647"/>
        <v>0</v>
      </c>
      <c r="CI1351" s="61">
        <f t="shared" si="1666"/>
        <v>-3.4272303294719419</v>
      </c>
      <c r="CJ1351" s="267"/>
      <c r="CK1351" s="61">
        <f t="shared" si="1623"/>
        <v>-12.240108319542649</v>
      </c>
      <c r="CL1351" s="61">
        <f t="shared" si="1623"/>
        <v>0</v>
      </c>
      <c r="CM1351" s="61">
        <f t="shared" si="1623"/>
        <v>-12.240108319542649</v>
      </c>
      <c r="CN1351" s="61">
        <f t="shared" si="1623"/>
        <v>0</v>
      </c>
      <c r="CO1351" s="61">
        <f t="shared" si="1662"/>
        <v>0</v>
      </c>
      <c r="CP1351" s="61">
        <f t="shared" si="1662"/>
        <v>0</v>
      </c>
      <c r="CQ1351" s="61">
        <f t="shared" si="1662"/>
        <v>0</v>
      </c>
      <c r="CR1351" s="61">
        <f t="shared" si="1662"/>
        <v>0</v>
      </c>
      <c r="CS1351" s="61">
        <f t="shared" si="1667"/>
        <v>-3.4272303294719419</v>
      </c>
      <c r="CT1351" s="63">
        <f t="shared" si="1670"/>
        <v>-22.780799999999999</v>
      </c>
      <c r="CU1351" s="73"/>
      <c r="CV1351" s="61">
        <f t="shared" si="1644"/>
        <v>0</v>
      </c>
      <c r="CW1351" s="61">
        <f t="shared" si="1668"/>
        <v>0</v>
      </c>
      <c r="CY1351" s="61">
        <f t="shared" si="1648"/>
        <v>0</v>
      </c>
      <c r="CZ1351" s="61">
        <f t="shared" si="1648"/>
        <v>0</v>
      </c>
      <c r="DA1351" s="61">
        <f t="shared" si="1648"/>
        <v>0</v>
      </c>
      <c r="DB1351" s="2" t="s">
        <v>85</v>
      </c>
      <c r="DC1351" s="2" t="s">
        <v>86</v>
      </c>
      <c r="DD1351" s="2" t="s">
        <v>87</v>
      </c>
      <c r="DE1351" s="2" t="s">
        <v>106</v>
      </c>
      <c r="DF1351" s="3" t="s">
        <v>86</v>
      </c>
      <c r="DG1351" s="62">
        <v>43111</v>
      </c>
      <c r="EC1351" s="60"/>
      <c r="ED1351" s="60"/>
      <c r="EE1351" s="60"/>
      <c r="EF1351" s="60"/>
    </row>
    <row r="1352" spans="2:140" ht="12.75" hidden="1" customHeight="1">
      <c r="B1352" s="1" t="s">
        <v>2176</v>
      </c>
      <c r="C1352" s="22" t="s">
        <v>2177</v>
      </c>
      <c r="D1352" s="149" t="s">
        <v>2178</v>
      </c>
      <c r="E1352" s="86" t="s">
        <v>1591</v>
      </c>
      <c r="F1352" s="85" t="s">
        <v>2072</v>
      </c>
      <c r="G1352" s="297" t="s">
        <v>994</v>
      </c>
      <c r="J1352" s="298" t="s">
        <v>155</v>
      </c>
      <c r="K1352" s="299" t="s">
        <v>2220</v>
      </c>
      <c r="L1352" s="3" t="s">
        <v>2182</v>
      </c>
      <c r="M1352" s="51" t="str">
        <f t="shared" si="1661"/>
        <v>JD8T -14A280 -BA </v>
      </c>
      <c r="O1352" s="89">
        <v>0</v>
      </c>
      <c r="P1352" s="89">
        <v>1</v>
      </c>
      <c r="Q1352" s="89">
        <v>0</v>
      </c>
      <c r="R1352" s="89">
        <v>1</v>
      </c>
      <c r="S1352" s="89">
        <v>0</v>
      </c>
      <c r="T1352" s="89">
        <v>0</v>
      </c>
      <c r="U1352" s="89">
        <v>0</v>
      </c>
      <c r="V1352" s="89">
        <v>0</v>
      </c>
      <c r="W1352" s="164">
        <f t="shared" si="1650"/>
        <v>0.39</v>
      </c>
      <c r="Y1352" s="8">
        <v>-163.66</v>
      </c>
      <c r="Z1352" s="63">
        <v>-0.43</v>
      </c>
      <c r="AA1352" s="63">
        <v>-0.43</v>
      </c>
      <c r="AB1352" s="63"/>
      <c r="AC1352" s="63"/>
      <c r="AD1352" s="8">
        <f t="shared" si="1645"/>
        <v>-164.52</v>
      </c>
      <c r="AE1352" s="2" t="s">
        <v>84</v>
      </c>
      <c r="AG1352" s="300"/>
      <c r="AH1352" s="300"/>
      <c r="AJ1352" s="300"/>
      <c r="AK1352" s="176"/>
      <c r="AM1352" s="22"/>
      <c r="AO1352" s="298" t="s">
        <v>1735</v>
      </c>
      <c r="AP1352" s="297" t="s">
        <v>2220</v>
      </c>
      <c r="AQ1352" s="3" t="s">
        <v>2205</v>
      </c>
      <c r="AR1352" s="90" t="str">
        <f t="shared" si="1566"/>
        <v>ED8T -14A280 -BD </v>
      </c>
      <c r="AT1352" s="89">
        <v>0</v>
      </c>
      <c r="AU1352" s="89">
        <v>1</v>
      </c>
      <c r="AV1352" s="89">
        <v>0</v>
      </c>
      <c r="AW1352" s="89">
        <v>1</v>
      </c>
      <c r="AX1352" s="89">
        <v>0</v>
      </c>
      <c r="AY1352" s="89">
        <v>0</v>
      </c>
      <c r="AZ1352" s="89">
        <v>0</v>
      </c>
      <c r="BA1352" s="89">
        <v>0</v>
      </c>
      <c r="BB1352" s="89">
        <f t="shared" si="1649"/>
        <v>0.39</v>
      </c>
      <c r="BD1352" s="60">
        <v>-75.47</v>
      </c>
      <c r="BE1352" s="63">
        <v>-0.43</v>
      </c>
      <c r="BF1352" s="63">
        <v>-0.43</v>
      </c>
      <c r="BG1352" s="63">
        <v>0</v>
      </c>
      <c r="BH1352" s="63">
        <v>0</v>
      </c>
      <c r="BI1352" s="8">
        <f t="shared" si="1674"/>
        <v>-76.330000000000013</v>
      </c>
      <c r="BJ1352" s="2" t="s">
        <v>84</v>
      </c>
      <c r="BL1352" s="63"/>
      <c r="BM1352" s="63">
        <v>0</v>
      </c>
      <c r="BN1352" s="267"/>
      <c r="BO1352" s="63">
        <v>0</v>
      </c>
      <c r="BP1352" s="63">
        <v>0</v>
      </c>
      <c r="BQ1352" s="2">
        <v>0</v>
      </c>
      <c r="BS1352" s="61">
        <f t="shared" si="1663"/>
        <v>-88.19</v>
      </c>
      <c r="BT1352" s="61">
        <f t="shared" si="1664"/>
        <v>0</v>
      </c>
      <c r="BU1352" s="61">
        <f t="shared" si="1665"/>
        <v>0</v>
      </c>
      <c r="BV1352" s="61">
        <f t="shared" si="1665"/>
        <v>0</v>
      </c>
      <c r="BW1352" s="61">
        <f t="shared" si="1665"/>
        <v>0</v>
      </c>
      <c r="BX1352" s="63">
        <f t="shared" si="1665"/>
        <v>-88.19</v>
      </c>
      <c r="BY1352" s="61" t="s">
        <v>91</v>
      </c>
      <c r="CA1352" s="61">
        <f t="shared" si="1660"/>
        <v>0</v>
      </c>
      <c r="CB1352" s="61">
        <f t="shared" si="1660"/>
        <v>-13.267639536633066</v>
      </c>
      <c r="CC1352" s="61">
        <f t="shared" si="1660"/>
        <v>0</v>
      </c>
      <c r="CD1352" s="61">
        <f t="shared" si="1660"/>
        <v>-13.267639536633066</v>
      </c>
      <c r="CE1352" s="61">
        <f t="shared" si="1660"/>
        <v>0</v>
      </c>
      <c r="CF1352" s="61">
        <f t="shared" si="1660"/>
        <v>0</v>
      </c>
      <c r="CG1352" s="61">
        <f t="shared" si="1660"/>
        <v>0</v>
      </c>
      <c r="CH1352" s="61">
        <f t="shared" si="1647"/>
        <v>0</v>
      </c>
      <c r="CI1352" s="61">
        <f t="shared" si="1666"/>
        <v>-5.1743794192868959</v>
      </c>
      <c r="CJ1352" s="267"/>
      <c r="CK1352" s="61">
        <f t="shared" si="1623"/>
        <v>0</v>
      </c>
      <c r="CL1352" s="61">
        <f t="shared" si="1623"/>
        <v>-13.267639536633066</v>
      </c>
      <c r="CM1352" s="61">
        <f t="shared" si="1623"/>
        <v>0</v>
      </c>
      <c r="CN1352" s="61">
        <f t="shared" si="1623"/>
        <v>-13.267639536633066</v>
      </c>
      <c r="CO1352" s="61">
        <f t="shared" si="1662"/>
        <v>0</v>
      </c>
      <c r="CP1352" s="61">
        <f t="shared" si="1662"/>
        <v>0</v>
      </c>
      <c r="CQ1352" s="61">
        <f t="shared" si="1662"/>
        <v>0</v>
      </c>
      <c r="CR1352" s="61">
        <f t="shared" si="1662"/>
        <v>0</v>
      </c>
      <c r="CS1352" s="61">
        <f t="shared" si="1667"/>
        <v>-5.1743794192868959</v>
      </c>
      <c r="CT1352" s="63">
        <f t="shared" si="1670"/>
        <v>-34.394100000000002</v>
      </c>
      <c r="CU1352" s="73"/>
      <c r="CV1352" s="61">
        <f t="shared" si="1644"/>
        <v>0</v>
      </c>
      <c r="CW1352" s="61">
        <f t="shared" si="1668"/>
        <v>0</v>
      </c>
      <c r="CY1352" s="61">
        <f t="shared" si="1648"/>
        <v>0</v>
      </c>
      <c r="CZ1352" s="61">
        <f t="shared" si="1648"/>
        <v>0</v>
      </c>
      <c r="DA1352" s="61">
        <f t="shared" si="1648"/>
        <v>0</v>
      </c>
      <c r="DB1352" s="2" t="s">
        <v>85</v>
      </c>
      <c r="DC1352" s="2" t="s">
        <v>86</v>
      </c>
      <c r="DD1352" s="2" t="s">
        <v>87</v>
      </c>
      <c r="DE1352" s="2" t="s">
        <v>106</v>
      </c>
      <c r="DF1352" s="3" t="s">
        <v>86</v>
      </c>
      <c r="DG1352" s="62">
        <v>43111</v>
      </c>
      <c r="EC1352" s="60"/>
      <c r="ED1352" s="60"/>
      <c r="EE1352" s="60"/>
      <c r="EF1352" s="60"/>
    </row>
    <row r="1353" spans="2:140" ht="12.75" hidden="1" customHeight="1">
      <c r="B1353" s="1" t="s">
        <v>2176</v>
      </c>
      <c r="C1353" s="22" t="s">
        <v>2177</v>
      </c>
      <c r="D1353" s="149" t="s">
        <v>2178</v>
      </c>
      <c r="E1353" s="86" t="s">
        <v>1591</v>
      </c>
      <c r="F1353" s="85" t="s">
        <v>2072</v>
      </c>
      <c r="G1353" s="297" t="s">
        <v>994</v>
      </c>
      <c r="J1353" s="298" t="s">
        <v>155</v>
      </c>
      <c r="K1353" s="299" t="s">
        <v>2220</v>
      </c>
      <c r="L1353" s="3" t="s">
        <v>2184</v>
      </c>
      <c r="M1353" s="51" t="str">
        <f t="shared" si="1661"/>
        <v>JD8T -14A280 -CA </v>
      </c>
      <c r="O1353" s="89">
        <v>0</v>
      </c>
      <c r="P1353" s="89">
        <v>0</v>
      </c>
      <c r="Q1353" s="89">
        <v>0</v>
      </c>
      <c r="R1353" s="89">
        <v>0</v>
      </c>
      <c r="S1353" s="89">
        <v>1</v>
      </c>
      <c r="T1353" s="89">
        <v>0</v>
      </c>
      <c r="U1353" s="89">
        <v>0</v>
      </c>
      <c r="V1353" s="89">
        <v>0</v>
      </c>
      <c r="W1353" s="164">
        <f t="shared" si="1650"/>
        <v>0.09</v>
      </c>
      <c r="Y1353" s="8">
        <v>-148.72999999999999</v>
      </c>
      <c r="Z1353" s="63">
        <v>-0.43</v>
      </c>
      <c r="AA1353" s="63">
        <v>-0.43</v>
      </c>
      <c r="AB1353" s="63"/>
      <c r="AC1353" s="63"/>
      <c r="AD1353" s="8">
        <f t="shared" si="1645"/>
        <v>-149.59</v>
      </c>
      <c r="AE1353" s="2" t="s">
        <v>84</v>
      </c>
      <c r="AG1353" s="300"/>
      <c r="AH1353" s="300"/>
      <c r="AJ1353" s="300"/>
      <c r="AK1353" s="176"/>
      <c r="AM1353" s="22"/>
      <c r="AO1353" s="298" t="s">
        <v>1735</v>
      </c>
      <c r="AP1353" s="297" t="s">
        <v>2220</v>
      </c>
      <c r="AQ1353" s="3" t="s">
        <v>2204</v>
      </c>
      <c r="AR1353" s="90" t="str">
        <f t="shared" si="1566"/>
        <v>ED8T -14A280 -AD </v>
      </c>
      <c r="AT1353" s="89">
        <v>0</v>
      </c>
      <c r="AU1353" s="89">
        <v>0</v>
      </c>
      <c r="AV1353" s="89">
        <v>0</v>
      </c>
      <c r="AW1353" s="89">
        <v>0</v>
      </c>
      <c r="AX1353" s="89">
        <v>1</v>
      </c>
      <c r="AY1353" s="89">
        <v>0</v>
      </c>
      <c r="AZ1353" s="89">
        <v>0</v>
      </c>
      <c r="BA1353" s="89">
        <v>0</v>
      </c>
      <c r="BB1353" s="89">
        <f t="shared" si="1649"/>
        <v>0.09</v>
      </c>
      <c r="BD1353" s="60">
        <v>-70.48</v>
      </c>
      <c r="BE1353" s="63">
        <v>-0.43</v>
      </c>
      <c r="BF1353" s="63">
        <v>-0.43</v>
      </c>
      <c r="BG1353" s="63">
        <v>0</v>
      </c>
      <c r="BH1353" s="63">
        <v>0</v>
      </c>
      <c r="BI1353" s="8">
        <f t="shared" si="1674"/>
        <v>-71.340000000000018</v>
      </c>
      <c r="BJ1353" s="2" t="s">
        <v>84</v>
      </c>
      <c r="BL1353" s="63"/>
      <c r="BM1353" s="63">
        <v>0</v>
      </c>
      <c r="BN1353" s="267"/>
      <c r="BO1353" s="63">
        <v>0</v>
      </c>
      <c r="BP1353" s="63">
        <v>0</v>
      </c>
      <c r="BQ1353" s="2">
        <v>0</v>
      </c>
      <c r="BS1353" s="61">
        <f t="shared" si="1663"/>
        <v>-78.249999999999986</v>
      </c>
      <c r="BT1353" s="61">
        <f t="shared" si="1664"/>
        <v>0</v>
      </c>
      <c r="BU1353" s="61">
        <f t="shared" si="1665"/>
        <v>0</v>
      </c>
      <c r="BV1353" s="61">
        <f t="shared" si="1665"/>
        <v>0</v>
      </c>
      <c r="BW1353" s="61">
        <f t="shared" si="1665"/>
        <v>0</v>
      </c>
      <c r="BX1353" s="63">
        <f t="shared" si="1665"/>
        <v>-78.249999999999986</v>
      </c>
      <c r="BY1353" s="61" t="s">
        <v>91</v>
      </c>
      <c r="CA1353" s="61">
        <f t="shared" si="1660"/>
        <v>0</v>
      </c>
      <c r="CB1353" s="61">
        <f t="shared" si="1660"/>
        <v>0</v>
      </c>
      <c r="CC1353" s="61">
        <f t="shared" si="1660"/>
        <v>0</v>
      </c>
      <c r="CD1353" s="61">
        <f t="shared" si="1660"/>
        <v>0</v>
      </c>
      <c r="CE1353" s="61">
        <f t="shared" si="1660"/>
        <v>-11.772228072814801</v>
      </c>
      <c r="CF1353" s="61">
        <f t="shared" si="1660"/>
        <v>0</v>
      </c>
      <c r="CG1353" s="61">
        <f t="shared" si="1660"/>
        <v>0</v>
      </c>
      <c r="CH1353" s="61">
        <f t="shared" si="1647"/>
        <v>0</v>
      </c>
      <c r="CI1353" s="61">
        <f t="shared" si="1666"/>
        <v>-1.0595005265533322</v>
      </c>
      <c r="CJ1353" s="267"/>
      <c r="CK1353" s="61">
        <f t="shared" si="1623"/>
        <v>0</v>
      </c>
      <c r="CL1353" s="61">
        <f t="shared" si="1623"/>
        <v>0</v>
      </c>
      <c r="CM1353" s="61">
        <f t="shared" si="1623"/>
        <v>0</v>
      </c>
      <c r="CN1353" s="61">
        <f t="shared" si="1623"/>
        <v>0</v>
      </c>
      <c r="CO1353" s="61">
        <f t="shared" si="1662"/>
        <v>-11.772228072814801</v>
      </c>
      <c r="CP1353" s="61">
        <f t="shared" si="1662"/>
        <v>0</v>
      </c>
      <c r="CQ1353" s="61">
        <f t="shared" si="1662"/>
        <v>0</v>
      </c>
      <c r="CR1353" s="61">
        <f t="shared" si="1662"/>
        <v>0</v>
      </c>
      <c r="CS1353" s="61">
        <f t="shared" si="1667"/>
        <v>-1.0595005265533322</v>
      </c>
      <c r="CT1353" s="63">
        <f t="shared" si="1670"/>
        <v>-7.0424999999999995</v>
      </c>
      <c r="CU1353" s="73"/>
      <c r="CV1353" s="61">
        <f t="shared" si="1644"/>
        <v>0</v>
      </c>
      <c r="CW1353" s="61">
        <f t="shared" si="1668"/>
        <v>0</v>
      </c>
      <c r="CY1353" s="61">
        <f t="shared" si="1648"/>
        <v>0</v>
      </c>
      <c r="CZ1353" s="61">
        <f t="shared" si="1648"/>
        <v>0</v>
      </c>
      <c r="DA1353" s="61">
        <f t="shared" si="1648"/>
        <v>0</v>
      </c>
      <c r="DB1353" s="2" t="s">
        <v>85</v>
      </c>
      <c r="DC1353" s="2" t="s">
        <v>86</v>
      </c>
      <c r="DD1353" s="2" t="s">
        <v>87</v>
      </c>
      <c r="DE1353" s="2" t="s">
        <v>106</v>
      </c>
      <c r="DF1353" s="3" t="s">
        <v>86</v>
      </c>
      <c r="DG1353" s="62">
        <v>43111</v>
      </c>
      <c r="EC1353" s="60"/>
      <c r="ED1353" s="60"/>
      <c r="EE1353" s="60"/>
      <c r="EF1353" s="60"/>
    </row>
    <row r="1354" spans="2:140" ht="12.75" hidden="1" customHeight="1">
      <c r="B1354" s="1" t="s">
        <v>2176</v>
      </c>
      <c r="C1354" s="22" t="s">
        <v>2177</v>
      </c>
      <c r="D1354" s="149" t="s">
        <v>2178</v>
      </c>
      <c r="E1354" s="86" t="s">
        <v>1591</v>
      </c>
      <c r="F1354" s="85" t="s">
        <v>2072</v>
      </c>
      <c r="G1354" s="297" t="s">
        <v>994</v>
      </c>
      <c r="J1354" s="298" t="s">
        <v>155</v>
      </c>
      <c r="K1354" s="299" t="s">
        <v>2220</v>
      </c>
      <c r="L1354" s="3" t="s">
        <v>2186</v>
      </c>
      <c r="M1354" s="51" t="str">
        <f t="shared" si="1661"/>
        <v>JD8T -14A280 -DA </v>
      </c>
      <c r="O1354" s="89">
        <v>0</v>
      </c>
      <c r="P1354" s="89">
        <v>0</v>
      </c>
      <c r="Q1354" s="89">
        <v>0</v>
      </c>
      <c r="R1354" s="89">
        <v>1</v>
      </c>
      <c r="S1354" s="89">
        <v>0</v>
      </c>
      <c r="T1354" s="89">
        <v>0</v>
      </c>
      <c r="U1354" s="89">
        <v>0</v>
      </c>
      <c r="V1354" s="89">
        <v>1</v>
      </c>
      <c r="W1354" s="164">
        <f t="shared" si="1650"/>
        <v>0.28000000000000003</v>
      </c>
      <c r="Y1354" s="8">
        <v>-165.32</v>
      </c>
      <c r="Z1354" s="63">
        <v>-0.43</v>
      </c>
      <c r="AA1354" s="63">
        <v>-0.43</v>
      </c>
      <c r="AB1354" s="63"/>
      <c r="AC1354" s="63"/>
      <c r="AD1354" s="8">
        <f t="shared" si="1645"/>
        <v>-166.18</v>
      </c>
      <c r="AE1354" s="2" t="s">
        <v>84</v>
      </c>
      <c r="AG1354" s="300"/>
      <c r="AH1354" s="300"/>
      <c r="AJ1354" s="300"/>
      <c r="AK1354" s="176"/>
      <c r="AM1354" s="22"/>
      <c r="AO1354" s="298" t="s">
        <v>1735</v>
      </c>
      <c r="AP1354" s="297" t="s">
        <v>2220</v>
      </c>
      <c r="AQ1354" s="3" t="s">
        <v>2205</v>
      </c>
      <c r="AR1354" s="90" t="str">
        <f t="shared" si="1566"/>
        <v>ED8T -14A280 -BD </v>
      </c>
      <c r="AT1354" s="89">
        <v>0</v>
      </c>
      <c r="AU1354" s="89">
        <v>0</v>
      </c>
      <c r="AV1354" s="89">
        <v>0</v>
      </c>
      <c r="AW1354" s="89">
        <v>1</v>
      </c>
      <c r="AX1354" s="89">
        <v>0</v>
      </c>
      <c r="AY1354" s="89">
        <v>0</v>
      </c>
      <c r="AZ1354" s="89">
        <v>0</v>
      </c>
      <c r="BA1354" s="89">
        <v>1</v>
      </c>
      <c r="BB1354" s="89">
        <f t="shared" si="1649"/>
        <v>0.28000000000000003</v>
      </c>
      <c r="BD1354" s="60">
        <v>-75.47</v>
      </c>
      <c r="BE1354" s="63">
        <v>-0.43</v>
      </c>
      <c r="BF1354" s="63">
        <v>-0.43</v>
      </c>
      <c r="BG1354" s="63">
        <v>0</v>
      </c>
      <c r="BH1354" s="63">
        <v>0</v>
      </c>
      <c r="BI1354" s="8">
        <f t="shared" si="1674"/>
        <v>-76.330000000000013</v>
      </c>
      <c r="BJ1354" s="2" t="s">
        <v>84</v>
      </c>
      <c r="BL1354" s="63"/>
      <c r="BM1354" s="63">
        <v>0</v>
      </c>
      <c r="BN1354" s="267"/>
      <c r="BO1354" s="63">
        <v>0</v>
      </c>
      <c r="BP1354" s="63">
        <v>0</v>
      </c>
      <c r="BQ1354" s="2">
        <v>0</v>
      </c>
      <c r="BS1354" s="61">
        <f t="shared" si="1663"/>
        <v>-89.85</v>
      </c>
      <c r="BT1354" s="61">
        <f t="shared" si="1664"/>
        <v>0</v>
      </c>
      <c r="BU1354" s="61">
        <f t="shared" si="1665"/>
        <v>0</v>
      </c>
      <c r="BV1354" s="61">
        <f t="shared" si="1665"/>
        <v>0</v>
      </c>
      <c r="BW1354" s="61">
        <f t="shared" si="1665"/>
        <v>0</v>
      </c>
      <c r="BX1354" s="63">
        <f t="shared" si="1665"/>
        <v>-89.85</v>
      </c>
      <c r="BY1354" s="61" t="s">
        <v>91</v>
      </c>
      <c r="CA1354" s="61">
        <f t="shared" si="1660"/>
        <v>0</v>
      </c>
      <c r="CB1354" s="61">
        <f t="shared" si="1660"/>
        <v>0</v>
      </c>
      <c r="CC1354" s="61">
        <f t="shared" si="1660"/>
        <v>0</v>
      </c>
      <c r="CD1354" s="61">
        <f t="shared" si="1660"/>
        <v>-13.517376259966902</v>
      </c>
      <c r="CE1354" s="61">
        <f t="shared" si="1660"/>
        <v>0</v>
      </c>
      <c r="CF1354" s="61">
        <f t="shared" si="1660"/>
        <v>0</v>
      </c>
      <c r="CG1354" s="61">
        <f t="shared" si="1660"/>
        <v>0</v>
      </c>
      <c r="CH1354" s="61">
        <f t="shared" si="1647"/>
        <v>-13.517376259966902</v>
      </c>
      <c r="CI1354" s="61">
        <f t="shared" si="1666"/>
        <v>-3.7848653527907326</v>
      </c>
      <c r="CJ1354" s="267"/>
      <c r="CK1354" s="61">
        <f t="shared" si="1623"/>
        <v>0</v>
      </c>
      <c r="CL1354" s="61">
        <f t="shared" si="1623"/>
        <v>0</v>
      </c>
      <c r="CM1354" s="61">
        <f t="shared" si="1623"/>
        <v>0</v>
      </c>
      <c r="CN1354" s="61">
        <f t="shared" si="1623"/>
        <v>-13.517376259966902</v>
      </c>
      <c r="CO1354" s="61">
        <f t="shared" si="1662"/>
        <v>0</v>
      </c>
      <c r="CP1354" s="61">
        <f t="shared" si="1662"/>
        <v>0</v>
      </c>
      <c r="CQ1354" s="61">
        <f t="shared" si="1662"/>
        <v>0</v>
      </c>
      <c r="CR1354" s="61">
        <f t="shared" si="1662"/>
        <v>-13.517376259966902</v>
      </c>
      <c r="CS1354" s="61">
        <f t="shared" si="1667"/>
        <v>-3.7848653527907326</v>
      </c>
      <c r="CT1354" s="63">
        <f t="shared" si="1670"/>
        <v>-25.158000000000001</v>
      </c>
      <c r="CU1354" s="73"/>
      <c r="CV1354" s="61">
        <f t="shared" si="1644"/>
        <v>0</v>
      </c>
      <c r="CW1354" s="61">
        <f t="shared" si="1668"/>
        <v>0</v>
      </c>
      <c r="CY1354" s="61">
        <f t="shared" si="1648"/>
        <v>0</v>
      </c>
      <c r="CZ1354" s="61">
        <f t="shared" si="1648"/>
        <v>0</v>
      </c>
      <c r="DA1354" s="61">
        <f t="shared" si="1648"/>
        <v>0</v>
      </c>
      <c r="DB1354" s="2" t="s">
        <v>85</v>
      </c>
      <c r="DC1354" s="2" t="s">
        <v>86</v>
      </c>
      <c r="DD1354" s="2" t="s">
        <v>87</v>
      </c>
      <c r="DE1354" s="2" t="s">
        <v>106</v>
      </c>
      <c r="DF1354" s="3" t="s">
        <v>86</v>
      </c>
      <c r="DG1354" s="62">
        <v>43111</v>
      </c>
      <c r="EC1354" s="60"/>
      <c r="ED1354" s="60"/>
      <c r="EE1354" s="60"/>
      <c r="EF1354" s="60"/>
    </row>
    <row r="1355" spans="2:140" ht="12.75" hidden="1" customHeight="1">
      <c r="B1355" s="1" t="s">
        <v>2221</v>
      </c>
      <c r="C1355" s="22" t="s">
        <v>2177</v>
      </c>
      <c r="D1355" s="149" t="s">
        <v>2178</v>
      </c>
      <c r="E1355" s="86" t="s">
        <v>1591</v>
      </c>
      <c r="F1355" s="85" t="s">
        <v>2072</v>
      </c>
      <c r="G1355" s="297" t="s">
        <v>994</v>
      </c>
      <c r="J1355" s="298" t="s">
        <v>155</v>
      </c>
      <c r="K1355" s="299" t="s">
        <v>2220</v>
      </c>
      <c r="L1355" s="3" t="s">
        <v>132</v>
      </c>
      <c r="M1355" s="51" t="str">
        <f t="shared" si="1661"/>
        <v>JD8T -14A280 -AB</v>
      </c>
      <c r="O1355" s="89">
        <v>1</v>
      </c>
      <c r="P1355" s="89">
        <v>0</v>
      </c>
      <c r="Q1355" s="89">
        <v>1</v>
      </c>
      <c r="R1355" s="89">
        <v>0</v>
      </c>
      <c r="S1355" s="89">
        <v>0</v>
      </c>
      <c r="T1355" s="89">
        <v>0</v>
      </c>
      <c r="U1355" s="89">
        <v>0</v>
      </c>
      <c r="V1355" s="89">
        <v>0</v>
      </c>
      <c r="W1355" s="164">
        <f t="shared" si="1650"/>
        <v>0.28000000000000003</v>
      </c>
      <c r="Y1355" s="8">
        <f>-151.84+1.33</f>
        <v>-150.51</v>
      </c>
      <c r="Z1355" s="63">
        <v>-0.43</v>
      </c>
      <c r="AA1355" s="63">
        <v>-0.43</v>
      </c>
      <c r="AB1355" s="63"/>
      <c r="AC1355" s="63"/>
      <c r="AD1355" s="8">
        <f t="shared" ref="AD1355:AD1358" si="1675">SUM(Y1355:AC1355)</f>
        <v>-151.37</v>
      </c>
      <c r="AE1355" s="2" t="s">
        <v>84</v>
      </c>
      <c r="AG1355" s="300"/>
      <c r="AH1355" s="300"/>
      <c r="AJ1355" s="300"/>
      <c r="AK1355" s="176"/>
      <c r="AM1355" s="22"/>
      <c r="AO1355" s="298" t="s">
        <v>155</v>
      </c>
      <c r="AP1355" s="299" t="s">
        <v>2220</v>
      </c>
      <c r="AQ1355" s="3" t="s">
        <v>769</v>
      </c>
      <c r="AR1355" s="51" t="str">
        <f t="shared" si="1566"/>
        <v>JD8T -14A280 -AA </v>
      </c>
      <c r="AS1355" s="3"/>
      <c r="AT1355" s="89">
        <v>1</v>
      </c>
      <c r="AU1355" s="89">
        <v>0</v>
      </c>
      <c r="AV1355" s="89">
        <v>1</v>
      </c>
      <c r="AW1355" s="89">
        <v>0</v>
      </c>
      <c r="AX1355" s="89">
        <v>0</v>
      </c>
      <c r="AY1355" s="89">
        <v>0</v>
      </c>
      <c r="AZ1355" s="89">
        <v>0</v>
      </c>
      <c r="BA1355" s="89">
        <v>0</v>
      </c>
      <c r="BB1355" s="164">
        <f t="shared" si="1649"/>
        <v>0.28000000000000003</v>
      </c>
      <c r="BD1355" s="8">
        <v>-151.84</v>
      </c>
      <c r="BE1355" s="63">
        <v>-0.43</v>
      </c>
      <c r="BF1355" s="63">
        <v>-0.43</v>
      </c>
      <c r="BG1355" s="63"/>
      <c r="BH1355" s="63"/>
      <c r="BI1355" s="8">
        <f t="shared" ref="BI1355:BI1358" si="1676">SUM(BD1355:BH1355)</f>
        <v>-152.70000000000002</v>
      </c>
      <c r="BJ1355" s="2" t="s">
        <v>84</v>
      </c>
      <c r="BL1355" s="63"/>
      <c r="BM1355" s="63">
        <v>0</v>
      </c>
      <c r="BN1355" s="267"/>
      <c r="BO1355" s="63">
        <v>0</v>
      </c>
      <c r="BP1355" s="63">
        <v>0</v>
      </c>
      <c r="BQ1355" s="2">
        <v>0</v>
      </c>
      <c r="BS1355" s="61">
        <f t="shared" si="1663"/>
        <v>1.3300000000000125</v>
      </c>
      <c r="BT1355" s="61">
        <f t="shared" si="1664"/>
        <v>0</v>
      </c>
      <c r="BU1355" s="61">
        <f t="shared" si="1665"/>
        <v>0</v>
      </c>
      <c r="BV1355" s="61">
        <f t="shared" si="1665"/>
        <v>0</v>
      </c>
      <c r="BW1355" s="61">
        <f t="shared" si="1665"/>
        <v>0</v>
      </c>
      <c r="BX1355" s="63">
        <f t="shared" si="1665"/>
        <v>1.3300000000000125</v>
      </c>
      <c r="BY1355" s="61" t="s">
        <v>91</v>
      </c>
      <c r="CA1355" s="61">
        <f t="shared" si="1660"/>
        <v>0.20009026628554422</v>
      </c>
      <c r="CB1355" s="61">
        <f t="shared" si="1660"/>
        <v>0</v>
      </c>
      <c r="CC1355" s="61">
        <f t="shared" si="1660"/>
        <v>0.20009026628554422</v>
      </c>
      <c r="CD1355" s="61">
        <f t="shared" si="1660"/>
        <v>0</v>
      </c>
      <c r="CE1355" s="61">
        <f t="shared" si="1660"/>
        <v>0</v>
      </c>
      <c r="CF1355" s="61">
        <f t="shared" si="1660"/>
        <v>0</v>
      </c>
      <c r="CG1355" s="61">
        <f t="shared" si="1660"/>
        <v>0</v>
      </c>
      <c r="CH1355" s="61">
        <f t="shared" si="1647"/>
        <v>0</v>
      </c>
      <c r="CI1355" s="61">
        <f t="shared" si="1666"/>
        <v>5.6025274559952383E-2</v>
      </c>
      <c r="CJ1355" s="267"/>
      <c r="CK1355" s="61">
        <f t="shared" si="1623"/>
        <v>0.20009026628554422</v>
      </c>
      <c r="CL1355" s="61">
        <f t="shared" si="1623"/>
        <v>0</v>
      </c>
      <c r="CM1355" s="61">
        <f t="shared" si="1623"/>
        <v>0.20009026628554422</v>
      </c>
      <c r="CN1355" s="61">
        <f t="shared" si="1623"/>
        <v>0</v>
      </c>
      <c r="CO1355" s="61">
        <f t="shared" si="1662"/>
        <v>0</v>
      </c>
      <c r="CP1355" s="61">
        <f t="shared" si="1662"/>
        <v>0</v>
      </c>
      <c r="CQ1355" s="61">
        <f t="shared" si="1662"/>
        <v>0</v>
      </c>
      <c r="CR1355" s="61">
        <f t="shared" si="1662"/>
        <v>0</v>
      </c>
      <c r="CS1355" s="61">
        <f t="shared" si="1667"/>
        <v>5.6025274559952383E-2</v>
      </c>
      <c r="CT1355" s="63">
        <f t="shared" si="1670"/>
        <v>0.37240000000000351</v>
      </c>
      <c r="CU1355" s="73"/>
      <c r="CV1355" s="61">
        <f t="shared" si="1644"/>
        <v>0</v>
      </c>
      <c r="CW1355" s="61">
        <f t="shared" si="1668"/>
        <v>0</v>
      </c>
      <c r="CY1355" s="61">
        <f t="shared" si="1648"/>
        <v>0</v>
      </c>
      <c r="CZ1355" s="61">
        <f t="shared" si="1648"/>
        <v>0</v>
      </c>
      <c r="DA1355" s="61">
        <f t="shared" si="1648"/>
        <v>0</v>
      </c>
      <c r="DB1355" s="2" t="s">
        <v>86</v>
      </c>
      <c r="DC1355" s="2" t="s">
        <v>85</v>
      </c>
      <c r="DD1355" s="2" t="s">
        <v>87</v>
      </c>
      <c r="DE1355" s="2" t="s">
        <v>106</v>
      </c>
      <c r="DF1355" s="3" t="s">
        <v>86</v>
      </c>
      <c r="DG1355" s="62">
        <v>43164</v>
      </c>
      <c r="EC1355" s="60" t="str">
        <f>VLOOKUP($M1355,[1]Detail!$M:$BO,1,0)</f>
        <v>JD8T -14A280 -AB</v>
      </c>
      <c r="ED1355" s="60">
        <f>VLOOKUP($M1355,[1]Detail!$M:$BO,22,0)</f>
        <v>-151.37</v>
      </c>
      <c r="EE1355" s="60">
        <f>VLOOKUP($M1355,[1]Detail!$M:$BO,42,0)</f>
        <v>0</v>
      </c>
      <c r="EF1355" s="60">
        <f>VLOOKUP($M1355,[1]Detail!$M:$BO,45,0)</f>
        <v>0</v>
      </c>
      <c r="EH1355" s="60">
        <f t="shared" ref="EH1355:EH1358" si="1677">ED1355-AD1355</f>
        <v>0</v>
      </c>
      <c r="EI1355" s="60">
        <f t="shared" ref="EI1355:EI1358" si="1678">EE1355-AG1355</f>
        <v>0</v>
      </c>
      <c r="EJ1355" s="60">
        <f t="shared" ref="EJ1355:EJ1358" si="1679">EF1355-AJ1355</f>
        <v>0</v>
      </c>
    </row>
    <row r="1356" spans="2:140" ht="12.75" hidden="1" customHeight="1">
      <c r="B1356" s="1" t="s">
        <v>2221</v>
      </c>
      <c r="C1356" s="22" t="s">
        <v>2177</v>
      </c>
      <c r="D1356" s="149" t="s">
        <v>2178</v>
      </c>
      <c r="E1356" s="86" t="s">
        <v>1591</v>
      </c>
      <c r="F1356" s="85" t="s">
        <v>2072</v>
      </c>
      <c r="G1356" s="297" t="s">
        <v>994</v>
      </c>
      <c r="J1356" s="298" t="s">
        <v>155</v>
      </c>
      <c r="K1356" s="299" t="s">
        <v>2220</v>
      </c>
      <c r="L1356" s="3" t="s">
        <v>120</v>
      </c>
      <c r="M1356" s="51" t="str">
        <f t="shared" si="1661"/>
        <v>JD8T -14A280 -BB</v>
      </c>
      <c r="O1356" s="89">
        <v>0</v>
      </c>
      <c r="P1356" s="89">
        <v>1</v>
      </c>
      <c r="Q1356" s="89">
        <v>0</v>
      </c>
      <c r="R1356" s="89">
        <v>1</v>
      </c>
      <c r="S1356" s="89">
        <v>0</v>
      </c>
      <c r="T1356" s="89">
        <v>0</v>
      </c>
      <c r="U1356" s="89">
        <v>0</v>
      </c>
      <c r="V1356" s="89">
        <v>0</v>
      </c>
      <c r="W1356" s="164">
        <f t="shared" si="1650"/>
        <v>0.39</v>
      </c>
      <c r="Y1356" s="8">
        <f>-163.66+2.19</f>
        <v>-161.47</v>
      </c>
      <c r="Z1356" s="63">
        <v>-0.43</v>
      </c>
      <c r="AA1356" s="63">
        <v>-0.43</v>
      </c>
      <c r="AB1356" s="63"/>
      <c r="AC1356" s="63"/>
      <c r="AD1356" s="8">
        <f t="shared" si="1675"/>
        <v>-162.33000000000001</v>
      </c>
      <c r="AE1356" s="2" t="s">
        <v>84</v>
      </c>
      <c r="AG1356" s="300"/>
      <c r="AH1356" s="300"/>
      <c r="AJ1356" s="300"/>
      <c r="AK1356" s="176"/>
      <c r="AM1356" s="22"/>
      <c r="AO1356" s="298" t="s">
        <v>155</v>
      </c>
      <c r="AP1356" s="299" t="s">
        <v>2220</v>
      </c>
      <c r="AQ1356" s="3" t="s">
        <v>2182</v>
      </c>
      <c r="AR1356" s="51" t="str">
        <f t="shared" si="1566"/>
        <v>JD8T -14A280 -BA </v>
      </c>
      <c r="AS1356" s="3"/>
      <c r="AT1356" s="89">
        <v>0</v>
      </c>
      <c r="AU1356" s="89">
        <v>1</v>
      </c>
      <c r="AV1356" s="89">
        <v>0</v>
      </c>
      <c r="AW1356" s="89">
        <v>1</v>
      </c>
      <c r="AX1356" s="89">
        <v>0</v>
      </c>
      <c r="AY1356" s="89">
        <v>0</v>
      </c>
      <c r="AZ1356" s="89">
        <v>0</v>
      </c>
      <c r="BA1356" s="89">
        <v>0</v>
      </c>
      <c r="BB1356" s="164">
        <f t="shared" si="1649"/>
        <v>0.39</v>
      </c>
      <c r="BD1356" s="8">
        <v>-163.66</v>
      </c>
      <c r="BE1356" s="63">
        <v>-0.43</v>
      </c>
      <c r="BF1356" s="63">
        <v>-0.43</v>
      </c>
      <c r="BG1356" s="63"/>
      <c r="BH1356" s="63"/>
      <c r="BI1356" s="8">
        <f t="shared" si="1676"/>
        <v>-164.52</v>
      </c>
      <c r="BJ1356" s="2" t="s">
        <v>84</v>
      </c>
      <c r="BL1356" s="63"/>
      <c r="BM1356" s="63">
        <v>0</v>
      </c>
      <c r="BN1356" s="267"/>
      <c r="BO1356" s="63">
        <v>0</v>
      </c>
      <c r="BP1356" s="63">
        <v>0</v>
      </c>
      <c r="BQ1356" s="2">
        <v>0</v>
      </c>
      <c r="BS1356" s="61">
        <f t="shared" si="1663"/>
        <v>2.1899999999999977</v>
      </c>
      <c r="BT1356" s="61">
        <f t="shared" si="1664"/>
        <v>0</v>
      </c>
      <c r="BU1356" s="61">
        <f t="shared" si="1665"/>
        <v>0</v>
      </c>
      <c r="BV1356" s="61">
        <f t="shared" si="1665"/>
        <v>0</v>
      </c>
      <c r="BW1356" s="61">
        <f t="shared" si="1665"/>
        <v>0</v>
      </c>
      <c r="BX1356" s="63">
        <f t="shared" si="1665"/>
        <v>2.1899999999999977</v>
      </c>
      <c r="BY1356" s="61" t="s">
        <v>91</v>
      </c>
      <c r="CA1356" s="61">
        <f t="shared" ref="CA1356:CH1387" si="1680">($Y1356*O1356-AT1356*$BD1356)/$C$2</f>
        <v>0</v>
      </c>
      <c r="CB1356" s="61">
        <f t="shared" si="1680"/>
        <v>0.32947194222957688</v>
      </c>
      <c r="CC1356" s="61">
        <f t="shared" si="1680"/>
        <v>0</v>
      </c>
      <c r="CD1356" s="61">
        <f t="shared" si="1680"/>
        <v>0.32947194222957688</v>
      </c>
      <c r="CE1356" s="61">
        <f t="shared" si="1680"/>
        <v>0</v>
      </c>
      <c r="CF1356" s="61">
        <f t="shared" si="1680"/>
        <v>0</v>
      </c>
      <c r="CG1356" s="61">
        <f t="shared" si="1680"/>
        <v>0</v>
      </c>
      <c r="CH1356" s="61">
        <f t="shared" si="1647"/>
        <v>0</v>
      </c>
      <c r="CI1356" s="61">
        <f t="shared" si="1666"/>
        <v>0.12849405746953499</v>
      </c>
      <c r="CJ1356" s="267"/>
      <c r="CK1356" s="61">
        <f t="shared" ref="CK1356:CQ1419" si="1681">(O1356*$AD1356-AT1356*$BI1356)/$C$2</f>
        <v>0</v>
      </c>
      <c r="CL1356" s="61">
        <f t="shared" si="1681"/>
        <v>0.32947194222957688</v>
      </c>
      <c r="CM1356" s="61">
        <f t="shared" si="1681"/>
        <v>0</v>
      </c>
      <c r="CN1356" s="61">
        <f t="shared" si="1681"/>
        <v>0.32947194222957688</v>
      </c>
      <c r="CO1356" s="61">
        <f t="shared" si="1662"/>
        <v>0</v>
      </c>
      <c r="CP1356" s="61">
        <f t="shared" si="1662"/>
        <v>0</v>
      </c>
      <c r="CQ1356" s="61">
        <f t="shared" si="1662"/>
        <v>0</v>
      </c>
      <c r="CR1356" s="61">
        <f t="shared" si="1662"/>
        <v>0</v>
      </c>
      <c r="CS1356" s="61">
        <f t="shared" si="1667"/>
        <v>0.12849405746953499</v>
      </c>
      <c r="CT1356" s="63">
        <f t="shared" si="1670"/>
        <v>0.85409999999999908</v>
      </c>
      <c r="CU1356" s="73"/>
      <c r="CV1356" s="61">
        <f t="shared" si="1644"/>
        <v>0</v>
      </c>
      <c r="CW1356" s="61">
        <f t="shared" si="1668"/>
        <v>0</v>
      </c>
      <c r="CY1356" s="61">
        <f t="shared" si="1648"/>
        <v>0</v>
      </c>
      <c r="CZ1356" s="61">
        <f t="shared" si="1648"/>
        <v>0</v>
      </c>
      <c r="DA1356" s="61">
        <f t="shared" si="1648"/>
        <v>0</v>
      </c>
      <c r="DB1356" s="2" t="s">
        <v>86</v>
      </c>
      <c r="DC1356" s="2" t="s">
        <v>85</v>
      </c>
      <c r="DD1356" s="2" t="s">
        <v>87</v>
      </c>
      <c r="DE1356" s="2" t="s">
        <v>106</v>
      </c>
      <c r="DF1356" s="3" t="s">
        <v>86</v>
      </c>
      <c r="DG1356" s="62">
        <v>43164</v>
      </c>
      <c r="EC1356" s="60" t="str">
        <f>VLOOKUP($M1356,[1]Detail!$M:$BO,1,0)</f>
        <v>JD8T -14A280 -BB</v>
      </c>
      <c r="ED1356" s="60">
        <f>VLOOKUP($M1356,[1]Detail!$M:$BO,22,0)</f>
        <v>-162.33000000000001</v>
      </c>
      <c r="EE1356" s="60">
        <f>VLOOKUP($M1356,[1]Detail!$M:$BO,42,0)</f>
        <v>0</v>
      </c>
      <c r="EF1356" s="60">
        <f>VLOOKUP($M1356,[1]Detail!$M:$BO,45,0)</f>
        <v>0</v>
      </c>
      <c r="EH1356" s="60">
        <f t="shared" si="1677"/>
        <v>0</v>
      </c>
      <c r="EI1356" s="60">
        <f t="shared" si="1678"/>
        <v>0</v>
      </c>
      <c r="EJ1356" s="60">
        <f t="shared" si="1679"/>
        <v>0</v>
      </c>
    </row>
    <row r="1357" spans="2:140" ht="12.75" hidden="1" customHeight="1">
      <c r="B1357" s="1" t="s">
        <v>2221</v>
      </c>
      <c r="C1357" s="22" t="s">
        <v>2177</v>
      </c>
      <c r="D1357" s="149" t="s">
        <v>2178</v>
      </c>
      <c r="E1357" s="86" t="s">
        <v>1591</v>
      </c>
      <c r="F1357" s="85" t="s">
        <v>2072</v>
      </c>
      <c r="G1357" s="297" t="s">
        <v>994</v>
      </c>
      <c r="J1357" s="298" t="s">
        <v>155</v>
      </c>
      <c r="K1357" s="299" t="s">
        <v>2220</v>
      </c>
      <c r="L1357" s="3" t="s">
        <v>122</v>
      </c>
      <c r="M1357" s="51" t="str">
        <f t="shared" si="1661"/>
        <v>JD8T -14A280 -CB</v>
      </c>
      <c r="O1357" s="89">
        <v>0</v>
      </c>
      <c r="P1357" s="89">
        <v>0</v>
      </c>
      <c r="Q1357" s="89">
        <v>0</v>
      </c>
      <c r="R1357" s="89">
        <v>0</v>
      </c>
      <c r="S1357" s="89">
        <v>1</v>
      </c>
      <c r="T1357" s="89">
        <v>0</v>
      </c>
      <c r="U1357" s="89">
        <v>0</v>
      </c>
      <c r="V1357" s="89">
        <v>0</v>
      </c>
      <c r="W1357" s="164">
        <f t="shared" si="1650"/>
        <v>0.09</v>
      </c>
      <c r="Y1357" s="8">
        <f>-148.73-0.2</f>
        <v>-148.92999999999998</v>
      </c>
      <c r="Z1357" s="63">
        <v>-0.43</v>
      </c>
      <c r="AA1357" s="63">
        <v>-0.43</v>
      </c>
      <c r="AB1357" s="63"/>
      <c r="AC1357" s="63"/>
      <c r="AD1357" s="8">
        <f t="shared" si="1675"/>
        <v>-149.79</v>
      </c>
      <c r="AE1357" s="2" t="s">
        <v>84</v>
      </c>
      <c r="AG1357" s="300"/>
      <c r="AH1357" s="300"/>
      <c r="AJ1357" s="300"/>
      <c r="AK1357" s="176"/>
      <c r="AM1357" s="22"/>
      <c r="AO1357" s="298" t="s">
        <v>155</v>
      </c>
      <c r="AP1357" s="299" t="s">
        <v>2220</v>
      </c>
      <c r="AQ1357" s="3" t="s">
        <v>2184</v>
      </c>
      <c r="AR1357" s="51" t="str">
        <f t="shared" si="1566"/>
        <v>JD8T -14A280 -CA </v>
      </c>
      <c r="AS1357" s="3"/>
      <c r="AT1357" s="89">
        <v>0</v>
      </c>
      <c r="AU1357" s="89">
        <v>0</v>
      </c>
      <c r="AV1357" s="89">
        <v>0</v>
      </c>
      <c r="AW1357" s="89">
        <v>0</v>
      </c>
      <c r="AX1357" s="89">
        <v>1</v>
      </c>
      <c r="AY1357" s="89">
        <v>0</v>
      </c>
      <c r="AZ1357" s="89">
        <v>0</v>
      </c>
      <c r="BA1357" s="89">
        <v>0</v>
      </c>
      <c r="BB1357" s="164">
        <f t="shared" si="1649"/>
        <v>0.09</v>
      </c>
      <c r="BD1357" s="8">
        <v>-148.72999999999999</v>
      </c>
      <c r="BE1357" s="63">
        <v>-0.43</v>
      </c>
      <c r="BF1357" s="63">
        <v>-0.43</v>
      </c>
      <c r="BG1357" s="63"/>
      <c r="BH1357" s="63"/>
      <c r="BI1357" s="8">
        <f t="shared" si="1676"/>
        <v>-149.59</v>
      </c>
      <c r="BJ1357" s="2" t="s">
        <v>84</v>
      </c>
      <c r="BL1357" s="63"/>
      <c r="BM1357" s="63">
        <v>0</v>
      </c>
      <c r="BN1357" s="267"/>
      <c r="BO1357" s="63">
        <v>0</v>
      </c>
      <c r="BP1357" s="63">
        <v>0</v>
      </c>
      <c r="BQ1357" s="2">
        <v>0</v>
      </c>
      <c r="BS1357" s="61">
        <f t="shared" si="1663"/>
        <v>-0.19999999999998863</v>
      </c>
      <c r="BT1357" s="61">
        <f t="shared" si="1664"/>
        <v>0</v>
      </c>
      <c r="BU1357" s="61">
        <f t="shared" si="1665"/>
        <v>0</v>
      </c>
      <c r="BV1357" s="61">
        <f t="shared" si="1665"/>
        <v>0</v>
      </c>
      <c r="BW1357" s="61">
        <f t="shared" si="1665"/>
        <v>0</v>
      </c>
      <c r="BX1357" s="63">
        <f t="shared" si="1665"/>
        <v>-0.19999999999998863</v>
      </c>
      <c r="BY1357" s="61" t="s">
        <v>91</v>
      </c>
      <c r="CA1357" s="61">
        <f t="shared" si="1680"/>
        <v>0</v>
      </c>
      <c r="CB1357" s="61">
        <f t="shared" si="1680"/>
        <v>0</v>
      </c>
      <c r="CC1357" s="61">
        <f t="shared" si="1680"/>
        <v>0</v>
      </c>
      <c r="CD1357" s="61">
        <f t="shared" si="1680"/>
        <v>0</v>
      </c>
      <c r="CE1357" s="61">
        <f t="shared" si="1680"/>
        <v>-3.0088761847448266E-2</v>
      </c>
      <c r="CF1357" s="61">
        <f t="shared" si="1680"/>
        <v>0</v>
      </c>
      <c r="CG1357" s="61">
        <f t="shared" si="1680"/>
        <v>0</v>
      </c>
      <c r="CH1357" s="61">
        <f t="shared" si="1647"/>
        <v>0</v>
      </c>
      <c r="CI1357" s="61">
        <f t="shared" si="1666"/>
        <v>-2.7079885662703437E-3</v>
      </c>
      <c r="CJ1357" s="267"/>
      <c r="CK1357" s="61">
        <f t="shared" si="1681"/>
        <v>0</v>
      </c>
      <c r="CL1357" s="61">
        <f t="shared" si="1681"/>
        <v>0</v>
      </c>
      <c r="CM1357" s="61">
        <f t="shared" si="1681"/>
        <v>0</v>
      </c>
      <c r="CN1357" s="61">
        <f t="shared" si="1681"/>
        <v>0</v>
      </c>
      <c r="CO1357" s="61">
        <f t="shared" si="1662"/>
        <v>-3.0088761847448266E-2</v>
      </c>
      <c r="CP1357" s="61">
        <f t="shared" si="1662"/>
        <v>0</v>
      </c>
      <c r="CQ1357" s="61">
        <f t="shared" si="1662"/>
        <v>0</v>
      </c>
      <c r="CR1357" s="61">
        <f t="shared" si="1662"/>
        <v>0</v>
      </c>
      <c r="CS1357" s="61">
        <f t="shared" si="1667"/>
        <v>-2.7079885662703437E-3</v>
      </c>
      <c r="CT1357" s="63">
        <f t="shared" si="1670"/>
        <v>-1.7999999999998975E-2</v>
      </c>
      <c r="CU1357" s="73"/>
      <c r="CV1357" s="61">
        <f t="shared" si="1644"/>
        <v>0</v>
      </c>
      <c r="CW1357" s="61">
        <f t="shared" si="1668"/>
        <v>0</v>
      </c>
      <c r="CY1357" s="61">
        <f t="shared" si="1648"/>
        <v>0</v>
      </c>
      <c r="CZ1357" s="61">
        <f t="shared" si="1648"/>
        <v>0</v>
      </c>
      <c r="DA1357" s="61">
        <f t="shared" si="1648"/>
        <v>0</v>
      </c>
      <c r="DB1357" s="2" t="s">
        <v>86</v>
      </c>
      <c r="DC1357" s="2" t="s">
        <v>85</v>
      </c>
      <c r="DD1357" s="2" t="s">
        <v>87</v>
      </c>
      <c r="DE1357" s="2" t="s">
        <v>106</v>
      </c>
      <c r="DF1357" s="3" t="s">
        <v>86</v>
      </c>
      <c r="DG1357" s="62">
        <v>43164</v>
      </c>
      <c r="EC1357" s="60" t="str">
        <f>VLOOKUP($M1357,[1]Detail!$M:$BO,1,0)</f>
        <v>JD8T -14A280 -CB</v>
      </c>
      <c r="ED1357" s="60">
        <f>VLOOKUP($M1357,[1]Detail!$M:$BO,22,0)</f>
        <v>-149.79</v>
      </c>
      <c r="EE1357" s="60">
        <f>VLOOKUP($M1357,[1]Detail!$M:$BO,42,0)</f>
        <v>0</v>
      </c>
      <c r="EF1357" s="60">
        <f>VLOOKUP($M1357,[1]Detail!$M:$BO,45,0)</f>
        <v>0</v>
      </c>
      <c r="EH1357" s="60">
        <f t="shared" si="1677"/>
        <v>0</v>
      </c>
      <c r="EI1357" s="60">
        <f t="shared" si="1678"/>
        <v>0</v>
      </c>
      <c r="EJ1357" s="60">
        <f t="shared" si="1679"/>
        <v>0</v>
      </c>
    </row>
    <row r="1358" spans="2:140" ht="12.75" hidden="1" customHeight="1">
      <c r="B1358" s="1" t="s">
        <v>2221</v>
      </c>
      <c r="C1358" s="22" t="s">
        <v>2177</v>
      </c>
      <c r="D1358" s="149" t="s">
        <v>2178</v>
      </c>
      <c r="E1358" s="86" t="s">
        <v>1591</v>
      </c>
      <c r="F1358" s="85" t="s">
        <v>2072</v>
      </c>
      <c r="G1358" s="297" t="s">
        <v>994</v>
      </c>
      <c r="J1358" s="298" t="s">
        <v>155</v>
      </c>
      <c r="K1358" s="299" t="s">
        <v>2220</v>
      </c>
      <c r="L1358" s="3" t="s">
        <v>758</v>
      </c>
      <c r="M1358" s="51" t="str">
        <f t="shared" si="1661"/>
        <v>JD8T -14A280 -DB</v>
      </c>
      <c r="O1358" s="89">
        <v>0</v>
      </c>
      <c r="P1358" s="89">
        <v>0</v>
      </c>
      <c r="Q1358" s="89">
        <v>0</v>
      </c>
      <c r="R1358" s="89">
        <v>1</v>
      </c>
      <c r="S1358" s="89">
        <v>0</v>
      </c>
      <c r="T1358" s="89">
        <v>0</v>
      </c>
      <c r="U1358" s="89">
        <v>0</v>
      </c>
      <c r="V1358" s="89">
        <v>1</v>
      </c>
      <c r="W1358" s="164">
        <f t="shared" si="1650"/>
        <v>0.28000000000000003</v>
      </c>
      <c r="Y1358" s="8">
        <f>-165.32+0.27</f>
        <v>-165.04999999999998</v>
      </c>
      <c r="Z1358" s="63">
        <v>-0.43</v>
      </c>
      <c r="AA1358" s="63">
        <v>-0.43</v>
      </c>
      <c r="AB1358" s="63"/>
      <c r="AC1358" s="63"/>
      <c r="AD1358" s="8">
        <f t="shared" si="1675"/>
        <v>-165.91</v>
      </c>
      <c r="AE1358" s="2" t="s">
        <v>84</v>
      </c>
      <c r="AG1358" s="300"/>
      <c r="AH1358" s="300"/>
      <c r="AJ1358" s="300"/>
      <c r="AK1358" s="176"/>
      <c r="AM1358" s="22"/>
      <c r="AO1358" s="298" t="s">
        <v>155</v>
      </c>
      <c r="AP1358" s="299" t="s">
        <v>2220</v>
      </c>
      <c r="AQ1358" s="3" t="s">
        <v>2186</v>
      </c>
      <c r="AR1358" s="51" t="str">
        <f t="shared" si="1566"/>
        <v>JD8T -14A280 -DA </v>
      </c>
      <c r="AS1358" s="3"/>
      <c r="AT1358" s="89">
        <v>0</v>
      </c>
      <c r="AU1358" s="89">
        <v>0</v>
      </c>
      <c r="AV1358" s="89">
        <v>0</v>
      </c>
      <c r="AW1358" s="89">
        <v>1</v>
      </c>
      <c r="AX1358" s="89">
        <v>0</v>
      </c>
      <c r="AY1358" s="89">
        <v>0</v>
      </c>
      <c r="AZ1358" s="89">
        <v>0</v>
      </c>
      <c r="BA1358" s="89">
        <v>1</v>
      </c>
      <c r="BB1358" s="164">
        <f t="shared" si="1649"/>
        <v>0.28000000000000003</v>
      </c>
      <c r="BD1358" s="8">
        <v>-165.32</v>
      </c>
      <c r="BE1358" s="63">
        <v>-0.43</v>
      </c>
      <c r="BF1358" s="63">
        <v>-0.43</v>
      </c>
      <c r="BG1358" s="63"/>
      <c r="BH1358" s="63"/>
      <c r="BI1358" s="8">
        <f t="shared" si="1676"/>
        <v>-166.18</v>
      </c>
      <c r="BJ1358" s="2" t="s">
        <v>84</v>
      </c>
      <c r="BL1358" s="63"/>
      <c r="BM1358" s="63">
        <v>0</v>
      </c>
      <c r="BN1358" s="267"/>
      <c r="BO1358" s="63">
        <v>0</v>
      </c>
      <c r="BP1358" s="63">
        <v>0</v>
      </c>
      <c r="BQ1358" s="2">
        <v>0</v>
      </c>
      <c r="BS1358" s="61">
        <f t="shared" si="1663"/>
        <v>0.27000000000001023</v>
      </c>
      <c r="BT1358" s="61">
        <f t="shared" si="1664"/>
        <v>0</v>
      </c>
      <c r="BU1358" s="61">
        <f t="shared" si="1665"/>
        <v>0</v>
      </c>
      <c r="BV1358" s="61">
        <f t="shared" si="1665"/>
        <v>0</v>
      </c>
      <c r="BW1358" s="61">
        <f t="shared" si="1665"/>
        <v>0</v>
      </c>
      <c r="BX1358" s="63">
        <f t="shared" si="1665"/>
        <v>0.27000000000001023</v>
      </c>
      <c r="BY1358" s="61" t="s">
        <v>91</v>
      </c>
      <c r="CA1358" s="61">
        <f t="shared" si="1680"/>
        <v>0</v>
      </c>
      <c r="CB1358" s="61">
        <f t="shared" si="1680"/>
        <v>0</v>
      </c>
      <c r="CC1358" s="61">
        <f t="shared" si="1680"/>
        <v>0</v>
      </c>
      <c r="CD1358" s="61">
        <f t="shared" si="1680"/>
        <v>4.0619828494059006E-2</v>
      </c>
      <c r="CE1358" s="61">
        <f t="shared" si="1680"/>
        <v>0</v>
      </c>
      <c r="CF1358" s="61">
        <f t="shared" si="1680"/>
        <v>0</v>
      </c>
      <c r="CG1358" s="61">
        <f t="shared" si="1680"/>
        <v>0</v>
      </c>
      <c r="CH1358" s="61">
        <f t="shared" si="1647"/>
        <v>4.0619828494059006E-2</v>
      </c>
      <c r="CI1358" s="61">
        <f t="shared" si="1666"/>
        <v>1.1373551978336522E-2</v>
      </c>
      <c r="CJ1358" s="267"/>
      <c r="CK1358" s="61">
        <f t="shared" si="1681"/>
        <v>0</v>
      </c>
      <c r="CL1358" s="61">
        <f t="shared" si="1681"/>
        <v>0</v>
      </c>
      <c r="CM1358" s="61">
        <f t="shared" si="1681"/>
        <v>0</v>
      </c>
      <c r="CN1358" s="61">
        <f t="shared" si="1681"/>
        <v>4.0619828494059006E-2</v>
      </c>
      <c r="CO1358" s="61">
        <f t="shared" si="1662"/>
        <v>0</v>
      </c>
      <c r="CP1358" s="61">
        <f t="shared" si="1662"/>
        <v>0</v>
      </c>
      <c r="CQ1358" s="61">
        <f t="shared" si="1662"/>
        <v>0</v>
      </c>
      <c r="CR1358" s="61">
        <f t="shared" si="1662"/>
        <v>4.0619828494059006E-2</v>
      </c>
      <c r="CS1358" s="61">
        <f t="shared" si="1667"/>
        <v>1.1373551978336522E-2</v>
      </c>
      <c r="CT1358" s="63">
        <f t="shared" si="1670"/>
        <v>7.5600000000002859E-2</v>
      </c>
      <c r="CU1358" s="73"/>
      <c r="CV1358" s="61">
        <f t="shared" si="1644"/>
        <v>0</v>
      </c>
      <c r="CW1358" s="61">
        <f t="shared" si="1668"/>
        <v>0</v>
      </c>
      <c r="CY1358" s="61">
        <f t="shared" si="1648"/>
        <v>0</v>
      </c>
      <c r="CZ1358" s="61">
        <f t="shared" si="1648"/>
        <v>0</v>
      </c>
      <c r="DA1358" s="61">
        <f t="shared" si="1648"/>
        <v>0</v>
      </c>
      <c r="DB1358" s="2" t="s">
        <v>86</v>
      </c>
      <c r="DC1358" s="2" t="s">
        <v>85</v>
      </c>
      <c r="DD1358" s="2" t="s">
        <v>87</v>
      </c>
      <c r="DE1358" s="2" t="s">
        <v>106</v>
      </c>
      <c r="DF1358" s="3" t="s">
        <v>86</v>
      </c>
      <c r="DG1358" s="62">
        <v>43164</v>
      </c>
      <c r="EC1358" s="60" t="str">
        <f>VLOOKUP($M1358,[1]Detail!$M:$BO,1,0)</f>
        <v>JD8T -14A280 -DB</v>
      </c>
      <c r="ED1358" s="60">
        <f>VLOOKUP($M1358,[1]Detail!$M:$BO,22,0)</f>
        <v>-165.91</v>
      </c>
      <c r="EE1358" s="60">
        <f>VLOOKUP($M1358,[1]Detail!$M:$BO,42,0)</f>
        <v>0</v>
      </c>
      <c r="EF1358" s="60">
        <f>VLOOKUP($M1358,[1]Detail!$M:$BO,45,0)</f>
        <v>0</v>
      </c>
      <c r="EH1358" s="60">
        <f t="shared" si="1677"/>
        <v>0</v>
      </c>
      <c r="EI1358" s="60">
        <f t="shared" si="1678"/>
        <v>0</v>
      </c>
      <c r="EJ1358" s="60">
        <f t="shared" si="1679"/>
        <v>0</v>
      </c>
    </row>
    <row r="1359" spans="2:140" s="321" customFormat="1" ht="12.75" hidden="1" customHeight="1">
      <c r="B1359" s="315" t="s">
        <v>2176</v>
      </c>
      <c r="C1359" s="316" t="s">
        <v>2177</v>
      </c>
      <c r="D1359" s="317" t="s">
        <v>2178</v>
      </c>
      <c r="E1359" s="318" t="s">
        <v>1591</v>
      </c>
      <c r="F1359" s="319" t="s">
        <v>2072</v>
      </c>
      <c r="G1359" s="320" t="s">
        <v>994</v>
      </c>
      <c r="J1359" s="322" t="s">
        <v>155</v>
      </c>
      <c r="K1359" s="323" t="s">
        <v>2222</v>
      </c>
      <c r="L1359" s="324" t="s">
        <v>769</v>
      </c>
      <c r="M1359" s="325" t="str">
        <f t="shared" si="1661"/>
        <v>JD8T -14A584 -AA </v>
      </c>
      <c r="N1359" s="324"/>
      <c r="O1359" s="326">
        <v>1</v>
      </c>
      <c r="P1359" s="326">
        <v>1</v>
      </c>
      <c r="Q1359" s="326">
        <v>0</v>
      </c>
      <c r="R1359" s="326">
        <v>0</v>
      </c>
      <c r="S1359" s="326">
        <v>0</v>
      </c>
      <c r="T1359" s="326">
        <v>0</v>
      </c>
      <c r="U1359" s="326">
        <v>0</v>
      </c>
      <c r="V1359" s="326">
        <v>0</v>
      </c>
      <c r="W1359" s="327">
        <f t="shared" si="1650"/>
        <v>0.30000000000000004</v>
      </c>
      <c r="Y1359" s="328">
        <v>-68.63</v>
      </c>
      <c r="Z1359" s="329">
        <v>-0.47</v>
      </c>
      <c r="AA1359" s="329">
        <v>-0.14000000000000001</v>
      </c>
      <c r="AB1359" s="329"/>
      <c r="AC1359" s="329"/>
      <c r="AD1359" s="328">
        <f t="shared" si="1645"/>
        <v>-69.239999999999995</v>
      </c>
      <c r="AE1359" s="321" t="s">
        <v>84</v>
      </c>
      <c r="AG1359" s="330"/>
      <c r="AH1359" s="330"/>
      <c r="AJ1359" s="330"/>
      <c r="AK1359" s="331"/>
      <c r="AM1359" s="316"/>
      <c r="AO1359" s="322" t="s">
        <v>1735</v>
      </c>
      <c r="AP1359" s="320" t="s">
        <v>2222</v>
      </c>
      <c r="AQ1359" s="324" t="s">
        <v>2223</v>
      </c>
      <c r="AR1359" s="332" t="str">
        <f t="shared" si="1566"/>
        <v>ED8T -14A584 -AE </v>
      </c>
      <c r="AT1359" s="326">
        <v>1</v>
      </c>
      <c r="AU1359" s="326">
        <v>1</v>
      </c>
      <c r="AV1359" s="326">
        <v>0</v>
      </c>
      <c r="AW1359" s="326">
        <v>0</v>
      </c>
      <c r="AX1359" s="326">
        <v>0</v>
      </c>
      <c r="AY1359" s="326">
        <v>0</v>
      </c>
      <c r="AZ1359" s="326">
        <v>0</v>
      </c>
      <c r="BA1359" s="326">
        <v>0</v>
      </c>
      <c r="BB1359" s="326">
        <f t="shared" si="1649"/>
        <v>0.30000000000000004</v>
      </c>
      <c r="BD1359" s="337">
        <v>-56.42</v>
      </c>
      <c r="BE1359" s="329">
        <v>-0.47</v>
      </c>
      <c r="BF1359" s="329">
        <v>-0.14000000000000001</v>
      </c>
      <c r="BG1359" s="329">
        <v>0</v>
      </c>
      <c r="BH1359" s="329">
        <v>0</v>
      </c>
      <c r="BI1359" s="328">
        <f t="shared" si="1669"/>
        <v>-57.03</v>
      </c>
      <c r="BJ1359" s="321" t="s">
        <v>84</v>
      </c>
      <c r="BL1359" s="329"/>
      <c r="BM1359" s="329">
        <v>0</v>
      </c>
      <c r="BN1359" s="333"/>
      <c r="BO1359" s="329">
        <v>0</v>
      </c>
      <c r="BP1359" s="329">
        <v>0</v>
      </c>
      <c r="BQ1359" s="321">
        <v>0</v>
      </c>
      <c r="BS1359" s="170">
        <f t="shared" si="1663"/>
        <v>-12.209999999999994</v>
      </c>
      <c r="BT1359" s="170">
        <f t="shared" si="1664"/>
        <v>0</v>
      </c>
      <c r="BU1359" s="170">
        <f t="shared" si="1665"/>
        <v>0</v>
      </c>
      <c r="BV1359" s="170">
        <f t="shared" si="1665"/>
        <v>0</v>
      </c>
      <c r="BW1359" s="170">
        <f t="shared" si="1665"/>
        <v>0</v>
      </c>
      <c r="BX1359" s="338">
        <f t="shared" si="1665"/>
        <v>-12.209999999999994</v>
      </c>
      <c r="BY1359" s="170" t="s">
        <v>91</v>
      </c>
      <c r="BZ1359" s="339"/>
      <c r="CA1359" s="170">
        <f t="shared" si="1680"/>
        <v>-1.83691891078682</v>
      </c>
      <c r="CB1359" s="170">
        <f t="shared" si="1680"/>
        <v>-1.83691891078682</v>
      </c>
      <c r="CC1359" s="170">
        <f t="shared" si="1680"/>
        <v>0</v>
      </c>
      <c r="CD1359" s="170">
        <f t="shared" si="1680"/>
        <v>0</v>
      </c>
      <c r="CE1359" s="170">
        <f t="shared" si="1680"/>
        <v>0</v>
      </c>
      <c r="CF1359" s="170">
        <f t="shared" si="1680"/>
        <v>0</v>
      </c>
      <c r="CG1359" s="170">
        <f t="shared" si="1680"/>
        <v>0</v>
      </c>
      <c r="CH1359" s="170">
        <f t="shared" si="1647"/>
        <v>0</v>
      </c>
      <c r="CI1359" s="170">
        <f t="shared" si="1666"/>
        <v>-0.551075673236046</v>
      </c>
      <c r="CJ1359" s="340"/>
      <c r="CK1359" s="170">
        <f t="shared" si="1681"/>
        <v>-1.83691891078682</v>
      </c>
      <c r="CL1359" s="170">
        <f t="shared" si="1681"/>
        <v>-1.83691891078682</v>
      </c>
      <c r="CM1359" s="170">
        <f t="shared" si="1681"/>
        <v>0</v>
      </c>
      <c r="CN1359" s="170">
        <f t="shared" si="1681"/>
        <v>0</v>
      </c>
      <c r="CO1359" s="170">
        <f t="shared" si="1662"/>
        <v>0</v>
      </c>
      <c r="CP1359" s="170">
        <f t="shared" si="1662"/>
        <v>0</v>
      </c>
      <c r="CQ1359" s="170">
        <f t="shared" si="1662"/>
        <v>0</v>
      </c>
      <c r="CR1359" s="170">
        <f t="shared" si="1662"/>
        <v>0</v>
      </c>
      <c r="CS1359" s="170">
        <f t="shared" si="1667"/>
        <v>-0.551075673236046</v>
      </c>
      <c r="CT1359" s="338">
        <f t="shared" si="1670"/>
        <v>-3.662999999999998</v>
      </c>
      <c r="CU1359" s="341"/>
      <c r="CV1359" s="170">
        <f t="shared" si="1644"/>
        <v>0</v>
      </c>
      <c r="CW1359" s="170">
        <f t="shared" si="1668"/>
        <v>0</v>
      </c>
      <c r="CX1359" s="339"/>
      <c r="CY1359" s="170">
        <f t="shared" si="1648"/>
        <v>0</v>
      </c>
      <c r="CZ1359" s="170">
        <f t="shared" si="1648"/>
        <v>0</v>
      </c>
      <c r="DA1359" s="170">
        <f t="shared" si="1648"/>
        <v>0</v>
      </c>
      <c r="DB1359" s="321" t="s">
        <v>85</v>
      </c>
      <c r="DC1359" s="321" t="s">
        <v>86</v>
      </c>
      <c r="DD1359" s="321" t="s">
        <v>87</v>
      </c>
      <c r="DE1359" s="321" t="s">
        <v>106</v>
      </c>
      <c r="DF1359" s="324" t="s">
        <v>86</v>
      </c>
      <c r="DG1359" s="336">
        <v>43111</v>
      </c>
      <c r="DZ1359" s="324"/>
      <c r="EC1359" s="337"/>
      <c r="ED1359" s="337"/>
      <c r="EE1359" s="337"/>
      <c r="EF1359" s="337"/>
    </row>
    <row r="1360" spans="2:140" s="339" customFormat="1" ht="12.75" hidden="1" customHeight="1">
      <c r="B1360" s="342" t="s">
        <v>2224</v>
      </c>
      <c r="C1360" s="343" t="s">
        <v>2177</v>
      </c>
      <c r="D1360" s="344" t="s">
        <v>2178</v>
      </c>
      <c r="E1360" s="345" t="s">
        <v>1591</v>
      </c>
      <c r="F1360" s="346" t="s">
        <v>2072</v>
      </c>
      <c r="G1360" s="347" t="s">
        <v>994</v>
      </c>
      <c r="J1360" s="348" t="s">
        <v>155</v>
      </c>
      <c r="K1360" s="349" t="s">
        <v>2222</v>
      </c>
      <c r="L1360" s="350" t="s">
        <v>132</v>
      </c>
      <c r="M1360" s="351" t="str">
        <f t="shared" si="1661"/>
        <v>JD8T -14A584 -AB</v>
      </c>
      <c r="N1360" s="350"/>
      <c r="O1360" s="352">
        <v>1</v>
      </c>
      <c r="P1360" s="352">
        <v>1</v>
      </c>
      <c r="Q1360" s="352">
        <v>0</v>
      </c>
      <c r="R1360" s="352">
        <v>0</v>
      </c>
      <c r="S1360" s="352">
        <v>0</v>
      </c>
      <c r="T1360" s="352">
        <v>0</v>
      </c>
      <c r="U1360" s="352">
        <v>0</v>
      </c>
      <c r="V1360" s="352">
        <v>0</v>
      </c>
      <c r="W1360" s="353">
        <f t="shared" si="1650"/>
        <v>0.30000000000000004</v>
      </c>
      <c r="Y1360" s="354">
        <v>-69.569999999999993</v>
      </c>
      <c r="Z1360" s="338">
        <v>-0.47</v>
      </c>
      <c r="AA1360" s="338">
        <v>-0.14000000000000001</v>
      </c>
      <c r="AB1360" s="338"/>
      <c r="AC1360" s="338"/>
      <c r="AD1360" s="354">
        <f>SUM(Y1360:AC1360)</f>
        <v>-70.179999999999993</v>
      </c>
      <c r="AE1360" s="339" t="s">
        <v>84</v>
      </c>
      <c r="AG1360" s="355"/>
      <c r="AH1360" s="355"/>
      <c r="AJ1360" s="355"/>
      <c r="AK1360" s="356"/>
      <c r="AM1360" s="343"/>
      <c r="AO1360" s="348" t="s">
        <v>155</v>
      </c>
      <c r="AP1360" s="349" t="s">
        <v>2222</v>
      </c>
      <c r="AQ1360" s="350" t="s">
        <v>769</v>
      </c>
      <c r="AR1360" s="351" t="str">
        <f t="shared" si="1566"/>
        <v>JD8T -14A584 -AA </v>
      </c>
      <c r="AS1360" s="350"/>
      <c r="AT1360" s="352">
        <v>1</v>
      </c>
      <c r="AU1360" s="352">
        <v>1</v>
      </c>
      <c r="AV1360" s="352">
        <v>0</v>
      </c>
      <c r="AW1360" s="352">
        <v>0</v>
      </c>
      <c r="AX1360" s="352">
        <v>0</v>
      </c>
      <c r="AY1360" s="352">
        <v>0</v>
      </c>
      <c r="AZ1360" s="352">
        <v>0</v>
      </c>
      <c r="BA1360" s="352">
        <v>0</v>
      </c>
      <c r="BB1360" s="353">
        <f t="shared" si="1649"/>
        <v>0.30000000000000004</v>
      </c>
      <c r="BD1360" s="354">
        <v>-68.63</v>
      </c>
      <c r="BE1360" s="338">
        <v>-0.47</v>
      </c>
      <c r="BF1360" s="338">
        <v>-0.14000000000000001</v>
      </c>
      <c r="BG1360" s="338"/>
      <c r="BH1360" s="338"/>
      <c r="BI1360" s="354">
        <f t="shared" si="1669"/>
        <v>-69.239999999999995</v>
      </c>
      <c r="BJ1360" s="339" t="s">
        <v>84</v>
      </c>
      <c r="BL1360" s="355"/>
      <c r="BM1360" s="355"/>
      <c r="BO1360" s="355"/>
      <c r="BP1360" s="356"/>
      <c r="BS1360" s="170">
        <f t="shared" ref="BS1360:BS1363" si="1682">SUM(Y1360)-SUM(BD1360)</f>
        <v>-0.93999999999999773</v>
      </c>
      <c r="BT1360" s="170">
        <f t="shared" ref="BT1360:BT1363" si="1683">SUM(Z1360)-SUM(BE1360)</f>
        <v>0</v>
      </c>
      <c r="BU1360" s="170">
        <f t="shared" ref="BU1360:BX1375" si="1684">SUM(AA1360)-SUM(BF1360)</f>
        <v>0</v>
      </c>
      <c r="BV1360" s="170">
        <f t="shared" si="1684"/>
        <v>0</v>
      </c>
      <c r="BW1360" s="170">
        <f t="shared" si="1684"/>
        <v>0</v>
      </c>
      <c r="BX1360" s="338">
        <f t="shared" si="1684"/>
        <v>-0.93999999999999773</v>
      </c>
      <c r="BY1360" s="170" t="s">
        <v>91</v>
      </c>
      <c r="CA1360" s="170">
        <f t="shared" si="1680"/>
        <v>-0.14141718068301454</v>
      </c>
      <c r="CB1360" s="170">
        <f t="shared" si="1680"/>
        <v>-0.14141718068301454</v>
      </c>
      <c r="CC1360" s="170">
        <f t="shared" si="1680"/>
        <v>0</v>
      </c>
      <c r="CD1360" s="170">
        <f t="shared" si="1680"/>
        <v>0</v>
      </c>
      <c r="CE1360" s="170">
        <f t="shared" si="1680"/>
        <v>0</v>
      </c>
      <c r="CF1360" s="170">
        <f t="shared" si="1680"/>
        <v>0</v>
      </c>
      <c r="CG1360" s="170">
        <f t="shared" si="1680"/>
        <v>0</v>
      </c>
      <c r="CH1360" s="170">
        <f t="shared" si="1647"/>
        <v>0</v>
      </c>
      <c r="CI1360" s="170">
        <f t="shared" si="1666"/>
        <v>-4.2425154204904364E-2</v>
      </c>
      <c r="CJ1360" s="340"/>
      <c r="CK1360" s="170">
        <f t="shared" si="1681"/>
        <v>-0.14141718068301454</v>
      </c>
      <c r="CL1360" s="170">
        <f t="shared" si="1681"/>
        <v>-0.14141718068301454</v>
      </c>
      <c r="CM1360" s="170">
        <f t="shared" si="1681"/>
        <v>0</v>
      </c>
      <c r="CN1360" s="170">
        <f t="shared" si="1681"/>
        <v>0</v>
      </c>
      <c r="CO1360" s="170">
        <f t="shared" si="1662"/>
        <v>0</v>
      </c>
      <c r="CP1360" s="170">
        <f t="shared" si="1662"/>
        <v>0</v>
      </c>
      <c r="CQ1360" s="170">
        <f t="shared" si="1662"/>
        <v>0</v>
      </c>
      <c r="CR1360" s="170">
        <f t="shared" si="1662"/>
        <v>0</v>
      </c>
      <c r="CS1360" s="170">
        <f t="shared" si="1667"/>
        <v>-4.2425154204904364E-2</v>
      </c>
      <c r="CT1360" s="338">
        <f t="shared" si="1670"/>
        <v>-0.28199999999999931</v>
      </c>
      <c r="CU1360" s="341"/>
      <c r="CV1360" s="170">
        <f t="shared" ref="CV1360:CW1364" si="1685">SUM(AG1360)-SUM(BL1360)</f>
        <v>0</v>
      </c>
      <c r="CW1360" s="170">
        <f t="shared" si="1685"/>
        <v>0</v>
      </c>
      <c r="CY1360" s="170">
        <f t="shared" si="1648"/>
        <v>0</v>
      </c>
      <c r="CZ1360" s="170">
        <f t="shared" si="1648"/>
        <v>0</v>
      </c>
      <c r="DA1360" s="170">
        <f t="shared" si="1648"/>
        <v>0</v>
      </c>
      <c r="DB1360" s="339" t="s">
        <v>86</v>
      </c>
      <c r="DC1360" s="339" t="s">
        <v>85</v>
      </c>
      <c r="DD1360" s="339" t="s">
        <v>87</v>
      </c>
      <c r="DE1360" s="339" t="s">
        <v>1439</v>
      </c>
      <c r="DF1360" s="350"/>
      <c r="DG1360" s="357"/>
      <c r="DZ1360" s="350"/>
      <c r="EC1360" s="167" t="str">
        <f>VLOOKUP($M1360,[1]Detail!$M:$BO,1,0)</f>
        <v>JD8T -14A584 -AB</v>
      </c>
      <c r="ED1360" s="167">
        <f>VLOOKUP($M1360,[1]Detail!$M:$BO,22,0)</f>
        <v>-70.179999999999993</v>
      </c>
      <c r="EE1360" s="167">
        <f>VLOOKUP($M1360,[1]Detail!$M:$BO,42,0)</f>
        <v>0</v>
      </c>
      <c r="EF1360" s="167">
        <f>VLOOKUP($M1360,[1]Detail!$M:$BO,45,0)</f>
        <v>0</v>
      </c>
      <c r="EH1360" s="167">
        <f t="shared" ref="EH1360" si="1686">ED1360-AD1360</f>
        <v>0</v>
      </c>
      <c r="EI1360" s="167">
        <f t="shared" ref="EI1360" si="1687">EE1360-AG1360</f>
        <v>0</v>
      </c>
      <c r="EJ1360" s="167">
        <f t="shared" ref="EJ1360" si="1688">EF1360-AJ1360</f>
        <v>0</v>
      </c>
    </row>
    <row r="1361" spans="2:140" s="321" customFormat="1" ht="12.75" hidden="1" customHeight="1">
      <c r="B1361" s="315" t="s">
        <v>2176</v>
      </c>
      <c r="C1361" s="316" t="s">
        <v>2177</v>
      </c>
      <c r="D1361" s="317" t="s">
        <v>2178</v>
      </c>
      <c r="E1361" s="318" t="s">
        <v>1591</v>
      </c>
      <c r="F1361" s="319" t="s">
        <v>2072</v>
      </c>
      <c r="G1361" s="320" t="s">
        <v>994</v>
      </c>
      <c r="J1361" s="322" t="s">
        <v>155</v>
      </c>
      <c r="K1361" s="323" t="s">
        <v>2222</v>
      </c>
      <c r="L1361" s="324" t="s">
        <v>2182</v>
      </c>
      <c r="M1361" s="325" t="str">
        <f t="shared" si="1661"/>
        <v>JD8T -14A584 -BA </v>
      </c>
      <c r="N1361" s="324"/>
      <c r="O1361" s="326">
        <v>0</v>
      </c>
      <c r="P1361" s="326">
        <v>0</v>
      </c>
      <c r="Q1361" s="326">
        <v>1</v>
      </c>
      <c r="R1361" s="326">
        <v>1</v>
      </c>
      <c r="S1361" s="326">
        <v>1</v>
      </c>
      <c r="T1361" s="326">
        <v>1</v>
      </c>
      <c r="U1361" s="326">
        <v>0</v>
      </c>
      <c r="V1361" s="326">
        <v>0</v>
      </c>
      <c r="W1361" s="327">
        <f t="shared" si="1650"/>
        <v>0.6</v>
      </c>
      <c r="Y1361" s="328">
        <v>-69.63</v>
      </c>
      <c r="Z1361" s="329">
        <v>-0.47</v>
      </c>
      <c r="AA1361" s="329">
        <v>-0.14000000000000001</v>
      </c>
      <c r="AB1361" s="329"/>
      <c r="AC1361" s="329"/>
      <c r="AD1361" s="328">
        <f t="shared" si="1645"/>
        <v>-70.239999999999995</v>
      </c>
      <c r="AE1361" s="321" t="s">
        <v>84</v>
      </c>
      <c r="AG1361" s="330">
        <f>W1361*AD1361</f>
        <v>-42.143999999999998</v>
      </c>
      <c r="AH1361" s="330"/>
      <c r="AJ1361" s="330"/>
      <c r="AK1361" s="331"/>
      <c r="AM1361" s="316"/>
      <c r="AO1361" s="322" t="s">
        <v>1735</v>
      </c>
      <c r="AP1361" s="320" t="s">
        <v>2222</v>
      </c>
      <c r="AQ1361" s="324" t="s">
        <v>2223</v>
      </c>
      <c r="AR1361" s="332" t="str">
        <f t="shared" si="1566"/>
        <v>ED8T -14A584 -AE </v>
      </c>
      <c r="AT1361" s="326">
        <v>0</v>
      </c>
      <c r="AU1361" s="326">
        <v>0</v>
      </c>
      <c r="AV1361" s="326">
        <v>1</v>
      </c>
      <c r="AW1361" s="326">
        <v>1</v>
      </c>
      <c r="AX1361" s="326">
        <v>1</v>
      </c>
      <c r="AY1361" s="326">
        <v>1</v>
      </c>
      <c r="AZ1361" s="326">
        <v>0</v>
      </c>
      <c r="BA1361" s="326">
        <v>0</v>
      </c>
      <c r="BB1361" s="326">
        <f t="shared" si="1649"/>
        <v>0.6</v>
      </c>
      <c r="BD1361" s="337">
        <v>-56.42</v>
      </c>
      <c r="BE1361" s="329">
        <v>-0.47</v>
      </c>
      <c r="BF1361" s="329">
        <v>-0.14000000000000001</v>
      </c>
      <c r="BG1361" s="329">
        <v>0</v>
      </c>
      <c r="BH1361" s="329">
        <v>0</v>
      </c>
      <c r="BI1361" s="328">
        <f t="shared" si="1669"/>
        <v>-57.03</v>
      </c>
      <c r="BJ1361" s="321" t="s">
        <v>84</v>
      </c>
      <c r="BL1361" s="329"/>
      <c r="BM1361" s="329">
        <v>0</v>
      </c>
      <c r="BN1361" s="333"/>
      <c r="BO1361" s="329">
        <v>0</v>
      </c>
      <c r="BP1361" s="329">
        <v>0</v>
      </c>
      <c r="BQ1361" s="321">
        <v>0</v>
      </c>
      <c r="BS1361" s="170">
        <f t="shared" si="1682"/>
        <v>-13.209999999999994</v>
      </c>
      <c r="BT1361" s="170">
        <f t="shared" si="1683"/>
        <v>0</v>
      </c>
      <c r="BU1361" s="170">
        <f t="shared" si="1684"/>
        <v>0</v>
      </c>
      <c r="BV1361" s="170">
        <f t="shared" si="1684"/>
        <v>0</v>
      </c>
      <c r="BW1361" s="170">
        <f t="shared" si="1684"/>
        <v>0</v>
      </c>
      <c r="BX1361" s="338">
        <f t="shared" si="1684"/>
        <v>-13.209999999999994</v>
      </c>
      <c r="BY1361" s="170" t="s">
        <v>91</v>
      </c>
      <c r="BZ1361" s="339"/>
      <c r="CA1361" s="170">
        <f t="shared" si="1680"/>
        <v>0</v>
      </c>
      <c r="CB1361" s="170">
        <f t="shared" si="1680"/>
        <v>0</v>
      </c>
      <c r="CC1361" s="170">
        <f t="shared" si="1680"/>
        <v>-1.98736272002407</v>
      </c>
      <c r="CD1361" s="170">
        <f t="shared" si="1680"/>
        <v>-1.98736272002407</v>
      </c>
      <c r="CE1361" s="170">
        <f t="shared" si="1680"/>
        <v>-1.98736272002407</v>
      </c>
      <c r="CF1361" s="170">
        <f t="shared" si="1680"/>
        <v>-1.98736272002407</v>
      </c>
      <c r="CG1361" s="170">
        <f t="shared" si="1680"/>
        <v>0</v>
      </c>
      <c r="CH1361" s="170">
        <f t="shared" si="1647"/>
        <v>0</v>
      </c>
      <c r="CI1361" s="170">
        <f t="shared" si="1666"/>
        <v>-1.192417632014442</v>
      </c>
      <c r="CJ1361" s="340"/>
      <c r="CK1361" s="170">
        <f t="shared" si="1681"/>
        <v>0</v>
      </c>
      <c r="CL1361" s="170">
        <f t="shared" si="1681"/>
        <v>0</v>
      </c>
      <c r="CM1361" s="170">
        <f t="shared" si="1681"/>
        <v>-1.98736272002407</v>
      </c>
      <c r="CN1361" s="170">
        <f t="shared" si="1681"/>
        <v>-1.98736272002407</v>
      </c>
      <c r="CO1361" s="170">
        <f t="shared" si="1662"/>
        <v>-1.98736272002407</v>
      </c>
      <c r="CP1361" s="170">
        <f t="shared" si="1662"/>
        <v>-1.98736272002407</v>
      </c>
      <c r="CQ1361" s="170">
        <f t="shared" si="1662"/>
        <v>0</v>
      </c>
      <c r="CR1361" s="170">
        <f t="shared" si="1662"/>
        <v>0</v>
      </c>
      <c r="CS1361" s="170">
        <f t="shared" si="1667"/>
        <v>-1.192417632014442</v>
      </c>
      <c r="CT1361" s="338">
        <f t="shared" si="1670"/>
        <v>-7.9259999999999957</v>
      </c>
      <c r="CU1361" s="341"/>
      <c r="CV1361" s="170">
        <f t="shared" si="1685"/>
        <v>-42.143999999999998</v>
      </c>
      <c r="CW1361" s="170">
        <f t="shared" si="1685"/>
        <v>0</v>
      </c>
      <c r="CX1361" s="339"/>
      <c r="CY1361" s="170">
        <f t="shared" si="1648"/>
        <v>0</v>
      </c>
      <c r="CZ1361" s="170">
        <f t="shared" si="1648"/>
        <v>0</v>
      </c>
      <c r="DA1361" s="170">
        <f t="shared" si="1648"/>
        <v>0</v>
      </c>
      <c r="DB1361" s="321" t="s">
        <v>85</v>
      </c>
      <c r="DC1361" s="321" t="s">
        <v>85</v>
      </c>
      <c r="DD1361" s="321" t="s">
        <v>87</v>
      </c>
      <c r="DE1361" s="321" t="s">
        <v>106</v>
      </c>
      <c r="DF1361" s="324" t="s">
        <v>86</v>
      </c>
      <c r="DG1361" s="336">
        <v>43111</v>
      </c>
      <c r="DZ1361" s="324"/>
      <c r="EC1361" s="337"/>
      <c r="ED1361" s="337"/>
      <c r="EE1361" s="337"/>
      <c r="EF1361" s="337"/>
      <c r="EH1361" s="337"/>
      <c r="EI1361" s="337"/>
      <c r="EJ1361" s="337"/>
    </row>
    <row r="1362" spans="2:140" s="321" customFormat="1" ht="12.75" hidden="1" customHeight="1">
      <c r="B1362" s="315" t="s">
        <v>2176</v>
      </c>
      <c r="C1362" s="316" t="s">
        <v>2177</v>
      </c>
      <c r="D1362" s="317" t="s">
        <v>2178</v>
      </c>
      <c r="E1362" s="318" t="s">
        <v>1591</v>
      </c>
      <c r="F1362" s="319" t="s">
        <v>2072</v>
      </c>
      <c r="G1362" s="320" t="s">
        <v>994</v>
      </c>
      <c r="J1362" s="322" t="s">
        <v>155</v>
      </c>
      <c r="K1362" s="323" t="s">
        <v>2222</v>
      </c>
      <c r="L1362" s="324" t="s">
        <v>2184</v>
      </c>
      <c r="M1362" s="325" t="str">
        <f t="shared" si="1661"/>
        <v>JD8T -14A584 -CA </v>
      </c>
      <c r="N1362" s="324"/>
      <c r="O1362" s="326">
        <v>0</v>
      </c>
      <c r="P1362" s="326">
        <v>0</v>
      </c>
      <c r="Q1362" s="326">
        <v>0</v>
      </c>
      <c r="R1362" s="326">
        <v>0</v>
      </c>
      <c r="S1362" s="326">
        <v>0</v>
      </c>
      <c r="T1362" s="326">
        <v>0</v>
      </c>
      <c r="U1362" s="326">
        <v>1</v>
      </c>
      <c r="V1362" s="326">
        <v>1</v>
      </c>
      <c r="W1362" s="327">
        <f t="shared" si="1650"/>
        <v>0.1</v>
      </c>
      <c r="Y1362" s="328">
        <v>-96.71</v>
      </c>
      <c r="Z1362" s="329">
        <v>-0.47</v>
      </c>
      <c r="AA1362" s="329">
        <v>-0.14000000000000001</v>
      </c>
      <c r="AB1362" s="329"/>
      <c r="AC1362" s="329"/>
      <c r="AD1362" s="328">
        <f t="shared" si="1645"/>
        <v>-97.32</v>
      </c>
      <c r="AE1362" s="321" t="s">
        <v>84</v>
      </c>
      <c r="AG1362" s="330"/>
      <c r="AH1362" s="330"/>
      <c r="AJ1362" s="330"/>
      <c r="AK1362" s="331"/>
      <c r="AM1362" s="316"/>
      <c r="AO1362" s="322" t="s">
        <v>1735</v>
      </c>
      <c r="AP1362" s="320" t="s">
        <v>2222</v>
      </c>
      <c r="AQ1362" s="324" t="s">
        <v>2223</v>
      </c>
      <c r="AR1362" s="332" t="str">
        <f t="shared" si="1566"/>
        <v>ED8T -14A584 -AE </v>
      </c>
      <c r="AT1362" s="326">
        <v>0</v>
      </c>
      <c r="AU1362" s="326">
        <v>0</v>
      </c>
      <c r="AV1362" s="326">
        <v>0</v>
      </c>
      <c r="AW1362" s="326">
        <v>0</v>
      </c>
      <c r="AX1362" s="326">
        <v>0</v>
      </c>
      <c r="AY1362" s="326">
        <v>0</v>
      </c>
      <c r="AZ1362" s="326">
        <v>1</v>
      </c>
      <c r="BA1362" s="326">
        <v>1</v>
      </c>
      <c r="BB1362" s="326">
        <f t="shared" si="1649"/>
        <v>0.1</v>
      </c>
      <c r="BD1362" s="337">
        <v>-56.42</v>
      </c>
      <c r="BE1362" s="329">
        <v>-0.47</v>
      </c>
      <c r="BF1362" s="329">
        <v>-0.14000000000000001</v>
      </c>
      <c r="BG1362" s="329">
        <v>0</v>
      </c>
      <c r="BH1362" s="329">
        <v>0</v>
      </c>
      <c r="BI1362" s="328">
        <f t="shared" si="1669"/>
        <v>-57.03</v>
      </c>
      <c r="BJ1362" s="321" t="s">
        <v>84</v>
      </c>
      <c r="BL1362" s="329"/>
      <c r="BM1362" s="329">
        <v>0</v>
      </c>
      <c r="BN1362" s="333"/>
      <c r="BO1362" s="329">
        <v>0</v>
      </c>
      <c r="BP1362" s="329">
        <v>0</v>
      </c>
      <c r="BQ1362" s="321">
        <v>0</v>
      </c>
      <c r="BS1362" s="170">
        <f t="shared" si="1682"/>
        <v>-40.289999999999992</v>
      </c>
      <c r="BT1362" s="170">
        <f t="shared" si="1683"/>
        <v>0</v>
      </c>
      <c r="BU1362" s="170">
        <f t="shared" si="1684"/>
        <v>0</v>
      </c>
      <c r="BV1362" s="170">
        <f t="shared" si="1684"/>
        <v>0</v>
      </c>
      <c r="BW1362" s="170">
        <f t="shared" si="1684"/>
        <v>0</v>
      </c>
      <c r="BX1362" s="338">
        <f t="shared" si="1684"/>
        <v>-40.289999999999992</v>
      </c>
      <c r="BY1362" s="170" t="s">
        <v>91</v>
      </c>
      <c r="BZ1362" s="339"/>
      <c r="CA1362" s="170">
        <f t="shared" si="1680"/>
        <v>0</v>
      </c>
      <c r="CB1362" s="170">
        <f t="shared" si="1680"/>
        <v>0</v>
      </c>
      <c r="CC1362" s="170">
        <f t="shared" si="1680"/>
        <v>0</v>
      </c>
      <c r="CD1362" s="170">
        <f t="shared" si="1680"/>
        <v>0</v>
      </c>
      <c r="CE1362" s="170">
        <f t="shared" si="1680"/>
        <v>0</v>
      </c>
      <c r="CF1362" s="170">
        <f t="shared" si="1680"/>
        <v>0</v>
      </c>
      <c r="CG1362" s="170">
        <f t="shared" si="1680"/>
        <v>-6.0613810741687963</v>
      </c>
      <c r="CH1362" s="170">
        <f t="shared" si="1647"/>
        <v>-6.0613810741687963</v>
      </c>
      <c r="CI1362" s="170">
        <f t="shared" si="1666"/>
        <v>-0.60613810741687968</v>
      </c>
      <c r="CJ1362" s="340"/>
      <c r="CK1362" s="170">
        <f t="shared" si="1681"/>
        <v>0</v>
      </c>
      <c r="CL1362" s="170">
        <f t="shared" si="1681"/>
        <v>0</v>
      </c>
      <c r="CM1362" s="170">
        <f t="shared" si="1681"/>
        <v>0</v>
      </c>
      <c r="CN1362" s="170">
        <f t="shared" si="1681"/>
        <v>0</v>
      </c>
      <c r="CO1362" s="170">
        <f t="shared" si="1662"/>
        <v>0</v>
      </c>
      <c r="CP1362" s="170">
        <f t="shared" si="1662"/>
        <v>0</v>
      </c>
      <c r="CQ1362" s="170">
        <f t="shared" si="1662"/>
        <v>-6.0613810741687963</v>
      </c>
      <c r="CR1362" s="170">
        <f t="shared" si="1662"/>
        <v>-6.0613810741687963</v>
      </c>
      <c r="CS1362" s="170">
        <f t="shared" si="1667"/>
        <v>-0.60613810741687968</v>
      </c>
      <c r="CT1362" s="338">
        <f t="shared" si="1670"/>
        <v>-4.028999999999999</v>
      </c>
      <c r="CU1362" s="341"/>
      <c r="CV1362" s="170">
        <f t="shared" si="1685"/>
        <v>0</v>
      </c>
      <c r="CW1362" s="170">
        <f t="shared" si="1685"/>
        <v>0</v>
      </c>
      <c r="CX1362" s="339"/>
      <c r="CY1362" s="170">
        <f t="shared" si="1648"/>
        <v>0</v>
      </c>
      <c r="CZ1362" s="170">
        <f t="shared" si="1648"/>
        <v>0</v>
      </c>
      <c r="DA1362" s="170">
        <f t="shared" si="1648"/>
        <v>0</v>
      </c>
      <c r="DB1362" s="321" t="s">
        <v>85</v>
      </c>
      <c r="DC1362" s="321" t="s">
        <v>85</v>
      </c>
      <c r="DD1362" s="321" t="s">
        <v>87</v>
      </c>
      <c r="DE1362" s="321" t="s">
        <v>106</v>
      </c>
      <c r="DF1362" s="324" t="s">
        <v>86</v>
      </c>
      <c r="DG1362" s="336">
        <v>43111</v>
      </c>
      <c r="DZ1362" s="324"/>
      <c r="EC1362" s="337"/>
      <c r="ED1362" s="337"/>
      <c r="EE1362" s="337"/>
      <c r="EF1362" s="337"/>
      <c r="EH1362" s="337"/>
      <c r="EI1362" s="337"/>
      <c r="EJ1362" s="337"/>
    </row>
    <row r="1363" spans="2:140" s="339" customFormat="1" ht="12.75" hidden="1" customHeight="1">
      <c r="B1363" s="342" t="s">
        <v>2224</v>
      </c>
      <c r="C1363" s="343" t="s">
        <v>2177</v>
      </c>
      <c r="D1363" s="344" t="s">
        <v>2178</v>
      </c>
      <c r="E1363" s="345" t="s">
        <v>1591</v>
      </c>
      <c r="F1363" s="346" t="s">
        <v>2072</v>
      </c>
      <c r="G1363" s="347" t="s">
        <v>994</v>
      </c>
      <c r="J1363" s="348" t="s">
        <v>155</v>
      </c>
      <c r="K1363" s="349" t="s">
        <v>2222</v>
      </c>
      <c r="L1363" s="350" t="s">
        <v>120</v>
      </c>
      <c r="M1363" s="351" t="str">
        <f t="shared" si="1661"/>
        <v>JD8T -14A584 -BB</v>
      </c>
      <c r="N1363" s="350"/>
      <c r="O1363" s="352">
        <v>0</v>
      </c>
      <c r="P1363" s="352">
        <v>0</v>
      </c>
      <c r="Q1363" s="352">
        <v>1</v>
      </c>
      <c r="R1363" s="352">
        <v>1</v>
      </c>
      <c r="S1363" s="352">
        <v>1</v>
      </c>
      <c r="T1363" s="352">
        <v>1</v>
      </c>
      <c r="U1363" s="352">
        <v>0</v>
      </c>
      <c r="V1363" s="352">
        <v>0</v>
      </c>
      <c r="W1363" s="353">
        <f t="shared" si="1650"/>
        <v>0.6</v>
      </c>
      <c r="Y1363" s="354">
        <v>-69.569999999999993</v>
      </c>
      <c r="Z1363" s="338">
        <v>-0.47</v>
      </c>
      <c r="AA1363" s="338">
        <v>-0.14000000000000001</v>
      </c>
      <c r="AB1363" s="338"/>
      <c r="AC1363" s="338"/>
      <c r="AD1363" s="354">
        <f>SUM(Y1363:AC1363)</f>
        <v>-70.179999999999993</v>
      </c>
      <c r="AE1363" s="339" t="s">
        <v>84</v>
      </c>
      <c r="AG1363" s="355"/>
      <c r="AH1363" s="355"/>
      <c r="AJ1363" s="355"/>
      <c r="AK1363" s="356"/>
      <c r="AM1363" s="343"/>
      <c r="AO1363" s="348" t="s">
        <v>155</v>
      </c>
      <c r="AP1363" s="349" t="s">
        <v>2222</v>
      </c>
      <c r="AQ1363" s="350" t="s">
        <v>2182</v>
      </c>
      <c r="AR1363" s="351" t="str">
        <f t="shared" si="1566"/>
        <v>JD8T -14A584 -BA </v>
      </c>
      <c r="AS1363" s="350"/>
      <c r="AT1363" s="352">
        <v>0</v>
      </c>
      <c r="AU1363" s="352">
        <v>0</v>
      </c>
      <c r="AV1363" s="352">
        <v>1</v>
      </c>
      <c r="AW1363" s="352">
        <v>1</v>
      </c>
      <c r="AX1363" s="352">
        <v>1</v>
      </c>
      <c r="AY1363" s="352">
        <v>1</v>
      </c>
      <c r="AZ1363" s="352">
        <v>0</v>
      </c>
      <c r="BA1363" s="352">
        <v>0</v>
      </c>
      <c r="BB1363" s="353">
        <f t="shared" si="1649"/>
        <v>0.6</v>
      </c>
      <c r="BD1363" s="354">
        <v>-69.63</v>
      </c>
      <c r="BE1363" s="338">
        <v>-0.47</v>
      </c>
      <c r="BF1363" s="338">
        <v>-0.14000000000000001</v>
      </c>
      <c r="BG1363" s="338"/>
      <c r="BH1363" s="338"/>
      <c r="BI1363" s="354">
        <f t="shared" si="1669"/>
        <v>-70.239999999999995</v>
      </c>
      <c r="BJ1363" s="339" t="s">
        <v>84</v>
      </c>
      <c r="BL1363" s="355"/>
      <c r="BM1363" s="355"/>
      <c r="BO1363" s="355"/>
      <c r="BP1363" s="356"/>
      <c r="BS1363" s="170">
        <f t="shared" si="1682"/>
        <v>6.0000000000002274E-2</v>
      </c>
      <c r="BT1363" s="170">
        <f t="shared" si="1683"/>
        <v>0</v>
      </c>
      <c r="BU1363" s="170">
        <f t="shared" si="1684"/>
        <v>0</v>
      </c>
      <c r="BV1363" s="170">
        <f t="shared" si="1684"/>
        <v>0</v>
      </c>
      <c r="BW1363" s="170">
        <f t="shared" si="1684"/>
        <v>0</v>
      </c>
      <c r="BX1363" s="338">
        <f t="shared" si="1684"/>
        <v>6.0000000000002274E-2</v>
      </c>
      <c r="BY1363" s="170" t="s">
        <v>91</v>
      </c>
      <c r="CA1363" s="170">
        <f t="shared" si="1680"/>
        <v>0</v>
      </c>
      <c r="CB1363" s="170">
        <f t="shared" si="1680"/>
        <v>0</v>
      </c>
      <c r="CC1363" s="170">
        <f t="shared" si="1680"/>
        <v>9.0266285542353348E-3</v>
      </c>
      <c r="CD1363" s="170">
        <f t="shared" si="1680"/>
        <v>9.0266285542353348E-3</v>
      </c>
      <c r="CE1363" s="170">
        <f t="shared" si="1680"/>
        <v>9.0266285542353348E-3</v>
      </c>
      <c r="CF1363" s="170">
        <f t="shared" si="1680"/>
        <v>9.0266285542353348E-3</v>
      </c>
      <c r="CG1363" s="170">
        <f t="shared" si="1680"/>
        <v>0</v>
      </c>
      <c r="CH1363" s="170">
        <f t="shared" si="1647"/>
        <v>0</v>
      </c>
      <c r="CI1363" s="170">
        <f t="shared" si="1666"/>
        <v>5.4159771325412009E-3</v>
      </c>
      <c r="CJ1363" s="340"/>
      <c r="CK1363" s="170">
        <f t="shared" si="1681"/>
        <v>0</v>
      </c>
      <c r="CL1363" s="170">
        <f t="shared" si="1681"/>
        <v>0</v>
      </c>
      <c r="CM1363" s="170">
        <f t="shared" si="1681"/>
        <v>9.0266285542353348E-3</v>
      </c>
      <c r="CN1363" s="170">
        <f t="shared" si="1681"/>
        <v>9.0266285542353348E-3</v>
      </c>
      <c r="CO1363" s="170">
        <f t="shared" si="1662"/>
        <v>9.0266285542353348E-3</v>
      </c>
      <c r="CP1363" s="170">
        <f t="shared" si="1662"/>
        <v>9.0266285542353348E-3</v>
      </c>
      <c r="CQ1363" s="170">
        <f t="shared" si="1662"/>
        <v>0</v>
      </c>
      <c r="CR1363" s="170">
        <f t="shared" si="1662"/>
        <v>0</v>
      </c>
      <c r="CS1363" s="170">
        <f t="shared" si="1667"/>
        <v>5.4159771325412009E-3</v>
      </c>
      <c r="CT1363" s="338">
        <f t="shared" si="1670"/>
        <v>3.6000000000001364E-2</v>
      </c>
      <c r="CU1363" s="341"/>
      <c r="CV1363" s="170">
        <f t="shared" si="1685"/>
        <v>0</v>
      </c>
      <c r="CW1363" s="170">
        <f t="shared" si="1685"/>
        <v>0</v>
      </c>
      <c r="CY1363" s="170">
        <f t="shared" si="1648"/>
        <v>0</v>
      </c>
      <c r="CZ1363" s="170">
        <f t="shared" si="1648"/>
        <v>0</v>
      </c>
      <c r="DA1363" s="170">
        <f t="shared" si="1648"/>
        <v>0</v>
      </c>
      <c r="DB1363" s="339" t="s">
        <v>86</v>
      </c>
      <c r="DC1363" s="339" t="s">
        <v>86</v>
      </c>
      <c r="DD1363" s="321" t="s">
        <v>87</v>
      </c>
      <c r="DE1363" s="339" t="s">
        <v>1439</v>
      </c>
      <c r="DF1363" s="350"/>
      <c r="DG1363" s="357"/>
      <c r="DZ1363" s="350"/>
      <c r="EC1363" s="167" t="str">
        <f>VLOOKUP($M1363,[1]Detail!$M:$BO,1,0)</f>
        <v>JD8T -14A584 -BB</v>
      </c>
      <c r="ED1363" s="167">
        <f>VLOOKUP($M1363,[1]Detail!$M:$BO,22,0)</f>
        <v>-70.179999999999993</v>
      </c>
      <c r="EE1363" s="167">
        <f>VLOOKUP($M1363,[1]Detail!$M:$BO,42,0)</f>
        <v>0</v>
      </c>
      <c r="EF1363" s="167">
        <f>VLOOKUP($M1363,[1]Detail!$M:$BO,45,0)</f>
        <v>0</v>
      </c>
      <c r="EH1363" s="167">
        <f t="shared" ref="EH1363:EH1364" si="1689">ED1363-AD1363</f>
        <v>0</v>
      </c>
      <c r="EI1363" s="167">
        <f t="shared" ref="EI1363:EI1364" si="1690">EE1363-AG1363</f>
        <v>0</v>
      </c>
      <c r="EJ1363" s="167">
        <f t="shared" ref="EJ1363:EJ1364" si="1691">EF1363-AJ1363</f>
        <v>0</v>
      </c>
    </row>
    <row r="1364" spans="2:140" s="339" customFormat="1" ht="12.75" hidden="1" customHeight="1">
      <c r="B1364" s="342" t="s">
        <v>2224</v>
      </c>
      <c r="C1364" s="343" t="s">
        <v>2177</v>
      </c>
      <c r="D1364" s="344" t="s">
        <v>2178</v>
      </c>
      <c r="E1364" s="345" t="s">
        <v>1591</v>
      </c>
      <c r="F1364" s="346" t="s">
        <v>2072</v>
      </c>
      <c r="G1364" s="347" t="s">
        <v>994</v>
      </c>
      <c r="J1364" s="348" t="s">
        <v>155</v>
      </c>
      <c r="K1364" s="349" t="s">
        <v>2222</v>
      </c>
      <c r="L1364" s="350" t="s">
        <v>122</v>
      </c>
      <c r="M1364" s="351" t="str">
        <f t="shared" si="1661"/>
        <v>JD8T -14A584 -CB</v>
      </c>
      <c r="N1364" s="350"/>
      <c r="O1364" s="352">
        <v>0</v>
      </c>
      <c r="P1364" s="352">
        <v>0</v>
      </c>
      <c r="Q1364" s="352">
        <v>0</v>
      </c>
      <c r="R1364" s="352">
        <v>0</v>
      </c>
      <c r="S1364" s="352">
        <v>0</v>
      </c>
      <c r="T1364" s="352">
        <v>0</v>
      </c>
      <c r="U1364" s="352">
        <v>1</v>
      </c>
      <c r="V1364" s="352">
        <v>1</v>
      </c>
      <c r="W1364" s="353">
        <f t="shared" si="1650"/>
        <v>0.1</v>
      </c>
      <c r="Y1364" s="354">
        <v>-96.44</v>
      </c>
      <c r="Z1364" s="338">
        <v>-0.47</v>
      </c>
      <c r="AA1364" s="338">
        <v>-0.14000000000000001</v>
      </c>
      <c r="AB1364" s="338"/>
      <c r="AC1364" s="338"/>
      <c r="AD1364" s="354">
        <f>SUM(Y1364:AC1364)</f>
        <v>-97.05</v>
      </c>
      <c r="AE1364" s="339" t="s">
        <v>84</v>
      </c>
      <c r="AG1364" s="355"/>
      <c r="AH1364" s="355"/>
      <c r="AJ1364" s="355"/>
      <c r="AK1364" s="356"/>
      <c r="AM1364" s="343"/>
      <c r="AO1364" s="348" t="s">
        <v>155</v>
      </c>
      <c r="AP1364" s="349" t="s">
        <v>2222</v>
      </c>
      <c r="AQ1364" s="350" t="s">
        <v>2184</v>
      </c>
      <c r="AR1364" s="351" t="str">
        <f t="shared" si="1566"/>
        <v>JD8T -14A584 -CA </v>
      </c>
      <c r="AS1364" s="350"/>
      <c r="AT1364" s="352">
        <v>0</v>
      </c>
      <c r="AU1364" s="352">
        <v>0</v>
      </c>
      <c r="AV1364" s="352">
        <v>0</v>
      </c>
      <c r="AW1364" s="352">
        <v>0</v>
      </c>
      <c r="AX1364" s="352">
        <v>0</v>
      </c>
      <c r="AY1364" s="352">
        <v>0</v>
      </c>
      <c r="AZ1364" s="352">
        <v>1</v>
      </c>
      <c r="BA1364" s="352">
        <v>1</v>
      </c>
      <c r="BB1364" s="353">
        <f t="shared" si="1649"/>
        <v>0.1</v>
      </c>
      <c r="BD1364" s="354">
        <v>-96.71</v>
      </c>
      <c r="BE1364" s="338">
        <v>-0.47</v>
      </c>
      <c r="BF1364" s="338">
        <v>-0.14000000000000001</v>
      </c>
      <c r="BG1364" s="338"/>
      <c r="BH1364" s="338"/>
      <c r="BI1364" s="354">
        <f t="shared" si="1669"/>
        <v>-97.32</v>
      </c>
      <c r="BJ1364" s="339" t="s">
        <v>84</v>
      </c>
      <c r="BL1364" s="355"/>
      <c r="BM1364" s="355"/>
      <c r="BO1364" s="355"/>
      <c r="BP1364" s="356"/>
      <c r="BS1364" s="170">
        <f t="shared" ref="BS1364" si="1692">SUM(Y1364)-SUM(BD1364)</f>
        <v>0.26999999999999602</v>
      </c>
      <c r="BT1364" s="170">
        <f t="shared" ref="BT1364" si="1693">SUM(Z1364)-SUM(BE1364)</f>
        <v>0</v>
      </c>
      <c r="BU1364" s="170">
        <f t="shared" si="1684"/>
        <v>0</v>
      </c>
      <c r="BV1364" s="170">
        <f t="shared" si="1684"/>
        <v>0</v>
      </c>
      <c r="BW1364" s="170">
        <f t="shared" si="1684"/>
        <v>0</v>
      </c>
      <c r="BX1364" s="338">
        <f t="shared" si="1684"/>
        <v>0.26999999999999602</v>
      </c>
      <c r="BY1364" s="170" t="s">
        <v>91</v>
      </c>
      <c r="CA1364" s="170">
        <f t="shared" si="1680"/>
        <v>0</v>
      </c>
      <c r="CB1364" s="170">
        <f t="shared" si="1680"/>
        <v>0</v>
      </c>
      <c r="CC1364" s="170">
        <f t="shared" si="1680"/>
        <v>0</v>
      </c>
      <c r="CD1364" s="170">
        <f t="shared" si="1680"/>
        <v>0</v>
      </c>
      <c r="CE1364" s="170">
        <f t="shared" si="1680"/>
        <v>0</v>
      </c>
      <c r="CF1364" s="170">
        <f t="shared" si="1680"/>
        <v>0</v>
      </c>
      <c r="CG1364" s="170">
        <f t="shared" si="1680"/>
        <v>4.0619828494056869E-2</v>
      </c>
      <c r="CH1364" s="170">
        <f t="shared" si="1647"/>
        <v>4.0619828494056869E-2</v>
      </c>
      <c r="CI1364" s="170">
        <f t="shared" si="1666"/>
        <v>4.0619828494056869E-3</v>
      </c>
      <c r="CJ1364" s="340"/>
      <c r="CK1364" s="170">
        <f t="shared" si="1681"/>
        <v>0</v>
      </c>
      <c r="CL1364" s="170">
        <f t="shared" si="1681"/>
        <v>0</v>
      </c>
      <c r="CM1364" s="170">
        <f t="shared" si="1681"/>
        <v>0</v>
      </c>
      <c r="CN1364" s="170">
        <f t="shared" si="1681"/>
        <v>0</v>
      </c>
      <c r="CO1364" s="170">
        <f t="shared" si="1662"/>
        <v>0</v>
      </c>
      <c r="CP1364" s="170">
        <f t="shared" si="1662"/>
        <v>0</v>
      </c>
      <c r="CQ1364" s="170">
        <f t="shared" si="1662"/>
        <v>4.0619828494056869E-2</v>
      </c>
      <c r="CR1364" s="170">
        <f t="shared" si="1662"/>
        <v>4.0619828494056869E-2</v>
      </c>
      <c r="CS1364" s="170">
        <f t="shared" si="1667"/>
        <v>4.0619828494056869E-3</v>
      </c>
      <c r="CT1364" s="338">
        <f t="shared" si="1670"/>
        <v>2.6999999999999601E-2</v>
      </c>
      <c r="CU1364" s="341"/>
      <c r="CV1364" s="170">
        <f t="shared" si="1685"/>
        <v>0</v>
      </c>
      <c r="CW1364" s="170">
        <f t="shared" si="1685"/>
        <v>0</v>
      </c>
      <c r="CY1364" s="170">
        <f t="shared" si="1648"/>
        <v>0</v>
      </c>
      <c r="CZ1364" s="170">
        <f t="shared" si="1648"/>
        <v>0</v>
      </c>
      <c r="DA1364" s="170">
        <f t="shared" si="1648"/>
        <v>0</v>
      </c>
      <c r="DB1364" s="339" t="s">
        <v>86</v>
      </c>
      <c r="DC1364" s="339" t="s">
        <v>86</v>
      </c>
      <c r="DD1364" s="321" t="s">
        <v>87</v>
      </c>
      <c r="DE1364" s="339" t="s">
        <v>1439</v>
      </c>
      <c r="DF1364" s="350"/>
      <c r="DG1364" s="357"/>
      <c r="DZ1364" s="350"/>
      <c r="EC1364" s="167" t="str">
        <f>VLOOKUP($M1364,[1]Detail!$M:$BO,1,0)</f>
        <v>JD8T -14A584 -CB</v>
      </c>
      <c r="ED1364" s="167">
        <f>VLOOKUP($M1364,[1]Detail!$M:$BO,22,0)</f>
        <v>-97.05</v>
      </c>
      <c r="EE1364" s="167">
        <f>VLOOKUP($M1364,[1]Detail!$M:$BO,42,0)</f>
        <v>0</v>
      </c>
      <c r="EF1364" s="167">
        <f>VLOOKUP($M1364,[1]Detail!$M:$BO,45,0)</f>
        <v>0</v>
      </c>
      <c r="EH1364" s="167">
        <f t="shared" si="1689"/>
        <v>0</v>
      </c>
      <c r="EI1364" s="167">
        <f t="shared" si="1690"/>
        <v>0</v>
      </c>
      <c r="EJ1364" s="167">
        <f t="shared" si="1691"/>
        <v>0</v>
      </c>
    </row>
    <row r="1365" spans="2:140" ht="12.75" hidden="1" customHeight="1">
      <c r="B1365" s="1" t="s">
        <v>2176</v>
      </c>
      <c r="C1365" s="22" t="s">
        <v>2177</v>
      </c>
      <c r="D1365" s="149" t="s">
        <v>2178</v>
      </c>
      <c r="E1365" s="86" t="s">
        <v>1591</v>
      </c>
      <c r="F1365" s="85" t="s">
        <v>2072</v>
      </c>
      <c r="G1365" s="297" t="s">
        <v>994</v>
      </c>
      <c r="J1365" s="298" t="s">
        <v>155</v>
      </c>
      <c r="K1365" s="299" t="s">
        <v>2225</v>
      </c>
      <c r="L1365" s="3" t="s">
        <v>769</v>
      </c>
      <c r="M1365" s="51" t="str">
        <f t="shared" si="1661"/>
        <v>JD8T -14B079 -AA </v>
      </c>
      <c r="O1365" s="89">
        <v>0</v>
      </c>
      <c r="P1365" s="89">
        <v>0</v>
      </c>
      <c r="Q1365" s="89">
        <v>0</v>
      </c>
      <c r="R1365" s="89">
        <v>0</v>
      </c>
      <c r="S1365" s="89">
        <v>0</v>
      </c>
      <c r="T1365" s="89">
        <v>0</v>
      </c>
      <c r="U1365" s="89">
        <v>1</v>
      </c>
      <c r="V1365" s="89">
        <v>1</v>
      </c>
      <c r="W1365" s="164">
        <f t="shared" si="1650"/>
        <v>0.1</v>
      </c>
      <c r="Y1365" s="8">
        <v>-21.93</v>
      </c>
      <c r="Z1365" s="63">
        <v>-0.28000000000000003</v>
      </c>
      <c r="AA1365" s="63">
        <v>-0.14000000000000001</v>
      </c>
      <c r="AB1365" s="63"/>
      <c r="AC1365" s="63"/>
      <c r="AD1365" s="8">
        <f t="shared" si="1645"/>
        <v>-22.35</v>
      </c>
      <c r="AE1365" s="2" t="s">
        <v>84</v>
      </c>
      <c r="AG1365" s="300"/>
      <c r="AH1365" s="300"/>
      <c r="AJ1365" s="300"/>
      <c r="AK1365" s="176"/>
      <c r="AM1365" s="22"/>
      <c r="AO1365" s="298" t="s">
        <v>1735</v>
      </c>
      <c r="AP1365" s="297" t="s">
        <v>2225</v>
      </c>
      <c r="AQ1365" s="3" t="s">
        <v>2223</v>
      </c>
      <c r="AR1365" s="90" t="str">
        <f>TRIM(AO1365)&amp;"-"&amp;TRIM(AP1365)&amp;"-"&amp;TRIM(AQ1365)</f>
        <v>ED8T -14B079 -AE </v>
      </c>
      <c r="AT1365" s="89">
        <v>0</v>
      </c>
      <c r="AU1365" s="89">
        <v>0</v>
      </c>
      <c r="AV1365" s="89">
        <v>0</v>
      </c>
      <c r="AW1365" s="89">
        <v>0</v>
      </c>
      <c r="AX1365" s="89">
        <v>0</v>
      </c>
      <c r="AY1365" s="89">
        <v>0</v>
      </c>
      <c r="AZ1365" s="89">
        <v>1</v>
      </c>
      <c r="BA1365" s="89">
        <v>1</v>
      </c>
      <c r="BB1365" s="89">
        <f t="shared" si="1649"/>
        <v>0.1</v>
      </c>
      <c r="BD1365" s="60">
        <v>-11.06</v>
      </c>
      <c r="BE1365" s="63">
        <v>-0.28000000000000003</v>
      </c>
      <c r="BF1365" s="63">
        <v>-0.14000000000000001</v>
      </c>
      <c r="BG1365" s="63">
        <v>0</v>
      </c>
      <c r="BH1365" s="63">
        <v>0</v>
      </c>
      <c r="BI1365" s="8">
        <f t="shared" si="1669"/>
        <v>-11.48</v>
      </c>
      <c r="BJ1365" s="2" t="s">
        <v>84</v>
      </c>
      <c r="BL1365" s="63"/>
      <c r="BM1365" s="63">
        <v>0</v>
      </c>
      <c r="BN1365" s="267"/>
      <c r="BO1365" s="63">
        <v>0</v>
      </c>
      <c r="BP1365" s="63">
        <v>0</v>
      </c>
      <c r="BQ1365" s="2">
        <v>0</v>
      </c>
      <c r="BS1365" s="61">
        <f t="shared" ref="BS1365:BS1393" si="1694">SUM(Y1365)-SUM(BD1365)</f>
        <v>-10.87</v>
      </c>
      <c r="BT1365" s="61">
        <f t="shared" ref="BT1365:BT1393" si="1695">SUM(Z1365)-SUM(BE1365)</f>
        <v>0</v>
      </c>
      <c r="BU1365" s="61">
        <f t="shared" si="1684"/>
        <v>0</v>
      </c>
      <c r="BV1365" s="61">
        <f t="shared" si="1684"/>
        <v>0</v>
      </c>
      <c r="BW1365" s="61">
        <f t="shared" si="1684"/>
        <v>0</v>
      </c>
      <c r="BX1365" s="63">
        <f t="shared" si="1684"/>
        <v>-10.870000000000001</v>
      </c>
      <c r="BY1365" s="61" t="s">
        <v>91</v>
      </c>
      <c r="CA1365" s="61">
        <f t="shared" si="1680"/>
        <v>0</v>
      </c>
      <c r="CB1365" s="61">
        <f t="shared" si="1680"/>
        <v>0</v>
      </c>
      <c r="CC1365" s="61">
        <f t="shared" si="1680"/>
        <v>0</v>
      </c>
      <c r="CD1365" s="61">
        <f t="shared" si="1680"/>
        <v>0</v>
      </c>
      <c r="CE1365" s="61">
        <f t="shared" si="1680"/>
        <v>0</v>
      </c>
      <c r="CF1365" s="61">
        <f t="shared" si="1680"/>
        <v>0</v>
      </c>
      <c r="CG1365" s="61">
        <f t="shared" si="1680"/>
        <v>-1.6353242064089062</v>
      </c>
      <c r="CH1365" s="61">
        <f t="shared" si="1680"/>
        <v>-1.6353242064089062</v>
      </c>
      <c r="CI1365" s="61">
        <f t="shared" si="1666"/>
        <v>-0.16353242064089063</v>
      </c>
      <c r="CJ1365" s="267"/>
      <c r="CK1365" s="61">
        <f t="shared" si="1681"/>
        <v>0</v>
      </c>
      <c r="CL1365" s="61">
        <f t="shared" si="1681"/>
        <v>0</v>
      </c>
      <c r="CM1365" s="61">
        <f t="shared" si="1681"/>
        <v>0</v>
      </c>
      <c r="CN1365" s="61">
        <f t="shared" si="1681"/>
        <v>0</v>
      </c>
      <c r="CO1365" s="61">
        <f t="shared" si="1662"/>
        <v>0</v>
      </c>
      <c r="CP1365" s="61">
        <f t="shared" si="1662"/>
        <v>0</v>
      </c>
      <c r="CQ1365" s="61">
        <f t="shared" si="1662"/>
        <v>-1.6353242064089064</v>
      </c>
      <c r="CR1365" s="61">
        <f t="shared" si="1662"/>
        <v>-1.6353242064089064</v>
      </c>
      <c r="CS1365" s="61">
        <f t="shared" si="1667"/>
        <v>-0.16353242064089066</v>
      </c>
      <c r="CT1365" s="63">
        <f t="shared" si="1670"/>
        <v>-1.0870000000000002</v>
      </c>
      <c r="CU1365" s="73"/>
      <c r="CV1365" s="61">
        <f t="shared" ref="CV1365:CV1449" si="1696">SUM(AG1365)-SUM(BL1365)</f>
        <v>0</v>
      </c>
      <c r="CW1365" s="61">
        <f t="shared" si="1668"/>
        <v>0</v>
      </c>
      <c r="CY1365" s="61">
        <f t="shared" si="1648"/>
        <v>0</v>
      </c>
      <c r="CZ1365" s="61">
        <f t="shared" si="1648"/>
        <v>0</v>
      </c>
      <c r="DA1365" s="61">
        <f t="shared" si="1648"/>
        <v>0</v>
      </c>
      <c r="DB1365" s="2" t="s">
        <v>85</v>
      </c>
      <c r="DC1365" s="2" t="s">
        <v>86</v>
      </c>
      <c r="DD1365" s="2" t="s">
        <v>87</v>
      </c>
      <c r="DE1365" s="2" t="s">
        <v>106</v>
      </c>
      <c r="DF1365" s="3" t="s">
        <v>86</v>
      </c>
      <c r="DG1365" s="62">
        <v>43111</v>
      </c>
      <c r="EC1365" s="60"/>
      <c r="ED1365" s="60"/>
      <c r="EE1365" s="60"/>
      <c r="EF1365" s="60"/>
    </row>
    <row r="1366" spans="2:140" ht="12.75" hidden="1" customHeight="1">
      <c r="B1366" s="1" t="s">
        <v>2176</v>
      </c>
      <c r="C1366" s="22" t="s">
        <v>2177</v>
      </c>
      <c r="D1366" s="149" t="s">
        <v>2178</v>
      </c>
      <c r="E1366" s="86" t="s">
        <v>1591</v>
      </c>
      <c r="F1366" s="85" t="s">
        <v>2072</v>
      </c>
      <c r="G1366" s="297" t="s">
        <v>994</v>
      </c>
      <c r="J1366" s="298" t="s">
        <v>155</v>
      </c>
      <c r="K1366" s="299" t="s">
        <v>2225</v>
      </c>
      <c r="L1366" s="3" t="s">
        <v>2182</v>
      </c>
      <c r="M1366" s="51" t="str">
        <f t="shared" si="1661"/>
        <v>JD8T -14B079 -BA </v>
      </c>
      <c r="O1366" s="89">
        <v>1</v>
      </c>
      <c r="P1366" s="89">
        <v>0</v>
      </c>
      <c r="Q1366" s="89">
        <v>0</v>
      </c>
      <c r="R1366" s="89">
        <v>0</v>
      </c>
      <c r="S1366" s="89">
        <v>1</v>
      </c>
      <c r="T1366" s="89">
        <v>1</v>
      </c>
      <c r="U1366" s="89">
        <v>0</v>
      </c>
      <c r="V1366" s="89">
        <v>0</v>
      </c>
      <c r="W1366" s="164">
        <f t="shared" si="1650"/>
        <v>0.37</v>
      </c>
      <c r="Y1366" s="8">
        <v>-17.91</v>
      </c>
      <c r="Z1366" s="63">
        <v>-0.28000000000000003</v>
      </c>
      <c r="AA1366" s="63">
        <v>-0.14000000000000001</v>
      </c>
      <c r="AB1366" s="63"/>
      <c r="AC1366" s="63"/>
      <c r="AD1366" s="8">
        <f t="shared" si="1645"/>
        <v>-18.330000000000002</v>
      </c>
      <c r="AE1366" s="2" t="s">
        <v>84</v>
      </c>
      <c r="AG1366" s="300"/>
      <c r="AH1366" s="300"/>
      <c r="AJ1366" s="300"/>
      <c r="AK1366" s="176"/>
      <c r="AM1366" s="22"/>
      <c r="AO1366" s="298" t="s">
        <v>1735</v>
      </c>
      <c r="AP1366" s="297" t="s">
        <v>2225</v>
      </c>
      <c r="AQ1366" s="3" t="s">
        <v>2223</v>
      </c>
      <c r="AR1366" s="90" t="str">
        <f t="shared" si="1566"/>
        <v>ED8T -14B079 -AE </v>
      </c>
      <c r="AT1366" s="89">
        <v>1</v>
      </c>
      <c r="AU1366" s="89">
        <v>0</v>
      </c>
      <c r="AV1366" s="89">
        <v>0</v>
      </c>
      <c r="AW1366" s="89">
        <v>0</v>
      </c>
      <c r="AX1366" s="89">
        <v>1</v>
      </c>
      <c r="AY1366" s="89">
        <v>1</v>
      </c>
      <c r="AZ1366" s="89">
        <v>0</v>
      </c>
      <c r="BA1366" s="89">
        <v>0</v>
      </c>
      <c r="BB1366" s="89">
        <f t="shared" si="1649"/>
        <v>0.37</v>
      </c>
      <c r="BD1366" s="60">
        <v>-11.06</v>
      </c>
      <c r="BE1366" s="63">
        <v>-0.28000000000000003</v>
      </c>
      <c r="BF1366" s="63">
        <v>-0.14000000000000001</v>
      </c>
      <c r="BG1366" s="63">
        <v>0</v>
      </c>
      <c r="BH1366" s="63">
        <v>0</v>
      </c>
      <c r="BI1366" s="8">
        <f t="shared" si="1669"/>
        <v>-11.48</v>
      </c>
      <c r="BJ1366" s="2" t="s">
        <v>84</v>
      </c>
      <c r="BL1366" s="63"/>
      <c r="BM1366" s="63">
        <v>0</v>
      </c>
      <c r="BN1366" s="267"/>
      <c r="BO1366" s="63">
        <v>0</v>
      </c>
      <c r="BP1366" s="63">
        <v>0</v>
      </c>
      <c r="BQ1366" s="2">
        <v>0</v>
      </c>
      <c r="BS1366" s="61">
        <f t="shared" si="1694"/>
        <v>-6.85</v>
      </c>
      <c r="BT1366" s="61">
        <f t="shared" si="1695"/>
        <v>0</v>
      </c>
      <c r="BU1366" s="61">
        <f t="shared" si="1684"/>
        <v>0</v>
      </c>
      <c r="BV1366" s="61">
        <f t="shared" si="1684"/>
        <v>0</v>
      </c>
      <c r="BW1366" s="61">
        <f t="shared" si="1684"/>
        <v>0</v>
      </c>
      <c r="BX1366" s="63">
        <f t="shared" si="1684"/>
        <v>-6.8500000000000014</v>
      </c>
      <c r="BY1366" s="61" t="s">
        <v>91</v>
      </c>
      <c r="CA1366" s="61">
        <f t="shared" si="1680"/>
        <v>-1.0305400932751616</v>
      </c>
      <c r="CB1366" s="61">
        <f t="shared" si="1680"/>
        <v>0</v>
      </c>
      <c r="CC1366" s="61">
        <f t="shared" si="1680"/>
        <v>0</v>
      </c>
      <c r="CD1366" s="61">
        <f t="shared" si="1680"/>
        <v>0</v>
      </c>
      <c r="CE1366" s="61">
        <f t="shared" si="1680"/>
        <v>-1.0305400932751616</v>
      </c>
      <c r="CF1366" s="61">
        <f t="shared" si="1680"/>
        <v>-1.0305400932751616</v>
      </c>
      <c r="CG1366" s="61">
        <f t="shared" si="1680"/>
        <v>0</v>
      </c>
      <c r="CH1366" s="61">
        <f t="shared" si="1680"/>
        <v>0</v>
      </c>
      <c r="CI1366" s="61">
        <f t="shared" si="1666"/>
        <v>-0.38129983451180982</v>
      </c>
      <c r="CJ1366" s="267"/>
      <c r="CK1366" s="61">
        <f t="shared" si="1681"/>
        <v>-1.0305400932751618</v>
      </c>
      <c r="CL1366" s="61">
        <f t="shared" si="1681"/>
        <v>0</v>
      </c>
      <c r="CM1366" s="61">
        <f t="shared" si="1681"/>
        <v>0</v>
      </c>
      <c r="CN1366" s="61">
        <f t="shared" si="1681"/>
        <v>0</v>
      </c>
      <c r="CO1366" s="61">
        <f t="shared" si="1662"/>
        <v>-1.0305400932751618</v>
      </c>
      <c r="CP1366" s="61">
        <f t="shared" si="1662"/>
        <v>-1.0305400932751618</v>
      </c>
      <c r="CQ1366" s="61">
        <f t="shared" si="1662"/>
        <v>0</v>
      </c>
      <c r="CR1366" s="61">
        <f t="shared" si="1662"/>
        <v>0</v>
      </c>
      <c r="CS1366" s="61">
        <f t="shared" si="1667"/>
        <v>-0.38129983451180988</v>
      </c>
      <c r="CT1366" s="63">
        <f t="shared" si="1670"/>
        <v>-2.5345000000000004</v>
      </c>
      <c r="CU1366" s="73"/>
      <c r="CV1366" s="61">
        <f t="shared" si="1696"/>
        <v>0</v>
      </c>
      <c r="CW1366" s="61">
        <f t="shared" si="1668"/>
        <v>0</v>
      </c>
      <c r="CY1366" s="61">
        <f t="shared" si="1648"/>
        <v>0</v>
      </c>
      <c r="CZ1366" s="61">
        <f t="shared" si="1648"/>
        <v>0</v>
      </c>
      <c r="DA1366" s="61">
        <f t="shared" si="1648"/>
        <v>0</v>
      </c>
      <c r="DB1366" s="2" t="s">
        <v>85</v>
      </c>
      <c r="DC1366" s="2" t="s">
        <v>86</v>
      </c>
      <c r="DD1366" s="2" t="s">
        <v>87</v>
      </c>
      <c r="DE1366" s="2" t="s">
        <v>106</v>
      </c>
      <c r="DF1366" s="3" t="s">
        <v>86</v>
      </c>
      <c r="DG1366" s="62">
        <v>43111</v>
      </c>
      <c r="EC1366" s="60"/>
      <c r="ED1366" s="60"/>
      <c r="EE1366" s="60"/>
      <c r="EF1366" s="60"/>
    </row>
    <row r="1367" spans="2:140" ht="12.75" hidden="1" customHeight="1">
      <c r="B1367" s="1" t="s">
        <v>2206</v>
      </c>
      <c r="C1367" s="22" t="s">
        <v>2177</v>
      </c>
      <c r="D1367" s="149" t="s">
        <v>2178</v>
      </c>
      <c r="E1367" s="86" t="s">
        <v>1591</v>
      </c>
      <c r="F1367" s="85" t="s">
        <v>2072</v>
      </c>
      <c r="G1367" s="297" t="s">
        <v>994</v>
      </c>
      <c r="J1367" s="298" t="s">
        <v>155</v>
      </c>
      <c r="K1367" s="299" t="s">
        <v>2225</v>
      </c>
      <c r="L1367" s="3" t="s">
        <v>132</v>
      </c>
      <c r="M1367" s="51" t="str">
        <f t="shared" si="1661"/>
        <v>JD8T -14B079 -AB</v>
      </c>
      <c r="O1367" s="89">
        <v>0</v>
      </c>
      <c r="P1367" s="89">
        <v>0</v>
      </c>
      <c r="Q1367" s="89">
        <v>0</v>
      </c>
      <c r="R1367" s="89">
        <v>0</v>
      </c>
      <c r="S1367" s="89">
        <v>0</v>
      </c>
      <c r="T1367" s="89">
        <v>0</v>
      </c>
      <c r="U1367" s="89">
        <v>1</v>
      </c>
      <c r="V1367" s="89">
        <v>1</v>
      </c>
      <c r="W1367" s="164">
        <f t="shared" si="1650"/>
        <v>0.1</v>
      </c>
      <c r="Y1367" s="8">
        <v>-22.27</v>
      </c>
      <c r="Z1367" s="63">
        <v>-0.28000000000000003</v>
      </c>
      <c r="AA1367" s="63">
        <v>-0.14000000000000001</v>
      </c>
      <c r="AB1367" s="63"/>
      <c r="AC1367" s="63"/>
      <c r="AD1367" s="8">
        <f t="shared" ref="AD1367:AD1368" si="1697">SUM(Y1367:AC1367)</f>
        <v>-22.69</v>
      </c>
      <c r="AE1367" s="2" t="s">
        <v>84</v>
      </c>
      <c r="AG1367" s="300"/>
      <c r="AH1367" s="300"/>
      <c r="AJ1367" s="300"/>
      <c r="AK1367" s="176"/>
      <c r="AM1367" s="22"/>
      <c r="AO1367" s="298" t="s">
        <v>155</v>
      </c>
      <c r="AP1367" s="299" t="s">
        <v>2225</v>
      </c>
      <c r="AQ1367" s="3" t="s">
        <v>769</v>
      </c>
      <c r="AR1367" s="51" t="str">
        <f t="shared" si="1566"/>
        <v>JD8T -14B079 -AA </v>
      </c>
      <c r="AT1367" s="89">
        <v>0</v>
      </c>
      <c r="AU1367" s="89">
        <v>0</v>
      </c>
      <c r="AV1367" s="89">
        <v>0</v>
      </c>
      <c r="AW1367" s="89">
        <v>0</v>
      </c>
      <c r="AX1367" s="89">
        <v>0</v>
      </c>
      <c r="AY1367" s="89">
        <v>0</v>
      </c>
      <c r="AZ1367" s="89">
        <v>1</v>
      </c>
      <c r="BA1367" s="89">
        <v>1</v>
      </c>
      <c r="BB1367" s="89">
        <f t="shared" si="1649"/>
        <v>0.1</v>
      </c>
      <c r="BD1367" s="8">
        <v>-21.93</v>
      </c>
      <c r="BE1367" s="63">
        <v>-0.28000000000000003</v>
      </c>
      <c r="BF1367" s="63">
        <v>-0.14000000000000001</v>
      </c>
      <c r="BG1367" s="63"/>
      <c r="BH1367" s="63"/>
      <c r="BI1367" s="8">
        <f t="shared" ref="BI1367:BI1368" si="1698">SUM(BD1367:BH1367)</f>
        <v>-22.35</v>
      </c>
      <c r="BJ1367" s="2" t="s">
        <v>84</v>
      </c>
      <c r="BL1367" s="63"/>
      <c r="BM1367" s="63">
        <v>0</v>
      </c>
      <c r="BN1367" s="267"/>
      <c r="BO1367" s="63">
        <v>0</v>
      </c>
      <c r="BP1367" s="63">
        <v>0</v>
      </c>
      <c r="BQ1367" s="2">
        <v>0</v>
      </c>
      <c r="BS1367" s="61">
        <f t="shared" si="1694"/>
        <v>-0.33999999999999986</v>
      </c>
      <c r="BT1367" s="61">
        <f t="shared" si="1695"/>
        <v>0</v>
      </c>
      <c r="BU1367" s="61">
        <f t="shared" si="1684"/>
        <v>0</v>
      </c>
      <c r="BV1367" s="61">
        <f t="shared" si="1684"/>
        <v>0</v>
      </c>
      <c r="BW1367" s="61">
        <f t="shared" si="1684"/>
        <v>0</v>
      </c>
      <c r="BX1367" s="63">
        <f t="shared" si="1684"/>
        <v>-0.33999999999999986</v>
      </c>
      <c r="BY1367" s="61" t="s">
        <v>91</v>
      </c>
      <c r="CA1367" s="61">
        <f t="shared" si="1680"/>
        <v>0</v>
      </c>
      <c r="CB1367" s="61">
        <f t="shared" si="1680"/>
        <v>0</v>
      </c>
      <c r="CC1367" s="61">
        <f t="shared" si="1680"/>
        <v>0</v>
      </c>
      <c r="CD1367" s="61">
        <f t="shared" si="1680"/>
        <v>0</v>
      </c>
      <c r="CE1367" s="61">
        <f t="shared" si="1680"/>
        <v>0</v>
      </c>
      <c r="CF1367" s="61">
        <f t="shared" si="1680"/>
        <v>0</v>
      </c>
      <c r="CG1367" s="61">
        <f t="shared" si="1680"/>
        <v>-5.115089514066494E-2</v>
      </c>
      <c r="CH1367" s="61">
        <f t="shared" si="1680"/>
        <v>-5.115089514066494E-2</v>
      </c>
      <c r="CI1367" s="61">
        <f t="shared" si="1666"/>
        <v>-5.115089514066494E-3</v>
      </c>
      <c r="CJ1367" s="267"/>
      <c r="CK1367" s="61">
        <f t="shared" si="1681"/>
        <v>0</v>
      </c>
      <c r="CL1367" s="61">
        <f t="shared" si="1681"/>
        <v>0</v>
      </c>
      <c r="CM1367" s="61">
        <f t="shared" si="1681"/>
        <v>0</v>
      </c>
      <c r="CN1367" s="61">
        <f t="shared" si="1681"/>
        <v>0</v>
      </c>
      <c r="CO1367" s="61">
        <f t="shared" si="1662"/>
        <v>0</v>
      </c>
      <c r="CP1367" s="61">
        <f t="shared" si="1662"/>
        <v>0</v>
      </c>
      <c r="CQ1367" s="61">
        <f t="shared" si="1662"/>
        <v>-5.115089514066494E-2</v>
      </c>
      <c r="CR1367" s="61">
        <f t="shared" si="1662"/>
        <v>-5.115089514066494E-2</v>
      </c>
      <c r="CS1367" s="61">
        <f t="shared" si="1667"/>
        <v>-5.115089514066494E-3</v>
      </c>
      <c r="CT1367" s="63">
        <f t="shared" si="1670"/>
        <v>-3.3999999999999989E-2</v>
      </c>
      <c r="CU1367" s="73"/>
      <c r="CV1367" s="61">
        <f t="shared" ref="CV1367:CV1368" si="1699">SUM(AG1367)-SUM(BL1367)</f>
        <v>0</v>
      </c>
      <c r="CW1367" s="61">
        <f t="shared" si="1668"/>
        <v>0</v>
      </c>
      <c r="CY1367" s="61">
        <f t="shared" si="1648"/>
        <v>0</v>
      </c>
      <c r="CZ1367" s="61">
        <f t="shared" si="1648"/>
        <v>0</v>
      </c>
      <c r="DA1367" s="61">
        <f t="shared" si="1648"/>
        <v>0</v>
      </c>
      <c r="DB1367" s="2" t="s">
        <v>86</v>
      </c>
      <c r="DC1367" s="2" t="s">
        <v>85</v>
      </c>
      <c r="DD1367" s="2" t="s">
        <v>87</v>
      </c>
      <c r="DE1367" s="2" t="s">
        <v>106</v>
      </c>
      <c r="DG1367" s="62"/>
      <c r="EC1367" s="60" t="str">
        <f>VLOOKUP($M1367,[1]Detail!$M:$BO,1,0)</f>
        <v>JD8T -14B079 -AB</v>
      </c>
      <c r="ED1367" s="60">
        <f>VLOOKUP($M1367,[1]Detail!$M:$BO,22,0)</f>
        <v>-22.69</v>
      </c>
      <c r="EE1367" s="60">
        <f>VLOOKUP($M1367,[1]Detail!$M:$BO,42,0)</f>
        <v>0</v>
      </c>
      <c r="EF1367" s="60">
        <f>VLOOKUP($M1367,[1]Detail!$M:$BO,45,0)</f>
        <v>0</v>
      </c>
      <c r="EH1367" s="60">
        <f t="shared" ref="EH1367:EH1397" si="1700">ED1367-AD1367</f>
        <v>0</v>
      </c>
      <c r="EI1367" s="60">
        <f t="shared" ref="EI1367:EI1397" si="1701">EE1367-AG1367</f>
        <v>0</v>
      </c>
      <c r="EJ1367" s="60">
        <f t="shared" ref="EJ1367:EJ1397" si="1702">EF1367-AJ1367</f>
        <v>0</v>
      </c>
    </row>
    <row r="1368" spans="2:140" ht="12.75" hidden="1" customHeight="1">
      <c r="B1368" s="1" t="s">
        <v>2206</v>
      </c>
      <c r="C1368" s="22" t="s">
        <v>2177</v>
      </c>
      <c r="D1368" s="149" t="s">
        <v>2178</v>
      </c>
      <c r="E1368" s="86" t="s">
        <v>1591</v>
      </c>
      <c r="F1368" s="85" t="s">
        <v>2072</v>
      </c>
      <c r="G1368" s="297" t="s">
        <v>994</v>
      </c>
      <c r="J1368" s="298" t="s">
        <v>155</v>
      </c>
      <c r="K1368" s="299" t="s">
        <v>2225</v>
      </c>
      <c r="L1368" s="3" t="s">
        <v>120</v>
      </c>
      <c r="M1368" s="51" t="str">
        <f t="shared" si="1661"/>
        <v>JD8T -14B079 -BB</v>
      </c>
      <c r="O1368" s="89">
        <v>1</v>
      </c>
      <c r="P1368" s="89">
        <v>0</v>
      </c>
      <c r="Q1368" s="89">
        <v>0</v>
      </c>
      <c r="R1368" s="89">
        <v>0</v>
      </c>
      <c r="S1368" s="89">
        <v>1</v>
      </c>
      <c r="T1368" s="89">
        <v>1</v>
      </c>
      <c r="U1368" s="89">
        <v>0</v>
      </c>
      <c r="V1368" s="89">
        <v>0</v>
      </c>
      <c r="W1368" s="164">
        <f t="shared" si="1650"/>
        <v>0.37</v>
      </c>
      <c r="Y1368" s="8">
        <v>-18.25</v>
      </c>
      <c r="Z1368" s="63">
        <v>-0.28000000000000003</v>
      </c>
      <c r="AA1368" s="63">
        <v>-0.14000000000000001</v>
      </c>
      <c r="AB1368" s="63"/>
      <c r="AC1368" s="63"/>
      <c r="AD1368" s="8">
        <f t="shared" si="1697"/>
        <v>-18.670000000000002</v>
      </c>
      <c r="AE1368" s="2" t="s">
        <v>84</v>
      </c>
      <c r="AG1368" s="300"/>
      <c r="AH1368" s="300"/>
      <c r="AJ1368" s="300"/>
      <c r="AK1368" s="176"/>
      <c r="AM1368" s="22"/>
      <c r="AO1368" s="298" t="s">
        <v>155</v>
      </c>
      <c r="AP1368" s="299" t="s">
        <v>2225</v>
      </c>
      <c r="AQ1368" s="3" t="s">
        <v>2182</v>
      </c>
      <c r="AR1368" s="51" t="str">
        <f t="shared" si="1566"/>
        <v>JD8T -14B079 -BA </v>
      </c>
      <c r="AT1368" s="89">
        <v>1</v>
      </c>
      <c r="AU1368" s="89">
        <v>0</v>
      </c>
      <c r="AV1368" s="89">
        <v>0</v>
      </c>
      <c r="AW1368" s="89">
        <v>0</v>
      </c>
      <c r="AX1368" s="89">
        <v>1</v>
      </c>
      <c r="AY1368" s="89">
        <v>1</v>
      </c>
      <c r="AZ1368" s="89">
        <v>0</v>
      </c>
      <c r="BA1368" s="89">
        <v>0</v>
      </c>
      <c r="BB1368" s="89">
        <f t="shared" si="1649"/>
        <v>0.37</v>
      </c>
      <c r="BD1368" s="8">
        <v>-17.91</v>
      </c>
      <c r="BE1368" s="63">
        <v>-0.28000000000000003</v>
      </c>
      <c r="BF1368" s="63">
        <v>-0.14000000000000001</v>
      </c>
      <c r="BG1368" s="63"/>
      <c r="BH1368" s="63"/>
      <c r="BI1368" s="8">
        <f t="shared" si="1698"/>
        <v>-18.330000000000002</v>
      </c>
      <c r="BJ1368" s="2" t="s">
        <v>84</v>
      </c>
      <c r="BL1368" s="63"/>
      <c r="BM1368" s="63">
        <v>0</v>
      </c>
      <c r="BN1368" s="267"/>
      <c r="BO1368" s="63">
        <v>0</v>
      </c>
      <c r="BP1368" s="63">
        <v>0</v>
      </c>
      <c r="BQ1368" s="2">
        <v>0</v>
      </c>
      <c r="BS1368" s="61">
        <f t="shared" si="1694"/>
        <v>-0.33999999999999986</v>
      </c>
      <c r="BT1368" s="61">
        <f t="shared" si="1695"/>
        <v>0</v>
      </c>
      <c r="BU1368" s="61">
        <f t="shared" si="1684"/>
        <v>0</v>
      </c>
      <c r="BV1368" s="61">
        <f t="shared" si="1684"/>
        <v>0</v>
      </c>
      <c r="BW1368" s="61">
        <f t="shared" si="1684"/>
        <v>0</v>
      </c>
      <c r="BX1368" s="63">
        <f t="shared" si="1684"/>
        <v>-0.33999999999999986</v>
      </c>
      <c r="BY1368" s="61" t="s">
        <v>91</v>
      </c>
      <c r="CA1368" s="61">
        <f t="shared" si="1680"/>
        <v>-5.115089514066494E-2</v>
      </c>
      <c r="CB1368" s="61">
        <f t="shared" si="1680"/>
        <v>0</v>
      </c>
      <c r="CC1368" s="61">
        <f t="shared" si="1680"/>
        <v>0</v>
      </c>
      <c r="CD1368" s="61">
        <f t="shared" si="1680"/>
        <v>0</v>
      </c>
      <c r="CE1368" s="61">
        <f t="shared" si="1680"/>
        <v>-5.115089514066494E-2</v>
      </c>
      <c r="CF1368" s="61">
        <f t="shared" si="1680"/>
        <v>-5.115089514066494E-2</v>
      </c>
      <c r="CG1368" s="61">
        <f t="shared" si="1680"/>
        <v>0</v>
      </c>
      <c r="CH1368" s="61">
        <f t="shared" si="1680"/>
        <v>0</v>
      </c>
      <c r="CI1368" s="61">
        <f t="shared" si="1666"/>
        <v>-1.892583120204603E-2</v>
      </c>
      <c r="CJ1368" s="267"/>
      <c r="CK1368" s="61">
        <f t="shared" si="1681"/>
        <v>-5.115089514066494E-2</v>
      </c>
      <c r="CL1368" s="61">
        <f t="shared" si="1681"/>
        <v>0</v>
      </c>
      <c r="CM1368" s="61">
        <f t="shared" si="1681"/>
        <v>0</v>
      </c>
      <c r="CN1368" s="61">
        <f t="shared" si="1681"/>
        <v>0</v>
      </c>
      <c r="CO1368" s="61">
        <f t="shared" si="1662"/>
        <v>-5.115089514066494E-2</v>
      </c>
      <c r="CP1368" s="61">
        <f t="shared" si="1662"/>
        <v>-5.115089514066494E-2</v>
      </c>
      <c r="CQ1368" s="61">
        <f t="shared" si="1662"/>
        <v>0</v>
      </c>
      <c r="CR1368" s="61">
        <f t="shared" si="1662"/>
        <v>0</v>
      </c>
      <c r="CS1368" s="61">
        <f t="shared" si="1667"/>
        <v>-1.892583120204603E-2</v>
      </c>
      <c r="CT1368" s="63">
        <f t="shared" si="1670"/>
        <v>-0.12579999999999997</v>
      </c>
      <c r="CU1368" s="73"/>
      <c r="CV1368" s="61">
        <f t="shared" si="1699"/>
        <v>0</v>
      </c>
      <c r="CW1368" s="61">
        <f t="shared" si="1668"/>
        <v>0</v>
      </c>
      <c r="CY1368" s="61">
        <f t="shared" si="1648"/>
        <v>0</v>
      </c>
      <c r="CZ1368" s="61">
        <f t="shared" si="1648"/>
        <v>0</v>
      </c>
      <c r="DA1368" s="61">
        <f t="shared" si="1648"/>
        <v>0</v>
      </c>
      <c r="DB1368" s="2" t="s">
        <v>86</v>
      </c>
      <c r="DC1368" s="2" t="s">
        <v>85</v>
      </c>
      <c r="DD1368" s="2" t="s">
        <v>87</v>
      </c>
      <c r="DE1368" s="2" t="s">
        <v>106</v>
      </c>
      <c r="DG1368" s="62"/>
      <c r="EC1368" s="60" t="str">
        <f>VLOOKUP($M1368,[1]Detail!$M:$BO,1,0)</f>
        <v>JD8T -14B079 -BB</v>
      </c>
      <c r="ED1368" s="60">
        <f>VLOOKUP($M1368,[1]Detail!$M:$BO,22,0)</f>
        <v>-18.670000000000002</v>
      </c>
      <c r="EE1368" s="60">
        <f>VLOOKUP($M1368,[1]Detail!$M:$BO,42,0)</f>
        <v>0</v>
      </c>
      <c r="EF1368" s="60">
        <f>VLOOKUP($M1368,[1]Detail!$M:$BO,45,0)</f>
        <v>0</v>
      </c>
      <c r="EH1368" s="60">
        <f t="shared" si="1700"/>
        <v>0</v>
      </c>
      <c r="EI1368" s="60">
        <f t="shared" si="1701"/>
        <v>0</v>
      </c>
      <c r="EJ1368" s="60">
        <f t="shared" si="1702"/>
        <v>0</v>
      </c>
    </row>
    <row r="1369" spans="2:140" ht="12.75" hidden="1" customHeight="1">
      <c r="B1369" s="1" t="s">
        <v>2176</v>
      </c>
      <c r="C1369" s="22" t="s">
        <v>2177</v>
      </c>
      <c r="D1369" s="149" t="s">
        <v>2178</v>
      </c>
      <c r="E1369" s="86" t="s">
        <v>1591</v>
      </c>
      <c r="F1369" s="85" t="s">
        <v>2072</v>
      </c>
      <c r="G1369" s="297" t="s">
        <v>994</v>
      </c>
      <c r="J1369" s="298" t="s">
        <v>155</v>
      </c>
      <c r="K1369" s="299" t="s">
        <v>2226</v>
      </c>
      <c r="L1369" s="3" t="s">
        <v>769</v>
      </c>
      <c r="M1369" s="51" t="str">
        <f t="shared" si="1661"/>
        <v>JD8T -14F302 -AA </v>
      </c>
      <c r="O1369" s="89">
        <v>0</v>
      </c>
      <c r="P1369" s="89">
        <v>0</v>
      </c>
      <c r="Q1369" s="89">
        <v>0</v>
      </c>
      <c r="R1369" s="89">
        <v>0</v>
      </c>
      <c r="S1369" s="89">
        <v>0</v>
      </c>
      <c r="T1369" s="89">
        <v>0</v>
      </c>
      <c r="U1369" s="89">
        <v>1</v>
      </c>
      <c r="V1369" s="89">
        <v>1</v>
      </c>
      <c r="W1369" s="164">
        <f t="shared" si="1650"/>
        <v>0.1</v>
      </c>
      <c r="Y1369" s="8">
        <v>-17.260000000000002</v>
      </c>
      <c r="Z1369" s="63">
        <v>-0.28000000000000003</v>
      </c>
      <c r="AA1369" s="63">
        <v>-0.14000000000000001</v>
      </c>
      <c r="AB1369" s="63"/>
      <c r="AC1369" s="63"/>
      <c r="AD1369" s="8">
        <f t="shared" si="1645"/>
        <v>-17.680000000000003</v>
      </c>
      <c r="AE1369" s="2" t="s">
        <v>84</v>
      </c>
      <c r="AG1369" s="300"/>
      <c r="AH1369" s="300"/>
      <c r="AJ1369" s="300"/>
      <c r="AK1369" s="176"/>
      <c r="AM1369" s="22"/>
      <c r="AO1369" s="298" t="s">
        <v>155</v>
      </c>
      <c r="AP1369" s="297" t="s">
        <v>2226</v>
      </c>
      <c r="AQ1369" s="3" t="s">
        <v>769</v>
      </c>
      <c r="AR1369" s="90" t="str">
        <f t="shared" si="1566"/>
        <v>JD8T -14F302 -AA </v>
      </c>
      <c r="AT1369" s="89">
        <v>0</v>
      </c>
      <c r="AU1369" s="89">
        <v>0</v>
      </c>
      <c r="AV1369" s="89">
        <v>0</v>
      </c>
      <c r="AW1369" s="89">
        <v>0</v>
      </c>
      <c r="AX1369" s="89">
        <v>0</v>
      </c>
      <c r="AY1369" s="89">
        <v>0</v>
      </c>
      <c r="AZ1369" s="89">
        <v>1</v>
      </c>
      <c r="BA1369" s="89">
        <v>1</v>
      </c>
      <c r="BB1369" s="89">
        <f t="shared" si="1649"/>
        <v>0.1</v>
      </c>
      <c r="BD1369" s="60">
        <v>-600.21</v>
      </c>
      <c r="BE1369" s="63">
        <v>-0.82</v>
      </c>
      <c r="BF1369" s="63">
        <v>-0.7</v>
      </c>
      <c r="BG1369" s="63">
        <v>0</v>
      </c>
      <c r="BH1369" s="63">
        <v>0</v>
      </c>
      <c r="BI1369" s="8">
        <f t="shared" si="1669"/>
        <v>-601.73000000000013</v>
      </c>
      <c r="BJ1369" s="2" t="s">
        <v>84</v>
      </c>
      <c r="BL1369" s="63"/>
      <c r="BM1369" s="63">
        <v>0</v>
      </c>
      <c r="BN1369" s="267"/>
      <c r="BO1369" s="63">
        <v>0</v>
      </c>
      <c r="BP1369" s="63">
        <v>0</v>
      </c>
      <c r="BQ1369" s="2">
        <v>0</v>
      </c>
      <c r="BS1369" s="61">
        <f t="shared" si="1694"/>
        <v>582.95000000000005</v>
      </c>
      <c r="BT1369" s="61">
        <f t="shared" si="1695"/>
        <v>0.53999999999999992</v>
      </c>
      <c r="BU1369" s="61">
        <f t="shared" si="1684"/>
        <v>0.55999999999999994</v>
      </c>
      <c r="BV1369" s="61">
        <f t="shared" si="1684"/>
        <v>0</v>
      </c>
      <c r="BW1369" s="61">
        <f t="shared" si="1684"/>
        <v>0</v>
      </c>
      <c r="BX1369" s="63">
        <f t="shared" si="1684"/>
        <v>584.05000000000018</v>
      </c>
      <c r="BY1369" s="61" t="s">
        <v>91</v>
      </c>
      <c r="CA1369" s="61">
        <f t="shared" si="1680"/>
        <v>0</v>
      </c>
      <c r="CB1369" s="61">
        <f t="shared" si="1680"/>
        <v>0</v>
      </c>
      <c r="CC1369" s="61">
        <f t="shared" si="1680"/>
        <v>0</v>
      </c>
      <c r="CD1369" s="61">
        <f t="shared" si="1680"/>
        <v>0</v>
      </c>
      <c r="CE1369" s="61">
        <f t="shared" si="1680"/>
        <v>0</v>
      </c>
      <c r="CF1369" s="61">
        <f t="shared" si="1680"/>
        <v>0</v>
      </c>
      <c r="CG1369" s="61">
        <f t="shared" si="1680"/>
        <v>87.701218594854822</v>
      </c>
      <c r="CH1369" s="61">
        <f t="shared" si="1680"/>
        <v>87.701218594854822</v>
      </c>
      <c r="CI1369" s="61">
        <f t="shared" si="1666"/>
        <v>8.7701218594854833</v>
      </c>
      <c r="CJ1369" s="267"/>
      <c r="CK1369" s="61">
        <f t="shared" si="1681"/>
        <v>0</v>
      </c>
      <c r="CL1369" s="61">
        <f t="shared" si="1681"/>
        <v>0</v>
      </c>
      <c r="CM1369" s="61">
        <f t="shared" si="1681"/>
        <v>0</v>
      </c>
      <c r="CN1369" s="61">
        <f t="shared" si="1681"/>
        <v>0</v>
      </c>
      <c r="CO1369" s="61">
        <f t="shared" si="1662"/>
        <v>0</v>
      </c>
      <c r="CP1369" s="61">
        <f t="shared" si="1662"/>
        <v>0</v>
      </c>
      <c r="CQ1369" s="61">
        <f t="shared" si="1662"/>
        <v>87.866706785015822</v>
      </c>
      <c r="CR1369" s="61">
        <f t="shared" si="1662"/>
        <v>87.866706785015822</v>
      </c>
      <c r="CS1369" s="61">
        <f t="shared" si="1667"/>
        <v>8.7866706785015829</v>
      </c>
      <c r="CT1369" s="63">
        <f t="shared" si="1670"/>
        <v>58.405000000000022</v>
      </c>
      <c r="CU1369" s="73"/>
      <c r="CV1369" s="61">
        <f t="shared" si="1696"/>
        <v>0</v>
      </c>
      <c r="CW1369" s="61">
        <f t="shared" si="1668"/>
        <v>0</v>
      </c>
      <c r="CY1369" s="61">
        <f t="shared" si="1648"/>
        <v>0</v>
      </c>
      <c r="CZ1369" s="61">
        <f t="shared" si="1648"/>
        <v>0</v>
      </c>
      <c r="DA1369" s="61">
        <f t="shared" si="1648"/>
        <v>0</v>
      </c>
      <c r="DB1369" s="2" t="s">
        <v>86</v>
      </c>
      <c r="DC1369" s="2" t="s">
        <v>86</v>
      </c>
      <c r="DD1369" s="2" t="s">
        <v>87</v>
      </c>
      <c r="DE1369" s="2" t="s">
        <v>106</v>
      </c>
      <c r="DF1369" s="3" t="s">
        <v>86</v>
      </c>
      <c r="DG1369" s="62">
        <v>43111</v>
      </c>
      <c r="EC1369" s="60" t="str">
        <f>VLOOKUP($M1369,[1]Detail!$M:$BO,1,0)</f>
        <v>JD8T -14F302 -AA </v>
      </c>
      <c r="ED1369" s="60">
        <f>VLOOKUP($M1369,[1]Detail!$M:$BO,22,0)</f>
        <v>-17.680000000000003</v>
      </c>
      <c r="EE1369" s="60">
        <f>VLOOKUP($M1369,[1]Detail!$M:$BO,42,0)</f>
        <v>0</v>
      </c>
      <c r="EF1369" s="60">
        <f>VLOOKUP($M1369,[1]Detail!$M:$BO,45,0)</f>
        <v>0</v>
      </c>
      <c r="EH1369" s="60">
        <f t="shared" si="1700"/>
        <v>0</v>
      </c>
      <c r="EI1369" s="60">
        <f t="shared" si="1701"/>
        <v>0</v>
      </c>
      <c r="EJ1369" s="60">
        <f t="shared" si="1702"/>
        <v>0</v>
      </c>
    </row>
    <row r="1370" spans="2:140" ht="12.75" hidden="1" customHeight="1">
      <c r="B1370" s="1" t="s">
        <v>2176</v>
      </c>
      <c r="C1370" s="22" t="s">
        <v>2177</v>
      </c>
      <c r="D1370" s="149" t="s">
        <v>2178</v>
      </c>
      <c r="E1370" s="86" t="s">
        <v>1591</v>
      </c>
      <c r="F1370" s="85" t="s">
        <v>2072</v>
      </c>
      <c r="G1370" s="297" t="s">
        <v>994</v>
      </c>
      <c r="J1370" s="298" t="s">
        <v>155</v>
      </c>
      <c r="K1370" s="299" t="s">
        <v>2226</v>
      </c>
      <c r="L1370" s="3" t="s">
        <v>2182</v>
      </c>
      <c r="M1370" s="51" t="str">
        <f t="shared" si="1661"/>
        <v>JD8T -14F302 -BA </v>
      </c>
      <c r="O1370" s="89">
        <v>0</v>
      </c>
      <c r="P1370" s="89">
        <v>0</v>
      </c>
      <c r="Q1370" s="89">
        <v>0</v>
      </c>
      <c r="R1370" s="89">
        <v>0</v>
      </c>
      <c r="S1370" s="89">
        <v>0</v>
      </c>
      <c r="T1370" s="89">
        <v>0</v>
      </c>
      <c r="U1370" s="89">
        <v>1</v>
      </c>
      <c r="V1370" s="89">
        <v>1</v>
      </c>
      <c r="W1370" s="164">
        <f t="shared" si="1650"/>
        <v>0.1</v>
      </c>
      <c r="Y1370" s="8">
        <v>-17.260000000000002</v>
      </c>
      <c r="Z1370" s="63">
        <v>-0.28000000000000003</v>
      </c>
      <c r="AA1370" s="63">
        <v>-0.14000000000000001</v>
      </c>
      <c r="AB1370" s="63"/>
      <c r="AC1370" s="63"/>
      <c r="AD1370" s="8">
        <f t="shared" si="1645"/>
        <v>-17.680000000000003</v>
      </c>
      <c r="AE1370" s="2" t="s">
        <v>84</v>
      </c>
      <c r="AG1370" s="300"/>
      <c r="AH1370" s="300"/>
      <c r="AJ1370" s="300"/>
      <c r="AK1370" s="176"/>
      <c r="AM1370" s="22"/>
      <c r="AO1370" s="298" t="s">
        <v>155</v>
      </c>
      <c r="AP1370" s="297" t="s">
        <v>2226</v>
      </c>
      <c r="AQ1370" s="3" t="s">
        <v>2182</v>
      </c>
      <c r="AR1370" s="90" t="str">
        <f t="shared" si="1566"/>
        <v>JD8T -14F302 -BA </v>
      </c>
      <c r="AT1370" s="89">
        <v>0</v>
      </c>
      <c r="AU1370" s="89">
        <v>0</v>
      </c>
      <c r="AV1370" s="89">
        <v>0</v>
      </c>
      <c r="AW1370" s="89">
        <v>0</v>
      </c>
      <c r="AX1370" s="89">
        <v>0</v>
      </c>
      <c r="AY1370" s="89">
        <v>0</v>
      </c>
      <c r="AZ1370" s="89">
        <v>1</v>
      </c>
      <c r="BA1370" s="89">
        <v>1</v>
      </c>
      <c r="BB1370" s="89">
        <f t="shared" si="1649"/>
        <v>0.1</v>
      </c>
      <c r="BD1370" s="60">
        <v>-584.70000000000005</v>
      </c>
      <c r="BE1370" s="63">
        <v>-0.82</v>
      </c>
      <c r="BF1370" s="63">
        <v>-0.7</v>
      </c>
      <c r="BG1370" s="63">
        <v>0</v>
      </c>
      <c r="BH1370" s="63">
        <v>0</v>
      </c>
      <c r="BI1370" s="8">
        <f t="shared" si="1669"/>
        <v>-586.22000000000014</v>
      </c>
      <c r="BJ1370" s="2" t="s">
        <v>84</v>
      </c>
      <c r="BL1370" s="63"/>
      <c r="BM1370" s="63">
        <v>0</v>
      </c>
      <c r="BN1370" s="267"/>
      <c r="BO1370" s="63">
        <v>0</v>
      </c>
      <c r="BP1370" s="63">
        <v>0</v>
      </c>
      <c r="BQ1370" s="2">
        <v>0</v>
      </c>
      <c r="BS1370" s="61">
        <f t="shared" si="1694"/>
        <v>567.44000000000005</v>
      </c>
      <c r="BT1370" s="61">
        <f t="shared" si="1695"/>
        <v>0.53999999999999992</v>
      </c>
      <c r="BU1370" s="61">
        <f t="shared" si="1684"/>
        <v>0.55999999999999994</v>
      </c>
      <c r="BV1370" s="61">
        <f t="shared" si="1684"/>
        <v>0</v>
      </c>
      <c r="BW1370" s="61">
        <f t="shared" si="1684"/>
        <v>0</v>
      </c>
      <c r="BX1370" s="63">
        <f t="shared" si="1684"/>
        <v>568.54000000000019</v>
      </c>
      <c r="BY1370" s="61" t="s">
        <v>91</v>
      </c>
      <c r="CA1370" s="61">
        <f t="shared" si="1680"/>
        <v>0</v>
      </c>
      <c r="CB1370" s="61">
        <f t="shared" si="1680"/>
        <v>0</v>
      </c>
      <c r="CC1370" s="61">
        <f t="shared" si="1680"/>
        <v>0</v>
      </c>
      <c r="CD1370" s="61">
        <f t="shared" si="1680"/>
        <v>0</v>
      </c>
      <c r="CE1370" s="61">
        <f t="shared" si="1680"/>
        <v>0</v>
      </c>
      <c r="CF1370" s="61">
        <f t="shared" si="1680"/>
        <v>0</v>
      </c>
      <c r="CG1370" s="61">
        <f t="shared" si="1680"/>
        <v>85.367835113585087</v>
      </c>
      <c r="CH1370" s="61">
        <f t="shared" si="1680"/>
        <v>85.367835113585087</v>
      </c>
      <c r="CI1370" s="61">
        <f t="shared" si="1666"/>
        <v>8.5367835113585091</v>
      </c>
      <c r="CJ1370" s="267"/>
      <c r="CK1370" s="61">
        <f t="shared" si="1681"/>
        <v>0</v>
      </c>
      <c r="CL1370" s="61">
        <f t="shared" si="1681"/>
        <v>0</v>
      </c>
      <c r="CM1370" s="61">
        <f t="shared" si="1681"/>
        <v>0</v>
      </c>
      <c r="CN1370" s="61">
        <f t="shared" si="1681"/>
        <v>0</v>
      </c>
      <c r="CO1370" s="61">
        <f t="shared" si="1662"/>
        <v>0</v>
      </c>
      <c r="CP1370" s="61">
        <f t="shared" si="1662"/>
        <v>0</v>
      </c>
      <c r="CQ1370" s="61">
        <f t="shared" si="1662"/>
        <v>85.533323303746073</v>
      </c>
      <c r="CR1370" s="61">
        <f t="shared" si="1662"/>
        <v>85.533323303746073</v>
      </c>
      <c r="CS1370" s="61">
        <f t="shared" si="1667"/>
        <v>8.5533323303746069</v>
      </c>
      <c r="CT1370" s="63">
        <f t="shared" si="1670"/>
        <v>56.854000000000013</v>
      </c>
      <c r="CU1370" s="73"/>
      <c r="CV1370" s="61">
        <f t="shared" si="1696"/>
        <v>0</v>
      </c>
      <c r="CW1370" s="61">
        <f t="shared" si="1668"/>
        <v>0</v>
      </c>
      <c r="CY1370" s="61">
        <f t="shared" si="1648"/>
        <v>0</v>
      </c>
      <c r="CZ1370" s="61">
        <f t="shared" si="1648"/>
        <v>0</v>
      </c>
      <c r="DA1370" s="61">
        <f t="shared" si="1648"/>
        <v>0</v>
      </c>
      <c r="DB1370" s="2" t="s">
        <v>86</v>
      </c>
      <c r="DC1370" s="2" t="s">
        <v>86</v>
      </c>
      <c r="DD1370" s="2" t="s">
        <v>87</v>
      </c>
      <c r="DE1370" s="2" t="s">
        <v>106</v>
      </c>
      <c r="DF1370" s="3" t="s">
        <v>86</v>
      </c>
      <c r="DG1370" s="62">
        <v>43111</v>
      </c>
      <c r="EC1370" s="60" t="str">
        <f>VLOOKUP($M1370,[1]Detail!$M:$BO,1,0)</f>
        <v>JD8T -14F302 -BA </v>
      </c>
      <c r="ED1370" s="60">
        <f>VLOOKUP($M1370,[1]Detail!$M:$BO,22,0)</f>
        <v>-17.680000000000003</v>
      </c>
      <c r="EE1370" s="60">
        <f>VLOOKUP($M1370,[1]Detail!$M:$BO,42,0)</f>
        <v>0</v>
      </c>
      <c r="EF1370" s="60">
        <f>VLOOKUP($M1370,[1]Detail!$M:$BO,45,0)</f>
        <v>0</v>
      </c>
      <c r="EH1370" s="60">
        <f t="shared" si="1700"/>
        <v>0</v>
      </c>
      <c r="EI1370" s="60">
        <f t="shared" si="1701"/>
        <v>0</v>
      </c>
      <c r="EJ1370" s="60">
        <f t="shared" si="1702"/>
        <v>0</v>
      </c>
    </row>
    <row r="1371" spans="2:140" ht="12.75" hidden="1" customHeight="1">
      <c r="B1371" s="1" t="s">
        <v>2176</v>
      </c>
      <c r="C1371" s="22" t="s">
        <v>2177</v>
      </c>
      <c r="D1371" s="149" t="s">
        <v>2178</v>
      </c>
      <c r="E1371" s="86" t="s">
        <v>1591</v>
      </c>
      <c r="F1371" s="85" t="s">
        <v>2072</v>
      </c>
      <c r="G1371" s="297" t="s">
        <v>994</v>
      </c>
      <c r="J1371" s="298" t="s">
        <v>155</v>
      </c>
      <c r="K1371" s="299" t="s">
        <v>2227</v>
      </c>
      <c r="L1371" s="3" t="s">
        <v>769</v>
      </c>
      <c r="M1371" s="51" t="str">
        <f t="shared" si="1661"/>
        <v>JD8T -14K138 -AA </v>
      </c>
      <c r="O1371" s="89">
        <v>1</v>
      </c>
      <c r="P1371" s="89">
        <v>1</v>
      </c>
      <c r="Q1371" s="89">
        <v>0</v>
      </c>
      <c r="R1371" s="89">
        <v>0</v>
      </c>
      <c r="S1371" s="89">
        <v>0</v>
      </c>
      <c r="T1371" s="89">
        <v>0</v>
      </c>
      <c r="U1371" s="89">
        <v>0</v>
      </c>
      <c r="V1371" s="89">
        <v>0</v>
      </c>
      <c r="W1371" s="164">
        <f t="shared" si="1650"/>
        <v>0.30000000000000004</v>
      </c>
      <c r="Y1371" s="8">
        <v>-54.23</v>
      </c>
      <c r="Z1371" s="63">
        <v>-0.47</v>
      </c>
      <c r="AA1371" s="63">
        <v>-0.14000000000000001</v>
      </c>
      <c r="AB1371" s="63"/>
      <c r="AC1371" s="63"/>
      <c r="AD1371" s="8">
        <f t="shared" si="1645"/>
        <v>-54.839999999999996</v>
      </c>
      <c r="AE1371" s="2" t="s">
        <v>84</v>
      </c>
      <c r="AG1371" s="300"/>
      <c r="AH1371" s="300"/>
      <c r="AJ1371" s="300"/>
      <c r="AK1371" s="176"/>
      <c r="AM1371" s="22"/>
      <c r="AO1371" s="298" t="s">
        <v>1735</v>
      </c>
      <c r="AP1371" s="297" t="s">
        <v>2227</v>
      </c>
      <c r="AQ1371" s="3" t="s">
        <v>2223</v>
      </c>
      <c r="AR1371" s="90" t="str">
        <f t="shared" si="1566"/>
        <v>ED8T -14K138 -AE </v>
      </c>
      <c r="AT1371" s="89">
        <v>1</v>
      </c>
      <c r="AU1371" s="89">
        <v>1</v>
      </c>
      <c r="AV1371" s="89">
        <v>0</v>
      </c>
      <c r="AW1371" s="89">
        <v>0</v>
      </c>
      <c r="AX1371" s="89">
        <v>0</v>
      </c>
      <c r="AY1371" s="89">
        <v>0</v>
      </c>
      <c r="AZ1371" s="89">
        <v>0</v>
      </c>
      <c r="BA1371" s="89">
        <v>0</v>
      </c>
      <c r="BB1371" s="89">
        <f t="shared" si="1649"/>
        <v>0.30000000000000004</v>
      </c>
      <c r="BD1371" s="60">
        <v>-600.21</v>
      </c>
      <c r="BE1371" s="63">
        <v>-0.82</v>
      </c>
      <c r="BF1371" s="63">
        <v>-0.7</v>
      </c>
      <c r="BG1371" s="63">
        <v>0</v>
      </c>
      <c r="BH1371" s="63">
        <v>0</v>
      </c>
      <c r="BI1371" s="8">
        <f t="shared" si="1669"/>
        <v>-601.73000000000013</v>
      </c>
      <c r="BJ1371" s="2" t="s">
        <v>84</v>
      </c>
      <c r="BL1371" s="63"/>
      <c r="BM1371" s="63">
        <v>0</v>
      </c>
      <c r="BN1371" s="267"/>
      <c r="BO1371" s="63">
        <v>0</v>
      </c>
      <c r="BP1371" s="63">
        <v>0</v>
      </c>
      <c r="BQ1371" s="2">
        <v>0</v>
      </c>
      <c r="BS1371" s="61">
        <f t="shared" si="1694"/>
        <v>545.98</v>
      </c>
      <c r="BT1371" s="61">
        <f t="shared" si="1695"/>
        <v>0.35</v>
      </c>
      <c r="BU1371" s="61">
        <f t="shared" si="1684"/>
        <v>0.55999999999999994</v>
      </c>
      <c r="BV1371" s="61">
        <f t="shared" si="1684"/>
        <v>0</v>
      </c>
      <c r="BW1371" s="61">
        <f t="shared" si="1684"/>
        <v>0</v>
      </c>
      <c r="BX1371" s="63">
        <f t="shared" si="1684"/>
        <v>546.8900000000001</v>
      </c>
      <c r="BY1371" s="61" t="s">
        <v>91</v>
      </c>
      <c r="CA1371" s="61">
        <f t="shared" si="1680"/>
        <v>82.139310967353694</v>
      </c>
      <c r="CB1371" s="61">
        <f t="shared" si="1680"/>
        <v>82.139310967353694</v>
      </c>
      <c r="CC1371" s="61">
        <f t="shared" si="1680"/>
        <v>0</v>
      </c>
      <c r="CD1371" s="61">
        <f t="shared" si="1680"/>
        <v>0</v>
      </c>
      <c r="CE1371" s="61">
        <f t="shared" si="1680"/>
        <v>0</v>
      </c>
      <c r="CF1371" s="61">
        <f t="shared" si="1680"/>
        <v>0</v>
      </c>
      <c r="CG1371" s="61">
        <f t="shared" si="1680"/>
        <v>0</v>
      </c>
      <c r="CH1371" s="61">
        <f t="shared" si="1680"/>
        <v>0</v>
      </c>
      <c r="CI1371" s="61">
        <f t="shared" si="1666"/>
        <v>24.64179329020611</v>
      </c>
      <c r="CJ1371" s="267"/>
      <c r="CK1371" s="61">
        <f t="shared" si="1681"/>
        <v>82.276214833759596</v>
      </c>
      <c r="CL1371" s="61">
        <f t="shared" si="1681"/>
        <v>82.276214833759596</v>
      </c>
      <c r="CM1371" s="61">
        <f t="shared" si="1681"/>
        <v>0</v>
      </c>
      <c r="CN1371" s="61">
        <f t="shared" si="1681"/>
        <v>0</v>
      </c>
      <c r="CO1371" s="61">
        <f t="shared" si="1662"/>
        <v>0</v>
      </c>
      <c r="CP1371" s="61">
        <f t="shared" si="1662"/>
        <v>0</v>
      </c>
      <c r="CQ1371" s="61">
        <f t="shared" si="1662"/>
        <v>0</v>
      </c>
      <c r="CR1371" s="61">
        <f t="shared" si="1662"/>
        <v>0</v>
      </c>
      <c r="CS1371" s="61">
        <f t="shared" si="1667"/>
        <v>24.68286445012788</v>
      </c>
      <c r="CT1371" s="63">
        <f t="shared" si="1670"/>
        <v>164.06700000000004</v>
      </c>
      <c r="CU1371" s="73"/>
      <c r="CV1371" s="61">
        <f t="shared" si="1696"/>
        <v>0</v>
      </c>
      <c r="CW1371" s="61">
        <f t="shared" si="1668"/>
        <v>0</v>
      </c>
      <c r="CY1371" s="61">
        <f t="shared" si="1648"/>
        <v>0</v>
      </c>
      <c r="CZ1371" s="61">
        <f t="shared" si="1648"/>
        <v>0</v>
      </c>
      <c r="DA1371" s="61">
        <f t="shared" si="1648"/>
        <v>0</v>
      </c>
      <c r="DB1371" s="2" t="s">
        <v>86</v>
      </c>
      <c r="DC1371" s="2" t="s">
        <v>86</v>
      </c>
      <c r="DD1371" s="2" t="s">
        <v>87</v>
      </c>
      <c r="DE1371" s="2" t="s">
        <v>106</v>
      </c>
      <c r="DF1371" s="3" t="s">
        <v>86</v>
      </c>
      <c r="DG1371" s="62">
        <v>43111</v>
      </c>
      <c r="EC1371" s="60" t="str">
        <f>VLOOKUP($M1371,[1]Detail!$M:$BO,1,0)</f>
        <v>JD8T -14K138 -AA </v>
      </c>
      <c r="ED1371" s="60">
        <f>VLOOKUP($M1371,[1]Detail!$M:$BO,22,0)</f>
        <v>-54.839999999999996</v>
      </c>
      <c r="EE1371" s="60">
        <f>VLOOKUP($M1371,[1]Detail!$M:$BO,42,0)</f>
        <v>0</v>
      </c>
      <c r="EF1371" s="60">
        <f>VLOOKUP($M1371,[1]Detail!$M:$BO,45,0)</f>
        <v>0</v>
      </c>
      <c r="EH1371" s="60">
        <f t="shared" si="1700"/>
        <v>0</v>
      </c>
      <c r="EI1371" s="60">
        <f t="shared" si="1701"/>
        <v>0</v>
      </c>
      <c r="EJ1371" s="60">
        <f t="shared" si="1702"/>
        <v>0</v>
      </c>
    </row>
    <row r="1372" spans="2:140" ht="12.75" hidden="1" customHeight="1">
      <c r="B1372" s="1" t="s">
        <v>2176</v>
      </c>
      <c r="C1372" s="22" t="s">
        <v>2177</v>
      </c>
      <c r="D1372" s="149" t="s">
        <v>2178</v>
      </c>
      <c r="E1372" s="86" t="s">
        <v>1591</v>
      </c>
      <c r="F1372" s="85" t="s">
        <v>2072</v>
      </c>
      <c r="G1372" s="297" t="s">
        <v>994</v>
      </c>
      <c r="J1372" s="298" t="s">
        <v>155</v>
      </c>
      <c r="K1372" s="299" t="s">
        <v>2227</v>
      </c>
      <c r="L1372" s="3" t="s">
        <v>2182</v>
      </c>
      <c r="M1372" s="51" t="str">
        <f t="shared" si="1661"/>
        <v>JD8T -14K138 -BA </v>
      </c>
      <c r="O1372" s="89">
        <v>0</v>
      </c>
      <c r="P1372" s="89">
        <v>0</v>
      </c>
      <c r="Q1372" s="89">
        <v>1</v>
      </c>
      <c r="R1372" s="89">
        <v>1</v>
      </c>
      <c r="S1372" s="89">
        <v>1</v>
      </c>
      <c r="T1372" s="89">
        <v>1</v>
      </c>
      <c r="U1372" s="89">
        <v>0</v>
      </c>
      <c r="V1372" s="89">
        <v>0</v>
      </c>
      <c r="W1372" s="164">
        <f t="shared" si="1650"/>
        <v>0.6</v>
      </c>
      <c r="Y1372" s="8">
        <v>-54.76</v>
      </c>
      <c r="Z1372" s="63">
        <v>-0.47</v>
      </c>
      <c r="AA1372" s="63">
        <v>-0.14000000000000001</v>
      </c>
      <c r="AB1372" s="63"/>
      <c r="AC1372" s="63"/>
      <c r="AD1372" s="8">
        <f t="shared" si="1645"/>
        <v>-55.37</v>
      </c>
      <c r="AE1372" s="2" t="s">
        <v>84</v>
      </c>
      <c r="AG1372" s="300"/>
      <c r="AH1372" s="300"/>
      <c r="AJ1372" s="300"/>
      <c r="AK1372" s="176"/>
      <c r="AM1372" s="22"/>
      <c r="AO1372" s="298" t="s">
        <v>1735</v>
      </c>
      <c r="AP1372" s="297" t="s">
        <v>2227</v>
      </c>
      <c r="AQ1372" s="3" t="s">
        <v>2223</v>
      </c>
      <c r="AR1372" s="90" t="str">
        <f t="shared" si="1566"/>
        <v>ED8T -14K138 -AE </v>
      </c>
      <c r="AT1372" s="89">
        <v>0</v>
      </c>
      <c r="AU1372" s="89">
        <v>0</v>
      </c>
      <c r="AV1372" s="89">
        <v>1</v>
      </c>
      <c r="AW1372" s="89">
        <v>1</v>
      </c>
      <c r="AX1372" s="89">
        <v>1</v>
      </c>
      <c r="AY1372" s="89">
        <v>1</v>
      </c>
      <c r="AZ1372" s="89">
        <v>0</v>
      </c>
      <c r="BA1372" s="89">
        <v>0</v>
      </c>
      <c r="BB1372" s="89">
        <f t="shared" si="1649"/>
        <v>0.6</v>
      </c>
      <c r="BD1372" s="60">
        <v>-584.70000000000005</v>
      </c>
      <c r="BE1372" s="63">
        <v>-0.82</v>
      </c>
      <c r="BF1372" s="63">
        <v>-0.7</v>
      </c>
      <c r="BG1372" s="63">
        <v>0</v>
      </c>
      <c r="BH1372" s="63">
        <v>0</v>
      </c>
      <c r="BI1372" s="8">
        <f t="shared" si="1669"/>
        <v>-586.22000000000014</v>
      </c>
      <c r="BJ1372" s="2" t="s">
        <v>84</v>
      </c>
      <c r="BL1372" s="63"/>
      <c r="BM1372" s="63">
        <v>0</v>
      </c>
      <c r="BN1372" s="267"/>
      <c r="BO1372" s="63">
        <v>0</v>
      </c>
      <c r="BP1372" s="63">
        <v>0</v>
      </c>
      <c r="BQ1372" s="2">
        <v>0</v>
      </c>
      <c r="BS1372" s="61">
        <f t="shared" si="1694"/>
        <v>529.94000000000005</v>
      </c>
      <c r="BT1372" s="61">
        <f t="shared" si="1695"/>
        <v>0.35</v>
      </c>
      <c r="BU1372" s="61">
        <f t="shared" si="1684"/>
        <v>0.55999999999999994</v>
      </c>
      <c r="BV1372" s="61">
        <f t="shared" si="1684"/>
        <v>0</v>
      </c>
      <c r="BW1372" s="61">
        <f t="shared" si="1684"/>
        <v>0</v>
      </c>
      <c r="BX1372" s="63">
        <f t="shared" si="1684"/>
        <v>530.85000000000014</v>
      </c>
      <c r="BY1372" s="61" t="s">
        <v>91</v>
      </c>
      <c r="CA1372" s="61">
        <f t="shared" si="1680"/>
        <v>0</v>
      </c>
      <c r="CB1372" s="61">
        <f t="shared" si="1680"/>
        <v>0</v>
      </c>
      <c r="CC1372" s="61">
        <f t="shared" si="1680"/>
        <v>79.72619226718821</v>
      </c>
      <c r="CD1372" s="61">
        <f t="shared" si="1680"/>
        <v>79.72619226718821</v>
      </c>
      <c r="CE1372" s="61">
        <f t="shared" si="1680"/>
        <v>79.72619226718821</v>
      </c>
      <c r="CF1372" s="61">
        <f t="shared" si="1680"/>
        <v>79.72619226718821</v>
      </c>
      <c r="CG1372" s="61">
        <f t="shared" si="1680"/>
        <v>0</v>
      </c>
      <c r="CH1372" s="61">
        <f t="shared" si="1680"/>
        <v>0</v>
      </c>
      <c r="CI1372" s="61">
        <f t="shared" si="1666"/>
        <v>47.835715360312932</v>
      </c>
      <c r="CJ1372" s="267"/>
      <c r="CK1372" s="61">
        <f t="shared" si="1681"/>
        <v>0</v>
      </c>
      <c r="CL1372" s="61">
        <f t="shared" si="1681"/>
        <v>0</v>
      </c>
      <c r="CM1372" s="61">
        <f t="shared" si="1681"/>
        <v>79.863096133594127</v>
      </c>
      <c r="CN1372" s="61">
        <f t="shared" si="1681"/>
        <v>79.863096133594127</v>
      </c>
      <c r="CO1372" s="61">
        <f t="shared" si="1662"/>
        <v>79.863096133594127</v>
      </c>
      <c r="CP1372" s="61">
        <f t="shared" si="1662"/>
        <v>79.863096133594127</v>
      </c>
      <c r="CQ1372" s="61">
        <f t="shared" si="1662"/>
        <v>0</v>
      </c>
      <c r="CR1372" s="61">
        <f t="shared" si="1662"/>
        <v>0</v>
      </c>
      <c r="CS1372" s="61">
        <f t="shared" si="1667"/>
        <v>47.917857680156473</v>
      </c>
      <c r="CT1372" s="63">
        <f t="shared" si="1670"/>
        <v>318.5100000000001</v>
      </c>
      <c r="CU1372" s="73"/>
      <c r="CV1372" s="61">
        <f t="shared" si="1696"/>
        <v>0</v>
      </c>
      <c r="CW1372" s="61">
        <f t="shared" si="1668"/>
        <v>0</v>
      </c>
      <c r="CY1372" s="61">
        <f t="shared" si="1648"/>
        <v>0</v>
      </c>
      <c r="CZ1372" s="61">
        <f t="shared" si="1648"/>
        <v>0</v>
      </c>
      <c r="DA1372" s="61">
        <f t="shared" si="1648"/>
        <v>0</v>
      </c>
      <c r="DB1372" s="2" t="s">
        <v>86</v>
      </c>
      <c r="DC1372" s="2" t="s">
        <v>86</v>
      </c>
      <c r="DD1372" s="2" t="s">
        <v>87</v>
      </c>
      <c r="DE1372" s="2" t="s">
        <v>106</v>
      </c>
      <c r="DF1372" s="3" t="s">
        <v>86</v>
      </c>
      <c r="DG1372" s="62">
        <v>43111</v>
      </c>
      <c r="EC1372" s="60" t="str">
        <f>VLOOKUP($M1372,[1]Detail!$M:$BO,1,0)</f>
        <v>JD8T -14K138 -BA </v>
      </c>
      <c r="ED1372" s="60">
        <f>VLOOKUP($M1372,[1]Detail!$M:$BO,22,0)</f>
        <v>-55.37</v>
      </c>
      <c r="EE1372" s="60">
        <f>VLOOKUP($M1372,[1]Detail!$M:$BO,42,0)</f>
        <v>0</v>
      </c>
      <c r="EF1372" s="60">
        <f>VLOOKUP($M1372,[1]Detail!$M:$BO,45,0)</f>
        <v>0</v>
      </c>
      <c r="EH1372" s="60">
        <f t="shared" si="1700"/>
        <v>0</v>
      </c>
      <c r="EI1372" s="60">
        <f t="shared" si="1701"/>
        <v>0</v>
      </c>
      <c r="EJ1372" s="60">
        <f t="shared" si="1702"/>
        <v>0</v>
      </c>
    </row>
    <row r="1373" spans="2:140" ht="12.75" hidden="1" customHeight="1">
      <c r="B1373" s="1" t="s">
        <v>2176</v>
      </c>
      <c r="C1373" s="22" t="s">
        <v>2177</v>
      </c>
      <c r="D1373" s="149" t="s">
        <v>2178</v>
      </c>
      <c r="E1373" s="86" t="s">
        <v>1591</v>
      </c>
      <c r="F1373" s="85" t="s">
        <v>2072</v>
      </c>
      <c r="G1373" s="297" t="s">
        <v>994</v>
      </c>
      <c r="J1373" s="298" t="s">
        <v>155</v>
      </c>
      <c r="K1373" s="299" t="s">
        <v>2227</v>
      </c>
      <c r="L1373" s="3" t="s">
        <v>2184</v>
      </c>
      <c r="M1373" s="51" t="str">
        <f t="shared" si="1661"/>
        <v>JD8T -14K138 -CA </v>
      </c>
      <c r="O1373" s="89">
        <v>0</v>
      </c>
      <c r="P1373" s="89">
        <v>0</v>
      </c>
      <c r="Q1373" s="89">
        <v>0</v>
      </c>
      <c r="R1373" s="89">
        <v>0</v>
      </c>
      <c r="S1373" s="89">
        <v>0</v>
      </c>
      <c r="T1373" s="89">
        <v>0</v>
      </c>
      <c r="U1373" s="89">
        <v>1</v>
      </c>
      <c r="V1373" s="89">
        <v>1</v>
      </c>
      <c r="W1373" s="164">
        <f t="shared" si="1650"/>
        <v>0.1</v>
      </c>
      <c r="Y1373" s="8">
        <v>-79.989999999999995</v>
      </c>
      <c r="Z1373" s="63">
        <v>-0.47</v>
      </c>
      <c r="AA1373" s="63">
        <v>-0.14000000000000001</v>
      </c>
      <c r="AB1373" s="63"/>
      <c r="AC1373" s="63"/>
      <c r="AD1373" s="8">
        <f t="shared" si="1645"/>
        <v>-80.599999999999994</v>
      </c>
      <c r="AE1373" s="2" t="s">
        <v>84</v>
      </c>
      <c r="AG1373" s="300"/>
      <c r="AH1373" s="300"/>
      <c r="AJ1373" s="300"/>
      <c r="AK1373" s="176"/>
      <c r="AM1373" s="22"/>
      <c r="AO1373" s="298" t="s">
        <v>1735</v>
      </c>
      <c r="AP1373" s="297" t="s">
        <v>2227</v>
      </c>
      <c r="AQ1373" s="3" t="s">
        <v>2223</v>
      </c>
      <c r="AR1373" s="90" t="str">
        <f t="shared" ref="AR1373:AR1401" si="1703">TRIM(AO1373)&amp;"-"&amp;TRIM(AP1373)&amp;"-"&amp;TRIM(AQ1373)</f>
        <v>ED8T -14K138 -AE </v>
      </c>
      <c r="AT1373" s="89">
        <v>0</v>
      </c>
      <c r="AU1373" s="89">
        <v>0</v>
      </c>
      <c r="AV1373" s="89">
        <v>0</v>
      </c>
      <c r="AW1373" s="89">
        <v>0</v>
      </c>
      <c r="AX1373" s="89">
        <v>0</v>
      </c>
      <c r="AY1373" s="89">
        <v>0</v>
      </c>
      <c r="AZ1373" s="89">
        <v>1</v>
      </c>
      <c r="BA1373" s="89">
        <v>1</v>
      </c>
      <c r="BB1373" s="89">
        <f t="shared" si="1649"/>
        <v>0.1</v>
      </c>
      <c r="BD1373" s="60">
        <v>-584.70000000000005</v>
      </c>
      <c r="BE1373" s="63">
        <v>-0.82</v>
      </c>
      <c r="BF1373" s="63">
        <v>-0.7</v>
      </c>
      <c r="BG1373" s="63">
        <v>0</v>
      </c>
      <c r="BH1373" s="63">
        <v>0</v>
      </c>
      <c r="BI1373" s="8">
        <f t="shared" si="1669"/>
        <v>-586.22000000000014</v>
      </c>
      <c r="BJ1373" s="2" t="s">
        <v>84</v>
      </c>
      <c r="BL1373" s="63"/>
      <c r="BM1373" s="63">
        <v>0</v>
      </c>
      <c r="BN1373" s="267"/>
      <c r="BO1373" s="63">
        <v>0</v>
      </c>
      <c r="BP1373" s="63">
        <v>0</v>
      </c>
      <c r="BQ1373" s="2">
        <v>0</v>
      </c>
      <c r="BS1373" s="61">
        <f t="shared" si="1694"/>
        <v>504.71000000000004</v>
      </c>
      <c r="BT1373" s="61">
        <f t="shared" si="1695"/>
        <v>0.35</v>
      </c>
      <c r="BU1373" s="61">
        <f t="shared" si="1684"/>
        <v>0.55999999999999994</v>
      </c>
      <c r="BV1373" s="61">
        <f t="shared" si="1684"/>
        <v>0</v>
      </c>
      <c r="BW1373" s="61">
        <f t="shared" si="1684"/>
        <v>0</v>
      </c>
      <c r="BX1373" s="63">
        <f t="shared" si="1684"/>
        <v>505.62000000000012</v>
      </c>
      <c r="BY1373" s="61" t="s">
        <v>91</v>
      </c>
      <c r="CA1373" s="61">
        <f t="shared" si="1680"/>
        <v>0</v>
      </c>
      <c r="CB1373" s="61">
        <f t="shared" si="1680"/>
        <v>0</v>
      </c>
      <c r="CC1373" s="61">
        <f t="shared" si="1680"/>
        <v>0</v>
      </c>
      <c r="CD1373" s="61">
        <f t="shared" si="1680"/>
        <v>0</v>
      </c>
      <c r="CE1373" s="61">
        <f t="shared" si="1680"/>
        <v>0</v>
      </c>
      <c r="CF1373" s="61">
        <f t="shared" si="1680"/>
        <v>0</v>
      </c>
      <c r="CG1373" s="61">
        <f t="shared" si="1680"/>
        <v>75.930494960132393</v>
      </c>
      <c r="CH1373" s="61">
        <f t="shared" si="1680"/>
        <v>75.930494960132393</v>
      </c>
      <c r="CI1373" s="61">
        <f t="shared" si="1666"/>
        <v>7.59304949601324</v>
      </c>
      <c r="CJ1373" s="267"/>
      <c r="CK1373" s="61">
        <f t="shared" si="1681"/>
        <v>0</v>
      </c>
      <c r="CL1373" s="61">
        <f t="shared" si="1681"/>
        <v>0</v>
      </c>
      <c r="CM1373" s="61">
        <f t="shared" si="1681"/>
        <v>0</v>
      </c>
      <c r="CN1373" s="61">
        <f t="shared" si="1681"/>
        <v>0</v>
      </c>
      <c r="CO1373" s="61">
        <f t="shared" si="1662"/>
        <v>0</v>
      </c>
      <c r="CP1373" s="61">
        <f t="shared" si="1662"/>
        <v>0</v>
      </c>
      <c r="CQ1373" s="61">
        <f t="shared" si="1662"/>
        <v>76.067398826538309</v>
      </c>
      <c r="CR1373" s="61">
        <f t="shared" si="1662"/>
        <v>76.067398826538309</v>
      </c>
      <c r="CS1373" s="61">
        <f t="shared" si="1667"/>
        <v>7.6067398826538311</v>
      </c>
      <c r="CT1373" s="63">
        <f t="shared" si="1670"/>
        <v>50.562000000000019</v>
      </c>
      <c r="CU1373" s="73"/>
      <c r="CV1373" s="61">
        <f t="shared" si="1696"/>
        <v>0</v>
      </c>
      <c r="CW1373" s="61">
        <f t="shared" si="1668"/>
        <v>0</v>
      </c>
      <c r="CY1373" s="61">
        <f t="shared" si="1648"/>
        <v>0</v>
      </c>
      <c r="CZ1373" s="61">
        <f t="shared" si="1648"/>
        <v>0</v>
      </c>
      <c r="DA1373" s="61">
        <f t="shared" si="1648"/>
        <v>0</v>
      </c>
      <c r="DB1373" s="2" t="s">
        <v>86</v>
      </c>
      <c r="DC1373" s="2" t="s">
        <v>86</v>
      </c>
      <c r="DD1373" s="2" t="s">
        <v>87</v>
      </c>
      <c r="DE1373" s="2" t="s">
        <v>106</v>
      </c>
      <c r="DF1373" s="3" t="s">
        <v>86</v>
      </c>
      <c r="DG1373" s="62">
        <v>43111</v>
      </c>
      <c r="EC1373" s="60" t="str">
        <f>VLOOKUP($M1373,[1]Detail!$M:$BO,1,0)</f>
        <v>JD8T -14K138 -CA </v>
      </c>
      <c r="ED1373" s="60">
        <f>VLOOKUP($M1373,[1]Detail!$M:$BO,22,0)</f>
        <v>-80.599999999999994</v>
      </c>
      <c r="EE1373" s="60">
        <f>VLOOKUP($M1373,[1]Detail!$M:$BO,42,0)</f>
        <v>0</v>
      </c>
      <c r="EF1373" s="60">
        <f>VLOOKUP($M1373,[1]Detail!$M:$BO,45,0)</f>
        <v>0</v>
      </c>
      <c r="EH1373" s="60">
        <f t="shared" si="1700"/>
        <v>0</v>
      </c>
      <c r="EI1373" s="60">
        <f t="shared" si="1701"/>
        <v>0</v>
      </c>
      <c r="EJ1373" s="60">
        <f t="shared" si="1702"/>
        <v>0</v>
      </c>
    </row>
    <row r="1374" spans="2:140" ht="12.75" hidden="1" customHeight="1">
      <c r="B1374" s="1" t="s">
        <v>2176</v>
      </c>
      <c r="C1374" s="22" t="s">
        <v>2177</v>
      </c>
      <c r="D1374" s="149" t="s">
        <v>2178</v>
      </c>
      <c r="E1374" s="86" t="s">
        <v>1591</v>
      </c>
      <c r="F1374" s="85" t="s">
        <v>2072</v>
      </c>
      <c r="G1374" s="297" t="s">
        <v>994</v>
      </c>
      <c r="J1374" s="298" t="s">
        <v>155</v>
      </c>
      <c r="K1374" s="299" t="s">
        <v>2228</v>
      </c>
      <c r="L1374" s="3" t="s">
        <v>769</v>
      </c>
      <c r="M1374" s="51" t="str">
        <f t="shared" si="1661"/>
        <v>JD8T -14K733 -AA </v>
      </c>
      <c r="O1374" s="89">
        <v>1</v>
      </c>
      <c r="P1374" s="89">
        <v>0</v>
      </c>
      <c r="Q1374" s="89">
        <v>0</v>
      </c>
      <c r="R1374" s="89">
        <v>0</v>
      </c>
      <c r="S1374" s="89">
        <v>0</v>
      </c>
      <c r="T1374" s="89">
        <v>0</v>
      </c>
      <c r="U1374" s="89">
        <v>0</v>
      </c>
      <c r="V1374" s="89">
        <v>0</v>
      </c>
      <c r="W1374" s="164">
        <f t="shared" si="1650"/>
        <v>0.14000000000000001</v>
      </c>
      <c r="Y1374" s="8">
        <v>-660.8</v>
      </c>
      <c r="Z1374" s="63">
        <v>-0.82</v>
      </c>
      <c r="AA1374" s="63">
        <v>-0.7</v>
      </c>
      <c r="AB1374" s="63"/>
      <c r="AC1374" s="63"/>
      <c r="AD1374" s="8">
        <f t="shared" si="1645"/>
        <v>-662.32</v>
      </c>
      <c r="AE1374" s="2" t="s">
        <v>84</v>
      </c>
      <c r="AG1374" s="300"/>
      <c r="AH1374" s="300"/>
      <c r="AJ1374" s="300"/>
      <c r="AK1374" s="176"/>
      <c r="AM1374" s="22"/>
      <c r="AO1374" s="298" t="s">
        <v>1735</v>
      </c>
      <c r="AP1374" s="297" t="s">
        <v>2228</v>
      </c>
      <c r="AQ1374" s="3" t="s">
        <v>2229</v>
      </c>
      <c r="AR1374" s="90" t="str">
        <f t="shared" si="1703"/>
        <v>ED8T -14K733 -AN </v>
      </c>
      <c r="AT1374" s="89">
        <v>1</v>
      </c>
      <c r="AU1374" s="89">
        <v>0</v>
      </c>
      <c r="AV1374" s="89">
        <v>0</v>
      </c>
      <c r="AW1374" s="89">
        <v>0</v>
      </c>
      <c r="AX1374" s="89">
        <v>0</v>
      </c>
      <c r="AY1374" s="89">
        <v>0</v>
      </c>
      <c r="AZ1374" s="89">
        <v>0</v>
      </c>
      <c r="BA1374" s="89">
        <v>0</v>
      </c>
      <c r="BB1374" s="89">
        <f t="shared" si="1649"/>
        <v>0.14000000000000001</v>
      </c>
      <c r="BD1374" s="60">
        <v>-584.70000000000005</v>
      </c>
      <c r="BE1374" s="63">
        <v>-0.82</v>
      </c>
      <c r="BF1374" s="63">
        <v>-0.7</v>
      </c>
      <c r="BG1374" s="63">
        <v>0</v>
      </c>
      <c r="BH1374" s="63">
        <v>0</v>
      </c>
      <c r="BI1374" s="8">
        <f t="shared" si="1669"/>
        <v>-586.22000000000014</v>
      </c>
      <c r="BJ1374" s="2" t="s">
        <v>84</v>
      </c>
      <c r="BL1374" s="63"/>
      <c r="BM1374" s="63">
        <v>0</v>
      </c>
      <c r="BN1374" s="267"/>
      <c r="BO1374" s="63">
        <v>0</v>
      </c>
      <c r="BP1374" s="63">
        <v>0</v>
      </c>
      <c r="BQ1374" s="2">
        <v>0</v>
      </c>
      <c r="BS1374" s="61">
        <f t="shared" si="1694"/>
        <v>-76.099999999999909</v>
      </c>
      <c r="BT1374" s="61">
        <f t="shared" si="1695"/>
        <v>0</v>
      </c>
      <c r="BU1374" s="61">
        <f t="shared" si="1684"/>
        <v>0</v>
      </c>
      <c r="BV1374" s="61">
        <f t="shared" si="1684"/>
        <v>0</v>
      </c>
      <c r="BW1374" s="61">
        <f t="shared" si="1684"/>
        <v>0</v>
      </c>
      <c r="BX1374" s="63">
        <f t="shared" si="1684"/>
        <v>-76.099999999999909</v>
      </c>
      <c r="BY1374" s="61" t="s">
        <v>91</v>
      </c>
      <c r="CA1374" s="61">
        <f t="shared" si="1680"/>
        <v>-11.448773882954702</v>
      </c>
      <c r="CB1374" s="61">
        <f t="shared" si="1680"/>
        <v>0</v>
      </c>
      <c r="CC1374" s="61">
        <f t="shared" si="1680"/>
        <v>0</v>
      </c>
      <c r="CD1374" s="61">
        <f t="shared" si="1680"/>
        <v>0</v>
      </c>
      <c r="CE1374" s="61">
        <f t="shared" si="1680"/>
        <v>0</v>
      </c>
      <c r="CF1374" s="61">
        <f t="shared" si="1680"/>
        <v>0</v>
      </c>
      <c r="CG1374" s="61">
        <f t="shared" si="1680"/>
        <v>0</v>
      </c>
      <c r="CH1374" s="61">
        <f t="shared" si="1680"/>
        <v>0</v>
      </c>
      <c r="CI1374" s="61">
        <f t="shared" si="1666"/>
        <v>-1.6028283436136586</v>
      </c>
      <c r="CJ1374" s="267"/>
      <c r="CK1374" s="61">
        <f t="shared" si="1681"/>
        <v>-11.448773882954702</v>
      </c>
      <c r="CL1374" s="61">
        <f t="shared" si="1681"/>
        <v>0</v>
      </c>
      <c r="CM1374" s="61">
        <f t="shared" si="1681"/>
        <v>0</v>
      </c>
      <c r="CN1374" s="61">
        <f t="shared" si="1681"/>
        <v>0</v>
      </c>
      <c r="CO1374" s="61">
        <f t="shared" si="1662"/>
        <v>0</v>
      </c>
      <c r="CP1374" s="61">
        <f t="shared" si="1662"/>
        <v>0</v>
      </c>
      <c r="CQ1374" s="61">
        <f t="shared" si="1662"/>
        <v>0</v>
      </c>
      <c r="CR1374" s="61">
        <f t="shared" si="1662"/>
        <v>0</v>
      </c>
      <c r="CS1374" s="61">
        <f t="shared" si="1667"/>
        <v>-1.6028283436136586</v>
      </c>
      <c r="CT1374" s="63">
        <f t="shared" si="1670"/>
        <v>-10.653999999999989</v>
      </c>
      <c r="CU1374" s="73"/>
      <c r="CV1374" s="61">
        <f t="shared" si="1696"/>
        <v>0</v>
      </c>
      <c r="CW1374" s="61">
        <f t="shared" si="1668"/>
        <v>0</v>
      </c>
      <c r="CY1374" s="61">
        <f t="shared" si="1648"/>
        <v>0</v>
      </c>
      <c r="CZ1374" s="61">
        <f t="shared" si="1648"/>
        <v>0</v>
      </c>
      <c r="DA1374" s="61">
        <f t="shared" si="1648"/>
        <v>0</v>
      </c>
      <c r="DB1374" s="2" t="s">
        <v>86</v>
      </c>
      <c r="DC1374" s="2" t="s">
        <v>86</v>
      </c>
      <c r="DD1374" s="2" t="s">
        <v>87</v>
      </c>
      <c r="DE1374" s="2" t="s">
        <v>106</v>
      </c>
      <c r="DF1374" s="3" t="s">
        <v>86</v>
      </c>
      <c r="DG1374" s="62">
        <v>43111</v>
      </c>
      <c r="EC1374" s="60" t="str">
        <f>VLOOKUP($M1374,[1]Detail!$M:$BO,1,0)</f>
        <v>JD8T -14K733 -AA </v>
      </c>
      <c r="ED1374" s="60">
        <f>VLOOKUP($M1374,[1]Detail!$M:$BO,22,0)</f>
        <v>-662.32</v>
      </c>
      <c r="EE1374" s="60">
        <f>VLOOKUP($M1374,[1]Detail!$M:$BO,42,0)</f>
        <v>0</v>
      </c>
      <c r="EF1374" s="60">
        <f>VLOOKUP($M1374,[1]Detail!$M:$BO,45,0)</f>
        <v>0</v>
      </c>
      <c r="EH1374" s="60">
        <f t="shared" si="1700"/>
        <v>0</v>
      </c>
      <c r="EI1374" s="60">
        <f t="shared" si="1701"/>
        <v>0</v>
      </c>
      <c r="EJ1374" s="60">
        <f t="shared" si="1702"/>
        <v>0</v>
      </c>
    </row>
    <row r="1375" spans="2:140" ht="12.75" hidden="1" customHeight="1">
      <c r="B1375" s="1" t="s">
        <v>2176</v>
      </c>
      <c r="C1375" s="22" t="s">
        <v>2177</v>
      </c>
      <c r="D1375" s="149" t="s">
        <v>2178</v>
      </c>
      <c r="E1375" s="86" t="s">
        <v>1591</v>
      </c>
      <c r="F1375" s="85" t="s">
        <v>2072</v>
      </c>
      <c r="G1375" s="297" t="s">
        <v>994</v>
      </c>
      <c r="J1375" s="298" t="s">
        <v>155</v>
      </c>
      <c r="K1375" s="299" t="s">
        <v>2228</v>
      </c>
      <c r="L1375" s="3" t="s">
        <v>2182</v>
      </c>
      <c r="M1375" s="51" t="str">
        <f t="shared" si="1661"/>
        <v>JD8T -14K733 -BA </v>
      </c>
      <c r="O1375" s="89">
        <v>0</v>
      </c>
      <c r="P1375" s="89">
        <v>1</v>
      </c>
      <c r="Q1375" s="89">
        <v>0</v>
      </c>
      <c r="R1375" s="89">
        <v>0</v>
      </c>
      <c r="S1375" s="89">
        <v>0</v>
      </c>
      <c r="T1375" s="89">
        <v>0</v>
      </c>
      <c r="U1375" s="89">
        <v>0</v>
      </c>
      <c r="V1375" s="89">
        <v>0</v>
      </c>
      <c r="W1375" s="164">
        <f t="shared" si="1650"/>
        <v>0.16</v>
      </c>
      <c r="Y1375" s="8">
        <v>-707.76</v>
      </c>
      <c r="Z1375" s="63">
        <v>-0.82</v>
      </c>
      <c r="AA1375" s="63">
        <v>-0.7</v>
      </c>
      <c r="AB1375" s="63"/>
      <c r="AC1375" s="63"/>
      <c r="AD1375" s="8">
        <f t="shared" si="1645"/>
        <v>-709.28000000000009</v>
      </c>
      <c r="AE1375" s="2" t="s">
        <v>84</v>
      </c>
      <c r="AG1375" s="300"/>
      <c r="AH1375" s="300"/>
      <c r="AJ1375" s="300"/>
      <c r="AK1375" s="176"/>
      <c r="AM1375" s="22"/>
      <c r="AO1375" s="298" t="s">
        <v>1735</v>
      </c>
      <c r="AP1375" s="297" t="s">
        <v>2228</v>
      </c>
      <c r="AQ1375" s="3" t="s">
        <v>2230</v>
      </c>
      <c r="AR1375" s="90" t="str">
        <f t="shared" si="1703"/>
        <v>ED8T -14K733 -HF </v>
      </c>
      <c r="AT1375" s="89">
        <v>0</v>
      </c>
      <c r="AU1375" s="89">
        <v>1</v>
      </c>
      <c r="AV1375" s="89">
        <v>0</v>
      </c>
      <c r="AW1375" s="89">
        <v>0</v>
      </c>
      <c r="AX1375" s="89">
        <v>0</v>
      </c>
      <c r="AY1375" s="89">
        <v>0</v>
      </c>
      <c r="AZ1375" s="89">
        <v>0</v>
      </c>
      <c r="BA1375" s="89">
        <v>0</v>
      </c>
      <c r="BB1375" s="89">
        <f t="shared" si="1649"/>
        <v>0.16</v>
      </c>
      <c r="BD1375" s="60">
        <v>-600.21</v>
      </c>
      <c r="BE1375" s="63">
        <v>-0.82</v>
      </c>
      <c r="BF1375" s="63">
        <v>-0.7</v>
      </c>
      <c r="BG1375" s="63">
        <v>0</v>
      </c>
      <c r="BH1375" s="63">
        <v>0</v>
      </c>
      <c r="BI1375" s="8">
        <f t="shared" si="1669"/>
        <v>-601.73000000000013</v>
      </c>
      <c r="BJ1375" s="2" t="s">
        <v>84</v>
      </c>
      <c r="BL1375" s="63"/>
      <c r="BM1375" s="63">
        <v>0</v>
      </c>
      <c r="BN1375" s="267"/>
      <c r="BO1375" s="63">
        <v>0</v>
      </c>
      <c r="BP1375" s="63">
        <v>0</v>
      </c>
      <c r="BQ1375" s="2">
        <v>0</v>
      </c>
      <c r="BS1375" s="61">
        <f t="shared" si="1694"/>
        <v>-107.54999999999995</v>
      </c>
      <c r="BT1375" s="61">
        <f t="shared" si="1695"/>
        <v>0</v>
      </c>
      <c r="BU1375" s="61">
        <f t="shared" si="1684"/>
        <v>0</v>
      </c>
      <c r="BV1375" s="61">
        <f t="shared" si="1684"/>
        <v>0</v>
      </c>
      <c r="BW1375" s="61">
        <f t="shared" si="1684"/>
        <v>0</v>
      </c>
      <c r="BX1375" s="63">
        <f t="shared" si="1684"/>
        <v>-107.54999999999995</v>
      </c>
      <c r="BY1375" s="61" t="s">
        <v>91</v>
      </c>
      <c r="CA1375" s="61">
        <f t="shared" si="1680"/>
        <v>0</v>
      </c>
      <c r="CB1375" s="61">
        <f t="shared" si="1680"/>
        <v>-16.180231683466218</v>
      </c>
      <c r="CC1375" s="61">
        <f t="shared" si="1680"/>
        <v>0</v>
      </c>
      <c r="CD1375" s="61">
        <f t="shared" si="1680"/>
        <v>0</v>
      </c>
      <c r="CE1375" s="61">
        <f t="shared" si="1680"/>
        <v>0</v>
      </c>
      <c r="CF1375" s="61">
        <f t="shared" si="1680"/>
        <v>0</v>
      </c>
      <c r="CG1375" s="61">
        <f t="shared" si="1680"/>
        <v>0</v>
      </c>
      <c r="CH1375" s="61">
        <f t="shared" si="1680"/>
        <v>0</v>
      </c>
      <c r="CI1375" s="61">
        <f t="shared" si="1666"/>
        <v>-2.5888370693545948</v>
      </c>
      <c r="CJ1375" s="267"/>
      <c r="CK1375" s="61">
        <f t="shared" si="1681"/>
        <v>0</v>
      </c>
      <c r="CL1375" s="61">
        <f t="shared" si="1681"/>
        <v>-16.180231683466218</v>
      </c>
      <c r="CM1375" s="61">
        <f t="shared" si="1681"/>
        <v>0</v>
      </c>
      <c r="CN1375" s="61">
        <f t="shared" si="1681"/>
        <v>0</v>
      </c>
      <c r="CO1375" s="61">
        <f t="shared" si="1662"/>
        <v>0</v>
      </c>
      <c r="CP1375" s="61">
        <f t="shared" si="1662"/>
        <v>0</v>
      </c>
      <c r="CQ1375" s="61">
        <f t="shared" si="1662"/>
        <v>0</v>
      </c>
      <c r="CR1375" s="61">
        <f t="shared" si="1662"/>
        <v>0</v>
      </c>
      <c r="CS1375" s="61">
        <f t="shared" si="1667"/>
        <v>-2.5888370693545948</v>
      </c>
      <c r="CT1375" s="63">
        <f t="shared" si="1670"/>
        <v>-17.207999999999991</v>
      </c>
      <c r="CU1375" s="73"/>
      <c r="CV1375" s="61">
        <f t="shared" si="1696"/>
        <v>0</v>
      </c>
      <c r="CW1375" s="61">
        <f t="shared" si="1668"/>
        <v>0</v>
      </c>
      <c r="CY1375" s="61">
        <f t="shared" si="1648"/>
        <v>0</v>
      </c>
      <c r="CZ1375" s="61">
        <f t="shared" si="1648"/>
        <v>0</v>
      </c>
      <c r="DA1375" s="61">
        <f t="shared" si="1648"/>
        <v>0</v>
      </c>
      <c r="DB1375" s="2" t="s">
        <v>86</v>
      </c>
      <c r="DC1375" s="2" t="s">
        <v>86</v>
      </c>
      <c r="DD1375" s="2" t="s">
        <v>87</v>
      </c>
      <c r="DE1375" s="2" t="s">
        <v>106</v>
      </c>
      <c r="DF1375" s="3" t="s">
        <v>86</v>
      </c>
      <c r="DG1375" s="62">
        <v>43111</v>
      </c>
      <c r="EC1375" s="60" t="str">
        <f>VLOOKUP($M1375,[1]Detail!$M:$BO,1,0)</f>
        <v>JD8T -14K733 -BA </v>
      </c>
      <c r="ED1375" s="60">
        <f>VLOOKUP($M1375,[1]Detail!$M:$BO,22,0)</f>
        <v>-709.28000000000009</v>
      </c>
      <c r="EE1375" s="60">
        <f>VLOOKUP($M1375,[1]Detail!$M:$BO,42,0)</f>
        <v>0</v>
      </c>
      <c r="EF1375" s="60">
        <f>VLOOKUP($M1375,[1]Detail!$M:$BO,45,0)</f>
        <v>0</v>
      </c>
      <c r="EH1375" s="60">
        <f t="shared" si="1700"/>
        <v>0</v>
      </c>
      <c r="EI1375" s="60">
        <f t="shared" si="1701"/>
        <v>0</v>
      </c>
      <c r="EJ1375" s="60">
        <f t="shared" si="1702"/>
        <v>0</v>
      </c>
    </row>
    <row r="1376" spans="2:140" ht="12.75" hidden="1" customHeight="1">
      <c r="B1376" s="1" t="s">
        <v>2176</v>
      </c>
      <c r="C1376" s="22" t="s">
        <v>2177</v>
      </c>
      <c r="D1376" s="149" t="s">
        <v>2178</v>
      </c>
      <c r="E1376" s="86" t="s">
        <v>1591</v>
      </c>
      <c r="F1376" s="85" t="s">
        <v>2072</v>
      </c>
      <c r="G1376" s="297" t="s">
        <v>994</v>
      </c>
      <c r="J1376" s="298" t="s">
        <v>155</v>
      </c>
      <c r="K1376" s="299" t="s">
        <v>2228</v>
      </c>
      <c r="L1376" s="3" t="s">
        <v>2184</v>
      </c>
      <c r="M1376" s="51" t="str">
        <f t="shared" si="1661"/>
        <v>JD8T -14K733 -CA </v>
      </c>
      <c r="O1376" s="89">
        <v>0</v>
      </c>
      <c r="P1376" s="89">
        <v>0</v>
      </c>
      <c r="Q1376" s="89">
        <v>1</v>
      </c>
      <c r="R1376" s="89">
        <v>0</v>
      </c>
      <c r="S1376" s="89">
        <v>0</v>
      </c>
      <c r="T1376" s="89">
        <v>0</v>
      </c>
      <c r="U1376" s="89">
        <v>0</v>
      </c>
      <c r="V1376" s="89">
        <v>0</v>
      </c>
      <c r="W1376" s="164">
        <f t="shared" si="1650"/>
        <v>0.14000000000000001</v>
      </c>
      <c r="Y1376" s="8">
        <v>-705.43</v>
      </c>
      <c r="Z1376" s="63">
        <v>-0.82</v>
      </c>
      <c r="AA1376" s="63">
        <v>-0.7</v>
      </c>
      <c r="AB1376" s="63"/>
      <c r="AC1376" s="63"/>
      <c r="AD1376" s="8">
        <f t="shared" si="1645"/>
        <v>-706.95</v>
      </c>
      <c r="AE1376" s="2" t="s">
        <v>84</v>
      </c>
      <c r="AG1376" s="300"/>
      <c r="AH1376" s="300"/>
      <c r="AJ1376" s="300"/>
      <c r="AK1376" s="176"/>
      <c r="AM1376" s="22"/>
      <c r="AO1376" s="298" t="s">
        <v>1735</v>
      </c>
      <c r="AP1376" s="297" t="s">
        <v>2228</v>
      </c>
      <c r="AQ1376" s="3" t="s">
        <v>2231</v>
      </c>
      <c r="AR1376" s="90" t="str">
        <f t="shared" si="1703"/>
        <v>ED8T -14K733 -GS </v>
      </c>
      <c r="AT1376" s="89">
        <v>0</v>
      </c>
      <c r="AU1376" s="89">
        <v>0</v>
      </c>
      <c r="AV1376" s="89">
        <v>1</v>
      </c>
      <c r="AW1376" s="89">
        <v>0</v>
      </c>
      <c r="AX1376" s="89">
        <v>0</v>
      </c>
      <c r="AY1376" s="89">
        <v>0</v>
      </c>
      <c r="AZ1376" s="89">
        <v>0</v>
      </c>
      <c r="BA1376" s="89">
        <v>0</v>
      </c>
      <c r="BB1376" s="89">
        <f t="shared" si="1649"/>
        <v>0.14000000000000001</v>
      </c>
      <c r="BD1376" s="60">
        <v>-584.70000000000005</v>
      </c>
      <c r="BE1376" s="63">
        <v>-0.82</v>
      </c>
      <c r="BF1376" s="63">
        <v>-0.7</v>
      </c>
      <c r="BG1376" s="63">
        <v>0</v>
      </c>
      <c r="BH1376" s="63">
        <v>0</v>
      </c>
      <c r="BI1376" s="8">
        <f t="shared" si="1669"/>
        <v>-586.22000000000014</v>
      </c>
      <c r="BJ1376" s="2" t="s">
        <v>84</v>
      </c>
      <c r="BL1376" s="63"/>
      <c r="BM1376" s="63">
        <v>0</v>
      </c>
      <c r="BN1376" s="267"/>
      <c r="BO1376" s="63">
        <v>0</v>
      </c>
      <c r="BP1376" s="63">
        <v>0</v>
      </c>
      <c r="BQ1376" s="2">
        <v>0</v>
      </c>
      <c r="BS1376" s="61">
        <f t="shared" si="1694"/>
        <v>-120.7299999999999</v>
      </c>
      <c r="BT1376" s="61">
        <f t="shared" si="1695"/>
        <v>0</v>
      </c>
      <c r="BU1376" s="61">
        <f t="shared" ref="BU1376:BX1404" si="1704">SUM(AA1376)-SUM(BF1376)</f>
        <v>0</v>
      </c>
      <c r="BV1376" s="61">
        <f t="shared" si="1704"/>
        <v>0</v>
      </c>
      <c r="BW1376" s="61">
        <f t="shared" si="1704"/>
        <v>0</v>
      </c>
      <c r="BX1376" s="63">
        <f t="shared" si="1704"/>
        <v>-120.7299999999999</v>
      </c>
      <c r="BY1376" s="61" t="s">
        <v>91</v>
      </c>
      <c r="CA1376" s="61">
        <f t="shared" si="1680"/>
        <v>0</v>
      </c>
      <c r="CB1376" s="61">
        <f t="shared" si="1680"/>
        <v>0</v>
      </c>
      <c r="CC1376" s="61">
        <f t="shared" si="1680"/>
        <v>-18.163081089213165</v>
      </c>
      <c r="CD1376" s="61">
        <f t="shared" si="1680"/>
        <v>0</v>
      </c>
      <c r="CE1376" s="61">
        <f t="shared" si="1680"/>
        <v>0</v>
      </c>
      <c r="CF1376" s="61">
        <f t="shared" si="1680"/>
        <v>0</v>
      </c>
      <c r="CG1376" s="61">
        <f t="shared" si="1680"/>
        <v>0</v>
      </c>
      <c r="CH1376" s="61">
        <f t="shared" si="1680"/>
        <v>0</v>
      </c>
      <c r="CI1376" s="61">
        <f t="shared" si="1666"/>
        <v>-2.5428313524898432</v>
      </c>
      <c r="CJ1376" s="267"/>
      <c r="CK1376" s="61">
        <f t="shared" si="1681"/>
        <v>0</v>
      </c>
      <c r="CL1376" s="61">
        <f t="shared" si="1681"/>
        <v>0</v>
      </c>
      <c r="CM1376" s="61">
        <f t="shared" si="1681"/>
        <v>-18.163081089213165</v>
      </c>
      <c r="CN1376" s="61">
        <f t="shared" si="1681"/>
        <v>0</v>
      </c>
      <c r="CO1376" s="61">
        <f t="shared" si="1662"/>
        <v>0</v>
      </c>
      <c r="CP1376" s="61">
        <f t="shared" si="1662"/>
        <v>0</v>
      </c>
      <c r="CQ1376" s="61">
        <f t="shared" si="1662"/>
        <v>0</v>
      </c>
      <c r="CR1376" s="61">
        <f t="shared" si="1662"/>
        <v>0</v>
      </c>
      <c r="CS1376" s="61">
        <f t="shared" si="1667"/>
        <v>-2.5428313524898432</v>
      </c>
      <c r="CT1376" s="63">
        <f t="shared" si="1670"/>
        <v>-16.902199999999986</v>
      </c>
      <c r="CU1376" s="73"/>
      <c r="CV1376" s="61">
        <f t="shared" si="1696"/>
        <v>0</v>
      </c>
      <c r="CW1376" s="61">
        <f t="shared" si="1668"/>
        <v>0</v>
      </c>
      <c r="CY1376" s="61">
        <f t="shared" si="1648"/>
        <v>0</v>
      </c>
      <c r="CZ1376" s="61">
        <f t="shared" si="1648"/>
        <v>0</v>
      </c>
      <c r="DA1376" s="61">
        <f t="shared" si="1648"/>
        <v>0</v>
      </c>
      <c r="DB1376" s="2" t="s">
        <v>86</v>
      </c>
      <c r="DC1376" s="2" t="s">
        <v>86</v>
      </c>
      <c r="DD1376" s="2" t="s">
        <v>87</v>
      </c>
      <c r="DE1376" s="2" t="s">
        <v>106</v>
      </c>
      <c r="DF1376" s="3" t="s">
        <v>86</v>
      </c>
      <c r="DG1376" s="62">
        <v>43111</v>
      </c>
      <c r="EC1376" s="60" t="str">
        <f>VLOOKUP($M1376,[1]Detail!$M:$BO,1,0)</f>
        <v>JD8T -14K733 -CA </v>
      </c>
      <c r="ED1376" s="60">
        <f>VLOOKUP($M1376,[1]Detail!$M:$BO,22,0)</f>
        <v>-706.95</v>
      </c>
      <c r="EE1376" s="60">
        <f>VLOOKUP($M1376,[1]Detail!$M:$BO,42,0)</f>
        <v>0</v>
      </c>
      <c r="EF1376" s="60">
        <f>VLOOKUP($M1376,[1]Detail!$M:$BO,45,0)</f>
        <v>0</v>
      </c>
      <c r="EH1376" s="60">
        <f t="shared" si="1700"/>
        <v>0</v>
      </c>
      <c r="EI1376" s="60">
        <f t="shared" si="1701"/>
        <v>0</v>
      </c>
      <c r="EJ1376" s="60">
        <f t="shared" si="1702"/>
        <v>0</v>
      </c>
    </row>
    <row r="1377" spans="2:140" ht="12.75" hidden="1" customHeight="1">
      <c r="B1377" s="1" t="s">
        <v>2176</v>
      </c>
      <c r="C1377" s="22" t="s">
        <v>2177</v>
      </c>
      <c r="D1377" s="149" t="s">
        <v>2178</v>
      </c>
      <c r="E1377" s="86" t="s">
        <v>1591</v>
      </c>
      <c r="F1377" s="85" t="s">
        <v>2072</v>
      </c>
      <c r="G1377" s="297" t="s">
        <v>994</v>
      </c>
      <c r="J1377" s="298" t="s">
        <v>155</v>
      </c>
      <c r="K1377" s="299" t="s">
        <v>2228</v>
      </c>
      <c r="L1377" s="3" t="s">
        <v>2186</v>
      </c>
      <c r="M1377" s="51" t="str">
        <f t="shared" si="1661"/>
        <v>JD8T -14K733 -DA </v>
      </c>
      <c r="O1377" s="89">
        <v>0</v>
      </c>
      <c r="P1377" s="89">
        <v>0</v>
      </c>
      <c r="Q1377" s="89">
        <v>0</v>
      </c>
      <c r="R1377" s="89">
        <v>1</v>
      </c>
      <c r="S1377" s="89"/>
      <c r="T1377" s="89">
        <v>0</v>
      </c>
      <c r="U1377" s="89">
        <v>0</v>
      </c>
      <c r="V1377" s="89">
        <v>0</v>
      </c>
      <c r="W1377" s="164">
        <f t="shared" si="1650"/>
        <v>0.23</v>
      </c>
      <c r="Y1377" s="8">
        <v>-733.8</v>
      </c>
      <c r="Z1377" s="63">
        <v>-0.82</v>
      </c>
      <c r="AA1377" s="63">
        <v>-0.7</v>
      </c>
      <c r="AB1377" s="63"/>
      <c r="AC1377" s="63"/>
      <c r="AD1377" s="8">
        <f t="shared" si="1645"/>
        <v>-735.32</v>
      </c>
      <c r="AE1377" s="2" t="s">
        <v>84</v>
      </c>
      <c r="AG1377" s="300"/>
      <c r="AH1377" s="300"/>
      <c r="AJ1377" s="300"/>
      <c r="AK1377" s="176"/>
      <c r="AM1377" s="22"/>
      <c r="AO1377" s="298" t="s">
        <v>1735</v>
      </c>
      <c r="AP1377" s="297" t="s">
        <v>2228</v>
      </c>
      <c r="AQ1377" s="3" t="s">
        <v>2232</v>
      </c>
      <c r="AR1377" s="90" t="str">
        <f t="shared" si="1703"/>
        <v>ED8T -14K733 -JG </v>
      </c>
      <c r="AT1377" s="89">
        <v>0</v>
      </c>
      <c r="AU1377" s="89">
        <v>0</v>
      </c>
      <c r="AV1377" s="89">
        <v>0</v>
      </c>
      <c r="AW1377" s="89">
        <v>1</v>
      </c>
      <c r="AX1377" s="89"/>
      <c r="AY1377" s="89">
        <v>0</v>
      </c>
      <c r="AZ1377" s="89">
        <v>0</v>
      </c>
      <c r="BA1377" s="89">
        <v>0</v>
      </c>
      <c r="BB1377" s="89">
        <f t="shared" si="1649"/>
        <v>0.23</v>
      </c>
      <c r="BD1377" s="60">
        <v>-600.21</v>
      </c>
      <c r="BE1377" s="63">
        <v>-0.82</v>
      </c>
      <c r="BF1377" s="63">
        <v>-0.7</v>
      </c>
      <c r="BG1377" s="63">
        <v>0</v>
      </c>
      <c r="BH1377" s="63">
        <v>0</v>
      </c>
      <c r="BI1377" s="8">
        <f t="shared" si="1669"/>
        <v>-601.73000000000013</v>
      </c>
      <c r="BJ1377" s="2" t="s">
        <v>84</v>
      </c>
      <c r="BL1377" s="63"/>
      <c r="BM1377" s="63">
        <v>0</v>
      </c>
      <c r="BN1377" s="267"/>
      <c r="BO1377" s="63">
        <v>0</v>
      </c>
      <c r="BP1377" s="63">
        <v>0</v>
      </c>
      <c r="BQ1377" s="2">
        <v>0</v>
      </c>
      <c r="BS1377" s="61">
        <f t="shared" si="1694"/>
        <v>-133.58999999999992</v>
      </c>
      <c r="BT1377" s="61">
        <f t="shared" si="1695"/>
        <v>0</v>
      </c>
      <c r="BU1377" s="61">
        <f t="shared" si="1704"/>
        <v>0</v>
      </c>
      <c r="BV1377" s="61">
        <f t="shared" si="1704"/>
        <v>0</v>
      </c>
      <c r="BW1377" s="61">
        <f t="shared" si="1704"/>
        <v>0</v>
      </c>
      <c r="BX1377" s="63">
        <f t="shared" si="1704"/>
        <v>-133.58999999999992</v>
      </c>
      <c r="BY1377" s="61" t="s">
        <v>91</v>
      </c>
      <c r="CA1377" s="61">
        <f t="shared" si="1680"/>
        <v>0</v>
      </c>
      <c r="CB1377" s="61">
        <f t="shared" si="1680"/>
        <v>0</v>
      </c>
      <c r="CC1377" s="61">
        <f t="shared" si="1680"/>
        <v>0</v>
      </c>
      <c r="CD1377" s="61">
        <f t="shared" si="1680"/>
        <v>-20.097788476004201</v>
      </c>
      <c r="CE1377" s="61">
        <f t="shared" si="1680"/>
        <v>0</v>
      </c>
      <c r="CF1377" s="61">
        <f t="shared" si="1680"/>
        <v>0</v>
      </c>
      <c r="CG1377" s="61">
        <f t="shared" si="1680"/>
        <v>0</v>
      </c>
      <c r="CH1377" s="61">
        <f t="shared" si="1680"/>
        <v>0</v>
      </c>
      <c r="CI1377" s="61">
        <f t="shared" si="1666"/>
        <v>-4.6224913494809661</v>
      </c>
      <c r="CJ1377" s="267"/>
      <c r="CK1377" s="61">
        <f t="shared" si="1681"/>
        <v>0</v>
      </c>
      <c r="CL1377" s="61">
        <f t="shared" si="1681"/>
        <v>0</v>
      </c>
      <c r="CM1377" s="61">
        <f t="shared" si="1681"/>
        <v>0</v>
      </c>
      <c r="CN1377" s="61">
        <f t="shared" si="1681"/>
        <v>-20.097788476004201</v>
      </c>
      <c r="CO1377" s="61">
        <f t="shared" si="1662"/>
        <v>0</v>
      </c>
      <c r="CP1377" s="61">
        <f t="shared" si="1662"/>
        <v>0</v>
      </c>
      <c r="CQ1377" s="61">
        <f t="shared" si="1662"/>
        <v>0</v>
      </c>
      <c r="CR1377" s="61">
        <f t="shared" si="1662"/>
        <v>0</v>
      </c>
      <c r="CS1377" s="61">
        <f t="shared" si="1667"/>
        <v>-4.6224913494809661</v>
      </c>
      <c r="CT1377" s="63">
        <f t="shared" si="1670"/>
        <v>-30.725699999999982</v>
      </c>
      <c r="CU1377" s="73"/>
      <c r="CV1377" s="61">
        <f t="shared" si="1696"/>
        <v>0</v>
      </c>
      <c r="CW1377" s="61">
        <f t="shared" si="1668"/>
        <v>0</v>
      </c>
      <c r="CY1377" s="61">
        <f t="shared" si="1648"/>
        <v>0</v>
      </c>
      <c r="CZ1377" s="61">
        <f t="shared" si="1648"/>
        <v>0</v>
      </c>
      <c r="DA1377" s="61">
        <f t="shared" si="1648"/>
        <v>0</v>
      </c>
      <c r="DB1377" s="2" t="s">
        <v>86</v>
      </c>
      <c r="DC1377" s="2" t="s">
        <v>86</v>
      </c>
      <c r="DD1377" s="2" t="s">
        <v>87</v>
      </c>
      <c r="DE1377" s="2" t="s">
        <v>106</v>
      </c>
      <c r="DF1377" s="3" t="s">
        <v>86</v>
      </c>
      <c r="DG1377" s="62">
        <v>43111</v>
      </c>
      <c r="EC1377" s="60" t="str">
        <f>VLOOKUP($M1377,[1]Detail!$M:$BO,1,0)</f>
        <v>JD8T -14K733 -DA </v>
      </c>
      <c r="ED1377" s="60">
        <f>VLOOKUP($M1377,[1]Detail!$M:$BO,22,0)</f>
        <v>-735.32</v>
      </c>
      <c r="EE1377" s="60">
        <f>VLOOKUP($M1377,[1]Detail!$M:$BO,42,0)</f>
        <v>0</v>
      </c>
      <c r="EF1377" s="60">
        <f>VLOOKUP($M1377,[1]Detail!$M:$BO,45,0)</f>
        <v>0</v>
      </c>
      <c r="EH1377" s="60">
        <f t="shared" si="1700"/>
        <v>0</v>
      </c>
      <c r="EI1377" s="60">
        <f t="shared" si="1701"/>
        <v>0</v>
      </c>
      <c r="EJ1377" s="60">
        <f t="shared" si="1702"/>
        <v>0</v>
      </c>
    </row>
    <row r="1378" spans="2:140" ht="12.75" hidden="1" customHeight="1">
      <c r="B1378" s="1" t="s">
        <v>2176</v>
      </c>
      <c r="C1378" s="22" t="s">
        <v>2177</v>
      </c>
      <c r="D1378" s="149" t="s">
        <v>2178</v>
      </c>
      <c r="E1378" s="86" t="s">
        <v>1591</v>
      </c>
      <c r="F1378" s="85" t="s">
        <v>2072</v>
      </c>
      <c r="G1378" s="297" t="s">
        <v>994</v>
      </c>
      <c r="J1378" s="298" t="s">
        <v>155</v>
      </c>
      <c r="K1378" s="299" t="s">
        <v>2228</v>
      </c>
      <c r="L1378" s="3" t="s">
        <v>2188</v>
      </c>
      <c r="M1378" s="51" t="str">
        <f t="shared" si="1661"/>
        <v>JD8T -14K733 -EA </v>
      </c>
      <c r="O1378" s="89">
        <v>0</v>
      </c>
      <c r="P1378" s="89">
        <v>0</v>
      </c>
      <c r="Q1378" s="89">
        <v>0</v>
      </c>
      <c r="R1378" s="89">
        <v>0</v>
      </c>
      <c r="S1378" s="89">
        <v>1</v>
      </c>
      <c r="T1378" s="89">
        <v>0</v>
      </c>
      <c r="U1378" s="89">
        <v>0</v>
      </c>
      <c r="V1378" s="89">
        <v>0</v>
      </c>
      <c r="W1378" s="164">
        <f t="shared" si="1650"/>
        <v>0.09</v>
      </c>
      <c r="Y1378" s="8">
        <v>-861.64</v>
      </c>
      <c r="Z1378" s="63">
        <v>-0.82</v>
      </c>
      <c r="AA1378" s="63">
        <v>-0.7</v>
      </c>
      <c r="AB1378" s="63"/>
      <c r="AC1378" s="63"/>
      <c r="AD1378" s="8">
        <f t="shared" si="1645"/>
        <v>-863.16000000000008</v>
      </c>
      <c r="AE1378" s="2" t="s">
        <v>84</v>
      </c>
      <c r="AG1378" s="300"/>
      <c r="AH1378" s="300"/>
      <c r="AJ1378" s="300"/>
      <c r="AK1378" s="176"/>
      <c r="AM1378" s="22"/>
      <c r="AO1378" s="298" t="s">
        <v>1735</v>
      </c>
      <c r="AP1378" s="297" t="s">
        <v>2228</v>
      </c>
      <c r="AQ1378" s="3" t="s">
        <v>2231</v>
      </c>
      <c r="AR1378" s="90" t="str">
        <f t="shared" si="1703"/>
        <v>ED8T -14K733 -GS </v>
      </c>
      <c r="AT1378" s="89">
        <v>0</v>
      </c>
      <c r="AU1378" s="89">
        <v>0</v>
      </c>
      <c r="AV1378" s="89">
        <v>0</v>
      </c>
      <c r="AW1378" s="89">
        <v>0</v>
      </c>
      <c r="AX1378" s="89">
        <v>1</v>
      </c>
      <c r="AY1378" s="89">
        <v>0</v>
      </c>
      <c r="AZ1378" s="89">
        <v>0</v>
      </c>
      <c r="BA1378" s="89">
        <v>0</v>
      </c>
      <c r="BB1378" s="89">
        <f t="shared" si="1649"/>
        <v>0.09</v>
      </c>
      <c r="BD1378" s="60">
        <v>-584.70000000000005</v>
      </c>
      <c r="BE1378" s="63">
        <v>-0.82</v>
      </c>
      <c r="BF1378" s="63">
        <v>-0.7</v>
      </c>
      <c r="BG1378" s="63">
        <v>0</v>
      </c>
      <c r="BH1378" s="63">
        <v>0</v>
      </c>
      <c r="BI1378" s="8">
        <f t="shared" si="1669"/>
        <v>-586.22000000000014</v>
      </c>
      <c r="BJ1378" s="2" t="s">
        <v>84</v>
      </c>
      <c r="BL1378" s="63"/>
      <c r="BM1378" s="63">
        <v>0</v>
      </c>
      <c r="BN1378" s="267"/>
      <c r="BO1378" s="63">
        <v>0</v>
      </c>
      <c r="BP1378" s="63">
        <v>0</v>
      </c>
      <c r="BQ1378" s="2">
        <v>0</v>
      </c>
      <c r="BS1378" s="61">
        <f t="shared" si="1694"/>
        <v>-276.93999999999994</v>
      </c>
      <c r="BT1378" s="61">
        <f t="shared" si="1695"/>
        <v>0</v>
      </c>
      <c r="BU1378" s="61">
        <f t="shared" si="1704"/>
        <v>0</v>
      </c>
      <c r="BV1378" s="61">
        <f t="shared" si="1704"/>
        <v>0</v>
      </c>
      <c r="BW1378" s="61">
        <f t="shared" si="1704"/>
        <v>0</v>
      </c>
      <c r="BX1378" s="63">
        <f t="shared" si="1704"/>
        <v>-276.93999999999994</v>
      </c>
      <c r="BY1378" s="61" t="s">
        <v>91</v>
      </c>
      <c r="CA1378" s="61">
        <f t="shared" si="1680"/>
        <v>0</v>
      </c>
      <c r="CB1378" s="61">
        <f t="shared" si="1680"/>
        <v>0</v>
      </c>
      <c r="CC1378" s="61">
        <f t="shared" si="1680"/>
        <v>0</v>
      </c>
      <c r="CD1378" s="61">
        <f t="shared" si="1680"/>
        <v>0</v>
      </c>
      <c r="CE1378" s="61">
        <f t="shared" si="1680"/>
        <v>-41.663908530163972</v>
      </c>
      <c r="CF1378" s="61">
        <f t="shared" si="1680"/>
        <v>0</v>
      </c>
      <c r="CG1378" s="61">
        <f t="shared" si="1680"/>
        <v>0</v>
      </c>
      <c r="CH1378" s="61">
        <f t="shared" si="1680"/>
        <v>0</v>
      </c>
      <c r="CI1378" s="61">
        <f t="shared" si="1666"/>
        <v>-3.7497517677147574</v>
      </c>
      <c r="CJ1378" s="267"/>
      <c r="CK1378" s="61">
        <f t="shared" si="1681"/>
        <v>0</v>
      </c>
      <c r="CL1378" s="61">
        <f t="shared" si="1681"/>
        <v>0</v>
      </c>
      <c r="CM1378" s="61">
        <f t="shared" si="1681"/>
        <v>0</v>
      </c>
      <c r="CN1378" s="61">
        <f t="shared" si="1681"/>
        <v>0</v>
      </c>
      <c r="CO1378" s="61">
        <f t="shared" si="1662"/>
        <v>-41.663908530163972</v>
      </c>
      <c r="CP1378" s="61">
        <f t="shared" si="1662"/>
        <v>0</v>
      </c>
      <c r="CQ1378" s="61">
        <f t="shared" si="1662"/>
        <v>0</v>
      </c>
      <c r="CR1378" s="61">
        <f t="shared" si="1662"/>
        <v>0</v>
      </c>
      <c r="CS1378" s="61">
        <f t="shared" si="1667"/>
        <v>-3.7497517677147574</v>
      </c>
      <c r="CT1378" s="63">
        <f t="shared" si="1670"/>
        <v>-24.924599999999995</v>
      </c>
      <c r="CU1378" s="73"/>
      <c r="CV1378" s="61">
        <f t="shared" si="1696"/>
        <v>0</v>
      </c>
      <c r="CW1378" s="61">
        <f t="shared" si="1668"/>
        <v>0</v>
      </c>
      <c r="CY1378" s="61">
        <f t="shared" si="1648"/>
        <v>0</v>
      </c>
      <c r="CZ1378" s="61">
        <f t="shared" si="1648"/>
        <v>0</v>
      </c>
      <c r="DA1378" s="61">
        <f t="shared" si="1648"/>
        <v>0</v>
      </c>
      <c r="DB1378" s="2" t="s">
        <v>86</v>
      </c>
      <c r="DC1378" s="2" t="s">
        <v>86</v>
      </c>
      <c r="DD1378" s="2" t="s">
        <v>87</v>
      </c>
      <c r="DE1378" s="2" t="s">
        <v>106</v>
      </c>
      <c r="DF1378" s="3" t="s">
        <v>86</v>
      </c>
      <c r="DG1378" s="62">
        <v>43111</v>
      </c>
      <c r="EC1378" s="60" t="str">
        <f>VLOOKUP($M1378,[1]Detail!$M:$BO,1,0)</f>
        <v>JD8T -14K733 -EA </v>
      </c>
      <c r="ED1378" s="60">
        <f>VLOOKUP($M1378,[1]Detail!$M:$BO,22,0)</f>
        <v>-863.16000000000008</v>
      </c>
      <c r="EE1378" s="60">
        <f>VLOOKUP($M1378,[1]Detail!$M:$BO,42,0)</f>
        <v>0</v>
      </c>
      <c r="EF1378" s="60">
        <f>VLOOKUP($M1378,[1]Detail!$M:$BO,45,0)</f>
        <v>0</v>
      </c>
      <c r="EH1378" s="60">
        <f t="shared" si="1700"/>
        <v>0</v>
      </c>
      <c r="EI1378" s="60">
        <f t="shared" si="1701"/>
        <v>0</v>
      </c>
      <c r="EJ1378" s="60">
        <f t="shared" si="1702"/>
        <v>0</v>
      </c>
    </row>
    <row r="1379" spans="2:140" ht="12.75" hidden="1" customHeight="1">
      <c r="B1379" s="1" t="s">
        <v>2176</v>
      </c>
      <c r="C1379" s="22" t="s">
        <v>2177</v>
      </c>
      <c r="D1379" s="149" t="s">
        <v>2178</v>
      </c>
      <c r="E1379" s="86" t="s">
        <v>1591</v>
      </c>
      <c r="F1379" s="85" t="s">
        <v>2072</v>
      </c>
      <c r="G1379" s="297" t="s">
        <v>994</v>
      </c>
      <c r="J1379" s="298" t="s">
        <v>155</v>
      </c>
      <c r="K1379" s="299" t="s">
        <v>2228</v>
      </c>
      <c r="L1379" s="3" t="s">
        <v>2190</v>
      </c>
      <c r="M1379" s="51" t="str">
        <f t="shared" si="1661"/>
        <v>JD8T -14K733 -FA </v>
      </c>
      <c r="O1379" s="89">
        <v>0</v>
      </c>
      <c r="P1379" s="89">
        <v>0</v>
      </c>
      <c r="Q1379" s="89">
        <v>0</v>
      </c>
      <c r="R1379" s="89">
        <v>0</v>
      </c>
      <c r="S1379" s="89">
        <v>0</v>
      </c>
      <c r="T1379" s="89">
        <v>1</v>
      </c>
      <c r="U1379" s="89">
        <v>0</v>
      </c>
      <c r="V1379" s="89">
        <v>0</v>
      </c>
      <c r="W1379" s="164">
        <f t="shared" si="1650"/>
        <v>0.14000000000000001</v>
      </c>
      <c r="Y1379" s="8">
        <v>-856.82</v>
      </c>
      <c r="Z1379" s="63">
        <v>-0.28000000000000003</v>
      </c>
      <c r="AA1379" s="63">
        <v>-0.14000000000000001</v>
      </c>
      <c r="AB1379" s="63"/>
      <c r="AC1379" s="63"/>
      <c r="AD1379" s="8">
        <f t="shared" si="1645"/>
        <v>-857.24</v>
      </c>
      <c r="AE1379" s="2" t="s">
        <v>84</v>
      </c>
      <c r="AG1379" s="300"/>
      <c r="AH1379" s="300"/>
      <c r="AJ1379" s="300"/>
      <c r="AK1379" s="176"/>
      <c r="AM1379" s="22"/>
      <c r="AO1379" s="298" t="s">
        <v>1735</v>
      </c>
      <c r="AP1379" s="297" t="s">
        <v>2228</v>
      </c>
      <c r="AQ1379" s="3" t="s">
        <v>2232</v>
      </c>
      <c r="AR1379" s="90" t="str">
        <f t="shared" si="1703"/>
        <v>ED8T -14K733 -JG </v>
      </c>
      <c r="AT1379" s="89">
        <v>0</v>
      </c>
      <c r="AU1379" s="89">
        <v>0</v>
      </c>
      <c r="AV1379" s="89">
        <v>0</v>
      </c>
      <c r="AW1379" s="89">
        <v>0</v>
      </c>
      <c r="AX1379" s="89">
        <v>0</v>
      </c>
      <c r="AY1379" s="89">
        <v>1</v>
      </c>
      <c r="AZ1379" s="89">
        <v>0</v>
      </c>
      <c r="BA1379" s="89">
        <v>0</v>
      </c>
      <c r="BB1379" s="89">
        <f t="shared" ref="BB1379:BB1422" si="1705">SUMPRODUCT(AT1379:BA1379,$O$6:$V$6)</f>
        <v>0.14000000000000001</v>
      </c>
      <c r="BD1379" s="60">
        <v>-21.31</v>
      </c>
      <c r="BE1379" s="63">
        <v>-0.28000000000000003</v>
      </c>
      <c r="BF1379" s="63">
        <v>-0.14000000000000001</v>
      </c>
      <c r="BG1379" s="63">
        <v>0</v>
      </c>
      <c r="BH1379" s="63">
        <v>0</v>
      </c>
      <c r="BI1379" s="8">
        <f t="shared" si="1669"/>
        <v>-21.73</v>
      </c>
      <c r="BJ1379" s="2" t="s">
        <v>84</v>
      </c>
      <c r="BL1379" s="63"/>
      <c r="BM1379" s="63">
        <v>0</v>
      </c>
      <c r="BN1379" s="267"/>
      <c r="BO1379" s="63">
        <v>0</v>
      </c>
      <c r="BP1379" s="63">
        <v>0</v>
      </c>
      <c r="BQ1379" s="2">
        <v>0</v>
      </c>
      <c r="BS1379" s="61">
        <f t="shared" si="1694"/>
        <v>-835.5100000000001</v>
      </c>
      <c r="BT1379" s="61">
        <f t="shared" si="1695"/>
        <v>0</v>
      </c>
      <c r="BU1379" s="61">
        <f t="shared" si="1704"/>
        <v>0</v>
      </c>
      <c r="BV1379" s="61">
        <f t="shared" si="1704"/>
        <v>0</v>
      </c>
      <c r="BW1379" s="61">
        <f t="shared" si="1704"/>
        <v>0</v>
      </c>
      <c r="BX1379" s="63">
        <f t="shared" si="1704"/>
        <v>-835.51</v>
      </c>
      <c r="BY1379" s="61" t="s">
        <v>91</v>
      </c>
      <c r="CA1379" s="61">
        <f t="shared" si="1680"/>
        <v>0</v>
      </c>
      <c r="CB1379" s="61">
        <f t="shared" si="1680"/>
        <v>0</v>
      </c>
      <c r="CC1379" s="61">
        <f t="shared" si="1680"/>
        <v>0</v>
      </c>
      <c r="CD1379" s="61">
        <f t="shared" si="1680"/>
        <v>0</v>
      </c>
      <c r="CE1379" s="61">
        <f t="shared" si="1680"/>
        <v>0</v>
      </c>
      <c r="CF1379" s="61">
        <f t="shared" si="1680"/>
        <v>-125.69730705581466</v>
      </c>
      <c r="CG1379" s="61">
        <f t="shared" si="1680"/>
        <v>0</v>
      </c>
      <c r="CH1379" s="61">
        <f t="shared" si="1680"/>
        <v>0</v>
      </c>
      <c r="CI1379" s="61">
        <f t="shared" si="1666"/>
        <v>-17.597622987814056</v>
      </c>
      <c r="CJ1379" s="267"/>
      <c r="CK1379" s="61">
        <f t="shared" si="1681"/>
        <v>0</v>
      </c>
      <c r="CL1379" s="61">
        <f t="shared" si="1681"/>
        <v>0</v>
      </c>
      <c r="CM1379" s="61">
        <f t="shared" si="1681"/>
        <v>0</v>
      </c>
      <c r="CN1379" s="61">
        <f t="shared" si="1681"/>
        <v>0</v>
      </c>
      <c r="CO1379" s="61">
        <f t="shared" si="1662"/>
        <v>0</v>
      </c>
      <c r="CP1379" s="61">
        <f t="shared" si="1662"/>
        <v>-125.69730705581465</v>
      </c>
      <c r="CQ1379" s="61">
        <f t="shared" si="1662"/>
        <v>0</v>
      </c>
      <c r="CR1379" s="61">
        <f t="shared" si="1662"/>
        <v>0</v>
      </c>
      <c r="CS1379" s="61">
        <f t="shared" si="1667"/>
        <v>-17.597622987814052</v>
      </c>
      <c r="CT1379" s="63">
        <f t="shared" si="1670"/>
        <v>-116.9714</v>
      </c>
      <c r="CU1379" s="73"/>
      <c r="CV1379" s="61">
        <f t="shared" si="1696"/>
        <v>0</v>
      </c>
      <c r="CW1379" s="61">
        <f t="shared" si="1668"/>
        <v>0</v>
      </c>
      <c r="CY1379" s="61">
        <f t="shared" si="1648"/>
        <v>0</v>
      </c>
      <c r="CZ1379" s="61">
        <f t="shared" si="1648"/>
        <v>0</v>
      </c>
      <c r="DA1379" s="61">
        <f t="shared" si="1648"/>
        <v>0</v>
      </c>
      <c r="DB1379" s="2" t="s">
        <v>86</v>
      </c>
      <c r="DC1379" s="2" t="s">
        <v>86</v>
      </c>
      <c r="DD1379" s="2" t="s">
        <v>87</v>
      </c>
      <c r="DE1379" s="2" t="s">
        <v>106</v>
      </c>
      <c r="DF1379" s="3" t="s">
        <v>86</v>
      </c>
      <c r="DG1379" s="62">
        <v>43111</v>
      </c>
      <c r="EC1379" s="60" t="str">
        <f>VLOOKUP($M1379,[1]Detail!$M:$BO,1,0)</f>
        <v>JD8T -14K733 -FA </v>
      </c>
      <c r="ED1379" s="60">
        <f>VLOOKUP($M1379,[1]Detail!$M:$BO,22,0)</f>
        <v>-857.24</v>
      </c>
      <c r="EE1379" s="60">
        <f>VLOOKUP($M1379,[1]Detail!$M:$BO,42,0)</f>
        <v>0</v>
      </c>
      <c r="EF1379" s="60">
        <f>VLOOKUP($M1379,[1]Detail!$M:$BO,45,0)</f>
        <v>0</v>
      </c>
      <c r="EH1379" s="60">
        <f t="shared" si="1700"/>
        <v>0</v>
      </c>
      <c r="EI1379" s="60">
        <f t="shared" si="1701"/>
        <v>0</v>
      </c>
      <c r="EJ1379" s="60">
        <f t="shared" si="1702"/>
        <v>0</v>
      </c>
    </row>
    <row r="1380" spans="2:140" ht="12.75" hidden="1" customHeight="1">
      <c r="B1380" s="1" t="s">
        <v>2176</v>
      </c>
      <c r="C1380" s="22" t="s">
        <v>2177</v>
      </c>
      <c r="D1380" s="149" t="s">
        <v>2178</v>
      </c>
      <c r="E1380" s="86" t="s">
        <v>1591</v>
      </c>
      <c r="F1380" s="85" t="s">
        <v>2072</v>
      </c>
      <c r="G1380" s="297" t="s">
        <v>994</v>
      </c>
      <c r="J1380" s="298" t="s">
        <v>155</v>
      </c>
      <c r="K1380" s="299" t="s">
        <v>2228</v>
      </c>
      <c r="L1380" s="3" t="s">
        <v>1593</v>
      </c>
      <c r="M1380" s="51" t="str">
        <f t="shared" si="1661"/>
        <v>JD8T -14K733 -GA </v>
      </c>
      <c r="O1380" s="89">
        <v>0</v>
      </c>
      <c r="P1380" s="89">
        <v>0</v>
      </c>
      <c r="Q1380" s="89">
        <v>0</v>
      </c>
      <c r="R1380" s="89">
        <v>0</v>
      </c>
      <c r="S1380" s="89">
        <v>0</v>
      </c>
      <c r="T1380" s="89">
        <v>0</v>
      </c>
      <c r="U1380" s="89">
        <v>1</v>
      </c>
      <c r="V1380" s="89">
        <v>0</v>
      </c>
      <c r="W1380" s="164">
        <f t="shared" ref="W1380:W1422" si="1706">SUMPRODUCT(O1380:V1380,$O$6:$V$6)</f>
        <v>0.05</v>
      </c>
      <c r="Y1380" s="8">
        <v>-792.48</v>
      </c>
      <c r="Z1380" s="63">
        <v>-0.28000000000000003</v>
      </c>
      <c r="AA1380" s="63">
        <v>-0.28999999999999998</v>
      </c>
      <c r="AB1380" s="63"/>
      <c r="AC1380" s="63"/>
      <c r="AD1380" s="8">
        <f t="shared" si="1645"/>
        <v>-793.05</v>
      </c>
      <c r="AE1380" s="2" t="s">
        <v>84</v>
      </c>
      <c r="AG1380" s="300"/>
      <c r="AH1380" s="300"/>
      <c r="AJ1380" s="300"/>
      <c r="AK1380" s="176"/>
      <c r="AM1380" s="22"/>
      <c r="AO1380" s="298" t="s">
        <v>1735</v>
      </c>
      <c r="AP1380" s="297" t="s">
        <v>2228</v>
      </c>
      <c r="AQ1380" s="3" t="s">
        <v>2232</v>
      </c>
      <c r="AR1380" s="90" t="str">
        <f t="shared" si="1703"/>
        <v>ED8T -14K733 -JG </v>
      </c>
      <c r="AT1380" s="89">
        <v>0</v>
      </c>
      <c r="AU1380" s="89">
        <v>0</v>
      </c>
      <c r="AV1380" s="89">
        <v>0</v>
      </c>
      <c r="AW1380" s="89">
        <v>0</v>
      </c>
      <c r="AX1380" s="89">
        <v>0</v>
      </c>
      <c r="AY1380" s="89">
        <v>0</v>
      </c>
      <c r="AZ1380" s="89">
        <v>1</v>
      </c>
      <c r="BA1380" s="89">
        <v>0</v>
      </c>
      <c r="BB1380" s="89">
        <f t="shared" si="1705"/>
        <v>0.05</v>
      </c>
      <c r="BD1380" s="60"/>
      <c r="BE1380" s="63"/>
      <c r="BF1380" s="63"/>
      <c r="BG1380" s="63">
        <v>0</v>
      </c>
      <c r="BH1380" s="63">
        <v>0</v>
      </c>
      <c r="BI1380" s="8">
        <f t="shared" si="1669"/>
        <v>0</v>
      </c>
      <c r="BJ1380" s="2" t="s">
        <v>84</v>
      </c>
      <c r="BL1380" s="63"/>
      <c r="BM1380" s="63">
        <v>0</v>
      </c>
      <c r="BN1380" s="267"/>
      <c r="BO1380" s="63">
        <v>0</v>
      </c>
      <c r="BP1380" s="63">
        <v>0</v>
      </c>
      <c r="BQ1380" s="2">
        <v>0</v>
      </c>
      <c r="BS1380" s="61">
        <f t="shared" si="1694"/>
        <v>-792.48</v>
      </c>
      <c r="BT1380" s="61">
        <f t="shared" si="1695"/>
        <v>-0.28000000000000003</v>
      </c>
      <c r="BU1380" s="61">
        <f t="shared" si="1704"/>
        <v>-0.28999999999999998</v>
      </c>
      <c r="BV1380" s="61">
        <f t="shared" si="1704"/>
        <v>0</v>
      </c>
      <c r="BW1380" s="61">
        <f t="shared" si="1704"/>
        <v>0</v>
      </c>
      <c r="BX1380" s="63">
        <f t="shared" si="1704"/>
        <v>-793.05</v>
      </c>
      <c r="BY1380" s="61" t="s">
        <v>91</v>
      </c>
      <c r="CA1380" s="61">
        <f t="shared" si="1680"/>
        <v>0</v>
      </c>
      <c r="CB1380" s="61">
        <f t="shared" si="1680"/>
        <v>0</v>
      </c>
      <c r="CC1380" s="61">
        <f t="shared" si="1680"/>
        <v>0</v>
      </c>
      <c r="CD1380" s="61">
        <f t="shared" si="1680"/>
        <v>0</v>
      </c>
      <c r="CE1380" s="61">
        <f t="shared" si="1680"/>
        <v>0</v>
      </c>
      <c r="CF1380" s="61">
        <f t="shared" si="1680"/>
        <v>0</v>
      </c>
      <c r="CG1380" s="61">
        <f t="shared" si="1680"/>
        <v>-119.22370994433579</v>
      </c>
      <c r="CH1380" s="61">
        <f t="shared" si="1680"/>
        <v>0</v>
      </c>
      <c r="CI1380" s="61">
        <f t="shared" si="1666"/>
        <v>-5.9611854972167899</v>
      </c>
      <c r="CJ1380" s="267"/>
      <c r="CK1380" s="61">
        <f t="shared" si="1681"/>
        <v>0</v>
      </c>
      <c r="CL1380" s="61">
        <f t="shared" si="1681"/>
        <v>0</v>
      </c>
      <c r="CM1380" s="61">
        <f t="shared" si="1681"/>
        <v>0</v>
      </c>
      <c r="CN1380" s="61">
        <f t="shared" si="1681"/>
        <v>0</v>
      </c>
      <c r="CO1380" s="61">
        <f t="shared" si="1662"/>
        <v>0</v>
      </c>
      <c r="CP1380" s="61">
        <f t="shared" si="1662"/>
        <v>0</v>
      </c>
      <c r="CQ1380" s="61">
        <f t="shared" si="1662"/>
        <v>-119.30946291560102</v>
      </c>
      <c r="CR1380" s="61">
        <f t="shared" si="1662"/>
        <v>0</v>
      </c>
      <c r="CS1380" s="61">
        <f t="shared" si="1667"/>
        <v>-5.9654731457800514</v>
      </c>
      <c r="CT1380" s="63">
        <f t="shared" si="1670"/>
        <v>-39.652500000000003</v>
      </c>
      <c r="CU1380" s="73"/>
      <c r="CV1380" s="61">
        <f t="shared" si="1696"/>
        <v>0</v>
      </c>
      <c r="CW1380" s="61">
        <f t="shared" si="1668"/>
        <v>0</v>
      </c>
      <c r="CY1380" s="61">
        <f t="shared" si="1648"/>
        <v>0</v>
      </c>
      <c r="CZ1380" s="61">
        <f t="shared" si="1648"/>
        <v>0</v>
      </c>
      <c r="DA1380" s="61">
        <f t="shared" si="1648"/>
        <v>0</v>
      </c>
      <c r="DB1380" s="2" t="s">
        <v>86</v>
      </c>
      <c r="DC1380" s="2" t="s">
        <v>86</v>
      </c>
      <c r="DD1380" s="2" t="s">
        <v>87</v>
      </c>
      <c r="DE1380" s="2" t="s">
        <v>106</v>
      </c>
      <c r="DF1380" s="3" t="s">
        <v>86</v>
      </c>
      <c r="DG1380" s="62">
        <v>43111</v>
      </c>
      <c r="EC1380" s="60" t="str">
        <f>VLOOKUP($M1380,[1]Detail!$M:$BO,1,0)</f>
        <v>JD8T -14K733 -GA </v>
      </c>
      <c r="ED1380" s="60">
        <f>VLOOKUP($M1380,[1]Detail!$M:$BO,22,0)</f>
        <v>-793.05</v>
      </c>
      <c r="EE1380" s="60">
        <f>VLOOKUP($M1380,[1]Detail!$M:$BO,42,0)</f>
        <v>0</v>
      </c>
      <c r="EF1380" s="60">
        <f>VLOOKUP($M1380,[1]Detail!$M:$BO,45,0)</f>
        <v>0</v>
      </c>
      <c r="EH1380" s="60">
        <f t="shared" si="1700"/>
        <v>0</v>
      </c>
      <c r="EI1380" s="60">
        <f t="shared" si="1701"/>
        <v>0</v>
      </c>
      <c r="EJ1380" s="60">
        <f t="shared" si="1702"/>
        <v>0</v>
      </c>
    </row>
    <row r="1381" spans="2:140" ht="12.75" hidden="1" customHeight="1">
      <c r="B1381" s="1" t="s">
        <v>2176</v>
      </c>
      <c r="C1381" s="22" t="s">
        <v>2177</v>
      </c>
      <c r="D1381" s="149" t="s">
        <v>2178</v>
      </c>
      <c r="E1381" s="86" t="s">
        <v>1591</v>
      </c>
      <c r="F1381" s="85" t="s">
        <v>2072</v>
      </c>
      <c r="G1381" s="297" t="s">
        <v>994</v>
      </c>
      <c r="J1381" s="298" t="s">
        <v>155</v>
      </c>
      <c r="K1381" s="299" t="s">
        <v>2228</v>
      </c>
      <c r="L1381" s="3" t="s">
        <v>2191</v>
      </c>
      <c r="M1381" s="51" t="str">
        <f t="shared" si="1661"/>
        <v>JD8T -14K733 -HA </v>
      </c>
      <c r="O1381" s="89">
        <v>0</v>
      </c>
      <c r="P1381" s="89">
        <v>0</v>
      </c>
      <c r="Q1381" s="89">
        <v>0</v>
      </c>
      <c r="R1381" s="89">
        <v>0</v>
      </c>
      <c r="S1381" s="89">
        <v>0</v>
      </c>
      <c r="T1381" s="89">
        <v>0</v>
      </c>
      <c r="U1381" s="89">
        <v>0</v>
      </c>
      <c r="V1381" s="89">
        <v>1</v>
      </c>
      <c r="W1381" s="164">
        <f t="shared" si="1706"/>
        <v>0.05</v>
      </c>
      <c r="Y1381" s="8">
        <v>-888.51</v>
      </c>
      <c r="Z1381" s="63">
        <v>-0.28000000000000003</v>
      </c>
      <c r="AA1381" s="63">
        <v>-0.14000000000000001</v>
      </c>
      <c r="AB1381" s="63"/>
      <c r="AC1381" s="63"/>
      <c r="AD1381" s="8">
        <f t="shared" si="1645"/>
        <v>-888.93</v>
      </c>
      <c r="AE1381" s="2" t="s">
        <v>84</v>
      </c>
      <c r="AG1381" s="300"/>
      <c r="AH1381" s="300"/>
      <c r="AJ1381" s="300"/>
      <c r="AK1381" s="176"/>
      <c r="AM1381" s="22"/>
      <c r="AO1381" s="298" t="s">
        <v>1735</v>
      </c>
      <c r="AP1381" s="297" t="s">
        <v>2228</v>
      </c>
      <c r="AQ1381" s="3" t="s">
        <v>2232</v>
      </c>
      <c r="AR1381" s="90" t="str">
        <f t="shared" si="1703"/>
        <v>ED8T -14K733 -JG </v>
      </c>
      <c r="AT1381" s="89">
        <v>0</v>
      </c>
      <c r="AU1381" s="89">
        <v>0</v>
      </c>
      <c r="AV1381" s="89">
        <v>0</v>
      </c>
      <c r="AW1381" s="89">
        <v>0</v>
      </c>
      <c r="AX1381" s="89">
        <v>0</v>
      </c>
      <c r="AY1381" s="89">
        <v>0</v>
      </c>
      <c r="AZ1381" s="89">
        <v>0</v>
      </c>
      <c r="BA1381" s="89">
        <v>1</v>
      </c>
      <c r="BB1381" s="89">
        <f t="shared" si="1705"/>
        <v>0.05</v>
      </c>
      <c r="BD1381" s="60">
        <v>-11.9</v>
      </c>
      <c r="BE1381" s="63">
        <v>-0.28000000000000003</v>
      </c>
      <c r="BF1381" s="63">
        <v>-0.14000000000000001</v>
      </c>
      <c r="BG1381" s="63">
        <v>0</v>
      </c>
      <c r="BH1381" s="63">
        <v>0</v>
      </c>
      <c r="BI1381" s="8">
        <f t="shared" si="1669"/>
        <v>-12.32</v>
      </c>
      <c r="BJ1381" s="2" t="s">
        <v>84</v>
      </c>
      <c r="BL1381" s="63"/>
      <c r="BM1381" s="63">
        <v>0</v>
      </c>
      <c r="BN1381" s="267"/>
      <c r="BO1381" s="63">
        <v>0</v>
      </c>
      <c r="BP1381" s="63">
        <v>0</v>
      </c>
      <c r="BQ1381" s="2">
        <v>0</v>
      </c>
      <c r="BS1381" s="61">
        <f t="shared" si="1694"/>
        <v>-876.61</v>
      </c>
      <c r="BT1381" s="61">
        <f t="shared" si="1695"/>
        <v>0</v>
      </c>
      <c r="BU1381" s="61">
        <f t="shared" si="1704"/>
        <v>0</v>
      </c>
      <c r="BV1381" s="61">
        <f t="shared" si="1704"/>
        <v>0</v>
      </c>
      <c r="BW1381" s="61">
        <f t="shared" si="1704"/>
        <v>0</v>
      </c>
      <c r="BX1381" s="63">
        <f t="shared" si="1704"/>
        <v>-876.6099999999999</v>
      </c>
      <c r="BY1381" s="61" t="s">
        <v>91</v>
      </c>
      <c r="CA1381" s="61">
        <f t="shared" si="1680"/>
        <v>0</v>
      </c>
      <c r="CB1381" s="61">
        <f t="shared" si="1680"/>
        <v>0</v>
      </c>
      <c r="CC1381" s="61">
        <f t="shared" si="1680"/>
        <v>0</v>
      </c>
      <c r="CD1381" s="61">
        <f t="shared" si="1680"/>
        <v>0</v>
      </c>
      <c r="CE1381" s="61">
        <f t="shared" si="1680"/>
        <v>0</v>
      </c>
      <c r="CF1381" s="61">
        <f t="shared" si="1680"/>
        <v>0</v>
      </c>
      <c r="CG1381" s="61">
        <f t="shared" si="1680"/>
        <v>0</v>
      </c>
      <c r="CH1381" s="61">
        <f t="shared" si="1680"/>
        <v>-131.88054761546562</v>
      </c>
      <c r="CI1381" s="61">
        <f t="shared" si="1666"/>
        <v>-6.594027380773281</v>
      </c>
      <c r="CJ1381" s="267"/>
      <c r="CK1381" s="61">
        <f t="shared" si="1681"/>
        <v>0</v>
      </c>
      <c r="CL1381" s="61">
        <f t="shared" si="1681"/>
        <v>0</v>
      </c>
      <c r="CM1381" s="61">
        <f t="shared" si="1681"/>
        <v>0</v>
      </c>
      <c r="CN1381" s="61">
        <f t="shared" si="1681"/>
        <v>0</v>
      </c>
      <c r="CO1381" s="61">
        <f t="shared" si="1662"/>
        <v>0</v>
      </c>
      <c r="CP1381" s="61">
        <f t="shared" si="1662"/>
        <v>0</v>
      </c>
      <c r="CQ1381" s="61">
        <f t="shared" si="1662"/>
        <v>0</v>
      </c>
      <c r="CR1381" s="61">
        <f t="shared" si="1662"/>
        <v>-131.88054761546562</v>
      </c>
      <c r="CS1381" s="61">
        <f t="shared" si="1667"/>
        <v>-6.594027380773281</v>
      </c>
      <c r="CT1381" s="63">
        <f t="shared" si="1670"/>
        <v>-43.830500000000001</v>
      </c>
      <c r="CU1381" s="73"/>
      <c r="CV1381" s="61">
        <f t="shared" si="1696"/>
        <v>0</v>
      </c>
      <c r="CW1381" s="61">
        <f t="shared" si="1668"/>
        <v>0</v>
      </c>
      <c r="CY1381" s="61">
        <f t="shared" si="1648"/>
        <v>0</v>
      </c>
      <c r="CZ1381" s="61">
        <f t="shared" si="1648"/>
        <v>0</v>
      </c>
      <c r="DA1381" s="61">
        <f t="shared" si="1648"/>
        <v>0</v>
      </c>
      <c r="DB1381" s="2" t="s">
        <v>86</v>
      </c>
      <c r="DC1381" s="2" t="s">
        <v>86</v>
      </c>
      <c r="DD1381" s="2" t="s">
        <v>87</v>
      </c>
      <c r="DE1381" s="2" t="s">
        <v>106</v>
      </c>
      <c r="DF1381" s="3" t="s">
        <v>86</v>
      </c>
      <c r="DG1381" s="62">
        <v>43111</v>
      </c>
      <c r="EC1381" s="60" t="str">
        <f>VLOOKUP($M1381,[1]Detail!$M:$BO,1,0)</f>
        <v>JD8T -14K733 -HA </v>
      </c>
      <c r="ED1381" s="60">
        <f>VLOOKUP($M1381,[1]Detail!$M:$BO,22,0)</f>
        <v>-888.93</v>
      </c>
      <c r="EE1381" s="60">
        <f>VLOOKUP($M1381,[1]Detail!$M:$BO,42,0)</f>
        <v>0</v>
      </c>
      <c r="EF1381" s="60">
        <f>VLOOKUP($M1381,[1]Detail!$M:$BO,45,0)</f>
        <v>0</v>
      </c>
      <c r="EH1381" s="60">
        <f t="shared" si="1700"/>
        <v>0</v>
      </c>
      <c r="EI1381" s="60">
        <f t="shared" si="1701"/>
        <v>0</v>
      </c>
      <c r="EJ1381" s="60">
        <f t="shared" si="1702"/>
        <v>0</v>
      </c>
    </row>
    <row r="1382" spans="2:140" ht="12.75" hidden="1" customHeight="1">
      <c r="B1382" s="1" t="s">
        <v>2176</v>
      </c>
      <c r="C1382" s="22" t="s">
        <v>2177</v>
      </c>
      <c r="D1382" s="149" t="s">
        <v>2178</v>
      </c>
      <c r="E1382" s="86" t="s">
        <v>1591</v>
      </c>
      <c r="F1382" s="85" t="s">
        <v>2072</v>
      </c>
      <c r="G1382" s="297" t="s">
        <v>994</v>
      </c>
      <c r="J1382" s="298" t="s">
        <v>155</v>
      </c>
      <c r="K1382" s="299" t="s">
        <v>2228</v>
      </c>
      <c r="L1382" s="3" t="s">
        <v>2192</v>
      </c>
      <c r="M1382" s="51" t="str">
        <f t="shared" si="1661"/>
        <v>JD8T -14K733 -JA </v>
      </c>
      <c r="O1382" s="89">
        <v>1</v>
      </c>
      <c r="P1382" s="89">
        <v>0</v>
      </c>
      <c r="Q1382" s="89">
        <v>0</v>
      </c>
      <c r="R1382" s="89">
        <v>0</v>
      </c>
      <c r="S1382" s="89">
        <v>0</v>
      </c>
      <c r="T1382" s="89">
        <v>0</v>
      </c>
      <c r="U1382" s="89">
        <v>0</v>
      </c>
      <c r="V1382" s="89">
        <v>0</v>
      </c>
      <c r="W1382" s="164">
        <f t="shared" si="1706"/>
        <v>0.14000000000000001</v>
      </c>
      <c r="Y1382" s="8">
        <v>-726.48</v>
      </c>
      <c r="Z1382" s="63">
        <v>-0.82</v>
      </c>
      <c r="AA1382" s="63">
        <v>-0.7</v>
      </c>
      <c r="AB1382" s="63"/>
      <c r="AC1382" s="63"/>
      <c r="AD1382" s="8">
        <f t="shared" si="1645"/>
        <v>-728.00000000000011</v>
      </c>
      <c r="AE1382" s="2" t="s">
        <v>84</v>
      </c>
      <c r="AG1382" s="300"/>
      <c r="AH1382" s="300"/>
      <c r="AJ1382" s="300"/>
      <c r="AK1382" s="176"/>
      <c r="AM1382" s="22"/>
      <c r="AO1382" s="298" t="s">
        <v>1735</v>
      </c>
      <c r="AP1382" s="297" t="s">
        <v>2228</v>
      </c>
      <c r="AQ1382" s="3" t="s">
        <v>2231</v>
      </c>
      <c r="AR1382" s="90" t="str">
        <f t="shared" si="1703"/>
        <v>ED8T -14K733 -GS </v>
      </c>
      <c r="AT1382" s="89">
        <v>1</v>
      </c>
      <c r="AU1382" s="89">
        <v>0</v>
      </c>
      <c r="AV1382" s="89">
        <v>0</v>
      </c>
      <c r="AW1382" s="89">
        <v>0</v>
      </c>
      <c r="AX1382" s="89">
        <v>0</v>
      </c>
      <c r="AY1382" s="89">
        <v>0</v>
      </c>
      <c r="AZ1382" s="89">
        <v>0</v>
      </c>
      <c r="BA1382" s="89">
        <v>0</v>
      </c>
      <c r="BB1382" s="89">
        <f t="shared" si="1705"/>
        <v>0.14000000000000001</v>
      </c>
      <c r="BD1382" s="60">
        <v>-12.06</v>
      </c>
      <c r="BE1382" s="63">
        <v>-0.28000000000000003</v>
      </c>
      <c r="BF1382" s="63">
        <v>-0.14000000000000001</v>
      </c>
      <c r="BG1382" s="63">
        <v>0</v>
      </c>
      <c r="BH1382" s="63">
        <v>0</v>
      </c>
      <c r="BI1382" s="8">
        <f t="shared" si="1669"/>
        <v>-12.48</v>
      </c>
      <c r="BJ1382" s="2" t="s">
        <v>84</v>
      </c>
      <c r="BL1382" s="63"/>
      <c r="BM1382" s="63">
        <v>0</v>
      </c>
      <c r="BN1382" s="267"/>
      <c r="BO1382" s="63">
        <v>0</v>
      </c>
      <c r="BP1382" s="63">
        <v>0</v>
      </c>
      <c r="BQ1382" s="2">
        <v>0</v>
      </c>
      <c r="BS1382" s="61">
        <f t="shared" si="1694"/>
        <v>-714.42000000000007</v>
      </c>
      <c r="BT1382" s="61">
        <f t="shared" si="1695"/>
        <v>-0.53999999999999992</v>
      </c>
      <c r="BU1382" s="61">
        <f t="shared" si="1704"/>
        <v>-0.55999999999999994</v>
      </c>
      <c r="BV1382" s="61">
        <f t="shared" si="1704"/>
        <v>0</v>
      </c>
      <c r="BW1382" s="61">
        <f t="shared" si="1704"/>
        <v>0</v>
      </c>
      <c r="BX1382" s="63">
        <f t="shared" si="1704"/>
        <v>-715.5200000000001</v>
      </c>
      <c r="BY1382" s="61" t="s">
        <v>91</v>
      </c>
      <c r="CA1382" s="61">
        <f t="shared" si="1680"/>
        <v>-107.48006619527607</v>
      </c>
      <c r="CB1382" s="61">
        <f t="shared" si="1680"/>
        <v>0</v>
      </c>
      <c r="CC1382" s="61">
        <f t="shared" si="1680"/>
        <v>0</v>
      </c>
      <c r="CD1382" s="61">
        <f t="shared" si="1680"/>
        <v>0</v>
      </c>
      <c r="CE1382" s="61">
        <f t="shared" si="1680"/>
        <v>0</v>
      </c>
      <c r="CF1382" s="61">
        <f t="shared" si="1680"/>
        <v>0</v>
      </c>
      <c r="CG1382" s="61">
        <f t="shared" si="1680"/>
        <v>0</v>
      </c>
      <c r="CH1382" s="61">
        <f t="shared" si="1680"/>
        <v>0</v>
      </c>
      <c r="CI1382" s="61">
        <f t="shared" si="1666"/>
        <v>-15.047209267338651</v>
      </c>
      <c r="CJ1382" s="267"/>
      <c r="CK1382" s="61">
        <f t="shared" si="1681"/>
        <v>-107.64555438543705</v>
      </c>
      <c r="CL1382" s="61">
        <f t="shared" si="1681"/>
        <v>0</v>
      </c>
      <c r="CM1382" s="61">
        <f t="shared" si="1681"/>
        <v>0</v>
      </c>
      <c r="CN1382" s="61">
        <f t="shared" si="1681"/>
        <v>0</v>
      </c>
      <c r="CO1382" s="61">
        <f t="shared" si="1662"/>
        <v>0</v>
      </c>
      <c r="CP1382" s="61">
        <f t="shared" si="1662"/>
        <v>0</v>
      </c>
      <c r="CQ1382" s="61">
        <f t="shared" si="1662"/>
        <v>0</v>
      </c>
      <c r="CR1382" s="61">
        <f t="shared" si="1662"/>
        <v>0</v>
      </c>
      <c r="CS1382" s="61">
        <f t="shared" si="1667"/>
        <v>-15.070377613961188</v>
      </c>
      <c r="CT1382" s="63">
        <f t="shared" si="1670"/>
        <v>-100.17280000000002</v>
      </c>
      <c r="CU1382" s="73"/>
      <c r="CV1382" s="61">
        <f t="shared" si="1696"/>
        <v>0</v>
      </c>
      <c r="CW1382" s="61">
        <f t="shared" si="1668"/>
        <v>0</v>
      </c>
      <c r="CY1382" s="61">
        <f t="shared" si="1648"/>
        <v>0</v>
      </c>
      <c r="CZ1382" s="61">
        <f t="shared" si="1648"/>
        <v>0</v>
      </c>
      <c r="DA1382" s="61">
        <f t="shared" si="1648"/>
        <v>0</v>
      </c>
      <c r="DB1382" s="2" t="s">
        <v>86</v>
      </c>
      <c r="DC1382" s="2" t="s">
        <v>86</v>
      </c>
      <c r="DD1382" s="2" t="s">
        <v>87</v>
      </c>
      <c r="DE1382" s="2" t="s">
        <v>106</v>
      </c>
      <c r="DF1382" s="3" t="s">
        <v>86</v>
      </c>
      <c r="DG1382" s="62">
        <v>43111</v>
      </c>
      <c r="EC1382" s="60" t="str">
        <f>VLOOKUP($M1382,[1]Detail!$M:$BO,1,0)</f>
        <v>JD8T -14K733 -JA </v>
      </c>
      <c r="ED1382" s="60">
        <f>VLOOKUP($M1382,[1]Detail!$M:$BO,22,0)</f>
        <v>-728.00000000000011</v>
      </c>
      <c r="EE1382" s="60">
        <f>VLOOKUP($M1382,[1]Detail!$M:$BO,42,0)</f>
        <v>0</v>
      </c>
      <c r="EF1382" s="60">
        <f>VLOOKUP($M1382,[1]Detail!$M:$BO,45,0)</f>
        <v>0</v>
      </c>
      <c r="EH1382" s="60">
        <f t="shared" si="1700"/>
        <v>0</v>
      </c>
      <c r="EI1382" s="60">
        <f t="shared" si="1701"/>
        <v>0</v>
      </c>
      <c r="EJ1382" s="60">
        <f t="shared" si="1702"/>
        <v>0</v>
      </c>
    </row>
    <row r="1383" spans="2:140" ht="12.75" hidden="1" customHeight="1">
      <c r="B1383" s="1" t="s">
        <v>2176</v>
      </c>
      <c r="C1383" s="22" t="s">
        <v>2177</v>
      </c>
      <c r="D1383" s="149" t="s">
        <v>2178</v>
      </c>
      <c r="E1383" s="86" t="s">
        <v>1591</v>
      </c>
      <c r="F1383" s="85" t="s">
        <v>2072</v>
      </c>
      <c r="G1383" s="297" t="s">
        <v>994</v>
      </c>
      <c r="J1383" s="298" t="s">
        <v>155</v>
      </c>
      <c r="K1383" s="299" t="s">
        <v>2228</v>
      </c>
      <c r="L1383" s="3" t="s">
        <v>2193</v>
      </c>
      <c r="M1383" s="51" t="str">
        <f t="shared" si="1661"/>
        <v>JD8T -14K733 -KA </v>
      </c>
      <c r="O1383" s="89">
        <v>0</v>
      </c>
      <c r="P1383" s="89">
        <v>1</v>
      </c>
      <c r="Q1383" s="89">
        <v>0</v>
      </c>
      <c r="R1383" s="89">
        <v>0</v>
      </c>
      <c r="S1383" s="89">
        <v>0</v>
      </c>
      <c r="T1383" s="89">
        <v>0</v>
      </c>
      <c r="U1383" s="89">
        <v>0</v>
      </c>
      <c r="V1383" s="89">
        <v>0</v>
      </c>
      <c r="W1383" s="164">
        <f t="shared" si="1706"/>
        <v>0.16</v>
      </c>
      <c r="Y1383" s="8">
        <v>-427.8</v>
      </c>
      <c r="Z1383" s="63">
        <v>-0.82</v>
      </c>
      <c r="AA1383" s="63">
        <v>-0.7</v>
      </c>
      <c r="AB1383" s="63"/>
      <c r="AC1383" s="63"/>
      <c r="AD1383" s="8">
        <f t="shared" si="1645"/>
        <v>-429.32</v>
      </c>
      <c r="AE1383" s="2" t="s">
        <v>84</v>
      </c>
      <c r="AG1383" s="300"/>
      <c r="AH1383" s="300"/>
      <c r="AJ1383" s="300"/>
      <c r="AK1383" s="176"/>
      <c r="AM1383" s="22"/>
      <c r="AO1383" s="298" t="s">
        <v>1735</v>
      </c>
      <c r="AP1383" s="297" t="s">
        <v>2228</v>
      </c>
      <c r="AQ1383" s="3" t="s">
        <v>2232</v>
      </c>
      <c r="AR1383" s="90" t="str">
        <f t="shared" si="1703"/>
        <v>ED8T -14K733 -JG </v>
      </c>
      <c r="AT1383" s="89">
        <v>0</v>
      </c>
      <c r="AU1383" s="89">
        <v>1</v>
      </c>
      <c r="AV1383" s="89">
        <v>0</v>
      </c>
      <c r="AW1383" s="89">
        <v>0</v>
      </c>
      <c r="AX1383" s="89">
        <v>0</v>
      </c>
      <c r="AY1383" s="89">
        <v>0</v>
      </c>
      <c r="AZ1383" s="89">
        <v>0</v>
      </c>
      <c r="BA1383" s="89">
        <v>0</v>
      </c>
      <c r="BB1383" s="89">
        <f t="shared" si="1705"/>
        <v>0.16</v>
      </c>
      <c r="BD1383" s="60">
        <v>-432.81</v>
      </c>
      <c r="BE1383" s="63">
        <v>-0.82</v>
      </c>
      <c r="BF1383" s="63">
        <v>-0.7</v>
      </c>
      <c r="BG1383" s="63">
        <v>0</v>
      </c>
      <c r="BH1383" s="63">
        <v>0</v>
      </c>
      <c r="BI1383" s="8">
        <f t="shared" si="1669"/>
        <v>-434.33</v>
      </c>
      <c r="BJ1383" s="2" t="s">
        <v>84</v>
      </c>
      <c r="BL1383" s="63"/>
      <c r="BM1383" s="63">
        <v>0</v>
      </c>
      <c r="BN1383" s="267"/>
      <c r="BO1383" s="63">
        <v>0</v>
      </c>
      <c r="BP1383" s="63">
        <v>0</v>
      </c>
      <c r="BQ1383" s="2">
        <v>0</v>
      </c>
      <c r="BS1383" s="61">
        <f t="shared" si="1694"/>
        <v>5.0099999999999909</v>
      </c>
      <c r="BT1383" s="61">
        <f t="shared" si="1695"/>
        <v>0</v>
      </c>
      <c r="BU1383" s="61">
        <f t="shared" si="1704"/>
        <v>0</v>
      </c>
      <c r="BV1383" s="61">
        <f t="shared" si="1704"/>
        <v>0</v>
      </c>
      <c r="BW1383" s="61">
        <f t="shared" si="1704"/>
        <v>0</v>
      </c>
      <c r="BX1383" s="63">
        <f t="shared" si="1704"/>
        <v>5.0099999999999909</v>
      </c>
      <c r="BY1383" s="61" t="s">
        <v>91</v>
      </c>
      <c r="CA1383" s="61">
        <f t="shared" si="1680"/>
        <v>0</v>
      </c>
      <c r="CB1383" s="61">
        <f t="shared" si="1680"/>
        <v>0.75372348427862057</v>
      </c>
      <c r="CC1383" s="61">
        <f t="shared" si="1680"/>
        <v>0</v>
      </c>
      <c r="CD1383" s="61">
        <f t="shared" si="1680"/>
        <v>0</v>
      </c>
      <c r="CE1383" s="61">
        <f t="shared" si="1680"/>
        <v>0</v>
      </c>
      <c r="CF1383" s="61">
        <f t="shared" si="1680"/>
        <v>0</v>
      </c>
      <c r="CG1383" s="61">
        <f t="shared" si="1680"/>
        <v>0</v>
      </c>
      <c r="CH1383" s="61">
        <f t="shared" si="1680"/>
        <v>0</v>
      </c>
      <c r="CI1383" s="61">
        <f t="shared" si="1666"/>
        <v>0.12059575748457929</v>
      </c>
      <c r="CJ1383" s="267"/>
      <c r="CK1383" s="61">
        <f t="shared" si="1681"/>
        <v>0</v>
      </c>
      <c r="CL1383" s="61">
        <f t="shared" si="1681"/>
        <v>0.75372348427862057</v>
      </c>
      <c r="CM1383" s="61">
        <f t="shared" si="1681"/>
        <v>0</v>
      </c>
      <c r="CN1383" s="61">
        <f t="shared" si="1681"/>
        <v>0</v>
      </c>
      <c r="CO1383" s="61">
        <f t="shared" si="1662"/>
        <v>0</v>
      </c>
      <c r="CP1383" s="61">
        <f t="shared" si="1662"/>
        <v>0</v>
      </c>
      <c r="CQ1383" s="61">
        <f t="shared" si="1662"/>
        <v>0</v>
      </c>
      <c r="CR1383" s="61">
        <f t="shared" si="1662"/>
        <v>0</v>
      </c>
      <c r="CS1383" s="61">
        <f t="shared" si="1667"/>
        <v>0.12059575748457929</v>
      </c>
      <c r="CT1383" s="63">
        <f t="shared" si="1670"/>
        <v>0.80159999999999854</v>
      </c>
      <c r="CU1383" s="73"/>
      <c r="CV1383" s="61">
        <f t="shared" si="1696"/>
        <v>0</v>
      </c>
      <c r="CW1383" s="61">
        <f t="shared" si="1668"/>
        <v>0</v>
      </c>
      <c r="CY1383" s="61">
        <f t="shared" si="1648"/>
        <v>0</v>
      </c>
      <c r="CZ1383" s="61">
        <f t="shared" si="1648"/>
        <v>0</v>
      </c>
      <c r="DA1383" s="61">
        <f t="shared" si="1648"/>
        <v>0</v>
      </c>
      <c r="DB1383" s="2" t="s">
        <v>86</v>
      </c>
      <c r="DC1383" s="2" t="s">
        <v>86</v>
      </c>
      <c r="DD1383" s="2" t="s">
        <v>87</v>
      </c>
      <c r="DE1383" s="2" t="s">
        <v>106</v>
      </c>
      <c r="DF1383" s="3" t="s">
        <v>86</v>
      </c>
      <c r="DG1383" s="62">
        <v>43111</v>
      </c>
      <c r="EC1383" s="60" t="str">
        <f>VLOOKUP($M1383,[1]Detail!$M:$BO,1,0)</f>
        <v>JD8T -14K733 -KA </v>
      </c>
      <c r="ED1383" s="60">
        <f>VLOOKUP($M1383,[1]Detail!$M:$BO,22,0)</f>
        <v>-429.32</v>
      </c>
      <c r="EE1383" s="60">
        <f>VLOOKUP($M1383,[1]Detail!$M:$BO,42,0)</f>
        <v>0</v>
      </c>
      <c r="EF1383" s="60">
        <f>VLOOKUP($M1383,[1]Detail!$M:$BO,45,0)</f>
        <v>0</v>
      </c>
      <c r="EH1383" s="60">
        <f t="shared" si="1700"/>
        <v>0</v>
      </c>
      <c r="EI1383" s="60">
        <f t="shared" si="1701"/>
        <v>0</v>
      </c>
      <c r="EJ1383" s="60">
        <f t="shared" si="1702"/>
        <v>0</v>
      </c>
    </row>
    <row r="1384" spans="2:140" ht="12.75" hidden="1" customHeight="1">
      <c r="B1384" s="1" t="s">
        <v>2176</v>
      </c>
      <c r="C1384" s="22" t="s">
        <v>2177</v>
      </c>
      <c r="D1384" s="149" t="s">
        <v>2178</v>
      </c>
      <c r="E1384" s="86" t="s">
        <v>1591</v>
      </c>
      <c r="F1384" s="85" t="s">
        <v>2072</v>
      </c>
      <c r="G1384" s="297" t="s">
        <v>994</v>
      </c>
      <c r="J1384" s="298" t="s">
        <v>155</v>
      </c>
      <c r="K1384" s="299" t="s">
        <v>2228</v>
      </c>
      <c r="L1384" s="3" t="s">
        <v>2194</v>
      </c>
      <c r="M1384" s="51" t="str">
        <f t="shared" si="1661"/>
        <v>JD8T -14K733 -LA </v>
      </c>
      <c r="O1384" s="89">
        <v>0</v>
      </c>
      <c r="P1384" s="89">
        <v>0</v>
      </c>
      <c r="Q1384" s="89">
        <v>1</v>
      </c>
      <c r="R1384" s="89">
        <v>0</v>
      </c>
      <c r="S1384" s="89">
        <v>0</v>
      </c>
      <c r="T1384" s="89">
        <v>0</v>
      </c>
      <c r="U1384" s="89">
        <v>0</v>
      </c>
      <c r="V1384" s="89">
        <v>0</v>
      </c>
      <c r="W1384" s="164">
        <f t="shared" si="1706"/>
        <v>0.14000000000000001</v>
      </c>
      <c r="Y1384" s="8">
        <v>-495.7</v>
      </c>
      <c r="Z1384" s="63">
        <v>-0.82</v>
      </c>
      <c r="AA1384" s="63">
        <v>-0.7</v>
      </c>
      <c r="AB1384" s="63"/>
      <c r="AC1384" s="63"/>
      <c r="AD1384" s="8">
        <f t="shared" si="1645"/>
        <v>-497.21999999999997</v>
      </c>
      <c r="AE1384" s="2" t="s">
        <v>84</v>
      </c>
      <c r="AG1384" s="300"/>
      <c r="AH1384" s="300"/>
      <c r="AJ1384" s="300"/>
      <c r="AK1384" s="176"/>
      <c r="AM1384" s="22"/>
      <c r="AO1384" s="298" t="s">
        <v>1735</v>
      </c>
      <c r="AP1384" s="297" t="s">
        <v>2228</v>
      </c>
      <c r="AQ1384" s="3" t="s">
        <v>2232</v>
      </c>
      <c r="AR1384" s="90" t="str">
        <f t="shared" si="1703"/>
        <v>ED8T -14K733 -JG </v>
      </c>
      <c r="AT1384" s="89">
        <v>0</v>
      </c>
      <c r="AU1384" s="89">
        <v>0</v>
      </c>
      <c r="AV1384" s="89">
        <v>1</v>
      </c>
      <c r="AW1384" s="89">
        <v>0</v>
      </c>
      <c r="AX1384" s="89">
        <v>0</v>
      </c>
      <c r="AY1384" s="89">
        <v>0</v>
      </c>
      <c r="AZ1384" s="89">
        <v>0</v>
      </c>
      <c r="BA1384" s="89">
        <v>0</v>
      </c>
      <c r="BB1384" s="89">
        <f t="shared" si="1705"/>
        <v>0.14000000000000001</v>
      </c>
      <c r="BD1384" s="60">
        <v>-503.15</v>
      </c>
      <c r="BE1384" s="63">
        <v>-0.82</v>
      </c>
      <c r="BF1384" s="63">
        <v>-0.7</v>
      </c>
      <c r="BG1384" s="63">
        <v>0</v>
      </c>
      <c r="BH1384" s="63">
        <v>0</v>
      </c>
      <c r="BI1384" s="8">
        <f t="shared" si="1669"/>
        <v>-504.66999999999996</v>
      </c>
      <c r="BJ1384" s="2" t="s">
        <v>84</v>
      </c>
      <c r="BL1384" s="63"/>
      <c r="BM1384" s="63">
        <v>0</v>
      </c>
      <c r="BN1384" s="267"/>
      <c r="BO1384" s="63">
        <v>0</v>
      </c>
      <c r="BP1384" s="63">
        <v>0</v>
      </c>
      <c r="BQ1384" s="2">
        <v>0</v>
      </c>
      <c r="BS1384" s="61">
        <f t="shared" si="1694"/>
        <v>7.4499999999999886</v>
      </c>
      <c r="BT1384" s="61">
        <f t="shared" si="1695"/>
        <v>0</v>
      </c>
      <c r="BU1384" s="61">
        <f t="shared" si="1704"/>
        <v>0</v>
      </c>
      <c r="BV1384" s="61">
        <f t="shared" si="1704"/>
        <v>0</v>
      </c>
      <c r="BW1384" s="61">
        <f t="shared" si="1704"/>
        <v>0</v>
      </c>
      <c r="BX1384" s="63">
        <f t="shared" si="1704"/>
        <v>7.4499999999999886</v>
      </c>
      <c r="BY1384" s="61" t="s">
        <v>91</v>
      </c>
      <c r="CA1384" s="61">
        <f t="shared" si="1680"/>
        <v>0</v>
      </c>
      <c r="CB1384" s="61">
        <f t="shared" si="1680"/>
        <v>0</v>
      </c>
      <c r="CC1384" s="61">
        <f t="shared" si="1680"/>
        <v>1.12080637881751</v>
      </c>
      <c r="CD1384" s="61">
        <f t="shared" si="1680"/>
        <v>0</v>
      </c>
      <c r="CE1384" s="61">
        <f t="shared" si="1680"/>
        <v>0</v>
      </c>
      <c r="CF1384" s="61">
        <f t="shared" si="1680"/>
        <v>0</v>
      </c>
      <c r="CG1384" s="61">
        <f t="shared" si="1680"/>
        <v>0</v>
      </c>
      <c r="CH1384" s="61">
        <f t="shared" si="1680"/>
        <v>0</v>
      </c>
      <c r="CI1384" s="61">
        <f t="shared" si="1666"/>
        <v>0.15691289303445141</v>
      </c>
      <c r="CJ1384" s="267"/>
      <c r="CK1384" s="61">
        <f t="shared" si="1681"/>
        <v>0</v>
      </c>
      <c r="CL1384" s="61">
        <f t="shared" si="1681"/>
        <v>0</v>
      </c>
      <c r="CM1384" s="61">
        <f t="shared" si="1681"/>
        <v>1.12080637881751</v>
      </c>
      <c r="CN1384" s="61">
        <f t="shared" si="1681"/>
        <v>0</v>
      </c>
      <c r="CO1384" s="61">
        <f t="shared" si="1662"/>
        <v>0</v>
      </c>
      <c r="CP1384" s="61">
        <f t="shared" si="1662"/>
        <v>0</v>
      </c>
      <c r="CQ1384" s="61">
        <f t="shared" si="1662"/>
        <v>0</v>
      </c>
      <c r="CR1384" s="61">
        <f t="shared" si="1662"/>
        <v>0</v>
      </c>
      <c r="CS1384" s="61">
        <f t="shared" si="1667"/>
        <v>0.15691289303445141</v>
      </c>
      <c r="CT1384" s="63">
        <f t="shared" si="1670"/>
        <v>1.0429999999999986</v>
      </c>
      <c r="CU1384" s="73"/>
      <c r="CV1384" s="61">
        <f t="shared" si="1696"/>
        <v>0</v>
      </c>
      <c r="CW1384" s="61">
        <f t="shared" si="1668"/>
        <v>0</v>
      </c>
      <c r="CY1384" s="61">
        <f t="shared" si="1648"/>
        <v>0</v>
      </c>
      <c r="CZ1384" s="61">
        <f t="shared" si="1648"/>
        <v>0</v>
      </c>
      <c r="DA1384" s="61">
        <f t="shared" si="1648"/>
        <v>0</v>
      </c>
      <c r="DB1384" s="2" t="s">
        <v>86</v>
      </c>
      <c r="DC1384" s="2" t="s">
        <v>86</v>
      </c>
      <c r="DD1384" s="2" t="s">
        <v>87</v>
      </c>
      <c r="DE1384" s="2" t="s">
        <v>106</v>
      </c>
      <c r="DF1384" s="3" t="s">
        <v>86</v>
      </c>
      <c r="DG1384" s="62">
        <v>43111</v>
      </c>
      <c r="EC1384" s="60" t="str">
        <f>VLOOKUP($M1384,[1]Detail!$M:$BO,1,0)</f>
        <v>JD8T -14K733 -LA </v>
      </c>
      <c r="ED1384" s="60">
        <f>VLOOKUP($M1384,[1]Detail!$M:$BO,22,0)</f>
        <v>-497.21999999999997</v>
      </c>
      <c r="EE1384" s="60">
        <f>VLOOKUP($M1384,[1]Detail!$M:$BO,42,0)</f>
        <v>0</v>
      </c>
      <c r="EF1384" s="60">
        <f>VLOOKUP($M1384,[1]Detail!$M:$BO,45,0)</f>
        <v>0</v>
      </c>
      <c r="EH1384" s="60">
        <f t="shared" si="1700"/>
        <v>0</v>
      </c>
      <c r="EI1384" s="60">
        <f t="shared" si="1701"/>
        <v>0</v>
      </c>
      <c r="EJ1384" s="60">
        <f t="shared" si="1702"/>
        <v>0</v>
      </c>
    </row>
    <row r="1385" spans="2:140" ht="12.75" hidden="1" customHeight="1">
      <c r="B1385" s="1" t="s">
        <v>2176</v>
      </c>
      <c r="C1385" s="22" t="s">
        <v>2177</v>
      </c>
      <c r="D1385" s="149" t="s">
        <v>2178</v>
      </c>
      <c r="E1385" s="86" t="s">
        <v>1591</v>
      </c>
      <c r="F1385" s="85" t="s">
        <v>2072</v>
      </c>
      <c r="G1385" s="297" t="s">
        <v>994</v>
      </c>
      <c r="J1385" s="298" t="s">
        <v>155</v>
      </c>
      <c r="K1385" s="299" t="s">
        <v>2228</v>
      </c>
      <c r="L1385" s="3" t="s">
        <v>2195</v>
      </c>
      <c r="M1385" s="51" t="str">
        <f t="shared" si="1661"/>
        <v>JD8T -14K733 -MA </v>
      </c>
      <c r="O1385" s="89">
        <v>0</v>
      </c>
      <c r="P1385" s="89">
        <v>0</v>
      </c>
      <c r="Q1385" s="89">
        <v>0</v>
      </c>
      <c r="R1385" s="89">
        <v>1</v>
      </c>
      <c r="S1385" s="89">
        <v>0</v>
      </c>
      <c r="T1385" s="89">
        <v>0</v>
      </c>
      <c r="U1385" s="89">
        <v>0</v>
      </c>
      <c r="V1385" s="89">
        <v>0</v>
      </c>
      <c r="W1385" s="164">
        <f t="shared" si="1706"/>
        <v>0.23</v>
      </c>
      <c r="Y1385" s="8">
        <v>-511.82</v>
      </c>
      <c r="Z1385" s="63">
        <v>-0.82</v>
      </c>
      <c r="AA1385" s="63">
        <v>-0.7</v>
      </c>
      <c r="AB1385" s="63"/>
      <c r="AC1385" s="63"/>
      <c r="AD1385" s="8">
        <f t="shared" si="1645"/>
        <v>-513.34</v>
      </c>
      <c r="AE1385" s="2" t="s">
        <v>84</v>
      </c>
      <c r="AG1385" s="300"/>
      <c r="AH1385" s="300"/>
      <c r="AJ1385" s="300"/>
      <c r="AK1385" s="176"/>
      <c r="AM1385" s="22"/>
      <c r="AO1385" s="298" t="s">
        <v>1735</v>
      </c>
      <c r="AP1385" s="297" t="s">
        <v>2228</v>
      </c>
      <c r="AQ1385" s="3" t="s">
        <v>2232</v>
      </c>
      <c r="AR1385" s="90" t="str">
        <f t="shared" si="1703"/>
        <v>ED8T -14K733 -JG </v>
      </c>
      <c r="AT1385" s="89">
        <v>0</v>
      </c>
      <c r="AU1385" s="89">
        <v>0</v>
      </c>
      <c r="AV1385" s="89">
        <v>0</v>
      </c>
      <c r="AW1385" s="89">
        <v>1</v>
      </c>
      <c r="AX1385" s="89">
        <v>0</v>
      </c>
      <c r="AY1385" s="89">
        <v>0</v>
      </c>
      <c r="AZ1385" s="89">
        <v>0</v>
      </c>
      <c r="BA1385" s="89">
        <v>0</v>
      </c>
      <c r="BB1385" s="89">
        <f t="shared" si="1705"/>
        <v>0.23</v>
      </c>
      <c r="BD1385" s="60">
        <v>-521.54</v>
      </c>
      <c r="BE1385" s="63">
        <v>-0.82</v>
      </c>
      <c r="BF1385" s="63">
        <v>-0.7</v>
      </c>
      <c r="BG1385" s="63">
        <v>0</v>
      </c>
      <c r="BH1385" s="63">
        <v>0</v>
      </c>
      <c r="BI1385" s="8">
        <f t="shared" si="1669"/>
        <v>-523.06000000000006</v>
      </c>
      <c r="BJ1385" s="2" t="s">
        <v>84</v>
      </c>
      <c r="BL1385" s="63"/>
      <c r="BM1385" s="63">
        <v>0</v>
      </c>
      <c r="BN1385" s="267"/>
      <c r="BO1385" s="63">
        <v>0</v>
      </c>
      <c r="BP1385" s="63">
        <v>0</v>
      </c>
      <c r="BQ1385" s="2">
        <v>0</v>
      </c>
      <c r="BS1385" s="61">
        <f t="shared" si="1694"/>
        <v>9.7199999999999704</v>
      </c>
      <c r="BT1385" s="61">
        <f t="shared" si="1695"/>
        <v>0</v>
      </c>
      <c r="BU1385" s="61">
        <f t="shared" si="1704"/>
        <v>0</v>
      </c>
      <c r="BV1385" s="61">
        <f t="shared" si="1704"/>
        <v>0</v>
      </c>
      <c r="BW1385" s="61">
        <f t="shared" si="1704"/>
        <v>0</v>
      </c>
      <c r="BX1385" s="63">
        <f t="shared" si="1704"/>
        <v>9.7200000000000273</v>
      </c>
      <c r="BY1385" s="61" t="s">
        <v>91</v>
      </c>
      <c r="CA1385" s="61">
        <f t="shared" si="1680"/>
        <v>0</v>
      </c>
      <c r="CB1385" s="61">
        <f t="shared" si="1680"/>
        <v>0</v>
      </c>
      <c r="CC1385" s="61">
        <f t="shared" si="1680"/>
        <v>0</v>
      </c>
      <c r="CD1385" s="61">
        <f t="shared" si="1680"/>
        <v>1.4623138257860644</v>
      </c>
      <c r="CE1385" s="61">
        <f t="shared" si="1680"/>
        <v>0</v>
      </c>
      <c r="CF1385" s="61">
        <f t="shared" si="1680"/>
        <v>0</v>
      </c>
      <c r="CG1385" s="61">
        <f t="shared" si="1680"/>
        <v>0</v>
      </c>
      <c r="CH1385" s="61">
        <f t="shared" si="1680"/>
        <v>0</v>
      </c>
      <c r="CI1385" s="61">
        <f t="shared" si="1666"/>
        <v>0.33633217993079484</v>
      </c>
      <c r="CJ1385" s="267"/>
      <c r="CK1385" s="61">
        <f t="shared" si="1681"/>
        <v>0</v>
      </c>
      <c r="CL1385" s="61">
        <f t="shared" si="1681"/>
        <v>0</v>
      </c>
      <c r="CM1385" s="61">
        <f t="shared" si="1681"/>
        <v>0</v>
      </c>
      <c r="CN1385" s="61">
        <f t="shared" si="1681"/>
        <v>1.4623138257860731</v>
      </c>
      <c r="CO1385" s="61">
        <f t="shared" si="1662"/>
        <v>0</v>
      </c>
      <c r="CP1385" s="61">
        <f t="shared" si="1662"/>
        <v>0</v>
      </c>
      <c r="CQ1385" s="61">
        <f t="shared" si="1662"/>
        <v>0</v>
      </c>
      <c r="CR1385" s="61">
        <f t="shared" si="1662"/>
        <v>0</v>
      </c>
      <c r="CS1385" s="61">
        <f t="shared" si="1667"/>
        <v>0.33633217993079684</v>
      </c>
      <c r="CT1385" s="63">
        <f t="shared" si="1670"/>
        <v>2.2356000000000065</v>
      </c>
      <c r="CU1385" s="73"/>
      <c r="CV1385" s="61">
        <f t="shared" ref="CV1385:CV1413" si="1707">SUM(AG1385)-SUM(BL1385)</f>
        <v>0</v>
      </c>
      <c r="CW1385" s="61">
        <f t="shared" ref="CW1385:CW1413" si="1708">SUM(AH1385)-SUM(BM1385)</f>
        <v>0</v>
      </c>
      <c r="CY1385" s="61">
        <f t="shared" si="1648"/>
        <v>0</v>
      </c>
      <c r="CZ1385" s="61">
        <f t="shared" si="1648"/>
        <v>0</v>
      </c>
      <c r="DA1385" s="61">
        <f t="shared" si="1648"/>
        <v>0</v>
      </c>
      <c r="DB1385" s="2" t="s">
        <v>86</v>
      </c>
      <c r="DC1385" s="2" t="s">
        <v>86</v>
      </c>
      <c r="DD1385" s="2" t="s">
        <v>87</v>
      </c>
      <c r="DE1385" s="2" t="s">
        <v>106</v>
      </c>
      <c r="DF1385" s="3" t="s">
        <v>86</v>
      </c>
      <c r="DG1385" s="62">
        <v>43111</v>
      </c>
      <c r="EC1385" s="60" t="str">
        <f>VLOOKUP($M1385,[1]Detail!$M:$BO,1,0)</f>
        <v>JD8T -14K733 -MA </v>
      </c>
      <c r="ED1385" s="60">
        <f>VLOOKUP($M1385,[1]Detail!$M:$BO,22,0)</f>
        <v>-513.34</v>
      </c>
      <c r="EE1385" s="60">
        <f>VLOOKUP($M1385,[1]Detail!$M:$BO,42,0)</f>
        <v>0</v>
      </c>
      <c r="EF1385" s="60">
        <f>VLOOKUP($M1385,[1]Detail!$M:$BO,45,0)</f>
        <v>0</v>
      </c>
      <c r="EH1385" s="60">
        <f t="shared" si="1700"/>
        <v>0</v>
      </c>
      <c r="EI1385" s="60">
        <f t="shared" si="1701"/>
        <v>0</v>
      </c>
      <c r="EJ1385" s="60">
        <f t="shared" si="1702"/>
        <v>0</v>
      </c>
    </row>
    <row r="1386" spans="2:140" ht="12.75" hidden="1" customHeight="1">
      <c r="B1386" s="1" t="s">
        <v>2176</v>
      </c>
      <c r="C1386" s="22" t="s">
        <v>2177</v>
      </c>
      <c r="D1386" s="149" t="s">
        <v>2178</v>
      </c>
      <c r="E1386" s="86" t="s">
        <v>1591</v>
      </c>
      <c r="F1386" s="85" t="s">
        <v>2072</v>
      </c>
      <c r="G1386" s="297" t="s">
        <v>994</v>
      </c>
      <c r="J1386" s="298" t="s">
        <v>155</v>
      </c>
      <c r="K1386" s="299" t="s">
        <v>2228</v>
      </c>
      <c r="L1386" s="3" t="s">
        <v>2196</v>
      </c>
      <c r="M1386" s="51" t="str">
        <f t="shared" si="1661"/>
        <v>JD8T -14K733 -NA </v>
      </c>
      <c r="O1386" s="89">
        <v>0</v>
      </c>
      <c r="P1386" s="89">
        <v>0</v>
      </c>
      <c r="Q1386" s="89">
        <v>0</v>
      </c>
      <c r="R1386" s="89">
        <v>0</v>
      </c>
      <c r="S1386" s="89">
        <v>0</v>
      </c>
      <c r="T1386" s="89">
        <v>0</v>
      </c>
      <c r="U1386" s="89">
        <v>1</v>
      </c>
      <c r="V1386" s="89">
        <v>0</v>
      </c>
      <c r="W1386" s="164">
        <f t="shared" si="1706"/>
        <v>0.05</v>
      </c>
      <c r="Y1386" s="8">
        <v>-500.83</v>
      </c>
      <c r="Z1386" s="63">
        <v>-0.82</v>
      </c>
      <c r="AA1386" s="63">
        <v>-0.7</v>
      </c>
      <c r="AB1386" s="63"/>
      <c r="AC1386" s="63"/>
      <c r="AD1386" s="8">
        <f t="shared" si="1645"/>
        <v>-502.34999999999997</v>
      </c>
      <c r="AE1386" s="2" t="s">
        <v>84</v>
      </c>
      <c r="AG1386" s="300"/>
      <c r="AH1386" s="300"/>
      <c r="AJ1386" s="300"/>
      <c r="AK1386" s="176"/>
      <c r="AM1386" s="22"/>
      <c r="AO1386" s="298" t="s">
        <v>1735</v>
      </c>
      <c r="AP1386" s="297" t="s">
        <v>2228</v>
      </c>
      <c r="AQ1386" s="3" t="s">
        <v>2232</v>
      </c>
      <c r="AR1386" s="90" t="str">
        <f t="shared" si="1703"/>
        <v>ED8T -14K733 -JG </v>
      </c>
      <c r="AT1386" s="89">
        <v>0</v>
      </c>
      <c r="AU1386" s="89">
        <v>0</v>
      </c>
      <c r="AV1386" s="89">
        <v>0</v>
      </c>
      <c r="AW1386" s="89">
        <v>0</v>
      </c>
      <c r="AX1386" s="89">
        <v>0</v>
      </c>
      <c r="AY1386" s="89">
        <v>0</v>
      </c>
      <c r="AZ1386" s="89">
        <v>1</v>
      </c>
      <c r="BA1386" s="89">
        <v>0</v>
      </c>
      <c r="BB1386" s="89">
        <f t="shared" si="1705"/>
        <v>0.05</v>
      </c>
      <c r="BD1386" s="60">
        <v>-488.5</v>
      </c>
      <c r="BE1386" s="63">
        <v>-0.82</v>
      </c>
      <c r="BF1386" s="63">
        <v>-0.7</v>
      </c>
      <c r="BG1386" s="63">
        <v>0</v>
      </c>
      <c r="BH1386" s="63">
        <v>0</v>
      </c>
      <c r="BI1386" s="8">
        <f t="shared" si="1669"/>
        <v>-490.02</v>
      </c>
      <c r="BJ1386" s="2" t="s">
        <v>84</v>
      </c>
      <c r="BL1386" s="63"/>
      <c r="BM1386" s="63">
        <v>0</v>
      </c>
      <c r="BN1386" s="267"/>
      <c r="BO1386" s="63">
        <v>0</v>
      </c>
      <c r="BP1386" s="63">
        <v>0</v>
      </c>
      <c r="BQ1386" s="2">
        <v>0</v>
      </c>
      <c r="BS1386" s="61">
        <f t="shared" si="1694"/>
        <v>-12.329999999999984</v>
      </c>
      <c r="BT1386" s="61">
        <f t="shared" si="1695"/>
        <v>0</v>
      </c>
      <c r="BU1386" s="61">
        <f t="shared" si="1704"/>
        <v>0</v>
      </c>
      <c r="BV1386" s="61">
        <f t="shared" si="1704"/>
        <v>0</v>
      </c>
      <c r="BW1386" s="61">
        <f t="shared" si="1704"/>
        <v>0</v>
      </c>
      <c r="BX1386" s="63">
        <f t="shared" si="1704"/>
        <v>-12.329999999999984</v>
      </c>
      <c r="BY1386" s="61" t="s">
        <v>91</v>
      </c>
      <c r="CA1386" s="61">
        <f t="shared" si="1680"/>
        <v>0</v>
      </c>
      <c r="CB1386" s="61">
        <f t="shared" si="1680"/>
        <v>0</v>
      </c>
      <c r="CC1386" s="61">
        <f t="shared" si="1680"/>
        <v>0</v>
      </c>
      <c r="CD1386" s="61">
        <f t="shared" si="1680"/>
        <v>0</v>
      </c>
      <c r="CE1386" s="61">
        <f t="shared" si="1680"/>
        <v>0</v>
      </c>
      <c r="CF1386" s="61">
        <f t="shared" si="1680"/>
        <v>0</v>
      </c>
      <c r="CG1386" s="61">
        <f t="shared" si="1680"/>
        <v>-1.8549721678952886</v>
      </c>
      <c r="CH1386" s="61">
        <f t="shared" si="1680"/>
        <v>0</v>
      </c>
      <c r="CI1386" s="61">
        <f t="shared" si="1666"/>
        <v>-9.274860839476444E-2</v>
      </c>
      <c r="CJ1386" s="267"/>
      <c r="CK1386" s="61">
        <f t="shared" si="1681"/>
        <v>0</v>
      </c>
      <c r="CL1386" s="61">
        <f t="shared" si="1681"/>
        <v>0</v>
      </c>
      <c r="CM1386" s="61">
        <f t="shared" si="1681"/>
        <v>0</v>
      </c>
      <c r="CN1386" s="61">
        <f t="shared" si="1681"/>
        <v>0</v>
      </c>
      <c r="CO1386" s="61">
        <f t="shared" si="1662"/>
        <v>0</v>
      </c>
      <c r="CP1386" s="61">
        <f t="shared" si="1662"/>
        <v>0</v>
      </c>
      <c r="CQ1386" s="61">
        <f t="shared" si="1662"/>
        <v>-1.8549721678952886</v>
      </c>
      <c r="CR1386" s="61">
        <f t="shared" si="1662"/>
        <v>0</v>
      </c>
      <c r="CS1386" s="61">
        <f t="shared" si="1667"/>
        <v>-9.274860839476444E-2</v>
      </c>
      <c r="CT1386" s="63">
        <f t="shared" si="1670"/>
        <v>-0.61649999999999927</v>
      </c>
      <c r="CU1386" s="73"/>
      <c r="CV1386" s="61">
        <f t="shared" si="1707"/>
        <v>0</v>
      </c>
      <c r="CW1386" s="61">
        <f t="shared" si="1708"/>
        <v>0</v>
      </c>
      <c r="CY1386" s="61">
        <f t="shared" si="1648"/>
        <v>0</v>
      </c>
      <c r="CZ1386" s="61">
        <f t="shared" si="1648"/>
        <v>0</v>
      </c>
      <c r="DA1386" s="61">
        <f t="shared" si="1648"/>
        <v>0</v>
      </c>
      <c r="DB1386" s="2" t="s">
        <v>86</v>
      </c>
      <c r="DC1386" s="2" t="s">
        <v>86</v>
      </c>
      <c r="DD1386" s="2" t="s">
        <v>87</v>
      </c>
      <c r="DE1386" s="2" t="s">
        <v>106</v>
      </c>
      <c r="DF1386" s="3" t="s">
        <v>86</v>
      </c>
      <c r="DG1386" s="62">
        <v>43111</v>
      </c>
      <c r="EC1386" s="60" t="str">
        <f>VLOOKUP($M1386,[1]Detail!$M:$BO,1,0)</f>
        <v>JD8T -14K733 -NA </v>
      </c>
      <c r="ED1386" s="60">
        <f>VLOOKUP($M1386,[1]Detail!$M:$BO,22,0)</f>
        <v>-502.34999999999997</v>
      </c>
      <c r="EE1386" s="60">
        <f>VLOOKUP($M1386,[1]Detail!$M:$BO,42,0)</f>
        <v>0</v>
      </c>
      <c r="EF1386" s="60">
        <f>VLOOKUP($M1386,[1]Detail!$M:$BO,45,0)</f>
        <v>0</v>
      </c>
      <c r="EH1386" s="60">
        <f t="shared" si="1700"/>
        <v>0</v>
      </c>
      <c r="EI1386" s="60">
        <f t="shared" si="1701"/>
        <v>0</v>
      </c>
      <c r="EJ1386" s="60">
        <f t="shared" si="1702"/>
        <v>0</v>
      </c>
    </row>
    <row r="1387" spans="2:140" ht="12.75" hidden="1" customHeight="1">
      <c r="B1387" s="1" t="s">
        <v>2176</v>
      </c>
      <c r="C1387" s="22" t="s">
        <v>2177</v>
      </c>
      <c r="D1387" s="149" t="s">
        <v>2178</v>
      </c>
      <c r="E1387" s="86" t="s">
        <v>1591</v>
      </c>
      <c r="F1387" s="85" t="s">
        <v>2072</v>
      </c>
      <c r="G1387" s="297" t="s">
        <v>994</v>
      </c>
      <c r="J1387" s="298" t="s">
        <v>155</v>
      </c>
      <c r="K1387" s="299" t="s">
        <v>2228</v>
      </c>
      <c r="L1387" s="3" t="s">
        <v>2213</v>
      </c>
      <c r="M1387" s="51" t="str">
        <f t="shared" si="1661"/>
        <v>JD8T -14K733 -PA </v>
      </c>
      <c r="O1387" s="89">
        <v>0</v>
      </c>
      <c r="P1387" s="89">
        <v>0</v>
      </c>
      <c r="Q1387" s="89">
        <v>1</v>
      </c>
      <c r="R1387" s="89">
        <v>0</v>
      </c>
      <c r="S1387" s="89">
        <v>0</v>
      </c>
      <c r="T1387" s="89">
        <v>0</v>
      </c>
      <c r="U1387" s="89">
        <v>0</v>
      </c>
      <c r="V1387" s="89">
        <v>0</v>
      </c>
      <c r="W1387" s="164">
        <f t="shared" si="1706"/>
        <v>0.14000000000000001</v>
      </c>
      <c r="Y1387" s="8">
        <v>-745.31</v>
      </c>
      <c r="Z1387" s="63">
        <v>-0.82</v>
      </c>
      <c r="AA1387" s="63">
        <v>-0.7</v>
      </c>
      <c r="AB1387" s="63"/>
      <c r="AC1387" s="63"/>
      <c r="AD1387" s="8">
        <f t="shared" si="1645"/>
        <v>-746.83</v>
      </c>
      <c r="AE1387" s="2" t="s">
        <v>84</v>
      </c>
      <c r="AG1387" s="300"/>
      <c r="AH1387" s="300"/>
      <c r="AJ1387" s="300"/>
      <c r="AK1387" s="176"/>
      <c r="AM1387" s="22"/>
      <c r="AO1387" s="298" t="s">
        <v>1735</v>
      </c>
      <c r="AP1387" s="297" t="s">
        <v>2228</v>
      </c>
      <c r="AQ1387" s="3" t="s">
        <v>2231</v>
      </c>
      <c r="AR1387" s="90" t="str">
        <f t="shared" si="1703"/>
        <v>ED8T -14K733 -GS </v>
      </c>
      <c r="AT1387" s="89">
        <v>0</v>
      </c>
      <c r="AU1387" s="89">
        <v>0</v>
      </c>
      <c r="AV1387" s="89">
        <v>1</v>
      </c>
      <c r="AW1387" s="89">
        <v>0</v>
      </c>
      <c r="AX1387" s="89">
        <v>0</v>
      </c>
      <c r="AY1387" s="89">
        <v>0</v>
      </c>
      <c r="AZ1387" s="89">
        <v>0</v>
      </c>
      <c r="BA1387" s="89">
        <v>0</v>
      </c>
      <c r="BB1387" s="89">
        <f t="shared" si="1705"/>
        <v>0.14000000000000001</v>
      </c>
      <c r="BD1387" s="60">
        <v>-524.16</v>
      </c>
      <c r="BE1387" s="63">
        <v>-0.82</v>
      </c>
      <c r="BF1387" s="63">
        <v>-0.7</v>
      </c>
      <c r="BG1387" s="63">
        <v>0</v>
      </c>
      <c r="BH1387" s="63">
        <v>0</v>
      </c>
      <c r="BI1387" s="8">
        <f t="shared" si="1669"/>
        <v>-525.68000000000006</v>
      </c>
      <c r="BJ1387" s="2" t="s">
        <v>84</v>
      </c>
      <c r="BL1387" s="63"/>
      <c r="BM1387" s="63">
        <v>0</v>
      </c>
      <c r="BN1387" s="267"/>
      <c r="BO1387" s="63">
        <v>0</v>
      </c>
      <c r="BP1387" s="63">
        <v>0</v>
      </c>
      <c r="BQ1387" s="2">
        <v>0</v>
      </c>
      <c r="BS1387" s="61">
        <f t="shared" si="1694"/>
        <v>-221.14999999999998</v>
      </c>
      <c r="BT1387" s="61">
        <f t="shared" si="1695"/>
        <v>0</v>
      </c>
      <c r="BU1387" s="61">
        <f t="shared" si="1704"/>
        <v>0</v>
      </c>
      <c r="BV1387" s="61">
        <f t="shared" si="1704"/>
        <v>0</v>
      </c>
      <c r="BW1387" s="61">
        <f t="shared" si="1704"/>
        <v>0</v>
      </c>
      <c r="BX1387" s="63">
        <f t="shared" si="1704"/>
        <v>-221.14999999999998</v>
      </c>
      <c r="BY1387" s="61" t="s">
        <v>91</v>
      </c>
      <c r="CA1387" s="61">
        <f t="shared" si="1680"/>
        <v>0</v>
      </c>
      <c r="CB1387" s="61">
        <f t="shared" si="1680"/>
        <v>0</v>
      </c>
      <c r="CC1387" s="61">
        <f t="shared" si="1680"/>
        <v>-33.270648412817806</v>
      </c>
      <c r="CD1387" s="61">
        <f t="shared" si="1680"/>
        <v>0</v>
      </c>
      <c r="CE1387" s="61">
        <f t="shared" si="1680"/>
        <v>0</v>
      </c>
      <c r="CF1387" s="61">
        <f t="shared" si="1680"/>
        <v>0</v>
      </c>
      <c r="CG1387" s="61">
        <f t="shared" si="1680"/>
        <v>0</v>
      </c>
      <c r="CH1387" s="61">
        <f t="shared" si="1680"/>
        <v>0</v>
      </c>
      <c r="CI1387" s="61">
        <f t="shared" si="1666"/>
        <v>-4.6578907777944929</v>
      </c>
      <c r="CJ1387" s="267"/>
      <c r="CK1387" s="61">
        <f t="shared" si="1681"/>
        <v>0</v>
      </c>
      <c r="CL1387" s="61">
        <f t="shared" si="1681"/>
        <v>0</v>
      </c>
      <c r="CM1387" s="61">
        <f t="shared" si="1681"/>
        <v>-33.270648412817806</v>
      </c>
      <c r="CN1387" s="61">
        <f t="shared" si="1681"/>
        <v>0</v>
      </c>
      <c r="CO1387" s="61">
        <f t="shared" si="1662"/>
        <v>0</v>
      </c>
      <c r="CP1387" s="61">
        <f t="shared" si="1662"/>
        <v>0</v>
      </c>
      <c r="CQ1387" s="61">
        <f t="shared" si="1662"/>
        <v>0</v>
      </c>
      <c r="CR1387" s="61">
        <f t="shared" si="1662"/>
        <v>0</v>
      </c>
      <c r="CS1387" s="61">
        <f t="shared" si="1667"/>
        <v>-4.6578907777944929</v>
      </c>
      <c r="CT1387" s="63">
        <f t="shared" si="1670"/>
        <v>-30.960999999999995</v>
      </c>
      <c r="CU1387" s="73"/>
      <c r="CV1387" s="61">
        <f t="shared" si="1707"/>
        <v>0</v>
      </c>
      <c r="CW1387" s="61">
        <f t="shared" si="1708"/>
        <v>0</v>
      </c>
      <c r="CY1387" s="61">
        <f t="shared" si="1648"/>
        <v>0</v>
      </c>
      <c r="CZ1387" s="61">
        <f t="shared" si="1648"/>
        <v>0</v>
      </c>
      <c r="DA1387" s="61">
        <f t="shared" si="1648"/>
        <v>0</v>
      </c>
      <c r="DB1387" s="2" t="s">
        <v>86</v>
      </c>
      <c r="DC1387" s="2" t="s">
        <v>86</v>
      </c>
      <c r="DD1387" s="2" t="s">
        <v>87</v>
      </c>
      <c r="DE1387" s="2" t="s">
        <v>106</v>
      </c>
      <c r="DF1387" s="3" t="s">
        <v>86</v>
      </c>
      <c r="DG1387" s="62">
        <v>43111</v>
      </c>
      <c r="EC1387" s="60" t="str">
        <f>VLOOKUP($M1387,[1]Detail!$M:$BO,1,0)</f>
        <v>JD8T -14K733 -PA </v>
      </c>
      <c r="ED1387" s="60">
        <f>VLOOKUP($M1387,[1]Detail!$M:$BO,22,0)</f>
        <v>-746.83</v>
      </c>
      <c r="EE1387" s="60">
        <f>VLOOKUP($M1387,[1]Detail!$M:$BO,42,0)</f>
        <v>0</v>
      </c>
      <c r="EF1387" s="60">
        <f>VLOOKUP($M1387,[1]Detail!$M:$BO,45,0)</f>
        <v>0</v>
      </c>
      <c r="EH1387" s="60">
        <f t="shared" si="1700"/>
        <v>0</v>
      </c>
      <c r="EI1387" s="60">
        <f t="shared" si="1701"/>
        <v>0</v>
      </c>
      <c r="EJ1387" s="60">
        <f t="shared" si="1702"/>
        <v>0</v>
      </c>
    </row>
    <row r="1388" spans="2:140" ht="12.75" hidden="1" customHeight="1">
      <c r="B1388" s="1" t="s">
        <v>2176</v>
      </c>
      <c r="C1388" s="22" t="s">
        <v>2177</v>
      </c>
      <c r="D1388" s="149" t="s">
        <v>2178</v>
      </c>
      <c r="E1388" s="86" t="s">
        <v>1591</v>
      </c>
      <c r="F1388" s="85" t="s">
        <v>2072</v>
      </c>
      <c r="G1388" s="297" t="s">
        <v>994</v>
      </c>
      <c r="J1388" s="298" t="s">
        <v>155</v>
      </c>
      <c r="K1388" s="299" t="s">
        <v>2228</v>
      </c>
      <c r="L1388" s="3" t="s">
        <v>2197</v>
      </c>
      <c r="M1388" s="51" t="str">
        <f t="shared" si="1661"/>
        <v>JD8T -14K733 -RA </v>
      </c>
      <c r="O1388" s="89">
        <v>0</v>
      </c>
      <c r="P1388" s="89">
        <v>0</v>
      </c>
      <c r="Q1388" s="89">
        <v>0</v>
      </c>
      <c r="R1388" s="89">
        <v>1</v>
      </c>
      <c r="S1388" s="89">
        <v>0</v>
      </c>
      <c r="T1388" s="89">
        <v>0</v>
      </c>
      <c r="U1388" s="89">
        <v>0</v>
      </c>
      <c r="V1388" s="89">
        <v>0</v>
      </c>
      <c r="W1388" s="164">
        <f t="shared" si="1706"/>
        <v>0.23</v>
      </c>
      <c r="Y1388" s="8">
        <v>-754.2</v>
      </c>
      <c r="Z1388" s="63">
        <v>-0.82</v>
      </c>
      <c r="AA1388" s="63">
        <v>-0.7</v>
      </c>
      <c r="AB1388" s="63"/>
      <c r="AC1388" s="63"/>
      <c r="AD1388" s="8">
        <f t="shared" ref="AD1388:AD1397" si="1709">SUM(Y1388:AC1388)</f>
        <v>-755.72000000000014</v>
      </c>
      <c r="AE1388" s="2" t="s">
        <v>84</v>
      </c>
      <c r="AG1388" s="300"/>
      <c r="AH1388" s="300"/>
      <c r="AJ1388" s="300"/>
      <c r="AK1388" s="176"/>
      <c r="AM1388" s="22"/>
      <c r="AO1388" s="298" t="s">
        <v>1735</v>
      </c>
      <c r="AP1388" s="297" t="s">
        <v>2228</v>
      </c>
      <c r="AQ1388" s="3" t="s">
        <v>2232</v>
      </c>
      <c r="AR1388" s="90" t="str">
        <f t="shared" si="1703"/>
        <v>ED8T -14K733 -JG </v>
      </c>
      <c r="AT1388" s="89">
        <v>0</v>
      </c>
      <c r="AU1388" s="89">
        <v>0</v>
      </c>
      <c r="AV1388" s="89">
        <v>0</v>
      </c>
      <c r="AW1388" s="89">
        <v>1</v>
      </c>
      <c r="AX1388" s="89">
        <v>0</v>
      </c>
      <c r="AY1388" s="89">
        <v>0</v>
      </c>
      <c r="AZ1388" s="89">
        <v>0</v>
      </c>
      <c r="BA1388" s="89">
        <v>0</v>
      </c>
      <c r="BB1388" s="89">
        <f t="shared" si="1705"/>
        <v>0.23</v>
      </c>
      <c r="BD1388" s="60">
        <v>-524.16</v>
      </c>
      <c r="BE1388" s="63">
        <v>-0.82</v>
      </c>
      <c r="BF1388" s="63">
        <v>-0.7</v>
      </c>
      <c r="BG1388" s="63">
        <v>0</v>
      </c>
      <c r="BH1388" s="63">
        <v>0</v>
      </c>
      <c r="BI1388" s="8">
        <f t="shared" si="1669"/>
        <v>-525.68000000000006</v>
      </c>
      <c r="BJ1388" s="2" t="s">
        <v>84</v>
      </c>
      <c r="BL1388" s="63"/>
      <c r="BM1388" s="63">
        <v>0</v>
      </c>
      <c r="BN1388" s="267"/>
      <c r="BO1388" s="63">
        <v>0</v>
      </c>
      <c r="BP1388" s="63">
        <v>0</v>
      </c>
      <c r="BQ1388" s="2">
        <v>0</v>
      </c>
      <c r="BS1388" s="61">
        <f t="shared" si="1694"/>
        <v>-230.04000000000008</v>
      </c>
      <c r="BT1388" s="61">
        <f t="shared" si="1695"/>
        <v>0</v>
      </c>
      <c r="BU1388" s="61">
        <f t="shared" si="1704"/>
        <v>0</v>
      </c>
      <c r="BV1388" s="61">
        <f t="shared" si="1704"/>
        <v>0</v>
      </c>
      <c r="BW1388" s="61">
        <f t="shared" si="1704"/>
        <v>0</v>
      </c>
      <c r="BX1388" s="63">
        <f t="shared" si="1704"/>
        <v>-230.04000000000008</v>
      </c>
      <c r="BY1388" s="61" t="s">
        <v>91</v>
      </c>
      <c r="CA1388" s="61">
        <f t="shared" ref="CA1388:CH1422" si="1710">($Y1388*O1388-AT1388*$BD1388)/$C$2</f>
        <v>0</v>
      </c>
      <c r="CB1388" s="61">
        <f t="shared" si="1710"/>
        <v>0</v>
      </c>
      <c r="CC1388" s="61">
        <f t="shared" si="1710"/>
        <v>0</v>
      </c>
      <c r="CD1388" s="61">
        <f t="shared" si="1710"/>
        <v>-34.608093876936977</v>
      </c>
      <c r="CE1388" s="61">
        <f t="shared" si="1710"/>
        <v>0</v>
      </c>
      <c r="CF1388" s="61">
        <f t="shared" si="1710"/>
        <v>0</v>
      </c>
      <c r="CG1388" s="61">
        <f t="shared" si="1710"/>
        <v>0</v>
      </c>
      <c r="CH1388" s="61">
        <f t="shared" si="1710"/>
        <v>0</v>
      </c>
      <c r="CI1388" s="61">
        <f t="shared" si="1666"/>
        <v>-7.9598615916955051</v>
      </c>
      <c r="CJ1388" s="267"/>
      <c r="CK1388" s="61">
        <f t="shared" si="1681"/>
        <v>0</v>
      </c>
      <c r="CL1388" s="61">
        <f t="shared" si="1681"/>
        <v>0</v>
      </c>
      <c r="CM1388" s="61">
        <f t="shared" si="1681"/>
        <v>0</v>
      </c>
      <c r="CN1388" s="61">
        <f t="shared" si="1681"/>
        <v>-34.608093876936977</v>
      </c>
      <c r="CO1388" s="61">
        <f t="shared" si="1662"/>
        <v>0</v>
      </c>
      <c r="CP1388" s="61">
        <f t="shared" si="1662"/>
        <v>0</v>
      </c>
      <c r="CQ1388" s="61">
        <f t="shared" si="1662"/>
        <v>0</v>
      </c>
      <c r="CR1388" s="61">
        <f t="shared" si="1662"/>
        <v>0</v>
      </c>
      <c r="CS1388" s="61">
        <f t="shared" si="1667"/>
        <v>-7.9598615916955051</v>
      </c>
      <c r="CT1388" s="63">
        <f t="shared" si="1670"/>
        <v>-52.909200000000027</v>
      </c>
      <c r="CU1388" s="73"/>
      <c r="CV1388" s="61">
        <f t="shared" si="1707"/>
        <v>0</v>
      </c>
      <c r="CW1388" s="61">
        <f t="shared" si="1708"/>
        <v>0</v>
      </c>
      <c r="CY1388" s="61">
        <f t="shared" si="1648"/>
        <v>0</v>
      </c>
      <c r="CZ1388" s="61">
        <f t="shared" si="1648"/>
        <v>0</v>
      </c>
      <c r="DA1388" s="61">
        <f t="shared" si="1648"/>
        <v>0</v>
      </c>
      <c r="DB1388" s="2" t="s">
        <v>86</v>
      </c>
      <c r="DC1388" s="2" t="s">
        <v>86</v>
      </c>
      <c r="DD1388" s="2" t="s">
        <v>87</v>
      </c>
      <c r="DE1388" s="2" t="s">
        <v>106</v>
      </c>
      <c r="DF1388" s="3" t="s">
        <v>86</v>
      </c>
      <c r="DG1388" s="62">
        <v>43111</v>
      </c>
      <c r="EC1388" s="60" t="str">
        <f>VLOOKUP($M1388,[1]Detail!$M:$BO,1,0)</f>
        <v>JD8T -14K733 -RA </v>
      </c>
      <c r="ED1388" s="60">
        <f>VLOOKUP($M1388,[1]Detail!$M:$BO,22,0)</f>
        <v>-755.72000000000014</v>
      </c>
      <c r="EE1388" s="60">
        <f>VLOOKUP($M1388,[1]Detail!$M:$BO,42,0)</f>
        <v>0</v>
      </c>
      <c r="EF1388" s="60">
        <f>VLOOKUP($M1388,[1]Detail!$M:$BO,45,0)</f>
        <v>0</v>
      </c>
      <c r="EH1388" s="60">
        <f t="shared" si="1700"/>
        <v>0</v>
      </c>
      <c r="EI1388" s="60">
        <f t="shared" si="1701"/>
        <v>0</v>
      </c>
      <c r="EJ1388" s="60">
        <f t="shared" si="1702"/>
        <v>0</v>
      </c>
    </row>
    <row r="1389" spans="2:140" ht="12.75" hidden="1" customHeight="1">
      <c r="B1389" s="1" t="s">
        <v>2176</v>
      </c>
      <c r="C1389" s="22" t="s">
        <v>2177</v>
      </c>
      <c r="D1389" s="149" t="s">
        <v>2178</v>
      </c>
      <c r="E1389" s="86" t="s">
        <v>1591</v>
      </c>
      <c r="F1389" s="85" t="s">
        <v>2072</v>
      </c>
      <c r="G1389" s="297" t="s">
        <v>994</v>
      </c>
      <c r="J1389" s="298" t="s">
        <v>155</v>
      </c>
      <c r="K1389" s="299" t="s">
        <v>2228</v>
      </c>
      <c r="L1389" s="3" t="s">
        <v>2233</v>
      </c>
      <c r="M1389" s="51" t="str">
        <f t="shared" si="1661"/>
        <v>JD8T -14K733 -SA </v>
      </c>
      <c r="O1389" s="89">
        <v>0</v>
      </c>
      <c r="P1389" s="89">
        <v>0</v>
      </c>
      <c r="Q1389" s="89">
        <v>0</v>
      </c>
      <c r="R1389" s="89">
        <v>0</v>
      </c>
      <c r="S1389" s="89">
        <v>1</v>
      </c>
      <c r="T1389" s="89">
        <v>0</v>
      </c>
      <c r="U1389" s="89">
        <v>0</v>
      </c>
      <c r="V1389" s="89">
        <v>0</v>
      </c>
      <c r="W1389" s="164">
        <f t="shared" si="1706"/>
        <v>0.09</v>
      </c>
      <c r="Y1389" s="8">
        <v>-880.33</v>
      </c>
      <c r="Z1389" s="63">
        <v>-0.82</v>
      </c>
      <c r="AA1389" s="63">
        <v>-0.7</v>
      </c>
      <c r="AB1389" s="63"/>
      <c r="AC1389" s="63"/>
      <c r="AD1389" s="8">
        <f t="shared" si="1709"/>
        <v>-881.85000000000014</v>
      </c>
      <c r="AE1389" s="2" t="s">
        <v>84</v>
      </c>
      <c r="AG1389" s="300"/>
      <c r="AH1389" s="300"/>
      <c r="AJ1389" s="300"/>
      <c r="AK1389" s="176"/>
      <c r="AM1389" s="22"/>
      <c r="AO1389" s="298" t="s">
        <v>1735</v>
      </c>
      <c r="AP1389" s="297" t="s">
        <v>2228</v>
      </c>
      <c r="AQ1389" s="3" t="s">
        <v>2231</v>
      </c>
      <c r="AR1389" s="90" t="str">
        <f t="shared" si="1703"/>
        <v>ED8T -14K733 -GS </v>
      </c>
      <c r="AT1389" s="89">
        <v>0</v>
      </c>
      <c r="AU1389" s="89">
        <v>0</v>
      </c>
      <c r="AV1389" s="89">
        <v>0</v>
      </c>
      <c r="AW1389" s="89">
        <v>0</v>
      </c>
      <c r="AX1389" s="89">
        <v>1</v>
      </c>
      <c r="AY1389" s="89">
        <v>0</v>
      </c>
      <c r="AZ1389" s="89">
        <v>0</v>
      </c>
      <c r="BA1389" s="89">
        <v>0</v>
      </c>
      <c r="BB1389" s="89">
        <f t="shared" si="1705"/>
        <v>0.09</v>
      </c>
      <c r="BD1389" s="60">
        <v>-432.81</v>
      </c>
      <c r="BE1389" s="63">
        <v>-0.82</v>
      </c>
      <c r="BF1389" s="63">
        <v>-0.7</v>
      </c>
      <c r="BG1389" s="63">
        <v>0</v>
      </c>
      <c r="BH1389" s="63">
        <v>0</v>
      </c>
      <c r="BI1389" s="8">
        <f t="shared" si="1669"/>
        <v>-434.33</v>
      </c>
      <c r="BJ1389" s="2" t="s">
        <v>84</v>
      </c>
      <c r="BL1389" s="63"/>
      <c r="BM1389" s="63">
        <v>0</v>
      </c>
      <c r="BN1389" s="267"/>
      <c r="BO1389" s="63">
        <v>0</v>
      </c>
      <c r="BP1389" s="63">
        <v>0</v>
      </c>
      <c r="BQ1389" s="2">
        <v>0</v>
      </c>
      <c r="BS1389" s="61">
        <f t="shared" si="1694"/>
        <v>-447.52000000000004</v>
      </c>
      <c r="BT1389" s="61">
        <f t="shared" si="1695"/>
        <v>0</v>
      </c>
      <c r="BU1389" s="61">
        <f t="shared" si="1704"/>
        <v>0</v>
      </c>
      <c r="BV1389" s="61">
        <f t="shared" si="1704"/>
        <v>0</v>
      </c>
      <c r="BW1389" s="61">
        <f t="shared" si="1704"/>
        <v>0</v>
      </c>
      <c r="BX1389" s="63">
        <f t="shared" si="1704"/>
        <v>-447.52000000000015</v>
      </c>
      <c r="BY1389" s="61" t="s">
        <v>91</v>
      </c>
      <c r="CA1389" s="61">
        <f t="shared" si="1710"/>
        <v>0</v>
      </c>
      <c r="CB1389" s="61">
        <f t="shared" si="1710"/>
        <v>0</v>
      </c>
      <c r="CC1389" s="61">
        <f t="shared" si="1710"/>
        <v>0</v>
      </c>
      <c r="CD1389" s="61">
        <f t="shared" si="1710"/>
        <v>0</v>
      </c>
      <c r="CE1389" s="61">
        <f t="shared" si="1710"/>
        <v>-67.32661350985407</v>
      </c>
      <c r="CF1389" s="61">
        <f t="shared" si="1710"/>
        <v>0</v>
      </c>
      <c r="CG1389" s="61">
        <f t="shared" si="1710"/>
        <v>0</v>
      </c>
      <c r="CH1389" s="61">
        <f t="shared" si="1710"/>
        <v>0</v>
      </c>
      <c r="CI1389" s="61">
        <f t="shared" si="1666"/>
        <v>-6.059395215886866</v>
      </c>
      <c r="CJ1389" s="267"/>
      <c r="CK1389" s="61">
        <f t="shared" si="1681"/>
        <v>0</v>
      </c>
      <c r="CL1389" s="61">
        <f t="shared" si="1681"/>
        <v>0</v>
      </c>
      <c r="CM1389" s="61">
        <f t="shared" si="1681"/>
        <v>0</v>
      </c>
      <c r="CN1389" s="61">
        <f t="shared" si="1681"/>
        <v>0</v>
      </c>
      <c r="CO1389" s="61">
        <f t="shared" si="1662"/>
        <v>-67.326613509854084</v>
      </c>
      <c r="CP1389" s="61">
        <f t="shared" si="1662"/>
        <v>0</v>
      </c>
      <c r="CQ1389" s="61">
        <f t="shared" si="1662"/>
        <v>0</v>
      </c>
      <c r="CR1389" s="61">
        <f t="shared" si="1662"/>
        <v>0</v>
      </c>
      <c r="CS1389" s="61">
        <f t="shared" si="1667"/>
        <v>-6.0593952158868678</v>
      </c>
      <c r="CT1389" s="63">
        <f t="shared" si="1670"/>
        <v>-40.276800000000009</v>
      </c>
      <c r="CU1389" s="73"/>
      <c r="CV1389" s="61">
        <f t="shared" si="1707"/>
        <v>0</v>
      </c>
      <c r="CW1389" s="61">
        <f t="shared" si="1708"/>
        <v>0</v>
      </c>
      <c r="CY1389" s="61">
        <f t="shared" si="1648"/>
        <v>0</v>
      </c>
      <c r="CZ1389" s="61">
        <f t="shared" si="1648"/>
        <v>0</v>
      </c>
      <c r="DA1389" s="61">
        <f t="shared" si="1648"/>
        <v>0</v>
      </c>
      <c r="DB1389" s="2" t="s">
        <v>86</v>
      </c>
      <c r="DC1389" s="2" t="s">
        <v>86</v>
      </c>
      <c r="DD1389" s="2" t="s">
        <v>87</v>
      </c>
      <c r="DE1389" s="2" t="s">
        <v>106</v>
      </c>
      <c r="DF1389" s="3" t="s">
        <v>86</v>
      </c>
      <c r="DG1389" s="62">
        <v>43111</v>
      </c>
      <c r="EC1389" s="60" t="str">
        <f>VLOOKUP($M1389,[1]Detail!$M:$BO,1,0)</f>
        <v>JD8T -14K733 -SA </v>
      </c>
      <c r="ED1389" s="60">
        <f>VLOOKUP($M1389,[1]Detail!$M:$BO,22,0)</f>
        <v>-881.85000000000014</v>
      </c>
      <c r="EE1389" s="60">
        <f>VLOOKUP($M1389,[1]Detail!$M:$BO,42,0)</f>
        <v>0</v>
      </c>
      <c r="EF1389" s="60">
        <f>VLOOKUP($M1389,[1]Detail!$M:$BO,45,0)</f>
        <v>0</v>
      </c>
      <c r="EH1389" s="60">
        <f t="shared" si="1700"/>
        <v>0</v>
      </c>
      <c r="EI1389" s="60">
        <f t="shared" si="1701"/>
        <v>0</v>
      </c>
      <c r="EJ1389" s="60">
        <f t="shared" si="1702"/>
        <v>0</v>
      </c>
    </row>
    <row r="1390" spans="2:140" ht="12.75" hidden="1" customHeight="1">
      <c r="B1390" s="1" t="s">
        <v>2176</v>
      </c>
      <c r="C1390" s="22" t="s">
        <v>2177</v>
      </c>
      <c r="D1390" s="149" t="s">
        <v>2178</v>
      </c>
      <c r="E1390" s="86" t="s">
        <v>1591</v>
      </c>
      <c r="F1390" s="85" t="s">
        <v>2072</v>
      </c>
      <c r="G1390" s="297" t="s">
        <v>994</v>
      </c>
      <c r="J1390" s="298" t="s">
        <v>155</v>
      </c>
      <c r="K1390" s="299" t="s">
        <v>2228</v>
      </c>
      <c r="L1390" s="3" t="s">
        <v>2198</v>
      </c>
      <c r="M1390" s="51" t="str">
        <f t="shared" si="1661"/>
        <v>JD8T -14K733 -TA </v>
      </c>
      <c r="O1390" s="89">
        <v>0</v>
      </c>
      <c r="P1390" s="89">
        <v>0</v>
      </c>
      <c r="Q1390" s="89">
        <v>0</v>
      </c>
      <c r="R1390" s="89">
        <v>0</v>
      </c>
      <c r="S1390" s="89">
        <v>0</v>
      </c>
      <c r="T1390" s="89">
        <v>1</v>
      </c>
      <c r="U1390" s="89">
        <v>0</v>
      </c>
      <c r="V1390" s="89">
        <v>0</v>
      </c>
      <c r="W1390" s="164">
        <f t="shared" si="1706"/>
        <v>0.14000000000000001</v>
      </c>
      <c r="Y1390" s="8">
        <v>-874.86</v>
      </c>
      <c r="Z1390" s="63">
        <v>-0.82</v>
      </c>
      <c r="AA1390" s="63">
        <v>-0.7</v>
      </c>
      <c r="AB1390" s="63"/>
      <c r="AC1390" s="63"/>
      <c r="AD1390" s="8">
        <f t="shared" si="1709"/>
        <v>-876.38000000000011</v>
      </c>
      <c r="AE1390" s="2" t="s">
        <v>84</v>
      </c>
      <c r="AG1390" s="300"/>
      <c r="AH1390" s="300"/>
      <c r="AJ1390" s="300"/>
      <c r="AK1390" s="176"/>
      <c r="AM1390" s="22"/>
      <c r="AO1390" s="298" t="s">
        <v>1735</v>
      </c>
      <c r="AP1390" s="297" t="s">
        <v>2228</v>
      </c>
      <c r="AQ1390" s="3" t="s">
        <v>2232</v>
      </c>
      <c r="AR1390" s="90" t="str">
        <f t="shared" si="1703"/>
        <v>ED8T -14K733 -JG </v>
      </c>
      <c r="AT1390" s="89">
        <v>0</v>
      </c>
      <c r="AU1390" s="89">
        <v>0</v>
      </c>
      <c r="AV1390" s="89">
        <v>0</v>
      </c>
      <c r="AW1390" s="89">
        <v>0</v>
      </c>
      <c r="AX1390" s="89">
        <v>0</v>
      </c>
      <c r="AY1390" s="89">
        <v>1</v>
      </c>
      <c r="AZ1390" s="89">
        <v>0</v>
      </c>
      <c r="BA1390" s="89">
        <v>0</v>
      </c>
      <c r="BB1390" s="89">
        <f t="shared" si="1705"/>
        <v>0.14000000000000001</v>
      </c>
      <c r="BD1390" s="60">
        <v>-600.21</v>
      </c>
      <c r="BE1390" s="63">
        <v>-0.82</v>
      </c>
      <c r="BF1390" s="63">
        <v>-0.7</v>
      </c>
      <c r="BG1390" s="63">
        <v>0</v>
      </c>
      <c r="BH1390" s="63">
        <v>0</v>
      </c>
      <c r="BI1390" s="8">
        <f t="shared" si="1669"/>
        <v>-601.73000000000013</v>
      </c>
      <c r="BJ1390" s="2" t="s">
        <v>84</v>
      </c>
      <c r="BL1390" s="63"/>
      <c r="BM1390" s="63">
        <v>0</v>
      </c>
      <c r="BN1390" s="267"/>
      <c r="BO1390" s="63">
        <v>0</v>
      </c>
      <c r="BP1390" s="63">
        <v>0</v>
      </c>
      <c r="BQ1390" s="2">
        <v>0</v>
      </c>
      <c r="BS1390" s="61">
        <f t="shared" si="1694"/>
        <v>-274.64999999999998</v>
      </c>
      <c r="BT1390" s="61">
        <f t="shared" si="1695"/>
        <v>0</v>
      </c>
      <c r="BU1390" s="61">
        <f t="shared" si="1704"/>
        <v>0</v>
      </c>
      <c r="BV1390" s="61">
        <f t="shared" si="1704"/>
        <v>0</v>
      </c>
      <c r="BW1390" s="61">
        <f t="shared" si="1704"/>
        <v>0</v>
      </c>
      <c r="BX1390" s="63">
        <f t="shared" si="1704"/>
        <v>-274.64999999999998</v>
      </c>
      <c r="BY1390" s="61" t="s">
        <v>91</v>
      </c>
      <c r="CA1390" s="61">
        <f t="shared" si="1710"/>
        <v>0</v>
      </c>
      <c r="CB1390" s="61">
        <f t="shared" si="1710"/>
        <v>0</v>
      </c>
      <c r="CC1390" s="61">
        <f t="shared" si="1710"/>
        <v>0</v>
      </c>
      <c r="CD1390" s="61">
        <f t="shared" si="1710"/>
        <v>0</v>
      </c>
      <c r="CE1390" s="61">
        <f t="shared" si="1710"/>
        <v>0</v>
      </c>
      <c r="CF1390" s="61">
        <f t="shared" si="1710"/>
        <v>-41.319392207010679</v>
      </c>
      <c r="CG1390" s="61">
        <f t="shared" si="1710"/>
        <v>0</v>
      </c>
      <c r="CH1390" s="61">
        <f t="shared" si="1710"/>
        <v>0</v>
      </c>
      <c r="CI1390" s="61">
        <f t="shared" si="1666"/>
        <v>-5.7847149089814955</v>
      </c>
      <c r="CJ1390" s="267"/>
      <c r="CK1390" s="61">
        <f t="shared" si="1681"/>
        <v>0</v>
      </c>
      <c r="CL1390" s="61">
        <f t="shared" si="1681"/>
        <v>0</v>
      </c>
      <c r="CM1390" s="61">
        <f t="shared" si="1681"/>
        <v>0</v>
      </c>
      <c r="CN1390" s="61">
        <f t="shared" si="1681"/>
        <v>0</v>
      </c>
      <c r="CO1390" s="61">
        <f t="shared" si="1662"/>
        <v>0</v>
      </c>
      <c r="CP1390" s="61">
        <f t="shared" si="1662"/>
        <v>-41.319392207010679</v>
      </c>
      <c r="CQ1390" s="61">
        <f t="shared" si="1662"/>
        <v>0</v>
      </c>
      <c r="CR1390" s="61">
        <f t="shared" ref="CR1390:CR1453" si="1711">(V1390*$AD1390-BA1390*$BI1390)/$C$2</f>
        <v>0</v>
      </c>
      <c r="CS1390" s="61">
        <f t="shared" si="1667"/>
        <v>-5.7847149089814955</v>
      </c>
      <c r="CT1390" s="63">
        <f t="shared" si="1670"/>
        <v>-38.451000000000001</v>
      </c>
      <c r="CU1390" s="73"/>
      <c r="CV1390" s="61">
        <f t="shared" si="1707"/>
        <v>0</v>
      </c>
      <c r="CW1390" s="61">
        <f t="shared" si="1708"/>
        <v>0</v>
      </c>
      <c r="CY1390" s="61">
        <f t="shared" si="1648"/>
        <v>0</v>
      </c>
      <c r="CZ1390" s="61">
        <f t="shared" si="1648"/>
        <v>0</v>
      </c>
      <c r="DA1390" s="61">
        <f t="shared" si="1648"/>
        <v>0</v>
      </c>
      <c r="DB1390" s="2" t="s">
        <v>86</v>
      </c>
      <c r="DC1390" s="2" t="s">
        <v>86</v>
      </c>
      <c r="DD1390" s="2" t="s">
        <v>87</v>
      </c>
      <c r="DE1390" s="2" t="s">
        <v>106</v>
      </c>
      <c r="DF1390" s="3" t="s">
        <v>86</v>
      </c>
      <c r="DG1390" s="62">
        <v>43111</v>
      </c>
      <c r="EC1390" s="60" t="str">
        <f>VLOOKUP($M1390,[1]Detail!$M:$BO,1,0)</f>
        <v>JD8T -14K733 -TA </v>
      </c>
      <c r="ED1390" s="60">
        <f>VLOOKUP($M1390,[1]Detail!$M:$BO,22,0)</f>
        <v>-876.38000000000011</v>
      </c>
      <c r="EE1390" s="60">
        <f>VLOOKUP($M1390,[1]Detail!$M:$BO,42,0)</f>
        <v>0</v>
      </c>
      <c r="EF1390" s="60">
        <f>VLOOKUP($M1390,[1]Detail!$M:$BO,45,0)</f>
        <v>0</v>
      </c>
      <c r="EH1390" s="60">
        <f t="shared" si="1700"/>
        <v>0</v>
      </c>
      <c r="EI1390" s="60">
        <f t="shared" si="1701"/>
        <v>0</v>
      </c>
      <c r="EJ1390" s="60">
        <f t="shared" si="1702"/>
        <v>0</v>
      </c>
    </row>
    <row r="1391" spans="2:140" ht="12.75" hidden="1" customHeight="1">
      <c r="B1391" s="1" t="s">
        <v>2176</v>
      </c>
      <c r="C1391" s="22" t="s">
        <v>2177</v>
      </c>
      <c r="D1391" s="149" t="s">
        <v>2178</v>
      </c>
      <c r="E1391" s="86" t="s">
        <v>1591</v>
      </c>
      <c r="F1391" s="85" t="s">
        <v>2072</v>
      </c>
      <c r="G1391" s="297" t="s">
        <v>994</v>
      </c>
      <c r="J1391" s="298" t="s">
        <v>155</v>
      </c>
      <c r="K1391" s="299" t="s">
        <v>2228</v>
      </c>
      <c r="L1391" s="3" t="s">
        <v>2199</v>
      </c>
      <c r="M1391" s="51" t="str">
        <f t="shared" ref="M1391:M1413" si="1712">TRIM(J1391)&amp;"-"&amp;TRIM(K1391)&amp;"-"&amp;TRIM(L1391)</f>
        <v>JD8T -14K733 -UA </v>
      </c>
      <c r="O1391" s="89">
        <v>0</v>
      </c>
      <c r="P1391" s="89">
        <v>0</v>
      </c>
      <c r="Q1391" s="89">
        <v>1</v>
      </c>
      <c r="R1391" s="89">
        <v>0</v>
      </c>
      <c r="S1391" s="89">
        <v>0</v>
      </c>
      <c r="T1391" s="89">
        <v>0</v>
      </c>
      <c r="U1391" s="89">
        <v>0</v>
      </c>
      <c r="V1391" s="89">
        <v>0</v>
      </c>
      <c r="W1391" s="164">
        <f t="shared" si="1706"/>
        <v>0.14000000000000001</v>
      </c>
      <c r="Y1391" s="8">
        <v>-777.5</v>
      </c>
      <c r="Z1391" s="63">
        <v>-0.82</v>
      </c>
      <c r="AA1391" s="63">
        <v>-0.7</v>
      </c>
      <c r="AB1391" s="63"/>
      <c r="AC1391" s="63"/>
      <c r="AD1391" s="8">
        <f t="shared" si="1709"/>
        <v>-779.0200000000001</v>
      </c>
      <c r="AE1391" s="2" t="s">
        <v>84</v>
      </c>
      <c r="AG1391" s="300"/>
      <c r="AH1391" s="300"/>
      <c r="AJ1391" s="300"/>
      <c r="AK1391" s="176"/>
      <c r="AM1391" s="22"/>
      <c r="AO1391" s="298" t="s">
        <v>1735</v>
      </c>
      <c r="AP1391" s="297" t="s">
        <v>2228</v>
      </c>
      <c r="AQ1391" s="3" t="s">
        <v>2232</v>
      </c>
      <c r="AR1391" s="90" t="str">
        <f t="shared" si="1703"/>
        <v>ED8T -14K733 -JG </v>
      </c>
      <c r="AT1391" s="89">
        <v>0</v>
      </c>
      <c r="AU1391" s="89">
        <v>0</v>
      </c>
      <c r="AV1391" s="89">
        <v>1</v>
      </c>
      <c r="AW1391" s="89">
        <v>0</v>
      </c>
      <c r="AX1391" s="89">
        <v>0</v>
      </c>
      <c r="AY1391" s="89">
        <v>0</v>
      </c>
      <c r="AZ1391" s="89">
        <v>0</v>
      </c>
      <c r="BA1391" s="89">
        <v>0</v>
      </c>
      <c r="BB1391" s="89">
        <f t="shared" si="1705"/>
        <v>0.14000000000000001</v>
      </c>
      <c r="BD1391" s="60">
        <v>-584.70000000000005</v>
      </c>
      <c r="BE1391" s="63">
        <v>-0.82</v>
      </c>
      <c r="BF1391" s="63">
        <v>-0.7</v>
      </c>
      <c r="BG1391" s="63">
        <v>0</v>
      </c>
      <c r="BH1391" s="63">
        <v>0</v>
      </c>
      <c r="BI1391" s="8">
        <f t="shared" si="1669"/>
        <v>-586.22000000000014</v>
      </c>
      <c r="BJ1391" s="2" t="s">
        <v>84</v>
      </c>
      <c r="BL1391" s="63"/>
      <c r="BM1391" s="63">
        <v>0</v>
      </c>
      <c r="BN1391" s="267"/>
      <c r="BO1391" s="63">
        <v>0</v>
      </c>
      <c r="BP1391" s="63">
        <v>0</v>
      </c>
      <c r="BQ1391" s="2">
        <v>0</v>
      </c>
      <c r="BS1391" s="61">
        <f t="shared" si="1694"/>
        <v>-192.79999999999995</v>
      </c>
      <c r="BT1391" s="61">
        <f t="shared" si="1695"/>
        <v>0</v>
      </c>
      <c r="BU1391" s="61">
        <f t="shared" si="1704"/>
        <v>0</v>
      </c>
      <c r="BV1391" s="61">
        <f t="shared" si="1704"/>
        <v>0</v>
      </c>
      <c r="BW1391" s="61">
        <f t="shared" si="1704"/>
        <v>0</v>
      </c>
      <c r="BX1391" s="63">
        <f t="shared" si="1704"/>
        <v>-192.79999999999995</v>
      </c>
      <c r="BY1391" s="61" t="s">
        <v>91</v>
      </c>
      <c r="CA1391" s="61">
        <f t="shared" si="1710"/>
        <v>0</v>
      </c>
      <c r="CB1391" s="61">
        <f t="shared" si="1710"/>
        <v>0</v>
      </c>
      <c r="CC1391" s="61">
        <f t="shared" si="1710"/>
        <v>-29.005566420941772</v>
      </c>
      <c r="CD1391" s="61">
        <f t="shared" si="1710"/>
        <v>0</v>
      </c>
      <c r="CE1391" s="61">
        <f t="shared" si="1710"/>
        <v>0</v>
      </c>
      <c r="CF1391" s="61">
        <f t="shared" si="1710"/>
        <v>0</v>
      </c>
      <c r="CG1391" s="61">
        <f t="shared" si="1710"/>
        <v>0</v>
      </c>
      <c r="CH1391" s="61">
        <f t="shared" si="1710"/>
        <v>0</v>
      </c>
      <c r="CI1391" s="61">
        <f t="shared" si="1666"/>
        <v>-4.0607792989318483</v>
      </c>
      <c r="CJ1391" s="267"/>
      <c r="CK1391" s="61">
        <f t="shared" si="1681"/>
        <v>0</v>
      </c>
      <c r="CL1391" s="61">
        <f t="shared" si="1681"/>
        <v>0</v>
      </c>
      <c r="CM1391" s="61">
        <f t="shared" si="1681"/>
        <v>-29.005566420941772</v>
      </c>
      <c r="CN1391" s="61">
        <f t="shared" si="1681"/>
        <v>0</v>
      </c>
      <c r="CO1391" s="61">
        <f t="shared" si="1681"/>
        <v>0</v>
      </c>
      <c r="CP1391" s="61">
        <f t="shared" si="1681"/>
        <v>0</v>
      </c>
      <c r="CQ1391" s="61">
        <f t="shared" si="1681"/>
        <v>0</v>
      </c>
      <c r="CR1391" s="61">
        <f t="shared" si="1711"/>
        <v>0</v>
      </c>
      <c r="CS1391" s="61">
        <f t="shared" si="1667"/>
        <v>-4.0607792989318483</v>
      </c>
      <c r="CT1391" s="63">
        <f t="shared" si="1670"/>
        <v>-26.991999999999997</v>
      </c>
      <c r="CU1391" s="73"/>
      <c r="CV1391" s="61">
        <f t="shared" si="1707"/>
        <v>0</v>
      </c>
      <c r="CW1391" s="61">
        <f t="shared" si="1708"/>
        <v>0</v>
      </c>
      <c r="CY1391" s="61">
        <f t="shared" si="1648"/>
        <v>0</v>
      </c>
      <c r="CZ1391" s="61">
        <f t="shared" si="1648"/>
        <v>0</v>
      </c>
      <c r="DA1391" s="61">
        <f t="shared" si="1648"/>
        <v>0</v>
      </c>
      <c r="DB1391" s="2" t="s">
        <v>86</v>
      </c>
      <c r="DC1391" s="2" t="s">
        <v>86</v>
      </c>
      <c r="DD1391" s="2" t="s">
        <v>87</v>
      </c>
      <c r="DE1391" s="2" t="s">
        <v>106</v>
      </c>
      <c r="DF1391" s="3" t="s">
        <v>86</v>
      </c>
      <c r="DG1391" s="62">
        <v>43111</v>
      </c>
      <c r="EC1391" s="60" t="str">
        <f>VLOOKUP($M1391,[1]Detail!$M:$BO,1,0)</f>
        <v>JD8T -14K733 -UA </v>
      </c>
      <c r="ED1391" s="60">
        <f>VLOOKUP($M1391,[1]Detail!$M:$BO,22,0)</f>
        <v>-779.0200000000001</v>
      </c>
      <c r="EE1391" s="60">
        <f>VLOOKUP($M1391,[1]Detail!$M:$BO,42,0)</f>
        <v>0</v>
      </c>
      <c r="EF1391" s="60">
        <f>VLOOKUP($M1391,[1]Detail!$M:$BO,45,0)</f>
        <v>0</v>
      </c>
      <c r="EH1391" s="60">
        <f t="shared" si="1700"/>
        <v>0</v>
      </c>
      <c r="EI1391" s="60">
        <f t="shared" si="1701"/>
        <v>0</v>
      </c>
      <c r="EJ1391" s="60">
        <f t="shared" si="1702"/>
        <v>0</v>
      </c>
    </row>
    <row r="1392" spans="2:140" ht="12.75" hidden="1" customHeight="1">
      <c r="B1392" s="1" t="s">
        <v>2176</v>
      </c>
      <c r="C1392" s="22" t="s">
        <v>2177</v>
      </c>
      <c r="D1392" s="149" t="s">
        <v>2178</v>
      </c>
      <c r="E1392" s="86" t="s">
        <v>1591</v>
      </c>
      <c r="F1392" s="85" t="s">
        <v>2072</v>
      </c>
      <c r="G1392" s="297" t="s">
        <v>994</v>
      </c>
      <c r="J1392" s="298" t="s">
        <v>155</v>
      </c>
      <c r="K1392" s="299" t="s">
        <v>2228</v>
      </c>
      <c r="L1392" s="3" t="s">
        <v>2200</v>
      </c>
      <c r="M1392" s="51" t="str">
        <f t="shared" si="1712"/>
        <v>JD8T -14K733 -VA </v>
      </c>
      <c r="O1392" s="89">
        <v>0</v>
      </c>
      <c r="P1392" s="89">
        <v>0</v>
      </c>
      <c r="Q1392" s="89">
        <v>0</v>
      </c>
      <c r="R1392" s="89">
        <v>0</v>
      </c>
      <c r="S1392" s="89">
        <v>0</v>
      </c>
      <c r="T1392" s="89">
        <v>0</v>
      </c>
      <c r="U1392" s="89">
        <v>1</v>
      </c>
      <c r="V1392" s="89">
        <v>0</v>
      </c>
      <c r="W1392" s="164">
        <f t="shared" si="1706"/>
        <v>0.05</v>
      </c>
      <c r="Y1392" s="8">
        <v>-776.65</v>
      </c>
      <c r="Z1392" s="63">
        <v>-0.82</v>
      </c>
      <c r="AA1392" s="63">
        <v>-0.7</v>
      </c>
      <c r="AB1392" s="63"/>
      <c r="AC1392" s="63"/>
      <c r="AD1392" s="8">
        <f t="shared" si="1709"/>
        <v>-778.17000000000007</v>
      </c>
      <c r="AE1392" s="2" t="s">
        <v>84</v>
      </c>
      <c r="AG1392" s="300"/>
      <c r="AH1392" s="300"/>
      <c r="AJ1392" s="300"/>
      <c r="AK1392" s="176"/>
      <c r="AM1392" s="22"/>
      <c r="AO1392" s="298" t="s">
        <v>1735</v>
      </c>
      <c r="AP1392" s="297" t="s">
        <v>2228</v>
      </c>
      <c r="AQ1392" s="3" t="s">
        <v>2232</v>
      </c>
      <c r="AR1392" s="90" t="str">
        <f t="shared" si="1703"/>
        <v>ED8T -14K733 -JG </v>
      </c>
      <c r="AT1392" s="89">
        <v>0</v>
      </c>
      <c r="AU1392" s="89">
        <v>0</v>
      </c>
      <c r="AV1392" s="89">
        <v>0</v>
      </c>
      <c r="AW1392" s="89">
        <v>0</v>
      </c>
      <c r="AX1392" s="89">
        <v>0</v>
      </c>
      <c r="AY1392" s="89">
        <v>0</v>
      </c>
      <c r="AZ1392" s="89">
        <v>1</v>
      </c>
      <c r="BA1392" s="89">
        <v>0</v>
      </c>
      <c r="BB1392" s="89">
        <f t="shared" si="1705"/>
        <v>0.05</v>
      </c>
      <c r="BD1392" s="60">
        <v>-584.70000000000005</v>
      </c>
      <c r="BE1392" s="63">
        <v>-0.82</v>
      </c>
      <c r="BF1392" s="63">
        <v>-0.7</v>
      </c>
      <c r="BG1392" s="63">
        <v>0</v>
      </c>
      <c r="BH1392" s="63">
        <v>0</v>
      </c>
      <c r="BI1392" s="8">
        <f t="shared" si="1669"/>
        <v>-586.22000000000014</v>
      </c>
      <c r="BJ1392" s="2" t="s">
        <v>84</v>
      </c>
      <c r="BL1392" s="63"/>
      <c r="BM1392" s="63">
        <v>0</v>
      </c>
      <c r="BN1392" s="267"/>
      <c r="BO1392" s="63">
        <v>0</v>
      </c>
      <c r="BP1392" s="63">
        <v>0</v>
      </c>
      <c r="BQ1392" s="2">
        <v>0</v>
      </c>
      <c r="BS1392" s="61">
        <f t="shared" si="1694"/>
        <v>-191.94999999999993</v>
      </c>
      <c r="BT1392" s="61">
        <f t="shared" si="1695"/>
        <v>0</v>
      </c>
      <c r="BU1392" s="61">
        <f t="shared" si="1704"/>
        <v>0</v>
      </c>
      <c r="BV1392" s="61">
        <f t="shared" si="1704"/>
        <v>0</v>
      </c>
      <c r="BW1392" s="61">
        <f t="shared" si="1704"/>
        <v>0</v>
      </c>
      <c r="BX1392" s="63">
        <f t="shared" si="1704"/>
        <v>-191.94999999999993</v>
      </c>
      <c r="BY1392" s="61" t="s">
        <v>91</v>
      </c>
      <c r="CA1392" s="61">
        <f t="shared" si="1710"/>
        <v>0</v>
      </c>
      <c r="CB1392" s="61">
        <f t="shared" si="1710"/>
        <v>0</v>
      </c>
      <c r="CC1392" s="61">
        <f t="shared" si="1710"/>
        <v>0</v>
      </c>
      <c r="CD1392" s="61">
        <f t="shared" si="1710"/>
        <v>0</v>
      </c>
      <c r="CE1392" s="61">
        <f t="shared" si="1710"/>
        <v>0</v>
      </c>
      <c r="CF1392" s="61">
        <f t="shared" si="1710"/>
        <v>0</v>
      </c>
      <c r="CG1392" s="61">
        <f t="shared" si="1710"/>
        <v>-28.877689183090105</v>
      </c>
      <c r="CH1392" s="61">
        <f t="shared" si="1710"/>
        <v>0</v>
      </c>
      <c r="CI1392" s="61">
        <f t="shared" si="1666"/>
        <v>-1.4438844591545053</v>
      </c>
      <c r="CJ1392" s="267"/>
      <c r="CK1392" s="61">
        <f t="shared" si="1681"/>
        <v>0</v>
      </c>
      <c r="CL1392" s="61">
        <f t="shared" si="1681"/>
        <v>0</v>
      </c>
      <c r="CM1392" s="61">
        <f t="shared" si="1681"/>
        <v>0</v>
      </c>
      <c r="CN1392" s="61">
        <f t="shared" si="1681"/>
        <v>0</v>
      </c>
      <c r="CO1392" s="61">
        <f t="shared" si="1681"/>
        <v>0</v>
      </c>
      <c r="CP1392" s="61">
        <f t="shared" si="1681"/>
        <v>0</v>
      </c>
      <c r="CQ1392" s="61">
        <f t="shared" si="1681"/>
        <v>-28.877689183090105</v>
      </c>
      <c r="CR1392" s="61">
        <f t="shared" si="1711"/>
        <v>0</v>
      </c>
      <c r="CS1392" s="61">
        <f t="shared" si="1667"/>
        <v>-1.4438844591545053</v>
      </c>
      <c r="CT1392" s="63">
        <f t="shared" si="1670"/>
        <v>-9.5974999999999966</v>
      </c>
      <c r="CU1392" s="73"/>
      <c r="CV1392" s="61">
        <f t="shared" si="1707"/>
        <v>0</v>
      </c>
      <c r="CW1392" s="61">
        <f t="shared" si="1708"/>
        <v>0</v>
      </c>
      <c r="CY1392" s="61">
        <f t="shared" si="1648"/>
        <v>0</v>
      </c>
      <c r="CZ1392" s="61">
        <f t="shared" si="1648"/>
        <v>0</v>
      </c>
      <c r="DA1392" s="61">
        <f t="shared" si="1648"/>
        <v>0</v>
      </c>
      <c r="DB1392" s="2" t="s">
        <v>86</v>
      </c>
      <c r="DC1392" s="2" t="s">
        <v>86</v>
      </c>
      <c r="DD1392" s="2" t="s">
        <v>87</v>
      </c>
      <c r="DE1392" s="2" t="s">
        <v>106</v>
      </c>
      <c r="DF1392" s="3" t="s">
        <v>86</v>
      </c>
      <c r="DG1392" s="62">
        <v>43111</v>
      </c>
      <c r="EC1392" s="60" t="str">
        <f>VLOOKUP($M1392,[1]Detail!$M:$BO,1,0)</f>
        <v>JD8T -14K733 -VA </v>
      </c>
      <c r="ED1392" s="60">
        <f>VLOOKUP($M1392,[1]Detail!$M:$BO,22,0)</f>
        <v>-778.17000000000007</v>
      </c>
      <c r="EE1392" s="60">
        <f>VLOOKUP($M1392,[1]Detail!$M:$BO,42,0)</f>
        <v>0</v>
      </c>
      <c r="EF1392" s="60">
        <f>VLOOKUP($M1392,[1]Detail!$M:$BO,45,0)</f>
        <v>0</v>
      </c>
      <c r="EH1392" s="60">
        <f t="shared" si="1700"/>
        <v>0</v>
      </c>
      <c r="EI1392" s="60">
        <f t="shared" si="1701"/>
        <v>0</v>
      </c>
      <c r="EJ1392" s="60">
        <f t="shared" si="1702"/>
        <v>0</v>
      </c>
    </row>
    <row r="1393" spans="2:140" ht="12.75" hidden="1" customHeight="1">
      <c r="B1393" s="1" t="s">
        <v>2176</v>
      </c>
      <c r="C1393" s="22" t="s">
        <v>2177</v>
      </c>
      <c r="D1393" s="149" t="s">
        <v>2178</v>
      </c>
      <c r="E1393" s="86" t="s">
        <v>1591</v>
      </c>
      <c r="F1393" s="85" t="s">
        <v>2072</v>
      </c>
      <c r="G1393" s="297" t="s">
        <v>994</v>
      </c>
      <c r="J1393" s="298" t="s">
        <v>155</v>
      </c>
      <c r="K1393" s="299" t="s">
        <v>2234</v>
      </c>
      <c r="L1393" s="3" t="s">
        <v>769</v>
      </c>
      <c r="M1393" s="51" t="str">
        <f t="shared" si="1712"/>
        <v>JD8T -15K868 -AA </v>
      </c>
      <c r="O1393" s="89">
        <v>1</v>
      </c>
      <c r="P1393" s="89">
        <v>1</v>
      </c>
      <c r="Q1393" s="89">
        <v>1</v>
      </c>
      <c r="R1393" s="89">
        <v>1</v>
      </c>
      <c r="S1393" s="89">
        <v>1</v>
      </c>
      <c r="T1393" s="89">
        <v>1</v>
      </c>
      <c r="U1393" s="89">
        <v>1</v>
      </c>
      <c r="V1393" s="89">
        <v>1</v>
      </c>
      <c r="W1393" s="164">
        <f t="shared" si="1706"/>
        <v>1</v>
      </c>
      <c r="Y1393" s="8">
        <v>-22.12</v>
      </c>
      <c r="Z1393" s="63">
        <v>-0.28000000000000003</v>
      </c>
      <c r="AA1393" s="63">
        <v>-0.14000000000000001</v>
      </c>
      <c r="AB1393" s="63"/>
      <c r="AC1393" s="63"/>
      <c r="AD1393" s="8">
        <f t="shared" si="1709"/>
        <v>-22.540000000000003</v>
      </c>
      <c r="AE1393" s="2" t="s">
        <v>84</v>
      </c>
      <c r="AG1393" s="300"/>
      <c r="AH1393" s="300"/>
      <c r="AJ1393" s="300"/>
      <c r="AK1393" s="176"/>
      <c r="AM1393" s="22"/>
      <c r="AO1393" s="298" t="s">
        <v>1735</v>
      </c>
      <c r="AP1393" s="297" t="s">
        <v>2234</v>
      </c>
      <c r="AQ1393" s="3" t="s">
        <v>2235</v>
      </c>
      <c r="AR1393" s="90" t="str">
        <f t="shared" si="1703"/>
        <v>ED8T -15K868 -AB </v>
      </c>
      <c r="AT1393" s="89">
        <v>1</v>
      </c>
      <c r="AU1393" s="89">
        <v>1</v>
      </c>
      <c r="AV1393" s="89">
        <v>1</v>
      </c>
      <c r="AW1393" s="89">
        <v>1</v>
      </c>
      <c r="AX1393" s="89">
        <v>1</v>
      </c>
      <c r="AY1393" s="89">
        <v>1</v>
      </c>
      <c r="AZ1393" s="89">
        <v>1</v>
      </c>
      <c r="BA1393" s="89">
        <v>1</v>
      </c>
      <c r="BB1393" s="89">
        <f t="shared" si="1705"/>
        <v>1</v>
      </c>
      <c r="BD1393" s="60">
        <v>-584.70000000000005</v>
      </c>
      <c r="BE1393" s="63">
        <v>-0.82</v>
      </c>
      <c r="BF1393" s="63">
        <v>-0.7</v>
      </c>
      <c r="BG1393" s="63">
        <v>0</v>
      </c>
      <c r="BH1393" s="63">
        <v>0</v>
      </c>
      <c r="BI1393" s="8">
        <f t="shared" si="1669"/>
        <v>-586.22000000000014</v>
      </c>
      <c r="BJ1393" s="2" t="s">
        <v>84</v>
      </c>
      <c r="BL1393" s="63"/>
      <c r="BM1393" s="63">
        <v>0</v>
      </c>
      <c r="BN1393" s="267"/>
      <c r="BO1393" s="63">
        <v>0</v>
      </c>
      <c r="BP1393" s="63">
        <v>0</v>
      </c>
      <c r="BQ1393" s="2">
        <v>0</v>
      </c>
      <c r="BS1393" s="61">
        <f t="shared" si="1694"/>
        <v>562.58000000000004</v>
      </c>
      <c r="BT1393" s="61">
        <f t="shared" si="1695"/>
        <v>0.53999999999999992</v>
      </c>
      <c r="BU1393" s="61">
        <f t="shared" si="1704"/>
        <v>0.55999999999999994</v>
      </c>
      <c r="BV1393" s="61">
        <f t="shared" si="1704"/>
        <v>0</v>
      </c>
      <c r="BW1393" s="61">
        <f t="shared" si="1704"/>
        <v>0</v>
      </c>
      <c r="BX1393" s="63">
        <f t="shared" si="1704"/>
        <v>563.68000000000018</v>
      </c>
      <c r="BY1393" s="61" t="s">
        <v>91</v>
      </c>
      <c r="CA1393" s="61">
        <f t="shared" si="1710"/>
        <v>84.636678200692046</v>
      </c>
      <c r="CB1393" s="61">
        <f t="shared" si="1710"/>
        <v>84.636678200692046</v>
      </c>
      <c r="CC1393" s="61">
        <f t="shared" si="1710"/>
        <v>84.636678200692046</v>
      </c>
      <c r="CD1393" s="61">
        <f t="shared" si="1710"/>
        <v>84.636678200692046</v>
      </c>
      <c r="CE1393" s="61">
        <f t="shared" si="1710"/>
        <v>84.636678200692046</v>
      </c>
      <c r="CF1393" s="61">
        <f t="shared" si="1710"/>
        <v>84.636678200692046</v>
      </c>
      <c r="CG1393" s="61">
        <f t="shared" si="1710"/>
        <v>84.636678200692046</v>
      </c>
      <c r="CH1393" s="61">
        <f t="shared" si="1710"/>
        <v>84.636678200692046</v>
      </c>
      <c r="CI1393" s="61">
        <f t="shared" si="1666"/>
        <v>84.636678200692046</v>
      </c>
      <c r="CJ1393" s="267"/>
      <c r="CK1393" s="61">
        <f t="shared" si="1681"/>
        <v>84.802166390853046</v>
      </c>
      <c r="CL1393" s="61">
        <f t="shared" si="1681"/>
        <v>84.802166390853046</v>
      </c>
      <c r="CM1393" s="61">
        <f t="shared" si="1681"/>
        <v>84.802166390853046</v>
      </c>
      <c r="CN1393" s="61">
        <f t="shared" si="1681"/>
        <v>84.802166390853046</v>
      </c>
      <c r="CO1393" s="61">
        <f t="shared" si="1681"/>
        <v>84.802166390853046</v>
      </c>
      <c r="CP1393" s="61">
        <f t="shared" si="1681"/>
        <v>84.802166390853046</v>
      </c>
      <c r="CQ1393" s="61">
        <f t="shared" si="1681"/>
        <v>84.802166390853046</v>
      </c>
      <c r="CR1393" s="61">
        <f t="shared" si="1711"/>
        <v>84.802166390853046</v>
      </c>
      <c r="CS1393" s="61">
        <f t="shared" si="1667"/>
        <v>84.802166390853074</v>
      </c>
      <c r="CT1393" s="63">
        <f t="shared" si="1670"/>
        <v>563.6800000000004</v>
      </c>
      <c r="CU1393" s="73"/>
      <c r="CV1393" s="61">
        <f t="shared" si="1707"/>
        <v>0</v>
      </c>
      <c r="CW1393" s="61">
        <f t="shared" si="1708"/>
        <v>0</v>
      </c>
      <c r="CY1393" s="61">
        <f t="shared" si="1648"/>
        <v>0</v>
      </c>
      <c r="CZ1393" s="61">
        <f t="shared" si="1648"/>
        <v>0</v>
      </c>
      <c r="DA1393" s="61">
        <f t="shared" si="1648"/>
        <v>0</v>
      </c>
      <c r="DB1393" s="2" t="s">
        <v>86</v>
      </c>
      <c r="DC1393" s="2" t="s">
        <v>86</v>
      </c>
      <c r="DD1393" s="2" t="s">
        <v>87</v>
      </c>
      <c r="DE1393" s="2" t="s">
        <v>106</v>
      </c>
      <c r="DF1393" s="3" t="s">
        <v>86</v>
      </c>
      <c r="DG1393" s="62">
        <v>43111</v>
      </c>
      <c r="EC1393" s="60" t="str">
        <f>VLOOKUP($M1393,[1]Detail!$M:$BO,1,0)</f>
        <v>JD8T -15K868 -AA </v>
      </c>
      <c r="ED1393" s="60">
        <f>VLOOKUP($M1393,[1]Detail!$M:$BO,22,0)</f>
        <v>-22.540000000000003</v>
      </c>
      <c r="EE1393" s="60">
        <f>VLOOKUP($M1393,[1]Detail!$M:$BO,42,0)</f>
        <v>0</v>
      </c>
      <c r="EF1393" s="60">
        <f>VLOOKUP($M1393,[1]Detail!$M:$BO,45,0)</f>
        <v>0</v>
      </c>
      <c r="EH1393" s="60">
        <f t="shared" si="1700"/>
        <v>0</v>
      </c>
      <c r="EI1393" s="60">
        <f t="shared" si="1701"/>
        <v>0</v>
      </c>
      <c r="EJ1393" s="60">
        <f t="shared" si="1702"/>
        <v>0</v>
      </c>
    </row>
    <row r="1394" spans="2:140" ht="12.75" hidden="1" customHeight="1">
      <c r="B1394" s="1" t="s">
        <v>2176</v>
      </c>
      <c r="C1394" s="22" t="s">
        <v>2177</v>
      </c>
      <c r="D1394" s="149" t="s">
        <v>2178</v>
      </c>
      <c r="E1394" s="86" t="s">
        <v>1591</v>
      </c>
      <c r="F1394" s="85" t="s">
        <v>2072</v>
      </c>
      <c r="G1394" s="297" t="s">
        <v>994</v>
      </c>
      <c r="J1394" s="298" t="s">
        <v>155</v>
      </c>
      <c r="K1394" s="299" t="s">
        <v>2236</v>
      </c>
      <c r="L1394" s="3" t="s">
        <v>769</v>
      </c>
      <c r="M1394" s="51" t="str">
        <f t="shared" si="1712"/>
        <v>JD8T -17N443 -AA </v>
      </c>
      <c r="O1394" s="89">
        <v>1</v>
      </c>
      <c r="P1394" s="89">
        <v>1</v>
      </c>
      <c r="Q1394" s="89">
        <v>1</v>
      </c>
      <c r="R1394" s="89">
        <v>1</v>
      </c>
      <c r="S1394" s="89">
        <v>1</v>
      </c>
      <c r="T1394" s="89">
        <v>1</v>
      </c>
      <c r="U1394" s="89">
        <v>1</v>
      </c>
      <c r="V1394" s="89">
        <v>1</v>
      </c>
      <c r="W1394" s="164">
        <f t="shared" si="1706"/>
        <v>1</v>
      </c>
      <c r="Y1394" s="8">
        <v>-16.87</v>
      </c>
      <c r="Z1394" s="63">
        <v>-0.28000000000000003</v>
      </c>
      <c r="AA1394" s="63">
        <v>-0.28999999999999998</v>
      </c>
      <c r="AB1394" s="63"/>
      <c r="AC1394" s="63"/>
      <c r="AD1394" s="8">
        <f t="shared" si="1709"/>
        <v>-17.440000000000001</v>
      </c>
      <c r="AE1394" s="2" t="s">
        <v>84</v>
      </c>
      <c r="AG1394" s="300"/>
      <c r="AH1394" s="300"/>
      <c r="AJ1394" s="300"/>
      <c r="AK1394" s="176"/>
      <c r="AM1394" s="22"/>
      <c r="AO1394" s="298" t="s">
        <v>155</v>
      </c>
      <c r="AP1394" s="297" t="s">
        <v>2236</v>
      </c>
      <c r="AQ1394" s="3" t="s">
        <v>769</v>
      </c>
      <c r="AR1394" s="90" t="str">
        <f t="shared" si="1703"/>
        <v>JD8T -17N443 -AA </v>
      </c>
      <c r="AT1394" s="89">
        <v>1</v>
      </c>
      <c r="AU1394" s="89">
        <v>1</v>
      </c>
      <c r="AV1394" s="89">
        <v>1</v>
      </c>
      <c r="AW1394" s="89">
        <v>1</v>
      </c>
      <c r="AX1394" s="89">
        <v>1</v>
      </c>
      <c r="AY1394" s="89">
        <v>1</v>
      </c>
      <c r="AZ1394" s="89">
        <v>1</v>
      </c>
      <c r="BA1394" s="89">
        <v>1</v>
      </c>
      <c r="BB1394" s="89">
        <f t="shared" si="1705"/>
        <v>1</v>
      </c>
      <c r="BD1394" s="60">
        <v>-584.70000000000005</v>
      </c>
      <c r="BE1394" s="63">
        <v>-0.82</v>
      </c>
      <c r="BF1394" s="63">
        <v>-0.7</v>
      </c>
      <c r="BG1394" s="63">
        <v>0</v>
      </c>
      <c r="BH1394" s="63">
        <v>0</v>
      </c>
      <c r="BI1394" s="8">
        <f t="shared" si="1669"/>
        <v>-586.22000000000014</v>
      </c>
      <c r="BJ1394" s="2" t="s">
        <v>84</v>
      </c>
      <c r="BL1394" s="63"/>
      <c r="BM1394" s="63">
        <v>0</v>
      </c>
      <c r="BN1394" s="267"/>
      <c r="BO1394" s="63">
        <v>0</v>
      </c>
      <c r="BP1394" s="63">
        <v>0</v>
      </c>
      <c r="BQ1394" s="2">
        <v>0</v>
      </c>
      <c r="BS1394" s="61">
        <f t="shared" ref="BS1394:BS1422" si="1713">SUM(Y1394)-SUM(BD1394)</f>
        <v>567.83000000000004</v>
      </c>
      <c r="BT1394" s="61">
        <f t="shared" ref="BT1394:BT1422" si="1714">SUM(Z1394)-SUM(BE1394)</f>
        <v>0.53999999999999992</v>
      </c>
      <c r="BU1394" s="61">
        <f t="shared" si="1704"/>
        <v>0.41</v>
      </c>
      <c r="BV1394" s="61">
        <f t="shared" si="1704"/>
        <v>0</v>
      </c>
      <c r="BW1394" s="61">
        <f t="shared" si="1704"/>
        <v>0</v>
      </c>
      <c r="BX1394" s="63">
        <f t="shared" si="1704"/>
        <v>568.78000000000009</v>
      </c>
      <c r="BY1394" s="61" t="s">
        <v>91</v>
      </c>
      <c r="CA1394" s="61">
        <f t="shared" si="1710"/>
        <v>85.426508199187609</v>
      </c>
      <c r="CB1394" s="61">
        <f t="shared" si="1710"/>
        <v>85.426508199187609</v>
      </c>
      <c r="CC1394" s="61">
        <f t="shared" si="1710"/>
        <v>85.426508199187609</v>
      </c>
      <c r="CD1394" s="61">
        <f t="shared" si="1710"/>
        <v>85.426508199187609</v>
      </c>
      <c r="CE1394" s="61">
        <f t="shared" si="1710"/>
        <v>85.426508199187609</v>
      </c>
      <c r="CF1394" s="61">
        <f t="shared" si="1710"/>
        <v>85.426508199187609</v>
      </c>
      <c r="CG1394" s="61">
        <f t="shared" si="1710"/>
        <v>85.426508199187609</v>
      </c>
      <c r="CH1394" s="61">
        <f t="shared" si="1710"/>
        <v>85.426508199187609</v>
      </c>
      <c r="CI1394" s="61">
        <f t="shared" ref="CI1394:CI1422" si="1715">SUMPRODUCT(CA1394:CH1394,$O$6:$V$6)</f>
        <v>85.426508199187595</v>
      </c>
      <c r="CJ1394" s="267"/>
      <c r="CK1394" s="61">
        <f t="shared" si="1681"/>
        <v>85.569429817962998</v>
      </c>
      <c r="CL1394" s="61">
        <f t="shared" si="1681"/>
        <v>85.569429817962998</v>
      </c>
      <c r="CM1394" s="61">
        <f t="shared" si="1681"/>
        <v>85.569429817962998</v>
      </c>
      <c r="CN1394" s="61">
        <f t="shared" si="1681"/>
        <v>85.569429817962998</v>
      </c>
      <c r="CO1394" s="61">
        <f t="shared" si="1681"/>
        <v>85.569429817962998</v>
      </c>
      <c r="CP1394" s="61">
        <f t="shared" si="1681"/>
        <v>85.569429817962998</v>
      </c>
      <c r="CQ1394" s="61">
        <f t="shared" si="1681"/>
        <v>85.569429817962998</v>
      </c>
      <c r="CR1394" s="61">
        <f t="shared" si="1711"/>
        <v>85.569429817962998</v>
      </c>
      <c r="CS1394" s="61">
        <f t="shared" ref="CS1394:CS1422" si="1716">SUMPRODUCT(CK1394:CR1394,$O$6:$V$6)</f>
        <v>85.569429817963012</v>
      </c>
      <c r="CT1394" s="63">
        <f t="shared" si="1670"/>
        <v>568.7800000000002</v>
      </c>
      <c r="CU1394" s="73"/>
      <c r="CV1394" s="61">
        <f t="shared" si="1707"/>
        <v>0</v>
      </c>
      <c r="CW1394" s="61">
        <f t="shared" si="1708"/>
        <v>0</v>
      </c>
      <c r="CY1394" s="61">
        <f t="shared" si="1648"/>
        <v>0</v>
      </c>
      <c r="CZ1394" s="61">
        <f t="shared" si="1648"/>
        <v>0</v>
      </c>
      <c r="DA1394" s="61">
        <f t="shared" si="1648"/>
        <v>0</v>
      </c>
      <c r="DB1394" s="2" t="s">
        <v>86</v>
      </c>
      <c r="DC1394" s="2" t="s">
        <v>86</v>
      </c>
      <c r="DD1394" s="2" t="s">
        <v>87</v>
      </c>
      <c r="DE1394" s="2" t="s">
        <v>106</v>
      </c>
      <c r="DF1394" s="3" t="s">
        <v>86</v>
      </c>
      <c r="DG1394" s="62">
        <v>43111</v>
      </c>
      <c r="EC1394" s="60" t="str">
        <f>VLOOKUP($M1394,[1]Detail!$M:$BO,1,0)</f>
        <v>JD8T -17N443 -AA </v>
      </c>
      <c r="ED1394" s="60">
        <f>VLOOKUP($M1394,[1]Detail!$M:$BO,22,0)</f>
        <v>-17.440000000000001</v>
      </c>
      <c r="EE1394" s="60">
        <f>VLOOKUP($M1394,[1]Detail!$M:$BO,42,0)</f>
        <v>0</v>
      </c>
      <c r="EF1394" s="60">
        <f>VLOOKUP($M1394,[1]Detail!$M:$BO,45,0)</f>
        <v>0</v>
      </c>
      <c r="EH1394" s="60">
        <f t="shared" si="1700"/>
        <v>0</v>
      </c>
      <c r="EI1394" s="60">
        <f t="shared" si="1701"/>
        <v>0</v>
      </c>
      <c r="EJ1394" s="60">
        <f t="shared" si="1702"/>
        <v>0</v>
      </c>
    </row>
    <row r="1395" spans="2:140" ht="12.75" hidden="1" customHeight="1">
      <c r="B1395" s="1" t="s">
        <v>2176</v>
      </c>
      <c r="C1395" s="22" t="s">
        <v>2177</v>
      </c>
      <c r="D1395" s="149" t="s">
        <v>2178</v>
      </c>
      <c r="E1395" s="86" t="s">
        <v>1591</v>
      </c>
      <c r="F1395" s="85" t="s">
        <v>2072</v>
      </c>
      <c r="G1395" s="297" t="s">
        <v>994</v>
      </c>
      <c r="J1395" s="298" t="s">
        <v>155</v>
      </c>
      <c r="K1395" s="299" t="s">
        <v>2237</v>
      </c>
      <c r="L1395" s="3" t="s">
        <v>769</v>
      </c>
      <c r="M1395" s="51" t="str">
        <f t="shared" si="1712"/>
        <v>JD8T -2C055 -AA </v>
      </c>
      <c r="O1395" s="89">
        <v>1</v>
      </c>
      <c r="P1395" s="89">
        <v>1</v>
      </c>
      <c r="Q1395" s="89">
        <v>1</v>
      </c>
      <c r="R1395" s="89">
        <v>1</v>
      </c>
      <c r="S1395" s="89">
        <v>1</v>
      </c>
      <c r="T1395" s="89">
        <v>1</v>
      </c>
      <c r="U1395" s="89">
        <v>1</v>
      </c>
      <c r="V1395" s="89">
        <v>1</v>
      </c>
      <c r="W1395" s="164">
        <f t="shared" si="1706"/>
        <v>1</v>
      </c>
      <c r="Y1395" s="8">
        <v>-11.78</v>
      </c>
      <c r="Z1395" s="63">
        <v>-0.28000000000000003</v>
      </c>
      <c r="AA1395" s="63">
        <v>-0.14000000000000001</v>
      </c>
      <c r="AB1395" s="63"/>
      <c r="AC1395" s="63"/>
      <c r="AD1395" s="8">
        <f t="shared" si="1709"/>
        <v>-12.2</v>
      </c>
      <c r="AE1395" s="2" t="s">
        <v>84</v>
      </c>
      <c r="AG1395" s="300"/>
      <c r="AH1395" s="300"/>
      <c r="AJ1395" s="300"/>
      <c r="AK1395" s="176"/>
      <c r="AM1395" s="22"/>
      <c r="AO1395" s="298" t="s">
        <v>1735</v>
      </c>
      <c r="AP1395" s="297" t="s">
        <v>2237</v>
      </c>
      <c r="AQ1395" s="3" t="s">
        <v>2238</v>
      </c>
      <c r="AR1395" s="90" t="str">
        <f t="shared" si="1703"/>
        <v>ED8T -2C055 -AF </v>
      </c>
      <c r="AT1395" s="89">
        <v>1</v>
      </c>
      <c r="AU1395" s="89">
        <v>1</v>
      </c>
      <c r="AV1395" s="89">
        <v>1</v>
      </c>
      <c r="AW1395" s="89">
        <v>1</v>
      </c>
      <c r="AX1395" s="89">
        <v>1</v>
      </c>
      <c r="AY1395" s="89">
        <v>1</v>
      </c>
      <c r="AZ1395" s="89">
        <v>1</v>
      </c>
      <c r="BA1395" s="89">
        <v>1</v>
      </c>
      <c r="BB1395" s="89">
        <f t="shared" si="1705"/>
        <v>1</v>
      </c>
      <c r="BD1395" s="60">
        <v>-584.70000000000005</v>
      </c>
      <c r="BE1395" s="63">
        <v>-0.82</v>
      </c>
      <c r="BF1395" s="63">
        <v>-0.7</v>
      </c>
      <c r="BG1395" s="63">
        <v>0</v>
      </c>
      <c r="BH1395" s="63">
        <v>0</v>
      </c>
      <c r="BI1395" s="8">
        <f t="shared" si="1669"/>
        <v>-586.22000000000014</v>
      </c>
      <c r="BJ1395" s="2" t="s">
        <v>84</v>
      </c>
      <c r="BL1395" s="63"/>
      <c r="BM1395" s="63">
        <v>0</v>
      </c>
      <c r="BN1395" s="267"/>
      <c r="BO1395" s="63">
        <v>0</v>
      </c>
      <c r="BP1395" s="63">
        <v>0</v>
      </c>
      <c r="BQ1395" s="2">
        <v>0</v>
      </c>
      <c r="BS1395" s="61">
        <f t="shared" si="1713"/>
        <v>572.92000000000007</v>
      </c>
      <c r="BT1395" s="61">
        <f t="shared" si="1714"/>
        <v>0.53999999999999992</v>
      </c>
      <c r="BU1395" s="61">
        <f t="shared" si="1704"/>
        <v>0.55999999999999994</v>
      </c>
      <c r="BV1395" s="61">
        <f t="shared" si="1704"/>
        <v>0</v>
      </c>
      <c r="BW1395" s="61">
        <f t="shared" si="1704"/>
        <v>0</v>
      </c>
      <c r="BX1395" s="63">
        <f t="shared" si="1704"/>
        <v>574.0200000000001</v>
      </c>
      <c r="BY1395" s="61" t="s">
        <v>91</v>
      </c>
      <c r="CA1395" s="61">
        <f t="shared" si="1710"/>
        <v>86.192267188205207</v>
      </c>
      <c r="CB1395" s="61">
        <f t="shared" si="1710"/>
        <v>86.192267188205207</v>
      </c>
      <c r="CC1395" s="61">
        <f t="shared" si="1710"/>
        <v>86.192267188205207</v>
      </c>
      <c r="CD1395" s="61">
        <f t="shared" si="1710"/>
        <v>86.192267188205207</v>
      </c>
      <c r="CE1395" s="61">
        <f t="shared" si="1710"/>
        <v>86.192267188205207</v>
      </c>
      <c r="CF1395" s="61">
        <f t="shared" si="1710"/>
        <v>86.192267188205207</v>
      </c>
      <c r="CG1395" s="61">
        <f t="shared" si="1710"/>
        <v>86.192267188205207</v>
      </c>
      <c r="CH1395" s="61">
        <f t="shared" si="1710"/>
        <v>86.192267188205207</v>
      </c>
      <c r="CI1395" s="61">
        <f t="shared" si="1715"/>
        <v>86.192267188205221</v>
      </c>
      <c r="CJ1395" s="267"/>
      <c r="CK1395" s="61">
        <f t="shared" si="1681"/>
        <v>86.357755378366193</v>
      </c>
      <c r="CL1395" s="61">
        <f t="shared" si="1681"/>
        <v>86.357755378366193</v>
      </c>
      <c r="CM1395" s="61">
        <f t="shared" si="1681"/>
        <v>86.357755378366193</v>
      </c>
      <c r="CN1395" s="61">
        <f t="shared" si="1681"/>
        <v>86.357755378366193</v>
      </c>
      <c r="CO1395" s="61">
        <f t="shared" si="1681"/>
        <v>86.357755378366193</v>
      </c>
      <c r="CP1395" s="61">
        <f t="shared" si="1681"/>
        <v>86.357755378366193</v>
      </c>
      <c r="CQ1395" s="61">
        <f t="shared" si="1681"/>
        <v>86.357755378366193</v>
      </c>
      <c r="CR1395" s="61">
        <f t="shared" si="1711"/>
        <v>86.357755378366193</v>
      </c>
      <c r="CS1395" s="61">
        <f t="shared" si="1716"/>
        <v>86.357755378366193</v>
      </c>
      <c r="CT1395" s="63">
        <f t="shared" si="1670"/>
        <v>574.0200000000001</v>
      </c>
      <c r="CU1395" s="73"/>
      <c r="CV1395" s="61">
        <f t="shared" si="1707"/>
        <v>0</v>
      </c>
      <c r="CW1395" s="61">
        <f t="shared" si="1708"/>
        <v>0</v>
      </c>
      <c r="CY1395" s="61">
        <f t="shared" si="1648"/>
        <v>0</v>
      </c>
      <c r="CZ1395" s="61">
        <f t="shared" si="1648"/>
        <v>0</v>
      </c>
      <c r="DA1395" s="61">
        <f t="shared" si="1648"/>
        <v>0</v>
      </c>
      <c r="DB1395" s="2" t="s">
        <v>86</v>
      </c>
      <c r="DC1395" s="2" t="s">
        <v>86</v>
      </c>
      <c r="DD1395" s="2" t="s">
        <v>87</v>
      </c>
      <c r="DE1395" s="2" t="s">
        <v>106</v>
      </c>
      <c r="DF1395" s="3" t="s">
        <v>86</v>
      </c>
      <c r="DG1395" s="62">
        <v>43111</v>
      </c>
      <c r="EC1395" s="60" t="str">
        <f>VLOOKUP($M1395,[1]Detail!$M:$BO,1,0)</f>
        <v>JD8T -2C055 -AA </v>
      </c>
      <c r="ED1395" s="60">
        <f>VLOOKUP($M1395,[1]Detail!$M:$BO,22,0)</f>
        <v>-12.2</v>
      </c>
      <c r="EE1395" s="60">
        <f>VLOOKUP($M1395,[1]Detail!$M:$BO,42,0)</f>
        <v>0</v>
      </c>
      <c r="EF1395" s="60">
        <f>VLOOKUP($M1395,[1]Detail!$M:$BO,45,0)</f>
        <v>0</v>
      </c>
      <c r="EH1395" s="60">
        <f t="shared" si="1700"/>
        <v>0</v>
      </c>
      <c r="EI1395" s="60">
        <f t="shared" si="1701"/>
        <v>0</v>
      </c>
      <c r="EJ1395" s="60">
        <f t="shared" si="1702"/>
        <v>0</v>
      </c>
    </row>
    <row r="1396" spans="2:140" ht="12.75" hidden="1" customHeight="1">
      <c r="B1396" s="1" t="s">
        <v>2176</v>
      </c>
      <c r="C1396" s="22" t="s">
        <v>2177</v>
      </c>
      <c r="D1396" s="149" t="s">
        <v>2178</v>
      </c>
      <c r="E1396" s="86" t="s">
        <v>1591</v>
      </c>
      <c r="F1396" s="85" t="s">
        <v>2072</v>
      </c>
      <c r="G1396" s="297" t="s">
        <v>994</v>
      </c>
      <c r="J1396" s="298" t="s">
        <v>155</v>
      </c>
      <c r="K1396" s="299" t="s">
        <v>2237</v>
      </c>
      <c r="L1396" s="3" t="s">
        <v>2182</v>
      </c>
      <c r="M1396" s="51" t="str">
        <f t="shared" si="1712"/>
        <v>JD8T -2C055 -BA </v>
      </c>
      <c r="O1396" s="89">
        <v>1</v>
      </c>
      <c r="P1396" s="89">
        <v>1</v>
      </c>
      <c r="Q1396" s="89">
        <v>1</v>
      </c>
      <c r="R1396" s="89">
        <v>1</v>
      </c>
      <c r="S1396" s="89">
        <v>1</v>
      </c>
      <c r="T1396" s="89">
        <v>1</v>
      </c>
      <c r="U1396" s="89">
        <v>1</v>
      </c>
      <c r="V1396" s="89">
        <v>1</v>
      </c>
      <c r="W1396" s="164">
        <f t="shared" si="1706"/>
        <v>1</v>
      </c>
      <c r="Y1396" s="8">
        <v>-11.93</v>
      </c>
      <c r="Z1396" s="63">
        <v>-0.28000000000000003</v>
      </c>
      <c r="AA1396" s="63">
        <v>-0.14000000000000001</v>
      </c>
      <c r="AB1396" s="63"/>
      <c r="AC1396" s="63"/>
      <c r="AD1396" s="8">
        <f t="shared" si="1709"/>
        <v>-12.35</v>
      </c>
      <c r="AE1396" s="2" t="s">
        <v>84</v>
      </c>
      <c r="AG1396" s="300"/>
      <c r="AH1396" s="300"/>
      <c r="AJ1396" s="300"/>
      <c r="AK1396" s="176"/>
      <c r="AM1396" s="22"/>
      <c r="AO1396" s="298" t="s">
        <v>1735</v>
      </c>
      <c r="AP1396" s="297" t="s">
        <v>2237</v>
      </c>
      <c r="AQ1396" s="3" t="s">
        <v>2205</v>
      </c>
      <c r="AR1396" s="90" t="str">
        <f t="shared" si="1703"/>
        <v>ED8T -2C055 -BD </v>
      </c>
      <c r="AT1396" s="89">
        <v>1</v>
      </c>
      <c r="AU1396" s="89">
        <v>1</v>
      </c>
      <c r="AV1396" s="89">
        <v>1</v>
      </c>
      <c r="AW1396" s="89">
        <v>1</v>
      </c>
      <c r="AX1396" s="89">
        <v>1</v>
      </c>
      <c r="AY1396" s="89">
        <v>1</v>
      </c>
      <c r="AZ1396" s="89">
        <v>1</v>
      </c>
      <c r="BA1396" s="89">
        <v>1</v>
      </c>
      <c r="BB1396" s="89">
        <f t="shared" si="1705"/>
        <v>1</v>
      </c>
      <c r="BD1396" s="60">
        <v>-584.70000000000005</v>
      </c>
      <c r="BE1396" s="63">
        <v>-0.82</v>
      </c>
      <c r="BF1396" s="63">
        <v>-0.7</v>
      </c>
      <c r="BG1396" s="63">
        <v>0</v>
      </c>
      <c r="BH1396" s="63">
        <v>0</v>
      </c>
      <c r="BI1396" s="8">
        <f t="shared" si="1669"/>
        <v>-586.22000000000014</v>
      </c>
      <c r="BJ1396" s="2" t="s">
        <v>84</v>
      </c>
      <c r="BL1396" s="63"/>
      <c r="BM1396" s="63">
        <v>0</v>
      </c>
      <c r="BN1396" s="267"/>
      <c r="BO1396" s="63">
        <v>0</v>
      </c>
      <c r="BP1396" s="63">
        <v>0</v>
      </c>
      <c r="BQ1396" s="2">
        <v>0</v>
      </c>
      <c r="BS1396" s="61">
        <f t="shared" si="1713"/>
        <v>572.7700000000001</v>
      </c>
      <c r="BT1396" s="61">
        <f t="shared" si="1714"/>
        <v>0.53999999999999992</v>
      </c>
      <c r="BU1396" s="61">
        <f t="shared" si="1704"/>
        <v>0.55999999999999994</v>
      </c>
      <c r="BV1396" s="61">
        <f t="shared" si="1704"/>
        <v>0</v>
      </c>
      <c r="BW1396" s="61">
        <f t="shared" si="1704"/>
        <v>0</v>
      </c>
      <c r="BX1396" s="63">
        <f t="shared" si="1704"/>
        <v>573.87000000000012</v>
      </c>
      <c r="BY1396" s="61" t="s">
        <v>91</v>
      </c>
      <c r="CA1396" s="61">
        <f t="shared" si="1710"/>
        <v>86.169700616819625</v>
      </c>
      <c r="CB1396" s="61">
        <f t="shared" si="1710"/>
        <v>86.169700616819625</v>
      </c>
      <c r="CC1396" s="61">
        <f t="shared" si="1710"/>
        <v>86.169700616819625</v>
      </c>
      <c r="CD1396" s="61">
        <f t="shared" si="1710"/>
        <v>86.169700616819625</v>
      </c>
      <c r="CE1396" s="61">
        <f t="shared" si="1710"/>
        <v>86.169700616819625</v>
      </c>
      <c r="CF1396" s="61">
        <f t="shared" si="1710"/>
        <v>86.169700616819625</v>
      </c>
      <c r="CG1396" s="61">
        <f t="shared" si="1710"/>
        <v>86.169700616819625</v>
      </c>
      <c r="CH1396" s="61">
        <f t="shared" si="1710"/>
        <v>86.169700616819625</v>
      </c>
      <c r="CI1396" s="61">
        <f t="shared" si="1715"/>
        <v>86.16970061681964</v>
      </c>
      <c r="CJ1396" s="267"/>
      <c r="CK1396" s="61">
        <f t="shared" si="1681"/>
        <v>86.335188806980611</v>
      </c>
      <c r="CL1396" s="61">
        <f t="shared" si="1681"/>
        <v>86.335188806980611</v>
      </c>
      <c r="CM1396" s="61">
        <f t="shared" si="1681"/>
        <v>86.335188806980611</v>
      </c>
      <c r="CN1396" s="61">
        <f t="shared" si="1681"/>
        <v>86.335188806980611</v>
      </c>
      <c r="CO1396" s="61">
        <f t="shared" si="1681"/>
        <v>86.335188806980611</v>
      </c>
      <c r="CP1396" s="61">
        <f t="shared" si="1681"/>
        <v>86.335188806980611</v>
      </c>
      <c r="CQ1396" s="61">
        <f t="shared" si="1681"/>
        <v>86.335188806980611</v>
      </c>
      <c r="CR1396" s="61">
        <f t="shared" si="1711"/>
        <v>86.335188806980611</v>
      </c>
      <c r="CS1396" s="61">
        <f t="shared" si="1716"/>
        <v>86.335188806980625</v>
      </c>
      <c r="CT1396" s="63">
        <f t="shared" si="1670"/>
        <v>573.87000000000023</v>
      </c>
      <c r="CU1396" s="73"/>
      <c r="CV1396" s="61">
        <f t="shared" si="1707"/>
        <v>0</v>
      </c>
      <c r="CW1396" s="61">
        <f t="shared" si="1708"/>
        <v>0</v>
      </c>
      <c r="CY1396" s="61">
        <f t="shared" si="1648"/>
        <v>0</v>
      </c>
      <c r="CZ1396" s="61">
        <f t="shared" si="1648"/>
        <v>0</v>
      </c>
      <c r="DA1396" s="61">
        <f t="shared" si="1648"/>
        <v>0</v>
      </c>
      <c r="DB1396" s="2" t="s">
        <v>86</v>
      </c>
      <c r="DC1396" s="2" t="s">
        <v>86</v>
      </c>
      <c r="DD1396" s="2" t="s">
        <v>87</v>
      </c>
      <c r="DE1396" s="2" t="s">
        <v>106</v>
      </c>
      <c r="DF1396" s="3" t="s">
        <v>86</v>
      </c>
      <c r="DG1396" s="62">
        <v>43111</v>
      </c>
      <c r="EC1396" s="60" t="str">
        <f>VLOOKUP($M1396,[1]Detail!$M:$BO,1,0)</f>
        <v>JD8T -2C055 -BA </v>
      </c>
      <c r="ED1396" s="60">
        <f>VLOOKUP($M1396,[1]Detail!$M:$BO,22,0)</f>
        <v>-12.35</v>
      </c>
      <c r="EE1396" s="60">
        <f>VLOOKUP($M1396,[1]Detail!$M:$BO,42,0)</f>
        <v>0</v>
      </c>
      <c r="EF1396" s="60">
        <f>VLOOKUP($M1396,[1]Detail!$M:$BO,45,0)</f>
        <v>0</v>
      </c>
      <c r="EH1396" s="60">
        <f t="shared" si="1700"/>
        <v>0</v>
      </c>
      <c r="EI1396" s="60">
        <f t="shared" si="1701"/>
        <v>0</v>
      </c>
      <c r="EJ1396" s="60">
        <f t="shared" si="1702"/>
        <v>0</v>
      </c>
    </row>
    <row r="1397" spans="2:140" s="359" customFormat="1" ht="12.75" hidden="1" customHeight="1">
      <c r="B1397" s="358" t="s">
        <v>2239</v>
      </c>
      <c r="C1397" s="359" t="s">
        <v>2240</v>
      </c>
      <c r="D1397" s="360" t="s">
        <v>2241</v>
      </c>
      <c r="E1397" s="360" t="s">
        <v>523</v>
      </c>
      <c r="F1397" s="361" t="s">
        <v>2080</v>
      </c>
      <c r="G1397" s="362" t="s">
        <v>994</v>
      </c>
      <c r="H1397" s="2"/>
      <c r="J1397" s="363" t="s">
        <v>2242</v>
      </c>
      <c r="K1397" s="364" t="s">
        <v>2243</v>
      </c>
      <c r="L1397" s="365" t="s">
        <v>100</v>
      </c>
      <c r="M1397" s="366" t="str">
        <f t="shared" si="1712"/>
        <v>7G91-14A206 -AA</v>
      </c>
      <c r="N1397" s="365"/>
      <c r="O1397" s="367">
        <v>1</v>
      </c>
      <c r="P1397" s="367">
        <v>1</v>
      </c>
      <c r="Q1397" s="367">
        <v>1</v>
      </c>
      <c r="R1397" s="367">
        <v>1</v>
      </c>
      <c r="S1397" s="367">
        <v>1</v>
      </c>
      <c r="T1397" s="367">
        <v>1</v>
      </c>
      <c r="U1397" s="367">
        <v>1</v>
      </c>
      <c r="V1397" s="367">
        <v>1</v>
      </c>
      <c r="W1397" s="368">
        <f t="shared" si="1706"/>
        <v>1</v>
      </c>
      <c r="Y1397" s="369">
        <v>-0.6</v>
      </c>
      <c r="Z1397" s="370">
        <v>0</v>
      </c>
      <c r="AA1397" s="370">
        <v>0</v>
      </c>
      <c r="AB1397" s="370">
        <v>0</v>
      </c>
      <c r="AC1397" s="370">
        <v>0</v>
      </c>
      <c r="AD1397" s="369">
        <f t="shared" si="1709"/>
        <v>-0.6</v>
      </c>
      <c r="AE1397" s="359" t="s">
        <v>84</v>
      </c>
      <c r="AG1397" s="371">
        <f>-190000-169716</f>
        <v>-359716</v>
      </c>
      <c r="AH1397" s="371">
        <f>-190000-169716</f>
        <v>-359716</v>
      </c>
      <c r="AJ1397" s="371"/>
      <c r="AK1397" s="372"/>
      <c r="AO1397" s="363" t="s">
        <v>2242</v>
      </c>
      <c r="AP1397" s="362" t="s">
        <v>2243</v>
      </c>
      <c r="AQ1397" s="365" t="s">
        <v>100</v>
      </c>
      <c r="AR1397" s="373" t="str">
        <f t="shared" si="1703"/>
        <v>7G91-14A206 -AA</v>
      </c>
      <c r="AT1397" s="367">
        <v>1</v>
      </c>
      <c r="AU1397" s="367">
        <v>1</v>
      </c>
      <c r="AV1397" s="367">
        <v>1</v>
      </c>
      <c r="AW1397" s="367">
        <v>1</v>
      </c>
      <c r="AX1397" s="367">
        <v>1</v>
      </c>
      <c r="AY1397" s="367">
        <v>1</v>
      </c>
      <c r="AZ1397" s="367">
        <v>1</v>
      </c>
      <c r="BA1397" s="367">
        <v>1</v>
      </c>
      <c r="BB1397" s="367">
        <f t="shared" si="1705"/>
        <v>1</v>
      </c>
      <c r="BD1397" s="374">
        <v>-0.6</v>
      </c>
      <c r="BE1397" s="370">
        <v>0</v>
      </c>
      <c r="BF1397" s="370">
        <v>0</v>
      </c>
      <c r="BG1397" s="370">
        <v>0</v>
      </c>
      <c r="BH1397" s="370">
        <v>0</v>
      </c>
      <c r="BI1397" s="369">
        <f t="shared" ref="BI1397" si="1717">SUM(BD1397:BH1397)</f>
        <v>-0.6</v>
      </c>
      <c r="BJ1397" s="359" t="s">
        <v>84</v>
      </c>
      <c r="BL1397" s="375">
        <f>-190000</f>
        <v>-190000</v>
      </c>
      <c r="BM1397" s="370">
        <f>-190000</f>
        <v>-190000</v>
      </c>
      <c r="BN1397" s="376"/>
      <c r="BO1397" s="370">
        <v>0</v>
      </c>
      <c r="BP1397" s="370">
        <v>0</v>
      </c>
      <c r="BQ1397" s="359">
        <v>0</v>
      </c>
      <c r="BS1397" s="375">
        <f t="shared" si="1713"/>
        <v>0</v>
      </c>
      <c r="BT1397" s="375">
        <f t="shared" si="1714"/>
        <v>0</v>
      </c>
      <c r="BU1397" s="375">
        <f t="shared" si="1704"/>
        <v>0</v>
      </c>
      <c r="BV1397" s="375">
        <f t="shared" si="1704"/>
        <v>0</v>
      </c>
      <c r="BW1397" s="375">
        <f t="shared" si="1704"/>
        <v>0</v>
      </c>
      <c r="BX1397" s="370">
        <f t="shared" si="1704"/>
        <v>0</v>
      </c>
      <c r="BY1397" s="375" t="s">
        <v>91</v>
      </c>
      <c r="CA1397" s="375">
        <f t="shared" si="1710"/>
        <v>0</v>
      </c>
      <c r="CB1397" s="375">
        <f t="shared" si="1710"/>
        <v>0</v>
      </c>
      <c r="CC1397" s="375">
        <f t="shared" si="1710"/>
        <v>0</v>
      </c>
      <c r="CD1397" s="375">
        <f t="shared" si="1710"/>
        <v>0</v>
      </c>
      <c r="CE1397" s="375">
        <f t="shared" si="1710"/>
        <v>0</v>
      </c>
      <c r="CF1397" s="375">
        <f t="shared" si="1710"/>
        <v>0</v>
      </c>
      <c r="CG1397" s="375">
        <f t="shared" si="1710"/>
        <v>0</v>
      </c>
      <c r="CH1397" s="375">
        <f t="shared" si="1710"/>
        <v>0</v>
      </c>
      <c r="CI1397" s="375">
        <f t="shared" si="1715"/>
        <v>0</v>
      </c>
      <c r="CJ1397" s="376"/>
      <c r="CK1397" s="375">
        <f t="shared" si="1681"/>
        <v>0</v>
      </c>
      <c r="CL1397" s="375">
        <f t="shared" si="1681"/>
        <v>0</v>
      </c>
      <c r="CM1397" s="375">
        <f t="shared" si="1681"/>
        <v>0</v>
      </c>
      <c r="CN1397" s="375">
        <f t="shared" si="1681"/>
        <v>0</v>
      </c>
      <c r="CO1397" s="375">
        <f t="shared" si="1681"/>
        <v>0</v>
      </c>
      <c r="CP1397" s="375">
        <f t="shared" si="1681"/>
        <v>0</v>
      </c>
      <c r="CQ1397" s="375">
        <f t="shared" si="1681"/>
        <v>0</v>
      </c>
      <c r="CR1397" s="375">
        <f t="shared" si="1711"/>
        <v>0</v>
      </c>
      <c r="CS1397" s="375">
        <f t="shared" si="1716"/>
        <v>0</v>
      </c>
      <c r="CT1397" s="370">
        <f t="shared" ref="CT1397:CT1422" si="1718">CS1397*$C$2</f>
        <v>0</v>
      </c>
      <c r="CU1397" s="377"/>
      <c r="CV1397" s="375">
        <f t="shared" si="1707"/>
        <v>-169716</v>
      </c>
      <c r="CW1397" s="375">
        <f t="shared" si="1708"/>
        <v>-169716</v>
      </c>
      <c r="CY1397" s="375">
        <f t="shared" si="1648"/>
        <v>0</v>
      </c>
      <c r="CZ1397" s="375">
        <f t="shared" si="1648"/>
        <v>0</v>
      </c>
      <c r="DA1397" s="375">
        <f t="shared" si="1648"/>
        <v>0</v>
      </c>
      <c r="DB1397" s="359" t="s">
        <v>86</v>
      </c>
      <c r="DC1397" s="359" t="s">
        <v>86</v>
      </c>
      <c r="DD1397" s="359" t="s">
        <v>87</v>
      </c>
      <c r="DE1397" s="359" t="s">
        <v>106</v>
      </c>
      <c r="DF1397" s="365" t="s">
        <v>134</v>
      </c>
      <c r="DG1397" s="378">
        <v>43181</v>
      </c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365"/>
      <c r="EC1397" s="374" t="e">
        <f>VLOOKUP($M1397,[1]Detail!$M:$BO,1,0)</f>
        <v>#N/A</v>
      </c>
      <c r="ED1397" s="374" t="e">
        <f>VLOOKUP($M1397,[1]Detail!$M:$BO,22,0)</f>
        <v>#N/A</v>
      </c>
      <c r="EE1397" s="374" t="e">
        <f>VLOOKUP($M1397,[1]Detail!$M:$BO,42,0)</f>
        <v>#N/A</v>
      </c>
      <c r="EF1397" s="374" t="e">
        <f>VLOOKUP($M1397,[1]Detail!$M:$BO,45,0)</f>
        <v>#N/A</v>
      </c>
      <c r="EH1397" s="374" t="e">
        <f t="shared" si="1700"/>
        <v>#N/A</v>
      </c>
      <c r="EI1397" s="374" t="e">
        <f t="shared" si="1701"/>
        <v>#N/A</v>
      </c>
      <c r="EJ1397" s="374" t="e">
        <f t="shared" si="1702"/>
        <v>#N/A</v>
      </c>
    </row>
    <row r="1398" spans="2:140" ht="12.75" hidden="1" customHeight="1">
      <c r="B1398" s="1" t="s">
        <v>2244</v>
      </c>
      <c r="C1398" s="22" t="s">
        <v>2245</v>
      </c>
      <c r="D1398" s="149" t="s">
        <v>2246</v>
      </c>
      <c r="E1398" s="86" t="s">
        <v>260</v>
      </c>
      <c r="F1398" s="85" t="s">
        <v>2072</v>
      </c>
      <c r="G1398" s="297" t="s">
        <v>994</v>
      </c>
      <c r="J1398" s="298" t="s">
        <v>128</v>
      </c>
      <c r="K1398" s="299" t="s">
        <v>2247</v>
      </c>
      <c r="L1398" s="3" t="s">
        <v>782</v>
      </c>
      <c r="M1398" s="51" t="str">
        <f t="shared" si="1712"/>
        <v>ED8B-F04100-AHW</v>
      </c>
      <c r="O1398" s="89">
        <v>0</v>
      </c>
      <c r="P1398" s="89">
        <v>0</v>
      </c>
      <c r="Q1398" s="89">
        <v>1</v>
      </c>
      <c r="R1398" s="89">
        <v>1</v>
      </c>
      <c r="S1398" s="89">
        <v>1</v>
      </c>
      <c r="T1398" s="89">
        <v>1</v>
      </c>
      <c r="U1398" s="89">
        <v>1</v>
      </c>
      <c r="V1398" s="89">
        <v>1</v>
      </c>
      <c r="W1398" s="164">
        <f t="shared" si="1706"/>
        <v>0.70000000000000007</v>
      </c>
      <c r="Y1398" s="8">
        <f>0.35-30.48</f>
        <v>-30.13</v>
      </c>
      <c r="Z1398" s="63">
        <v>0</v>
      </c>
      <c r="AA1398" s="63">
        <v>0</v>
      </c>
      <c r="AB1398" s="63">
        <v>0</v>
      </c>
      <c r="AC1398" s="63">
        <v>0</v>
      </c>
      <c r="AD1398" s="8">
        <f t="shared" ref="AD1398:AD1401" si="1719">SUM(Y1398:AC1398)</f>
        <v>-30.13</v>
      </c>
      <c r="AE1398" s="2" t="s">
        <v>84</v>
      </c>
      <c r="AG1398" s="300">
        <v>-100000</v>
      </c>
      <c r="AH1398" s="300">
        <v>-100000</v>
      </c>
      <c r="AJ1398" s="300"/>
      <c r="AK1398" s="176"/>
      <c r="AM1398" s="22"/>
      <c r="AO1398" s="298" t="s">
        <v>128</v>
      </c>
      <c r="AP1398" s="297" t="s">
        <v>2247</v>
      </c>
      <c r="AQ1398" s="3" t="s">
        <v>1338</v>
      </c>
      <c r="AR1398" s="90" t="str">
        <f t="shared" si="1703"/>
        <v>ED8B-F04100-AGW</v>
      </c>
      <c r="AT1398" s="89">
        <v>0</v>
      </c>
      <c r="AU1398" s="89">
        <v>0</v>
      </c>
      <c r="AV1398" s="89">
        <v>1</v>
      </c>
      <c r="AW1398" s="89">
        <v>1</v>
      </c>
      <c r="AX1398" s="89">
        <v>1</v>
      </c>
      <c r="AY1398" s="89">
        <v>1</v>
      </c>
      <c r="AZ1398" s="89">
        <v>1</v>
      </c>
      <c r="BA1398" s="89">
        <v>1</v>
      </c>
      <c r="BB1398" s="89">
        <f t="shared" si="1705"/>
        <v>0.70000000000000007</v>
      </c>
      <c r="BD1398" s="60">
        <f>-30.48</f>
        <v>-30.48</v>
      </c>
      <c r="BE1398" s="63">
        <v>0</v>
      </c>
      <c r="BF1398" s="63">
        <v>0</v>
      </c>
      <c r="BG1398" s="63">
        <v>0</v>
      </c>
      <c r="BH1398" s="63">
        <v>0</v>
      </c>
      <c r="BI1398" s="8">
        <f t="shared" ref="BI1398:BI1399" si="1720">SUM(BD1398:BH1398)</f>
        <v>-30.48</v>
      </c>
      <c r="BJ1398" s="2" t="s">
        <v>84</v>
      </c>
      <c r="BL1398" s="63"/>
      <c r="BM1398" s="63">
        <v>0</v>
      </c>
      <c r="BN1398" s="267"/>
      <c r="BO1398" s="63">
        <v>0</v>
      </c>
      <c r="BP1398" s="63">
        <v>0</v>
      </c>
      <c r="BQ1398" s="2">
        <v>0</v>
      </c>
      <c r="BS1398" s="61">
        <f t="shared" si="1713"/>
        <v>0.35000000000000142</v>
      </c>
      <c r="BT1398" s="61">
        <f t="shared" si="1714"/>
        <v>0</v>
      </c>
      <c r="BU1398" s="61">
        <f t="shared" si="1704"/>
        <v>0</v>
      </c>
      <c r="BV1398" s="61">
        <f t="shared" si="1704"/>
        <v>0</v>
      </c>
      <c r="BW1398" s="61">
        <f t="shared" si="1704"/>
        <v>0</v>
      </c>
      <c r="BX1398" s="63">
        <f t="shared" si="1704"/>
        <v>0.35000000000000142</v>
      </c>
      <c r="BY1398" s="61" t="s">
        <v>91</v>
      </c>
      <c r="CA1398" s="61">
        <f t="shared" si="1710"/>
        <v>0</v>
      </c>
      <c r="CB1398" s="61">
        <f t="shared" si="1710"/>
        <v>0</v>
      </c>
      <c r="CC1398" s="61">
        <f t="shared" si="1710"/>
        <v>5.2655333233037671E-2</v>
      </c>
      <c r="CD1398" s="61">
        <f t="shared" si="1710"/>
        <v>5.2655333233037671E-2</v>
      </c>
      <c r="CE1398" s="61">
        <f t="shared" si="1710"/>
        <v>5.2655333233037671E-2</v>
      </c>
      <c r="CF1398" s="61">
        <f t="shared" si="1710"/>
        <v>5.2655333233037671E-2</v>
      </c>
      <c r="CG1398" s="61">
        <f t="shared" si="1710"/>
        <v>5.2655333233037671E-2</v>
      </c>
      <c r="CH1398" s="61">
        <f t="shared" si="1710"/>
        <v>5.2655333233037671E-2</v>
      </c>
      <c r="CI1398" s="61">
        <f t="shared" si="1715"/>
        <v>3.6858733263126366E-2</v>
      </c>
      <c r="CJ1398" s="267"/>
      <c r="CK1398" s="61">
        <f t="shared" si="1681"/>
        <v>0</v>
      </c>
      <c r="CL1398" s="61">
        <f t="shared" si="1681"/>
        <v>0</v>
      </c>
      <c r="CM1398" s="61">
        <f t="shared" si="1681"/>
        <v>5.2655333233037671E-2</v>
      </c>
      <c r="CN1398" s="61">
        <f t="shared" si="1681"/>
        <v>5.2655333233037671E-2</v>
      </c>
      <c r="CO1398" s="61">
        <f t="shared" si="1681"/>
        <v>5.2655333233037671E-2</v>
      </c>
      <c r="CP1398" s="61">
        <f t="shared" si="1681"/>
        <v>5.2655333233037671E-2</v>
      </c>
      <c r="CQ1398" s="61">
        <f t="shared" si="1681"/>
        <v>5.2655333233037671E-2</v>
      </c>
      <c r="CR1398" s="61">
        <f t="shared" si="1711"/>
        <v>5.2655333233037671E-2</v>
      </c>
      <c r="CS1398" s="61">
        <f t="shared" si="1716"/>
        <v>3.6858733263126366E-2</v>
      </c>
      <c r="CT1398" s="63">
        <f t="shared" si="1718"/>
        <v>0.24500000000000097</v>
      </c>
      <c r="CU1398" s="73"/>
      <c r="CV1398" s="61">
        <f t="shared" si="1707"/>
        <v>-100000</v>
      </c>
      <c r="CW1398" s="61">
        <f t="shared" si="1708"/>
        <v>-100000</v>
      </c>
      <c r="CY1398" s="61">
        <f t="shared" si="1648"/>
        <v>0</v>
      </c>
      <c r="CZ1398" s="61">
        <f t="shared" si="1648"/>
        <v>0</v>
      </c>
      <c r="DA1398" s="61">
        <f t="shared" si="1648"/>
        <v>0</v>
      </c>
      <c r="DB1398" s="2" t="s">
        <v>85</v>
      </c>
      <c r="DC1398" s="2" t="s">
        <v>85</v>
      </c>
      <c r="DD1398" s="2" t="s">
        <v>87</v>
      </c>
      <c r="DE1398" s="2" t="s">
        <v>106</v>
      </c>
      <c r="DG1398" s="62"/>
      <c r="EC1398" s="60"/>
      <c r="ED1398" s="60"/>
      <c r="EE1398" s="60"/>
      <c r="EF1398" s="60"/>
    </row>
    <row r="1399" spans="2:140" ht="12.75" hidden="1" customHeight="1">
      <c r="B1399" s="1" t="s">
        <v>2244</v>
      </c>
      <c r="C1399" s="22" t="s">
        <v>2245</v>
      </c>
      <c r="D1399" s="149" t="s">
        <v>2248</v>
      </c>
      <c r="E1399" s="86" t="s">
        <v>260</v>
      </c>
      <c r="F1399" s="85" t="s">
        <v>2072</v>
      </c>
      <c r="G1399" s="297" t="s">
        <v>994</v>
      </c>
      <c r="J1399" s="298" t="s">
        <v>128</v>
      </c>
      <c r="K1399" s="299" t="s">
        <v>2249</v>
      </c>
      <c r="L1399" s="3" t="s">
        <v>782</v>
      </c>
      <c r="M1399" s="51" t="str">
        <f t="shared" si="1712"/>
        <v>ED8B-F04101-AHW</v>
      </c>
      <c r="O1399" s="89">
        <v>0</v>
      </c>
      <c r="P1399" s="89">
        <v>0</v>
      </c>
      <c r="Q1399" s="89">
        <v>1</v>
      </c>
      <c r="R1399" s="89">
        <v>1</v>
      </c>
      <c r="S1399" s="89">
        <v>1</v>
      </c>
      <c r="T1399" s="89">
        <v>1</v>
      </c>
      <c r="U1399" s="89">
        <v>1</v>
      </c>
      <c r="V1399" s="89">
        <v>1</v>
      </c>
      <c r="W1399" s="164">
        <f t="shared" si="1706"/>
        <v>0.70000000000000007</v>
      </c>
      <c r="Y1399" s="8">
        <f>0.35-28.48</f>
        <v>-28.13</v>
      </c>
      <c r="Z1399" s="63">
        <v>0</v>
      </c>
      <c r="AA1399" s="63">
        <v>0</v>
      </c>
      <c r="AB1399" s="63">
        <v>0</v>
      </c>
      <c r="AC1399" s="63">
        <v>0</v>
      </c>
      <c r="AD1399" s="8">
        <f t="shared" si="1719"/>
        <v>-28.13</v>
      </c>
      <c r="AE1399" s="2" t="s">
        <v>84</v>
      </c>
      <c r="AG1399" s="300"/>
      <c r="AH1399" s="300"/>
      <c r="AJ1399" s="300"/>
      <c r="AK1399" s="176"/>
      <c r="AM1399" s="22"/>
      <c r="AO1399" s="298" t="s">
        <v>128</v>
      </c>
      <c r="AP1399" s="297" t="s">
        <v>2249</v>
      </c>
      <c r="AQ1399" s="3" t="s">
        <v>1338</v>
      </c>
      <c r="AR1399" s="90" t="str">
        <f t="shared" si="1703"/>
        <v>ED8B-F04101-AGW</v>
      </c>
      <c r="AT1399" s="89">
        <v>0</v>
      </c>
      <c r="AU1399" s="89">
        <v>0</v>
      </c>
      <c r="AV1399" s="89">
        <v>1</v>
      </c>
      <c r="AW1399" s="89">
        <v>1</v>
      </c>
      <c r="AX1399" s="89">
        <v>1</v>
      </c>
      <c r="AY1399" s="89">
        <v>1</v>
      </c>
      <c r="AZ1399" s="89">
        <v>1</v>
      </c>
      <c r="BA1399" s="89">
        <v>1</v>
      </c>
      <c r="BB1399" s="89">
        <f t="shared" si="1705"/>
        <v>0.70000000000000007</v>
      </c>
      <c r="BD1399" s="60">
        <f>-28.48</f>
        <v>-28.48</v>
      </c>
      <c r="BE1399" s="63">
        <v>0</v>
      </c>
      <c r="BF1399" s="63">
        <v>0</v>
      </c>
      <c r="BG1399" s="63">
        <v>0</v>
      </c>
      <c r="BH1399" s="63">
        <v>0</v>
      </c>
      <c r="BI1399" s="8">
        <f t="shared" si="1720"/>
        <v>-28.48</v>
      </c>
      <c r="BJ1399" s="2" t="s">
        <v>84</v>
      </c>
      <c r="BL1399" s="63"/>
      <c r="BM1399" s="63">
        <v>0</v>
      </c>
      <c r="BN1399" s="267"/>
      <c r="BO1399" s="63">
        <v>0</v>
      </c>
      <c r="BP1399" s="63">
        <v>0</v>
      </c>
      <c r="BQ1399" s="2">
        <v>0</v>
      </c>
      <c r="BS1399" s="61">
        <f t="shared" si="1713"/>
        <v>0.35000000000000142</v>
      </c>
      <c r="BT1399" s="61">
        <f t="shared" si="1714"/>
        <v>0</v>
      </c>
      <c r="BU1399" s="61">
        <f t="shared" si="1704"/>
        <v>0</v>
      </c>
      <c r="BV1399" s="61">
        <f t="shared" si="1704"/>
        <v>0</v>
      </c>
      <c r="BW1399" s="61">
        <f t="shared" si="1704"/>
        <v>0</v>
      </c>
      <c r="BX1399" s="63">
        <f t="shared" si="1704"/>
        <v>0.35000000000000142</v>
      </c>
      <c r="BY1399" s="61" t="s">
        <v>91</v>
      </c>
      <c r="CA1399" s="61">
        <f t="shared" si="1710"/>
        <v>0</v>
      </c>
      <c r="CB1399" s="61">
        <f t="shared" si="1710"/>
        <v>0</v>
      </c>
      <c r="CC1399" s="61">
        <f t="shared" si="1710"/>
        <v>5.2655333233037671E-2</v>
      </c>
      <c r="CD1399" s="61">
        <f t="shared" si="1710"/>
        <v>5.2655333233037671E-2</v>
      </c>
      <c r="CE1399" s="61">
        <f t="shared" si="1710"/>
        <v>5.2655333233037671E-2</v>
      </c>
      <c r="CF1399" s="61">
        <f t="shared" si="1710"/>
        <v>5.2655333233037671E-2</v>
      </c>
      <c r="CG1399" s="61">
        <f t="shared" si="1710"/>
        <v>5.2655333233037671E-2</v>
      </c>
      <c r="CH1399" s="61">
        <f t="shared" si="1710"/>
        <v>5.2655333233037671E-2</v>
      </c>
      <c r="CI1399" s="61">
        <f t="shared" si="1715"/>
        <v>3.6858733263126366E-2</v>
      </c>
      <c r="CJ1399" s="267"/>
      <c r="CK1399" s="61">
        <f t="shared" si="1681"/>
        <v>0</v>
      </c>
      <c r="CL1399" s="61">
        <f t="shared" si="1681"/>
        <v>0</v>
      </c>
      <c r="CM1399" s="61">
        <f t="shared" si="1681"/>
        <v>5.2655333233037671E-2</v>
      </c>
      <c r="CN1399" s="61">
        <f t="shared" si="1681"/>
        <v>5.2655333233037671E-2</v>
      </c>
      <c r="CO1399" s="61">
        <f t="shared" si="1681"/>
        <v>5.2655333233037671E-2</v>
      </c>
      <c r="CP1399" s="61">
        <f t="shared" si="1681"/>
        <v>5.2655333233037671E-2</v>
      </c>
      <c r="CQ1399" s="61">
        <f t="shared" si="1681"/>
        <v>5.2655333233037671E-2</v>
      </c>
      <c r="CR1399" s="61">
        <f t="shared" si="1711"/>
        <v>5.2655333233037671E-2</v>
      </c>
      <c r="CS1399" s="61">
        <f t="shared" si="1716"/>
        <v>3.6858733263126366E-2</v>
      </c>
      <c r="CT1399" s="63">
        <f t="shared" si="1718"/>
        <v>0.24500000000000097</v>
      </c>
      <c r="CU1399" s="73"/>
      <c r="CV1399" s="61">
        <f t="shared" si="1707"/>
        <v>0</v>
      </c>
      <c r="CW1399" s="61">
        <f t="shared" si="1708"/>
        <v>0</v>
      </c>
      <c r="CY1399" s="61">
        <f t="shared" ref="CY1399:DA1427" si="1721">SUM(AJ1399)-SUM(BO1399)</f>
        <v>0</v>
      </c>
      <c r="CZ1399" s="61">
        <f t="shared" si="1721"/>
        <v>0</v>
      </c>
      <c r="DA1399" s="61">
        <f t="shared" si="1721"/>
        <v>0</v>
      </c>
      <c r="DB1399" s="2" t="s">
        <v>85</v>
      </c>
      <c r="DC1399" s="2" t="s">
        <v>85</v>
      </c>
      <c r="DD1399" s="2" t="s">
        <v>87</v>
      </c>
      <c r="DE1399" s="2" t="s">
        <v>106</v>
      </c>
      <c r="DG1399" s="62"/>
      <c r="EC1399" s="60"/>
      <c r="ED1399" s="60"/>
      <c r="EE1399" s="60"/>
      <c r="EF1399" s="60"/>
    </row>
    <row r="1400" spans="2:140" ht="12.75" hidden="1" customHeight="1">
      <c r="B1400" s="1" t="s">
        <v>2250</v>
      </c>
      <c r="C1400" s="22" t="s">
        <v>2245</v>
      </c>
      <c r="D1400" s="149" t="s">
        <v>2246</v>
      </c>
      <c r="E1400" s="86" t="s">
        <v>260</v>
      </c>
      <c r="F1400" s="85" t="s">
        <v>2072</v>
      </c>
      <c r="G1400" s="297" t="s">
        <v>994</v>
      </c>
      <c r="J1400" s="298" t="s">
        <v>128</v>
      </c>
      <c r="K1400" s="299" t="s">
        <v>2247</v>
      </c>
      <c r="L1400" s="3" t="s">
        <v>197</v>
      </c>
      <c r="M1400" s="51" t="str">
        <f t="shared" si="1712"/>
        <v>ED8B-F04100-AJW</v>
      </c>
      <c r="O1400" s="89">
        <v>0</v>
      </c>
      <c r="P1400" s="89">
        <v>0</v>
      </c>
      <c r="Q1400" s="89">
        <v>1</v>
      </c>
      <c r="R1400" s="89">
        <v>1</v>
      </c>
      <c r="S1400" s="89">
        <v>1</v>
      </c>
      <c r="T1400" s="89">
        <v>1</v>
      </c>
      <c r="U1400" s="89">
        <v>1</v>
      </c>
      <c r="V1400" s="89">
        <v>1</v>
      </c>
      <c r="W1400" s="164">
        <f t="shared" si="1706"/>
        <v>0.70000000000000007</v>
      </c>
      <c r="Y1400" s="8">
        <f>0.35-30.48-0.35</f>
        <v>-30.48</v>
      </c>
      <c r="Z1400" s="63">
        <v>0</v>
      </c>
      <c r="AA1400" s="63">
        <v>0</v>
      </c>
      <c r="AB1400" s="63">
        <v>0</v>
      </c>
      <c r="AC1400" s="63">
        <v>0</v>
      </c>
      <c r="AD1400" s="8">
        <f t="shared" si="1719"/>
        <v>-30.48</v>
      </c>
      <c r="AE1400" s="2" t="s">
        <v>84</v>
      </c>
      <c r="AG1400" s="300">
        <v>0</v>
      </c>
      <c r="AH1400" s="300">
        <v>0</v>
      </c>
      <c r="AJ1400" s="300"/>
      <c r="AK1400" s="176"/>
      <c r="AM1400" s="22"/>
      <c r="AO1400" s="298" t="s">
        <v>128</v>
      </c>
      <c r="AP1400" s="299" t="s">
        <v>2247</v>
      </c>
      <c r="AQ1400" s="3" t="s">
        <v>782</v>
      </c>
      <c r="AR1400" s="90" t="str">
        <f t="shared" si="1703"/>
        <v>ED8B-F04100-AHW</v>
      </c>
      <c r="AT1400" s="89">
        <v>0</v>
      </c>
      <c r="AU1400" s="89">
        <v>0</v>
      </c>
      <c r="AV1400" s="89">
        <v>1</v>
      </c>
      <c r="AW1400" s="89">
        <v>1</v>
      </c>
      <c r="AX1400" s="89">
        <v>1</v>
      </c>
      <c r="AY1400" s="89">
        <v>1</v>
      </c>
      <c r="AZ1400" s="89">
        <v>1</v>
      </c>
      <c r="BA1400" s="89">
        <v>1</v>
      </c>
      <c r="BB1400" s="89">
        <f t="shared" si="1705"/>
        <v>0.70000000000000007</v>
      </c>
      <c r="BD1400" s="8">
        <f>0.35-30.48</f>
        <v>-30.13</v>
      </c>
      <c r="BE1400" s="63">
        <v>0</v>
      </c>
      <c r="BF1400" s="63">
        <v>0</v>
      </c>
      <c r="BG1400" s="63">
        <v>0</v>
      </c>
      <c r="BH1400" s="63">
        <v>0</v>
      </c>
      <c r="BI1400" s="8">
        <f t="shared" ref="BI1400:BI1401" si="1722">SUM(BD1400:BH1400)</f>
        <v>-30.13</v>
      </c>
      <c r="BJ1400" s="2" t="s">
        <v>84</v>
      </c>
      <c r="BL1400" s="300">
        <v>0</v>
      </c>
      <c r="BM1400" s="300">
        <v>0</v>
      </c>
      <c r="BN1400" s="267"/>
      <c r="BO1400" s="63">
        <v>0</v>
      </c>
      <c r="BP1400" s="63">
        <v>0</v>
      </c>
      <c r="BQ1400" s="2">
        <v>0</v>
      </c>
      <c r="BS1400" s="61">
        <f t="shared" si="1713"/>
        <v>-0.35000000000000142</v>
      </c>
      <c r="BT1400" s="61">
        <f t="shared" si="1714"/>
        <v>0</v>
      </c>
      <c r="BU1400" s="61">
        <f t="shared" si="1704"/>
        <v>0</v>
      </c>
      <c r="BV1400" s="61">
        <f t="shared" si="1704"/>
        <v>0</v>
      </c>
      <c r="BW1400" s="61">
        <f t="shared" si="1704"/>
        <v>0</v>
      </c>
      <c r="BX1400" s="63">
        <f t="shared" si="1704"/>
        <v>-0.35000000000000142</v>
      </c>
      <c r="BY1400" s="61" t="s">
        <v>91</v>
      </c>
      <c r="CA1400" s="61">
        <f t="shared" si="1710"/>
        <v>0</v>
      </c>
      <c r="CB1400" s="61">
        <f t="shared" si="1710"/>
        <v>0</v>
      </c>
      <c r="CC1400" s="61">
        <f t="shared" si="1710"/>
        <v>-5.2655333233037671E-2</v>
      </c>
      <c r="CD1400" s="61">
        <f t="shared" si="1710"/>
        <v>-5.2655333233037671E-2</v>
      </c>
      <c r="CE1400" s="61">
        <f t="shared" si="1710"/>
        <v>-5.2655333233037671E-2</v>
      </c>
      <c r="CF1400" s="61">
        <f t="shared" si="1710"/>
        <v>-5.2655333233037671E-2</v>
      </c>
      <c r="CG1400" s="61">
        <f t="shared" si="1710"/>
        <v>-5.2655333233037671E-2</v>
      </c>
      <c r="CH1400" s="61">
        <f t="shared" si="1710"/>
        <v>-5.2655333233037671E-2</v>
      </c>
      <c r="CI1400" s="61">
        <f t="shared" si="1715"/>
        <v>-3.6858733263126366E-2</v>
      </c>
      <c r="CJ1400" s="267"/>
      <c r="CK1400" s="61">
        <f t="shared" si="1681"/>
        <v>0</v>
      </c>
      <c r="CL1400" s="61">
        <f t="shared" si="1681"/>
        <v>0</v>
      </c>
      <c r="CM1400" s="61">
        <f t="shared" si="1681"/>
        <v>-5.2655333233037671E-2</v>
      </c>
      <c r="CN1400" s="61">
        <f t="shared" si="1681"/>
        <v>-5.2655333233037671E-2</v>
      </c>
      <c r="CO1400" s="61">
        <f t="shared" si="1681"/>
        <v>-5.2655333233037671E-2</v>
      </c>
      <c r="CP1400" s="61">
        <f t="shared" si="1681"/>
        <v>-5.2655333233037671E-2</v>
      </c>
      <c r="CQ1400" s="61">
        <f t="shared" si="1681"/>
        <v>-5.2655333233037671E-2</v>
      </c>
      <c r="CR1400" s="61">
        <f t="shared" si="1711"/>
        <v>-5.2655333233037671E-2</v>
      </c>
      <c r="CS1400" s="61">
        <f t="shared" si="1716"/>
        <v>-3.6858733263126366E-2</v>
      </c>
      <c r="CT1400" s="63">
        <f t="shared" si="1718"/>
        <v>-0.24500000000000097</v>
      </c>
      <c r="CU1400" s="73"/>
      <c r="CV1400" s="61">
        <f t="shared" ref="CV1400:CV1401" si="1723">SUM(AG1400)-SUM(BL1400)</f>
        <v>0</v>
      </c>
      <c r="CW1400" s="61">
        <f t="shared" ref="CW1400:CW1401" si="1724">SUM(AH1400)-SUM(BM1400)</f>
        <v>0</v>
      </c>
      <c r="CY1400" s="61">
        <f t="shared" si="1721"/>
        <v>0</v>
      </c>
      <c r="CZ1400" s="61">
        <f t="shared" si="1721"/>
        <v>0</v>
      </c>
      <c r="DA1400" s="61">
        <f t="shared" si="1721"/>
        <v>0</v>
      </c>
      <c r="DB1400" s="2" t="s">
        <v>86</v>
      </c>
      <c r="DC1400" s="2" t="s">
        <v>85</v>
      </c>
      <c r="DD1400" s="2" t="s">
        <v>87</v>
      </c>
      <c r="DE1400" s="2" t="s">
        <v>106</v>
      </c>
      <c r="DF1400" s="3" t="s">
        <v>86</v>
      </c>
      <c r="DG1400" s="62" t="s">
        <v>929</v>
      </c>
      <c r="EC1400" s="60" t="str">
        <f>VLOOKUP($M1400,[1]Detail!$M:$BO,1,0)</f>
        <v>ED8B-F04100-AJW</v>
      </c>
      <c r="ED1400" s="60">
        <f>VLOOKUP($M1400,[1]Detail!$M:$BO,22,0)</f>
        <v>-30.48</v>
      </c>
      <c r="EE1400" s="60">
        <f>VLOOKUP($M1400,[1]Detail!$M:$BO,42,0)</f>
        <v>0</v>
      </c>
      <c r="EF1400" s="60">
        <f>VLOOKUP($M1400,[1]Detail!$M:$BO,45,0)</f>
        <v>0</v>
      </c>
      <c r="EH1400" s="60">
        <f t="shared" ref="EH1400:EH1405" si="1725">ED1400-AD1400</f>
        <v>0</v>
      </c>
      <c r="EI1400" s="60">
        <f t="shared" ref="EI1400:EI1405" si="1726">EE1400-AG1400</f>
        <v>0</v>
      </c>
      <c r="EJ1400" s="60">
        <f t="shared" ref="EJ1400:EJ1405" si="1727">EF1400-AJ1400</f>
        <v>0</v>
      </c>
    </row>
    <row r="1401" spans="2:140" ht="12.75" hidden="1" customHeight="1">
      <c r="B1401" s="1" t="s">
        <v>2250</v>
      </c>
      <c r="C1401" s="22" t="s">
        <v>2245</v>
      </c>
      <c r="D1401" s="149" t="s">
        <v>2248</v>
      </c>
      <c r="E1401" s="86" t="s">
        <v>260</v>
      </c>
      <c r="F1401" s="85" t="s">
        <v>2072</v>
      </c>
      <c r="G1401" s="297" t="s">
        <v>994</v>
      </c>
      <c r="J1401" s="298" t="s">
        <v>128</v>
      </c>
      <c r="K1401" s="299" t="s">
        <v>2249</v>
      </c>
      <c r="L1401" s="3" t="s">
        <v>197</v>
      </c>
      <c r="M1401" s="51" t="str">
        <f t="shared" si="1712"/>
        <v>ED8B-F04101-AJW</v>
      </c>
      <c r="O1401" s="89">
        <v>0</v>
      </c>
      <c r="P1401" s="89">
        <v>0</v>
      </c>
      <c r="Q1401" s="89">
        <v>1</v>
      </c>
      <c r="R1401" s="89">
        <v>1</v>
      </c>
      <c r="S1401" s="89">
        <v>1</v>
      </c>
      <c r="T1401" s="89">
        <v>1</v>
      </c>
      <c r="U1401" s="89">
        <v>1</v>
      </c>
      <c r="V1401" s="89">
        <v>1</v>
      </c>
      <c r="W1401" s="164">
        <f t="shared" si="1706"/>
        <v>0.70000000000000007</v>
      </c>
      <c r="Y1401" s="8">
        <f>0.35-28.48-0.35</f>
        <v>-28.48</v>
      </c>
      <c r="Z1401" s="63">
        <v>0</v>
      </c>
      <c r="AA1401" s="63">
        <v>0</v>
      </c>
      <c r="AB1401" s="63">
        <v>0</v>
      </c>
      <c r="AC1401" s="63">
        <v>0</v>
      </c>
      <c r="AD1401" s="8">
        <f t="shared" si="1719"/>
        <v>-28.48</v>
      </c>
      <c r="AE1401" s="2" t="s">
        <v>84</v>
      </c>
      <c r="AG1401" s="300"/>
      <c r="AH1401" s="300"/>
      <c r="AJ1401" s="300"/>
      <c r="AK1401" s="176"/>
      <c r="AM1401" s="22"/>
      <c r="AO1401" s="298" t="s">
        <v>128</v>
      </c>
      <c r="AP1401" s="299" t="s">
        <v>2249</v>
      </c>
      <c r="AQ1401" s="3" t="s">
        <v>782</v>
      </c>
      <c r="AR1401" s="90" t="str">
        <f t="shared" si="1703"/>
        <v>ED8B-F04101-AHW</v>
      </c>
      <c r="AT1401" s="89">
        <v>0</v>
      </c>
      <c r="AU1401" s="89">
        <v>0</v>
      </c>
      <c r="AV1401" s="89">
        <v>1</v>
      </c>
      <c r="AW1401" s="89">
        <v>1</v>
      </c>
      <c r="AX1401" s="89">
        <v>1</v>
      </c>
      <c r="AY1401" s="89">
        <v>1</v>
      </c>
      <c r="AZ1401" s="89">
        <v>1</v>
      </c>
      <c r="BA1401" s="89">
        <v>1</v>
      </c>
      <c r="BB1401" s="89">
        <f t="shared" si="1705"/>
        <v>0.70000000000000007</v>
      </c>
      <c r="BD1401" s="8">
        <f>0.35-28.48</f>
        <v>-28.13</v>
      </c>
      <c r="BE1401" s="63">
        <v>0</v>
      </c>
      <c r="BF1401" s="63">
        <v>0</v>
      </c>
      <c r="BG1401" s="63">
        <v>0</v>
      </c>
      <c r="BH1401" s="63">
        <v>0</v>
      </c>
      <c r="BI1401" s="8">
        <f t="shared" si="1722"/>
        <v>-28.13</v>
      </c>
      <c r="BJ1401" s="2" t="s">
        <v>84</v>
      </c>
      <c r="BL1401" s="300"/>
      <c r="BM1401" s="300"/>
      <c r="BN1401" s="267"/>
      <c r="BO1401" s="63">
        <v>0</v>
      </c>
      <c r="BP1401" s="63">
        <v>0</v>
      </c>
      <c r="BQ1401" s="2">
        <v>0</v>
      </c>
      <c r="BS1401" s="61">
        <f t="shared" si="1713"/>
        <v>-0.35000000000000142</v>
      </c>
      <c r="BT1401" s="61">
        <f t="shared" si="1714"/>
        <v>0</v>
      </c>
      <c r="BU1401" s="61">
        <f t="shared" si="1704"/>
        <v>0</v>
      </c>
      <c r="BV1401" s="61">
        <f t="shared" si="1704"/>
        <v>0</v>
      </c>
      <c r="BW1401" s="61">
        <f t="shared" si="1704"/>
        <v>0</v>
      </c>
      <c r="BX1401" s="63">
        <f t="shared" si="1704"/>
        <v>-0.35000000000000142</v>
      </c>
      <c r="BY1401" s="61" t="s">
        <v>91</v>
      </c>
      <c r="CA1401" s="61">
        <f t="shared" si="1710"/>
        <v>0</v>
      </c>
      <c r="CB1401" s="61">
        <f t="shared" si="1710"/>
        <v>0</v>
      </c>
      <c r="CC1401" s="61">
        <f t="shared" si="1710"/>
        <v>-5.2655333233037671E-2</v>
      </c>
      <c r="CD1401" s="61">
        <f t="shared" si="1710"/>
        <v>-5.2655333233037671E-2</v>
      </c>
      <c r="CE1401" s="61">
        <f t="shared" si="1710"/>
        <v>-5.2655333233037671E-2</v>
      </c>
      <c r="CF1401" s="61">
        <f t="shared" si="1710"/>
        <v>-5.2655333233037671E-2</v>
      </c>
      <c r="CG1401" s="61">
        <f t="shared" si="1710"/>
        <v>-5.2655333233037671E-2</v>
      </c>
      <c r="CH1401" s="61">
        <f t="shared" si="1710"/>
        <v>-5.2655333233037671E-2</v>
      </c>
      <c r="CI1401" s="61">
        <f t="shared" si="1715"/>
        <v>-3.6858733263126366E-2</v>
      </c>
      <c r="CJ1401" s="267"/>
      <c r="CK1401" s="61">
        <f t="shared" si="1681"/>
        <v>0</v>
      </c>
      <c r="CL1401" s="61">
        <f t="shared" si="1681"/>
        <v>0</v>
      </c>
      <c r="CM1401" s="61">
        <f t="shared" si="1681"/>
        <v>-5.2655333233037671E-2</v>
      </c>
      <c r="CN1401" s="61">
        <f t="shared" si="1681"/>
        <v>-5.2655333233037671E-2</v>
      </c>
      <c r="CO1401" s="61">
        <f t="shared" si="1681"/>
        <v>-5.2655333233037671E-2</v>
      </c>
      <c r="CP1401" s="61">
        <f t="shared" si="1681"/>
        <v>-5.2655333233037671E-2</v>
      </c>
      <c r="CQ1401" s="61">
        <f t="shared" si="1681"/>
        <v>-5.2655333233037671E-2</v>
      </c>
      <c r="CR1401" s="61">
        <f t="shared" si="1711"/>
        <v>-5.2655333233037671E-2</v>
      </c>
      <c r="CS1401" s="61">
        <f t="shared" si="1716"/>
        <v>-3.6858733263126366E-2</v>
      </c>
      <c r="CT1401" s="63">
        <f t="shared" si="1718"/>
        <v>-0.24500000000000097</v>
      </c>
      <c r="CU1401" s="73"/>
      <c r="CV1401" s="61">
        <f t="shared" si="1723"/>
        <v>0</v>
      </c>
      <c r="CW1401" s="61">
        <f t="shared" si="1724"/>
        <v>0</v>
      </c>
      <c r="CY1401" s="61">
        <f t="shared" si="1721"/>
        <v>0</v>
      </c>
      <c r="CZ1401" s="61">
        <f t="shared" si="1721"/>
        <v>0</v>
      </c>
      <c r="DA1401" s="61">
        <f t="shared" si="1721"/>
        <v>0</v>
      </c>
      <c r="DB1401" s="2" t="s">
        <v>86</v>
      </c>
      <c r="DC1401" s="2" t="s">
        <v>85</v>
      </c>
      <c r="DD1401" s="2" t="s">
        <v>87</v>
      </c>
      <c r="DE1401" s="2" t="s">
        <v>106</v>
      </c>
      <c r="DF1401" s="3" t="s">
        <v>86</v>
      </c>
      <c r="DG1401" s="62" t="s">
        <v>929</v>
      </c>
      <c r="EC1401" s="60" t="str">
        <f>VLOOKUP($M1401,[1]Detail!$M:$BO,1,0)</f>
        <v>ED8B-F04101-AJW</v>
      </c>
      <c r="ED1401" s="60">
        <f>VLOOKUP($M1401,[1]Detail!$M:$BO,22,0)</f>
        <v>-28.48</v>
      </c>
      <c r="EE1401" s="60">
        <f>VLOOKUP($M1401,[1]Detail!$M:$BO,42,0)</f>
        <v>0</v>
      </c>
      <c r="EF1401" s="60">
        <f>VLOOKUP($M1401,[1]Detail!$M:$BO,45,0)</f>
        <v>0</v>
      </c>
      <c r="EH1401" s="60">
        <f t="shared" si="1725"/>
        <v>0</v>
      </c>
      <c r="EI1401" s="60">
        <f t="shared" si="1726"/>
        <v>0</v>
      </c>
      <c r="EJ1401" s="60">
        <f t="shared" si="1727"/>
        <v>0</v>
      </c>
    </row>
    <row r="1402" spans="2:140" ht="12.75" hidden="1" customHeight="1">
      <c r="B1402" s="1" t="s">
        <v>2244</v>
      </c>
      <c r="C1402" s="22" t="s">
        <v>2245</v>
      </c>
      <c r="D1402" s="149" t="s">
        <v>2251</v>
      </c>
      <c r="E1402" s="86" t="s">
        <v>260</v>
      </c>
      <c r="F1402" s="85" t="s">
        <v>2072</v>
      </c>
      <c r="G1402" s="297" t="s">
        <v>994</v>
      </c>
      <c r="J1402" s="298" t="s">
        <v>128</v>
      </c>
      <c r="K1402" s="299" t="s">
        <v>2252</v>
      </c>
      <c r="L1402" s="3" t="s">
        <v>198</v>
      </c>
      <c r="M1402" s="51" t="str">
        <f t="shared" si="1712"/>
        <v>ED8B-F040A26-BAW</v>
      </c>
      <c r="O1402" s="89">
        <v>1</v>
      </c>
      <c r="P1402" s="89">
        <v>1</v>
      </c>
      <c r="Q1402" s="89">
        <v>1</v>
      </c>
      <c r="R1402" s="89">
        <v>1</v>
      </c>
      <c r="S1402" s="89">
        <v>1</v>
      </c>
      <c r="T1402" s="89">
        <v>1</v>
      </c>
      <c r="U1402" s="89">
        <v>1</v>
      </c>
      <c r="V1402" s="89">
        <v>1</v>
      </c>
      <c r="W1402" s="164">
        <f t="shared" si="1706"/>
        <v>1</v>
      </c>
      <c r="Y1402" s="8">
        <v>-0.35</v>
      </c>
      <c r="Z1402" s="63">
        <v>0</v>
      </c>
      <c r="AA1402" s="63">
        <v>0</v>
      </c>
      <c r="AB1402" s="63">
        <v>0</v>
      </c>
      <c r="AC1402" s="63">
        <v>0</v>
      </c>
      <c r="AD1402" s="8">
        <f t="shared" ref="AD1402:AD1403" si="1728">SUM(Y1402:AC1402)</f>
        <v>-0.35</v>
      </c>
      <c r="AE1402" s="2" t="s">
        <v>84</v>
      </c>
      <c r="AG1402" s="300">
        <v>-75000</v>
      </c>
      <c r="AH1402" s="300">
        <v>-75000</v>
      </c>
      <c r="AJ1402" s="300"/>
      <c r="AK1402" s="176"/>
      <c r="AM1402" s="22"/>
      <c r="AO1402" s="298" t="s">
        <v>2253</v>
      </c>
      <c r="AP1402" s="297" t="s">
        <v>2253</v>
      </c>
      <c r="AQ1402" s="3" t="s">
        <v>2253</v>
      </c>
      <c r="AR1402" s="90" t="s">
        <v>2253</v>
      </c>
      <c r="AS1402" s="2" t="s">
        <v>2253</v>
      </c>
      <c r="AT1402" s="89">
        <v>0</v>
      </c>
      <c r="AU1402" s="89">
        <v>0</v>
      </c>
      <c r="AV1402" s="89">
        <v>0</v>
      </c>
      <c r="AW1402" s="89">
        <v>0</v>
      </c>
      <c r="AX1402" s="89">
        <v>0</v>
      </c>
      <c r="AY1402" s="89">
        <v>0</v>
      </c>
      <c r="AZ1402" s="89">
        <v>0</v>
      </c>
      <c r="BA1402" s="89">
        <v>0</v>
      </c>
      <c r="BB1402" s="89">
        <f t="shared" si="1705"/>
        <v>0</v>
      </c>
      <c r="BD1402" s="60">
        <v>0</v>
      </c>
      <c r="BE1402" s="63">
        <v>0</v>
      </c>
      <c r="BF1402" s="63">
        <v>0</v>
      </c>
      <c r="BG1402" s="63">
        <v>0</v>
      </c>
      <c r="BH1402" s="63">
        <v>0</v>
      </c>
      <c r="BI1402" s="8">
        <v>0</v>
      </c>
      <c r="BJ1402" s="2" t="s">
        <v>84</v>
      </c>
      <c r="BK1402" s="2">
        <v>0</v>
      </c>
      <c r="BL1402" s="63">
        <v>0</v>
      </c>
      <c r="BM1402" s="63">
        <v>0</v>
      </c>
      <c r="BN1402" s="267">
        <v>0</v>
      </c>
      <c r="BO1402" s="63">
        <v>0</v>
      </c>
      <c r="BP1402" s="63">
        <v>0</v>
      </c>
      <c r="BQ1402" s="2">
        <v>0</v>
      </c>
      <c r="BS1402" s="61">
        <f t="shared" si="1713"/>
        <v>-0.35</v>
      </c>
      <c r="BT1402" s="61">
        <f t="shared" si="1714"/>
        <v>0</v>
      </c>
      <c r="BU1402" s="61">
        <f t="shared" si="1704"/>
        <v>0</v>
      </c>
      <c r="BV1402" s="61">
        <f t="shared" si="1704"/>
        <v>0</v>
      </c>
      <c r="BW1402" s="61">
        <f t="shared" si="1704"/>
        <v>0</v>
      </c>
      <c r="BX1402" s="63">
        <f t="shared" si="1704"/>
        <v>-0.35</v>
      </c>
      <c r="BY1402" s="61" t="s">
        <v>91</v>
      </c>
      <c r="CA1402" s="61">
        <f t="shared" si="1710"/>
        <v>-5.2655333233037456E-2</v>
      </c>
      <c r="CB1402" s="61">
        <f t="shared" si="1710"/>
        <v>-5.2655333233037456E-2</v>
      </c>
      <c r="CC1402" s="61">
        <f t="shared" si="1710"/>
        <v>-5.2655333233037456E-2</v>
      </c>
      <c r="CD1402" s="61">
        <f t="shared" si="1710"/>
        <v>-5.2655333233037456E-2</v>
      </c>
      <c r="CE1402" s="61">
        <f t="shared" si="1710"/>
        <v>-5.2655333233037456E-2</v>
      </c>
      <c r="CF1402" s="61">
        <f t="shared" si="1710"/>
        <v>-5.2655333233037456E-2</v>
      </c>
      <c r="CG1402" s="61">
        <f t="shared" si="1710"/>
        <v>-5.2655333233037456E-2</v>
      </c>
      <c r="CH1402" s="61">
        <f t="shared" si="1710"/>
        <v>-5.2655333233037456E-2</v>
      </c>
      <c r="CI1402" s="61">
        <f t="shared" si="1715"/>
        <v>-5.2655333233037463E-2</v>
      </c>
      <c r="CJ1402" s="267"/>
      <c r="CK1402" s="61">
        <f t="shared" si="1681"/>
        <v>-5.2655333233037456E-2</v>
      </c>
      <c r="CL1402" s="61">
        <f t="shared" si="1681"/>
        <v>-5.2655333233037456E-2</v>
      </c>
      <c r="CM1402" s="61">
        <f t="shared" si="1681"/>
        <v>-5.2655333233037456E-2</v>
      </c>
      <c r="CN1402" s="61">
        <f t="shared" si="1681"/>
        <v>-5.2655333233037456E-2</v>
      </c>
      <c r="CO1402" s="61">
        <f t="shared" si="1681"/>
        <v>-5.2655333233037456E-2</v>
      </c>
      <c r="CP1402" s="61">
        <f t="shared" si="1681"/>
        <v>-5.2655333233037456E-2</v>
      </c>
      <c r="CQ1402" s="61">
        <f t="shared" si="1681"/>
        <v>-5.2655333233037456E-2</v>
      </c>
      <c r="CR1402" s="61">
        <f t="shared" si="1711"/>
        <v>-5.2655333233037456E-2</v>
      </c>
      <c r="CS1402" s="61">
        <f t="shared" si="1716"/>
        <v>-5.2655333233037463E-2</v>
      </c>
      <c r="CT1402" s="63">
        <f t="shared" si="1718"/>
        <v>-0.35000000000000003</v>
      </c>
      <c r="CU1402" s="73"/>
      <c r="CV1402" s="61">
        <f t="shared" si="1707"/>
        <v>-75000</v>
      </c>
      <c r="CW1402" s="61">
        <f t="shared" si="1708"/>
        <v>-75000</v>
      </c>
      <c r="CY1402" s="61">
        <f t="shared" si="1721"/>
        <v>0</v>
      </c>
      <c r="CZ1402" s="61">
        <f t="shared" si="1721"/>
        <v>0</v>
      </c>
      <c r="DA1402" s="61">
        <f t="shared" si="1721"/>
        <v>0</v>
      </c>
      <c r="DB1402" s="2" t="s">
        <v>86</v>
      </c>
      <c r="DC1402" s="2" t="s">
        <v>85</v>
      </c>
      <c r="DD1402" s="2" t="s">
        <v>87</v>
      </c>
      <c r="DE1402" s="2" t="s">
        <v>106</v>
      </c>
      <c r="DG1402" s="62"/>
      <c r="EC1402" s="60" t="str">
        <f>VLOOKUP($M1402,[1]Detail!$M:$BO,1,0)</f>
        <v>ED8B-F040A26-BAW</v>
      </c>
      <c r="ED1402" s="60">
        <f>VLOOKUP($M1402,[1]Detail!$M:$BO,22,0)</f>
        <v>-0.35</v>
      </c>
      <c r="EE1402" s="60">
        <f>VLOOKUP($M1402,[1]Detail!$M:$BO,42,0)</f>
        <v>0</v>
      </c>
      <c r="EF1402" s="60">
        <f>VLOOKUP($M1402,[1]Detail!$M:$BO,45,0)</f>
        <v>0</v>
      </c>
      <c r="EH1402" s="60">
        <f t="shared" si="1725"/>
        <v>0</v>
      </c>
      <c r="EI1402" s="60">
        <f t="shared" si="1726"/>
        <v>75000</v>
      </c>
      <c r="EJ1402" s="60">
        <f t="shared" si="1727"/>
        <v>0</v>
      </c>
    </row>
    <row r="1403" spans="2:140" ht="12.75" hidden="1" customHeight="1">
      <c r="B1403" s="1" t="s">
        <v>2254</v>
      </c>
      <c r="C1403" s="22" t="s">
        <v>2255</v>
      </c>
      <c r="D1403" s="149" t="s">
        <v>2256</v>
      </c>
      <c r="E1403" s="86" t="s">
        <v>347</v>
      </c>
      <c r="F1403" s="85" t="s">
        <v>2080</v>
      </c>
      <c r="G1403" s="297" t="s">
        <v>994</v>
      </c>
      <c r="J1403" s="298" t="s">
        <v>357</v>
      </c>
      <c r="K1403" s="299" t="s">
        <v>2257</v>
      </c>
      <c r="L1403" s="3" t="s">
        <v>151</v>
      </c>
      <c r="M1403" s="51" t="str">
        <f t="shared" si="1712"/>
        <v>ED8C-3A423-AG</v>
      </c>
      <c r="O1403" s="89">
        <v>1</v>
      </c>
      <c r="P1403" s="89">
        <v>1</v>
      </c>
      <c r="Q1403" s="89">
        <v>1</v>
      </c>
      <c r="R1403" s="89">
        <v>1</v>
      </c>
      <c r="S1403" s="89">
        <v>1</v>
      </c>
      <c r="T1403" s="89">
        <v>1</v>
      </c>
      <c r="U1403" s="89">
        <v>1</v>
      </c>
      <c r="V1403" s="89">
        <v>1</v>
      </c>
      <c r="W1403" s="164">
        <f t="shared" si="1706"/>
        <v>1</v>
      </c>
      <c r="Y1403" s="8">
        <f>-185.35-0.66</f>
        <v>-186.01</v>
      </c>
      <c r="Z1403" s="63">
        <v>0</v>
      </c>
      <c r="AA1403" s="63">
        <v>0</v>
      </c>
      <c r="AB1403" s="63">
        <v>0</v>
      </c>
      <c r="AC1403" s="63">
        <v>0</v>
      </c>
      <c r="AD1403" s="8">
        <f t="shared" si="1728"/>
        <v>-186.01</v>
      </c>
      <c r="AE1403" s="2" t="s">
        <v>84</v>
      </c>
      <c r="AG1403" s="300">
        <v>-120000</v>
      </c>
      <c r="AH1403" s="300">
        <v>-120000</v>
      </c>
      <c r="AJ1403" s="300"/>
      <c r="AK1403" s="176"/>
      <c r="AM1403" s="22"/>
      <c r="AO1403" s="298" t="s">
        <v>357</v>
      </c>
      <c r="AP1403" s="297" t="s">
        <v>2258</v>
      </c>
      <c r="AQ1403" s="3" t="s">
        <v>2238</v>
      </c>
      <c r="AR1403" s="90" t="str">
        <f t="shared" ref="AR1403:AR1404" si="1729">TRIM(AO1403)&amp;"-"&amp;TRIM(AP1403)&amp;"-"&amp;TRIM(AQ1403)</f>
        <v>ED8C-3A423-AF </v>
      </c>
      <c r="AT1403" s="89">
        <v>1</v>
      </c>
      <c r="AU1403" s="89">
        <v>1</v>
      </c>
      <c r="AV1403" s="89">
        <v>1</v>
      </c>
      <c r="AW1403" s="89">
        <v>1</v>
      </c>
      <c r="AX1403" s="89">
        <v>1</v>
      </c>
      <c r="AY1403" s="89">
        <v>1</v>
      </c>
      <c r="AZ1403" s="89">
        <v>1</v>
      </c>
      <c r="BA1403" s="89">
        <v>1</v>
      </c>
      <c r="BB1403" s="89">
        <f t="shared" si="1705"/>
        <v>1</v>
      </c>
      <c r="BD1403" s="60">
        <f>-185.35</f>
        <v>-185.35</v>
      </c>
      <c r="BE1403" s="63">
        <v>0</v>
      </c>
      <c r="BF1403" s="63">
        <v>0</v>
      </c>
      <c r="BG1403" s="63">
        <v>0</v>
      </c>
      <c r="BH1403" s="63">
        <v>0</v>
      </c>
      <c r="BI1403" s="8">
        <f t="shared" ref="BI1403:BI1404" si="1730">SUM(BD1403:BH1403)</f>
        <v>-185.35</v>
      </c>
      <c r="BJ1403" s="2" t="s">
        <v>84</v>
      </c>
      <c r="BL1403" s="63"/>
      <c r="BM1403" s="63">
        <v>0</v>
      </c>
      <c r="BN1403" s="267"/>
      <c r="BO1403" s="63">
        <v>0</v>
      </c>
      <c r="BP1403" s="63">
        <v>0</v>
      </c>
      <c r="BQ1403" s="2">
        <v>0</v>
      </c>
      <c r="BS1403" s="61">
        <f t="shared" si="1713"/>
        <v>-0.65999999999999659</v>
      </c>
      <c r="BT1403" s="61">
        <f t="shared" si="1714"/>
        <v>0</v>
      </c>
      <c r="BU1403" s="61">
        <f t="shared" si="1704"/>
        <v>0</v>
      </c>
      <c r="BV1403" s="61">
        <f t="shared" si="1704"/>
        <v>0</v>
      </c>
      <c r="BW1403" s="61">
        <f t="shared" si="1704"/>
        <v>0</v>
      </c>
      <c r="BX1403" s="63">
        <f t="shared" si="1704"/>
        <v>-0.65999999999999659</v>
      </c>
      <c r="BY1403" s="61" t="s">
        <v>91</v>
      </c>
      <c r="CA1403" s="61">
        <f t="shared" si="1710"/>
        <v>-9.9292914096584403E-2</v>
      </c>
      <c r="CB1403" s="61">
        <f t="shared" si="1710"/>
        <v>-9.9292914096584403E-2</v>
      </c>
      <c r="CC1403" s="61">
        <f t="shared" si="1710"/>
        <v>-9.9292914096584403E-2</v>
      </c>
      <c r="CD1403" s="61">
        <f t="shared" si="1710"/>
        <v>-9.9292914096584403E-2</v>
      </c>
      <c r="CE1403" s="61">
        <f t="shared" si="1710"/>
        <v>-9.9292914096584403E-2</v>
      </c>
      <c r="CF1403" s="61">
        <f t="shared" si="1710"/>
        <v>-9.9292914096584403E-2</v>
      </c>
      <c r="CG1403" s="61">
        <f t="shared" si="1710"/>
        <v>-9.9292914096584403E-2</v>
      </c>
      <c r="CH1403" s="61">
        <f t="shared" si="1710"/>
        <v>-9.9292914096584403E-2</v>
      </c>
      <c r="CI1403" s="61">
        <f t="shared" si="1715"/>
        <v>-9.9292914096584417E-2</v>
      </c>
      <c r="CJ1403" s="267"/>
      <c r="CK1403" s="61">
        <f t="shared" si="1681"/>
        <v>-9.9292914096584403E-2</v>
      </c>
      <c r="CL1403" s="61">
        <f t="shared" si="1681"/>
        <v>-9.9292914096584403E-2</v>
      </c>
      <c r="CM1403" s="61">
        <f t="shared" si="1681"/>
        <v>-9.9292914096584403E-2</v>
      </c>
      <c r="CN1403" s="61">
        <f t="shared" si="1681"/>
        <v>-9.9292914096584403E-2</v>
      </c>
      <c r="CO1403" s="61">
        <f t="shared" si="1681"/>
        <v>-9.9292914096584403E-2</v>
      </c>
      <c r="CP1403" s="61">
        <f t="shared" si="1681"/>
        <v>-9.9292914096584403E-2</v>
      </c>
      <c r="CQ1403" s="61">
        <f t="shared" si="1681"/>
        <v>-9.9292914096584403E-2</v>
      </c>
      <c r="CR1403" s="61">
        <f t="shared" si="1711"/>
        <v>-9.9292914096584403E-2</v>
      </c>
      <c r="CS1403" s="61">
        <f t="shared" si="1716"/>
        <v>-9.9292914096584417E-2</v>
      </c>
      <c r="CT1403" s="63">
        <f t="shared" si="1718"/>
        <v>-0.65999999999999659</v>
      </c>
      <c r="CU1403" s="73"/>
      <c r="CV1403" s="61">
        <f t="shared" si="1707"/>
        <v>-120000</v>
      </c>
      <c r="CW1403" s="61">
        <f t="shared" si="1708"/>
        <v>-120000</v>
      </c>
      <c r="CY1403" s="61">
        <f t="shared" si="1721"/>
        <v>0</v>
      </c>
      <c r="CZ1403" s="61">
        <f t="shared" si="1721"/>
        <v>0</v>
      </c>
      <c r="DA1403" s="61">
        <f t="shared" si="1721"/>
        <v>0</v>
      </c>
      <c r="DB1403" s="2" t="s">
        <v>86</v>
      </c>
      <c r="DC1403" s="2" t="s">
        <v>85</v>
      </c>
      <c r="DD1403" s="2" t="s">
        <v>87</v>
      </c>
      <c r="DE1403" s="2" t="s">
        <v>106</v>
      </c>
      <c r="DF1403" s="3" t="s">
        <v>118</v>
      </c>
      <c r="DG1403" s="62">
        <v>43110</v>
      </c>
      <c r="EC1403" s="60" t="str">
        <f>VLOOKUP($M1403,[1]Detail!$M:$BO,1,0)</f>
        <v>ED8C-3A423-AG</v>
      </c>
      <c r="ED1403" s="60">
        <f>VLOOKUP($M1403,[1]Detail!$M:$BO,22,0)</f>
        <v>-186.01</v>
      </c>
      <c r="EE1403" s="60">
        <f>VLOOKUP($M1403,[1]Detail!$M:$BO,42,0)</f>
        <v>0</v>
      </c>
      <c r="EF1403" s="60">
        <f>VLOOKUP($M1403,[1]Detail!$M:$BO,45,0)</f>
        <v>0</v>
      </c>
      <c r="EH1403" s="60">
        <f t="shared" si="1725"/>
        <v>0</v>
      </c>
      <c r="EI1403" s="60">
        <f t="shared" si="1726"/>
        <v>120000</v>
      </c>
      <c r="EJ1403" s="60">
        <f t="shared" si="1727"/>
        <v>0</v>
      </c>
    </row>
    <row r="1404" spans="2:140" ht="12.75" hidden="1" customHeight="1">
      <c r="B1404" s="1" t="s">
        <v>2254</v>
      </c>
      <c r="C1404" s="22" t="s">
        <v>2255</v>
      </c>
      <c r="D1404" s="149" t="s">
        <v>2256</v>
      </c>
      <c r="E1404" s="86" t="s">
        <v>347</v>
      </c>
      <c r="F1404" s="85" t="s">
        <v>2080</v>
      </c>
      <c r="G1404" s="297" t="s">
        <v>994</v>
      </c>
      <c r="J1404" s="298" t="s">
        <v>357</v>
      </c>
      <c r="K1404" s="299" t="s">
        <v>2259</v>
      </c>
      <c r="L1404" s="3" t="s">
        <v>151</v>
      </c>
      <c r="M1404" s="51" t="str">
        <f t="shared" si="1712"/>
        <v>ED8C-3A424-AG</v>
      </c>
      <c r="O1404" s="89">
        <v>1</v>
      </c>
      <c r="P1404" s="89">
        <v>1</v>
      </c>
      <c r="Q1404" s="89">
        <v>1</v>
      </c>
      <c r="R1404" s="89">
        <v>1</v>
      </c>
      <c r="S1404" s="89">
        <v>1</v>
      </c>
      <c r="T1404" s="89">
        <v>1</v>
      </c>
      <c r="U1404" s="89">
        <v>1</v>
      </c>
      <c r="V1404" s="89">
        <v>1</v>
      </c>
      <c r="W1404" s="379">
        <f t="shared" si="1706"/>
        <v>1</v>
      </c>
      <c r="Y1404" s="8">
        <f>-185.35-0.66</f>
        <v>-186.01</v>
      </c>
      <c r="Z1404" s="63">
        <v>0</v>
      </c>
      <c r="AA1404" s="63">
        <v>0</v>
      </c>
      <c r="AB1404" s="63">
        <v>0</v>
      </c>
      <c r="AC1404" s="63">
        <v>0</v>
      </c>
      <c r="AD1404" s="8">
        <f t="shared" ref="AD1404" si="1731">SUM(Y1404:AC1404)</f>
        <v>-186.01</v>
      </c>
      <c r="AE1404" s="2" t="s">
        <v>84</v>
      </c>
      <c r="AG1404" s="300"/>
      <c r="AH1404" s="300"/>
      <c r="AJ1404" s="300"/>
      <c r="AK1404" s="176"/>
      <c r="AM1404" s="22"/>
      <c r="AO1404" s="298" t="s">
        <v>357</v>
      </c>
      <c r="AP1404" s="297" t="s">
        <v>2260</v>
      </c>
      <c r="AQ1404" s="3" t="s">
        <v>2238</v>
      </c>
      <c r="AR1404" s="90" t="str">
        <f t="shared" si="1729"/>
        <v>ED8C-3A424-AF </v>
      </c>
      <c r="AT1404" s="89">
        <v>1</v>
      </c>
      <c r="AU1404" s="89">
        <v>1</v>
      </c>
      <c r="AV1404" s="89">
        <v>1</v>
      </c>
      <c r="AW1404" s="89">
        <v>1</v>
      </c>
      <c r="AX1404" s="89">
        <v>1</v>
      </c>
      <c r="AY1404" s="89">
        <v>1</v>
      </c>
      <c r="AZ1404" s="89">
        <v>1</v>
      </c>
      <c r="BA1404" s="89">
        <v>1</v>
      </c>
      <c r="BB1404" s="89">
        <f t="shared" si="1705"/>
        <v>1</v>
      </c>
      <c r="BD1404" s="60">
        <f>-185.35</f>
        <v>-185.35</v>
      </c>
      <c r="BE1404" s="63">
        <v>0</v>
      </c>
      <c r="BF1404" s="63">
        <v>0</v>
      </c>
      <c r="BG1404" s="63">
        <v>0</v>
      </c>
      <c r="BH1404" s="63">
        <v>0</v>
      </c>
      <c r="BI1404" s="8">
        <f t="shared" si="1730"/>
        <v>-185.35</v>
      </c>
      <c r="BJ1404" s="2" t="s">
        <v>84</v>
      </c>
      <c r="BL1404" s="63"/>
      <c r="BM1404" s="63">
        <v>0</v>
      </c>
      <c r="BN1404" s="267"/>
      <c r="BO1404" s="63">
        <v>0</v>
      </c>
      <c r="BP1404" s="63">
        <v>0</v>
      </c>
      <c r="BQ1404" s="2">
        <v>0</v>
      </c>
      <c r="BS1404" s="61">
        <f t="shared" si="1713"/>
        <v>-0.65999999999999659</v>
      </c>
      <c r="BT1404" s="61">
        <f t="shared" si="1714"/>
        <v>0</v>
      </c>
      <c r="BU1404" s="61">
        <f t="shared" si="1704"/>
        <v>0</v>
      </c>
      <c r="BV1404" s="61">
        <f t="shared" si="1704"/>
        <v>0</v>
      </c>
      <c r="BW1404" s="61">
        <f t="shared" si="1704"/>
        <v>0</v>
      </c>
      <c r="BX1404" s="63">
        <f t="shared" si="1704"/>
        <v>-0.65999999999999659</v>
      </c>
      <c r="BY1404" s="61" t="s">
        <v>91</v>
      </c>
      <c r="CA1404" s="61">
        <f t="shared" si="1710"/>
        <v>-9.9292914096584403E-2</v>
      </c>
      <c r="CB1404" s="61">
        <f t="shared" si="1710"/>
        <v>-9.9292914096584403E-2</v>
      </c>
      <c r="CC1404" s="61">
        <f t="shared" si="1710"/>
        <v>-9.9292914096584403E-2</v>
      </c>
      <c r="CD1404" s="61">
        <f t="shared" si="1710"/>
        <v>-9.9292914096584403E-2</v>
      </c>
      <c r="CE1404" s="61">
        <f t="shared" si="1710"/>
        <v>-9.9292914096584403E-2</v>
      </c>
      <c r="CF1404" s="61">
        <f t="shared" si="1710"/>
        <v>-9.9292914096584403E-2</v>
      </c>
      <c r="CG1404" s="61">
        <f t="shared" si="1710"/>
        <v>-9.9292914096584403E-2</v>
      </c>
      <c r="CH1404" s="61">
        <f t="shared" si="1710"/>
        <v>-9.9292914096584403E-2</v>
      </c>
      <c r="CI1404" s="61">
        <f t="shared" si="1715"/>
        <v>-9.9292914096584417E-2</v>
      </c>
      <c r="CJ1404" s="267"/>
      <c r="CK1404" s="61">
        <f t="shared" si="1681"/>
        <v>-9.9292914096584403E-2</v>
      </c>
      <c r="CL1404" s="61">
        <f t="shared" si="1681"/>
        <v>-9.9292914096584403E-2</v>
      </c>
      <c r="CM1404" s="61">
        <f t="shared" si="1681"/>
        <v>-9.9292914096584403E-2</v>
      </c>
      <c r="CN1404" s="61">
        <f t="shared" si="1681"/>
        <v>-9.9292914096584403E-2</v>
      </c>
      <c r="CO1404" s="61">
        <f t="shared" si="1681"/>
        <v>-9.9292914096584403E-2</v>
      </c>
      <c r="CP1404" s="61">
        <f t="shared" si="1681"/>
        <v>-9.9292914096584403E-2</v>
      </c>
      <c r="CQ1404" s="61">
        <f t="shared" si="1681"/>
        <v>-9.9292914096584403E-2</v>
      </c>
      <c r="CR1404" s="61">
        <f t="shared" si="1711"/>
        <v>-9.9292914096584403E-2</v>
      </c>
      <c r="CS1404" s="61">
        <f t="shared" si="1716"/>
        <v>-9.9292914096584417E-2</v>
      </c>
      <c r="CT1404" s="63">
        <f t="shared" si="1718"/>
        <v>-0.65999999999999659</v>
      </c>
      <c r="CU1404" s="73"/>
      <c r="CV1404" s="61">
        <f t="shared" si="1707"/>
        <v>0</v>
      </c>
      <c r="CW1404" s="61">
        <f t="shared" si="1708"/>
        <v>0</v>
      </c>
      <c r="CY1404" s="61">
        <f t="shared" si="1721"/>
        <v>0</v>
      </c>
      <c r="CZ1404" s="61">
        <f t="shared" si="1721"/>
        <v>0</v>
      </c>
      <c r="DA1404" s="61">
        <f t="shared" si="1721"/>
        <v>0</v>
      </c>
      <c r="DB1404" s="2" t="s">
        <v>86</v>
      </c>
      <c r="DC1404" s="2" t="s">
        <v>85</v>
      </c>
      <c r="DD1404" s="2" t="s">
        <v>87</v>
      </c>
      <c r="DE1404" s="2" t="s">
        <v>106</v>
      </c>
      <c r="DF1404" s="3" t="s">
        <v>118</v>
      </c>
      <c r="DG1404" s="62">
        <v>43110</v>
      </c>
      <c r="EC1404" s="60" t="str">
        <f>VLOOKUP($M1404,[1]Detail!$M:$BO,1,0)</f>
        <v>ED8C-3A424-AG</v>
      </c>
      <c r="ED1404" s="60">
        <f>VLOOKUP($M1404,[1]Detail!$M:$BO,22,0)</f>
        <v>-186.01</v>
      </c>
      <c r="EE1404" s="60">
        <f>VLOOKUP($M1404,[1]Detail!$M:$BO,42,0)</f>
        <v>0</v>
      </c>
      <c r="EF1404" s="60">
        <f>VLOOKUP($M1404,[1]Detail!$M:$BO,45,0)</f>
        <v>0</v>
      </c>
      <c r="EH1404" s="60">
        <f t="shared" si="1725"/>
        <v>0</v>
      </c>
      <c r="EI1404" s="60">
        <f t="shared" si="1726"/>
        <v>0</v>
      </c>
      <c r="EJ1404" s="60">
        <f t="shared" si="1727"/>
        <v>0</v>
      </c>
    </row>
    <row r="1405" spans="2:140" ht="12.75" hidden="1" customHeight="1">
      <c r="B1405" s="1" t="s">
        <v>1267</v>
      </c>
      <c r="C1405" s="22"/>
      <c r="D1405" s="149"/>
      <c r="E1405" s="86" t="s">
        <v>1024</v>
      </c>
      <c r="F1405" s="85"/>
      <c r="G1405" s="297"/>
      <c r="J1405" s="298"/>
      <c r="K1405" s="299" t="s">
        <v>2261</v>
      </c>
      <c r="L1405" s="3" t="s">
        <v>1226</v>
      </c>
      <c r="M1405" s="51" t="str">
        <f t="shared" si="1712"/>
        <v>-W711560-S307</v>
      </c>
      <c r="O1405" s="89">
        <v>0</v>
      </c>
      <c r="P1405" s="89">
        <v>0</v>
      </c>
      <c r="Q1405" s="89">
        <v>0</v>
      </c>
      <c r="R1405" s="89">
        <v>0</v>
      </c>
      <c r="S1405" s="89">
        <v>0</v>
      </c>
      <c r="T1405" s="89">
        <v>0</v>
      </c>
      <c r="U1405" s="89">
        <v>6</v>
      </c>
      <c r="V1405" s="89">
        <v>6</v>
      </c>
      <c r="W1405" s="379">
        <f t="shared" si="1706"/>
        <v>0.60000000000000009</v>
      </c>
      <c r="Y1405" s="8">
        <v>-0.16</v>
      </c>
      <c r="Z1405" s="63"/>
      <c r="AA1405" s="63"/>
      <c r="AB1405" s="63"/>
      <c r="AC1405" s="63"/>
      <c r="AD1405" s="8">
        <f t="shared" ref="AD1405" si="1732">SUM(Y1405:AC1405)</f>
        <v>-0.16</v>
      </c>
      <c r="AE1405" s="2" t="s">
        <v>84</v>
      </c>
      <c r="AG1405" s="300"/>
      <c r="AH1405" s="300"/>
      <c r="AJ1405" s="300"/>
      <c r="AK1405" s="176"/>
      <c r="AM1405" s="22"/>
      <c r="AO1405" s="298"/>
      <c r="AP1405" s="297" t="s">
        <v>1260</v>
      </c>
      <c r="AQ1405" s="3" t="s">
        <v>2253</v>
      </c>
      <c r="AR1405" s="90" t="s">
        <v>1260</v>
      </c>
      <c r="AT1405" s="89"/>
      <c r="AU1405" s="89"/>
      <c r="AV1405" s="89"/>
      <c r="AW1405" s="89"/>
      <c r="AX1405" s="89"/>
      <c r="AY1405" s="89"/>
      <c r="AZ1405" s="89">
        <v>6</v>
      </c>
      <c r="BA1405" s="89">
        <v>6</v>
      </c>
      <c r="BB1405" s="89">
        <f t="shared" si="1705"/>
        <v>0.60000000000000009</v>
      </c>
      <c r="BD1405" s="60">
        <v>-0.16</v>
      </c>
      <c r="BE1405" s="63">
        <v>0</v>
      </c>
      <c r="BF1405" s="63">
        <v>0</v>
      </c>
      <c r="BG1405" s="63">
        <v>0</v>
      </c>
      <c r="BH1405" s="63">
        <v>0</v>
      </c>
      <c r="BI1405" s="8">
        <f t="shared" ref="BI1405" si="1733">SUM(BD1405:BH1405)</f>
        <v>-0.16</v>
      </c>
      <c r="BJ1405" s="2" t="s">
        <v>84</v>
      </c>
      <c r="BL1405" s="63"/>
      <c r="BM1405" s="63">
        <v>0</v>
      </c>
      <c r="BN1405" s="267"/>
      <c r="BO1405" s="63">
        <v>0</v>
      </c>
      <c r="BP1405" s="63">
        <v>0</v>
      </c>
      <c r="BQ1405" s="2">
        <v>0</v>
      </c>
      <c r="BS1405" s="61">
        <f t="shared" si="1713"/>
        <v>0</v>
      </c>
      <c r="BT1405" s="61">
        <f t="shared" si="1714"/>
        <v>0</v>
      </c>
      <c r="BU1405" s="61">
        <f t="shared" ref="BU1405:BX1433" si="1734">SUM(AA1405)-SUM(BF1405)</f>
        <v>0</v>
      </c>
      <c r="BV1405" s="61">
        <f t="shared" si="1734"/>
        <v>0</v>
      </c>
      <c r="BW1405" s="61">
        <f t="shared" si="1734"/>
        <v>0</v>
      </c>
      <c r="BX1405" s="63">
        <f t="shared" si="1734"/>
        <v>0</v>
      </c>
      <c r="BY1405" s="61" t="s">
        <v>91</v>
      </c>
      <c r="CA1405" s="61">
        <f t="shared" si="1710"/>
        <v>0</v>
      </c>
      <c r="CB1405" s="61">
        <f t="shared" si="1710"/>
        <v>0</v>
      </c>
      <c r="CC1405" s="61">
        <f t="shared" si="1710"/>
        <v>0</v>
      </c>
      <c r="CD1405" s="61">
        <f t="shared" si="1710"/>
        <v>0</v>
      </c>
      <c r="CE1405" s="61">
        <f t="shared" si="1710"/>
        <v>0</v>
      </c>
      <c r="CF1405" s="61">
        <f t="shared" si="1710"/>
        <v>0</v>
      </c>
      <c r="CG1405" s="61">
        <f t="shared" si="1710"/>
        <v>0</v>
      </c>
      <c r="CH1405" s="61">
        <f t="shared" si="1710"/>
        <v>0</v>
      </c>
      <c r="CI1405" s="61">
        <f t="shared" si="1715"/>
        <v>0</v>
      </c>
      <c r="CJ1405" s="267"/>
      <c r="CK1405" s="61">
        <f t="shared" si="1681"/>
        <v>0</v>
      </c>
      <c r="CL1405" s="61">
        <f t="shared" si="1681"/>
        <v>0</v>
      </c>
      <c r="CM1405" s="61">
        <f t="shared" si="1681"/>
        <v>0</v>
      </c>
      <c r="CN1405" s="61">
        <f t="shared" si="1681"/>
        <v>0</v>
      </c>
      <c r="CO1405" s="61">
        <f t="shared" si="1681"/>
        <v>0</v>
      </c>
      <c r="CP1405" s="61">
        <f t="shared" si="1681"/>
        <v>0</v>
      </c>
      <c r="CQ1405" s="61">
        <f t="shared" si="1681"/>
        <v>0</v>
      </c>
      <c r="CR1405" s="61">
        <f t="shared" si="1711"/>
        <v>0</v>
      </c>
      <c r="CS1405" s="61">
        <f t="shared" si="1716"/>
        <v>0</v>
      </c>
      <c r="CT1405" s="63">
        <f t="shared" si="1718"/>
        <v>0</v>
      </c>
      <c r="CU1405" s="73"/>
      <c r="CV1405" s="61">
        <f t="shared" si="1707"/>
        <v>0</v>
      </c>
      <c r="CW1405" s="61">
        <f t="shared" si="1708"/>
        <v>0</v>
      </c>
      <c r="CY1405" s="61">
        <f t="shared" si="1721"/>
        <v>0</v>
      </c>
      <c r="CZ1405" s="61">
        <f t="shared" si="1721"/>
        <v>0</v>
      </c>
      <c r="DA1405" s="61">
        <f t="shared" si="1721"/>
        <v>0</v>
      </c>
      <c r="DB1405" s="2" t="s">
        <v>86</v>
      </c>
      <c r="DC1405" s="2" t="s">
        <v>85</v>
      </c>
      <c r="DD1405" s="2" t="s">
        <v>87</v>
      </c>
      <c r="DE1405" s="2" t="s">
        <v>106</v>
      </c>
      <c r="DF1405" s="3" t="s">
        <v>86</v>
      </c>
      <c r="DG1405" s="62">
        <v>43138</v>
      </c>
      <c r="EC1405" s="60" t="str">
        <f>VLOOKUP($M1405,[1]Detail!$M:$BO,1,0)</f>
        <v>-W711560-S307</v>
      </c>
      <c r="ED1405" s="60">
        <f>VLOOKUP($M1405,[1]Detail!$M:$BO,22,0)</f>
        <v>-0.16</v>
      </c>
      <c r="EE1405" s="60">
        <f>VLOOKUP($M1405,[1]Detail!$M:$BO,42,0)</f>
        <v>0</v>
      </c>
      <c r="EF1405" s="60">
        <f>VLOOKUP($M1405,[1]Detail!$M:$BO,45,0)</f>
        <v>0</v>
      </c>
      <c r="EH1405" s="60">
        <f t="shared" si="1725"/>
        <v>0</v>
      </c>
      <c r="EI1405" s="60">
        <f t="shared" si="1726"/>
        <v>0</v>
      </c>
      <c r="EJ1405" s="60">
        <f t="shared" si="1727"/>
        <v>0</v>
      </c>
    </row>
    <row r="1406" spans="2:140" ht="12.75" hidden="1" customHeight="1">
      <c r="B1406" s="1" t="s">
        <v>2262</v>
      </c>
      <c r="C1406" s="22" t="s">
        <v>2263</v>
      </c>
      <c r="D1406" s="149" t="s">
        <v>2264</v>
      </c>
      <c r="E1406" s="86" t="s">
        <v>523</v>
      </c>
      <c r="F1406" s="85" t="s">
        <v>2080</v>
      </c>
      <c r="G1406" s="297" t="s">
        <v>994</v>
      </c>
      <c r="J1406" s="298" t="s">
        <v>2265</v>
      </c>
      <c r="K1406" s="299">
        <v>7002</v>
      </c>
      <c r="L1406" s="1" t="s">
        <v>2266</v>
      </c>
      <c r="M1406" s="51" t="str">
        <f t="shared" si="1712"/>
        <v>JX6R-7002-ALA</v>
      </c>
      <c r="O1406" s="89">
        <v>0</v>
      </c>
      <c r="P1406" s="89">
        <v>0</v>
      </c>
      <c r="Q1406" s="89">
        <v>0</v>
      </c>
      <c r="R1406" s="89">
        <v>0</v>
      </c>
      <c r="S1406" s="89">
        <v>1</v>
      </c>
      <c r="T1406" s="89">
        <v>0</v>
      </c>
      <c r="U1406" s="89">
        <v>0</v>
      </c>
      <c r="V1406" s="89">
        <v>0</v>
      </c>
      <c r="W1406" s="379">
        <f t="shared" si="1706"/>
        <v>0.09</v>
      </c>
      <c r="Y1406" s="8">
        <f>-2959.47-66.08</f>
        <v>-3025.5499999999997</v>
      </c>
      <c r="Z1406" s="63">
        <v>-84</v>
      </c>
      <c r="AA1406" s="63">
        <v>0</v>
      </c>
      <c r="AB1406" s="63">
        <v>0</v>
      </c>
      <c r="AC1406" s="63">
        <v>0</v>
      </c>
      <c r="AD1406" s="8">
        <f>SUM(Y1406:AC1406)</f>
        <v>-3109.5499999999997</v>
      </c>
      <c r="AE1406" s="2" t="s">
        <v>84</v>
      </c>
      <c r="AG1406" s="300"/>
      <c r="AH1406" s="300"/>
      <c r="AJ1406" s="300"/>
      <c r="AK1406" s="176"/>
      <c r="AM1406" s="22"/>
      <c r="AO1406" s="298" t="s">
        <v>2265</v>
      </c>
      <c r="AP1406" s="299">
        <v>7002</v>
      </c>
      <c r="AQ1406" s="3" t="s">
        <v>2266</v>
      </c>
      <c r="AR1406" s="51" t="str">
        <f t="shared" ref="AR1406:AR1411" si="1735">TRIM(AO1406)&amp;"-"&amp;TRIM(AP1406)&amp;"-"&amp;TRIM(AQ1406)</f>
        <v>JX6R-7002-ALA</v>
      </c>
      <c r="AS1406" s="3"/>
      <c r="AT1406" s="89">
        <v>0</v>
      </c>
      <c r="AU1406" s="89">
        <v>0</v>
      </c>
      <c r="AV1406" s="89">
        <v>0</v>
      </c>
      <c r="AW1406" s="89">
        <v>0</v>
      </c>
      <c r="AX1406" s="89">
        <v>1</v>
      </c>
      <c r="AY1406" s="89">
        <v>0</v>
      </c>
      <c r="AZ1406" s="89">
        <v>0</v>
      </c>
      <c r="BA1406" s="89">
        <v>0</v>
      </c>
      <c r="BB1406" s="379">
        <f t="shared" si="1705"/>
        <v>0.09</v>
      </c>
      <c r="BD1406" s="8">
        <f>-2959.47</f>
        <v>-2959.47</v>
      </c>
      <c r="BE1406" s="63">
        <v>-84</v>
      </c>
      <c r="BF1406" s="63">
        <v>0</v>
      </c>
      <c r="BG1406" s="63">
        <v>0</v>
      </c>
      <c r="BH1406" s="63">
        <v>0</v>
      </c>
      <c r="BI1406" s="8">
        <f>SUM(BD1406:BH1406)</f>
        <v>-3043.47</v>
      </c>
      <c r="BJ1406" s="2" t="s">
        <v>84</v>
      </c>
      <c r="BL1406" s="63"/>
      <c r="BM1406" s="63">
        <v>0</v>
      </c>
      <c r="BN1406" s="267"/>
      <c r="BO1406" s="63">
        <v>0</v>
      </c>
      <c r="BP1406" s="63">
        <v>0</v>
      </c>
      <c r="BQ1406" s="2">
        <v>0</v>
      </c>
      <c r="BS1406" s="61">
        <f t="shared" si="1713"/>
        <v>-66.079999999999927</v>
      </c>
      <c r="BT1406" s="61">
        <f t="shared" si="1714"/>
        <v>0</v>
      </c>
      <c r="BU1406" s="61">
        <f t="shared" si="1734"/>
        <v>0</v>
      </c>
      <c r="BV1406" s="61">
        <f t="shared" si="1734"/>
        <v>0</v>
      </c>
      <c r="BW1406" s="61">
        <f t="shared" si="1734"/>
        <v>0</v>
      </c>
      <c r="BX1406" s="63">
        <f t="shared" si="1734"/>
        <v>-66.079999999999927</v>
      </c>
      <c r="BY1406" s="61" t="s">
        <v>91</v>
      </c>
      <c r="CA1406" s="61">
        <f t="shared" si="1710"/>
        <v>0</v>
      </c>
      <c r="CB1406" s="61">
        <f t="shared" si="1710"/>
        <v>0</v>
      </c>
      <c r="CC1406" s="61">
        <f t="shared" si="1710"/>
        <v>0</v>
      </c>
      <c r="CD1406" s="61">
        <f t="shared" si="1710"/>
        <v>0</v>
      </c>
      <c r="CE1406" s="61">
        <f t="shared" si="1710"/>
        <v>-9.941326914397461</v>
      </c>
      <c r="CF1406" s="61">
        <f t="shared" si="1710"/>
        <v>0</v>
      </c>
      <c r="CG1406" s="61">
        <f t="shared" si="1710"/>
        <v>0</v>
      </c>
      <c r="CH1406" s="61">
        <f t="shared" si="1710"/>
        <v>0</v>
      </c>
      <c r="CI1406" s="61">
        <f t="shared" si="1715"/>
        <v>-0.8947194222957715</v>
      </c>
      <c r="CJ1406" s="267"/>
      <c r="CK1406" s="61">
        <f t="shared" si="1681"/>
        <v>0</v>
      </c>
      <c r="CL1406" s="61">
        <f t="shared" si="1681"/>
        <v>0</v>
      </c>
      <c r="CM1406" s="61">
        <f t="shared" si="1681"/>
        <v>0</v>
      </c>
      <c r="CN1406" s="61">
        <f t="shared" si="1681"/>
        <v>0</v>
      </c>
      <c r="CO1406" s="61">
        <f t="shared" si="1681"/>
        <v>-9.941326914397461</v>
      </c>
      <c r="CP1406" s="61">
        <f t="shared" si="1681"/>
        <v>0</v>
      </c>
      <c r="CQ1406" s="61">
        <f t="shared" si="1681"/>
        <v>0</v>
      </c>
      <c r="CR1406" s="61">
        <f t="shared" si="1711"/>
        <v>0</v>
      </c>
      <c r="CS1406" s="61">
        <f t="shared" si="1716"/>
        <v>-0.8947194222957715</v>
      </c>
      <c r="CT1406" s="63">
        <f t="shared" si="1718"/>
        <v>-5.9471999999999934</v>
      </c>
      <c r="CU1406" s="73"/>
      <c r="CV1406" s="61">
        <f t="shared" si="1707"/>
        <v>0</v>
      </c>
      <c r="CW1406" s="61">
        <f t="shared" si="1708"/>
        <v>0</v>
      </c>
      <c r="CY1406" s="61">
        <f t="shared" si="1721"/>
        <v>0</v>
      </c>
      <c r="CZ1406" s="61">
        <f t="shared" si="1721"/>
        <v>0</v>
      </c>
      <c r="DA1406" s="61">
        <f t="shared" si="1721"/>
        <v>0</v>
      </c>
      <c r="DB1406" s="2" t="s">
        <v>134</v>
      </c>
      <c r="DC1406" s="2" t="s">
        <v>86</v>
      </c>
      <c r="DD1406" s="2" t="s">
        <v>87</v>
      </c>
      <c r="DE1406" s="2" t="s">
        <v>106</v>
      </c>
      <c r="DG1406" s="62"/>
      <c r="EC1406" s="60"/>
      <c r="ED1406" s="60"/>
      <c r="EE1406" s="60"/>
      <c r="EF1406" s="60"/>
      <c r="EH1406" s="60"/>
      <c r="EI1406" s="60"/>
      <c r="EJ1406" s="60"/>
    </row>
    <row r="1407" spans="2:140" ht="12.75" hidden="1" customHeight="1">
      <c r="B1407" s="1" t="s">
        <v>2262</v>
      </c>
      <c r="C1407" s="22" t="s">
        <v>2263</v>
      </c>
      <c r="D1407" s="149" t="s">
        <v>2264</v>
      </c>
      <c r="E1407" s="86" t="s">
        <v>523</v>
      </c>
      <c r="F1407" s="85" t="s">
        <v>2080</v>
      </c>
      <c r="G1407" s="297" t="s">
        <v>994</v>
      </c>
      <c r="J1407" s="298" t="s">
        <v>2265</v>
      </c>
      <c r="K1407" s="299">
        <v>7002</v>
      </c>
      <c r="L1407" s="1" t="s">
        <v>2267</v>
      </c>
      <c r="M1407" s="51" t="str">
        <f t="shared" si="1712"/>
        <v>JX6R-7002-CLA</v>
      </c>
      <c r="O1407" s="89">
        <v>1</v>
      </c>
      <c r="P1407" s="89">
        <v>0</v>
      </c>
      <c r="Q1407" s="89">
        <v>1</v>
      </c>
      <c r="R1407" s="89">
        <v>0</v>
      </c>
      <c r="S1407" s="89">
        <v>0</v>
      </c>
      <c r="T1407" s="89">
        <v>0</v>
      </c>
      <c r="U1407" s="89">
        <v>0</v>
      </c>
      <c r="V1407" s="89">
        <v>0</v>
      </c>
      <c r="W1407" s="379">
        <f t="shared" si="1706"/>
        <v>0.28000000000000003</v>
      </c>
      <c r="Y1407" s="8">
        <f>-2959.47-66.08</f>
        <v>-3025.5499999999997</v>
      </c>
      <c r="Z1407" s="63">
        <v>-84</v>
      </c>
      <c r="AA1407" s="63">
        <v>0</v>
      </c>
      <c r="AB1407" s="63">
        <v>0</v>
      </c>
      <c r="AC1407" s="63">
        <v>0</v>
      </c>
      <c r="AD1407" s="8">
        <f>SUM(Y1407:AC1407)</f>
        <v>-3109.5499999999997</v>
      </c>
      <c r="AE1407" s="2" t="s">
        <v>84</v>
      </c>
      <c r="AG1407" s="300"/>
      <c r="AH1407" s="300"/>
      <c r="AJ1407" s="300"/>
      <c r="AK1407" s="176"/>
      <c r="AM1407" s="22" t="s">
        <v>2268</v>
      </c>
      <c r="AO1407" s="298" t="s">
        <v>2265</v>
      </c>
      <c r="AP1407" s="299">
        <v>7002</v>
      </c>
      <c r="AQ1407" s="3" t="s">
        <v>2267</v>
      </c>
      <c r="AR1407" s="51" t="str">
        <f t="shared" si="1735"/>
        <v>JX6R-7002-CLA</v>
      </c>
      <c r="AS1407" s="3"/>
      <c r="AT1407" s="89">
        <v>1</v>
      </c>
      <c r="AU1407" s="89">
        <v>0</v>
      </c>
      <c r="AV1407" s="89">
        <v>1</v>
      </c>
      <c r="AW1407" s="89">
        <v>0</v>
      </c>
      <c r="AX1407" s="89">
        <v>0</v>
      </c>
      <c r="AY1407" s="89">
        <v>0</v>
      </c>
      <c r="AZ1407" s="89">
        <v>0</v>
      </c>
      <c r="BA1407" s="89">
        <v>0</v>
      </c>
      <c r="BB1407" s="379">
        <f t="shared" si="1705"/>
        <v>0.28000000000000003</v>
      </c>
      <c r="BD1407" s="8">
        <f>-2959.47</f>
        <v>-2959.47</v>
      </c>
      <c r="BE1407" s="63">
        <v>-84</v>
      </c>
      <c r="BF1407" s="63">
        <v>0</v>
      </c>
      <c r="BG1407" s="63">
        <v>0</v>
      </c>
      <c r="BH1407" s="63">
        <v>0</v>
      </c>
      <c r="BI1407" s="8">
        <f>SUM(BD1407:BH1407)</f>
        <v>-3043.47</v>
      </c>
      <c r="BJ1407" s="2" t="s">
        <v>84</v>
      </c>
      <c r="BL1407" s="63"/>
      <c r="BM1407" s="63">
        <v>0</v>
      </c>
      <c r="BN1407" s="267"/>
      <c r="BO1407" s="63">
        <v>0</v>
      </c>
      <c r="BP1407" s="63">
        <v>0</v>
      </c>
      <c r="BQ1407" s="2">
        <v>0</v>
      </c>
      <c r="BS1407" s="61">
        <f t="shared" si="1713"/>
        <v>-66.079999999999927</v>
      </c>
      <c r="BT1407" s="61">
        <f t="shared" si="1714"/>
        <v>0</v>
      </c>
      <c r="BU1407" s="61">
        <f t="shared" si="1734"/>
        <v>0</v>
      </c>
      <c r="BV1407" s="61">
        <f t="shared" si="1734"/>
        <v>0</v>
      </c>
      <c r="BW1407" s="61">
        <f t="shared" si="1734"/>
        <v>0</v>
      </c>
      <c r="BX1407" s="63">
        <f t="shared" si="1734"/>
        <v>-66.079999999999927</v>
      </c>
      <c r="BY1407" s="61" t="s">
        <v>91</v>
      </c>
      <c r="CA1407" s="61">
        <f t="shared" si="1710"/>
        <v>-9.941326914397461</v>
      </c>
      <c r="CB1407" s="61">
        <f t="shared" si="1710"/>
        <v>0</v>
      </c>
      <c r="CC1407" s="61">
        <f t="shared" si="1710"/>
        <v>-9.941326914397461</v>
      </c>
      <c r="CD1407" s="61">
        <f t="shared" si="1710"/>
        <v>0</v>
      </c>
      <c r="CE1407" s="61">
        <f t="shared" si="1710"/>
        <v>0</v>
      </c>
      <c r="CF1407" s="61">
        <f t="shared" si="1710"/>
        <v>0</v>
      </c>
      <c r="CG1407" s="61">
        <f t="shared" si="1710"/>
        <v>0</v>
      </c>
      <c r="CH1407" s="61">
        <f t="shared" si="1710"/>
        <v>0</v>
      </c>
      <c r="CI1407" s="61">
        <f t="shared" si="1715"/>
        <v>-2.7835715360312894</v>
      </c>
      <c r="CJ1407" s="267"/>
      <c r="CK1407" s="61">
        <f t="shared" si="1681"/>
        <v>-9.941326914397461</v>
      </c>
      <c r="CL1407" s="61">
        <f t="shared" si="1681"/>
        <v>0</v>
      </c>
      <c r="CM1407" s="61">
        <f t="shared" si="1681"/>
        <v>-9.941326914397461</v>
      </c>
      <c r="CN1407" s="61">
        <f t="shared" ref="CN1407:CQ1425" si="1736">(R1407*$AD1407-AW1407*$BI1407)/$C$2</f>
        <v>0</v>
      </c>
      <c r="CO1407" s="61">
        <f t="shared" si="1736"/>
        <v>0</v>
      </c>
      <c r="CP1407" s="61">
        <f t="shared" si="1736"/>
        <v>0</v>
      </c>
      <c r="CQ1407" s="61">
        <f t="shared" si="1736"/>
        <v>0</v>
      </c>
      <c r="CR1407" s="61">
        <f t="shared" si="1711"/>
        <v>0</v>
      </c>
      <c r="CS1407" s="61">
        <f t="shared" si="1716"/>
        <v>-2.7835715360312894</v>
      </c>
      <c r="CT1407" s="63">
        <f t="shared" si="1718"/>
        <v>-18.50239999999998</v>
      </c>
      <c r="CU1407" s="73"/>
      <c r="CV1407" s="61">
        <f t="shared" si="1707"/>
        <v>0</v>
      </c>
      <c r="CW1407" s="61">
        <f t="shared" si="1708"/>
        <v>0</v>
      </c>
      <c r="CY1407" s="61">
        <f t="shared" si="1721"/>
        <v>0</v>
      </c>
      <c r="CZ1407" s="61">
        <f t="shared" si="1721"/>
        <v>0</v>
      </c>
      <c r="DA1407" s="61">
        <f t="shared" si="1721"/>
        <v>0</v>
      </c>
      <c r="DB1407" s="2" t="s">
        <v>134</v>
      </c>
      <c r="DC1407" s="2" t="s">
        <v>86</v>
      </c>
      <c r="DD1407" s="2" t="s">
        <v>87</v>
      </c>
      <c r="DE1407" s="2" t="s">
        <v>106</v>
      </c>
      <c r="DG1407" s="62"/>
      <c r="EC1407" s="60"/>
      <c r="ED1407" s="60"/>
      <c r="EE1407" s="60"/>
      <c r="EF1407" s="60"/>
      <c r="EH1407" s="60"/>
      <c r="EI1407" s="60"/>
      <c r="EJ1407" s="60"/>
    </row>
    <row r="1408" spans="2:140" ht="12.75" hidden="1" customHeight="1">
      <c r="B1408" s="1" t="s">
        <v>2269</v>
      </c>
      <c r="C1408" s="22" t="s">
        <v>2263</v>
      </c>
      <c r="D1408" s="149" t="s">
        <v>2264</v>
      </c>
      <c r="E1408" s="86" t="s">
        <v>523</v>
      </c>
      <c r="F1408" s="85" t="s">
        <v>2080</v>
      </c>
      <c r="G1408" s="297" t="s">
        <v>994</v>
      </c>
      <c r="J1408" s="298" t="s">
        <v>2265</v>
      </c>
      <c r="K1408" s="299">
        <v>7002</v>
      </c>
      <c r="L1408" s="1" t="s">
        <v>2270</v>
      </c>
      <c r="M1408" s="51" t="str">
        <f t="shared" si="1712"/>
        <v>JX6R-7002-ALB</v>
      </c>
      <c r="O1408" s="89">
        <v>0</v>
      </c>
      <c r="P1408" s="89">
        <v>0</v>
      </c>
      <c r="Q1408" s="89">
        <v>0</v>
      </c>
      <c r="R1408" s="89">
        <v>0</v>
      </c>
      <c r="S1408" s="89">
        <v>1</v>
      </c>
      <c r="T1408" s="89">
        <v>0</v>
      </c>
      <c r="U1408" s="89">
        <v>0</v>
      </c>
      <c r="V1408" s="89">
        <v>0</v>
      </c>
      <c r="W1408" s="379">
        <f t="shared" si="1706"/>
        <v>0.09</v>
      </c>
      <c r="Y1408" s="8">
        <f>-2959.47-66.08-15.74</f>
        <v>-3041.2899999999995</v>
      </c>
      <c r="Z1408" s="63">
        <v>-84</v>
      </c>
      <c r="AA1408" s="63">
        <v>0</v>
      </c>
      <c r="AB1408" s="63">
        <v>0</v>
      </c>
      <c r="AC1408" s="63">
        <v>0</v>
      </c>
      <c r="AD1408" s="8">
        <f>SUM(Y1408:AC1408)</f>
        <v>-3125.2899999999995</v>
      </c>
      <c r="AE1408" s="2" t="s">
        <v>84</v>
      </c>
      <c r="AG1408" s="300"/>
      <c r="AH1408" s="300"/>
      <c r="AJ1408" s="300"/>
      <c r="AK1408" s="176"/>
      <c r="AM1408" s="22"/>
      <c r="AO1408" s="298" t="s">
        <v>2265</v>
      </c>
      <c r="AP1408" s="299">
        <v>7002</v>
      </c>
      <c r="AQ1408" s="3" t="s">
        <v>2266</v>
      </c>
      <c r="AR1408" s="51" t="str">
        <f t="shared" si="1735"/>
        <v>JX6R-7002-ALA</v>
      </c>
      <c r="AS1408" s="3"/>
      <c r="AT1408" s="89">
        <v>0</v>
      </c>
      <c r="AU1408" s="89">
        <v>0</v>
      </c>
      <c r="AV1408" s="89">
        <v>0</v>
      </c>
      <c r="AW1408" s="89">
        <v>0</v>
      </c>
      <c r="AX1408" s="89">
        <v>1</v>
      </c>
      <c r="AY1408" s="89">
        <v>0</v>
      </c>
      <c r="AZ1408" s="89">
        <v>0</v>
      </c>
      <c r="BA1408" s="89">
        <v>0</v>
      </c>
      <c r="BB1408" s="379">
        <f t="shared" si="1705"/>
        <v>0.09</v>
      </c>
      <c r="BD1408" s="8">
        <f>-2959.47-66.08</f>
        <v>-3025.5499999999997</v>
      </c>
      <c r="BE1408" s="63">
        <v>-84</v>
      </c>
      <c r="BF1408" s="63">
        <v>0</v>
      </c>
      <c r="BG1408" s="63">
        <v>0</v>
      </c>
      <c r="BH1408" s="63">
        <v>0</v>
      </c>
      <c r="BI1408" s="8">
        <f>SUM(BD1408:BH1408)</f>
        <v>-3109.5499999999997</v>
      </c>
      <c r="BJ1408" s="2" t="s">
        <v>84</v>
      </c>
      <c r="BL1408" s="63"/>
      <c r="BM1408" s="63">
        <v>0</v>
      </c>
      <c r="BN1408" s="267"/>
      <c r="BO1408" s="63">
        <v>0</v>
      </c>
      <c r="BP1408" s="63">
        <v>0</v>
      </c>
      <c r="BQ1408" s="2">
        <v>0</v>
      </c>
      <c r="BS1408" s="61">
        <f t="shared" si="1713"/>
        <v>-15.739999999999782</v>
      </c>
      <c r="BT1408" s="61">
        <f t="shared" si="1714"/>
        <v>0</v>
      </c>
      <c r="BU1408" s="61">
        <f t="shared" si="1734"/>
        <v>0</v>
      </c>
      <c r="BV1408" s="61">
        <f t="shared" si="1734"/>
        <v>0</v>
      </c>
      <c r="BW1408" s="61">
        <f t="shared" si="1734"/>
        <v>0</v>
      </c>
      <c r="BX1408" s="63">
        <f t="shared" si="1734"/>
        <v>-15.739999999999782</v>
      </c>
      <c r="BY1408" s="61" t="s">
        <v>91</v>
      </c>
      <c r="CA1408" s="61">
        <f t="shared" si="1710"/>
        <v>0</v>
      </c>
      <c r="CB1408" s="61">
        <f t="shared" si="1710"/>
        <v>0</v>
      </c>
      <c r="CC1408" s="61">
        <f t="shared" si="1710"/>
        <v>0</v>
      </c>
      <c r="CD1408" s="61">
        <f t="shared" si="1710"/>
        <v>0</v>
      </c>
      <c r="CE1408" s="61">
        <f t="shared" si="1710"/>
        <v>-2.3679855573942805</v>
      </c>
      <c r="CF1408" s="61">
        <f t="shared" si="1710"/>
        <v>0</v>
      </c>
      <c r="CG1408" s="61">
        <f t="shared" si="1710"/>
        <v>0</v>
      </c>
      <c r="CH1408" s="61">
        <f t="shared" si="1710"/>
        <v>0</v>
      </c>
      <c r="CI1408" s="61">
        <f t="shared" si="1715"/>
        <v>-0.21311870016548523</v>
      </c>
      <c r="CJ1408" s="267"/>
      <c r="CK1408" s="61">
        <f t="shared" ref="CK1408:CM1426" si="1737">(O1408*$AD1408-AT1408*$BI1408)/$C$2</f>
        <v>0</v>
      </c>
      <c r="CL1408" s="61">
        <f t="shared" si="1737"/>
        <v>0</v>
      </c>
      <c r="CM1408" s="61">
        <f t="shared" si="1737"/>
        <v>0</v>
      </c>
      <c r="CN1408" s="61">
        <f t="shared" si="1736"/>
        <v>0</v>
      </c>
      <c r="CO1408" s="61">
        <f t="shared" si="1736"/>
        <v>-2.3679855573942805</v>
      </c>
      <c r="CP1408" s="61">
        <f t="shared" si="1736"/>
        <v>0</v>
      </c>
      <c r="CQ1408" s="61">
        <f t="shared" si="1736"/>
        <v>0</v>
      </c>
      <c r="CR1408" s="61">
        <f t="shared" si="1711"/>
        <v>0</v>
      </c>
      <c r="CS1408" s="61">
        <f t="shared" si="1716"/>
        <v>-0.21311870016548523</v>
      </c>
      <c r="CT1408" s="63">
        <f t="shared" si="1718"/>
        <v>-1.4165999999999803</v>
      </c>
      <c r="CU1408" s="73"/>
      <c r="CV1408" s="61">
        <f t="shared" ref="CV1408:CV1409" si="1738">SUM(AG1408)-SUM(BL1408)</f>
        <v>0</v>
      </c>
      <c r="CW1408" s="61">
        <f t="shared" ref="CW1408:CW1409" si="1739">SUM(AH1408)-SUM(BM1408)</f>
        <v>0</v>
      </c>
      <c r="CY1408" s="61">
        <f t="shared" si="1721"/>
        <v>0</v>
      </c>
      <c r="CZ1408" s="61">
        <f t="shared" si="1721"/>
        <v>0</v>
      </c>
      <c r="DA1408" s="61">
        <f t="shared" si="1721"/>
        <v>0</v>
      </c>
      <c r="DB1408" s="2" t="s">
        <v>86</v>
      </c>
      <c r="DC1408" s="2" t="s">
        <v>85</v>
      </c>
      <c r="DD1408" s="2" t="s">
        <v>87</v>
      </c>
      <c r="DE1408" s="2" t="s">
        <v>106</v>
      </c>
      <c r="DF1408" s="3" t="s">
        <v>86</v>
      </c>
      <c r="DG1408" s="62">
        <v>43141</v>
      </c>
      <c r="EC1408" s="60" t="str">
        <f>VLOOKUP($M1408,[1]Detail!$M:$BO,1,0)</f>
        <v>JX6R-7002-ALB</v>
      </c>
      <c r="ED1408" s="60">
        <f>VLOOKUP($M1408,[1]Detail!$M:$BO,22,0)</f>
        <v>-3125.2899999999995</v>
      </c>
      <c r="EE1408" s="60">
        <f>VLOOKUP($M1408,[1]Detail!$M:$BO,42,0)</f>
        <v>0</v>
      </c>
      <c r="EF1408" s="60">
        <f>VLOOKUP($M1408,[1]Detail!$M:$BO,45,0)</f>
        <v>0</v>
      </c>
      <c r="EH1408" s="60">
        <f>ED1408-AD1408</f>
        <v>0</v>
      </c>
      <c r="EI1408" s="60">
        <f>EE1408-AG1408</f>
        <v>0</v>
      </c>
      <c r="EJ1408" s="60">
        <f>EF1408-AJ1408</f>
        <v>0</v>
      </c>
    </row>
    <row r="1409" spans="2:140" ht="12.75" hidden="1" customHeight="1">
      <c r="B1409" s="1" t="s">
        <v>2269</v>
      </c>
      <c r="C1409" s="22" t="s">
        <v>2263</v>
      </c>
      <c r="D1409" s="149" t="s">
        <v>2264</v>
      </c>
      <c r="E1409" s="86" t="s">
        <v>523</v>
      </c>
      <c r="F1409" s="85" t="s">
        <v>2080</v>
      </c>
      <c r="G1409" s="297" t="s">
        <v>994</v>
      </c>
      <c r="J1409" s="298" t="s">
        <v>2265</v>
      </c>
      <c r="K1409" s="299">
        <v>7002</v>
      </c>
      <c r="L1409" s="1" t="s">
        <v>2271</v>
      </c>
      <c r="M1409" s="51" t="str">
        <f t="shared" si="1712"/>
        <v>JX6R-7002-CLB</v>
      </c>
      <c r="O1409" s="89">
        <v>1</v>
      </c>
      <c r="P1409" s="89">
        <v>0</v>
      </c>
      <c r="Q1409" s="89">
        <v>1</v>
      </c>
      <c r="R1409" s="89">
        <v>0</v>
      </c>
      <c r="S1409" s="89">
        <v>0</v>
      </c>
      <c r="T1409" s="89">
        <v>0</v>
      </c>
      <c r="U1409" s="89">
        <v>0</v>
      </c>
      <c r="V1409" s="89">
        <v>0</v>
      </c>
      <c r="W1409" s="379">
        <f t="shared" si="1706"/>
        <v>0.28000000000000003</v>
      </c>
      <c r="Y1409" s="8">
        <f>-2959.47-66.08-15.74</f>
        <v>-3041.2899999999995</v>
      </c>
      <c r="Z1409" s="63">
        <v>-84</v>
      </c>
      <c r="AA1409" s="63">
        <v>0</v>
      </c>
      <c r="AB1409" s="63">
        <v>0</v>
      </c>
      <c r="AC1409" s="63">
        <v>0</v>
      </c>
      <c r="AD1409" s="8">
        <f>SUM(Y1409:AC1409)</f>
        <v>-3125.2899999999995</v>
      </c>
      <c r="AE1409" s="2" t="s">
        <v>84</v>
      </c>
      <c r="AG1409" s="300"/>
      <c r="AH1409" s="300"/>
      <c r="AJ1409" s="300"/>
      <c r="AK1409" s="176"/>
      <c r="AM1409" s="22" t="s">
        <v>2268</v>
      </c>
      <c r="AO1409" s="298" t="s">
        <v>2265</v>
      </c>
      <c r="AP1409" s="299">
        <v>7002</v>
      </c>
      <c r="AQ1409" s="3" t="s">
        <v>2267</v>
      </c>
      <c r="AR1409" s="51" t="str">
        <f t="shared" si="1735"/>
        <v>JX6R-7002-CLA</v>
      </c>
      <c r="AS1409" s="3"/>
      <c r="AT1409" s="89">
        <v>1</v>
      </c>
      <c r="AU1409" s="89">
        <v>0</v>
      </c>
      <c r="AV1409" s="89">
        <v>1</v>
      </c>
      <c r="AW1409" s="89">
        <v>0</v>
      </c>
      <c r="AX1409" s="89">
        <v>0</v>
      </c>
      <c r="AY1409" s="89">
        <v>0</v>
      </c>
      <c r="AZ1409" s="89">
        <v>0</v>
      </c>
      <c r="BA1409" s="89">
        <v>0</v>
      </c>
      <c r="BB1409" s="379">
        <f t="shared" si="1705"/>
        <v>0.28000000000000003</v>
      </c>
      <c r="BD1409" s="8">
        <f>-2959.47-66.08</f>
        <v>-3025.5499999999997</v>
      </c>
      <c r="BE1409" s="63">
        <v>-84</v>
      </c>
      <c r="BF1409" s="63">
        <v>0</v>
      </c>
      <c r="BG1409" s="63">
        <v>0</v>
      </c>
      <c r="BH1409" s="63">
        <v>0</v>
      </c>
      <c r="BI1409" s="8">
        <f>SUM(BD1409:BH1409)</f>
        <v>-3109.5499999999997</v>
      </c>
      <c r="BJ1409" s="2" t="s">
        <v>84</v>
      </c>
      <c r="BL1409" s="63"/>
      <c r="BM1409" s="63">
        <v>0</v>
      </c>
      <c r="BN1409" s="267"/>
      <c r="BO1409" s="63">
        <v>0</v>
      </c>
      <c r="BP1409" s="63">
        <v>0</v>
      </c>
      <c r="BQ1409" s="2">
        <v>0</v>
      </c>
      <c r="BS1409" s="61">
        <f t="shared" si="1713"/>
        <v>-15.739999999999782</v>
      </c>
      <c r="BT1409" s="61">
        <f t="shared" si="1714"/>
        <v>0</v>
      </c>
      <c r="BU1409" s="61">
        <f t="shared" si="1734"/>
        <v>0</v>
      </c>
      <c r="BV1409" s="61">
        <f t="shared" si="1734"/>
        <v>0</v>
      </c>
      <c r="BW1409" s="61">
        <f t="shared" si="1734"/>
        <v>0</v>
      </c>
      <c r="BX1409" s="63">
        <f t="shared" si="1734"/>
        <v>-15.739999999999782</v>
      </c>
      <c r="BY1409" s="61" t="s">
        <v>91</v>
      </c>
      <c r="CA1409" s="61">
        <f t="shared" si="1710"/>
        <v>-2.3679855573942805</v>
      </c>
      <c r="CB1409" s="61">
        <f t="shared" si="1710"/>
        <v>0</v>
      </c>
      <c r="CC1409" s="61">
        <f t="shared" si="1710"/>
        <v>-2.3679855573942805</v>
      </c>
      <c r="CD1409" s="61">
        <f t="shared" si="1710"/>
        <v>0</v>
      </c>
      <c r="CE1409" s="61">
        <f t="shared" si="1710"/>
        <v>0</v>
      </c>
      <c r="CF1409" s="61">
        <f t="shared" si="1710"/>
        <v>0</v>
      </c>
      <c r="CG1409" s="61">
        <f t="shared" si="1710"/>
        <v>0</v>
      </c>
      <c r="CH1409" s="61">
        <f t="shared" si="1710"/>
        <v>0</v>
      </c>
      <c r="CI1409" s="61">
        <f t="shared" si="1715"/>
        <v>-0.66303595607039856</v>
      </c>
      <c r="CJ1409" s="267"/>
      <c r="CK1409" s="61">
        <f t="shared" si="1737"/>
        <v>-2.3679855573942805</v>
      </c>
      <c r="CL1409" s="61">
        <f t="shared" si="1737"/>
        <v>0</v>
      </c>
      <c r="CM1409" s="61">
        <f t="shared" si="1737"/>
        <v>-2.3679855573942805</v>
      </c>
      <c r="CN1409" s="61">
        <f t="shared" si="1736"/>
        <v>0</v>
      </c>
      <c r="CO1409" s="61">
        <f t="shared" si="1736"/>
        <v>0</v>
      </c>
      <c r="CP1409" s="61">
        <f t="shared" si="1736"/>
        <v>0</v>
      </c>
      <c r="CQ1409" s="61">
        <f t="shared" si="1736"/>
        <v>0</v>
      </c>
      <c r="CR1409" s="61">
        <f t="shared" si="1711"/>
        <v>0</v>
      </c>
      <c r="CS1409" s="61">
        <f t="shared" si="1716"/>
        <v>-0.66303595607039856</v>
      </c>
      <c r="CT1409" s="63">
        <f t="shared" si="1718"/>
        <v>-4.4071999999999392</v>
      </c>
      <c r="CU1409" s="73"/>
      <c r="CV1409" s="61">
        <f t="shared" si="1738"/>
        <v>0</v>
      </c>
      <c r="CW1409" s="61">
        <f t="shared" si="1739"/>
        <v>0</v>
      </c>
      <c r="CY1409" s="61">
        <f t="shared" si="1721"/>
        <v>0</v>
      </c>
      <c r="CZ1409" s="61">
        <f t="shared" si="1721"/>
        <v>0</v>
      </c>
      <c r="DA1409" s="61">
        <f t="shared" si="1721"/>
        <v>0</v>
      </c>
      <c r="DB1409" s="2" t="s">
        <v>86</v>
      </c>
      <c r="DC1409" s="2" t="s">
        <v>85</v>
      </c>
      <c r="DD1409" s="2" t="s">
        <v>87</v>
      </c>
      <c r="DE1409" s="2" t="s">
        <v>106</v>
      </c>
      <c r="DF1409" s="3" t="s">
        <v>86</v>
      </c>
      <c r="DG1409" s="62">
        <v>43141</v>
      </c>
      <c r="EC1409" s="60" t="str">
        <f>VLOOKUP($M1409,[1]Detail!$M:$BO,1,0)</f>
        <v>JX6R-7002-CLB</v>
      </c>
      <c r="ED1409" s="60">
        <f>VLOOKUP($M1409,[1]Detail!$M:$BO,22,0)</f>
        <v>-3125.2899999999995</v>
      </c>
      <c r="EE1409" s="60">
        <f>VLOOKUP($M1409,[1]Detail!$M:$BO,42,0)</f>
        <v>0</v>
      </c>
      <c r="EF1409" s="60">
        <f>VLOOKUP($M1409,[1]Detail!$M:$BO,45,0)</f>
        <v>0</v>
      </c>
      <c r="EH1409" s="60">
        <f>ED1409-AD1409</f>
        <v>0</v>
      </c>
      <c r="EI1409" s="60">
        <f>EE1409-AG1409</f>
        <v>0</v>
      </c>
      <c r="EJ1409" s="60">
        <f>EF1409-AJ1409</f>
        <v>0</v>
      </c>
    </row>
    <row r="1410" spans="2:140" ht="12.75" hidden="1" customHeight="1">
      <c r="B1410" s="1" t="s">
        <v>191</v>
      </c>
      <c r="C1410" s="22" t="s">
        <v>2272</v>
      </c>
      <c r="D1410" s="149" t="s">
        <v>2273</v>
      </c>
      <c r="E1410" s="86" t="s">
        <v>1024</v>
      </c>
      <c r="F1410" s="85" t="s">
        <v>2072</v>
      </c>
      <c r="G1410" s="297"/>
      <c r="J1410" s="298" t="s">
        <v>128</v>
      </c>
      <c r="K1410" s="299" t="s">
        <v>2274</v>
      </c>
      <c r="L1410" s="3" t="s">
        <v>132</v>
      </c>
      <c r="M1410" s="51" t="str">
        <f t="shared" si="1712"/>
        <v>ED8B-F104C20-AB</v>
      </c>
      <c r="O1410" s="89">
        <v>0</v>
      </c>
      <c r="P1410" s="89">
        <v>0</v>
      </c>
      <c r="Q1410" s="89">
        <v>0</v>
      </c>
      <c r="R1410" s="89">
        <v>0</v>
      </c>
      <c r="S1410" s="89">
        <v>0</v>
      </c>
      <c r="T1410" s="89">
        <v>0</v>
      </c>
      <c r="U1410" s="89">
        <v>0</v>
      </c>
      <c r="V1410" s="89">
        <v>0</v>
      </c>
      <c r="W1410" s="164">
        <f t="shared" si="1706"/>
        <v>0</v>
      </c>
      <c r="Y1410" s="8">
        <v>0</v>
      </c>
      <c r="Z1410" s="63">
        <v>0</v>
      </c>
      <c r="AA1410" s="63">
        <v>0</v>
      </c>
      <c r="AB1410" s="63">
        <v>0</v>
      </c>
      <c r="AC1410" s="63">
        <v>0</v>
      </c>
      <c r="AD1410" s="8">
        <f t="shared" ref="AD1410:AD1411" si="1740">SUM(Y1410:AC1410)</f>
        <v>0</v>
      </c>
      <c r="AE1410" s="2" t="s">
        <v>84</v>
      </c>
      <c r="AG1410" s="300"/>
      <c r="AH1410" s="300"/>
      <c r="AJ1410" s="300"/>
      <c r="AK1410" s="176"/>
      <c r="AM1410" s="22" t="s">
        <v>1567</v>
      </c>
      <c r="AO1410" s="298" t="s">
        <v>128</v>
      </c>
      <c r="AP1410" s="297" t="s">
        <v>2275</v>
      </c>
      <c r="AQ1410" s="3" t="s">
        <v>132</v>
      </c>
      <c r="AR1410" s="90" t="str">
        <f t="shared" si="1735"/>
        <v>ED8B-F104C20-AB</v>
      </c>
      <c r="AT1410" s="89">
        <v>1</v>
      </c>
      <c r="AU1410" s="89">
        <v>1</v>
      </c>
      <c r="AV1410" s="89">
        <v>1</v>
      </c>
      <c r="AW1410" s="89">
        <v>1</v>
      </c>
      <c r="AX1410" s="89">
        <v>1</v>
      </c>
      <c r="AY1410" s="89">
        <v>1</v>
      </c>
      <c r="AZ1410" s="89">
        <v>1</v>
      </c>
      <c r="BA1410" s="89">
        <v>1</v>
      </c>
      <c r="BB1410" s="89">
        <f t="shared" si="1705"/>
        <v>1</v>
      </c>
      <c r="BD1410" s="60">
        <v>-2.08</v>
      </c>
      <c r="BE1410" s="63">
        <v>0</v>
      </c>
      <c r="BF1410" s="63">
        <v>0</v>
      </c>
      <c r="BG1410" s="63">
        <v>0</v>
      </c>
      <c r="BH1410" s="63">
        <v>0</v>
      </c>
      <c r="BI1410" s="8">
        <f t="shared" ref="BI1410:BI1411" si="1741">SUM(BD1410:BH1410)</f>
        <v>-2.08</v>
      </c>
      <c r="BJ1410" s="2" t="s">
        <v>84</v>
      </c>
      <c r="BL1410" s="63"/>
      <c r="BM1410" s="63">
        <v>0</v>
      </c>
      <c r="BN1410" s="267"/>
      <c r="BO1410" s="63">
        <v>0</v>
      </c>
      <c r="BP1410" s="63">
        <v>0</v>
      </c>
      <c r="BQ1410" s="2">
        <v>0</v>
      </c>
      <c r="BS1410" s="61">
        <f t="shared" si="1713"/>
        <v>2.08</v>
      </c>
      <c r="BT1410" s="61">
        <f t="shared" si="1714"/>
        <v>0</v>
      </c>
      <c r="BU1410" s="61">
        <f t="shared" si="1734"/>
        <v>0</v>
      </c>
      <c r="BV1410" s="61">
        <f t="shared" si="1734"/>
        <v>0</v>
      </c>
      <c r="BW1410" s="61">
        <f t="shared" si="1734"/>
        <v>0</v>
      </c>
      <c r="BX1410" s="63">
        <f t="shared" si="1734"/>
        <v>2.08</v>
      </c>
      <c r="BY1410" s="61" t="s">
        <v>91</v>
      </c>
      <c r="CA1410" s="61">
        <f t="shared" si="1710"/>
        <v>0.31292312321347976</v>
      </c>
      <c r="CB1410" s="61">
        <f t="shared" si="1710"/>
        <v>0.31292312321347976</v>
      </c>
      <c r="CC1410" s="61">
        <f t="shared" si="1710"/>
        <v>0.31292312321347976</v>
      </c>
      <c r="CD1410" s="61">
        <f t="shared" si="1710"/>
        <v>0.31292312321347976</v>
      </c>
      <c r="CE1410" s="61">
        <f t="shared" si="1710"/>
        <v>0.31292312321347976</v>
      </c>
      <c r="CF1410" s="61">
        <f t="shared" si="1710"/>
        <v>0.31292312321347976</v>
      </c>
      <c r="CG1410" s="61">
        <f t="shared" si="1710"/>
        <v>0.31292312321347976</v>
      </c>
      <c r="CH1410" s="61">
        <f t="shared" si="1710"/>
        <v>0.31292312321347976</v>
      </c>
      <c r="CI1410" s="61">
        <f t="shared" si="1715"/>
        <v>0.31292312321347976</v>
      </c>
      <c r="CJ1410" s="267"/>
      <c r="CK1410" s="61">
        <f t="shared" si="1737"/>
        <v>0.31292312321347976</v>
      </c>
      <c r="CL1410" s="61">
        <f t="shared" si="1737"/>
        <v>0.31292312321347976</v>
      </c>
      <c r="CM1410" s="61">
        <f t="shared" si="1737"/>
        <v>0.31292312321347976</v>
      </c>
      <c r="CN1410" s="61">
        <f t="shared" si="1736"/>
        <v>0.31292312321347976</v>
      </c>
      <c r="CO1410" s="61">
        <f t="shared" si="1736"/>
        <v>0.31292312321347976</v>
      </c>
      <c r="CP1410" s="61">
        <f t="shared" si="1736"/>
        <v>0.31292312321347976</v>
      </c>
      <c r="CQ1410" s="61">
        <f t="shared" si="1736"/>
        <v>0.31292312321347976</v>
      </c>
      <c r="CR1410" s="61">
        <f t="shared" si="1711"/>
        <v>0.31292312321347976</v>
      </c>
      <c r="CS1410" s="61">
        <f t="shared" si="1716"/>
        <v>0.31292312321347976</v>
      </c>
      <c r="CT1410" s="63">
        <f t="shared" si="1718"/>
        <v>2.08</v>
      </c>
      <c r="CU1410" s="73"/>
      <c r="CV1410" s="61">
        <f t="shared" si="1707"/>
        <v>0</v>
      </c>
      <c r="CW1410" s="61">
        <f t="shared" si="1708"/>
        <v>0</v>
      </c>
      <c r="CY1410" s="61">
        <f t="shared" si="1721"/>
        <v>0</v>
      </c>
      <c r="CZ1410" s="61">
        <f t="shared" si="1721"/>
        <v>0</v>
      </c>
      <c r="DA1410" s="61">
        <f t="shared" si="1721"/>
        <v>0</v>
      </c>
      <c r="DB1410" s="2" t="s">
        <v>86</v>
      </c>
      <c r="DC1410" s="2" t="s">
        <v>85</v>
      </c>
      <c r="DD1410" s="2" t="s">
        <v>87</v>
      </c>
      <c r="DE1410" s="2" t="s">
        <v>106</v>
      </c>
      <c r="DF1410" s="3" t="s">
        <v>86</v>
      </c>
      <c r="DG1410" s="62">
        <v>43158</v>
      </c>
      <c r="EC1410" s="60" t="str">
        <f>VLOOKUP($M1410,[1]Detail!$M:$BO,1,0)</f>
        <v>ED8B-F104C20-AB</v>
      </c>
      <c r="ED1410" s="60">
        <f>VLOOKUP($M1410,[1]Detail!$M:$BO,22,0)</f>
        <v>-2.08</v>
      </c>
      <c r="EE1410" s="60">
        <f>VLOOKUP($M1410,[1]Detail!$M:$BO,42,0)</f>
        <v>0</v>
      </c>
      <c r="EF1410" s="60">
        <f>VLOOKUP($M1410,[1]Detail!$M:$BO,45,0)</f>
        <v>0</v>
      </c>
      <c r="EH1410" s="60">
        <f>ED1410-AD1410</f>
        <v>-2.08</v>
      </c>
      <c r="EI1410" s="60">
        <f>EE1410-AG1410</f>
        <v>0</v>
      </c>
      <c r="EJ1410" s="60">
        <f>EF1410-AJ1410</f>
        <v>0</v>
      </c>
    </row>
    <row r="1411" spans="2:140" ht="12.75" hidden="1" customHeight="1">
      <c r="B1411" s="1" t="s">
        <v>191</v>
      </c>
      <c r="C1411" s="22" t="s">
        <v>2272</v>
      </c>
      <c r="D1411" s="149" t="s">
        <v>2273</v>
      </c>
      <c r="E1411" s="86" t="s">
        <v>1024</v>
      </c>
      <c r="F1411" s="85" t="s">
        <v>2072</v>
      </c>
      <c r="G1411" s="297"/>
      <c r="J1411" s="298" t="s">
        <v>128</v>
      </c>
      <c r="K1411" s="299" t="s">
        <v>2276</v>
      </c>
      <c r="L1411" s="3" t="s">
        <v>132</v>
      </c>
      <c r="M1411" s="51" t="str">
        <f t="shared" si="1712"/>
        <v>ED8B-F104C21-AB</v>
      </c>
      <c r="O1411" s="89">
        <v>0</v>
      </c>
      <c r="P1411" s="89">
        <v>0</v>
      </c>
      <c r="Q1411" s="89">
        <v>0</v>
      </c>
      <c r="R1411" s="89">
        <v>0</v>
      </c>
      <c r="S1411" s="89">
        <v>0</v>
      </c>
      <c r="T1411" s="89">
        <v>0</v>
      </c>
      <c r="U1411" s="89">
        <v>0</v>
      </c>
      <c r="V1411" s="89">
        <v>0</v>
      </c>
      <c r="W1411" s="164">
        <f t="shared" si="1706"/>
        <v>0</v>
      </c>
      <c r="Y1411" s="8">
        <v>0</v>
      </c>
      <c r="Z1411" s="63">
        <v>0</v>
      </c>
      <c r="AA1411" s="63">
        <v>0</v>
      </c>
      <c r="AB1411" s="63">
        <v>0</v>
      </c>
      <c r="AC1411" s="63">
        <v>0</v>
      </c>
      <c r="AD1411" s="8">
        <f t="shared" si="1740"/>
        <v>0</v>
      </c>
      <c r="AE1411" s="2" t="s">
        <v>84</v>
      </c>
      <c r="AG1411" s="300"/>
      <c r="AH1411" s="300"/>
      <c r="AJ1411" s="300"/>
      <c r="AK1411" s="176"/>
      <c r="AM1411" s="22" t="s">
        <v>1567</v>
      </c>
      <c r="AO1411" s="298" t="s">
        <v>128</v>
      </c>
      <c r="AP1411" s="297" t="s">
        <v>2277</v>
      </c>
      <c r="AQ1411" s="3" t="s">
        <v>132</v>
      </c>
      <c r="AR1411" s="90" t="str">
        <f t="shared" si="1735"/>
        <v>ED8B-F104C21-AB</v>
      </c>
      <c r="AT1411" s="89">
        <v>1</v>
      </c>
      <c r="AU1411" s="89">
        <v>1</v>
      </c>
      <c r="AV1411" s="89">
        <v>1</v>
      </c>
      <c r="AW1411" s="89">
        <v>1</v>
      </c>
      <c r="AX1411" s="89">
        <v>1</v>
      </c>
      <c r="AY1411" s="89">
        <v>1</v>
      </c>
      <c r="AZ1411" s="89">
        <v>1</v>
      </c>
      <c r="BA1411" s="89">
        <v>1</v>
      </c>
      <c r="BB1411" s="89">
        <f t="shared" si="1705"/>
        <v>1</v>
      </c>
      <c r="BD1411" s="60">
        <v>-2.08</v>
      </c>
      <c r="BE1411" s="63">
        <v>0</v>
      </c>
      <c r="BF1411" s="63">
        <v>0</v>
      </c>
      <c r="BG1411" s="63">
        <v>0</v>
      </c>
      <c r="BH1411" s="63">
        <v>0</v>
      </c>
      <c r="BI1411" s="8">
        <f t="shared" si="1741"/>
        <v>-2.08</v>
      </c>
      <c r="BJ1411" s="2" t="s">
        <v>84</v>
      </c>
      <c r="BL1411" s="63"/>
      <c r="BM1411" s="63">
        <v>0</v>
      </c>
      <c r="BN1411" s="267"/>
      <c r="BO1411" s="63">
        <v>0</v>
      </c>
      <c r="BP1411" s="63">
        <v>0</v>
      </c>
      <c r="BQ1411" s="2">
        <v>0</v>
      </c>
      <c r="BS1411" s="61">
        <f t="shared" si="1713"/>
        <v>2.08</v>
      </c>
      <c r="BT1411" s="61">
        <f t="shared" si="1714"/>
        <v>0</v>
      </c>
      <c r="BU1411" s="61">
        <f t="shared" si="1734"/>
        <v>0</v>
      </c>
      <c r="BV1411" s="61">
        <f t="shared" si="1734"/>
        <v>0</v>
      </c>
      <c r="BW1411" s="61">
        <f t="shared" si="1734"/>
        <v>0</v>
      </c>
      <c r="BX1411" s="63">
        <f t="shared" si="1734"/>
        <v>2.08</v>
      </c>
      <c r="BY1411" s="61" t="s">
        <v>91</v>
      </c>
      <c r="CA1411" s="61">
        <f t="shared" si="1710"/>
        <v>0.31292312321347976</v>
      </c>
      <c r="CB1411" s="61">
        <f t="shared" si="1710"/>
        <v>0.31292312321347976</v>
      </c>
      <c r="CC1411" s="61">
        <f t="shared" si="1710"/>
        <v>0.31292312321347976</v>
      </c>
      <c r="CD1411" s="61">
        <f t="shared" si="1710"/>
        <v>0.31292312321347976</v>
      </c>
      <c r="CE1411" s="61">
        <f t="shared" si="1710"/>
        <v>0.31292312321347976</v>
      </c>
      <c r="CF1411" s="61">
        <f t="shared" si="1710"/>
        <v>0.31292312321347976</v>
      </c>
      <c r="CG1411" s="61">
        <f t="shared" si="1710"/>
        <v>0.31292312321347976</v>
      </c>
      <c r="CH1411" s="61">
        <f t="shared" si="1710"/>
        <v>0.31292312321347976</v>
      </c>
      <c r="CI1411" s="61">
        <f t="shared" si="1715"/>
        <v>0.31292312321347976</v>
      </c>
      <c r="CJ1411" s="267"/>
      <c r="CK1411" s="61">
        <f t="shared" si="1737"/>
        <v>0.31292312321347976</v>
      </c>
      <c r="CL1411" s="61">
        <f t="shared" si="1737"/>
        <v>0.31292312321347976</v>
      </c>
      <c r="CM1411" s="61">
        <f t="shared" si="1737"/>
        <v>0.31292312321347976</v>
      </c>
      <c r="CN1411" s="61">
        <f t="shared" si="1736"/>
        <v>0.31292312321347976</v>
      </c>
      <c r="CO1411" s="61">
        <f t="shared" si="1736"/>
        <v>0.31292312321347976</v>
      </c>
      <c r="CP1411" s="61">
        <f t="shared" si="1736"/>
        <v>0.31292312321347976</v>
      </c>
      <c r="CQ1411" s="61">
        <f t="shared" si="1736"/>
        <v>0.31292312321347976</v>
      </c>
      <c r="CR1411" s="61">
        <f t="shared" si="1711"/>
        <v>0.31292312321347976</v>
      </c>
      <c r="CS1411" s="61">
        <f t="shared" si="1716"/>
        <v>0.31292312321347976</v>
      </c>
      <c r="CT1411" s="63">
        <f t="shared" si="1718"/>
        <v>2.08</v>
      </c>
      <c r="CU1411" s="73"/>
      <c r="CV1411" s="61">
        <f t="shared" si="1707"/>
        <v>0</v>
      </c>
      <c r="CW1411" s="61">
        <f t="shared" si="1708"/>
        <v>0</v>
      </c>
      <c r="CY1411" s="61">
        <f t="shared" si="1721"/>
        <v>0</v>
      </c>
      <c r="CZ1411" s="61">
        <f t="shared" si="1721"/>
        <v>0</v>
      </c>
      <c r="DA1411" s="61">
        <f t="shared" si="1721"/>
        <v>0</v>
      </c>
      <c r="DB1411" s="2" t="s">
        <v>86</v>
      </c>
      <c r="DC1411" s="2" t="s">
        <v>85</v>
      </c>
      <c r="DD1411" s="2" t="s">
        <v>87</v>
      </c>
      <c r="DE1411" s="2" t="s">
        <v>106</v>
      </c>
      <c r="DF1411" s="3" t="s">
        <v>86</v>
      </c>
      <c r="DG1411" s="62">
        <v>43158</v>
      </c>
      <c r="EC1411" s="60" t="s">
        <v>1262</v>
      </c>
      <c r="ED1411" s="60" t="s">
        <v>1262</v>
      </c>
      <c r="EE1411" s="60" t="s">
        <v>1262</v>
      </c>
      <c r="EF1411" s="60" t="s">
        <v>1262</v>
      </c>
      <c r="EH1411" s="60" t="s">
        <v>1262</v>
      </c>
      <c r="EI1411" s="60" t="s">
        <v>1262</v>
      </c>
      <c r="EJ1411" s="60" t="s">
        <v>1262</v>
      </c>
    </row>
    <row r="1412" spans="2:140" ht="11.25" hidden="1" customHeight="1">
      <c r="B1412" s="1" t="s">
        <v>2278</v>
      </c>
      <c r="C1412" s="22" t="s">
        <v>2279</v>
      </c>
      <c r="D1412" s="149" t="s">
        <v>2280</v>
      </c>
      <c r="E1412" s="86" t="s">
        <v>523</v>
      </c>
      <c r="F1412" s="85" t="s">
        <v>348</v>
      </c>
      <c r="G1412" s="297"/>
      <c r="J1412" s="298" t="s">
        <v>1302</v>
      </c>
      <c r="K1412" s="299" t="s">
        <v>2281</v>
      </c>
      <c r="L1412" s="3" t="s">
        <v>100</v>
      </c>
      <c r="M1412" s="51" t="str">
        <f t="shared" si="1712"/>
        <v>JX6G-6B771-AA</v>
      </c>
      <c r="O1412" s="89">
        <v>1</v>
      </c>
      <c r="P1412" s="89">
        <v>1</v>
      </c>
      <c r="Q1412" s="89">
        <v>1</v>
      </c>
      <c r="R1412" s="89">
        <v>1</v>
      </c>
      <c r="S1412" s="89">
        <v>0</v>
      </c>
      <c r="T1412" s="89">
        <v>0</v>
      </c>
      <c r="U1412" s="89">
        <v>0</v>
      </c>
      <c r="V1412" s="89">
        <v>0</v>
      </c>
      <c r="W1412" s="164">
        <f t="shared" si="1706"/>
        <v>0.67</v>
      </c>
      <c r="Y1412" s="8">
        <v>-54.33</v>
      </c>
      <c r="Z1412" s="63">
        <v>0</v>
      </c>
      <c r="AA1412" s="63">
        <v>0</v>
      </c>
      <c r="AB1412" s="63">
        <v>0</v>
      </c>
      <c r="AC1412" s="63">
        <v>0</v>
      </c>
      <c r="AD1412" s="8">
        <f t="shared" ref="AD1412" si="1742">SUM(Y1412:AC1412)</f>
        <v>-54.33</v>
      </c>
      <c r="AE1412" s="2" t="s">
        <v>84</v>
      </c>
      <c r="AG1412" s="300"/>
      <c r="AH1412" s="300"/>
      <c r="AJ1412" s="300"/>
      <c r="AK1412" s="176"/>
      <c r="AM1412" s="22" t="s">
        <v>2282</v>
      </c>
      <c r="AO1412" s="298"/>
      <c r="AP1412" s="297"/>
      <c r="AR1412" s="90"/>
      <c r="AT1412" s="89">
        <v>0</v>
      </c>
      <c r="AU1412" s="89">
        <v>0</v>
      </c>
      <c r="AV1412" s="89">
        <v>0</v>
      </c>
      <c r="AW1412" s="89">
        <v>0</v>
      </c>
      <c r="AX1412" s="89">
        <v>0</v>
      </c>
      <c r="AY1412" s="89">
        <v>0</v>
      </c>
      <c r="AZ1412" s="89">
        <v>0</v>
      </c>
      <c r="BA1412" s="89">
        <v>0</v>
      </c>
      <c r="BB1412" s="89">
        <f t="shared" si="1705"/>
        <v>0</v>
      </c>
      <c r="BD1412" s="60">
        <v>0</v>
      </c>
      <c r="BE1412" s="63">
        <v>0</v>
      </c>
      <c r="BF1412" s="63">
        <v>0</v>
      </c>
      <c r="BG1412" s="63">
        <v>0</v>
      </c>
      <c r="BH1412" s="63">
        <v>0</v>
      </c>
      <c r="BI1412" s="8">
        <f t="shared" ref="BI1412:BI1414" si="1743">SUM(BD1412:BH1412)</f>
        <v>0</v>
      </c>
      <c r="BJ1412" s="2" t="s">
        <v>84</v>
      </c>
      <c r="BL1412" s="63"/>
      <c r="BM1412" s="63">
        <v>0</v>
      </c>
      <c r="BN1412" s="267"/>
      <c r="BO1412" s="63">
        <v>0</v>
      </c>
      <c r="BP1412" s="63">
        <v>0</v>
      </c>
      <c r="BQ1412" s="2">
        <v>0</v>
      </c>
      <c r="BS1412" s="61">
        <f t="shared" si="1713"/>
        <v>-54.33</v>
      </c>
      <c r="BT1412" s="61">
        <f t="shared" si="1714"/>
        <v>0</v>
      </c>
      <c r="BU1412" s="61">
        <f t="shared" si="1734"/>
        <v>0</v>
      </c>
      <c r="BV1412" s="61">
        <f t="shared" si="1734"/>
        <v>0</v>
      </c>
      <c r="BW1412" s="61">
        <f t="shared" si="1734"/>
        <v>0</v>
      </c>
      <c r="BX1412" s="63">
        <f t="shared" si="1734"/>
        <v>-54.33</v>
      </c>
      <c r="BY1412" s="61" t="s">
        <v>91</v>
      </c>
      <c r="CA1412" s="61">
        <f t="shared" si="1710"/>
        <v>-8.1736121558597858</v>
      </c>
      <c r="CB1412" s="61">
        <f t="shared" si="1710"/>
        <v>-8.1736121558597858</v>
      </c>
      <c r="CC1412" s="61">
        <f t="shared" si="1710"/>
        <v>-8.1736121558597858</v>
      </c>
      <c r="CD1412" s="61">
        <f t="shared" si="1710"/>
        <v>-8.1736121558597858</v>
      </c>
      <c r="CE1412" s="61">
        <f t="shared" si="1710"/>
        <v>0</v>
      </c>
      <c r="CF1412" s="61">
        <f t="shared" si="1710"/>
        <v>0</v>
      </c>
      <c r="CG1412" s="61">
        <f t="shared" si="1710"/>
        <v>0</v>
      </c>
      <c r="CH1412" s="61">
        <f t="shared" si="1710"/>
        <v>0</v>
      </c>
      <c r="CI1412" s="61">
        <f t="shared" si="1715"/>
        <v>-5.4763201444260572</v>
      </c>
      <c r="CJ1412" s="267"/>
      <c r="CK1412" s="61">
        <f t="shared" si="1737"/>
        <v>-8.1736121558597858</v>
      </c>
      <c r="CL1412" s="61">
        <f t="shared" si="1737"/>
        <v>-8.1736121558597858</v>
      </c>
      <c r="CM1412" s="61">
        <f t="shared" si="1737"/>
        <v>-8.1736121558597858</v>
      </c>
      <c r="CN1412" s="61">
        <f t="shared" si="1736"/>
        <v>-8.1736121558597858</v>
      </c>
      <c r="CO1412" s="61">
        <f t="shared" si="1736"/>
        <v>0</v>
      </c>
      <c r="CP1412" s="61">
        <f t="shared" si="1736"/>
        <v>0</v>
      </c>
      <c r="CQ1412" s="61">
        <f t="shared" si="1736"/>
        <v>0</v>
      </c>
      <c r="CR1412" s="61">
        <f t="shared" si="1711"/>
        <v>0</v>
      </c>
      <c r="CS1412" s="61">
        <f t="shared" si="1716"/>
        <v>-5.4763201444260572</v>
      </c>
      <c r="CT1412" s="63">
        <f t="shared" si="1718"/>
        <v>-36.401100000000007</v>
      </c>
      <c r="CU1412" s="73"/>
      <c r="CV1412" s="61">
        <f t="shared" si="1707"/>
        <v>0</v>
      </c>
      <c r="CW1412" s="61">
        <f t="shared" si="1708"/>
        <v>0</v>
      </c>
      <c r="CY1412" s="61">
        <f t="shared" si="1721"/>
        <v>0</v>
      </c>
      <c r="CZ1412" s="61">
        <f t="shared" si="1721"/>
        <v>0</v>
      </c>
      <c r="DA1412" s="61">
        <f t="shared" si="1721"/>
        <v>0</v>
      </c>
      <c r="DB1412" s="2" t="s">
        <v>86</v>
      </c>
      <c r="DC1412" s="2" t="s">
        <v>85</v>
      </c>
      <c r="DD1412" s="2" t="s">
        <v>87</v>
      </c>
      <c r="DE1412" s="2" t="s">
        <v>106</v>
      </c>
      <c r="DF1412" s="3" t="s">
        <v>86</v>
      </c>
      <c r="DG1412" s="62">
        <v>43129</v>
      </c>
      <c r="EC1412" s="60" t="str">
        <f>VLOOKUP($M1412,[1]Detail!$M:$BO,1,0)</f>
        <v>JX6G-6B771-AA</v>
      </c>
      <c r="ED1412" s="60">
        <f>VLOOKUP($M1412,[1]Detail!$M:$BO,22,0)</f>
        <v>-54.33</v>
      </c>
      <c r="EE1412" s="60">
        <f>VLOOKUP($M1412,[1]Detail!$M:$BO,42,0)</f>
        <v>0</v>
      </c>
      <c r="EF1412" s="60">
        <f>VLOOKUP($M1412,[1]Detail!$M:$BO,45,0)</f>
        <v>0</v>
      </c>
      <c r="EH1412" s="60">
        <f>ED1412-AD1412</f>
        <v>0</v>
      </c>
      <c r="EI1412" s="60">
        <f>EE1412-AG1412</f>
        <v>0</v>
      </c>
      <c r="EJ1412" s="60">
        <f>EF1412-AJ1412</f>
        <v>0</v>
      </c>
    </row>
    <row r="1413" spans="2:140" ht="12.75" hidden="1" customHeight="1">
      <c r="B1413" s="1" t="s">
        <v>2283</v>
      </c>
      <c r="C1413" s="380" t="s">
        <v>2284</v>
      </c>
      <c r="D1413" s="66" t="s">
        <v>2285</v>
      </c>
      <c r="E1413" s="86" t="s">
        <v>260</v>
      </c>
      <c r="F1413" s="85" t="s">
        <v>2080</v>
      </c>
      <c r="G1413" s="297"/>
      <c r="J1413" s="298" t="s">
        <v>751</v>
      </c>
      <c r="K1413" s="299" t="s">
        <v>2286</v>
      </c>
      <c r="L1413" s="3" t="s">
        <v>2287</v>
      </c>
      <c r="M1413" s="51" t="str">
        <f t="shared" si="1712"/>
        <v>AV61-6P013-CG</v>
      </c>
      <c r="O1413" s="89">
        <v>1</v>
      </c>
      <c r="P1413" s="89">
        <v>0</v>
      </c>
      <c r="Q1413" s="89">
        <v>1</v>
      </c>
      <c r="R1413" s="89">
        <v>0</v>
      </c>
      <c r="S1413" s="89">
        <v>1</v>
      </c>
      <c r="T1413" s="89">
        <v>0</v>
      </c>
      <c r="U1413" s="89">
        <v>0</v>
      </c>
      <c r="V1413" s="89">
        <v>0</v>
      </c>
      <c r="W1413" s="164">
        <f t="shared" si="1706"/>
        <v>0.37</v>
      </c>
      <c r="Y1413" s="8">
        <v>-46.76</v>
      </c>
      <c r="Z1413" s="63">
        <v>0</v>
      </c>
      <c r="AA1413" s="63">
        <v>0</v>
      </c>
      <c r="AB1413" s="63">
        <v>0</v>
      </c>
      <c r="AC1413" s="63">
        <v>0</v>
      </c>
      <c r="AD1413" s="8">
        <f t="shared" ref="AD1413:AD1414" si="1744">SUM(Y1413:AC1413)</f>
        <v>-46.76</v>
      </c>
      <c r="AE1413" s="2" t="s">
        <v>84</v>
      </c>
      <c r="AG1413" s="300"/>
      <c r="AH1413" s="300"/>
      <c r="AJ1413" s="300"/>
      <c r="AK1413" s="176"/>
      <c r="AM1413" s="22"/>
      <c r="AO1413" s="298" t="s">
        <v>751</v>
      </c>
      <c r="AP1413" s="297" t="s">
        <v>2288</v>
      </c>
      <c r="AQ1413" s="3" t="s">
        <v>2287</v>
      </c>
      <c r="AR1413" s="90" t="str">
        <f t="shared" ref="AR1413:AR1422" si="1745">TRIM(AO1413)&amp;"-"&amp;TRIM(AP1413)&amp;"-"&amp;TRIM(AQ1413)</f>
        <v>AV61-6P013-CG</v>
      </c>
      <c r="AT1413" s="89">
        <v>1</v>
      </c>
      <c r="AU1413" s="89">
        <v>0</v>
      </c>
      <c r="AV1413" s="89">
        <v>1</v>
      </c>
      <c r="AW1413" s="89">
        <v>0</v>
      </c>
      <c r="AX1413" s="89">
        <v>0</v>
      </c>
      <c r="AY1413" s="89">
        <v>0</v>
      </c>
      <c r="AZ1413" s="89">
        <v>0</v>
      </c>
      <c r="BA1413" s="89">
        <v>0</v>
      </c>
      <c r="BB1413" s="89">
        <f t="shared" si="1705"/>
        <v>0.28000000000000003</v>
      </c>
      <c r="BD1413" s="60">
        <v>-46.76</v>
      </c>
      <c r="BE1413" s="63">
        <v>0</v>
      </c>
      <c r="BF1413" s="63">
        <v>0</v>
      </c>
      <c r="BG1413" s="63">
        <v>0</v>
      </c>
      <c r="BH1413" s="63">
        <v>0</v>
      </c>
      <c r="BI1413" s="8">
        <f t="shared" si="1743"/>
        <v>-46.76</v>
      </c>
      <c r="BJ1413" s="2" t="s">
        <v>84</v>
      </c>
      <c r="BL1413" s="63"/>
      <c r="BM1413" s="63">
        <v>0</v>
      </c>
      <c r="BN1413" s="267"/>
      <c r="BO1413" s="63">
        <v>0</v>
      </c>
      <c r="BP1413" s="63">
        <v>0</v>
      </c>
      <c r="BQ1413" s="2">
        <v>0</v>
      </c>
      <c r="BS1413" s="61">
        <f t="shared" si="1713"/>
        <v>0</v>
      </c>
      <c r="BT1413" s="61">
        <f t="shared" si="1714"/>
        <v>0</v>
      </c>
      <c r="BU1413" s="61">
        <f t="shared" si="1734"/>
        <v>0</v>
      </c>
      <c r="BV1413" s="61">
        <f t="shared" si="1734"/>
        <v>0</v>
      </c>
      <c r="BW1413" s="61">
        <f t="shared" si="1734"/>
        <v>0</v>
      </c>
      <c r="BX1413" s="63">
        <f t="shared" si="1734"/>
        <v>0</v>
      </c>
      <c r="BY1413" s="61" t="s">
        <v>91</v>
      </c>
      <c r="CA1413" s="61">
        <f t="shared" si="1710"/>
        <v>0</v>
      </c>
      <c r="CB1413" s="61">
        <f t="shared" ref="CB1413:CH1422" si="1746">($Y1413*O1413-AU1413*$BD1413)/$C$2</f>
        <v>-7.0347525199338046</v>
      </c>
      <c r="CC1413" s="61">
        <f t="shared" si="1746"/>
        <v>7.0347525199338046</v>
      </c>
      <c r="CD1413" s="61">
        <f t="shared" si="1746"/>
        <v>-7.0347525199338046</v>
      </c>
      <c r="CE1413" s="61">
        <f t="shared" si="1746"/>
        <v>0</v>
      </c>
      <c r="CF1413" s="61">
        <f t="shared" si="1746"/>
        <v>-7.0347525199338046</v>
      </c>
      <c r="CG1413" s="61">
        <f t="shared" si="1746"/>
        <v>0</v>
      </c>
      <c r="CH1413" s="61">
        <f t="shared" si="1746"/>
        <v>0</v>
      </c>
      <c r="CI1413" s="61">
        <f t="shared" si="1715"/>
        <v>-2.7435534827741841</v>
      </c>
      <c r="CJ1413" s="267"/>
      <c r="CK1413" s="61">
        <f t="shared" si="1737"/>
        <v>0</v>
      </c>
      <c r="CL1413" s="61">
        <f t="shared" ref="CL1413:CR1422" si="1747">(O1413*$AD1413-AU1413*$BI1413)/$C$2</f>
        <v>-7.0347525199338046</v>
      </c>
      <c r="CM1413" s="61">
        <f t="shared" si="1747"/>
        <v>7.0347525199338046</v>
      </c>
      <c r="CN1413" s="61">
        <f t="shared" si="1747"/>
        <v>-7.0347525199338046</v>
      </c>
      <c r="CO1413" s="61">
        <f t="shared" si="1747"/>
        <v>0</v>
      </c>
      <c r="CP1413" s="61">
        <f t="shared" si="1747"/>
        <v>-7.0347525199338046</v>
      </c>
      <c r="CQ1413" s="61">
        <f t="shared" si="1747"/>
        <v>0</v>
      </c>
      <c r="CR1413" s="61">
        <f t="shared" si="1747"/>
        <v>0</v>
      </c>
      <c r="CS1413" s="61">
        <f t="shared" si="1716"/>
        <v>-2.7435534827741841</v>
      </c>
      <c r="CT1413" s="63">
        <f t="shared" si="1718"/>
        <v>-18.236400000000003</v>
      </c>
      <c r="CU1413" s="73"/>
      <c r="CV1413" s="61">
        <f t="shared" si="1707"/>
        <v>0</v>
      </c>
      <c r="CW1413" s="61">
        <f t="shared" si="1708"/>
        <v>0</v>
      </c>
      <c r="CY1413" s="61">
        <f t="shared" si="1721"/>
        <v>0</v>
      </c>
      <c r="CZ1413" s="61">
        <f t="shared" si="1721"/>
        <v>0</v>
      </c>
      <c r="DA1413" s="61">
        <f t="shared" si="1721"/>
        <v>0</v>
      </c>
      <c r="DB1413" s="2" t="s">
        <v>86</v>
      </c>
      <c r="DC1413" s="2" t="s">
        <v>85</v>
      </c>
      <c r="DD1413" s="2" t="s">
        <v>87</v>
      </c>
      <c r="DE1413" s="2" t="s">
        <v>106</v>
      </c>
      <c r="DG1413" s="62"/>
      <c r="EC1413" s="60" t="str">
        <f>VLOOKUP($M1413,[1]Detail!$M:$BO,1,0)</f>
        <v>AV61-6P013-CG</v>
      </c>
      <c r="ED1413" s="60">
        <f>VLOOKUP($M1413,[1]Detail!$M:$BO,22,0)</f>
        <v>-46.76</v>
      </c>
      <c r="EE1413" s="60">
        <f>VLOOKUP($M1413,[1]Detail!$M:$BO,42,0)</f>
        <v>0</v>
      </c>
      <c r="EF1413" s="60">
        <f>VLOOKUP($M1413,[1]Detail!$M:$BO,45,0)</f>
        <v>0</v>
      </c>
      <c r="EH1413" s="60">
        <f>ED1413-AD1413</f>
        <v>0</v>
      </c>
      <c r="EI1413" s="60">
        <f>EE1413-AG1413</f>
        <v>0</v>
      </c>
      <c r="EJ1413" s="60">
        <f>EF1413-AJ1413</f>
        <v>0</v>
      </c>
    </row>
    <row r="1414" spans="2:140" ht="12.75" hidden="1" customHeight="1">
      <c r="B1414" s="1" t="s">
        <v>2283</v>
      </c>
      <c r="C1414" s="380" t="s">
        <v>2284</v>
      </c>
      <c r="D1414" s="66" t="s">
        <v>2285</v>
      </c>
      <c r="E1414" s="86" t="s">
        <v>260</v>
      </c>
      <c r="F1414" s="85" t="s">
        <v>2080</v>
      </c>
      <c r="G1414" s="297"/>
      <c r="J1414" s="298" t="s">
        <v>1567</v>
      </c>
      <c r="K1414" s="299" t="s">
        <v>2289</v>
      </c>
      <c r="M1414" s="51"/>
      <c r="O1414" s="89">
        <v>0</v>
      </c>
      <c r="P1414" s="89">
        <v>0</v>
      </c>
      <c r="Q1414" s="89">
        <v>0</v>
      </c>
      <c r="R1414" s="89">
        <v>0</v>
      </c>
      <c r="S1414" s="89">
        <v>0</v>
      </c>
      <c r="T1414" s="89">
        <v>0</v>
      </c>
      <c r="U1414" s="89">
        <v>0</v>
      </c>
      <c r="V1414" s="89">
        <v>0</v>
      </c>
      <c r="W1414" s="164">
        <f t="shared" si="1706"/>
        <v>0</v>
      </c>
      <c r="Y1414" s="8">
        <v>0</v>
      </c>
      <c r="Z1414" s="63">
        <v>0</v>
      </c>
      <c r="AA1414" s="63">
        <v>0</v>
      </c>
      <c r="AB1414" s="63">
        <v>0</v>
      </c>
      <c r="AC1414" s="63">
        <v>0</v>
      </c>
      <c r="AD1414" s="8">
        <f t="shared" si="1744"/>
        <v>0</v>
      </c>
      <c r="AE1414" s="2" t="s">
        <v>84</v>
      </c>
      <c r="AG1414" s="300"/>
      <c r="AH1414" s="300"/>
      <c r="AJ1414" s="300"/>
      <c r="AK1414" s="176"/>
      <c r="AM1414" s="22"/>
      <c r="AO1414" s="298" t="s">
        <v>374</v>
      </c>
      <c r="AP1414" s="297" t="s">
        <v>2288</v>
      </c>
      <c r="AQ1414" s="3" t="s">
        <v>234</v>
      </c>
      <c r="AR1414" s="90" t="str">
        <f t="shared" si="1745"/>
        <v>BV61-6P013-AC</v>
      </c>
      <c r="AT1414" s="89">
        <v>0</v>
      </c>
      <c r="AU1414" s="89">
        <v>0</v>
      </c>
      <c r="AV1414" s="89">
        <v>0</v>
      </c>
      <c r="AW1414" s="89">
        <v>0</v>
      </c>
      <c r="AX1414" s="89">
        <v>1</v>
      </c>
      <c r="AY1414" s="89">
        <v>0</v>
      </c>
      <c r="AZ1414" s="89">
        <v>0</v>
      </c>
      <c r="BA1414" s="89">
        <v>0</v>
      </c>
      <c r="BB1414" s="89">
        <f t="shared" si="1705"/>
        <v>0.09</v>
      </c>
      <c r="BD1414" s="60">
        <v>-59.04</v>
      </c>
      <c r="BE1414" s="63">
        <v>0</v>
      </c>
      <c r="BF1414" s="63">
        <v>0</v>
      </c>
      <c r="BG1414" s="63">
        <v>0</v>
      </c>
      <c r="BH1414" s="63">
        <v>0</v>
      </c>
      <c r="BI1414" s="8">
        <f t="shared" si="1743"/>
        <v>-59.04</v>
      </c>
      <c r="BJ1414" s="2" t="s">
        <v>84</v>
      </c>
      <c r="BL1414" s="63"/>
      <c r="BM1414" s="63">
        <v>0</v>
      </c>
      <c r="BN1414" s="267"/>
      <c r="BO1414" s="63">
        <v>0</v>
      </c>
      <c r="BP1414" s="63">
        <v>0</v>
      </c>
      <c r="BQ1414" s="2">
        <v>0</v>
      </c>
      <c r="BS1414" s="61">
        <f t="shared" si="1713"/>
        <v>59.04</v>
      </c>
      <c r="BT1414" s="61">
        <f t="shared" si="1714"/>
        <v>0</v>
      </c>
      <c r="BU1414" s="61">
        <f t="shared" si="1734"/>
        <v>0</v>
      </c>
      <c r="BV1414" s="61">
        <f t="shared" si="1734"/>
        <v>0</v>
      </c>
      <c r="BW1414" s="61">
        <f t="shared" si="1734"/>
        <v>0</v>
      </c>
      <c r="BX1414" s="63">
        <f t="shared" si="1734"/>
        <v>59.04</v>
      </c>
      <c r="BY1414" s="61" t="s">
        <v>91</v>
      </c>
      <c r="CA1414" s="61">
        <f t="shared" si="1710"/>
        <v>0</v>
      </c>
      <c r="CB1414" s="61">
        <f t="shared" si="1746"/>
        <v>0</v>
      </c>
      <c r="CC1414" s="61">
        <f t="shared" si="1746"/>
        <v>0</v>
      </c>
      <c r="CD1414" s="61">
        <f t="shared" si="1746"/>
        <v>0</v>
      </c>
      <c r="CE1414" s="61">
        <f t="shared" si="1746"/>
        <v>8.8822024973672331</v>
      </c>
      <c r="CF1414" s="61">
        <f t="shared" si="1746"/>
        <v>0</v>
      </c>
      <c r="CG1414" s="61">
        <f t="shared" si="1746"/>
        <v>0</v>
      </c>
      <c r="CH1414" s="61">
        <f t="shared" si="1746"/>
        <v>0</v>
      </c>
      <c r="CI1414" s="61">
        <f t="shared" si="1715"/>
        <v>0.799398224763051</v>
      </c>
      <c r="CJ1414" s="267"/>
      <c r="CK1414" s="61">
        <f t="shared" si="1737"/>
        <v>0</v>
      </c>
      <c r="CL1414" s="61">
        <f t="shared" si="1747"/>
        <v>0</v>
      </c>
      <c r="CM1414" s="61">
        <f t="shared" si="1747"/>
        <v>0</v>
      </c>
      <c r="CN1414" s="61">
        <f t="shared" si="1747"/>
        <v>0</v>
      </c>
      <c r="CO1414" s="61">
        <f t="shared" si="1747"/>
        <v>8.8822024973672331</v>
      </c>
      <c r="CP1414" s="61">
        <f t="shared" si="1747"/>
        <v>0</v>
      </c>
      <c r="CQ1414" s="61">
        <f t="shared" si="1747"/>
        <v>0</v>
      </c>
      <c r="CR1414" s="61">
        <f t="shared" si="1747"/>
        <v>0</v>
      </c>
      <c r="CS1414" s="61">
        <f t="shared" si="1716"/>
        <v>0.799398224763051</v>
      </c>
      <c r="CT1414" s="63">
        <f t="shared" si="1718"/>
        <v>5.3136000000000001</v>
      </c>
      <c r="CU1414" s="73"/>
      <c r="CV1414" s="61">
        <f t="shared" ref="CV1414" si="1748">SUM(AG1414)-SUM(BL1414)</f>
        <v>0</v>
      </c>
      <c r="CW1414" s="61">
        <f t="shared" ref="CW1414" si="1749">SUM(AH1414)-SUM(BM1414)</f>
        <v>0</v>
      </c>
      <c r="CY1414" s="61">
        <f t="shared" si="1721"/>
        <v>0</v>
      </c>
      <c r="CZ1414" s="61">
        <f t="shared" si="1721"/>
        <v>0</v>
      </c>
      <c r="DA1414" s="61">
        <f t="shared" si="1721"/>
        <v>0</v>
      </c>
      <c r="DB1414" s="2" t="s">
        <v>86</v>
      </c>
      <c r="DC1414" s="2" t="s">
        <v>85</v>
      </c>
      <c r="DD1414" s="2" t="s">
        <v>87</v>
      </c>
      <c r="DE1414" s="2" t="s">
        <v>106</v>
      </c>
      <c r="DG1414" s="62"/>
      <c r="EC1414" s="60" t="e">
        <f>VLOOKUP($M1414,[1]Detail!$M:$BO,1,0)</f>
        <v>#N/A</v>
      </c>
      <c r="ED1414" s="60" t="e">
        <f>VLOOKUP($M1414,[1]Detail!$M:$BO,22,0)</f>
        <v>#N/A</v>
      </c>
      <c r="EE1414" s="60" t="e">
        <f>VLOOKUP($M1414,[1]Detail!$M:$BO,42,0)</f>
        <v>#N/A</v>
      </c>
      <c r="EF1414" s="60" t="e">
        <f>VLOOKUP($M1414,[1]Detail!$M:$BO,45,0)</f>
        <v>#N/A</v>
      </c>
      <c r="EH1414" s="60" t="e">
        <f>ED1414-AD1414</f>
        <v>#N/A</v>
      </c>
      <c r="EI1414" s="60" t="e">
        <f>EE1414-AG1414</f>
        <v>#N/A</v>
      </c>
      <c r="EJ1414" s="60" t="e">
        <f>EF1414-AJ1414</f>
        <v>#N/A</v>
      </c>
    </row>
    <row r="1415" spans="2:140" ht="12.75" hidden="1" customHeight="1">
      <c r="B1415" s="1" t="s">
        <v>2283</v>
      </c>
      <c r="C1415" s="380" t="s">
        <v>2284</v>
      </c>
      <c r="D1415" s="66" t="s">
        <v>2285</v>
      </c>
      <c r="E1415" s="86" t="s">
        <v>260</v>
      </c>
      <c r="F1415" s="85" t="s">
        <v>2080</v>
      </c>
      <c r="G1415" s="297"/>
      <c r="J1415" s="298" t="s">
        <v>325</v>
      </c>
      <c r="K1415" s="299" t="s">
        <v>2286</v>
      </c>
      <c r="L1415" s="3" t="s">
        <v>100</v>
      </c>
      <c r="M1415" s="51" t="str">
        <f>TRIM(J1415)&amp;"-"&amp;TRIM(K1415)&amp;"-"&amp;TRIM(L1415)</f>
        <v>F1F1-6P013-AA</v>
      </c>
      <c r="O1415" s="89">
        <v>0</v>
      </c>
      <c r="P1415" s="89">
        <v>1</v>
      </c>
      <c r="Q1415" s="89">
        <v>0</v>
      </c>
      <c r="R1415" s="89">
        <v>1</v>
      </c>
      <c r="S1415" s="89">
        <v>0</v>
      </c>
      <c r="T1415" s="89">
        <v>1</v>
      </c>
      <c r="U1415" s="89">
        <v>1</v>
      </c>
      <c r="V1415" s="89">
        <v>1</v>
      </c>
      <c r="W1415" s="164">
        <f t="shared" si="1706"/>
        <v>0.63000000000000012</v>
      </c>
      <c r="Y1415" s="8">
        <v>-53.05</v>
      </c>
      <c r="Z1415" s="63">
        <v>0</v>
      </c>
      <c r="AA1415" s="63">
        <v>0</v>
      </c>
      <c r="AB1415" s="63">
        <v>0</v>
      </c>
      <c r="AC1415" s="63">
        <v>0</v>
      </c>
      <c r="AD1415" s="8">
        <f t="shared" ref="AD1415:AD1416" si="1750">SUM(Y1415:AC1415)</f>
        <v>-53.05</v>
      </c>
      <c r="AE1415" s="2" t="s">
        <v>84</v>
      </c>
      <c r="AG1415" s="300"/>
      <c r="AH1415" s="300"/>
      <c r="AJ1415" s="300"/>
      <c r="AK1415" s="176"/>
      <c r="AM1415" s="22"/>
      <c r="AO1415" s="298" t="s">
        <v>325</v>
      </c>
      <c r="AP1415" s="297" t="s">
        <v>2288</v>
      </c>
      <c r="AQ1415" s="3" t="s">
        <v>100</v>
      </c>
      <c r="AR1415" s="90" t="str">
        <f t="shared" si="1745"/>
        <v>F1F1-6P013-AA</v>
      </c>
      <c r="AT1415" s="89">
        <v>0</v>
      </c>
      <c r="AU1415" s="89">
        <v>1</v>
      </c>
      <c r="AV1415" s="89">
        <v>0</v>
      </c>
      <c r="AW1415" s="89">
        <v>1</v>
      </c>
      <c r="AX1415" s="89">
        <v>0</v>
      </c>
      <c r="AY1415" s="89">
        <v>0</v>
      </c>
      <c r="AZ1415" s="89">
        <v>1</v>
      </c>
      <c r="BA1415" s="89">
        <v>0</v>
      </c>
      <c r="BB1415" s="89">
        <f t="shared" si="1705"/>
        <v>0.44</v>
      </c>
      <c r="BD1415" s="60">
        <v>-53.05</v>
      </c>
      <c r="BE1415" s="63">
        <v>0</v>
      </c>
      <c r="BF1415" s="63">
        <v>0</v>
      </c>
      <c r="BG1415" s="63">
        <v>0</v>
      </c>
      <c r="BH1415" s="63">
        <v>0</v>
      </c>
      <c r="BI1415" s="8">
        <f>SUM(BD1415:BD1415)</f>
        <v>-53.05</v>
      </c>
      <c r="BJ1415" s="2" t="s">
        <v>84</v>
      </c>
      <c r="BL1415" s="63"/>
      <c r="BM1415" s="63">
        <v>0</v>
      </c>
      <c r="BN1415" s="267"/>
      <c r="BO1415" s="63">
        <v>0</v>
      </c>
      <c r="BP1415" s="63">
        <v>0</v>
      </c>
      <c r="BQ1415" s="2">
        <v>0</v>
      </c>
      <c r="BS1415" s="61">
        <f t="shared" si="1713"/>
        <v>0</v>
      </c>
      <c r="BT1415" s="61">
        <f t="shared" si="1714"/>
        <v>0</v>
      </c>
      <c r="BU1415" s="61">
        <f t="shared" si="1734"/>
        <v>0</v>
      </c>
      <c r="BV1415" s="61">
        <f t="shared" si="1734"/>
        <v>0</v>
      </c>
      <c r="BW1415" s="61">
        <f t="shared" si="1734"/>
        <v>0</v>
      </c>
      <c r="BX1415" s="63">
        <f t="shared" si="1734"/>
        <v>0</v>
      </c>
      <c r="BY1415" s="61" t="s">
        <v>91</v>
      </c>
      <c r="CA1415" s="61">
        <f t="shared" si="1710"/>
        <v>0</v>
      </c>
      <c r="CB1415" s="61">
        <f t="shared" si="1746"/>
        <v>7.9810440800361055</v>
      </c>
      <c r="CC1415" s="61">
        <f t="shared" si="1746"/>
        <v>-7.9810440800361055</v>
      </c>
      <c r="CD1415" s="61">
        <f t="shared" si="1746"/>
        <v>7.9810440800361055</v>
      </c>
      <c r="CE1415" s="61">
        <f t="shared" si="1746"/>
        <v>-7.9810440800361055</v>
      </c>
      <c r="CF1415" s="61">
        <f t="shared" si="1746"/>
        <v>0</v>
      </c>
      <c r="CG1415" s="61">
        <f t="shared" si="1746"/>
        <v>0</v>
      </c>
      <c r="CH1415" s="61">
        <f t="shared" si="1746"/>
        <v>-7.9810440800361055</v>
      </c>
      <c r="CI1415" s="61">
        <f t="shared" si="1715"/>
        <v>0.8779148488039713</v>
      </c>
      <c r="CJ1415" s="267"/>
      <c r="CK1415" s="61">
        <f t="shared" si="1737"/>
        <v>0</v>
      </c>
      <c r="CL1415" s="61">
        <f t="shared" si="1747"/>
        <v>7.9810440800361055</v>
      </c>
      <c r="CM1415" s="61">
        <f t="shared" si="1747"/>
        <v>-7.9810440800361055</v>
      </c>
      <c r="CN1415" s="61">
        <f t="shared" si="1747"/>
        <v>7.9810440800361055</v>
      </c>
      <c r="CO1415" s="61">
        <f t="shared" si="1747"/>
        <v>-7.9810440800361055</v>
      </c>
      <c r="CP1415" s="61">
        <f t="shared" si="1747"/>
        <v>0</v>
      </c>
      <c r="CQ1415" s="61">
        <f t="shared" si="1747"/>
        <v>0</v>
      </c>
      <c r="CR1415" s="61">
        <f t="shared" si="1747"/>
        <v>-7.9810440800361055</v>
      </c>
      <c r="CS1415" s="61">
        <f t="shared" si="1716"/>
        <v>0.8779148488039713</v>
      </c>
      <c r="CT1415" s="63">
        <f t="shared" si="1718"/>
        <v>5.8354999999999979</v>
      </c>
      <c r="CU1415" s="73"/>
      <c r="CV1415" s="61">
        <f t="shared" ref="CV1415:CV1416" si="1751">SUM(AG1415)-SUM(BL1415)</f>
        <v>0</v>
      </c>
      <c r="CW1415" s="61">
        <f t="shared" ref="CW1415:CW1416" si="1752">SUM(AH1415)-SUM(BM1415)</f>
        <v>0</v>
      </c>
      <c r="CY1415" s="61">
        <f t="shared" si="1721"/>
        <v>0</v>
      </c>
      <c r="CZ1415" s="61">
        <f t="shared" si="1721"/>
        <v>0</v>
      </c>
      <c r="DA1415" s="61"/>
      <c r="DB1415" s="2" t="s">
        <v>86</v>
      </c>
      <c r="DC1415" s="2" t="s">
        <v>85</v>
      </c>
      <c r="DD1415" s="2" t="s">
        <v>87</v>
      </c>
      <c r="DE1415" s="2" t="s">
        <v>106</v>
      </c>
      <c r="DG1415" s="62"/>
      <c r="EC1415" s="60" t="str">
        <f>VLOOKUP($M1415,[1]Detail!$M:$BO,1,0)</f>
        <v>F1F1-6P013-AA</v>
      </c>
      <c r="ED1415" s="60">
        <f>VLOOKUP($M1415,[1]Detail!$M:$BO,22,0)</f>
        <v>-53.05</v>
      </c>
      <c r="EE1415" s="60">
        <f>VLOOKUP($M1415,[1]Detail!$M:$BO,42,0)</f>
        <v>0</v>
      </c>
      <c r="EF1415" s="60">
        <f>VLOOKUP($M1415,[1]Detail!$M:$BO,45,0)</f>
        <v>0</v>
      </c>
      <c r="EH1415" s="60">
        <f>ED1415-AD1415</f>
        <v>0</v>
      </c>
      <c r="EI1415" s="60">
        <f>EE1415-AG1415</f>
        <v>0</v>
      </c>
      <c r="EJ1415" s="60">
        <f>EF1415-AJ1415</f>
        <v>0</v>
      </c>
    </row>
    <row r="1416" spans="2:140" ht="12.75" hidden="1" customHeight="1">
      <c r="B1416" s="1" t="s">
        <v>2283</v>
      </c>
      <c r="C1416" s="380" t="s">
        <v>2284</v>
      </c>
      <c r="D1416" s="66" t="s">
        <v>2285</v>
      </c>
      <c r="E1416" s="86" t="s">
        <v>260</v>
      </c>
      <c r="F1416" s="85" t="s">
        <v>2080</v>
      </c>
      <c r="G1416" s="297"/>
      <c r="J1416" s="298" t="s">
        <v>1567</v>
      </c>
      <c r="K1416" s="299" t="s">
        <v>2290</v>
      </c>
      <c r="M1416" s="51"/>
      <c r="O1416" s="89">
        <v>0</v>
      </c>
      <c r="P1416" s="89">
        <v>0</v>
      </c>
      <c r="Q1416" s="89">
        <v>0</v>
      </c>
      <c r="R1416" s="89">
        <v>0</v>
      </c>
      <c r="S1416" s="89">
        <v>0</v>
      </c>
      <c r="T1416" s="89">
        <v>0</v>
      </c>
      <c r="U1416" s="89">
        <v>0</v>
      </c>
      <c r="V1416" s="89">
        <v>0</v>
      </c>
      <c r="W1416" s="164">
        <f t="shared" si="1706"/>
        <v>0</v>
      </c>
      <c r="Y1416" s="8">
        <v>0</v>
      </c>
      <c r="Z1416" s="63">
        <v>0</v>
      </c>
      <c r="AA1416" s="63">
        <v>0</v>
      </c>
      <c r="AB1416" s="63">
        <v>0</v>
      </c>
      <c r="AC1416" s="63">
        <v>0</v>
      </c>
      <c r="AD1416" s="8">
        <f t="shared" si="1750"/>
        <v>0</v>
      </c>
      <c r="AE1416" s="2" t="s">
        <v>84</v>
      </c>
      <c r="AG1416" s="300"/>
      <c r="AH1416" s="300"/>
      <c r="AJ1416" s="300"/>
      <c r="AK1416" s="176"/>
      <c r="AM1416" s="22"/>
      <c r="AO1416" s="298" t="s">
        <v>325</v>
      </c>
      <c r="AP1416" s="297" t="s">
        <v>2291</v>
      </c>
      <c r="AQ1416" s="3" t="s">
        <v>111</v>
      </c>
      <c r="AR1416" s="90" t="str">
        <f t="shared" si="1745"/>
        <v>F1F1-6P013 -BA</v>
      </c>
      <c r="AT1416" s="89">
        <v>0</v>
      </c>
      <c r="AU1416" s="89">
        <v>0</v>
      </c>
      <c r="AV1416" s="89">
        <v>0</v>
      </c>
      <c r="AW1416" s="89">
        <v>0</v>
      </c>
      <c r="AX1416" s="89">
        <v>0</v>
      </c>
      <c r="AY1416" s="89">
        <v>1</v>
      </c>
      <c r="AZ1416" s="89">
        <v>0</v>
      </c>
      <c r="BA1416" s="89">
        <v>1</v>
      </c>
      <c r="BB1416" s="89">
        <f t="shared" si="1705"/>
        <v>0.19</v>
      </c>
      <c r="BD1416" s="60">
        <v>-62.86</v>
      </c>
      <c r="BE1416" s="63">
        <v>0</v>
      </c>
      <c r="BF1416" s="63">
        <v>0</v>
      </c>
      <c r="BG1416" s="63">
        <v>0</v>
      </c>
      <c r="BH1416" s="63">
        <v>0</v>
      </c>
      <c r="BI1416" s="8">
        <f>SUM(BD1416:BD1416)</f>
        <v>-62.86</v>
      </c>
      <c r="BJ1416" s="2" t="s">
        <v>84</v>
      </c>
      <c r="BL1416" s="63"/>
      <c r="BM1416" s="63">
        <v>0</v>
      </c>
      <c r="BN1416" s="267"/>
      <c r="BO1416" s="63">
        <v>0</v>
      </c>
      <c r="BP1416" s="63">
        <v>0</v>
      </c>
      <c r="BQ1416" s="2">
        <v>0</v>
      </c>
      <c r="BS1416" s="61">
        <f t="shared" si="1713"/>
        <v>62.86</v>
      </c>
      <c r="BT1416" s="61">
        <f t="shared" si="1714"/>
        <v>0</v>
      </c>
      <c r="BU1416" s="61">
        <f t="shared" si="1734"/>
        <v>0</v>
      </c>
      <c r="BV1416" s="61">
        <f t="shared" si="1734"/>
        <v>0</v>
      </c>
      <c r="BW1416" s="61">
        <f t="shared" si="1734"/>
        <v>0</v>
      </c>
      <c r="BX1416" s="63">
        <f t="shared" si="1734"/>
        <v>62.86</v>
      </c>
      <c r="BY1416" s="61" t="s">
        <v>91</v>
      </c>
      <c r="CA1416" s="61">
        <f t="shared" si="1710"/>
        <v>0</v>
      </c>
      <c r="CB1416" s="61">
        <f t="shared" si="1746"/>
        <v>0</v>
      </c>
      <c r="CC1416" s="61">
        <f t="shared" si="1746"/>
        <v>0</v>
      </c>
      <c r="CD1416" s="61">
        <f t="shared" si="1746"/>
        <v>0</v>
      </c>
      <c r="CE1416" s="61">
        <f t="shared" si="1746"/>
        <v>0</v>
      </c>
      <c r="CF1416" s="61">
        <f t="shared" si="1746"/>
        <v>9.4568978486535276</v>
      </c>
      <c r="CG1416" s="61">
        <f t="shared" si="1746"/>
        <v>0</v>
      </c>
      <c r="CH1416" s="61">
        <f t="shared" si="1746"/>
        <v>9.4568978486535276</v>
      </c>
      <c r="CI1416" s="61">
        <f t="shared" si="1715"/>
        <v>1.7968105912441705</v>
      </c>
      <c r="CJ1416" s="267"/>
      <c r="CK1416" s="61">
        <f t="shared" si="1737"/>
        <v>0</v>
      </c>
      <c r="CL1416" s="61">
        <f t="shared" si="1747"/>
        <v>0</v>
      </c>
      <c r="CM1416" s="61">
        <f t="shared" si="1747"/>
        <v>0</v>
      </c>
      <c r="CN1416" s="61">
        <f t="shared" si="1747"/>
        <v>0</v>
      </c>
      <c r="CO1416" s="61">
        <f t="shared" si="1747"/>
        <v>0</v>
      </c>
      <c r="CP1416" s="61">
        <f t="shared" si="1747"/>
        <v>9.4568978486535276</v>
      </c>
      <c r="CQ1416" s="61">
        <f t="shared" si="1747"/>
        <v>0</v>
      </c>
      <c r="CR1416" s="61">
        <f t="shared" si="1747"/>
        <v>9.4568978486535276</v>
      </c>
      <c r="CS1416" s="61">
        <f t="shared" si="1716"/>
        <v>1.7968105912441705</v>
      </c>
      <c r="CT1416" s="63">
        <f t="shared" si="1718"/>
        <v>11.943400000000002</v>
      </c>
      <c r="CU1416" s="73"/>
      <c r="CV1416" s="61">
        <f t="shared" si="1751"/>
        <v>0</v>
      </c>
      <c r="CW1416" s="61">
        <f t="shared" si="1752"/>
        <v>0</v>
      </c>
      <c r="CY1416" s="61">
        <f t="shared" si="1721"/>
        <v>0</v>
      </c>
      <c r="CZ1416" s="61">
        <f t="shared" si="1721"/>
        <v>0</v>
      </c>
      <c r="DA1416" s="61"/>
      <c r="DB1416" s="2" t="s">
        <v>85</v>
      </c>
      <c r="DC1416" s="2" t="s">
        <v>85</v>
      </c>
      <c r="DD1416" s="2" t="s">
        <v>87</v>
      </c>
      <c r="DE1416" s="2" t="s">
        <v>106</v>
      </c>
      <c r="DG1416" s="62"/>
      <c r="EC1416" s="60"/>
      <c r="ED1416" s="60"/>
      <c r="EE1416" s="60"/>
      <c r="EF1416" s="60"/>
      <c r="EH1416" s="60"/>
      <c r="EI1416" s="60"/>
      <c r="EJ1416" s="60"/>
    </row>
    <row r="1417" spans="2:140" ht="12.75" hidden="1" customHeight="1">
      <c r="B1417" s="1" t="s">
        <v>2292</v>
      </c>
      <c r="C1417" s="380" t="s">
        <v>193</v>
      </c>
      <c r="D1417" s="66" t="s">
        <v>2293</v>
      </c>
      <c r="E1417" s="86" t="s">
        <v>1024</v>
      </c>
      <c r="F1417" s="85" t="s">
        <v>2072</v>
      </c>
      <c r="G1417" s="297"/>
      <c r="J1417" s="298" t="s">
        <v>128</v>
      </c>
      <c r="K1417" s="299" t="s">
        <v>2294</v>
      </c>
      <c r="L1417" s="3" t="s">
        <v>578</v>
      </c>
      <c r="M1417" s="51" t="str">
        <f>TRIM(J1417)&amp;"-"&amp;TRIM(K1417)&amp;"-"&amp;TRIM(L1417)</f>
        <v>ED8B-F025K20-AF</v>
      </c>
      <c r="O1417" s="89">
        <v>1</v>
      </c>
      <c r="P1417" s="89">
        <v>1</v>
      </c>
      <c r="Q1417" s="89">
        <v>1</v>
      </c>
      <c r="R1417" s="89">
        <v>1</v>
      </c>
      <c r="S1417" s="89">
        <v>1</v>
      </c>
      <c r="T1417" s="89">
        <v>1</v>
      </c>
      <c r="U1417" s="89">
        <v>1</v>
      </c>
      <c r="V1417" s="89">
        <v>1</v>
      </c>
      <c r="W1417" s="164">
        <f t="shared" si="1706"/>
        <v>1</v>
      </c>
      <c r="Y1417" s="8">
        <v>-99.4</v>
      </c>
      <c r="Z1417" s="63">
        <v>0</v>
      </c>
      <c r="AA1417" s="63">
        <v>0</v>
      </c>
      <c r="AB1417" s="63">
        <v>0</v>
      </c>
      <c r="AC1417" s="63">
        <v>0</v>
      </c>
      <c r="AD1417" s="8">
        <f t="shared" ref="AD1417:AD1418" si="1753">SUM(Y1417:AC1417)</f>
        <v>-99.4</v>
      </c>
      <c r="AE1417" s="2" t="s">
        <v>84</v>
      </c>
      <c r="AG1417" s="300"/>
      <c r="AH1417" s="300"/>
      <c r="AJ1417" s="300"/>
      <c r="AK1417" s="176"/>
      <c r="AM1417" s="22"/>
      <c r="AO1417" s="298" t="s">
        <v>128</v>
      </c>
      <c r="AP1417" s="297" t="s">
        <v>2295</v>
      </c>
      <c r="AQ1417" s="3" t="s">
        <v>129</v>
      </c>
      <c r="AR1417" s="90" t="str">
        <f t="shared" si="1745"/>
        <v>ED8B-F025K20-AE</v>
      </c>
      <c r="AT1417" s="89">
        <v>1</v>
      </c>
      <c r="AU1417" s="89">
        <v>1</v>
      </c>
      <c r="AV1417" s="89">
        <v>1</v>
      </c>
      <c r="AW1417" s="89">
        <v>1</v>
      </c>
      <c r="AX1417" s="89">
        <v>1</v>
      </c>
      <c r="AY1417" s="89">
        <v>1</v>
      </c>
      <c r="AZ1417" s="89">
        <v>1</v>
      </c>
      <c r="BA1417" s="89">
        <v>1</v>
      </c>
      <c r="BB1417" s="89">
        <f t="shared" si="1705"/>
        <v>1</v>
      </c>
      <c r="BD1417" s="60">
        <v>-99.4</v>
      </c>
      <c r="BE1417" s="63">
        <v>0</v>
      </c>
      <c r="BF1417" s="63">
        <v>0</v>
      </c>
      <c r="BG1417" s="63">
        <v>0</v>
      </c>
      <c r="BH1417" s="63">
        <v>0</v>
      </c>
      <c r="BI1417" s="8">
        <f t="shared" ref="BI1417:BI1419" si="1754">SUM(BD1417:BH1417)</f>
        <v>-99.4</v>
      </c>
      <c r="BJ1417" s="2" t="s">
        <v>84</v>
      </c>
      <c r="BL1417" s="63"/>
      <c r="BM1417" s="63">
        <v>0</v>
      </c>
      <c r="BN1417" s="267"/>
      <c r="BO1417" s="63">
        <v>0</v>
      </c>
      <c r="BP1417" s="63">
        <v>0</v>
      </c>
      <c r="BQ1417" s="2">
        <v>0</v>
      </c>
      <c r="BS1417" s="61">
        <f t="shared" si="1713"/>
        <v>0</v>
      </c>
      <c r="BT1417" s="61">
        <f t="shared" si="1714"/>
        <v>0</v>
      </c>
      <c r="BU1417" s="61">
        <f t="shared" si="1734"/>
        <v>0</v>
      </c>
      <c r="BV1417" s="61">
        <f t="shared" si="1734"/>
        <v>0</v>
      </c>
      <c r="BW1417" s="61">
        <f t="shared" si="1734"/>
        <v>0</v>
      </c>
      <c r="BX1417" s="63">
        <f t="shared" si="1734"/>
        <v>0</v>
      </c>
      <c r="BY1417" s="61" t="s">
        <v>91</v>
      </c>
      <c r="CA1417" s="61">
        <f t="shared" si="1710"/>
        <v>0</v>
      </c>
      <c r="CB1417" s="61">
        <f t="shared" si="1746"/>
        <v>0</v>
      </c>
      <c r="CC1417" s="61">
        <f t="shared" si="1746"/>
        <v>0</v>
      </c>
      <c r="CD1417" s="61">
        <f t="shared" si="1746"/>
        <v>0</v>
      </c>
      <c r="CE1417" s="61">
        <f t="shared" si="1746"/>
        <v>0</v>
      </c>
      <c r="CF1417" s="61">
        <f t="shared" si="1746"/>
        <v>0</v>
      </c>
      <c r="CG1417" s="61">
        <f t="shared" si="1746"/>
        <v>0</v>
      </c>
      <c r="CH1417" s="61">
        <f t="shared" si="1746"/>
        <v>0</v>
      </c>
      <c r="CI1417" s="61">
        <f t="shared" si="1715"/>
        <v>0</v>
      </c>
      <c r="CJ1417" s="267"/>
      <c r="CK1417" s="61">
        <f t="shared" si="1737"/>
        <v>0</v>
      </c>
      <c r="CL1417" s="61">
        <f t="shared" si="1747"/>
        <v>0</v>
      </c>
      <c r="CM1417" s="61">
        <f t="shared" si="1747"/>
        <v>0</v>
      </c>
      <c r="CN1417" s="61">
        <f t="shared" si="1747"/>
        <v>0</v>
      </c>
      <c r="CO1417" s="61">
        <f t="shared" si="1747"/>
        <v>0</v>
      </c>
      <c r="CP1417" s="61">
        <f t="shared" si="1747"/>
        <v>0</v>
      </c>
      <c r="CQ1417" s="61">
        <f t="shared" si="1747"/>
        <v>0</v>
      </c>
      <c r="CR1417" s="61">
        <f t="shared" si="1747"/>
        <v>0</v>
      </c>
      <c r="CS1417" s="61">
        <f t="shared" si="1716"/>
        <v>0</v>
      </c>
      <c r="CT1417" s="63">
        <f t="shared" si="1718"/>
        <v>0</v>
      </c>
      <c r="CU1417" s="73"/>
      <c r="CV1417" s="61">
        <f t="shared" ref="CV1417:CV1419" si="1755">SUM(AG1417)-SUM(BL1417)</f>
        <v>0</v>
      </c>
      <c r="CW1417" s="61">
        <f t="shared" ref="CW1417:CW1422" si="1756">SUM(AH1417)-SUM(BM1417)</f>
        <v>0</v>
      </c>
      <c r="CY1417" s="61">
        <f t="shared" si="1721"/>
        <v>0</v>
      </c>
      <c r="CZ1417" s="61">
        <f t="shared" si="1721"/>
        <v>0</v>
      </c>
      <c r="DA1417" s="61"/>
      <c r="DB1417" s="2" t="s">
        <v>86</v>
      </c>
      <c r="DC1417" s="2" t="s">
        <v>85</v>
      </c>
      <c r="DD1417" s="2" t="s">
        <v>87</v>
      </c>
      <c r="DE1417" s="2" t="s">
        <v>106</v>
      </c>
      <c r="DF1417" s="3" t="s">
        <v>86</v>
      </c>
      <c r="DG1417" s="62">
        <v>43166</v>
      </c>
      <c r="EC1417" s="60" t="str">
        <f>VLOOKUP($M1417,[1]Detail!$M:$BO,1,0)</f>
        <v>ED8B-F025K20-AF</v>
      </c>
      <c r="ED1417" s="60">
        <f>VLOOKUP($M1417,[1]Detail!$M:$BO,22,0)</f>
        <v>-99.4</v>
      </c>
      <c r="EE1417" s="60">
        <f>VLOOKUP($M1417,[1]Detail!$M:$BO,42,0)</f>
        <v>0</v>
      </c>
      <c r="EF1417" s="60">
        <f>VLOOKUP($M1417,[1]Detail!$M:$BO,45,0)</f>
        <v>0</v>
      </c>
      <c r="EH1417" s="60">
        <f>ED1417-AD1417</f>
        <v>0</v>
      </c>
      <c r="EI1417" s="60">
        <f>EE1417-AG1417</f>
        <v>0</v>
      </c>
      <c r="EJ1417" s="60">
        <f>EF1417-AJ1417</f>
        <v>0</v>
      </c>
    </row>
    <row r="1418" spans="2:140" ht="12.75" hidden="1" customHeight="1">
      <c r="B1418" s="1" t="s">
        <v>2292</v>
      </c>
      <c r="C1418" s="380" t="s">
        <v>193</v>
      </c>
      <c r="D1418" s="66" t="s">
        <v>2293</v>
      </c>
      <c r="E1418" s="86" t="s">
        <v>1024</v>
      </c>
      <c r="F1418" s="85" t="s">
        <v>2072</v>
      </c>
      <c r="G1418" s="297"/>
      <c r="J1418" s="298" t="s">
        <v>128</v>
      </c>
      <c r="K1418" s="299" t="s">
        <v>2296</v>
      </c>
      <c r="L1418" s="3" t="s">
        <v>578</v>
      </c>
      <c r="M1418" s="51" t="str">
        <f>TRIM(J1418)&amp;"-"&amp;TRIM(K1418)&amp;"-"&amp;TRIM(L1418)</f>
        <v>ED8B-F025K21-AF</v>
      </c>
      <c r="O1418" s="89">
        <v>1</v>
      </c>
      <c r="P1418" s="89">
        <v>1</v>
      </c>
      <c r="Q1418" s="89">
        <v>1</v>
      </c>
      <c r="R1418" s="89">
        <v>1</v>
      </c>
      <c r="S1418" s="89">
        <v>1</v>
      </c>
      <c r="T1418" s="89">
        <v>1</v>
      </c>
      <c r="U1418" s="89">
        <v>1</v>
      </c>
      <c r="V1418" s="89">
        <v>1</v>
      </c>
      <c r="W1418" s="164">
        <f t="shared" si="1706"/>
        <v>1</v>
      </c>
      <c r="Y1418" s="8">
        <v>-99.79</v>
      </c>
      <c r="Z1418" s="63">
        <v>0</v>
      </c>
      <c r="AA1418" s="63">
        <v>0</v>
      </c>
      <c r="AB1418" s="63">
        <v>0</v>
      </c>
      <c r="AC1418" s="63">
        <v>0</v>
      </c>
      <c r="AD1418" s="8">
        <f t="shared" si="1753"/>
        <v>-99.79</v>
      </c>
      <c r="AE1418" s="2" t="s">
        <v>84</v>
      </c>
      <c r="AG1418" s="300"/>
      <c r="AH1418" s="300"/>
      <c r="AJ1418" s="300"/>
      <c r="AK1418" s="176"/>
      <c r="AM1418" s="22"/>
      <c r="AO1418" s="298" t="s">
        <v>128</v>
      </c>
      <c r="AP1418" s="297" t="s">
        <v>2297</v>
      </c>
      <c r="AQ1418" s="3" t="s">
        <v>129</v>
      </c>
      <c r="AR1418" s="90" t="str">
        <f t="shared" si="1745"/>
        <v>ED8B-F025K21-AE</v>
      </c>
      <c r="AT1418" s="89">
        <v>1</v>
      </c>
      <c r="AU1418" s="89">
        <v>1</v>
      </c>
      <c r="AV1418" s="89">
        <v>1</v>
      </c>
      <c r="AW1418" s="89">
        <v>1</v>
      </c>
      <c r="AX1418" s="89">
        <v>1</v>
      </c>
      <c r="AY1418" s="89">
        <v>1</v>
      </c>
      <c r="AZ1418" s="89">
        <v>1</v>
      </c>
      <c r="BA1418" s="89">
        <v>1</v>
      </c>
      <c r="BB1418" s="89">
        <f t="shared" si="1705"/>
        <v>1</v>
      </c>
      <c r="BD1418" s="60">
        <v>-99.79</v>
      </c>
      <c r="BE1418" s="63">
        <v>0</v>
      </c>
      <c r="BF1418" s="63">
        <v>0</v>
      </c>
      <c r="BG1418" s="63">
        <v>0</v>
      </c>
      <c r="BH1418" s="63">
        <v>0</v>
      </c>
      <c r="BI1418" s="8">
        <f t="shared" si="1754"/>
        <v>-99.79</v>
      </c>
      <c r="BJ1418" s="2" t="s">
        <v>84</v>
      </c>
      <c r="BL1418" s="63"/>
      <c r="BM1418" s="63">
        <v>0</v>
      </c>
      <c r="BN1418" s="267"/>
      <c r="BO1418" s="63">
        <v>0</v>
      </c>
      <c r="BP1418" s="63">
        <v>0</v>
      </c>
      <c r="BS1418" s="61">
        <f t="shared" si="1713"/>
        <v>0</v>
      </c>
      <c r="BT1418" s="61">
        <f t="shared" si="1714"/>
        <v>0</v>
      </c>
      <c r="BU1418" s="61">
        <f t="shared" si="1734"/>
        <v>0</v>
      </c>
      <c r="BV1418" s="61">
        <f t="shared" si="1734"/>
        <v>0</v>
      </c>
      <c r="BW1418" s="61">
        <f t="shared" si="1734"/>
        <v>0</v>
      </c>
      <c r="BX1418" s="63">
        <f t="shared" si="1734"/>
        <v>0</v>
      </c>
      <c r="BY1418" s="61" t="s">
        <v>91</v>
      </c>
      <c r="CA1418" s="61">
        <f t="shared" si="1710"/>
        <v>0</v>
      </c>
      <c r="CB1418" s="61">
        <f t="shared" si="1746"/>
        <v>0</v>
      </c>
      <c r="CC1418" s="61">
        <f t="shared" si="1746"/>
        <v>0</v>
      </c>
      <c r="CD1418" s="61">
        <f t="shared" si="1746"/>
        <v>0</v>
      </c>
      <c r="CE1418" s="61">
        <f t="shared" si="1746"/>
        <v>0</v>
      </c>
      <c r="CF1418" s="61">
        <f t="shared" si="1746"/>
        <v>0</v>
      </c>
      <c r="CG1418" s="61">
        <f t="shared" si="1746"/>
        <v>0</v>
      </c>
      <c r="CH1418" s="61">
        <f t="shared" si="1746"/>
        <v>0</v>
      </c>
      <c r="CI1418" s="61">
        <f t="shared" si="1715"/>
        <v>0</v>
      </c>
      <c r="CJ1418" s="267"/>
      <c r="CK1418" s="61">
        <f t="shared" si="1737"/>
        <v>0</v>
      </c>
      <c r="CL1418" s="61">
        <f t="shared" si="1747"/>
        <v>0</v>
      </c>
      <c r="CM1418" s="61">
        <f t="shared" si="1747"/>
        <v>0</v>
      </c>
      <c r="CN1418" s="61">
        <f t="shared" si="1747"/>
        <v>0</v>
      </c>
      <c r="CO1418" s="61">
        <f t="shared" si="1747"/>
        <v>0</v>
      </c>
      <c r="CP1418" s="61">
        <f t="shared" si="1747"/>
        <v>0</v>
      </c>
      <c r="CQ1418" s="61">
        <f t="shared" si="1747"/>
        <v>0</v>
      </c>
      <c r="CR1418" s="61">
        <f t="shared" si="1747"/>
        <v>0</v>
      </c>
      <c r="CS1418" s="61">
        <f t="shared" si="1716"/>
        <v>0</v>
      </c>
      <c r="CT1418" s="63">
        <f t="shared" si="1718"/>
        <v>0</v>
      </c>
      <c r="CU1418" s="73"/>
      <c r="CV1418" s="61">
        <f t="shared" si="1755"/>
        <v>0</v>
      </c>
      <c r="CW1418" s="61">
        <f t="shared" si="1756"/>
        <v>0</v>
      </c>
      <c r="CY1418" s="61">
        <f t="shared" si="1721"/>
        <v>0</v>
      </c>
      <c r="CZ1418" s="61">
        <f t="shared" si="1721"/>
        <v>0</v>
      </c>
      <c r="DA1418" s="61"/>
      <c r="DB1418" s="2" t="s">
        <v>86</v>
      </c>
      <c r="DC1418" s="2" t="s">
        <v>85</v>
      </c>
      <c r="DD1418" s="2" t="s">
        <v>87</v>
      </c>
      <c r="DE1418" s="2" t="s">
        <v>106</v>
      </c>
      <c r="DF1418" s="3" t="s">
        <v>86</v>
      </c>
      <c r="DG1418" s="62">
        <v>43166</v>
      </c>
      <c r="EC1418" s="60" t="e">
        <f>VLOOKUP($M1418,[1]Detail!$M:$BO,1,0)</f>
        <v>#N/A</v>
      </c>
      <c r="ED1418" s="60" t="e">
        <f>VLOOKUP($M1418,[1]Detail!$M:$BO,22,0)</f>
        <v>#N/A</v>
      </c>
      <c r="EE1418" s="60" t="e">
        <f>VLOOKUP($M1418,[1]Detail!$M:$BO,42,0)</f>
        <v>#N/A</v>
      </c>
      <c r="EF1418" s="60" t="e">
        <f>VLOOKUP($M1418,[1]Detail!$M:$BO,45,0)</f>
        <v>#N/A</v>
      </c>
      <c r="EH1418" s="60" t="e">
        <f>ED1418-AD1418</f>
        <v>#N/A</v>
      </c>
      <c r="EI1418" s="60" t="e">
        <f>EE1418-AG1418</f>
        <v>#N/A</v>
      </c>
      <c r="EJ1418" s="60" t="e">
        <f>EF1418-AJ1418</f>
        <v>#N/A</v>
      </c>
    </row>
    <row r="1419" spans="2:140" ht="12.75" hidden="1" customHeight="1">
      <c r="B1419" s="1" t="s">
        <v>2292</v>
      </c>
      <c r="C1419" s="380" t="s">
        <v>145</v>
      </c>
      <c r="D1419" s="66" t="s">
        <v>2298</v>
      </c>
      <c r="E1419" s="86" t="s">
        <v>1024</v>
      </c>
      <c r="F1419" s="85" t="s">
        <v>2072</v>
      </c>
      <c r="G1419" s="297"/>
      <c r="J1419" s="298" t="s">
        <v>126</v>
      </c>
      <c r="K1419" s="299" t="s">
        <v>2299</v>
      </c>
      <c r="L1419" s="3" t="s">
        <v>100</v>
      </c>
      <c r="M1419" s="51" t="str">
        <f>TRIM(J1419)&amp;"-"&amp;TRIM(K1419)&amp;"-"&amp;TRIM(L1419)</f>
        <v>JD8B-F03410-AA</v>
      </c>
      <c r="O1419" s="89">
        <v>1</v>
      </c>
      <c r="P1419" s="89">
        <v>1</v>
      </c>
      <c r="Q1419" s="89">
        <v>1</v>
      </c>
      <c r="R1419" s="89">
        <v>1</v>
      </c>
      <c r="S1419" s="89">
        <v>1</v>
      </c>
      <c r="T1419" s="89">
        <v>1</v>
      </c>
      <c r="U1419" s="89">
        <v>1</v>
      </c>
      <c r="V1419" s="89">
        <v>1</v>
      </c>
      <c r="W1419" s="164">
        <f t="shared" si="1706"/>
        <v>1</v>
      </c>
      <c r="Y1419" s="8">
        <f>-16.95-5.54</f>
        <v>-22.49</v>
      </c>
      <c r="Z1419" s="63">
        <v>0</v>
      </c>
      <c r="AA1419" s="63">
        <v>0</v>
      </c>
      <c r="AB1419" s="63">
        <v>0</v>
      </c>
      <c r="AC1419" s="63">
        <v>0</v>
      </c>
      <c r="AD1419" s="8">
        <f t="shared" ref="AD1419" si="1757">SUM(Y1419:AC1419)</f>
        <v>-22.49</v>
      </c>
      <c r="AE1419" s="2" t="s">
        <v>84</v>
      </c>
      <c r="AG1419" s="300">
        <v>-999919.26</v>
      </c>
      <c r="AH1419" s="300"/>
      <c r="AJ1419" s="300"/>
      <c r="AK1419" s="176"/>
      <c r="AM1419" s="22"/>
      <c r="AO1419" s="298" t="s">
        <v>128</v>
      </c>
      <c r="AP1419" s="297" t="s">
        <v>2300</v>
      </c>
      <c r="AQ1419" s="3" t="s">
        <v>234</v>
      </c>
      <c r="AR1419" s="90" t="str">
        <f t="shared" si="1745"/>
        <v>ED8B-F03410-AC</v>
      </c>
      <c r="AT1419" s="89">
        <v>1</v>
      </c>
      <c r="AU1419" s="89">
        <v>1</v>
      </c>
      <c r="AV1419" s="89">
        <v>1</v>
      </c>
      <c r="AW1419" s="89">
        <v>1</v>
      </c>
      <c r="AX1419" s="89">
        <v>1</v>
      </c>
      <c r="AY1419" s="89">
        <v>1</v>
      </c>
      <c r="AZ1419" s="89">
        <v>1</v>
      </c>
      <c r="BA1419" s="89">
        <v>1</v>
      </c>
      <c r="BB1419" s="89">
        <f t="shared" si="1705"/>
        <v>1</v>
      </c>
      <c r="BD1419" s="60">
        <f>-16.95</f>
        <v>-16.95</v>
      </c>
      <c r="BE1419" s="63">
        <v>0</v>
      </c>
      <c r="BF1419" s="63">
        <v>0</v>
      </c>
      <c r="BG1419" s="63">
        <v>0</v>
      </c>
      <c r="BH1419" s="63">
        <v>0</v>
      </c>
      <c r="BI1419" s="8">
        <f t="shared" si="1754"/>
        <v>-16.95</v>
      </c>
      <c r="BJ1419" s="2" t="s">
        <v>84</v>
      </c>
      <c r="BL1419" s="63"/>
      <c r="BM1419" s="63">
        <v>0</v>
      </c>
      <c r="BN1419" s="267"/>
      <c r="BO1419" s="63">
        <v>0</v>
      </c>
      <c r="BP1419" s="63">
        <v>0</v>
      </c>
      <c r="BS1419" s="61">
        <f t="shared" si="1713"/>
        <v>-5.5399999999999991</v>
      </c>
      <c r="BT1419" s="61">
        <f t="shared" si="1714"/>
        <v>0</v>
      </c>
      <c r="BU1419" s="61">
        <f t="shared" si="1734"/>
        <v>0</v>
      </c>
      <c r="BV1419" s="61">
        <f t="shared" si="1734"/>
        <v>0</v>
      </c>
      <c r="BW1419" s="61">
        <f t="shared" si="1734"/>
        <v>0</v>
      </c>
      <c r="BX1419" s="63">
        <f t="shared" si="1734"/>
        <v>-5.5399999999999991</v>
      </c>
      <c r="BY1419" s="61" t="s">
        <v>91</v>
      </c>
      <c r="CA1419" s="61">
        <f t="shared" si="1710"/>
        <v>-0.83345870317436421</v>
      </c>
      <c r="CB1419" s="61">
        <f t="shared" si="1746"/>
        <v>-0.83345870317436421</v>
      </c>
      <c r="CC1419" s="61">
        <f t="shared" si="1746"/>
        <v>-0.83345870317436421</v>
      </c>
      <c r="CD1419" s="61">
        <f t="shared" si="1746"/>
        <v>-0.83345870317436421</v>
      </c>
      <c r="CE1419" s="61">
        <f t="shared" si="1746"/>
        <v>-0.83345870317436421</v>
      </c>
      <c r="CF1419" s="61">
        <f t="shared" si="1746"/>
        <v>-0.83345870317436421</v>
      </c>
      <c r="CG1419" s="61">
        <f t="shared" si="1746"/>
        <v>-0.83345870317436421</v>
      </c>
      <c r="CH1419" s="61">
        <f t="shared" si="1746"/>
        <v>-0.83345870317436421</v>
      </c>
      <c r="CI1419" s="61">
        <f t="shared" si="1715"/>
        <v>-0.8334587031743641</v>
      </c>
      <c r="CJ1419" s="267"/>
      <c r="CK1419" s="61">
        <f t="shared" si="1737"/>
        <v>-0.83345870317436421</v>
      </c>
      <c r="CL1419" s="61">
        <f t="shared" si="1747"/>
        <v>-0.83345870317436421</v>
      </c>
      <c r="CM1419" s="61">
        <f t="shared" si="1747"/>
        <v>-0.83345870317436421</v>
      </c>
      <c r="CN1419" s="61">
        <f t="shared" si="1747"/>
        <v>-0.83345870317436421</v>
      </c>
      <c r="CO1419" s="61">
        <f t="shared" si="1747"/>
        <v>-0.83345870317436421</v>
      </c>
      <c r="CP1419" s="61">
        <f t="shared" si="1747"/>
        <v>-0.83345870317436421</v>
      </c>
      <c r="CQ1419" s="61">
        <f t="shared" si="1747"/>
        <v>-0.83345870317436421</v>
      </c>
      <c r="CR1419" s="61">
        <f t="shared" si="1747"/>
        <v>-0.83345870317436421</v>
      </c>
      <c r="CS1419" s="61">
        <f t="shared" si="1716"/>
        <v>-0.8334587031743641</v>
      </c>
      <c r="CT1419" s="63">
        <f t="shared" si="1718"/>
        <v>-5.5399999999999983</v>
      </c>
      <c r="CU1419" s="73"/>
      <c r="CV1419" s="61">
        <f t="shared" si="1755"/>
        <v>-999919.26</v>
      </c>
      <c r="CW1419" s="61">
        <f t="shared" si="1756"/>
        <v>0</v>
      </c>
      <c r="CY1419" s="61">
        <f t="shared" si="1721"/>
        <v>0</v>
      </c>
      <c r="CZ1419" s="61">
        <f t="shared" si="1721"/>
        <v>0</v>
      </c>
      <c r="DA1419" s="61"/>
      <c r="DB1419" s="2" t="s">
        <v>86</v>
      </c>
      <c r="DC1419" s="2" t="s">
        <v>85</v>
      </c>
      <c r="DD1419" s="2" t="s">
        <v>87</v>
      </c>
      <c r="DE1419" s="2" t="s">
        <v>106</v>
      </c>
      <c r="DF1419" s="3" t="s">
        <v>86</v>
      </c>
      <c r="DG1419" s="62">
        <v>43166</v>
      </c>
      <c r="EC1419" s="60" t="e">
        <f>VLOOKUP($M1419,[1]Detail!$M:$BO,1,0)</f>
        <v>#N/A</v>
      </c>
      <c r="ED1419" s="60" t="e">
        <f>VLOOKUP($M1419,[1]Detail!$M:$BO,22,0)</f>
        <v>#N/A</v>
      </c>
      <c r="EE1419" s="60" t="e">
        <f>VLOOKUP($M1419,[1]Detail!$M:$BO,42,0)</f>
        <v>#N/A</v>
      </c>
      <c r="EF1419" s="60" t="e">
        <f>VLOOKUP($M1419,[1]Detail!$M:$BO,45,0)</f>
        <v>#N/A</v>
      </c>
      <c r="EH1419" s="60" t="e">
        <f>ED1419-AD1419</f>
        <v>#N/A</v>
      </c>
      <c r="EI1419" s="60" t="e">
        <f>EE1419-AG1419</f>
        <v>#N/A</v>
      </c>
      <c r="EJ1419" s="60" t="e">
        <f>EF1419-AJ1419</f>
        <v>#N/A</v>
      </c>
    </row>
    <row r="1420" spans="2:140" ht="12.75" hidden="1" customHeight="1">
      <c r="B1420" s="1" t="s">
        <v>2301</v>
      </c>
      <c r="C1420" s="380" t="s">
        <v>124</v>
      </c>
      <c r="D1420" s="66" t="s">
        <v>2302</v>
      </c>
      <c r="E1420" s="86" t="s">
        <v>260</v>
      </c>
      <c r="F1420" s="85" t="s">
        <v>2072</v>
      </c>
      <c r="G1420" s="297"/>
      <c r="J1420" s="298" t="s">
        <v>128</v>
      </c>
      <c r="K1420" s="299" t="s">
        <v>2303</v>
      </c>
      <c r="L1420" s="3" t="s">
        <v>486</v>
      </c>
      <c r="M1420" s="51" t="str">
        <f t="shared" ref="M1420:M1422" si="1758">TRIM(J1420)&amp;"-"&amp;TRIM(K1420)&amp;"-"&amp;TRIM(L1420)</f>
        <v>ED8B-F278C62-AB</v>
      </c>
      <c r="O1420" s="89">
        <v>2</v>
      </c>
      <c r="P1420" s="89">
        <v>2</v>
      </c>
      <c r="Q1420" s="89">
        <v>2</v>
      </c>
      <c r="R1420" s="89">
        <v>2</v>
      </c>
      <c r="S1420" s="89">
        <v>2</v>
      </c>
      <c r="T1420" s="89">
        <v>2</v>
      </c>
      <c r="U1420" s="89">
        <v>2</v>
      </c>
      <c r="V1420" s="89">
        <v>2</v>
      </c>
      <c r="W1420" s="164">
        <f t="shared" si="1706"/>
        <v>2</v>
      </c>
      <c r="Y1420" s="8">
        <v>-1.72</v>
      </c>
      <c r="Z1420" s="63">
        <v>0</v>
      </c>
      <c r="AA1420" s="63">
        <v>0</v>
      </c>
      <c r="AB1420" s="63">
        <v>0</v>
      </c>
      <c r="AC1420" s="63">
        <v>0</v>
      </c>
      <c r="AD1420" s="8">
        <f t="shared" ref="AD1420:AD1421" si="1759">SUM(Y1420:AC1420)</f>
        <v>-1.72</v>
      </c>
      <c r="AE1420" s="2" t="s">
        <v>84</v>
      </c>
      <c r="AG1420" s="300"/>
      <c r="AH1420" s="300"/>
      <c r="AJ1420" s="300"/>
      <c r="AK1420" s="176"/>
      <c r="AM1420" s="22"/>
      <c r="AO1420" s="298" t="s">
        <v>128</v>
      </c>
      <c r="AP1420" s="299" t="s">
        <v>2303</v>
      </c>
      <c r="AQ1420" s="3" t="s">
        <v>486</v>
      </c>
      <c r="AR1420" s="90" t="str">
        <f t="shared" si="1745"/>
        <v>ED8B-F278C62-AB</v>
      </c>
      <c r="AT1420" s="89">
        <v>2</v>
      </c>
      <c r="AU1420" s="89">
        <v>2</v>
      </c>
      <c r="AV1420" s="89">
        <v>2</v>
      </c>
      <c r="AW1420" s="89">
        <v>2</v>
      </c>
      <c r="AX1420" s="89">
        <v>2</v>
      </c>
      <c r="AY1420" s="89">
        <v>2</v>
      </c>
      <c r="AZ1420" s="89">
        <v>2</v>
      </c>
      <c r="BA1420" s="89">
        <v>2</v>
      </c>
      <c r="BB1420" s="164">
        <f t="shared" si="1705"/>
        <v>2</v>
      </c>
      <c r="BD1420" s="60">
        <v>-1.72</v>
      </c>
      <c r="BE1420" s="63">
        <v>0</v>
      </c>
      <c r="BF1420" s="63">
        <v>0</v>
      </c>
      <c r="BG1420" s="63">
        <v>0</v>
      </c>
      <c r="BH1420" s="63">
        <v>0</v>
      </c>
      <c r="BI1420" s="8">
        <f t="shared" ref="BI1420:BI1421" si="1760">SUM(BD1420:BH1420)</f>
        <v>-1.72</v>
      </c>
      <c r="BJ1420" s="2" t="s">
        <v>84</v>
      </c>
      <c r="BL1420" s="63"/>
      <c r="BM1420" s="63">
        <v>0</v>
      </c>
      <c r="BN1420" s="267"/>
      <c r="BO1420" s="63">
        <v>0</v>
      </c>
      <c r="BP1420" s="63"/>
      <c r="BS1420" s="61">
        <f t="shared" si="1713"/>
        <v>0</v>
      </c>
      <c r="BT1420" s="61">
        <f t="shared" si="1714"/>
        <v>0</v>
      </c>
      <c r="BU1420" s="61">
        <f t="shared" si="1734"/>
        <v>0</v>
      </c>
      <c r="BV1420" s="61">
        <f t="shared" si="1734"/>
        <v>0</v>
      </c>
      <c r="BW1420" s="61">
        <f t="shared" si="1734"/>
        <v>0</v>
      </c>
      <c r="BX1420" s="63">
        <f t="shared" si="1734"/>
        <v>0</v>
      </c>
      <c r="BY1420" s="61" t="s">
        <v>91</v>
      </c>
      <c r="CA1420" s="61">
        <f t="shared" si="1710"/>
        <v>0</v>
      </c>
      <c r="CB1420" s="61">
        <f t="shared" si="1746"/>
        <v>0</v>
      </c>
      <c r="CC1420" s="61">
        <f t="shared" si="1746"/>
        <v>0</v>
      </c>
      <c r="CD1420" s="61">
        <f t="shared" si="1746"/>
        <v>0</v>
      </c>
      <c r="CE1420" s="61">
        <f t="shared" si="1746"/>
        <v>0</v>
      </c>
      <c r="CF1420" s="61">
        <f t="shared" si="1746"/>
        <v>0</v>
      </c>
      <c r="CG1420" s="61">
        <f t="shared" si="1746"/>
        <v>0</v>
      </c>
      <c r="CH1420" s="61">
        <f t="shared" si="1746"/>
        <v>0</v>
      </c>
      <c r="CI1420" s="61">
        <f t="shared" si="1715"/>
        <v>0</v>
      </c>
      <c r="CJ1420" s="267"/>
      <c r="CK1420" s="61">
        <f t="shared" si="1737"/>
        <v>0</v>
      </c>
      <c r="CL1420" s="61">
        <f t="shared" si="1747"/>
        <v>0</v>
      </c>
      <c r="CM1420" s="61">
        <f t="shared" si="1747"/>
        <v>0</v>
      </c>
      <c r="CN1420" s="61">
        <f t="shared" si="1747"/>
        <v>0</v>
      </c>
      <c r="CO1420" s="61">
        <f t="shared" si="1747"/>
        <v>0</v>
      </c>
      <c r="CP1420" s="61">
        <f t="shared" si="1747"/>
        <v>0</v>
      </c>
      <c r="CQ1420" s="61">
        <f t="shared" si="1747"/>
        <v>0</v>
      </c>
      <c r="CR1420" s="61">
        <f t="shared" si="1747"/>
        <v>0</v>
      </c>
      <c r="CS1420" s="61">
        <f t="shared" si="1716"/>
        <v>0</v>
      </c>
      <c r="CT1420" s="63">
        <f t="shared" si="1718"/>
        <v>0</v>
      </c>
      <c r="CU1420" s="73"/>
      <c r="CV1420" s="61">
        <f t="shared" ref="CV1420:CV1421" si="1761">SUM(AG1420)-SUM(BL1420)</f>
        <v>0</v>
      </c>
      <c r="CW1420" s="61">
        <f t="shared" si="1756"/>
        <v>0</v>
      </c>
      <c r="CY1420" s="61">
        <f t="shared" si="1721"/>
        <v>0</v>
      </c>
      <c r="CZ1420" s="61">
        <f t="shared" si="1721"/>
        <v>0</v>
      </c>
      <c r="DA1420" s="61"/>
      <c r="DB1420" s="2" t="s">
        <v>86</v>
      </c>
      <c r="DC1420" s="2" t="s">
        <v>85</v>
      </c>
      <c r="DD1420" s="2" t="s">
        <v>87</v>
      </c>
      <c r="DE1420" s="2" t="s">
        <v>106</v>
      </c>
      <c r="DG1420" s="62"/>
      <c r="EC1420" s="60"/>
      <c r="ED1420" s="60"/>
      <c r="EE1420" s="60"/>
      <c r="EF1420" s="60"/>
    </row>
    <row r="1421" spans="2:140" ht="12.75" hidden="1" customHeight="1">
      <c r="B1421" s="1" t="s">
        <v>2301</v>
      </c>
      <c r="C1421" s="380" t="s">
        <v>124</v>
      </c>
      <c r="D1421" s="66" t="s">
        <v>2304</v>
      </c>
      <c r="E1421" s="86" t="s">
        <v>260</v>
      </c>
      <c r="F1421" s="85" t="s">
        <v>2072</v>
      </c>
      <c r="G1421" s="297"/>
      <c r="J1421" s="298" t="s">
        <v>128</v>
      </c>
      <c r="K1421" s="299" t="s">
        <v>2305</v>
      </c>
      <c r="L1421" s="3" t="s">
        <v>100</v>
      </c>
      <c r="M1421" s="51" t="str">
        <f t="shared" si="1758"/>
        <v>ED8B-F32284 -AA</v>
      </c>
      <c r="O1421" s="89">
        <v>2</v>
      </c>
      <c r="P1421" s="89">
        <v>2</v>
      </c>
      <c r="Q1421" s="89">
        <v>2</v>
      </c>
      <c r="R1421" s="89">
        <v>2</v>
      </c>
      <c r="S1421" s="89">
        <v>2</v>
      </c>
      <c r="T1421" s="89">
        <v>2</v>
      </c>
      <c r="U1421" s="89">
        <v>2</v>
      </c>
      <c r="V1421" s="89">
        <v>2</v>
      </c>
      <c r="W1421" s="164">
        <f t="shared" si="1706"/>
        <v>2</v>
      </c>
      <c r="Y1421" s="8">
        <v>-0.71</v>
      </c>
      <c r="Z1421" s="63">
        <v>0</v>
      </c>
      <c r="AA1421" s="63">
        <v>0</v>
      </c>
      <c r="AB1421" s="63">
        <v>0</v>
      </c>
      <c r="AC1421" s="63">
        <v>0</v>
      </c>
      <c r="AD1421" s="8">
        <f t="shared" si="1759"/>
        <v>-0.71</v>
      </c>
      <c r="AE1421" s="2" t="s">
        <v>84</v>
      </c>
      <c r="AG1421" s="300"/>
      <c r="AH1421" s="300"/>
      <c r="AJ1421" s="300"/>
      <c r="AK1421" s="176"/>
      <c r="AM1421" s="22"/>
      <c r="AO1421" s="298" t="s">
        <v>128</v>
      </c>
      <c r="AP1421" s="299" t="s">
        <v>2305</v>
      </c>
      <c r="AQ1421" s="3" t="s">
        <v>100</v>
      </c>
      <c r="AR1421" s="90" t="str">
        <f t="shared" si="1745"/>
        <v>ED8B-F32284 -AA</v>
      </c>
      <c r="AT1421" s="89">
        <v>2</v>
      </c>
      <c r="AU1421" s="89">
        <v>2</v>
      </c>
      <c r="AV1421" s="89">
        <v>2</v>
      </c>
      <c r="AW1421" s="89">
        <v>2</v>
      </c>
      <c r="AX1421" s="89">
        <v>2</v>
      </c>
      <c r="AY1421" s="89">
        <v>2</v>
      </c>
      <c r="AZ1421" s="89">
        <v>2</v>
      </c>
      <c r="BA1421" s="89">
        <v>2</v>
      </c>
      <c r="BB1421" s="164">
        <f t="shared" si="1705"/>
        <v>2</v>
      </c>
      <c r="BD1421" s="60">
        <v>-0.71</v>
      </c>
      <c r="BE1421" s="63">
        <v>0</v>
      </c>
      <c r="BF1421" s="63">
        <v>0</v>
      </c>
      <c r="BG1421" s="63">
        <v>0</v>
      </c>
      <c r="BH1421" s="63">
        <v>0</v>
      </c>
      <c r="BI1421" s="8">
        <f t="shared" si="1760"/>
        <v>-0.71</v>
      </c>
      <c r="BJ1421" s="2" t="s">
        <v>84</v>
      </c>
      <c r="BL1421" s="63"/>
      <c r="BM1421" s="63">
        <v>0</v>
      </c>
      <c r="BN1421" s="267"/>
      <c r="BO1421" s="63">
        <v>0</v>
      </c>
      <c r="BP1421" s="63"/>
      <c r="BS1421" s="61">
        <f t="shared" si="1713"/>
        <v>0</v>
      </c>
      <c r="BT1421" s="61">
        <f t="shared" si="1714"/>
        <v>0</v>
      </c>
      <c r="BU1421" s="61">
        <f t="shared" si="1734"/>
        <v>0</v>
      </c>
      <c r="BV1421" s="61">
        <f t="shared" si="1734"/>
        <v>0</v>
      </c>
      <c r="BW1421" s="61">
        <f t="shared" si="1734"/>
        <v>0</v>
      </c>
      <c r="BX1421" s="63">
        <f t="shared" si="1734"/>
        <v>0</v>
      </c>
      <c r="BY1421" s="61" t="s">
        <v>91</v>
      </c>
      <c r="CA1421" s="61">
        <f t="shared" si="1710"/>
        <v>0</v>
      </c>
      <c r="CB1421" s="61">
        <f t="shared" si="1746"/>
        <v>0</v>
      </c>
      <c r="CC1421" s="61">
        <f t="shared" si="1746"/>
        <v>0</v>
      </c>
      <c r="CD1421" s="61">
        <f t="shared" si="1746"/>
        <v>0</v>
      </c>
      <c r="CE1421" s="61">
        <f t="shared" si="1746"/>
        <v>0</v>
      </c>
      <c r="CF1421" s="61">
        <f t="shared" si="1746"/>
        <v>0</v>
      </c>
      <c r="CG1421" s="61">
        <f t="shared" si="1746"/>
        <v>0</v>
      </c>
      <c r="CH1421" s="61">
        <f t="shared" si="1746"/>
        <v>0</v>
      </c>
      <c r="CI1421" s="61">
        <f t="shared" si="1715"/>
        <v>0</v>
      </c>
      <c r="CJ1421" s="267"/>
      <c r="CK1421" s="61">
        <f t="shared" si="1737"/>
        <v>0</v>
      </c>
      <c r="CL1421" s="61">
        <f t="shared" si="1747"/>
        <v>0</v>
      </c>
      <c r="CM1421" s="61">
        <f t="shared" si="1747"/>
        <v>0</v>
      </c>
      <c r="CN1421" s="61">
        <f t="shared" si="1747"/>
        <v>0</v>
      </c>
      <c r="CO1421" s="61">
        <f t="shared" si="1747"/>
        <v>0</v>
      </c>
      <c r="CP1421" s="61">
        <f t="shared" si="1747"/>
        <v>0</v>
      </c>
      <c r="CQ1421" s="61">
        <f t="shared" si="1747"/>
        <v>0</v>
      </c>
      <c r="CR1421" s="61">
        <f t="shared" si="1747"/>
        <v>0</v>
      </c>
      <c r="CS1421" s="61">
        <f t="shared" si="1716"/>
        <v>0</v>
      </c>
      <c r="CT1421" s="63">
        <f t="shared" si="1718"/>
        <v>0</v>
      </c>
      <c r="CU1421" s="73"/>
      <c r="CV1421" s="61">
        <f t="shared" si="1761"/>
        <v>0</v>
      </c>
      <c r="CW1421" s="61">
        <f t="shared" si="1756"/>
        <v>0</v>
      </c>
      <c r="CY1421" s="61">
        <f t="shared" si="1721"/>
        <v>0</v>
      </c>
      <c r="CZ1421" s="61">
        <f t="shared" si="1721"/>
        <v>0</v>
      </c>
      <c r="DA1421" s="61"/>
      <c r="DB1421" s="2" t="s">
        <v>86</v>
      </c>
      <c r="DC1421" s="2" t="s">
        <v>85</v>
      </c>
      <c r="DD1421" s="2" t="s">
        <v>87</v>
      </c>
      <c r="DE1421" s="2" t="s">
        <v>106</v>
      </c>
      <c r="DG1421" s="62"/>
      <c r="EC1421" s="60"/>
      <c r="ED1421" s="60"/>
      <c r="EE1421" s="60"/>
      <c r="EF1421" s="60"/>
    </row>
    <row r="1422" spans="2:140" hidden="1">
      <c r="B1422" s="1" t="s">
        <v>2306</v>
      </c>
      <c r="C1422" s="153" t="s">
        <v>2307</v>
      </c>
      <c r="D1422" s="51" t="s">
        <v>2308</v>
      </c>
      <c r="E1422" s="55" t="s">
        <v>2309</v>
      </c>
      <c r="F1422" s="55" t="s">
        <v>330</v>
      </c>
      <c r="J1422" s="381" t="s">
        <v>2310</v>
      </c>
      <c r="K1422" s="381" t="s">
        <v>2311</v>
      </c>
      <c r="L1422" s="381" t="s">
        <v>486</v>
      </c>
      <c r="M1422" s="76" t="str">
        <f t="shared" si="1758"/>
        <v>4M51-9S336-AB</v>
      </c>
      <c r="O1422" s="55">
        <v>0</v>
      </c>
      <c r="P1422" s="55">
        <v>0</v>
      </c>
      <c r="Q1422" s="55">
        <v>0</v>
      </c>
      <c r="R1422" s="55">
        <v>0</v>
      </c>
      <c r="S1422" s="55">
        <v>0</v>
      </c>
      <c r="T1422" s="55">
        <v>0</v>
      </c>
      <c r="U1422" s="55">
        <v>0</v>
      </c>
      <c r="V1422" s="55">
        <v>0</v>
      </c>
      <c r="W1422" s="164">
        <f t="shared" si="1706"/>
        <v>0</v>
      </c>
      <c r="Y1422" s="8">
        <v>-2.25</v>
      </c>
      <c r="Z1422" s="63">
        <v>0</v>
      </c>
      <c r="AA1422" s="63">
        <v>0</v>
      </c>
      <c r="AB1422" s="63">
        <v>0</v>
      </c>
      <c r="AC1422" s="63">
        <v>0</v>
      </c>
      <c r="AD1422" s="8">
        <f t="shared" ref="AD1422" si="1762">SUM(Y1422:AC1422)</f>
        <v>-2.25</v>
      </c>
      <c r="AE1422" s="2" t="s">
        <v>84</v>
      </c>
      <c r="AM1422" s="22"/>
      <c r="AO1422" s="55" t="s">
        <v>2310</v>
      </c>
      <c r="AP1422" s="55" t="s">
        <v>2311</v>
      </c>
      <c r="AQ1422" s="55" t="s">
        <v>486</v>
      </c>
      <c r="AR1422" s="51" t="str">
        <f t="shared" si="1745"/>
        <v>4M51-9S336-AB</v>
      </c>
      <c r="AS1422" s="3"/>
      <c r="AT1422" s="3">
        <v>1</v>
      </c>
      <c r="AU1422" s="3">
        <v>0</v>
      </c>
      <c r="AV1422" s="3">
        <v>0</v>
      </c>
      <c r="AW1422" s="3">
        <v>0</v>
      </c>
      <c r="AX1422" s="3">
        <v>1</v>
      </c>
      <c r="AY1422" s="3">
        <v>0</v>
      </c>
      <c r="AZ1422" s="3">
        <v>0</v>
      </c>
      <c r="BA1422" s="3">
        <v>0</v>
      </c>
      <c r="BB1422" s="3">
        <f t="shared" si="1705"/>
        <v>0.23</v>
      </c>
      <c r="BD1422" s="63">
        <v>-2.25</v>
      </c>
      <c r="BE1422" s="63">
        <v>0</v>
      </c>
      <c r="BF1422" s="63">
        <v>0</v>
      </c>
      <c r="BG1422" s="63">
        <v>0</v>
      </c>
      <c r="BH1422" s="63">
        <v>0</v>
      </c>
      <c r="BI1422" s="8">
        <f t="shared" ref="BI1422" si="1763">SUM(BD1422:BH1422)</f>
        <v>-2.25</v>
      </c>
      <c r="BJ1422" s="2" t="s">
        <v>84</v>
      </c>
      <c r="BM1422" s="63">
        <v>0</v>
      </c>
      <c r="BO1422" s="63">
        <v>0</v>
      </c>
      <c r="BS1422" s="61">
        <f t="shared" si="1713"/>
        <v>0</v>
      </c>
      <c r="BT1422" s="61">
        <f t="shared" si="1714"/>
        <v>0</v>
      </c>
      <c r="BU1422" s="61">
        <f t="shared" si="1734"/>
        <v>0</v>
      </c>
      <c r="BV1422" s="61">
        <f t="shared" si="1734"/>
        <v>0</v>
      </c>
      <c r="BW1422" s="61">
        <f t="shared" si="1734"/>
        <v>0</v>
      </c>
      <c r="BX1422" s="63">
        <f t="shared" si="1734"/>
        <v>0</v>
      </c>
      <c r="BY1422" s="61" t="s">
        <v>91</v>
      </c>
      <c r="CA1422" s="61">
        <f t="shared" si="1710"/>
        <v>0.33849857078381224</v>
      </c>
      <c r="CB1422" s="61">
        <f t="shared" si="1746"/>
        <v>0</v>
      </c>
      <c r="CC1422" s="61">
        <f t="shared" si="1746"/>
        <v>0</v>
      </c>
      <c r="CD1422" s="61">
        <f t="shared" si="1746"/>
        <v>0</v>
      </c>
      <c r="CE1422" s="61">
        <f t="shared" si="1746"/>
        <v>0.33849857078381224</v>
      </c>
      <c r="CF1422" s="61">
        <f t="shared" si="1746"/>
        <v>0</v>
      </c>
      <c r="CG1422" s="61">
        <f t="shared" si="1746"/>
        <v>0</v>
      </c>
      <c r="CH1422" s="61">
        <f t="shared" si="1746"/>
        <v>0</v>
      </c>
      <c r="CI1422" s="61">
        <f t="shared" si="1715"/>
        <v>7.7854671280276816E-2</v>
      </c>
      <c r="CJ1422" s="267"/>
      <c r="CK1422" s="61">
        <f t="shared" si="1737"/>
        <v>0.33849857078381224</v>
      </c>
      <c r="CL1422" s="61">
        <f t="shared" si="1747"/>
        <v>0</v>
      </c>
      <c r="CM1422" s="61">
        <f t="shared" si="1747"/>
        <v>0</v>
      </c>
      <c r="CN1422" s="61">
        <f t="shared" si="1747"/>
        <v>0</v>
      </c>
      <c r="CO1422" s="61">
        <f t="shared" si="1747"/>
        <v>0.33849857078381224</v>
      </c>
      <c r="CP1422" s="61">
        <f t="shared" si="1747"/>
        <v>0</v>
      </c>
      <c r="CQ1422" s="61">
        <f t="shared" si="1747"/>
        <v>0</v>
      </c>
      <c r="CR1422" s="61">
        <f t="shared" si="1747"/>
        <v>0</v>
      </c>
      <c r="CS1422" s="61">
        <f t="shared" si="1716"/>
        <v>7.7854671280276816E-2</v>
      </c>
      <c r="CT1422" s="63">
        <f t="shared" si="1718"/>
        <v>0.51749999999999996</v>
      </c>
      <c r="CU1422" s="73"/>
      <c r="CV1422" s="61">
        <f t="shared" ref="CV1422" si="1764">SUM(AG1422)-SUM(BL1422)</f>
        <v>0</v>
      </c>
      <c r="CW1422" s="61">
        <f t="shared" si="1756"/>
        <v>0</v>
      </c>
      <c r="CY1422" s="61">
        <f t="shared" si="1721"/>
        <v>0</v>
      </c>
      <c r="CZ1422" s="61">
        <f t="shared" si="1721"/>
        <v>0</v>
      </c>
      <c r="DA1422" s="61"/>
      <c r="DB1422" s="2" t="s">
        <v>86</v>
      </c>
      <c r="DC1422" s="2" t="s">
        <v>85</v>
      </c>
      <c r="DD1422" s="2" t="s">
        <v>87</v>
      </c>
      <c r="DE1422" s="2" t="s">
        <v>106</v>
      </c>
      <c r="EC1422" s="60"/>
      <c r="ED1422" s="60"/>
      <c r="EE1422" s="60"/>
      <c r="EF1422" s="60"/>
    </row>
    <row r="1423" spans="2:140">
      <c r="J1423" s="1"/>
      <c r="L1423" s="1"/>
      <c r="EC1423" s="60"/>
      <c r="ED1423" s="60"/>
      <c r="EE1423" s="60"/>
      <c r="EF1423" s="60"/>
    </row>
    <row r="1424" spans="2:140">
      <c r="EC1424" s="60"/>
      <c r="ED1424" s="60"/>
      <c r="EE1424" s="60"/>
      <c r="EF1424" s="60"/>
    </row>
    <row r="1425" spans="2:136">
      <c r="EC1425" s="60"/>
      <c r="ED1425" s="60"/>
      <c r="EE1425" s="60"/>
      <c r="EF1425" s="60"/>
    </row>
    <row r="1426" spans="2:136">
      <c r="EC1426" s="60"/>
      <c r="ED1426" s="60"/>
      <c r="EE1426" s="60"/>
      <c r="EF1426" s="60"/>
    </row>
    <row r="1427" spans="2:136">
      <c r="EC1427" s="60"/>
      <c r="ED1427" s="60"/>
      <c r="EE1427" s="60"/>
      <c r="EF1427" s="60"/>
    </row>
    <row r="1428" spans="2:136">
      <c r="EC1428" s="60"/>
      <c r="ED1428" s="60"/>
      <c r="EE1428" s="60"/>
      <c r="EF1428" s="60"/>
    </row>
    <row r="1429" spans="2:136">
      <c r="EC1429" s="60"/>
      <c r="ED1429" s="60"/>
      <c r="EE1429" s="60"/>
      <c r="EF1429" s="60"/>
    </row>
    <row r="1430" spans="2:136">
      <c r="EC1430" s="60"/>
      <c r="ED1430" s="60"/>
      <c r="EE1430" s="60"/>
      <c r="EF1430" s="60"/>
    </row>
    <row r="1431" spans="2:136">
      <c r="EC1431" s="60"/>
      <c r="ED1431" s="60"/>
      <c r="EE1431" s="60"/>
      <c r="EF1431" s="60"/>
    </row>
    <row r="1432" spans="2:136">
      <c r="EC1432" s="60"/>
      <c r="ED1432" s="60"/>
      <c r="EE1432" s="60"/>
      <c r="EF1432" s="60"/>
    </row>
    <row r="1433" spans="2:136" ht="12.75" customHeight="1">
      <c r="B1433" s="382" t="s">
        <v>2312</v>
      </c>
      <c r="DG1433" s="62">
        <v>43084</v>
      </c>
      <c r="EC1433" s="60"/>
      <c r="ED1433" s="60"/>
      <c r="EE1433" s="60"/>
      <c r="EF1433" s="60"/>
    </row>
    <row r="1434" spans="2:136" ht="12.75" customHeight="1">
      <c r="B1434" s="99" t="s">
        <v>2313</v>
      </c>
      <c r="C1434" s="2" t="s">
        <v>1230</v>
      </c>
      <c r="D1434" s="22" t="s">
        <v>2314</v>
      </c>
      <c r="E1434" s="2" t="s">
        <v>968</v>
      </c>
      <c r="F1434" s="2" t="s">
        <v>969</v>
      </c>
      <c r="G1434" s="2" t="s">
        <v>994</v>
      </c>
      <c r="J1434" s="149" t="s">
        <v>128</v>
      </c>
      <c r="K1434" s="23" t="s">
        <v>1315</v>
      </c>
      <c r="L1434" s="149" t="s">
        <v>2315</v>
      </c>
      <c r="M1434" s="51" t="str">
        <f t="shared" ref="M1434:M1459" si="1765">TRIM(J1434)&amp;"-"&amp;TRIM(K1434)&amp;"-"&amp;TRIM(L1434)</f>
        <v>ED8B-13W029-BL</v>
      </c>
      <c r="O1434" s="22"/>
      <c r="P1434" s="22"/>
      <c r="Q1434" s="22">
        <v>1</v>
      </c>
      <c r="R1434" s="22">
        <v>1</v>
      </c>
      <c r="S1434" s="22"/>
      <c r="T1434" s="22"/>
      <c r="U1434" s="22"/>
      <c r="V1434" s="22"/>
      <c r="W1434" s="64">
        <f>SUMPRODUCT(O1434:V1434,$O$6:$V$6)</f>
        <v>0.37</v>
      </c>
      <c r="Y1434" s="60">
        <v>-255.60000000000002</v>
      </c>
      <c r="Z1434" s="60">
        <v>-0.32</v>
      </c>
      <c r="AA1434" s="60">
        <v>-5.66</v>
      </c>
      <c r="AB1434" s="60">
        <v>-1.31</v>
      </c>
      <c r="AC1434" s="60">
        <v>0</v>
      </c>
      <c r="AD1434" s="8">
        <f t="shared" ref="AD1434:AD1459" si="1766">SUM(Y1434:AC1434)</f>
        <v>-262.89000000000004</v>
      </c>
      <c r="AE1434" s="2" t="s">
        <v>84</v>
      </c>
      <c r="AG1434" s="70"/>
      <c r="AH1434" s="70"/>
      <c r="AJ1434" s="70"/>
      <c r="AK1434" s="70"/>
      <c r="AL1434" s="72"/>
      <c r="AO1434" s="149" t="s">
        <v>128</v>
      </c>
      <c r="AP1434" s="23" t="s">
        <v>1315</v>
      </c>
      <c r="AQ1434" s="149" t="s">
        <v>1885</v>
      </c>
      <c r="AR1434" s="51" t="str">
        <f t="shared" ref="AR1434:AR1459" si="1767">TRIM(AO1434)&amp;"-"&amp;TRIM(AP1434)&amp;"-"&amp;TRIM(AQ1434)</f>
        <v>ED8B-13W029-BK</v>
      </c>
      <c r="AS1434" s="3"/>
      <c r="AT1434" s="22"/>
      <c r="AU1434" s="22"/>
      <c r="AV1434" s="22">
        <v>1</v>
      </c>
      <c r="AW1434" s="22">
        <v>1</v>
      </c>
      <c r="AX1434" s="22"/>
      <c r="AY1434" s="22"/>
      <c r="AZ1434" s="22"/>
      <c r="BA1434" s="22"/>
      <c r="BB1434" s="64">
        <f>SUMPRODUCT(AT1434:BA1434,$O$6:$V$6)</f>
        <v>0.37</v>
      </c>
      <c r="BD1434" s="60">
        <f>-255.6-2.09</f>
        <v>-257.69</v>
      </c>
      <c r="BE1434" s="60">
        <v>-0.32</v>
      </c>
      <c r="BF1434" s="60">
        <v>-5.66</v>
      </c>
      <c r="BG1434" s="60">
        <v>-1.31</v>
      </c>
      <c r="BH1434" s="60">
        <v>0</v>
      </c>
      <c r="BI1434" s="8">
        <f t="shared" ref="BI1434" si="1768">SUM(BD1434:BH1434)</f>
        <v>-264.98</v>
      </c>
      <c r="BJ1434" s="2" t="s">
        <v>84</v>
      </c>
      <c r="BL1434" s="70"/>
      <c r="BM1434" s="70"/>
      <c r="BO1434" s="70"/>
      <c r="BP1434" s="70"/>
      <c r="BQ1434" s="72"/>
      <c r="BS1434" s="61">
        <f t="shared" ref="BS1434:BX1437" si="1769">SUM(Y1434)-SUM(BD1434)</f>
        <v>2.089999999999975</v>
      </c>
      <c r="BT1434" s="61">
        <f t="shared" si="1769"/>
        <v>0</v>
      </c>
      <c r="BU1434" s="61">
        <f t="shared" si="1769"/>
        <v>0</v>
      </c>
      <c r="BV1434" s="61">
        <f t="shared" si="1769"/>
        <v>0</v>
      </c>
      <c r="BW1434" s="61">
        <f t="shared" si="1769"/>
        <v>0</v>
      </c>
      <c r="BX1434" s="61">
        <f t="shared" si="1769"/>
        <v>2.089999999999975</v>
      </c>
      <c r="BY1434" s="61" t="s">
        <v>91</v>
      </c>
      <c r="CA1434" s="61">
        <f t="shared" ref="CA1434:CH1437" si="1770">($Y1434*O1434-AT1434*$BD1434)/$C$2</f>
        <v>0</v>
      </c>
      <c r="CB1434" s="61">
        <f t="shared" si="1770"/>
        <v>0</v>
      </c>
      <c r="CC1434" s="61">
        <f t="shared" si="1770"/>
        <v>0.31442756130584848</v>
      </c>
      <c r="CD1434" s="61">
        <f t="shared" si="1770"/>
        <v>0.31442756130584848</v>
      </c>
      <c r="CE1434" s="61">
        <f t="shared" si="1770"/>
        <v>0</v>
      </c>
      <c r="CF1434" s="61">
        <f t="shared" si="1770"/>
        <v>0</v>
      </c>
      <c r="CG1434" s="61">
        <f t="shared" si="1770"/>
        <v>0</v>
      </c>
      <c r="CH1434" s="61">
        <f t="shared" si="1770"/>
        <v>0</v>
      </c>
      <c r="CI1434" s="61">
        <f>SUMPRODUCT(CA1434:CH1434,$O$6:$V$6)</f>
        <v>0.11633819768316395</v>
      </c>
      <c r="CJ1434" s="61"/>
      <c r="CK1434" s="61">
        <f t="shared" ref="CK1434:CR1437" si="1771">(O1434*$AD1434-AT1434*$BI1434)/$C$2</f>
        <v>0</v>
      </c>
      <c r="CL1434" s="61">
        <f t="shared" si="1771"/>
        <v>0</v>
      </c>
      <c r="CM1434" s="61">
        <f t="shared" si="1771"/>
        <v>0.31442756130584848</v>
      </c>
      <c r="CN1434" s="61">
        <f t="shared" si="1771"/>
        <v>0.31442756130584848</v>
      </c>
      <c r="CO1434" s="61">
        <f t="shared" si="1771"/>
        <v>0</v>
      </c>
      <c r="CP1434" s="61">
        <f t="shared" si="1771"/>
        <v>0</v>
      </c>
      <c r="CQ1434" s="61">
        <f t="shared" si="1771"/>
        <v>0</v>
      </c>
      <c r="CR1434" s="61">
        <f t="shared" si="1771"/>
        <v>0</v>
      </c>
      <c r="CS1434" s="61">
        <f>SUMPRODUCT(CK1434:CR1434,$O$6:$V$6)</f>
        <v>0.11633819768316395</v>
      </c>
      <c r="CT1434" s="61">
        <f>CS1434*$C$2</f>
        <v>0.77329999999999077</v>
      </c>
      <c r="CV1434" s="61">
        <f t="shared" ref="CV1434:CV1459" si="1772">SUM(AG1434)-SUM(BL1434)</f>
        <v>0</v>
      </c>
      <c r="CW1434" s="61">
        <f t="shared" ref="CW1434:CW1459" si="1773">SUM(AH1434)-SUM(BM1434)</f>
        <v>0</v>
      </c>
      <c r="CX1434" s="61"/>
      <c r="CY1434" s="61">
        <f t="shared" ref="CY1434:DA1439" si="1774">SUM(AJ1434)-SUM(BO1434)</f>
        <v>0</v>
      </c>
      <c r="CZ1434" s="61">
        <f t="shared" si="1774"/>
        <v>0</v>
      </c>
      <c r="DA1434" s="61">
        <f t="shared" si="1774"/>
        <v>0</v>
      </c>
      <c r="DB1434" s="2" t="s">
        <v>102</v>
      </c>
      <c r="DC1434" s="2" t="s">
        <v>85</v>
      </c>
      <c r="DD1434" s="2" t="s">
        <v>2316</v>
      </c>
      <c r="DE1434" s="2" t="s">
        <v>264</v>
      </c>
      <c r="DF1434" s="3" t="s">
        <v>86</v>
      </c>
      <c r="DG1434" s="62">
        <v>43084</v>
      </c>
      <c r="EC1434" s="60" t="e">
        <f>VLOOKUP($M1435,[1]Detail!$M:$BO,1,0)</f>
        <v>#N/A</v>
      </c>
      <c r="ED1434" s="60" t="e">
        <f>VLOOKUP($M1435,[1]Detail!$M:$BO,22,0)</f>
        <v>#N/A</v>
      </c>
      <c r="EE1434" s="60" t="e">
        <f>VLOOKUP($M1435,[1]Detail!$M:$BO,42,0)</f>
        <v>#N/A</v>
      </c>
      <c r="EF1434" s="60" t="e">
        <f>VLOOKUP($M1435,[1]Detail!$M:$BO,45,0)</f>
        <v>#N/A</v>
      </c>
    </row>
    <row r="1435" spans="2:136" ht="12.75" customHeight="1">
      <c r="B1435" s="99" t="s">
        <v>2313</v>
      </c>
      <c r="C1435" s="2" t="s">
        <v>1230</v>
      </c>
      <c r="D1435" s="22" t="s">
        <v>2314</v>
      </c>
      <c r="E1435" s="2" t="s">
        <v>968</v>
      </c>
      <c r="F1435" s="2" t="s">
        <v>969</v>
      </c>
      <c r="G1435" s="2" t="s">
        <v>994</v>
      </c>
      <c r="J1435" s="149" t="s">
        <v>128</v>
      </c>
      <c r="K1435" s="23" t="s">
        <v>1315</v>
      </c>
      <c r="L1435" s="149" t="s">
        <v>924</v>
      </c>
      <c r="M1435" s="51" t="str">
        <f t="shared" si="1765"/>
        <v>ED8B-13W029-CC</v>
      </c>
      <c r="O1435" s="22">
        <v>1</v>
      </c>
      <c r="P1435" s="22">
        <v>1</v>
      </c>
      <c r="Q1435" s="22"/>
      <c r="R1435" s="22"/>
      <c r="S1435" s="22"/>
      <c r="T1435" s="22"/>
      <c r="U1435" s="22"/>
      <c r="V1435" s="22"/>
      <c r="W1435" s="64">
        <f>SUMPRODUCT(O1435:V1435,$O$6:$V$6)</f>
        <v>0.30000000000000004</v>
      </c>
      <c r="Y1435" s="60">
        <v>-240.20999999999998</v>
      </c>
      <c r="Z1435" s="60">
        <v>-0.32</v>
      </c>
      <c r="AA1435" s="60">
        <v>-5.66</v>
      </c>
      <c r="AB1435" s="60">
        <v>-1.31</v>
      </c>
      <c r="AC1435" s="60"/>
      <c r="AD1435" s="8">
        <f t="shared" si="1766"/>
        <v>-247.49999999999997</v>
      </c>
      <c r="AE1435" s="2" t="s">
        <v>84</v>
      </c>
      <c r="AG1435" s="70"/>
      <c r="AH1435" s="70"/>
      <c r="AJ1435" s="70"/>
      <c r="AK1435" s="70"/>
      <c r="AL1435" s="72"/>
      <c r="AO1435" s="149" t="s">
        <v>128</v>
      </c>
      <c r="AP1435" s="23" t="s">
        <v>1315</v>
      </c>
      <c r="AQ1435" s="149" t="s">
        <v>122</v>
      </c>
      <c r="AR1435" s="51" t="str">
        <f t="shared" si="1767"/>
        <v>ED8B-13W029-CB</v>
      </c>
      <c r="AS1435" s="3"/>
      <c r="AT1435" s="22">
        <v>1</v>
      </c>
      <c r="AU1435" s="22">
        <v>1</v>
      </c>
      <c r="AV1435" s="22"/>
      <c r="AW1435" s="22"/>
      <c r="AX1435" s="22"/>
      <c r="AY1435" s="22"/>
      <c r="AZ1435" s="22"/>
      <c r="BA1435" s="22"/>
      <c r="BB1435" s="64">
        <f>SUMPRODUCT(AT1435:BA1435,$O$6:$V$6)</f>
        <v>0.30000000000000004</v>
      </c>
      <c r="BD1435" s="60">
        <f>-240.21-2.14</f>
        <v>-242.35</v>
      </c>
      <c r="BE1435" s="60">
        <v>-0.32</v>
      </c>
      <c r="BF1435" s="60">
        <v>-5.66</v>
      </c>
      <c r="BG1435" s="60">
        <v>-1.31</v>
      </c>
      <c r="BH1435" s="60"/>
      <c r="BI1435" s="8">
        <f t="shared" ref="BI1435:BI1459" si="1775">SUM(BD1435:BH1435)</f>
        <v>-249.64</v>
      </c>
      <c r="BJ1435" s="2" t="s">
        <v>84</v>
      </c>
      <c r="BL1435" s="70"/>
      <c r="BM1435" s="70"/>
      <c r="BO1435" s="70"/>
      <c r="BP1435" s="70"/>
      <c r="BQ1435" s="72"/>
      <c r="BS1435" s="61">
        <f t="shared" si="1769"/>
        <v>2.1400000000000148</v>
      </c>
      <c r="BT1435" s="61">
        <f t="shared" si="1769"/>
        <v>0</v>
      </c>
      <c r="BU1435" s="61">
        <f t="shared" si="1769"/>
        <v>0</v>
      </c>
      <c r="BV1435" s="61">
        <f t="shared" si="1769"/>
        <v>0</v>
      </c>
      <c r="BW1435" s="61">
        <f t="shared" si="1769"/>
        <v>0</v>
      </c>
      <c r="BX1435" s="61">
        <f t="shared" si="1769"/>
        <v>2.1400000000000148</v>
      </c>
      <c r="BY1435" s="61" t="s">
        <v>91</v>
      </c>
      <c r="CA1435" s="61">
        <f t="shared" si="1770"/>
        <v>0.32194975176771695</v>
      </c>
      <c r="CB1435" s="61">
        <f t="shared" si="1770"/>
        <v>0.32194975176771695</v>
      </c>
      <c r="CC1435" s="61">
        <f t="shared" si="1770"/>
        <v>0</v>
      </c>
      <c r="CD1435" s="61">
        <f t="shared" si="1770"/>
        <v>0</v>
      </c>
      <c r="CE1435" s="61">
        <f t="shared" si="1770"/>
        <v>0</v>
      </c>
      <c r="CF1435" s="61">
        <f t="shared" si="1770"/>
        <v>0</v>
      </c>
      <c r="CG1435" s="61">
        <f t="shared" si="1770"/>
        <v>0</v>
      </c>
      <c r="CH1435" s="61">
        <f t="shared" si="1770"/>
        <v>0</v>
      </c>
      <c r="CI1435" s="61">
        <f>SUMPRODUCT(CA1435:CH1435,$O$6:$V$6)</f>
        <v>9.6584925530315086E-2</v>
      </c>
      <c r="CJ1435" s="61"/>
      <c r="CK1435" s="61">
        <f t="shared" si="1771"/>
        <v>0.32194975176771695</v>
      </c>
      <c r="CL1435" s="61">
        <f t="shared" si="1771"/>
        <v>0.32194975176771695</v>
      </c>
      <c r="CM1435" s="61">
        <f t="shared" si="1771"/>
        <v>0</v>
      </c>
      <c r="CN1435" s="61">
        <f t="shared" si="1771"/>
        <v>0</v>
      </c>
      <c r="CO1435" s="61">
        <f t="shared" si="1771"/>
        <v>0</v>
      </c>
      <c r="CP1435" s="61">
        <f t="shared" si="1771"/>
        <v>0</v>
      </c>
      <c r="CQ1435" s="61">
        <f t="shared" si="1771"/>
        <v>0</v>
      </c>
      <c r="CR1435" s="61">
        <f t="shared" si="1771"/>
        <v>0</v>
      </c>
      <c r="CS1435" s="61">
        <f>SUMPRODUCT(CK1435:CR1435,$O$6:$V$6)</f>
        <v>9.6584925530315086E-2</v>
      </c>
      <c r="CT1435" s="61">
        <f>CS1435*$C$2</f>
        <v>0.64200000000000434</v>
      </c>
      <c r="CV1435" s="61">
        <f t="shared" si="1772"/>
        <v>0</v>
      </c>
      <c r="CW1435" s="61">
        <f t="shared" si="1773"/>
        <v>0</v>
      </c>
      <c r="CX1435" s="61"/>
      <c r="CY1435" s="61">
        <f t="shared" si="1774"/>
        <v>0</v>
      </c>
      <c r="CZ1435" s="61">
        <f t="shared" si="1774"/>
        <v>0</v>
      </c>
      <c r="DA1435" s="61">
        <f t="shared" si="1774"/>
        <v>0</v>
      </c>
      <c r="DB1435" s="2" t="s">
        <v>102</v>
      </c>
      <c r="DC1435" s="2" t="s">
        <v>85</v>
      </c>
      <c r="DD1435" s="2" t="s">
        <v>2316</v>
      </c>
      <c r="DE1435" s="2" t="s">
        <v>264</v>
      </c>
      <c r="DG1435" s="62">
        <v>43084</v>
      </c>
      <c r="EC1435" s="60"/>
      <c r="ED1435" s="60"/>
      <c r="EE1435" s="60"/>
      <c r="EF1435" s="60"/>
    </row>
    <row r="1436" spans="2:136" ht="12.75" customHeight="1">
      <c r="B1436" s="99" t="s">
        <v>2313</v>
      </c>
      <c r="C1436" s="2" t="s">
        <v>1230</v>
      </c>
      <c r="D1436" s="22" t="s">
        <v>2314</v>
      </c>
      <c r="E1436" s="2" t="s">
        <v>968</v>
      </c>
      <c r="F1436" s="2" t="s">
        <v>969</v>
      </c>
      <c r="G1436" s="2" t="s">
        <v>994</v>
      </c>
      <c r="J1436" s="149" t="s">
        <v>128</v>
      </c>
      <c r="K1436" s="23" t="s">
        <v>1316</v>
      </c>
      <c r="L1436" s="149" t="s">
        <v>2315</v>
      </c>
      <c r="M1436" s="51" t="str">
        <f t="shared" si="1765"/>
        <v>ED8B-13W030-BL</v>
      </c>
      <c r="O1436" s="22"/>
      <c r="P1436" s="22"/>
      <c r="Q1436" s="22">
        <v>1</v>
      </c>
      <c r="R1436" s="22">
        <v>1</v>
      </c>
      <c r="S1436" s="22"/>
      <c r="T1436" s="22"/>
      <c r="U1436" s="22"/>
      <c r="V1436" s="22"/>
      <c r="W1436" s="64">
        <f>SUMPRODUCT(O1436:V1436,$O$6:$V$6)</f>
        <v>0.37</v>
      </c>
      <c r="Y1436" s="60">
        <v>-255.60000000000002</v>
      </c>
      <c r="Z1436" s="60">
        <v>-0.32</v>
      </c>
      <c r="AA1436" s="60">
        <v>-5.66</v>
      </c>
      <c r="AB1436" s="60">
        <v>-1.31</v>
      </c>
      <c r="AC1436" s="60"/>
      <c r="AD1436" s="8">
        <f t="shared" si="1766"/>
        <v>-262.89000000000004</v>
      </c>
      <c r="AE1436" s="2" t="s">
        <v>84</v>
      </c>
      <c r="AG1436" s="70"/>
      <c r="AH1436" s="70"/>
      <c r="AJ1436" s="70"/>
      <c r="AK1436" s="70"/>
      <c r="AL1436" s="72"/>
      <c r="AO1436" s="149" t="s">
        <v>128</v>
      </c>
      <c r="AP1436" s="23" t="s">
        <v>1316</v>
      </c>
      <c r="AQ1436" s="149" t="s">
        <v>1885</v>
      </c>
      <c r="AR1436" s="51" t="str">
        <f t="shared" si="1767"/>
        <v>ED8B-13W030-BK</v>
      </c>
      <c r="AS1436" s="3"/>
      <c r="AT1436" s="22"/>
      <c r="AU1436" s="22"/>
      <c r="AV1436" s="22">
        <v>1</v>
      </c>
      <c r="AW1436" s="22">
        <v>1</v>
      </c>
      <c r="AX1436" s="22"/>
      <c r="AY1436" s="22"/>
      <c r="AZ1436" s="22"/>
      <c r="BA1436" s="22"/>
      <c r="BB1436" s="64">
        <f>SUMPRODUCT(AT1436:BA1436,$O$6:$V$6)</f>
        <v>0.37</v>
      </c>
      <c r="BD1436" s="60">
        <f>-255.6-2.09</f>
        <v>-257.69</v>
      </c>
      <c r="BE1436" s="60">
        <v>-0.32</v>
      </c>
      <c r="BF1436" s="60">
        <v>-5.66</v>
      </c>
      <c r="BG1436" s="60">
        <v>-1.31</v>
      </c>
      <c r="BH1436" s="60"/>
      <c r="BI1436" s="8">
        <f t="shared" si="1775"/>
        <v>-264.98</v>
      </c>
      <c r="BJ1436" s="2" t="s">
        <v>84</v>
      </c>
      <c r="BL1436" s="70"/>
      <c r="BM1436" s="70"/>
      <c r="BO1436" s="70"/>
      <c r="BP1436" s="70"/>
      <c r="BQ1436" s="72"/>
      <c r="BS1436" s="61">
        <f t="shared" si="1769"/>
        <v>2.089999999999975</v>
      </c>
      <c r="BT1436" s="61">
        <f t="shared" si="1769"/>
        <v>0</v>
      </c>
      <c r="BU1436" s="61">
        <f t="shared" si="1769"/>
        <v>0</v>
      </c>
      <c r="BV1436" s="61">
        <f t="shared" si="1769"/>
        <v>0</v>
      </c>
      <c r="BW1436" s="61">
        <f t="shared" si="1769"/>
        <v>0</v>
      </c>
      <c r="BX1436" s="61">
        <f t="shared" si="1769"/>
        <v>2.089999999999975</v>
      </c>
      <c r="BY1436" s="61" t="s">
        <v>91</v>
      </c>
      <c r="CA1436" s="61">
        <f t="shared" si="1770"/>
        <v>0</v>
      </c>
      <c r="CB1436" s="61">
        <f t="shared" si="1770"/>
        <v>0</v>
      </c>
      <c r="CC1436" s="61">
        <f t="shared" si="1770"/>
        <v>0.31442756130584848</v>
      </c>
      <c r="CD1436" s="61">
        <f t="shared" si="1770"/>
        <v>0.31442756130584848</v>
      </c>
      <c r="CE1436" s="61">
        <f t="shared" si="1770"/>
        <v>0</v>
      </c>
      <c r="CF1436" s="61">
        <f t="shared" si="1770"/>
        <v>0</v>
      </c>
      <c r="CG1436" s="61">
        <f t="shared" si="1770"/>
        <v>0</v>
      </c>
      <c r="CH1436" s="61">
        <f t="shared" si="1770"/>
        <v>0</v>
      </c>
      <c r="CI1436" s="61">
        <f>SUMPRODUCT(CA1436:CH1436,$O$6:$V$6)</f>
        <v>0.11633819768316395</v>
      </c>
      <c r="CJ1436" s="61"/>
      <c r="CK1436" s="61">
        <f t="shared" si="1771"/>
        <v>0</v>
      </c>
      <c r="CL1436" s="61">
        <f t="shared" si="1771"/>
        <v>0</v>
      </c>
      <c r="CM1436" s="61">
        <f t="shared" si="1771"/>
        <v>0.31442756130584848</v>
      </c>
      <c r="CN1436" s="61">
        <f t="shared" si="1771"/>
        <v>0.31442756130584848</v>
      </c>
      <c r="CO1436" s="61">
        <f t="shared" si="1771"/>
        <v>0</v>
      </c>
      <c r="CP1436" s="61">
        <f t="shared" si="1771"/>
        <v>0</v>
      </c>
      <c r="CQ1436" s="61">
        <f t="shared" si="1771"/>
        <v>0</v>
      </c>
      <c r="CR1436" s="61">
        <f t="shared" si="1771"/>
        <v>0</v>
      </c>
      <c r="CS1436" s="61">
        <f>SUMPRODUCT(CK1436:CR1436,$O$6:$V$6)</f>
        <v>0.11633819768316395</v>
      </c>
      <c r="CT1436" s="61">
        <f>CS1436*$C$2</f>
        <v>0.77329999999999077</v>
      </c>
      <c r="CV1436" s="61">
        <f t="shared" si="1772"/>
        <v>0</v>
      </c>
      <c r="CW1436" s="61">
        <f t="shared" si="1773"/>
        <v>0</v>
      </c>
      <c r="CX1436" s="61"/>
      <c r="CY1436" s="61">
        <f t="shared" si="1774"/>
        <v>0</v>
      </c>
      <c r="CZ1436" s="61">
        <f t="shared" si="1774"/>
        <v>0</v>
      </c>
      <c r="DA1436" s="61">
        <f t="shared" si="1774"/>
        <v>0</v>
      </c>
      <c r="DB1436" s="2" t="s">
        <v>102</v>
      </c>
      <c r="DC1436" s="2" t="s">
        <v>85</v>
      </c>
      <c r="DD1436" s="2" t="s">
        <v>2316</v>
      </c>
      <c r="DE1436" s="2" t="s">
        <v>264</v>
      </c>
      <c r="DG1436" s="62"/>
      <c r="EC1436" s="60"/>
      <c r="ED1436" s="60"/>
      <c r="EE1436" s="60"/>
      <c r="EF1436" s="60"/>
    </row>
    <row r="1437" spans="2:136" ht="12.75" customHeight="1">
      <c r="B1437" s="99" t="s">
        <v>2313</v>
      </c>
      <c r="C1437" s="2" t="s">
        <v>1230</v>
      </c>
      <c r="D1437" s="22" t="s">
        <v>2314</v>
      </c>
      <c r="E1437" s="2" t="s">
        <v>968</v>
      </c>
      <c r="F1437" s="2" t="s">
        <v>969</v>
      </c>
      <c r="G1437" s="2" t="s">
        <v>994</v>
      </c>
      <c r="J1437" s="149" t="s">
        <v>128</v>
      </c>
      <c r="K1437" s="23" t="s">
        <v>1316</v>
      </c>
      <c r="L1437" s="149" t="s">
        <v>924</v>
      </c>
      <c r="M1437" s="51" t="str">
        <f t="shared" si="1765"/>
        <v>ED8B-13W030-CC</v>
      </c>
      <c r="O1437" s="22">
        <v>1</v>
      </c>
      <c r="P1437" s="22">
        <v>1</v>
      </c>
      <c r="Q1437" s="22"/>
      <c r="R1437" s="22"/>
      <c r="S1437" s="22"/>
      <c r="T1437" s="22"/>
      <c r="U1437" s="22"/>
      <c r="V1437" s="22"/>
      <c r="W1437" s="64">
        <f>SUMPRODUCT(O1437:V1437,$O$6:$V$6)</f>
        <v>0.30000000000000004</v>
      </c>
      <c r="Y1437" s="60">
        <v>-240.20999999999998</v>
      </c>
      <c r="Z1437" s="60">
        <v>-0.32</v>
      </c>
      <c r="AA1437" s="60">
        <v>-5.66</v>
      </c>
      <c r="AB1437" s="60">
        <v>-1.31</v>
      </c>
      <c r="AC1437" s="60"/>
      <c r="AD1437" s="8">
        <f t="shared" si="1766"/>
        <v>-247.49999999999997</v>
      </c>
      <c r="AE1437" s="2" t="s">
        <v>84</v>
      </c>
      <c r="AG1437" s="70"/>
      <c r="AH1437" s="70"/>
      <c r="AJ1437" s="70"/>
      <c r="AK1437" s="70"/>
      <c r="AL1437" s="72"/>
      <c r="AO1437" s="149" t="s">
        <v>128</v>
      </c>
      <c r="AP1437" s="23" t="s">
        <v>1316</v>
      </c>
      <c r="AQ1437" s="149" t="s">
        <v>122</v>
      </c>
      <c r="AR1437" s="51" t="str">
        <f t="shared" si="1767"/>
        <v>ED8B-13W030-CB</v>
      </c>
      <c r="AS1437" s="3"/>
      <c r="AT1437" s="22">
        <v>1</v>
      </c>
      <c r="AU1437" s="22">
        <v>1</v>
      </c>
      <c r="AV1437" s="22"/>
      <c r="AW1437" s="22"/>
      <c r="AX1437" s="22"/>
      <c r="AY1437" s="22"/>
      <c r="AZ1437" s="22"/>
      <c r="BA1437" s="22"/>
      <c r="BB1437" s="64">
        <f>SUMPRODUCT(AT1437:BA1437,$O$6:$V$6)</f>
        <v>0.30000000000000004</v>
      </c>
      <c r="BD1437" s="60">
        <f>-240.21-2.14</f>
        <v>-242.35</v>
      </c>
      <c r="BE1437" s="60">
        <v>-0.32</v>
      </c>
      <c r="BF1437" s="60">
        <v>-5.66</v>
      </c>
      <c r="BG1437" s="60">
        <v>-1.31</v>
      </c>
      <c r="BH1437" s="60"/>
      <c r="BI1437" s="8">
        <f t="shared" si="1775"/>
        <v>-249.64</v>
      </c>
      <c r="BJ1437" s="2" t="s">
        <v>84</v>
      </c>
      <c r="BL1437" s="70"/>
      <c r="BM1437" s="70"/>
      <c r="BO1437" s="70"/>
      <c r="BP1437" s="70"/>
      <c r="BQ1437" s="72"/>
      <c r="BS1437" s="61">
        <f t="shared" si="1769"/>
        <v>2.1400000000000148</v>
      </c>
      <c r="BT1437" s="61">
        <f t="shared" si="1769"/>
        <v>0</v>
      </c>
      <c r="BU1437" s="61">
        <f t="shared" si="1769"/>
        <v>0</v>
      </c>
      <c r="BV1437" s="61">
        <f t="shared" si="1769"/>
        <v>0</v>
      </c>
      <c r="BW1437" s="61">
        <f t="shared" si="1769"/>
        <v>0</v>
      </c>
      <c r="BX1437" s="61">
        <f t="shared" si="1769"/>
        <v>2.1400000000000148</v>
      </c>
      <c r="BY1437" s="61" t="s">
        <v>91</v>
      </c>
      <c r="CA1437" s="61">
        <f t="shared" si="1770"/>
        <v>0.32194975176771695</v>
      </c>
      <c r="CB1437" s="61">
        <f t="shared" si="1770"/>
        <v>0.32194975176771695</v>
      </c>
      <c r="CC1437" s="61">
        <f t="shared" si="1770"/>
        <v>0</v>
      </c>
      <c r="CD1437" s="61">
        <f t="shared" si="1770"/>
        <v>0</v>
      </c>
      <c r="CE1437" s="61">
        <f t="shared" si="1770"/>
        <v>0</v>
      </c>
      <c r="CF1437" s="61">
        <f t="shared" si="1770"/>
        <v>0</v>
      </c>
      <c r="CG1437" s="61">
        <f t="shared" si="1770"/>
        <v>0</v>
      </c>
      <c r="CH1437" s="61">
        <f t="shared" si="1770"/>
        <v>0</v>
      </c>
      <c r="CI1437" s="61">
        <f>SUMPRODUCT(CA1437:CH1437,$O$6:$V$6)</f>
        <v>9.6584925530315086E-2</v>
      </c>
      <c r="CJ1437" s="61"/>
      <c r="CK1437" s="61">
        <f t="shared" si="1771"/>
        <v>0.32194975176771695</v>
      </c>
      <c r="CL1437" s="61">
        <f t="shared" si="1771"/>
        <v>0.32194975176771695</v>
      </c>
      <c r="CM1437" s="61">
        <f t="shared" si="1771"/>
        <v>0</v>
      </c>
      <c r="CN1437" s="61">
        <f t="shared" si="1771"/>
        <v>0</v>
      </c>
      <c r="CO1437" s="61">
        <f t="shared" si="1771"/>
        <v>0</v>
      </c>
      <c r="CP1437" s="61">
        <f t="shared" si="1771"/>
        <v>0</v>
      </c>
      <c r="CQ1437" s="61">
        <f t="shared" si="1771"/>
        <v>0</v>
      </c>
      <c r="CR1437" s="61">
        <f t="shared" si="1771"/>
        <v>0</v>
      </c>
      <c r="CS1437" s="61">
        <f>SUMPRODUCT(CK1437:CR1437,$O$6:$V$6)</f>
        <v>9.6584925530315086E-2</v>
      </c>
      <c r="CT1437" s="61">
        <f>CS1437*$C$2</f>
        <v>0.64200000000000434</v>
      </c>
      <c r="CV1437" s="61">
        <f t="shared" si="1772"/>
        <v>0</v>
      </c>
      <c r="CW1437" s="61">
        <f t="shared" si="1773"/>
        <v>0</v>
      </c>
      <c r="CX1437" s="61"/>
      <c r="CY1437" s="61">
        <f t="shared" si="1774"/>
        <v>0</v>
      </c>
      <c r="CZ1437" s="61">
        <f t="shared" si="1774"/>
        <v>0</v>
      </c>
      <c r="DA1437" s="61">
        <f t="shared" si="1774"/>
        <v>0</v>
      </c>
      <c r="DB1437" s="2" t="s">
        <v>102</v>
      </c>
      <c r="DC1437" s="2" t="s">
        <v>85</v>
      </c>
      <c r="DD1437" s="2" t="s">
        <v>2316</v>
      </c>
      <c r="DE1437" s="2" t="s">
        <v>264</v>
      </c>
      <c r="DG1437" s="62"/>
      <c r="EC1437" s="60"/>
      <c r="ED1437" s="60"/>
      <c r="EE1437" s="60"/>
      <c r="EF1437" s="60"/>
    </row>
    <row r="1438" spans="2:136">
      <c r="EC1438" s="60"/>
      <c r="ED1438" s="60"/>
      <c r="EE1438" s="60"/>
      <c r="EF1438" s="60"/>
    </row>
    <row r="1439" spans="2:136" ht="12.75" customHeight="1">
      <c r="B1439" s="99"/>
      <c r="C1439" s="22"/>
      <c r="D1439" s="22"/>
      <c r="F1439" s="2"/>
      <c r="G1439" s="2"/>
      <c r="J1439" s="149"/>
      <c r="K1439" s="23"/>
      <c r="L1439" s="149"/>
      <c r="M1439" s="51" t="str">
        <f t="shared" si="1765"/>
        <v>--</v>
      </c>
      <c r="O1439" s="22"/>
      <c r="P1439" s="22"/>
      <c r="Q1439" s="22"/>
      <c r="R1439" s="22"/>
      <c r="S1439" s="22"/>
      <c r="T1439" s="22"/>
      <c r="U1439" s="22"/>
      <c r="V1439" s="22"/>
      <c r="W1439" s="64">
        <f>SUMPRODUCT(O1439:V1439,$O$6:$V$6)</f>
        <v>0</v>
      </c>
      <c r="Y1439" s="60"/>
      <c r="Z1439" s="60"/>
      <c r="AA1439" s="60"/>
      <c r="AB1439" s="60"/>
      <c r="AC1439" s="60"/>
      <c r="AD1439" s="8">
        <f t="shared" si="1766"/>
        <v>0</v>
      </c>
      <c r="AE1439" s="2" t="s">
        <v>84</v>
      </c>
      <c r="AG1439" s="70"/>
      <c r="AH1439" s="70"/>
      <c r="AJ1439" s="70"/>
      <c r="AK1439" s="70"/>
      <c r="AL1439" s="72"/>
      <c r="AO1439" s="22"/>
      <c r="AP1439" s="85"/>
      <c r="AQ1439" s="22"/>
      <c r="AR1439" s="51" t="str">
        <f t="shared" si="1767"/>
        <v>--</v>
      </c>
      <c r="AS1439" s="3"/>
      <c r="AT1439" s="94"/>
      <c r="AU1439" s="94"/>
      <c r="AV1439" s="94"/>
      <c r="AW1439" s="94"/>
      <c r="AX1439" s="94"/>
      <c r="AY1439" s="94"/>
      <c r="AZ1439" s="94"/>
      <c r="BA1439" s="94"/>
      <c r="BB1439" s="64">
        <f>SUMPRODUCT(AT1439:BA1439,$O$6:$V$6)</f>
        <v>0</v>
      </c>
      <c r="BD1439" s="60"/>
      <c r="BE1439" s="60"/>
      <c r="BF1439" s="95"/>
      <c r="BG1439" s="95"/>
      <c r="BH1439" s="95"/>
      <c r="BI1439" s="8">
        <f t="shared" si="1775"/>
        <v>0</v>
      </c>
      <c r="BJ1439" s="2" t="s">
        <v>84</v>
      </c>
      <c r="BL1439" s="70"/>
      <c r="BM1439" s="70"/>
      <c r="BO1439" s="70"/>
      <c r="BP1439" s="70"/>
      <c r="BQ1439" s="72"/>
      <c r="BS1439" s="61">
        <f t="shared" ref="BS1439:BX1439" si="1776">SUM(Y1439)-SUM(BD1439)</f>
        <v>0</v>
      </c>
      <c r="BT1439" s="61">
        <f t="shared" si="1776"/>
        <v>0</v>
      </c>
      <c r="BU1439" s="61">
        <f t="shared" si="1776"/>
        <v>0</v>
      </c>
      <c r="BV1439" s="61">
        <f t="shared" si="1776"/>
        <v>0</v>
      </c>
      <c r="BW1439" s="61">
        <f t="shared" si="1776"/>
        <v>0</v>
      </c>
      <c r="BX1439" s="61">
        <f t="shared" si="1776"/>
        <v>0</v>
      </c>
      <c r="BY1439" s="61" t="s">
        <v>91</v>
      </c>
      <c r="CA1439" s="61">
        <f t="shared" ref="CA1439:CH1439" si="1777">($Y1439*O1439-AT1439*$BD1439)/$C$2</f>
        <v>0</v>
      </c>
      <c r="CB1439" s="61">
        <f t="shared" si="1777"/>
        <v>0</v>
      </c>
      <c r="CC1439" s="61">
        <f t="shared" si="1777"/>
        <v>0</v>
      </c>
      <c r="CD1439" s="61">
        <f t="shared" si="1777"/>
        <v>0</v>
      </c>
      <c r="CE1439" s="61">
        <f t="shared" si="1777"/>
        <v>0</v>
      </c>
      <c r="CF1439" s="61">
        <f t="shared" si="1777"/>
        <v>0</v>
      </c>
      <c r="CG1439" s="61">
        <f t="shared" si="1777"/>
        <v>0</v>
      </c>
      <c r="CH1439" s="61">
        <f t="shared" si="1777"/>
        <v>0</v>
      </c>
      <c r="CI1439" s="61">
        <f>SUMPRODUCT(CA1439:CH1439,$O$6:$V$6)</f>
        <v>0</v>
      </c>
      <c r="CJ1439" s="61"/>
      <c r="CK1439" s="61">
        <f t="shared" ref="CK1439:CR1439" si="1778">(O1439*$AD1439-AT1439*$BI1439)/$C$2</f>
        <v>0</v>
      </c>
      <c r="CL1439" s="61">
        <f t="shared" si="1778"/>
        <v>0</v>
      </c>
      <c r="CM1439" s="61">
        <f t="shared" si="1778"/>
        <v>0</v>
      </c>
      <c r="CN1439" s="61">
        <f t="shared" si="1778"/>
        <v>0</v>
      </c>
      <c r="CO1439" s="61">
        <f t="shared" si="1778"/>
        <v>0</v>
      </c>
      <c r="CP1439" s="61">
        <f t="shared" si="1778"/>
        <v>0</v>
      </c>
      <c r="CQ1439" s="61">
        <f t="shared" si="1778"/>
        <v>0</v>
      </c>
      <c r="CR1439" s="61">
        <f t="shared" si="1778"/>
        <v>0</v>
      </c>
      <c r="CS1439" s="61">
        <f>SUMPRODUCT(CK1439:CR1439,$O$6:$V$6)</f>
        <v>0</v>
      </c>
      <c r="CT1439" s="61">
        <f>CS1439*$C$2</f>
        <v>0</v>
      </c>
      <c r="CV1439" s="61">
        <f t="shared" si="1772"/>
        <v>0</v>
      </c>
      <c r="CW1439" s="61">
        <f t="shared" si="1773"/>
        <v>0</v>
      </c>
      <c r="CX1439" s="61"/>
      <c r="CY1439" s="61">
        <f t="shared" si="1774"/>
        <v>0</v>
      </c>
      <c r="CZ1439" s="61">
        <f t="shared" si="1774"/>
        <v>0</v>
      </c>
      <c r="DA1439" s="61">
        <f t="shared" si="1774"/>
        <v>0</v>
      </c>
      <c r="DG1439" s="62"/>
      <c r="EC1439" s="60"/>
      <c r="ED1439" s="60"/>
      <c r="EE1439" s="60" t="s">
        <v>2317</v>
      </c>
      <c r="EF1439" s="60"/>
    </row>
    <row r="1440" spans="2:136" ht="12.75" customHeight="1">
      <c r="B1440" s="99"/>
      <c r="C1440" s="22"/>
      <c r="D1440" s="22"/>
      <c r="F1440" s="2"/>
      <c r="G1440" s="2"/>
      <c r="J1440" s="149"/>
      <c r="K1440" s="23"/>
      <c r="L1440" s="149"/>
      <c r="M1440" s="51"/>
      <c r="O1440" s="22"/>
      <c r="P1440" s="22"/>
      <c r="Q1440" s="22"/>
      <c r="R1440" s="22"/>
      <c r="S1440" s="22"/>
      <c r="T1440" s="22"/>
      <c r="U1440" s="22"/>
      <c r="V1440" s="22"/>
      <c r="W1440" s="64"/>
      <c r="Y1440" s="60"/>
      <c r="Z1440" s="60"/>
      <c r="AA1440" s="60"/>
      <c r="AB1440" s="60"/>
      <c r="AC1440" s="60"/>
      <c r="AD1440" s="8"/>
      <c r="AG1440" s="70"/>
      <c r="AH1440" s="70"/>
      <c r="AJ1440" s="70"/>
      <c r="AK1440" s="70"/>
      <c r="AL1440" s="72"/>
      <c r="AO1440" s="22"/>
      <c r="AP1440" s="85"/>
      <c r="AQ1440" s="22"/>
      <c r="AR1440" s="51"/>
      <c r="AS1440" s="3"/>
      <c r="AT1440" s="94"/>
      <c r="AU1440" s="94"/>
      <c r="AV1440" s="94"/>
      <c r="AW1440" s="94"/>
      <c r="AX1440" s="94"/>
      <c r="AY1440" s="94"/>
      <c r="AZ1440" s="94"/>
      <c r="BA1440" s="94"/>
      <c r="BB1440" s="64"/>
      <c r="BD1440" s="60"/>
      <c r="BE1440" s="60"/>
      <c r="BF1440" s="95"/>
      <c r="BG1440" s="95"/>
      <c r="BH1440" s="95"/>
      <c r="BI1440" s="8"/>
      <c r="BL1440" s="70"/>
      <c r="BM1440" s="70"/>
      <c r="BO1440" s="70"/>
      <c r="BP1440" s="70"/>
      <c r="BQ1440" s="72"/>
      <c r="BS1440" s="61"/>
      <c r="BT1440" s="61"/>
      <c r="BU1440" s="61"/>
      <c r="BV1440" s="61"/>
      <c r="BW1440" s="61"/>
      <c r="BX1440" s="61"/>
      <c r="BY1440" s="61"/>
      <c r="CA1440" s="61"/>
      <c r="CB1440" s="61"/>
      <c r="CC1440" s="61"/>
      <c r="CD1440" s="61"/>
      <c r="CE1440" s="61"/>
      <c r="CF1440" s="61"/>
      <c r="CG1440" s="61"/>
      <c r="CH1440" s="61"/>
      <c r="CI1440" s="61"/>
      <c r="CJ1440" s="61"/>
      <c r="CK1440" s="61"/>
      <c r="CL1440" s="61"/>
      <c r="CM1440" s="61"/>
      <c r="CN1440" s="61"/>
      <c r="CO1440" s="61"/>
      <c r="CP1440" s="61"/>
      <c r="CQ1440" s="61"/>
      <c r="CR1440" s="61"/>
      <c r="CS1440" s="61"/>
      <c r="CT1440" s="61"/>
      <c r="CV1440" s="61"/>
      <c r="CW1440" s="61"/>
      <c r="CX1440" s="61"/>
      <c r="CY1440" s="61"/>
      <c r="CZ1440" s="61"/>
      <c r="DA1440" s="61"/>
      <c r="DG1440" s="62"/>
      <c r="EC1440" s="60"/>
      <c r="ED1440" s="60"/>
      <c r="EE1440" s="60"/>
      <c r="EF1440" s="60"/>
    </row>
    <row r="1441" spans="2:136" ht="12.75" customHeight="1">
      <c r="B1441" s="99"/>
      <c r="C1441" s="22"/>
      <c r="D1441" s="22"/>
      <c r="F1441" s="2"/>
      <c r="G1441" s="2"/>
      <c r="J1441" s="149"/>
      <c r="K1441" s="23"/>
      <c r="L1441" s="149"/>
      <c r="M1441" s="51" t="str">
        <f t="shared" ref="M1441" si="1779">TRIM(J1441)&amp;"-"&amp;TRIM(K1441)&amp;"-"&amp;TRIM(L1441)</f>
        <v>--</v>
      </c>
      <c r="O1441" s="22"/>
      <c r="P1441" s="22"/>
      <c r="Q1441" s="22"/>
      <c r="R1441" s="22"/>
      <c r="S1441" s="22"/>
      <c r="T1441" s="22"/>
      <c r="U1441" s="22"/>
      <c r="V1441" s="22"/>
      <c r="W1441" s="64">
        <f>SUMPRODUCT(O1441:V1441,$O$6:$V$6)</f>
        <v>0</v>
      </c>
      <c r="Y1441" s="60"/>
      <c r="Z1441" s="60"/>
      <c r="AA1441" s="60"/>
      <c r="AB1441" s="60"/>
      <c r="AC1441" s="60"/>
      <c r="AD1441" s="8">
        <f t="shared" ref="AD1441" si="1780">SUM(Y1441:AC1441)</f>
        <v>0</v>
      </c>
      <c r="AE1441" s="2" t="s">
        <v>84</v>
      </c>
      <c r="AG1441" s="70"/>
      <c r="AH1441" s="70"/>
      <c r="AJ1441" s="70"/>
      <c r="AK1441" s="70"/>
      <c r="AL1441" s="72"/>
      <c r="AO1441" s="22"/>
      <c r="AP1441" s="85"/>
      <c r="AQ1441" s="22"/>
      <c r="AR1441" s="51" t="str">
        <f t="shared" ref="AR1441" si="1781">TRIM(AO1441)&amp;"-"&amp;TRIM(AP1441)&amp;"-"&amp;TRIM(AQ1441)</f>
        <v>--</v>
      </c>
      <c r="AS1441" s="3"/>
      <c r="AT1441" s="94"/>
      <c r="AU1441" s="94"/>
      <c r="AV1441" s="94"/>
      <c r="AW1441" s="94"/>
      <c r="AX1441" s="94"/>
      <c r="AY1441" s="94"/>
      <c r="AZ1441" s="94"/>
      <c r="BA1441" s="94"/>
      <c r="BB1441" s="64">
        <f>SUMPRODUCT(AT1441:BA1441,$O$6:$V$6)</f>
        <v>0</v>
      </c>
      <c r="BD1441" s="60"/>
      <c r="BE1441" s="60"/>
      <c r="BF1441" s="95"/>
      <c r="BG1441" s="95"/>
      <c r="BH1441" s="95"/>
      <c r="BI1441" s="8">
        <f t="shared" ref="BI1441" si="1782">SUM(BD1441:BH1441)</f>
        <v>0</v>
      </c>
      <c r="BJ1441" s="2" t="s">
        <v>84</v>
      </c>
      <c r="BL1441" s="70"/>
      <c r="BM1441" s="70"/>
      <c r="BO1441" s="70"/>
      <c r="BP1441" s="70"/>
      <c r="BQ1441" s="72"/>
      <c r="BS1441" s="61">
        <f t="shared" ref="BS1441:BX1441" si="1783">SUM(Y1441)-SUM(BD1441)</f>
        <v>0</v>
      </c>
      <c r="BT1441" s="61">
        <f t="shared" si="1783"/>
        <v>0</v>
      </c>
      <c r="BU1441" s="61">
        <f t="shared" si="1783"/>
        <v>0</v>
      </c>
      <c r="BV1441" s="61">
        <f t="shared" si="1783"/>
        <v>0</v>
      </c>
      <c r="BW1441" s="61">
        <f t="shared" si="1783"/>
        <v>0</v>
      </c>
      <c r="BX1441" s="61">
        <f t="shared" si="1783"/>
        <v>0</v>
      </c>
      <c r="BY1441" s="61" t="s">
        <v>91</v>
      </c>
      <c r="CA1441" s="61">
        <f t="shared" ref="CA1441:CH1441" si="1784">($Y1441*O1441-AT1441*$BD1441)/$C$2</f>
        <v>0</v>
      </c>
      <c r="CB1441" s="61">
        <f t="shared" si="1784"/>
        <v>0</v>
      </c>
      <c r="CC1441" s="61">
        <f t="shared" si="1784"/>
        <v>0</v>
      </c>
      <c r="CD1441" s="61">
        <f t="shared" si="1784"/>
        <v>0</v>
      </c>
      <c r="CE1441" s="61">
        <f t="shared" si="1784"/>
        <v>0</v>
      </c>
      <c r="CF1441" s="61">
        <f t="shared" si="1784"/>
        <v>0</v>
      </c>
      <c r="CG1441" s="61">
        <f t="shared" si="1784"/>
        <v>0</v>
      </c>
      <c r="CH1441" s="61">
        <f t="shared" si="1784"/>
        <v>0</v>
      </c>
      <c r="CI1441" s="61">
        <f>SUMPRODUCT(CA1441:CH1441,$O$6:$V$6)</f>
        <v>0</v>
      </c>
      <c r="CJ1441" s="61"/>
      <c r="CK1441" s="61">
        <f t="shared" ref="CK1441:CR1441" si="1785">(O1441*$AD1441-AT1441*$BI1441)/$C$2</f>
        <v>0</v>
      </c>
      <c r="CL1441" s="61">
        <f t="shared" si="1785"/>
        <v>0</v>
      </c>
      <c r="CM1441" s="61">
        <f t="shared" si="1785"/>
        <v>0</v>
      </c>
      <c r="CN1441" s="61">
        <f t="shared" si="1785"/>
        <v>0</v>
      </c>
      <c r="CO1441" s="61">
        <f t="shared" si="1785"/>
        <v>0</v>
      </c>
      <c r="CP1441" s="61">
        <f t="shared" si="1785"/>
        <v>0</v>
      </c>
      <c r="CQ1441" s="61">
        <f t="shared" si="1785"/>
        <v>0</v>
      </c>
      <c r="CR1441" s="61">
        <f t="shared" si="1785"/>
        <v>0</v>
      </c>
      <c r="CS1441" s="61">
        <f>SUMPRODUCT(CK1441:CR1441,$O$6:$V$6)</f>
        <v>0</v>
      </c>
      <c r="CT1441" s="61">
        <f>CS1441*$C$2</f>
        <v>0</v>
      </c>
      <c r="CV1441" s="61">
        <f t="shared" ref="CV1441" si="1786">SUM(AG1441)-SUM(BL1441)</f>
        <v>0</v>
      </c>
      <c r="CW1441" s="61">
        <f t="shared" ref="CW1441" si="1787">SUM(AH1441)-SUM(BM1441)</f>
        <v>0</v>
      </c>
      <c r="CX1441" s="61"/>
      <c r="CY1441" s="61">
        <f t="shared" ref="CY1441:DA1441" si="1788">SUM(AJ1441)-SUM(BO1441)</f>
        <v>0</v>
      </c>
      <c r="CZ1441" s="61">
        <f t="shared" si="1788"/>
        <v>0</v>
      </c>
      <c r="DA1441" s="61">
        <f t="shared" si="1788"/>
        <v>0</v>
      </c>
      <c r="DG1441" s="62"/>
      <c r="EC1441" s="60"/>
      <c r="ED1441" s="60"/>
      <c r="EE1441" s="60" t="s">
        <v>2317</v>
      </c>
      <c r="EF1441" s="60"/>
    </row>
    <row r="1442" spans="2:136" ht="12.75" customHeight="1">
      <c r="B1442" s="99"/>
      <c r="C1442" s="22"/>
      <c r="D1442" s="22"/>
      <c r="F1442" s="2"/>
      <c r="G1442" s="2"/>
      <c r="J1442" s="149"/>
      <c r="K1442" s="23"/>
      <c r="L1442" s="149"/>
      <c r="M1442" s="51"/>
      <c r="O1442" s="22"/>
      <c r="P1442" s="22"/>
      <c r="Q1442" s="22"/>
      <c r="R1442" s="22"/>
      <c r="S1442" s="22"/>
      <c r="T1442" s="22"/>
      <c r="U1442" s="22"/>
      <c r="V1442" s="22"/>
      <c r="W1442" s="64"/>
      <c r="Y1442" s="60"/>
      <c r="Z1442" s="60"/>
      <c r="AA1442" s="60"/>
      <c r="AB1442" s="60"/>
      <c r="AC1442" s="60"/>
      <c r="AD1442" s="8"/>
      <c r="AG1442" s="70"/>
      <c r="AH1442" s="70"/>
      <c r="AJ1442" s="70"/>
      <c r="AK1442" s="70"/>
      <c r="AL1442" s="72"/>
      <c r="AO1442" s="22"/>
      <c r="AP1442" s="85"/>
      <c r="AQ1442" s="22"/>
      <c r="AR1442" s="51"/>
      <c r="AS1442" s="3"/>
      <c r="AT1442" s="94"/>
      <c r="AU1442" s="94"/>
      <c r="AV1442" s="94"/>
      <c r="AW1442" s="94"/>
      <c r="AX1442" s="94"/>
      <c r="AY1442" s="94"/>
      <c r="AZ1442" s="94"/>
      <c r="BA1442" s="94"/>
      <c r="BB1442" s="64"/>
      <c r="BD1442" s="60"/>
      <c r="BE1442" s="60"/>
      <c r="BF1442" s="95"/>
      <c r="BG1442" s="95"/>
      <c r="BH1442" s="95"/>
      <c r="BI1442" s="8"/>
      <c r="BL1442" s="70"/>
      <c r="BM1442" s="70"/>
      <c r="BO1442" s="70"/>
      <c r="BP1442" s="70"/>
      <c r="BQ1442" s="72"/>
      <c r="BS1442" s="61"/>
      <c r="BT1442" s="61"/>
      <c r="BU1442" s="61"/>
      <c r="BV1442" s="61"/>
      <c r="BW1442" s="61"/>
      <c r="BX1442" s="61"/>
      <c r="BY1442" s="61"/>
      <c r="CA1442" s="61"/>
      <c r="CB1442" s="61"/>
      <c r="CC1442" s="61"/>
      <c r="CD1442" s="61"/>
      <c r="CE1442" s="61"/>
      <c r="CF1442" s="61"/>
      <c r="CG1442" s="61"/>
      <c r="CH1442" s="61"/>
      <c r="CI1442" s="61"/>
      <c r="CJ1442" s="61"/>
      <c r="CK1442" s="61"/>
      <c r="CL1442" s="61"/>
      <c r="CM1442" s="61"/>
      <c r="CN1442" s="61"/>
      <c r="CO1442" s="61"/>
      <c r="CP1442" s="61"/>
      <c r="CQ1442" s="61"/>
      <c r="CR1442" s="61"/>
      <c r="CS1442" s="61"/>
      <c r="CT1442" s="61"/>
      <c r="CV1442" s="61"/>
      <c r="CW1442" s="61"/>
      <c r="CX1442" s="61"/>
      <c r="CY1442" s="61"/>
      <c r="CZ1442" s="61"/>
      <c r="DA1442" s="61"/>
      <c r="DG1442" s="62"/>
      <c r="EC1442" s="60"/>
      <c r="ED1442" s="60"/>
      <c r="EE1442" s="60"/>
      <c r="EF1442" s="60"/>
    </row>
    <row r="1443" spans="2:136" ht="12.75" customHeight="1">
      <c r="B1443" s="99"/>
      <c r="C1443" s="22"/>
      <c r="D1443" s="22"/>
      <c r="F1443" s="2"/>
      <c r="G1443" s="2"/>
      <c r="J1443" s="149"/>
      <c r="K1443" s="23"/>
      <c r="L1443" s="149"/>
      <c r="M1443" s="51"/>
      <c r="O1443" s="22"/>
      <c r="P1443" s="22"/>
      <c r="Q1443" s="22"/>
      <c r="R1443" s="22"/>
      <c r="S1443" s="22"/>
      <c r="T1443" s="22"/>
      <c r="U1443" s="22"/>
      <c r="V1443" s="22"/>
      <c r="W1443" s="64"/>
      <c r="Y1443" s="60"/>
      <c r="Z1443" s="60"/>
      <c r="AA1443" s="60"/>
      <c r="AB1443" s="60"/>
      <c r="AC1443" s="60"/>
      <c r="AD1443" s="8"/>
      <c r="AG1443" s="70"/>
      <c r="AH1443" s="70"/>
      <c r="AJ1443" s="70"/>
      <c r="AK1443" s="70"/>
      <c r="AL1443" s="72"/>
      <c r="AO1443" s="22"/>
      <c r="AP1443" s="85"/>
      <c r="AQ1443" s="22"/>
      <c r="AR1443" s="51"/>
      <c r="AS1443" s="3"/>
      <c r="AT1443" s="94"/>
      <c r="AU1443" s="94"/>
      <c r="AV1443" s="94"/>
      <c r="AW1443" s="94"/>
      <c r="AX1443" s="94"/>
      <c r="AY1443" s="94"/>
      <c r="AZ1443" s="94"/>
      <c r="BA1443" s="94"/>
      <c r="BB1443" s="64"/>
      <c r="BD1443" s="60"/>
      <c r="BE1443" s="60"/>
      <c r="BF1443" s="95"/>
      <c r="BG1443" s="95"/>
      <c r="BH1443" s="95"/>
      <c r="BI1443" s="8"/>
      <c r="BL1443" s="70"/>
      <c r="BM1443" s="70"/>
      <c r="BO1443" s="70"/>
      <c r="BP1443" s="70"/>
      <c r="BQ1443" s="72"/>
      <c r="BS1443" s="61"/>
      <c r="BT1443" s="61"/>
      <c r="BU1443" s="61"/>
      <c r="BV1443" s="61"/>
      <c r="BW1443" s="61"/>
      <c r="BX1443" s="61"/>
      <c r="BY1443" s="61"/>
      <c r="CA1443" s="61"/>
      <c r="CB1443" s="61"/>
      <c r="CC1443" s="61"/>
      <c r="CD1443" s="61"/>
      <c r="CE1443" s="61"/>
      <c r="CF1443" s="61"/>
      <c r="CG1443" s="61"/>
      <c r="CH1443" s="61"/>
      <c r="CI1443" s="61"/>
      <c r="CJ1443" s="61"/>
      <c r="CK1443" s="61"/>
      <c r="CL1443" s="61"/>
      <c r="CM1443" s="61"/>
      <c r="CN1443" s="61"/>
      <c r="CO1443" s="61"/>
      <c r="CP1443" s="61"/>
      <c r="CQ1443" s="61"/>
      <c r="CR1443" s="61"/>
      <c r="CS1443" s="61"/>
      <c r="CT1443" s="61"/>
      <c r="CV1443" s="61"/>
      <c r="CW1443" s="61"/>
      <c r="CX1443" s="61"/>
      <c r="CY1443" s="61"/>
      <c r="CZ1443" s="61"/>
      <c r="DA1443" s="61"/>
      <c r="DG1443" s="62"/>
      <c r="EC1443" s="60"/>
      <c r="ED1443" s="60"/>
      <c r="EE1443" s="60"/>
      <c r="EF1443" s="60"/>
    </row>
    <row r="1444" spans="2:136" ht="12.75" customHeight="1">
      <c r="B1444" s="99"/>
      <c r="C1444" s="22"/>
      <c r="D1444" s="22"/>
      <c r="F1444" s="2"/>
      <c r="G1444" s="2"/>
      <c r="J1444" s="149"/>
      <c r="K1444" s="23"/>
      <c r="L1444" s="149"/>
      <c r="M1444" s="51" t="str">
        <f t="shared" ref="M1444" si="1789">TRIM(J1444)&amp;"-"&amp;TRIM(K1444)&amp;"-"&amp;TRIM(L1444)</f>
        <v>--</v>
      </c>
      <c r="O1444" s="22"/>
      <c r="P1444" s="22"/>
      <c r="Q1444" s="22"/>
      <c r="R1444" s="22"/>
      <c r="S1444" s="22"/>
      <c r="T1444" s="22"/>
      <c r="U1444" s="22"/>
      <c r="V1444" s="22"/>
      <c r="W1444" s="64">
        <f>SUMPRODUCT(O1444:V1444,$O$6:$V$6)</f>
        <v>0</v>
      </c>
      <c r="Y1444" s="60"/>
      <c r="Z1444" s="60"/>
      <c r="AA1444" s="60"/>
      <c r="AB1444" s="60"/>
      <c r="AC1444" s="60"/>
      <c r="AD1444" s="8">
        <f t="shared" ref="AD1444" si="1790">SUM(Y1444:AC1444)</f>
        <v>0</v>
      </c>
      <c r="AE1444" s="2" t="s">
        <v>84</v>
      </c>
      <c r="AG1444" s="70"/>
      <c r="AH1444" s="70"/>
      <c r="AJ1444" s="70"/>
      <c r="AK1444" s="70"/>
      <c r="AL1444" s="72"/>
      <c r="AO1444" s="22"/>
      <c r="AP1444" s="85"/>
      <c r="AQ1444" s="22"/>
      <c r="AR1444" s="51" t="str">
        <f t="shared" ref="AR1444" si="1791">TRIM(AO1444)&amp;"-"&amp;TRIM(AP1444)&amp;"-"&amp;TRIM(AQ1444)</f>
        <v>--</v>
      </c>
      <c r="AS1444" s="3"/>
      <c r="AT1444" s="94"/>
      <c r="AU1444" s="94"/>
      <c r="AV1444" s="94"/>
      <c r="AW1444" s="94"/>
      <c r="AX1444" s="94"/>
      <c r="AY1444" s="94"/>
      <c r="AZ1444" s="94"/>
      <c r="BA1444" s="94"/>
      <c r="BB1444" s="64">
        <f>SUMPRODUCT(AT1444:BA1444,$O$6:$V$6)</f>
        <v>0</v>
      </c>
      <c r="BD1444" s="60"/>
      <c r="BE1444" s="60"/>
      <c r="BF1444" s="95"/>
      <c r="BG1444" s="95"/>
      <c r="BH1444" s="95"/>
      <c r="BI1444" s="8">
        <f t="shared" ref="BI1444" si="1792">SUM(BD1444:BH1444)</f>
        <v>0</v>
      </c>
      <c r="BJ1444" s="2" t="s">
        <v>84</v>
      </c>
      <c r="BL1444" s="70"/>
      <c r="BM1444" s="70"/>
      <c r="BO1444" s="70"/>
      <c r="BP1444" s="70"/>
      <c r="BQ1444" s="72"/>
      <c r="BS1444" s="61">
        <f t="shared" ref="BS1444:BX1444" si="1793">SUM(Y1444)-SUM(BD1444)</f>
        <v>0</v>
      </c>
      <c r="BT1444" s="61">
        <f t="shared" si="1793"/>
        <v>0</v>
      </c>
      <c r="BU1444" s="61">
        <f t="shared" si="1793"/>
        <v>0</v>
      </c>
      <c r="BV1444" s="61">
        <f t="shared" si="1793"/>
        <v>0</v>
      </c>
      <c r="BW1444" s="61">
        <f t="shared" si="1793"/>
        <v>0</v>
      </c>
      <c r="BX1444" s="61">
        <f t="shared" si="1793"/>
        <v>0</v>
      </c>
      <c r="BY1444" s="61" t="s">
        <v>91</v>
      </c>
      <c r="CA1444" s="61">
        <f t="shared" ref="CA1444:CH1444" si="1794">($Y1444*O1444-AT1444*$BD1444)/$C$2</f>
        <v>0</v>
      </c>
      <c r="CB1444" s="61">
        <f t="shared" si="1794"/>
        <v>0</v>
      </c>
      <c r="CC1444" s="61">
        <f t="shared" si="1794"/>
        <v>0</v>
      </c>
      <c r="CD1444" s="61">
        <f t="shared" si="1794"/>
        <v>0</v>
      </c>
      <c r="CE1444" s="61">
        <f t="shared" si="1794"/>
        <v>0</v>
      </c>
      <c r="CF1444" s="61">
        <f t="shared" si="1794"/>
        <v>0</v>
      </c>
      <c r="CG1444" s="61">
        <f t="shared" si="1794"/>
        <v>0</v>
      </c>
      <c r="CH1444" s="61">
        <f t="shared" si="1794"/>
        <v>0</v>
      </c>
      <c r="CI1444" s="61">
        <f>SUMPRODUCT(CA1444:CH1444,$O$6:$V$6)</f>
        <v>0</v>
      </c>
      <c r="CJ1444" s="61"/>
      <c r="CK1444" s="61">
        <f t="shared" ref="CK1444:CR1444" si="1795">(O1444*$AD1444-AT1444*$BI1444)/$C$2</f>
        <v>0</v>
      </c>
      <c r="CL1444" s="61">
        <f t="shared" si="1795"/>
        <v>0</v>
      </c>
      <c r="CM1444" s="61">
        <f t="shared" si="1795"/>
        <v>0</v>
      </c>
      <c r="CN1444" s="61">
        <f t="shared" si="1795"/>
        <v>0</v>
      </c>
      <c r="CO1444" s="61">
        <f t="shared" si="1795"/>
        <v>0</v>
      </c>
      <c r="CP1444" s="61">
        <f t="shared" si="1795"/>
        <v>0</v>
      </c>
      <c r="CQ1444" s="61">
        <f t="shared" si="1795"/>
        <v>0</v>
      </c>
      <c r="CR1444" s="61">
        <f t="shared" si="1795"/>
        <v>0</v>
      </c>
      <c r="CS1444" s="61">
        <f>SUMPRODUCT(CK1444:CR1444,$O$6:$V$6)</f>
        <v>0</v>
      </c>
      <c r="CT1444" s="61">
        <f>CS1444*$C$2</f>
        <v>0</v>
      </c>
      <c r="CV1444" s="61">
        <f t="shared" ref="CV1444" si="1796">SUM(AG1444)-SUM(BL1444)</f>
        <v>0</v>
      </c>
      <c r="CW1444" s="61">
        <f t="shared" ref="CW1444" si="1797">SUM(AH1444)-SUM(BM1444)</f>
        <v>0</v>
      </c>
      <c r="CX1444" s="61"/>
      <c r="CY1444" s="61">
        <f t="shared" ref="CY1444:DA1444" si="1798">SUM(AJ1444)-SUM(BO1444)</f>
        <v>0</v>
      </c>
      <c r="CZ1444" s="61">
        <f t="shared" si="1798"/>
        <v>0</v>
      </c>
      <c r="DA1444" s="61">
        <f t="shared" si="1798"/>
        <v>0</v>
      </c>
      <c r="DG1444" s="62"/>
      <c r="EC1444" s="60"/>
      <c r="ED1444" s="60"/>
      <c r="EE1444" s="60" t="s">
        <v>2317</v>
      </c>
      <c r="EF1444" s="60"/>
    </row>
    <row r="1445" spans="2:136" ht="12.75" customHeight="1">
      <c r="B1445" s="99"/>
      <c r="C1445" s="22"/>
      <c r="D1445" s="22"/>
      <c r="F1445" s="2"/>
      <c r="G1445" s="2"/>
      <c r="J1445" s="149"/>
      <c r="K1445" s="23"/>
      <c r="L1445" s="149"/>
      <c r="M1445" s="51"/>
      <c r="O1445" s="22"/>
      <c r="P1445" s="22"/>
      <c r="Q1445" s="22"/>
      <c r="R1445" s="22"/>
      <c r="S1445" s="22"/>
      <c r="T1445" s="22"/>
      <c r="U1445" s="22"/>
      <c r="V1445" s="22"/>
      <c r="W1445" s="64"/>
      <c r="Y1445" s="60"/>
      <c r="Z1445" s="60"/>
      <c r="AA1445" s="60"/>
      <c r="AB1445" s="60"/>
      <c r="AC1445" s="60"/>
      <c r="AD1445" s="8"/>
      <c r="AG1445" s="70"/>
      <c r="AH1445" s="70"/>
      <c r="AJ1445" s="70"/>
      <c r="AK1445" s="70"/>
      <c r="AL1445" s="72"/>
      <c r="AO1445" s="22"/>
      <c r="AP1445" s="85"/>
      <c r="AQ1445" s="22"/>
      <c r="AR1445" s="51"/>
      <c r="AS1445" s="3"/>
      <c r="AT1445" s="94"/>
      <c r="AU1445" s="94"/>
      <c r="AV1445" s="94"/>
      <c r="AW1445" s="94"/>
      <c r="AX1445" s="94"/>
      <c r="AY1445" s="94"/>
      <c r="AZ1445" s="94"/>
      <c r="BA1445" s="94"/>
      <c r="BB1445" s="64"/>
      <c r="BD1445" s="60"/>
      <c r="BE1445" s="60"/>
      <c r="BF1445" s="95"/>
      <c r="BG1445" s="95"/>
      <c r="BH1445" s="95"/>
      <c r="BI1445" s="8"/>
      <c r="BL1445" s="70"/>
      <c r="BM1445" s="70"/>
      <c r="BO1445" s="70"/>
      <c r="BP1445" s="70"/>
      <c r="BQ1445" s="72"/>
      <c r="BS1445" s="61"/>
      <c r="BT1445" s="61"/>
      <c r="BU1445" s="61"/>
      <c r="BV1445" s="61"/>
      <c r="BW1445" s="61"/>
      <c r="BX1445" s="61"/>
      <c r="BY1445" s="61"/>
      <c r="CA1445" s="61"/>
      <c r="CB1445" s="61"/>
      <c r="CC1445" s="61"/>
      <c r="CD1445" s="61"/>
      <c r="CE1445" s="61"/>
      <c r="CF1445" s="61"/>
      <c r="CG1445" s="61"/>
      <c r="CH1445" s="61"/>
      <c r="CI1445" s="61"/>
      <c r="CJ1445" s="61"/>
      <c r="CK1445" s="61"/>
      <c r="CL1445" s="61"/>
      <c r="CM1445" s="61"/>
      <c r="CN1445" s="61"/>
      <c r="CO1445" s="61"/>
      <c r="CP1445" s="61"/>
      <c r="CQ1445" s="61"/>
      <c r="CR1445" s="61"/>
      <c r="CS1445" s="61"/>
      <c r="CT1445" s="61"/>
      <c r="CV1445" s="61"/>
      <c r="CW1445" s="61"/>
      <c r="CX1445" s="61"/>
      <c r="CY1445" s="61"/>
      <c r="CZ1445" s="61"/>
      <c r="DA1445" s="61"/>
      <c r="DG1445" s="62"/>
      <c r="EC1445" s="60"/>
      <c r="ED1445" s="60"/>
      <c r="EE1445" s="60"/>
      <c r="EF1445" s="60"/>
    </row>
    <row r="1446" spans="2:136" ht="12.75" customHeight="1">
      <c r="B1446" s="99"/>
      <c r="C1446" s="22"/>
      <c r="D1446" s="22"/>
      <c r="F1446" s="2"/>
      <c r="G1446" s="2"/>
      <c r="J1446" s="149"/>
      <c r="K1446" s="23"/>
      <c r="L1446" s="149"/>
      <c r="M1446" s="51" t="str">
        <f t="shared" ref="M1446" si="1799">TRIM(J1446)&amp;"-"&amp;TRIM(K1446)&amp;"-"&amp;TRIM(L1446)</f>
        <v>--</v>
      </c>
      <c r="O1446" s="22"/>
      <c r="P1446" s="22"/>
      <c r="Q1446" s="22"/>
      <c r="R1446" s="22"/>
      <c r="S1446" s="22"/>
      <c r="T1446" s="22"/>
      <c r="U1446" s="22"/>
      <c r="V1446" s="22"/>
      <c r="W1446" s="64">
        <f>SUMPRODUCT(O1446:V1446,$O$6:$V$6)</f>
        <v>0</v>
      </c>
      <c r="Y1446" s="60"/>
      <c r="Z1446" s="60"/>
      <c r="AA1446" s="60"/>
      <c r="AB1446" s="60"/>
      <c r="AC1446" s="60"/>
      <c r="AD1446" s="8">
        <f t="shared" ref="AD1446" si="1800">SUM(Y1446:AC1446)</f>
        <v>0</v>
      </c>
      <c r="AE1446" s="2" t="s">
        <v>84</v>
      </c>
      <c r="AG1446" s="70"/>
      <c r="AH1446" s="70"/>
      <c r="AJ1446" s="70"/>
      <c r="AK1446" s="70"/>
      <c r="AL1446" s="72"/>
      <c r="AO1446" s="22"/>
      <c r="AP1446" s="85"/>
      <c r="AQ1446" s="22"/>
      <c r="AR1446" s="51" t="str">
        <f t="shared" ref="AR1446" si="1801">TRIM(AO1446)&amp;"-"&amp;TRIM(AP1446)&amp;"-"&amp;TRIM(AQ1446)</f>
        <v>--</v>
      </c>
      <c r="AS1446" s="3"/>
      <c r="AT1446" s="94"/>
      <c r="AU1446" s="94"/>
      <c r="AV1446" s="94"/>
      <c r="AW1446" s="94"/>
      <c r="AX1446" s="94"/>
      <c r="AY1446" s="94"/>
      <c r="AZ1446" s="94"/>
      <c r="BA1446" s="94"/>
      <c r="BB1446" s="64">
        <f>SUMPRODUCT(AT1446:BA1446,$O$6:$V$6)</f>
        <v>0</v>
      </c>
      <c r="BD1446" s="60"/>
      <c r="BE1446" s="60"/>
      <c r="BF1446" s="95"/>
      <c r="BG1446" s="95"/>
      <c r="BH1446" s="95"/>
      <c r="BI1446" s="8">
        <f t="shared" ref="BI1446" si="1802">SUM(BD1446:BH1446)</f>
        <v>0</v>
      </c>
      <c r="BJ1446" s="2" t="s">
        <v>84</v>
      </c>
      <c r="BL1446" s="70"/>
      <c r="BM1446" s="70"/>
      <c r="BO1446" s="70"/>
      <c r="BP1446" s="70"/>
      <c r="BQ1446" s="72"/>
      <c r="BS1446" s="61">
        <f t="shared" ref="BS1446:BX1446" si="1803">SUM(Y1446)-SUM(BD1446)</f>
        <v>0</v>
      </c>
      <c r="BT1446" s="61">
        <f t="shared" si="1803"/>
        <v>0</v>
      </c>
      <c r="BU1446" s="61">
        <f t="shared" si="1803"/>
        <v>0</v>
      </c>
      <c r="BV1446" s="61">
        <f t="shared" si="1803"/>
        <v>0</v>
      </c>
      <c r="BW1446" s="61">
        <f t="shared" si="1803"/>
        <v>0</v>
      </c>
      <c r="BX1446" s="61">
        <f t="shared" si="1803"/>
        <v>0</v>
      </c>
      <c r="BY1446" s="61" t="s">
        <v>91</v>
      </c>
      <c r="CA1446" s="61">
        <f t="shared" ref="CA1446:CH1446" si="1804">($Y1446*O1446-AT1446*$BD1446)/$C$2</f>
        <v>0</v>
      </c>
      <c r="CB1446" s="61">
        <f t="shared" si="1804"/>
        <v>0</v>
      </c>
      <c r="CC1446" s="61">
        <f t="shared" si="1804"/>
        <v>0</v>
      </c>
      <c r="CD1446" s="61">
        <f t="shared" si="1804"/>
        <v>0</v>
      </c>
      <c r="CE1446" s="61">
        <f t="shared" si="1804"/>
        <v>0</v>
      </c>
      <c r="CF1446" s="61">
        <f t="shared" si="1804"/>
        <v>0</v>
      </c>
      <c r="CG1446" s="61">
        <f t="shared" si="1804"/>
        <v>0</v>
      </c>
      <c r="CH1446" s="61">
        <f t="shared" si="1804"/>
        <v>0</v>
      </c>
      <c r="CI1446" s="61">
        <f>SUMPRODUCT(CA1446:CH1446,$O$6:$V$6)</f>
        <v>0</v>
      </c>
      <c r="CJ1446" s="61"/>
      <c r="CK1446" s="61">
        <f t="shared" ref="CK1446:CR1446" si="1805">(O1446*$AD1446-AT1446*$BI1446)/$C$2</f>
        <v>0</v>
      </c>
      <c r="CL1446" s="61">
        <f t="shared" si="1805"/>
        <v>0</v>
      </c>
      <c r="CM1446" s="61">
        <f t="shared" si="1805"/>
        <v>0</v>
      </c>
      <c r="CN1446" s="61">
        <f t="shared" si="1805"/>
        <v>0</v>
      </c>
      <c r="CO1446" s="61">
        <f t="shared" si="1805"/>
        <v>0</v>
      </c>
      <c r="CP1446" s="61">
        <f t="shared" si="1805"/>
        <v>0</v>
      </c>
      <c r="CQ1446" s="61">
        <f t="shared" si="1805"/>
        <v>0</v>
      </c>
      <c r="CR1446" s="61">
        <f t="shared" si="1805"/>
        <v>0</v>
      </c>
      <c r="CS1446" s="61">
        <f>SUMPRODUCT(CK1446:CR1446,$O$6:$V$6)</f>
        <v>0</v>
      </c>
      <c r="CT1446" s="61">
        <f>CS1446*$C$2</f>
        <v>0</v>
      </c>
      <c r="CV1446" s="61">
        <f t="shared" ref="CV1446" si="1806">SUM(AG1446)-SUM(BL1446)</f>
        <v>0</v>
      </c>
      <c r="CW1446" s="61">
        <f t="shared" ref="CW1446" si="1807">SUM(AH1446)-SUM(BM1446)</f>
        <v>0</v>
      </c>
      <c r="CX1446" s="61"/>
      <c r="CY1446" s="61">
        <f t="shared" ref="CY1446:DA1446" si="1808">SUM(AJ1446)-SUM(BO1446)</f>
        <v>0</v>
      </c>
      <c r="CZ1446" s="61">
        <f t="shared" si="1808"/>
        <v>0</v>
      </c>
      <c r="DA1446" s="61">
        <f t="shared" si="1808"/>
        <v>0</v>
      </c>
      <c r="DG1446" s="62"/>
      <c r="EC1446" s="60"/>
      <c r="ED1446" s="60"/>
      <c r="EE1446" s="60" t="s">
        <v>2317</v>
      </c>
      <c r="EF1446" s="60"/>
    </row>
    <row r="1447" spans="2:136" ht="12.75" customHeight="1">
      <c r="B1447" s="99"/>
      <c r="C1447" s="22"/>
      <c r="D1447" s="22"/>
      <c r="F1447" s="2"/>
      <c r="G1447" s="2"/>
      <c r="J1447" s="149"/>
      <c r="K1447" s="23"/>
      <c r="L1447" s="149"/>
      <c r="M1447" s="51"/>
      <c r="O1447" s="22"/>
      <c r="P1447" s="22"/>
      <c r="Q1447" s="22"/>
      <c r="R1447" s="22"/>
      <c r="S1447" s="22"/>
      <c r="T1447" s="22"/>
      <c r="U1447" s="22"/>
      <c r="V1447" s="22"/>
      <c r="W1447" s="64"/>
      <c r="Y1447" s="60"/>
      <c r="Z1447" s="60"/>
      <c r="AA1447" s="60"/>
      <c r="AB1447" s="60"/>
      <c r="AC1447" s="60"/>
      <c r="AD1447" s="8"/>
      <c r="AG1447" s="70"/>
      <c r="AH1447" s="70"/>
      <c r="AJ1447" s="70"/>
      <c r="AK1447" s="70"/>
      <c r="AL1447" s="72"/>
      <c r="AO1447" s="22"/>
      <c r="AP1447" s="85"/>
      <c r="AQ1447" s="22"/>
      <c r="AR1447" s="51"/>
      <c r="AS1447" s="3"/>
      <c r="AT1447" s="94"/>
      <c r="AU1447" s="94"/>
      <c r="AV1447" s="94"/>
      <c r="AW1447" s="94"/>
      <c r="AX1447" s="94"/>
      <c r="AY1447" s="94"/>
      <c r="AZ1447" s="94"/>
      <c r="BA1447" s="94"/>
      <c r="BB1447" s="64"/>
      <c r="BD1447" s="60"/>
      <c r="BE1447" s="60"/>
      <c r="BF1447" s="95"/>
      <c r="BG1447" s="95"/>
      <c r="BH1447" s="95"/>
      <c r="BI1447" s="8"/>
      <c r="BL1447" s="70"/>
      <c r="BM1447" s="70"/>
      <c r="BO1447" s="70"/>
      <c r="BP1447" s="70"/>
      <c r="BQ1447" s="72"/>
      <c r="BS1447" s="61"/>
      <c r="BT1447" s="61"/>
      <c r="BU1447" s="61"/>
      <c r="BV1447" s="61"/>
      <c r="BW1447" s="61"/>
      <c r="BX1447" s="61"/>
      <c r="BY1447" s="61"/>
      <c r="CA1447" s="61"/>
      <c r="CB1447" s="61"/>
      <c r="CC1447" s="61"/>
      <c r="CD1447" s="61"/>
      <c r="CE1447" s="61"/>
      <c r="CF1447" s="61"/>
      <c r="CG1447" s="61"/>
      <c r="CH1447" s="61"/>
      <c r="CI1447" s="61"/>
      <c r="CJ1447" s="61"/>
      <c r="CK1447" s="61"/>
      <c r="CL1447" s="61"/>
      <c r="CM1447" s="61"/>
      <c r="CN1447" s="61"/>
      <c r="CO1447" s="61"/>
      <c r="CP1447" s="61"/>
      <c r="CQ1447" s="61"/>
      <c r="CR1447" s="61"/>
      <c r="CS1447" s="61"/>
      <c r="CT1447" s="61"/>
      <c r="CV1447" s="61"/>
      <c r="CW1447" s="61"/>
      <c r="CX1447" s="61"/>
      <c r="CY1447" s="61"/>
      <c r="CZ1447" s="61"/>
      <c r="DA1447" s="61"/>
      <c r="DG1447" s="62"/>
      <c r="EC1447" s="60"/>
      <c r="ED1447" s="60"/>
      <c r="EE1447" s="60"/>
      <c r="EF1447" s="60"/>
    </row>
    <row r="1448" spans="2:136" ht="12.75" customHeight="1">
      <c r="B1448" s="99"/>
      <c r="C1448" s="22"/>
      <c r="D1448" s="22"/>
      <c r="F1448" s="2"/>
      <c r="G1448" s="2"/>
      <c r="J1448" s="149"/>
      <c r="K1448" s="23"/>
      <c r="L1448" s="149"/>
      <c r="M1448" s="51"/>
      <c r="O1448" s="22"/>
      <c r="P1448" s="22"/>
      <c r="Q1448" s="22"/>
      <c r="R1448" s="22"/>
      <c r="S1448" s="22"/>
      <c r="T1448" s="22"/>
      <c r="U1448" s="22"/>
      <c r="V1448" s="22"/>
      <c r="W1448" s="64"/>
      <c r="Y1448" s="60"/>
      <c r="Z1448" s="60"/>
      <c r="AA1448" s="60"/>
      <c r="AB1448" s="60"/>
      <c r="AC1448" s="60"/>
      <c r="AD1448" s="8"/>
      <c r="AG1448" s="70"/>
      <c r="AH1448" s="70"/>
      <c r="AJ1448" s="70"/>
      <c r="AK1448" s="70"/>
      <c r="AL1448" s="72"/>
      <c r="AO1448" s="22"/>
      <c r="AP1448" s="85"/>
      <c r="AQ1448" s="22"/>
      <c r="AR1448" s="51"/>
      <c r="AS1448" s="3"/>
      <c r="AT1448" s="94"/>
      <c r="AU1448" s="94"/>
      <c r="AV1448" s="94"/>
      <c r="AW1448" s="94"/>
      <c r="AX1448" s="94"/>
      <c r="AY1448" s="94"/>
      <c r="AZ1448" s="94"/>
      <c r="BA1448" s="94"/>
      <c r="BB1448" s="64"/>
      <c r="BD1448" s="60"/>
      <c r="BE1448" s="60"/>
      <c r="BF1448" s="95"/>
      <c r="BG1448" s="95"/>
      <c r="BH1448" s="95"/>
      <c r="BI1448" s="8"/>
      <c r="BL1448" s="70"/>
      <c r="BM1448" s="70"/>
      <c r="BO1448" s="70"/>
      <c r="BP1448" s="70"/>
      <c r="BQ1448" s="72"/>
      <c r="BS1448" s="61"/>
      <c r="BT1448" s="61"/>
      <c r="BU1448" s="61"/>
      <c r="BV1448" s="61"/>
      <c r="BW1448" s="61"/>
      <c r="BX1448" s="61"/>
      <c r="BY1448" s="61"/>
      <c r="CA1448" s="61"/>
      <c r="CB1448" s="61"/>
      <c r="CC1448" s="61"/>
      <c r="CD1448" s="61"/>
      <c r="CE1448" s="61"/>
      <c r="CF1448" s="61"/>
      <c r="CG1448" s="61"/>
      <c r="CH1448" s="61"/>
      <c r="CI1448" s="61"/>
      <c r="CJ1448" s="61"/>
      <c r="CK1448" s="61"/>
      <c r="CL1448" s="61"/>
      <c r="CM1448" s="61"/>
      <c r="CN1448" s="61"/>
      <c r="CO1448" s="61"/>
      <c r="CP1448" s="61"/>
      <c r="CQ1448" s="61"/>
      <c r="CR1448" s="61"/>
      <c r="CS1448" s="61"/>
      <c r="CT1448" s="61"/>
      <c r="CV1448" s="61"/>
      <c r="CW1448" s="61"/>
      <c r="CX1448" s="61"/>
      <c r="CY1448" s="61"/>
      <c r="CZ1448" s="61"/>
      <c r="DA1448" s="61"/>
      <c r="DG1448" s="62"/>
      <c r="EC1448" s="60"/>
      <c r="ED1448" s="60"/>
      <c r="EE1448" s="60"/>
      <c r="EF1448" s="60"/>
    </row>
    <row r="1449" spans="2:136" ht="12.75" customHeight="1">
      <c r="B1449" s="99"/>
      <c r="C1449" s="22"/>
      <c r="D1449" s="22"/>
      <c r="F1449" s="2"/>
      <c r="G1449" s="2"/>
      <c r="J1449" s="149"/>
      <c r="K1449" s="23"/>
      <c r="L1449" s="149"/>
      <c r="M1449" s="51" t="str">
        <f t="shared" ref="M1449" si="1809">TRIM(J1449)&amp;"-"&amp;TRIM(K1449)&amp;"-"&amp;TRIM(L1449)</f>
        <v>--</v>
      </c>
      <c r="O1449" s="22"/>
      <c r="P1449" s="22"/>
      <c r="Q1449" s="22"/>
      <c r="R1449" s="22"/>
      <c r="S1449" s="22"/>
      <c r="T1449" s="22"/>
      <c r="U1449" s="22"/>
      <c r="V1449" s="22"/>
      <c r="W1449" s="64">
        <f>SUMPRODUCT(O1449:V1449,$O$6:$V$6)</f>
        <v>0</v>
      </c>
      <c r="Y1449" s="60"/>
      <c r="Z1449" s="60"/>
      <c r="AA1449" s="60"/>
      <c r="AB1449" s="60"/>
      <c r="AC1449" s="60"/>
      <c r="AD1449" s="8">
        <f t="shared" ref="AD1449" si="1810">SUM(Y1449:AC1449)</f>
        <v>0</v>
      </c>
      <c r="AE1449" s="2" t="s">
        <v>84</v>
      </c>
      <c r="AG1449" s="70"/>
      <c r="AH1449" s="70"/>
      <c r="AJ1449" s="70"/>
      <c r="AK1449" s="70"/>
      <c r="AL1449" s="72"/>
      <c r="AO1449" s="22"/>
      <c r="AP1449" s="85"/>
      <c r="AQ1449" s="22"/>
      <c r="AR1449" s="51" t="str">
        <f t="shared" ref="AR1449" si="1811">TRIM(AO1449)&amp;"-"&amp;TRIM(AP1449)&amp;"-"&amp;TRIM(AQ1449)</f>
        <v>--</v>
      </c>
      <c r="AS1449" s="3"/>
      <c r="AT1449" s="94"/>
      <c r="AU1449" s="94"/>
      <c r="AV1449" s="94"/>
      <c r="AW1449" s="94"/>
      <c r="AX1449" s="94"/>
      <c r="AY1449" s="94"/>
      <c r="AZ1449" s="94"/>
      <c r="BA1449" s="94"/>
      <c r="BB1449" s="64">
        <f>SUMPRODUCT(AT1449:BA1449,$O$6:$V$6)</f>
        <v>0</v>
      </c>
      <c r="BD1449" s="60"/>
      <c r="BE1449" s="60"/>
      <c r="BF1449" s="95"/>
      <c r="BG1449" s="95"/>
      <c r="BH1449" s="95"/>
      <c r="BI1449" s="8">
        <f t="shared" ref="BI1449" si="1812">SUM(BD1449:BH1449)</f>
        <v>0</v>
      </c>
      <c r="BJ1449" s="2" t="s">
        <v>84</v>
      </c>
      <c r="BL1449" s="70"/>
      <c r="BM1449" s="70"/>
      <c r="BO1449" s="70"/>
      <c r="BP1449" s="70"/>
      <c r="BQ1449" s="72"/>
      <c r="BS1449" s="61">
        <f t="shared" ref="BS1449:BX1449" si="1813">SUM(Y1449)-SUM(BD1449)</f>
        <v>0</v>
      </c>
      <c r="BT1449" s="61">
        <f t="shared" si="1813"/>
        <v>0</v>
      </c>
      <c r="BU1449" s="61">
        <f t="shared" si="1813"/>
        <v>0</v>
      </c>
      <c r="BV1449" s="61">
        <f t="shared" si="1813"/>
        <v>0</v>
      </c>
      <c r="BW1449" s="61">
        <f t="shared" si="1813"/>
        <v>0</v>
      </c>
      <c r="BX1449" s="61">
        <f t="shared" si="1813"/>
        <v>0</v>
      </c>
      <c r="BY1449" s="61" t="s">
        <v>91</v>
      </c>
      <c r="CA1449" s="61">
        <f t="shared" ref="CA1449:CH1449" si="1814">($Y1449*O1449-AT1449*$BD1449)/$C$2</f>
        <v>0</v>
      </c>
      <c r="CB1449" s="61">
        <f t="shared" si="1814"/>
        <v>0</v>
      </c>
      <c r="CC1449" s="61">
        <f t="shared" si="1814"/>
        <v>0</v>
      </c>
      <c r="CD1449" s="61">
        <f t="shared" si="1814"/>
        <v>0</v>
      </c>
      <c r="CE1449" s="61">
        <f t="shared" si="1814"/>
        <v>0</v>
      </c>
      <c r="CF1449" s="61">
        <f t="shared" si="1814"/>
        <v>0</v>
      </c>
      <c r="CG1449" s="61">
        <f t="shared" si="1814"/>
        <v>0</v>
      </c>
      <c r="CH1449" s="61">
        <f t="shared" si="1814"/>
        <v>0</v>
      </c>
      <c r="CI1449" s="61">
        <f>SUMPRODUCT(CA1449:CH1449,$O$6:$V$6)</f>
        <v>0</v>
      </c>
      <c r="CJ1449" s="61"/>
      <c r="CK1449" s="61">
        <f t="shared" ref="CK1449:CR1449" si="1815">(O1449*$AD1449-AT1449*$BI1449)/$C$2</f>
        <v>0</v>
      </c>
      <c r="CL1449" s="61">
        <f t="shared" si="1815"/>
        <v>0</v>
      </c>
      <c r="CM1449" s="61">
        <f t="shared" si="1815"/>
        <v>0</v>
      </c>
      <c r="CN1449" s="61">
        <f t="shared" si="1815"/>
        <v>0</v>
      </c>
      <c r="CO1449" s="61">
        <f t="shared" si="1815"/>
        <v>0</v>
      </c>
      <c r="CP1449" s="61">
        <f t="shared" si="1815"/>
        <v>0</v>
      </c>
      <c r="CQ1449" s="61">
        <f t="shared" si="1815"/>
        <v>0</v>
      </c>
      <c r="CR1449" s="61">
        <f t="shared" si="1815"/>
        <v>0</v>
      </c>
      <c r="CS1449" s="61">
        <f>SUMPRODUCT(CK1449:CR1449,$O$6:$V$6)</f>
        <v>0</v>
      </c>
      <c r="CT1449" s="61">
        <f>CS1449*$C$2</f>
        <v>0</v>
      </c>
      <c r="CV1449" s="61">
        <f t="shared" ref="CV1449" si="1816">SUM(AG1449)-SUM(BL1449)</f>
        <v>0</v>
      </c>
      <c r="CW1449" s="61">
        <f t="shared" ref="CW1449" si="1817">SUM(AH1449)-SUM(BM1449)</f>
        <v>0</v>
      </c>
      <c r="CX1449" s="61"/>
      <c r="CY1449" s="61">
        <f t="shared" ref="CY1449:DA1449" si="1818">SUM(AJ1449)-SUM(BO1449)</f>
        <v>0</v>
      </c>
      <c r="CZ1449" s="61">
        <f t="shared" si="1818"/>
        <v>0</v>
      </c>
      <c r="DA1449" s="61">
        <f t="shared" si="1818"/>
        <v>0</v>
      </c>
      <c r="DG1449" s="62"/>
      <c r="EC1449" s="60"/>
      <c r="ED1449" s="60"/>
      <c r="EE1449" s="60" t="s">
        <v>2317</v>
      </c>
      <c r="EF1449" s="60"/>
    </row>
    <row r="1450" spans="2:136" ht="12.75" customHeight="1">
      <c r="B1450" s="99"/>
      <c r="C1450" s="22"/>
      <c r="D1450" s="22"/>
      <c r="F1450" s="2"/>
      <c r="G1450" s="2"/>
      <c r="J1450" s="149"/>
      <c r="K1450" s="23"/>
      <c r="L1450" s="149"/>
      <c r="M1450" s="51"/>
      <c r="O1450" s="22"/>
      <c r="P1450" s="22"/>
      <c r="Q1450" s="22"/>
      <c r="R1450" s="22"/>
      <c r="S1450" s="22"/>
      <c r="T1450" s="22"/>
      <c r="U1450" s="22"/>
      <c r="V1450" s="22"/>
      <c r="W1450" s="64"/>
      <c r="Y1450" s="60"/>
      <c r="Z1450" s="60"/>
      <c r="AA1450" s="60"/>
      <c r="AB1450" s="60"/>
      <c r="AC1450" s="60"/>
      <c r="AD1450" s="8"/>
      <c r="AG1450" s="70"/>
      <c r="AH1450" s="70"/>
      <c r="AJ1450" s="70"/>
      <c r="AK1450" s="70"/>
      <c r="AL1450" s="72"/>
      <c r="AO1450" s="22"/>
      <c r="AP1450" s="85"/>
      <c r="AQ1450" s="22"/>
      <c r="AR1450" s="51"/>
      <c r="AS1450" s="3"/>
      <c r="AT1450" s="94"/>
      <c r="AU1450" s="94"/>
      <c r="AV1450" s="94"/>
      <c r="AW1450" s="94"/>
      <c r="AX1450" s="94"/>
      <c r="AY1450" s="94"/>
      <c r="AZ1450" s="94"/>
      <c r="BA1450" s="94"/>
      <c r="BB1450" s="64"/>
      <c r="BD1450" s="60"/>
      <c r="BE1450" s="60"/>
      <c r="BF1450" s="95"/>
      <c r="BG1450" s="95"/>
      <c r="BH1450" s="95"/>
      <c r="BI1450" s="8"/>
      <c r="BL1450" s="70"/>
      <c r="BM1450" s="70"/>
      <c r="BO1450" s="70"/>
      <c r="BP1450" s="70"/>
      <c r="BQ1450" s="72"/>
      <c r="BS1450" s="61"/>
      <c r="BT1450" s="61"/>
      <c r="BU1450" s="61"/>
      <c r="BV1450" s="61"/>
      <c r="BW1450" s="61"/>
      <c r="BX1450" s="61"/>
      <c r="BY1450" s="61"/>
      <c r="CA1450" s="61"/>
      <c r="CB1450" s="61"/>
      <c r="CC1450" s="61"/>
      <c r="CD1450" s="61"/>
      <c r="CE1450" s="61"/>
      <c r="CF1450" s="61"/>
      <c r="CG1450" s="61"/>
      <c r="CH1450" s="61"/>
      <c r="CI1450" s="61"/>
      <c r="CJ1450" s="61"/>
      <c r="CK1450" s="61"/>
      <c r="CL1450" s="61"/>
      <c r="CM1450" s="61"/>
      <c r="CN1450" s="61"/>
      <c r="CO1450" s="61"/>
      <c r="CP1450" s="61"/>
      <c r="CQ1450" s="61"/>
      <c r="CR1450" s="61"/>
      <c r="CS1450" s="61"/>
      <c r="CT1450" s="61"/>
      <c r="CV1450" s="61"/>
      <c r="CW1450" s="61"/>
      <c r="CX1450" s="61"/>
      <c r="CY1450" s="61"/>
      <c r="CZ1450" s="61"/>
      <c r="DA1450" s="61"/>
      <c r="DG1450" s="62"/>
      <c r="EC1450" s="60"/>
      <c r="ED1450" s="60"/>
      <c r="EE1450" s="60"/>
      <c r="EF1450" s="60"/>
    </row>
    <row r="1451" spans="2:136" ht="12.75" customHeight="1">
      <c r="B1451" s="99"/>
      <c r="C1451" s="22"/>
      <c r="D1451" s="22"/>
      <c r="F1451" s="2"/>
      <c r="G1451" s="2"/>
      <c r="J1451" s="149"/>
      <c r="K1451" s="23"/>
      <c r="L1451" s="149"/>
      <c r="M1451" s="51" t="str">
        <f t="shared" ref="M1451" si="1819">TRIM(J1451)&amp;"-"&amp;TRIM(K1451)&amp;"-"&amp;TRIM(L1451)</f>
        <v>--</v>
      </c>
      <c r="O1451" s="22"/>
      <c r="P1451" s="22"/>
      <c r="Q1451" s="22"/>
      <c r="R1451" s="22"/>
      <c r="S1451" s="22"/>
      <c r="T1451" s="22"/>
      <c r="U1451" s="22"/>
      <c r="V1451" s="22"/>
      <c r="W1451" s="64">
        <f>SUMPRODUCT(O1451:V1451,$O$6:$V$6)</f>
        <v>0</v>
      </c>
      <c r="Y1451" s="60"/>
      <c r="Z1451" s="60"/>
      <c r="AA1451" s="60"/>
      <c r="AB1451" s="60"/>
      <c r="AC1451" s="60"/>
      <c r="AD1451" s="8">
        <f t="shared" ref="AD1451" si="1820">SUM(Y1451:AC1451)</f>
        <v>0</v>
      </c>
      <c r="AE1451" s="2" t="s">
        <v>84</v>
      </c>
      <c r="AG1451" s="70"/>
      <c r="AH1451" s="70"/>
      <c r="AJ1451" s="70"/>
      <c r="AK1451" s="70"/>
      <c r="AL1451" s="72"/>
      <c r="AO1451" s="22"/>
      <c r="AP1451" s="85"/>
      <c r="AQ1451" s="22"/>
      <c r="AR1451" s="51" t="str">
        <f t="shared" ref="AR1451" si="1821">TRIM(AO1451)&amp;"-"&amp;TRIM(AP1451)&amp;"-"&amp;TRIM(AQ1451)</f>
        <v>--</v>
      </c>
      <c r="AS1451" s="3"/>
      <c r="AT1451" s="94"/>
      <c r="AU1451" s="94"/>
      <c r="AV1451" s="94"/>
      <c r="AW1451" s="94"/>
      <c r="AX1451" s="94"/>
      <c r="AY1451" s="94"/>
      <c r="AZ1451" s="94"/>
      <c r="BA1451" s="94"/>
      <c r="BB1451" s="64">
        <f>SUMPRODUCT(AT1451:BA1451,$O$6:$V$6)</f>
        <v>0</v>
      </c>
      <c r="BD1451" s="60"/>
      <c r="BE1451" s="60"/>
      <c r="BF1451" s="95"/>
      <c r="BG1451" s="95"/>
      <c r="BH1451" s="95"/>
      <c r="BI1451" s="8">
        <f t="shared" ref="BI1451" si="1822">SUM(BD1451:BH1451)</f>
        <v>0</v>
      </c>
      <c r="BJ1451" s="2" t="s">
        <v>84</v>
      </c>
      <c r="BL1451" s="70"/>
      <c r="BM1451" s="70"/>
      <c r="BO1451" s="70"/>
      <c r="BP1451" s="70"/>
      <c r="BQ1451" s="72"/>
      <c r="BS1451" s="61">
        <f t="shared" ref="BS1451:BX1451" si="1823">SUM(Y1451)-SUM(BD1451)</f>
        <v>0</v>
      </c>
      <c r="BT1451" s="61">
        <f t="shared" si="1823"/>
        <v>0</v>
      </c>
      <c r="BU1451" s="61">
        <f t="shared" si="1823"/>
        <v>0</v>
      </c>
      <c r="BV1451" s="61">
        <f t="shared" si="1823"/>
        <v>0</v>
      </c>
      <c r="BW1451" s="61">
        <f t="shared" si="1823"/>
        <v>0</v>
      </c>
      <c r="BX1451" s="61">
        <f t="shared" si="1823"/>
        <v>0</v>
      </c>
      <c r="BY1451" s="61" t="s">
        <v>91</v>
      </c>
      <c r="CA1451" s="61">
        <f t="shared" ref="CA1451:CH1451" si="1824">($Y1451*O1451-AT1451*$BD1451)/$C$2</f>
        <v>0</v>
      </c>
      <c r="CB1451" s="61">
        <f t="shared" si="1824"/>
        <v>0</v>
      </c>
      <c r="CC1451" s="61">
        <f t="shared" si="1824"/>
        <v>0</v>
      </c>
      <c r="CD1451" s="61">
        <f t="shared" si="1824"/>
        <v>0</v>
      </c>
      <c r="CE1451" s="61">
        <f t="shared" si="1824"/>
        <v>0</v>
      </c>
      <c r="CF1451" s="61">
        <f t="shared" si="1824"/>
        <v>0</v>
      </c>
      <c r="CG1451" s="61">
        <f t="shared" si="1824"/>
        <v>0</v>
      </c>
      <c r="CH1451" s="61">
        <f t="shared" si="1824"/>
        <v>0</v>
      </c>
      <c r="CI1451" s="61">
        <f>SUMPRODUCT(CA1451:CH1451,$O$6:$V$6)</f>
        <v>0</v>
      </c>
      <c r="CJ1451" s="61"/>
      <c r="CK1451" s="61">
        <f t="shared" ref="CK1451:CR1451" si="1825">(O1451*$AD1451-AT1451*$BI1451)/$C$2</f>
        <v>0</v>
      </c>
      <c r="CL1451" s="61">
        <f t="shared" si="1825"/>
        <v>0</v>
      </c>
      <c r="CM1451" s="61">
        <f t="shared" si="1825"/>
        <v>0</v>
      </c>
      <c r="CN1451" s="61">
        <f t="shared" si="1825"/>
        <v>0</v>
      </c>
      <c r="CO1451" s="61">
        <f t="shared" si="1825"/>
        <v>0</v>
      </c>
      <c r="CP1451" s="61">
        <f t="shared" si="1825"/>
        <v>0</v>
      </c>
      <c r="CQ1451" s="61">
        <f t="shared" si="1825"/>
        <v>0</v>
      </c>
      <c r="CR1451" s="61">
        <f t="shared" si="1825"/>
        <v>0</v>
      </c>
      <c r="CS1451" s="61">
        <f>SUMPRODUCT(CK1451:CR1451,$O$6:$V$6)</f>
        <v>0</v>
      </c>
      <c r="CT1451" s="61">
        <f>CS1451*$C$2</f>
        <v>0</v>
      </c>
      <c r="CV1451" s="61">
        <f t="shared" ref="CV1451" si="1826">SUM(AG1451)-SUM(BL1451)</f>
        <v>0</v>
      </c>
      <c r="CW1451" s="61">
        <f t="shared" ref="CW1451" si="1827">SUM(AH1451)-SUM(BM1451)</f>
        <v>0</v>
      </c>
      <c r="CX1451" s="61"/>
      <c r="CY1451" s="61">
        <f t="shared" ref="CY1451:DA1451" si="1828">SUM(AJ1451)-SUM(BO1451)</f>
        <v>0</v>
      </c>
      <c r="CZ1451" s="61">
        <f t="shared" si="1828"/>
        <v>0</v>
      </c>
      <c r="DA1451" s="61">
        <f t="shared" si="1828"/>
        <v>0</v>
      </c>
      <c r="DG1451" s="62"/>
      <c r="EC1451" s="60"/>
      <c r="ED1451" s="60"/>
      <c r="EE1451" s="60" t="s">
        <v>2317</v>
      </c>
      <c r="EF1451" s="60"/>
    </row>
    <row r="1452" spans="2:136" ht="12.75" customHeight="1">
      <c r="B1452" s="99"/>
      <c r="C1452" s="22"/>
      <c r="D1452" s="22"/>
      <c r="F1452" s="2"/>
      <c r="G1452" s="2"/>
      <c r="J1452" s="149"/>
      <c r="K1452" s="23"/>
      <c r="L1452" s="149"/>
      <c r="M1452" s="51"/>
      <c r="O1452" s="22"/>
      <c r="P1452" s="22"/>
      <c r="Q1452" s="22"/>
      <c r="R1452" s="22"/>
      <c r="S1452" s="22"/>
      <c r="T1452" s="22"/>
      <c r="U1452" s="22"/>
      <c r="V1452" s="22"/>
      <c r="W1452" s="64"/>
      <c r="Y1452" s="60"/>
      <c r="Z1452" s="60"/>
      <c r="AA1452" s="60"/>
      <c r="AB1452" s="60"/>
      <c r="AC1452" s="60"/>
      <c r="AD1452" s="8"/>
      <c r="AG1452" s="70"/>
      <c r="AH1452" s="70"/>
      <c r="AJ1452" s="70"/>
      <c r="AK1452" s="70"/>
      <c r="AL1452" s="72"/>
      <c r="AO1452" s="22"/>
      <c r="AP1452" s="85"/>
      <c r="AQ1452" s="22"/>
      <c r="AR1452" s="51"/>
      <c r="AS1452" s="3"/>
      <c r="AT1452" s="94"/>
      <c r="AU1452" s="94"/>
      <c r="AV1452" s="94"/>
      <c r="AW1452" s="94"/>
      <c r="AX1452" s="94"/>
      <c r="AY1452" s="94"/>
      <c r="AZ1452" s="94"/>
      <c r="BA1452" s="94"/>
      <c r="BB1452" s="64"/>
      <c r="BD1452" s="60"/>
      <c r="BE1452" s="60"/>
      <c r="BF1452" s="95"/>
      <c r="BG1452" s="95"/>
      <c r="BH1452" s="95"/>
      <c r="BI1452" s="8"/>
      <c r="BL1452" s="70"/>
      <c r="BM1452" s="70"/>
      <c r="BO1452" s="70"/>
      <c r="BP1452" s="70"/>
      <c r="BQ1452" s="72"/>
      <c r="BS1452" s="61"/>
      <c r="BT1452" s="61"/>
      <c r="BU1452" s="61"/>
      <c r="BV1452" s="61"/>
      <c r="BW1452" s="61"/>
      <c r="BX1452" s="61"/>
      <c r="BY1452" s="61"/>
      <c r="CA1452" s="61"/>
      <c r="CB1452" s="61"/>
      <c r="CC1452" s="61"/>
      <c r="CD1452" s="61"/>
      <c r="CE1452" s="61"/>
      <c r="CF1452" s="61"/>
      <c r="CG1452" s="61"/>
      <c r="CH1452" s="61"/>
      <c r="CI1452" s="61"/>
      <c r="CJ1452" s="61"/>
      <c r="CK1452" s="61"/>
      <c r="CL1452" s="61"/>
      <c r="CM1452" s="61"/>
      <c r="CN1452" s="61"/>
      <c r="CO1452" s="61"/>
      <c r="CP1452" s="61"/>
      <c r="CQ1452" s="61"/>
      <c r="CR1452" s="61"/>
      <c r="CS1452" s="61"/>
      <c r="CT1452" s="61"/>
      <c r="CV1452" s="61"/>
      <c r="CW1452" s="61"/>
      <c r="CX1452" s="61"/>
      <c r="CY1452" s="61"/>
      <c r="CZ1452" s="61"/>
      <c r="DA1452" s="61"/>
      <c r="DG1452" s="62"/>
      <c r="EC1452" s="60"/>
      <c r="ED1452" s="60"/>
      <c r="EE1452" s="60"/>
      <c r="EF1452" s="60"/>
    </row>
    <row r="1453" spans="2:136" ht="12.75" customHeight="1">
      <c r="B1453" s="99"/>
      <c r="C1453" s="22"/>
      <c r="D1453" s="22"/>
      <c r="F1453" s="2"/>
      <c r="G1453" s="2"/>
      <c r="J1453" s="149"/>
      <c r="K1453" s="23"/>
      <c r="L1453" s="149"/>
      <c r="M1453" s="51"/>
      <c r="O1453" s="22"/>
      <c r="P1453" s="22"/>
      <c r="Q1453" s="22"/>
      <c r="R1453" s="22"/>
      <c r="S1453" s="22"/>
      <c r="T1453" s="22"/>
      <c r="U1453" s="22"/>
      <c r="V1453" s="22"/>
      <c r="W1453" s="64"/>
      <c r="Y1453" s="60"/>
      <c r="Z1453" s="60"/>
      <c r="AA1453" s="60"/>
      <c r="AB1453" s="60"/>
      <c r="AC1453" s="60"/>
      <c r="AD1453" s="8"/>
      <c r="AG1453" s="70"/>
      <c r="AH1453" s="70"/>
      <c r="AJ1453" s="70"/>
      <c r="AK1453" s="70"/>
      <c r="AL1453" s="72"/>
      <c r="AO1453" s="22"/>
      <c r="AP1453" s="85"/>
      <c r="AQ1453" s="22"/>
      <c r="AR1453" s="51"/>
      <c r="AS1453" s="3"/>
      <c r="AT1453" s="94"/>
      <c r="AU1453" s="94"/>
      <c r="AV1453" s="94"/>
      <c r="AW1453" s="94"/>
      <c r="AX1453" s="94"/>
      <c r="AY1453" s="94"/>
      <c r="AZ1453" s="94"/>
      <c r="BA1453" s="94"/>
      <c r="BB1453" s="64"/>
      <c r="BD1453" s="60"/>
      <c r="BE1453" s="60"/>
      <c r="BF1453" s="95"/>
      <c r="BG1453" s="95"/>
      <c r="BH1453" s="95"/>
      <c r="BI1453" s="8"/>
      <c r="BL1453" s="70"/>
      <c r="BM1453" s="70"/>
      <c r="BO1453" s="70"/>
      <c r="BP1453" s="70"/>
      <c r="BQ1453" s="72"/>
      <c r="BS1453" s="61"/>
      <c r="BT1453" s="61"/>
      <c r="BU1453" s="61"/>
      <c r="BV1453" s="61"/>
      <c r="BW1453" s="61"/>
      <c r="BX1453" s="61"/>
      <c r="BY1453" s="61"/>
      <c r="CA1453" s="61"/>
      <c r="CB1453" s="61"/>
      <c r="CC1453" s="61"/>
      <c r="CD1453" s="61"/>
      <c r="CE1453" s="61"/>
      <c r="CF1453" s="61"/>
      <c r="CG1453" s="61"/>
      <c r="CH1453" s="61"/>
      <c r="CI1453" s="61"/>
      <c r="CJ1453" s="61"/>
      <c r="CK1453" s="61"/>
      <c r="CL1453" s="61"/>
      <c r="CM1453" s="61"/>
      <c r="CN1453" s="61"/>
      <c r="CO1453" s="61"/>
      <c r="CP1453" s="61"/>
      <c r="CQ1453" s="61"/>
      <c r="CR1453" s="61"/>
      <c r="CS1453" s="61"/>
      <c r="CT1453" s="61"/>
      <c r="CV1453" s="61"/>
      <c r="CW1453" s="61"/>
      <c r="CX1453" s="61"/>
      <c r="CY1453" s="61"/>
      <c r="CZ1453" s="61"/>
      <c r="DA1453" s="61"/>
      <c r="DG1453" s="62"/>
      <c r="EC1453" s="60"/>
      <c r="ED1453" s="60"/>
      <c r="EE1453" s="60"/>
      <c r="EF1453" s="60"/>
    </row>
    <row r="1454" spans="2:136" ht="12.75" customHeight="1">
      <c r="B1454" s="99"/>
      <c r="C1454" s="22"/>
      <c r="D1454" s="22"/>
      <c r="F1454" s="2"/>
      <c r="G1454" s="2"/>
      <c r="J1454" s="149"/>
      <c r="K1454" s="23"/>
      <c r="L1454" s="149"/>
      <c r="M1454" s="51" t="str">
        <f t="shared" ref="M1454" si="1829">TRIM(J1454)&amp;"-"&amp;TRIM(K1454)&amp;"-"&amp;TRIM(L1454)</f>
        <v>--</v>
      </c>
      <c r="O1454" s="22"/>
      <c r="P1454" s="22"/>
      <c r="Q1454" s="22"/>
      <c r="R1454" s="22"/>
      <c r="S1454" s="22"/>
      <c r="T1454" s="22"/>
      <c r="U1454" s="22"/>
      <c r="V1454" s="22"/>
      <c r="W1454" s="64">
        <f>SUMPRODUCT(O1454:V1454,$O$6:$V$6)</f>
        <v>0</v>
      </c>
      <c r="Y1454" s="60"/>
      <c r="Z1454" s="60"/>
      <c r="AA1454" s="60"/>
      <c r="AB1454" s="60"/>
      <c r="AC1454" s="60"/>
      <c r="AD1454" s="8">
        <f t="shared" ref="AD1454" si="1830">SUM(Y1454:AC1454)</f>
        <v>0</v>
      </c>
      <c r="AE1454" s="2" t="s">
        <v>84</v>
      </c>
      <c r="AG1454" s="70"/>
      <c r="AH1454" s="70"/>
      <c r="AJ1454" s="70"/>
      <c r="AK1454" s="70"/>
      <c r="AL1454" s="72"/>
      <c r="AO1454" s="22"/>
      <c r="AP1454" s="85"/>
      <c r="AQ1454" s="22"/>
      <c r="AR1454" s="51" t="str">
        <f t="shared" ref="AR1454" si="1831">TRIM(AO1454)&amp;"-"&amp;TRIM(AP1454)&amp;"-"&amp;TRIM(AQ1454)</f>
        <v>--</v>
      </c>
      <c r="AS1454" s="3"/>
      <c r="AT1454" s="94"/>
      <c r="AU1454" s="94"/>
      <c r="AV1454" s="94"/>
      <c r="AW1454" s="94"/>
      <c r="AX1454" s="94"/>
      <c r="AY1454" s="94"/>
      <c r="AZ1454" s="94"/>
      <c r="BA1454" s="94"/>
      <c r="BB1454" s="64">
        <f>SUMPRODUCT(AT1454:BA1454,$O$6:$V$6)</f>
        <v>0</v>
      </c>
      <c r="BD1454" s="60"/>
      <c r="BE1454" s="60"/>
      <c r="BF1454" s="95"/>
      <c r="BG1454" s="95"/>
      <c r="BH1454" s="95"/>
      <c r="BI1454" s="8">
        <f t="shared" ref="BI1454" si="1832">SUM(BD1454:BH1454)</f>
        <v>0</v>
      </c>
      <c r="BJ1454" s="2" t="s">
        <v>84</v>
      </c>
      <c r="BL1454" s="70"/>
      <c r="BM1454" s="70"/>
      <c r="BO1454" s="70"/>
      <c r="BP1454" s="70"/>
      <c r="BQ1454" s="72"/>
      <c r="BS1454" s="61">
        <f t="shared" ref="BS1454:BX1454" si="1833">SUM(Y1454)-SUM(BD1454)</f>
        <v>0</v>
      </c>
      <c r="BT1454" s="61">
        <f t="shared" si="1833"/>
        <v>0</v>
      </c>
      <c r="BU1454" s="61">
        <f t="shared" si="1833"/>
        <v>0</v>
      </c>
      <c r="BV1454" s="61">
        <f t="shared" si="1833"/>
        <v>0</v>
      </c>
      <c r="BW1454" s="61">
        <f t="shared" si="1833"/>
        <v>0</v>
      </c>
      <c r="BX1454" s="61">
        <f t="shared" si="1833"/>
        <v>0</v>
      </c>
      <c r="BY1454" s="61" t="s">
        <v>91</v>
      </c>
      <c r="CA1454" s="61">
        <f t="shared" ref="CA1454:CH1454" si="1834">($Y1454*O1454-AT1454*$BD1454)/$C$2</f>
        <v>0</v>
      </c>
      <c r="CB1454" s="61">
        <f t="shared" si="1834"/>
        <v>0</v>
      </c>
      <c r="CC1454" s="61">
        <f t="shared" si="1834"/>
        <v>0</v>
      </c>
      <c r="CD1454" s="61">
        <f t="shared" si="1834"/>
        <v>0</v>
      </c>
      <c r="CE1454" s="61">
        <f t="shared" si="1834"/>
        <v>0</v>
      </c>
      <c r="CF1454" s="61">
        <f t="shared" si="1834"/>
        <v>0</v>
      </c>
      <c r="CG1454" s="61">
        <f t="shared" si="1834"/>
        <v>0</v>
      </c>
      <c r="CH1454" s="61">
        <f t="shared" si="1834"/>
        <v>0</v>
      </c>
      <c r="CI1454" s="61">
        <f>SUMPRODUCT(CA1454:CH1454,$O$6:$V$6)</f>
        <v>0</v>
      </c>
      <c r="CJ1454" s="61"/>
      <c r="CK1454" s="61">
        <f t="shared" ref="CK1454:CR1454" si="1835">(O1454*$AD1454-AT1454*$BI1454)/$C$2</f>
        <v>0</v>
      </c>
      <c r="CL1454" s="61">
        <f t="shared" si="1835"/>
        <v>0</v>
      </c>
      <c r="CM1454" s="61">
        <f t="shared" si="1835"/>
        <v>0</v>
      </c>
      <c r="CN1454" s="61">
        <f t="shared" si="1835"/>
        <v>0</v>
      </c>
      <c r="CO1454" s="61">
        <f t="shared" si="1835"/>
        <v>0</v>
      </c>
      <c r="CP1454" s="61">
        <f t="shared" si="1835"/>
        <v>0</v>
      </c>
      <c r="CQ1454" s="61">
        <f t="shared" si="1835"/>
        <v>0</v>
      </c>
      <c r="CR1454" s="61">
        <f t="shared" si="1835"/>
        <v>0</v>
      </c>
      <c r="CS1454" s="61">
        <f>SUMPRODUCT(CK1454:CR1454,$O$6:$V$6)</f>
        <v>0</v>
      </c>
      <c r="CT1454" s="61">
        <f>CS1454*$C$2</f>
        <v>0</v>
      </c>
      <c r="CV1454" s="61">
        <f t="shared" ref="CV1454" si="1836">SUM(AG1454)-SUM(BL1454)</f>
        <v>0</v>
      </c>
      <c r="CW1454" s="61">
        <f t="shared" ref="CW1454" si="1837">SUM(AH1454)-SUM(BM1454)</f>
        <v>0</v>
      </c>
      <c r="CX1454" s="61"/>
      <c r="CY1454" s="61">
        <f t="shared" ref="CY1454:DA1454" si="1838">SUM(AJ1454)-SUM(BO1454)</f>
        <v>0</v>
      </c>
      <c r="CZ1454" s="61">
        <f t="shared" si="1838"/>
        <v>0</v>
      </c>
      <c r="DA1454" s="61">
        <f t="shared" si="1838"/>
        <v>0</v>
      </c>
      <c r="DG1454" s="62"/>
      <c r="EC1454" s="60"/>
      <c r="ED1454" s="60"/>
      <c r="EE1454" s="60" t="s">
        <v>2317</v>
      </c>
      <c r="EF1454" s="60"/>
    </row>
    <row r="1455" spans="2:136" ht="12.75" customHeight="1">
      <c r="B1455" s="99"/>
      <c r="C1455" s="22"/>
      <c r="D1455" s="22"/>
      <c r="F1455" s="2"/>
      <c r="G1455" s="2"/>
      <c r="J1455" s="149"/>
      <c r="K1455" s="23"/>
      <c r="L1455" s="149"/>
      <c r="M1455" s="51"/>
      <c r="O1455" s="22"/>
      <c r="P1455" s="22"/>
      <c r="Q1455" s="22"/>
      <c r="R1455" s="22"/>
      <c r="S1455" s="22"/>
      <c r="T1455" s="22"/>
      <c r="U1455" s="22"/>
      <c r="V1455" s="22"/>
      <c r="W1455" s="64"/>
      <c r="Y1455" s="60"/>
      <c r="Z1455" s="60"/>
      <c r="AA1455" s="60"/>
      <c r="AB1455" s="60"/>
      <c r="AC1455" s="60"/>
      <c r="AD1455" s="8"/>
      <c r="AG1455" s="70"/>
      <c r="AH1455" s="70"/>
      <c r="AJ1455" s="70"/>
      <c r="AK1455" s="70"/>
      <c r="AL1455" s="72"/>
      <c r="AO1455" s="22"/>
      <c r="AP1455" s="85"/>
      <c r="AQ1455" s="22"/>
      <c r="AR1455" s="51"/>
      <c r="AS1455" s="3"/>
      <c r="AT1455" s="94"/>
      <c r="AU1455" s="94"/>
      <c r="AV1455" s="94"/>
      <c r="AW1455" s="94"/>
      <c r="AX1455" s="94"/>
      <c r="AY1455" s="94"/>
      <c r="AZ1455" s="94"/>
      <c r="BA1455" s="94"/>
      <c r="BB1455" s="64"/>
      <c r="BD1455" s="60"/>
      <c r="BE1455" s="60"/>
      <c r="BF1455" s="95"/>
      <c r="BG1455" s="95"/>
      <c r="BH1455" s="95"/>
      <c r="BI1455" s="8"/>
      <c r="BL1455" s="70"/>
      <c r="BM1455" s="70"/>
      <c r="BO1455" s="70"/>
      <c r="BP1455" s="70"/>
      <c r="BQ1455" s="72"/>
      <c r="BS1455" s="61"/>
      <c r="BT1455" s="61"/>
      <c r="BU1455" s="61"/>
      <c r="BV1455" s="61"/>
      <c r="BW1455" s="61"/>
      <c r="BX1455" s="61"/>
      <c r="BY1455" s="61"/>
      <c r="CA1455" s="61"/>
      <c r="CB1455" s="61"/>
      <c r="CC1455" s="61"/>
      <c r="CD1455" s="61"/>
      <c r="CE1455" s="61"/>
      <c r="CF1455" s="61"/>
      <c r="CG1455" s="61"/>
      <c r="CH1455" s="61"/>
      <c r="CI1455" s="61"/>
      <c r="CJ1455" s="61"/>
      <c r="CK1455" s="61"/>
      <c r="CL1455" s="61"/>
      <c r="CM1455" s="61"/>
      <c r="CN1455" s="61"/>
      <c r="CO1455" s="61"/>
      <c r="CP1455" s="61"/>
      <c r="CQ1455" s="61"/>
      <c r="CR1455" s="61"/>
      <c r="CS1455" s="61"/>
      <c r="CT1455" s="61"/>
      <c r="CV1455" s="61"/>
      <c r="CW1455" s="61"/>
      <c r="CX1455" s="61"/>
      <c r="CY1455" s="61"/>
      <c r="CZ1455" s="61"/>
      <c r="DA1455" s="61"/>
      <c r="DG1455" s="62"/>
      <c r="EC1455" s="60"/>
      <c r="ED1455" s="60"/>
      <c r="EE1455" s="60"/>
      <c r="EF1455" s="60"/>
    </row>
    <row r="1456" spans="2:136" ht="12.75" customHeight="1">
      <c r="B1456" s="99"/>
      <c r="C1456" s="22"/>
      <c r="D1456" s="22"/>
      <c r="F1456" s="2"/>
      <c r="G1456" s="2"/>
      <c r="J1456" s="149"/>
      <c r="K1456" s="23"/>
      <c r="L1456" s="149"/>
      <c r="M1456" s="51" t="str">
        <f t="shared" ref="M1456" si="1839">TRIM(J1456)&amp;"-"&amp;TRIM(K1456)&amp;"-"&amp;TRIM(L1456)</f>
        <v>--</v>
      </c>
      <c r="O1456" s="22"/>
      <c r="P1456" s="22"/>
      <c r="Q1456" s="22"/>
      <c r="R1456" s="22"/>
      <c r="S1456" s="22"/>
      <c r="T1456" s="22"/>
      <c r="U1456" s="22"/>
      <c r="V1456" s="22"/>
      <c r="W1456" s="64">
        <f>SUMPRODUCT(O1456:V1456,$O$6:$V$6)</f>
        <v>0</v>
      </c>
      <c r="Y1456" s="60"/>
      <c r="Z1456" s="60"/>
      <c r="AA1456" s="60"/>
      <c r="AB1456" s="60"/>
      <c r="AC1456" s="60"/>
      <c r="AD1456" s="8">
        <f t="shared" ref="AD1456" si="1840">SUM(Y1456:AC1456)</f>
        <v>0</v>
      </c>
      <c r="AE1456" s="2" t="s">
        <v>84</v>
      </c>
      <c r="AG1456" s="70"/>
      <c r="AH1456" s="70"/>
      <c r="AJ1456" s="70"/>
      <c r="AK1456" s="70"/>
      <c r="AL1456" s="72"/>
      <c r="AO1456" s="22"/>
      <c r="AP1456" s="85"/>
      <c r="AQ1456" s="22"/>
      <c r="AR1456" s="51" t="str">
        <f t="shared" ref="AR1456" si="1841">TRIM(AO1456)&amp;"-"&amp;TRIM(AP1456)&amp;"-"&amp;TRIM(AQ1456)</f>
        <v>--</v>
      </c>
      <c r="AS1456" s="3"/>
      <c r="AT1456" s="94"/>
      <c r="AU1456" s="94"/>
      <c r="AV1456" s="94"/>
      <c r="AW1456" s="94"/>
      <c r="AX1456" s="94"/>
      <c r="AY1456" s="94"/>
      <c r="AZ1456" s="94"/>
      <c r="BA1456" s="94"/>
      <c r="BB1456" s="64">
        <f>SUMPRODUCT(AT1456:BA1456,$O$6:$V$6)</f>
        <v>0</v>
      </c>
      <c r="BD1456" s="60"/>
      <c r="BE1456" s="60"/>
      <c r="BF1456" s="95"/>
      <c r="BG1456" s="95"/>
      <c r="BH1456" s="95"/>
      <c r="BI1456" s="8">
        <f t="shared" ref="BI1456" si="1842">SUM(BD1456:BH1456)</f>
        <v>0</v>
      </c>
      <c r="BJ1456" s="2" t="s">
        <v>84</v>
      </c>
      <c r="BL1456" s="70"/>
      <c r="BM1456" s="70"/>
      <c r="BO1456" s="70"/>
      <c r="BP1456" s="70"/>
      <c r="BQ1456" s="72"/>
      <c r="BS1456" s="61">
        <f t="shared" ref="BS1456:BX1456" si="1843">SUM(Y1456)-SUM(BD1456)</f>
        <v>0</v>
      </c>
      <c r="BT1456" s="61">
        <f t="shared" si="1843"/>
        <v>0</v>
      </c>
      <c r="BU1456" s="61">
        <f t="shared" si="1843"/>
        <v>0</v>
      </c>
      <c r="BV1456" s="61">
        <f t="shared" si="1843"/>
        <v>0</v>
      </c>
      <c r="BW1456" s="61">
        <f t="shared" si="1843"/>
        <v>0</v>
      </c>
      <c r="BX1456" s="61">
        <f t="shared" si="1843"/>
        <v>0</v>
      </c>
      <c r="BY1456" s="61" t="s">
        <v>91</v>
      </c>
      <c r="CA1456" s="61">
        <f t="shared" ref="CA1456:CH1456" si="1844">($Y1456*O1456-AT1456*$BD1456)/$C$2</f>
        <v>0</v>
      </c>
      <c r="CB1456" s="61">
        <f t="shared" si="1844"/>
        <v>0</v>
      </c>
      <c r="CC1456" s="61">
        <f t="shared" si="1844"/>
        <v>0</v>
      </c>
      <c r="CD1456" s="61">
        <f t="shared" si="1844"/>
        <v>0</v>
      </c>
      <c r="CE1456" s="61">
        <f t="shared" si="1844"/>
        <v>0</v>
      </c>
      <c r="CF1456" s="61">
        <f t="shared" si="1844"/>
        <v>0</v>
      </c>
      <c r="CG1456" s="61">
        <f t="shared" si="1844"/>
        <v>0</v>
      </c>
      <c r="CH1456" s="61">
        <f t="shared" si="1844"/>
        <v>0</v>
      </c>
      <c r="CI1456" s="61">
        <f>SUMPRODUCT(CA1456:CH1456,$O$6:$V$6)</f>
        <v>0</v>
      </c>
      <c r="CJ1456" s="61"/>
      <c r="CK1456" s="61">
        <f t="shared" ref="CK1456:CR1456" si="1845">(O1456*$AD1456-AT1456*$BI1456)/$C$2</f>
        <v>0</v>
      </c>
      <c r="CL1456" s="61">
        <f t="shared" si="1845"/>
        <v>0</v>
      </c>
      <c r="CM1456" s="61">
        <f t="shared" si="1845"/>
        <v>0</v>
      </c>
      <c r="CN1456" s="61">
        <f t="shared" si="1845"/>
        <v>0</v>
      </c>
      <c r="CO1456" s="61">
        <f t="shared" si="1845"/>
        <v>0</v>
      </c>
      <c r="CP1456" s="61">
        <f t="shared" si="1845"/>
        <v>0</v>
      </c>
      <c r="CQ1456" s="61">
        <f t="shared" si="1845"/>
        <v>0</v>
      </c>
      <c r="CR1456" s="61">
        <f t="shared" si="1845"/>
        <v>0</v>
      </c>
      <c r="CS1456" s="61">
        <f>SUMPRODUCT(CK1456:CR1456,$O$6:$V$6)</f>
        <v>0</v>
      </c>
      <c r="CT1456" s="61">
        <f>CS1456*$C$2</f>
        <v>0</v>
      </c>
      <c r="CV1456" s="61">
        <f t="shared" ref="CV1456" si="1846">SUM(AG1456)-SUM(BL1456)</f>
        <v>0</v>
      </c>
      <c r="CW1456" s="61">
        <f t="shared" ref="CW1456" si="1847">SUM(AH1456)-SUM(BM1456)</f>
        <v>0</v>
      </c>
      <c r="CX1456" s="61"/>
      <c r="CY1456" s="61">
        <f t="shared" ref="CY1456:DA1456" si="1848">SUM(AJ1456)-SUM(BO1456)</f>
        <v>0</v>
      </c>
      <c r="CZ1456" s="61">
        <f t="shared" si="1848"/>
        <v>0</v>
      </c>
      <c r="DA1456" s="61">
        <f t="shared" si="1848"/>
        <v>0</v>
      </c>
      <c r="DG1456" s="62"/>
      <c r="EC1456" s="60"/>
      <c r="ED1456" s="60"/>
      <c r="EE1456" s="60" t="s">
        <v>2317</v>
      </c>
      <c r="EF1456" s="60"/>
    </row>
    <row r="1457" spans="1:136" ht="12.75" customHeight="1">
      <c r="B1457" s="99"/>
      <c r="C1457" s="22"/>
      <c r="D1457" s="22"/>
      <c r="F1457" s="2"/>
      <c r="G1457" s="2"/>
      <c r="J1457" s="149"/>
      <c r="K1457" s="23"/>
      <c r="L1457" s="149"/>
      <c r="M1457" s="51"/>
      <c r="O1457" s="22"/>
      <c r="P1457" s="22"/>
      <c r="Q1457" s="22"/>
      <c r="R1457" s="22"/>
      <c r="S1457" s="22"/>
      <c r="T1457" s="22"/>
      <c r="U1457" s="22"/>
      <c r="V1457" s="22"/>
      <c r="W1457" s="64"/>
      <c r="Y1457" s="60"/>
      <c r="Z1457" s="60"/>
      <c r="AA1457" s="60"/>
      <c r="AB1457" s="60"/>
      <c r="AC1457" s="60"/>
      <c r="AD1457" s="8"/>
      <c r="AG1457" s="70"/>
      <c r="AH1457" s="70"/>
      <c r="AJ1457" s="70"/>
      <c r="AK1457" s="70"/>
      <c r="AL1457" s="72"/>
      <c r="AO1457" s="22"/>
      <c r="AP1457" s="85"/>
      <c r="AQ1457" s="22"/>
      <c r="AR1457" s="51"/>
      <c r="AS1457" s="3"/>
      <c r="AT1457" s="94"/>
      <c r="AU1457" s="94"/>
      <c r="AV1457" s="94"/>
      <c r="AW1457" s="94"/>
      <c r="AX1457" s="94"/>
      <c r="AY1457" s="94"/>
      <c r="AZ1457" s="94"/>
      <c r="BA1457" s="94"/>
      <c r="BB1457" s="64"/>
      <c r="BD1457" s="60"/>
      <c r="BE1457" s="60"/>
      <c r="BF1457" s="95"/>
      <c r="BG1457" s="95"/>
      <c r="BH1457" s="95"/>
      <c r="BI1457" s="8"/>
      <c r="BL1457" s="70"/>
      <c r="BM1457" s="70"/>
      <c r="BO1457" s="70"/>
      <c r="BP1457" s="70"/>
      <c r="BQ1457" s="72"/>
      <c r="BS1457" s="61"/>
      <c r="BT1457" s="61"/>
      <c r="BU1457" s="61"/>
      <c r="BV1457" s="61"/>
      <c r="BW1457" s="61"/>
      <c r="BX1457" s="61"/>
      <c r="BY1457" s="61"/>
      <c r="CA1457" s="61"/>
      <c r="CB1457" s="61"/>
      <c r="CC1457" s="61"/>
      <c r="CD1457" s="61"/>
      <c r="CE1457" s="61"/>
      <c r="CF1457" s="61"/>
      <c r="CG1457" s="61"/>
      <c r="CH1457" s="61"/>
      <c r="CI1457" s="61"/>
      <c r="CJ1457" s="61"/>
      <c r="CK1457" s="61"/>
      <c r="CL1457" s="61"/>
      <c r="CM1457" s="61"/>
      <c r="CN1457" s="61"/>
      <c r="CO1457" s="61"/>
      <c r="CP1457" s="61"/>
      <c r="CQ1457" s="61"/>
      <c r="CR1457" s="61"/>
      <c r="CS1457" s="61"/>
      <c r="CT1457" s="61"/>
      <c r="CV1457" s="61"/>
      <c r="CW1457" s="61"/>
      <c r="CX1457" s="61"/>
      <c r="CY1457" s="61"/>
      <c r="CZ1457" s="61"/>
      <c r="DA1457" s="61"/>
      <c r="DG1457" s="62"/>
      <c r="EC1457" s="60"/>
      <c r="ED1457" s="60"/>
      <c r="EE1457" s="60"/>
      <c r="EF1457" s="60"/>
    </row>
    <row r="1458" spans="1:136" ht="12.75" customHeight="1">
      <c r="B1458" s="99"/>
      <c r="C1458" s="22"/>
      <c r="D1458" s="22"/>
      <c r="F1458" s="2"/>
      <c r="G1458" s="2"/>
      <c r="J1458" s="149"/>
      <c r="K1458" s="23"/>
      <c r="L1458" s="149"/>
      <c r="M1458" s="51"/>
      <c r="O1458" s="22"/>
      <c r="P1458" s="22"/>
      <c r="Q1458" s="22"/>
      <c r="R1458" s="22"/>
      <c r="S1458" s="22"/>
      <c r="T1458" s="22"/>
      <c r="U1458" s="22"/>
      <c r="V1458" s="22"/>
      <c r="W1458" s="64"/>
      <c r="Y1458" s="60"/>
      <c r="Z1458" s="60"/>
      <c r="AA1458" s="60"/>
      <c r="AB1458" s="60"/>
      <c r="AC1458" s="60"/>
      <c r="AD1458" s="8"/>
      <c r="AG1458" s="70"/>
      <c r="AH1458" s="70"/>
      <c r="AJ1458" s="70"/>
      <c r="AK1458" s="70"/>
      <c r="AL1458" s="72"/>
      <c r="AO1458" s="22"/>
      <c r="AP1458" s="85"/>
      <c r="AQ1458" s="22"/>
      <c r="AR1458" s="51"/>
      <c r="AS1458" s="3"/>
      <c r="AT1458" s="94"/>
      <c r="AU1458" s="94"/>
      <c r="AV1458" s="94"/>
      <c r="AW1458" s="94"/>
      <c r="AX1458" s="94"/>
      <c r="AY1458" s="94"/>
      <c r="AZ1458" s="94"/>
      <c r="BA1458" s="94"/>
      <c r="BB1458" s="64"/>
      <c r="BD1458" s="60"/>
      <c r="BE1458" s="60"/>
      <c r="BF1458" s="95"/>
      <c r="BG1458" s="95"/>
      <c r="BH1458" s="95"/>
      <c r="BI1458" s="8"/>
      <c r="BL1458" s="70"/>
      <c r="BM1458" s="70"/>
      <c r="BO1458" s="70"/>
      <c r="BP1458" s="70"/>
      <c r="BQ1458" s="72"/>
      <c r="BS1458" s="61"/>
      <c r="BT1458" s="61"/>
      <c r="BU1458" s="61"/>
      <c r="BV1458" s="61"/>
      <c r="BW1458" s="61"/>
      <c r="BX1458" s="61"/>
      <c r="BY1458" s="61"/>
      <c r="CA1458" s="61"/>
      <c r="CB1458" s="61"/>
      <c r="CC1458" s="61"/>
      <c r="CD1458" s="61"/>
      <c r="CE1458" s="61"/>
      <c r="CF1458" s="61"/>
      <c r="CG1458" s="61"/>
      <c r="CH1458" s="61"/>
      <c r="CI1458" s="61"/>
      <c r="CJ1458" s="61"/>
      <c r="CK1458" s="61"/>
      <c r="CL1458" s="61"/>
      <c r="CM1458" s="61"/>
      <c r="CN1458" s="61"/>
      <c r="CO1458" s="61"/>
      <c r="CP1458" s="61"/>
      <c r="CQ1458" s="61"/>
      <c r="CR1458" s="61"/>
      <c r="CS1458" s="61"/>
      <c r="CT1458" s="61"/>
      <c r="CV1458" s="61"/>
      <c r="CW1458" s="61"/>
      <c r="CX1458" s="61"/>
      <c r="CY1458" s="61"/>
      <c r="CZ1458" s="61"/>
      <c r="DA1458" s="61"/>
      <c r="DG1458" s="62"/>
      <c r="EC1458" s="60"/>
      <c r="ED1458" s="60"/>
      <c r="EE1458" s="60"/>
      <c r="EF1458" s="60"/>
    </row>
    <row r="1459" spans="1:136" ht="12.75" customHeight="1">
      <c r="B1459" s="22" t="s">
        <v>348</v>
      </c>
      <c r="C1459" s="22"/>
      <c r="D1459" s="22"/>
      <c r="F1459" s="2"/>
      <c r="G1459" s="2"/>
      <c r="J1459" s="149"/>
      <c r="K1459" s="23"/>
      <c r="L1459" s="149"/>
      <c r="M1459" s="51" t="str">
        <f t="shared" si="1765"/>
        <v>--</v>
      </c>
      <c r="O1459" s="383"/>
      <c r="P1459" s="383"/>
      <c r="Q1459" s="383"/>
      <c r="R1459" s="383"/>
      <c r="S1459" s="383"/>
      <c r="T1459" s="383"/>
      <c r="U1459" s="383"/>
      <c r="V1459" s="383"/>
      <c r="Y1459" s="60"/>
      <c r="Z1459" s="60"/>
      <c r="AA1459" s="60"/>
      <c r="AB1459" s="60"/>
      <c r="AC1459" s="60"/>
      <c r="AD1459" s="8">
        <f t="shared" si="1766"/>
        <v>0</v>
      </c>
      <c r="AE1459" s="2" t="s">
        <v>84</v>
      </c>
      <c r="AG1459" s="70"/>
      <c r="AH1459" s="70"/>
      <c r="AJ1459" s="70"/>
      <c r="AK1459" s="70"/>
      <c r="AL1459" s="72"/>
      <c r="AO1459" s="22"/>
      <c r="AP1459" s="85"/>
      <c r="AQ1459" s="22"/>
      <c r="AR1459" s="51" t="str">
        <f t="shared" si="1767"/>
        <v>--</v>
      </c>
      <c r="AS1459" s="3"/>
      <c r="AT1459" s="94"/>
      <c r="AU1459" s="94"/>
      <c r="AV1459" s="94"/>
      <c r="AW1459" s="94"/>
      <c r="AX1459" s="94"/>
      <c r="AY1459" s="94"/>
      <c r="AZ1459" s="94"/>
      <c r="BA1459" s="94"/>
      <c r="BB1459" s="64">
        <f>SUMPRODUCT(AT1459:BA1459,$O$6:$V$6)</f>
        <v>0</v>
      </c>
      <c r="BD1459" s="60"/>
      <c r="BE1459" s="60"/>
      <c r="BF1459" s="95"/>
      <c r="BG1459" s="95"/>
      <c r="BH1459" s="95"/>
      <c r="BI1459" s="8">
        <f t="shared" si="1775"/>
        <v>0</v>
      </c>
      <c r="BJ1459" s="2" t="s">
        <v>84</v>
      </c>
      <c r="BL1459" s="70"/>
      <c r="BM1459" s="70"/>
      <c r="BO1459" s="70"/>
      <c r="BP1459" s="70"/>
      <c r="BQ1459" s="72"/>
      <c r="BS1459" s="61">
        <f t="shared" ref="BS1459:BX1459" si="1849">SUM(Y1459)-SUM(BD1459)</f>
        <v>0</v>
      </c>
      <c r="BT1459" s="61">
        <f t="shared" si="1849"/>
        <v>0</v>
      </c>
      <c r="BU1459" s="61">
        <f t="shared" si="1849"/>
        <v>0</v>
      </c>
      <c r="BV1459" s="61">
        <f t="shared" si="1849"/>
        <v>0</v>
      </c>
      <c r="BW1459" s="61">
        <f t="shared" si="1849"/>
        <v>0</v>
      </c>
      <c r="BX1459" s="61">
        <f t="shared" si="1849"/>
        <v>0</v>
      </c>
      <c r="BY1459" s="61" t="s">
        <v>91</v>
      </c>
      <c r="CA1459" s="61">
        <f t="shared" ref="CA1459:CH1459" si="1850">($Y1459*O1459-AT1459*$BD1459)/$C$2</f>
        <v>0</v>
      </c>
      <c r="CB1459" s="61">
        <f t="shared" si="1850"/>
        <v>0</v>
      </c>
      <c r="CC1459" s="61">
        <f t="shared" si="1850"/>
        <v>0</v>
      </c>
      <c r="CD1459" s="61">
        <f t="shared" si="1850"/>
        <v>0</v>
      </c>
      <c r="CE1459" s="61">
        <f t="shared" si="1850"/>
        <v>0</v>
      </c>
      <c r="CF1459" s="61">
        <f t="shared" si="1850"/>
        <v>0</v>
      </c>
      <c r="CG1459" s="61">
        <f t="shared" si="1850"/>
        <v>0</v>
      </c>
      <c r="CH1459" s="61">
        <f t="shared" si="1850"/>
        <v>0</v>
      </c>
      <c r="CI1459" s="61">
        <f>SUMPRODUCT(CA1459:CH1459,$O$6:$V$6)</f>
        <v>0</v>
      </c>
      <c r="CJ1459" s="61"/>
      <c r="CK1459" s="61">
        <f t="shared" ref="CK1459:CR1459" si="1851">(O1459*$AD1459-AT1459*$BI1459)/$C$2</f>
        <v>0</v>
      </c>
      <c r="CL1459" s="61">
        <f t="shared" si="1851"/>
        <v>0</v>
      </c>
      <c r="CM1459" s="61">
        <f t="shared" si="1851"/>
        <v>0</v>
      </c>
      <c r="CN1459" s="61">
        <f t="shared" si="1851"/>
        <v>0</v>
      </c>
      <c r="CO1459" s="61">
        <f t="shared" si="1851"/>
        <v>0</v>
      </c>
      <c r="CP1459" s="61">
        <f t="shared" si="1851"/>
        <v>0</v>
      </c>
      <c r="CQ1459" s="61">
        <f t="shared" si="1851"/>
        <v>0</v>
      </c>
      <c r="CR1459" s="61">
        <f t="shared" si="1851"/>
        <v>0</v>
      </c>
      <c r="CS1459" s="61">
        <f>SUMPRODUCT(CK1459:CR1459,$O$6:$V$6)</f>
        <v>0</v>
      </c>
      <c r="CT1459" s="61">
        <f>CS1459*$C$2</f>
        <v>0</v>
      </c>
      <c r="CV1459" s="61">
        <f t="shared" si="1772"/>
        <v>0</v>
      </c>
      <c r="CW1459" s="61">
        <f t="shared" si="1773"/>
        <v>0</v>
      </c>
      <c r="CX1459" s="61"/>
      <c r="CY1459" s="61">
        <f t="shared" ref="CY1459:DA1483" si="1852">SUM(AJ1459)-SUM(BO1459)</f>
        <v>0</v>
      </c>
      <c r="CZ1459" s="61">
        <f t="shared" si="1852"/>
        <v>0</v>
      </c>
      <c r="DA1459" s="61">
        <f t="shared" si="1852"/>
        <v>0</v>
      </c>
      <c r="DG1459" s="62"/>
      <c r="EC1459" s="60"/>
      <c r="ED1459" s="60"/>
      <c r="EE1459" s="60"/>
      <c r="EF1459" s="60"/>
    </row>
    <row r="1460" spans="1:136" ht="12.75" customHeight="1">
      <c r="A1460" s="384"/>
      <c r="B1460" s="382" t="s">
        <v>2318</v>
      </c>
      <c r="EC1460" s="60"/>
      <c r="ED1460" s="60"/>
      <c r="EE1460" s="60"/>
      <c r="EF1460" s="60"/>
    </row>
    <row r="1461" spans="1:136" ht="12.75" customHeight="1">
      <c r="B1461" s="1" t="s">
        <v>2319</v>
      </c>
      <c r="C1461" s="385" t="s">
        <v>2320</v>
      </c>
      <c r="D1461" s="385" t="s">
        <v>2098</v>
      </c>
      <c r="E1461" s="385" t="s">
        <v>1005</v>
      </c>
      <c r="F1461" s="245" t="s">
        <v>330</v>
      </c>
      <c r="G1461" s="386" t="s">
        <v>2099</v>
      </c>
      <c r="J1461" s="66" t="s">
        <v>2321</v>
      </c>
      <c r="K1461" s="1">
        <v>6758</v>
      </c>
      <c r="L1461" s="1" t="s">
        <v>180</v>
      </c>
      <c r="M1461" s="51" t="s">
        <v>2322</v>
      </c>
      <c r="O1461" s="89">
        <v>0</v>
      </c>
      <c r="P1461" s="89">
        <v>0</v>
      </c>
      <c r="Q1461" s="89">
        <v>0</v>
      </c>
      <c r="R1461" s="89">
        <v>0</v>
      </c>
      <c r="S1461" s="89">
        <v>1</v>
      </c>
      <c r="T1461" s="89">
        <v>1</v>
      </c>
      <c r="U1461" s="89">
        <v>0</v>
      </c>
      <c r="V1461" s="89">
        <v>1</v>
      </c>
      <c r="W1461" s="64">
        <f t="shared" ref="W1461:W1468" si="1853">SUMPRODUCT(O1461:V1461,$O$6:$V$6)</f>
        <v>0.28000000000000003</v>
      </c>
      <c r="Y1461" s="8">
        <v>-32.35</v>
      </c>
      <c r="Z1461" s="60">
        <v>-0.5</v>
      </c>
      <c r="AA1461" s="95">
        <v>-0.4</v>
      </c>
      <c r="AB1461" s="97">
        <v>0</v>
      </c>
      <c r="AC1461" s="97">
        <v>0</v>
      </c>
      <c r="AD1461" s="8">
        <v>-33.25</v>
      </c>
      <c r="AE1461" s="2" t="s">
        <v>91</v>
      </c>
      <c r="AG1461" s="300">
        <v>0</v>
      </c>
      <c r="AH1461" s="387">
        <v>0</v>
      </c>
      <c r="AJ1461" s="387">
        <v>0</v>
      </c>
      <c r="AK1461" s="387">
        <v>0</v>
      </c>
      <c r="AL1461" s="176">
        <v>0</v>
      </c>
      <c r="AM1461" s="388" t="s">
        <v>2101</v>
      </c>
      <c r="AO1461" s="389" t="s">
        <v>2321</v>
      </c>
      <c r="AP1461" s="123">
        <v>6758</v>
      </c>
      <c r="AQ1461" s="123" t="s">
        <v>100</v>
      </c>
      <c r="AR1461" s="51" t="str">
        <f>TRIM(AO1461)&amp;"-"&amp;TRIM(AP1461)&amp;"-"&amp;TRIM(AQ1461)</f>
        <v>H6BG-6758-AA</v>
      </c>
      <c r="AT1461" s="89">
        <v>0</v>
      </c>
      <c r="AU1461" s="89">
        <v>0</v>
      </c>
      <c r="AV1461" s="89">
        <v>0</v>
      </c>
      <c r="AW1461" s="89">
        <v>0</v>
      </c>
      <c r="AX1461" s="89">
        <v>1</v>
      </c>
      <c r="AY1461" s="89">
        <v>1</v>
      </c>
      <c r="AZ1461" s="89">
        <v>0</v>
      </c>
      <c r="BA1461" s="89">
        <v>1</v>
      </c>
      <c r="BB1461" s="164">
        <f t="shared" ref="BB1461:BB1468" si="1854">SUMPRODUCT(AT1461:BA1461,$O$6:$V$6)</f>
        <v>0.28000000000000003</v>
      </c>
      <c r="BD1461" s="60">
        <v>-32.35</v>
      </c>
      <c r="BE1461" s="60">
        <v>-0.5</v>
      </c>
      <c r="BF1461" s="60">
        <v>-0.4</v>
      </c>
      <c r="BG1461" s="60">
        <v>0</v>
      </c>
      <c r="BH1461" s="60">
        <v>0</v>
      </c>
      <c r="BI1461" s="8">
        <f>SUM(BD1461:BH1461)</f>
        <v>-33.25</v>
      </c>
      <c r="BJ1461" s="2" t="s">
        <v>91</v>
      </c>
      <c r="BL1461" s="95">
        <v>0</v>
      </c>
      <c r="BM1461" s="95">
        <v>0</v>
      </c>
      <c r="BN1461" s="95"/>
      <c r="BO1461" s="95">
        <v>0</v>
      </c>
      <c r="BP1461" s="95">
        <v>0</v>
      </c>
      <c r="BQ1461" s="95">
        <v>0</v>
      </c>
      <c r="BS1461" s="61">
        <f t="shared" ref="BS1461:BX1468" si="1855">SUM(Y1461)-SUM(BD1461)</f>
        <v>0</v>
      </c>
      <c r="BT1461" s="61">
        <f t="shared" si="1855"/>
        <v>0</v>
      </c>
      <c r="BU1461" s="61">
        <f t="shared" si="1855"/>
        <v>0</v>
      </c>
      <c r="BV1461" s="61">
        <f t="shared" si="1855"/>
        <v>0</v>
      </c>
      <c r="BW1461" s="61">
        <f t="shared" si="1855"/>
        <v>0</v>
      </c>
      <c r="BX1461" s="63">
        <f t="shared" si="1855"/>
        <v>0</v>
      </c>
      <c r="BY1461" s="61" t="s">
        <v>91</v>
      </c>
      <c r="CA1461" s="61">
        <f t="shared" ref="CA1461:CH1468" si="1856">($Y1461*O1461-AT1461*$BD1461)/$C$2</f>
        <v>0</v>
      </c>
      <c r="CB1461" s="61">
        <f t="shared" si="1856"/>
        <v>0</v>
      </c>
      <c r="CC1461" s="61">
        <f t="shared" si="1856"/>
        <v>0</v>
      </c>
      <c r="CD1461" s="61">
        <f t="shared" si="1856"/>
        <v>0</v>
      </c>
      <c r="CE1461" s="61">
        <f t="shared" si="1856"/>
        <v>0</v>
      </c>
      <c r="CF1461" s="61">
        <f t="shared" si="1856"/>
        <v>0</v>
      </c>
      <c r="CG1461" s="61">
        <f t="shared" si="1856"/>
        <v>0</v>
      </c>
      <c r="CH1461" s="61">
        <f t="shared" si="1856"/>
        <v>0</v>
      </c>
      <c r="CI1461" s="61">
        <f t="shared" ref="CI1461:CI1468" si="1857">SUMPRODUCT(CA1461:CH1461,$O$6:$V$6)</f>
        <v>0</v>
      </c>
      <c r="CJ1461" s="267"/>
      <c r="CK1461" s="61">
        <f t="shared" ref="CK1461:CR1468" si="1858">(O1461*$AD1461-AT1461*$BI1461)/$C$2</f>
        <v>0</v>
      </c>
      <c r="CL1461" s="61">
        <f t="shared" si="1858"/>
        <v>0</v>
      </c>
      <c r="CM1461" s="61">
        <f t="shared" si="1858"/>
        <v>0</v>
      </c>
      <c r="CN1461" s="61">
        <f t="shared" si="1858"/>
        <v>0</v>
      </c>
      <c r="CO1461" s="61">
        <f t="shared" si="1858"/>
        <v>0</v>
      </c>
      <c r="CP1461" s="61">
        <f t="shared" si="1858"/>
        <v>0</v>
      </c>
      <c r="CQ1461" s="61">
        <f t="shared" si="1858"/>
        <v>0</v>
      </c>
      <c r="CR1461" s="61">
        <f t="shared" si="1858"/>
        <v>0</v>
      </c>
      <c r="CS1461" s="61">
        <f t="shared" ref="CS1461:CS1468" si="1859">SUMPRODUCT(CK1461:CR1461,$O$6:$V$6)</f>
        <v>0</v>
      </c>
      <c r="CT1461" s="63">
        <f t="shared" ref="CT1461:CT1468" si="1860">CS1461*$C$2</f>
        <v>0</v>
      </c>
      <c r="CU1461" s="176"/>
      <c r="CV1461" s="61">
        <f t="shared" ref="CV1461:CW1463" si="1861">SUM(AG1461)-SUM(BL1461)</f>
        <v>0</v>
      </c>
      <c r="CW1461" s="61">
        <f t="shared" si="1861"/>
        <v>0</v>
      </c>
      <c r="CX1461" s="267"/>
      <c r="CY1461" s="61">
        <f t="shared" ref="CY1461:DA1462" si="1862">SUM(AJ1461)-SUM(BO1461)</f>
        <v>0</v>
      </c>
      <c r="CZ1461" s="61">
        <f t="shared" si="1862"/>
        <v>0</v>
      </c>
      <c r="DA1461" s="61">
        <f t="shared" si="1862"/>
        <v>0</v>
      </c>
      <c r="DB1461" s="2" t="s">
        <v>102</v>
      </c>
      <c r="DC1461" s="2" t="s">
        <v>102</v>
      </c>
      <c r="DD1461" s="2" t="s">
        <v>142</v>
      </c>
      <c r="DE1461" s="2" t="s">
        <v>143</v>
      </c>
      <c r="DG1461" s="62"/>
      <c r="EC1461" s="60"/>
      <c r="ED1461" s="60"/>
      <c r="EE1461" s="60"/>
      <c r="EF1461" s="60"/>
    </row>
    <row r="1462" spans="1:136" ht="12.75" customHeight="1">
      <c r="B1462" s="1" t="s">
        <v>2323</v>
      </c>
      <c r="C1462" s="22" t="s">
        <v>2324</v>
      </c>
      <c r="D1462" s="22" t="s">
        <v>2325</v>
      </c>
      <c r="E1462" s="2" t="s">
        <v>1005</v>
      </c>
      <c r="F1462" s="2" t="s">
        <v>330</v>
      </c>
      <c r="G1462" s="386" t="s">
        <v>2099</v>
      </c>
      <c r="J1462" s="66" t="s">
        <v>2326</v>
      </c>
      <c r="K1462" s="390" t="s">
        <v>2327</v>
      </c>
      <c r="L1462" s="1" t="s">
        <v>132</v>
      </c>
      <c r="M1462" s="51" t="s">
        <v>2328</v>
      </c>
      <c r="O1462" s="89">
        <v>0</v>
      </c>
      <c r="P1462" s="89">
        <v>0</v>
      </c>
      <c r="Q1462" s="89">
        <v>0</v>
      </c>
      <c r="R1462" s="89">
        <v>0</v>
      </c>
      <c r="S1462" s="89">
        <v>1</v>
      </c>
      <c r="T1462" s="89">
        <v>1</v>
      </c>
      <c r="U1462" s="89">
        <v>0</v>
      </c>
      <c r="V1462" s="89">
        <v>1</v>
      </c>
      <c r="W1462" s="64">
        <f t="shared" si="1853"/>
        <v>0.28000000000000003</v>
      </c>
      <c r="Y1462" s="60">
        <f>-558.86-1.5</f>
        <v>-560.36</v>
      </c>
      <c r="Z1462" s="60">
        <v>-3.36</v>
      </c>
      <c r="AA1462" s="60">
        <v>-11.59</v>
      </c>
      <c r="AB1462" s="60"/>
      <c r="AC1462" s="60">
        <v>-14.16</v>
      </c>
      <c r="AD1462" s="8">
        <f>SUM(Y1462:AC1462)</f>
        <v>-589.47</v>
      </c>
      <c r="AE1462" s="2" t="s">
        <v>91</v>
      </c>
      <c r="AG1462" s="70">
        <v>-1430000</v>
      </c>
      <c r="AH1462" s="70">
        <v>-1430000</v>
      </c>
      <c r="AI1462" s="70"/>
      <c r="AJ1462" s="70">
        <v>-2009910</v>
      </c>
      <c r="AK1462" s="70">
        <v>141936</v>
      </c>
      <c r="AL1462" s="70">
        <v>0</v>
      </c>
      <c r="AO1462" s="3" t="s">
        <v>2329</v>
      </c>
      <c r="AP1462" s="3" t="s">
        <v>2330</v>
      </c>
      <c r="AQ1462" s="3" t="s">
        <v>180</v>
      </c>
      <c r="AR1462" s="51" t="str">
        <f>TRIM(AO1462)&amp;"-"&amp;TRIM(AP1462)&amp;"-"&amp;TRIM(AQ1462)</f>
        <v>KD8G-5E292-AA</v>
      </c>
      <c r="AT1462" s="56">
        <v>0</v>
      </c>
      <c r="AU1462" s="56">
        <v>0</v>
      </c>
      <c r="AV1462" s="56">
        <v>0</v>
      </c>
      <c r="AW1462" s="56">
        <v>0</v>
      </c>
      <c r="AX1462" s="56">
        <v>1</v>
      </c>
      <c r="AY1462" s="56">
        <v>1</v>
      </c>
      <c r="AZ1462" s="56">
        <v>0</v>
      </c>
      <c r="BA1462" s="56">
        <v>1</v>
      </c>
      <c r="BB1462" s="164">
        <f t="shared" si="1854"/>
        <v>0.28000000000000003</v>
      </c>
      <c r="BD1462" s="60">
        <v>-558.86</v>
      </c>
      <c r="BE1462" s="60">
        <v>-3.36</v>
      </c>
      <c r="BF1462" s="60">
        <v>-11.59</v>
      </c>
      <c r="BG1462" s="60"/>
      <c r="BH1462" s="60">
        <v>-14.16</v>
      </c>
      <c r="BI1462" s="8">
        <f>SUM(BD1462:BH1462)</f>
        <v>-587.97</v>
      </c>
      <c r="BJ1462" s="2" t="s">
        <v>91</v>
      </c>
      <c r="BL1462" s="70">
        <v>-1430000</v>
      </c>
      <c r="BM1462" s="70">
        <v>-1430000</v>
      </c>
      <c r="BN1462" s="70"/>
      <c r="BO1462" s="70">
        <v>-2009910</v>
      </c>
      <c r="BP1462" s="70">
        <v>141936</v>
      </c>
      <c r="BQ1462" s="70">
        <v>0</v>
      </c>
      <c r="BS1462" s="61">
        <f t="shared" si="1855"/>
        <v>-1.5</v>
      </c>
      <c r="BT1462" s="61">
        <f t="shared" si="1855"/>
        <v>0</v>
      </c>
      <c r="BU1462" s="61">
        <f t="shared" si="1855"/>
        <v>0</v>
      </c>
      <c r="BV1462" s="61">
        <f t="shared" si="1855"/>
        <v>0</v>
      </c>
      <c r="BW1462" s="61">
        <f t="shared" si="1855"/>
        <v>0</v>
      </c>
      <c r="BX1462" s="63">
        <f t="shared" si="1855"/>
        <v>-1.5</v>
      </c>
      <c r="BY1462" s="61" t="s">
        <v>91</v>
      </c>
      <c r="CA1462" s="61">
        <f t="shared" si="1856"/>
        <v>0</v>
      </c>
      <c r="CB1462" s="61">
        <f t="shared" si="1856"/>
        <v>0</v>
      </c>
      <c r="CC1462" s="61">
        <f t="shared" si="1856"/>
        <v>0</v>
      </c>
      <c r="CD1462" s="61">
        <f t="shared" si="1856"/>
        <v>0</v>
      </c>
      <c r="CE1462" s="61">
        <f t="shared" si="1856"/>
        <v>-0.22566571385587483</v>
      </c>
      <c r="CF1462" s="61">
        <f t="shared" si="1856"/>
        <v>-0.22566571385587483</v>
      </c>
      <c r="CG1462" s="61">
        <f t="shared" si="1856"/>
        <v>0</v>
      </c>
      <c r="CH1462" s="61">
        <f t="shared" si="1856"/>
        <v>-0.22566571385587483</v>
      </c>
      <c r="CI1462" s="61">
        <f t="shared" si="1857"/>
        <v>-6.3186399879644958E-2</v>
      </c>
      <c r="CJ1462" s="267"/>
      <c r="CK1462" s="61">
        <f t="shared" si="1858"/>
        <v>0</v>
      </c>
      <c r="CL1462" s="61">
        <f t="shared" si="1858"/>
        <v>0</v>
      </c>
      <c r="CM1462" s="61">
        <f t="shared" si="1858"/>
        <v>0</v>
      </c>
      <c r="CN1462" s="61">
        <f t="shared" si="1858"/>
        <v>0</v>
      </c>
      <c r="CO1462" s="61">
        <f t="shared" si="1858"/>
        <v>-0.22566571385587483</v>
      </c>
      <c r="CP1462" s="61">
        <f t="shared" si="1858"/>
        <v>-0.22566571385587483</v>
      </c>
      <c r="CQ1462" s="61">
        <f t="shared" si="1858"/>
        <v>0</v>
      </c>
      <c r="CR1462" s="61">
        <f t="shared" si="1858"/>
        <v>-0.22566571385587483</v>
      </c>
      <c r="CS1462" s="61">
        <f t="shared" si="1859"/>
        <v>-6.3186399879644958E-2</v>
      </c>
      <c r="CT1462" s="63">
        <f t="shared" si="1860"/>
        <v>-0.42000000000000004</v>
      </c>
      <c r="CU1462" s="176"/>
      <c r="CV1462" s="61">
        <f t="shared" si="1861"/>
        <v>0</v>
      </c>
      <c r="CW1462" s="61">
        <f t="shared" si="1861"/>
        <v>0</v>
      </c>
      <c r="CX1462" s="267"/>
      <c r="CY1462" s="61">
        <f t="shared" si="1862"/>
        <v>0</v>
      </c>
      <c r="CZ1462" s="61">
        <f t="shared" si="1862"/>
        <v>0</v>
      </c>
      <c r="DA1462" s="61">
        <f t="shared" si="1862"/>
        <v>0</v>
      </c>
      <c r="DB1462" s="2" t="s">
        <v>85</v>
      </c>
      <c r="DC1462" s="2" t="s">
        <v>102</v>
      </c>
      <c r="DD1462" s="2" t="s">
        <v>142</v>
      </c>
      <c r="DE1462" s="2" t="s">
        <v>169</v>
      </c>
      <c r="EC1462" s="60"/>
      <c r="ED1462" s="60"/>
      <c r="EE1462" s="60"/>
      <c r="EF1462" s="60"/>
    </row>
    <row r="1463" spans="1:136" ht="12.75" customHeight="1">
      <c r="B1463" s="1" t="s">
        <v>2331</v>
      </c>
      <c r="C1463" s="22" t="s">
        <v>2324</v>
      </c>
      <c r="D1463" s="22" t="s">
        <v>2325</v>
      </c>
      <c r="E1463" s="2" t="s">
        <v>1005</v>
      </c>
      <c r="F1463" s="2" t="s">
        <v>330</v>
      </c>
      <c r="G1463" s="386" t="s">
        <v>2099</v>
      </c>
      <c r="J1463" s="66" t="s">
        <v>2326</v>
      </c>
      <c r="K1463" s="390" t="s">
        <v>2327</v>
      </c>
      <c r="L1463" s="1" t="s">
        <v>234</v>
      </c>
      <c r="M1463" s="51" t="s">
        <v>2328</v>
      </c>
      <c r="O1463" s="89">
        <v>0</v>
      </c>
      <c r="P1463" s="89">
        <v>0</v>
      </c>
      <c r="Q1463" s="89">
        <v>0</v>
      </c>
      <c r="R1463" s="89">
        <v>0</v>
      </c>
      <c r="S1463" s="89">
        <v>1</v>
      </c>
      <c r="T1463" s="89">
        <v>1</v>
      </c>
      <c r="U1463" s="89">
        <v>0</v>
      </c>
      <c r="V1463" s="89">
        <v>1</v>
      </c>
      <c r="W1463" s="64">
        <f t="shared" si="1853"/>
        <v>0.28000000000000003</v>
      </c>
      <c r="Y1463" s="60">
        <f>-558.86-1.5-7.6</f>
        <v>-567.96</v>
      </c>
      <c r="Z1463" s="60">
        <v>-3.36</v>
      </c>
      <c r="AA1463" s="60">
        <v>-11.59</v>
      </c>
      <c r="AB1463" s="60"/>
      <c r="AC1463" s="60">
        <v>-14.16</v>
      </c>
      <c r="AD1463" s="8">
        <f>SUM(Y1463:AC1463)</f>
        <v>-597.07000000000005</v>
      </c>
      <c r="AE1463" s="2" t="s">
        <v>91</v>
      </c>
      <c r="AG1463" s="70">
        <f>-1430000-236400</f>
        <v>-1666400</v>
      </c>
      <c r="AH1463" s="70">
        <f>-1430000-236400</f>
        <v>-1666400</v>
      </c>
      <c r="AI1463" s="70"/>
      <c r="AJ1463" s="70">
        <v>-2009910</v>
      </c>
      <c r="AK1463" s="70">
        <v>141936</v>
      </c>
      <c r="AL1463" s="70">
        <v>0</v>
      </c>
      <c r="AO1463" s="66" t="s">
        <v>2326</v>
      </c>
      <c r="AP1463" s="390" t="s">
        <v>2327</v>
      </c>
      <c r="AQ1463" s="1" t="s">
        <v>132</v>
      </c>
      <c r="AR1463" s="51" t="s">
        <v>2328</v>
      </c>
      <c r="AS1463" s="3"/>
      <c r="AT1463" s="89">
        <v>0</v>
      </c>
      <c r="AU1463" s="89">
        <v>0</v>
      </c>
      <c r="AV1463" s="89">
        <v>0</v>
      </c>
      <c r="AW1463" s="89">
        <v>0</v>
      </c>
      <c r="AX1463" s="89">
        <v>1</v>
      </c>
      <c r="AY1463" s="89">
        <v>1</v>
      </c>
      <c r="AZ1463" s="89">
        <v>0</v>
      </c>
      <c r="BA1463" s="89">
        <v>1</v>
      </c>
      <c r="BB1463" s="64">
        <f t="shared" si="1854"/>
        <v>0.28000000000000003</v>
      </c>
      <c r="BD1463" s="60">
        <f>-558.86-1.5</f>
        <v>-560.36</v>
      </c>
      <c r="BE1463" s="60">
        <v>-3.36</v>
      </c>
      <c r="BF1463" s="60">
        <v>-11.59</v>
      </c>
      <c r="BG1463" s="60"/>
      <c r="BH1463" s="60">
        <v>-14.16</v>
      </c>
      <c r="BI1463" s="8">
        <f>SUM(BD1463:BH1463)</f>
        <v>-589.47</v>
      </c>
      <c r="BJ1463" s="2" t="s">
        <v>91</v>
      </c>
      <c r="BL1463" s="70">
        <v>-1430000</v>
      </c>
      <c r="BM1463" s="70">
        <v>-1430000</v>
      </c>
      <c r="BN1463" s="70"/>
      <c r="BO1463" s="70">
        <v>-2009910</v>
      </c>
      <c r="BP1463" s="70">
        <v>141936</v>
      </c>
      <c r="BQ1463" s="70">
        <v>0</v>
      </c>
      <c r="BS1463" s="61">
        <f t="shared" si="1855"/>
        <v>-7.6000000000000227</v>
      </c>
      <c r="BT1463" s="61">
        <f t="shared" si="1855"/>
        <v>0</v>
      </c>
      <c r="BU1463" s="61">
        <f t="shared" si="1855"/>
        <v>0</v>
      </c>
      <c r="BV1463" s="61">
        <f t="shared" si="1855"/>
        <v>0</v>
      </c>
      <c r="BW1463" s="61">
        <f t="shared" si="1855"/>
        <v>0</v>
      </c>
      <c r="BX1463" s="63">
        <f t="shared" si="1855"/>
        <v>-7.6000000000000227</v>
      </c>
      <c r="BY1463" s="61" t="s">
        <v>91</v>
      </c>
      <c r="CA1463" s="61">
        <f t="shared" si="1856"/>
        <v>0</v>
      </c>
      <c r="CB1463" s="61">
        <f t="shared" si="1856"/>
        <v>0</v>
      </c>
      <c r="CC1463" s="61">
        <f t="shared" si="1856"/>
        <v>0</v>
      </c>
      <c r="CD1463" s="61">
        <f t="shared" si="1856"/>
        <v>0</v>
      </c>
      <c r="CE1463" s="61">
        <f t="shared" si="1856"/>
        <v>-1.1433729502031025</v>
      </c>
      <c r="CF1463" s="61">
        <f t="shared" si="1856"/>
        <v>-1.1433729502031025</v>
      </c>
      <c r="CG1463" s="61">
        <f t="shared" si="1856"/>
        <v>0</v>
      </c>
      <c r="CH1463" s="61">
        <f t="shared" si="1856"/>
        <v>-1.1433729502031025</v>
      </c>
      <c r="CI1463" s="61">
        <f t="shared" si="1857"/>
        <v>-0.32014442605686866</v>
      </c>
      <c r="CJ1463" s="267"/>
      <c r="CK1463" s="61">
        <f t="shared" si="1858"/>
        <v>0</v>
      </c>
      <c r="CL1463" s="61">
        <f t="shared" si="1858"/>
        <v>0</v>
      </c>
      <c r="CM1463" s="61">
        <f t="shared" si="1858"/>
        <v>0</v>
      </c>
      <c r="CN1463" s="61">
        <f t="shared" si="1858"/>
        <v>0</v>
      </c>
      <c r="CO1463" s="61">
        <f t="shared" si="1858"/>
        <v>-1.1433729502031025</v>
      </c>
      <c r="CP1463" s="61">
        <f t="shared" si="1858"/>
        <v>-1.1433729502031025</v>
      </c>
      <c r="CQ1463" s="61">
        <f t="shared" si="1858"/>
        <v>0</v>
      </c>
      <c r="CR1463" s="61">
        <f t="shared" si="1858"/>
        <v>-1.1433729502031025</v>
      </c>
      <c r="CS1463" s="61">
        <f t="shared" si="1859"/>
        <v>-0.32014442605686866</v>
      </c>
      <c r="CT1463" s="63">
        <f t="shared" si="1860"/>
        <v>-2.1280000000000059</v>
      </c>
      <c r="CU1463" s="176"/>
      <c r="CV1463" s="61">
        <f t="shared" si="1861"/>
        <v>-236400</v>
      </c>
      <c r="CW1463" s="61">
        <f t="shared" si="1861"/>
        <v>-236400</v>
      </c>
      <c r="CX1463" s="267"/>
      <c r="CY1463" s="61">
        <f t="shared" ref="CY1463" si="1863">SUM(AJ1463)-SUM(BO1463)</f>
        <v>0</v>
      </c>
      <c r="CZ1463" s="61">
        <f t="shared" ref="CZ1463" si="1864">SUM(AK1463)-SUM(BP1463)</f>
        <v>0</v>
      </c>
      <c r="DA1463" s="61">
        <f t="shared" ref="DA1463:DA1465" si="1865">SUM(AL1463)-SUM(BQ1463)</f>
        <v>0</v>
      </c>
      <c r="DB1463" s="2" t="s">
        <v>102</v>
      </c>
      <c r="DC1463" s="2" t="s">
        <v>85</v>
      </c>
      <c r="DD1463" s="2" t="s">
        <v>142</v>
      </c>
      <c r="DE1463" s="2" t="s">
        <v>106</v>
      </c>
      <c r="EC1463" s="60"/>
      <c r="ED1463" s="60"/>
      <c r="EE1463" s="60"/>
      <c r="EF1463" s="60"/>
    </row>
    <row r="1464" spans="1:136" ht="12.75" customHeight="1">
      <c r="B1464" s="99" t="s">
        <v>2332</v>
      </c>
      <c r="C1464" s="22" t="s">
        <v>890</v>
      </c>
      <c r="D1464" s="22" t="s">
        <v>2333</v>
      </c>
      <c r="E1464" s="2" t="s">
        <v>1005</v>
      </c>
      <c r="F1464" s="2" t="s">
        <v>330</v>
      </c>
      <c r="G1464" s="2" t="s">
        <v>994</v>
      </c>
      <c r="J1464" s="22" t="s">
        <v>2334</v>
      </c>
      <c r="K1464" s="23" t="s">
        <v>892</v>
      </c>
      <c r="L1464" s="1" t="s">
        <v>100</v>
      </c>
      <c r="M1464" s="51" t="str">
        <f t="shared" ref="M1464:M1465" si="1866">TRIM(J1464)&amp;"-"&amp;TRIM(K1464)&amp;"-"&amp;TRIM(L1464)</f>
        <v>KD81-5E211-AA</v>
      </c>
      <c r="O1464" s="94">
        <v>0</v>
      </c>
      <c r="P1464" s="94">
        <v>0</v>
      </c>
      <c r="Q1464" s="94">
        <v>0</v>
      </c>
      <c r="R1464" s="94">
        <v>0</v>
      </c>
      <c r="S1464" s="94">
        <v>1</v>
      </c>
      <c r="T1464" s="94">
        <v>1</v>
      </c>
      <c r="U1464" s="94">
        <v>0</v>
      </c>
      <c r="V1464" s="94">
        <v>1</v>
      </c>
      <c r="W1464" s="64">
        <f t="shared" si="1853"/>
        <v>0.28000000000000003</v>
      </c>
      <c r="Y1464" s="8">
        <f>-427.54-12.77</f>
        <v>-440.31</v>
      </c>
      <c r="Z1464" s="8">
        <v>-4.97</v>
      </c>
      <c r="AA1464" s="8">
        <v>-6.59</v>
      </c>
      <c r="AB1464" s="8">
        <v>0</v>
      </c>
      <c r="AC1464" s="8">
        <v>-5.31</v>
      </c>
      <c r="AD1464" s="8">
        <f t="shared" ref="AD1464" si="1867">SUM(Y1464:AC1464)</f>
        <v>-457.18</v>
      </c>
      <c r="AE1464" s="2" t="s">
        <v>91</v>
      </c>
      <c r="AG1464" s="8">
        <v>0</v>
      </c>
      <c r="AH1464" s="8">
        <v>0</v>
      </c>
      <c r="AI1464" s="6"/>
      <c r="AJ1464" s="70">
        <v>0</v>
      </c>
      <c r="AK1464" s="70">
        <v>0</v>
      </c>
      <c r="AL1464" s="72"/>
      <c r="AO1464" s="3" t="s">
        <v>864</v>
      </c>
      <c r="AP1464" s="3" t="s">
        <v>1077</v>
      </c>
      <c r="AQ1464" s="3" t="s">
        <v>140</v>
      </c>
      <c r="AR1464" s="51" t="s">
        <v>2335</v>
      </c>
      <c r="AS1464" s="3"/>
      <c r="AT1464" s="56">
        <v>0</v>
      </c>
      <c r="AU1464" s="56">
        <v>0</v>
      </c>
      <c r="AV1464" s="56">
        <v>0</v>
      </c>
      <c r="AW1464" s="56">
        <v>0</v>
      </c>
      <c r="AX1464" s="56">
        <v>1</v>
      </c>
      <c r="AY1464" s="56">
        <v>1</v>
      </c>
      <c r="AZ1464" s="56">
        <v>0</v>
      </c>
      <c r="BA1464" s="56">
        <v>1</v>
      </c>
      <c r="BB1464" s="64">
        <f t="shared" si="1854"/>
        <v>0.28000000000000003</v>
      </c>
      <c r="BD1464" s="60">
        <v>-427.54</v>
      </c>
      <c r="BE1464" s="60">
        <v>-4.97</v>
      </c>
      <c r="BF1464" s="60">
        <v>-6.59</v>
      </c>
      <c r="BG1464" s="60">
        <v>0</v>
      </c>
      <c r="BH1464" s="60">
        <v>-5.31</v>
      </c>
      <c r="BI1464" s="8">
        <f t="shared" ref="BI1464" si="1868">SUM(BD1464:BH1464)</f>
        <v>-444.41</v>
      </c>
      <c r="BJ1464" s="22" t="s">
        <v>84</v>
      </c>
      <c r="BL1464" s="70">
        <v>0</v>
      </c>
      <c r="BM1464" s="70">
        <v>0</v>
      </c>
      <c r="BO1464" s="70">
        <v>0</v>
      </c>
      <c r="BP1464" s="70">
        <v>0</v>
      </c>
      <c r="BQ1464" s="72"/>
      <c r="BS1464" s="61">
        <f t="shared" si="1855"/>
        <v>-12.769999999999982</v>
      </c>
      <c r="BT1464" s="61">
        <f t="shared" si="1855"/>
        <v>0</v>
      </c>
      <c r="BU1464" s="61">
        <f t="shared" si="1855"/>
        <v>0</v>
      </c>
      <c r="BV1464" s="61">
        <f t="shared" si="1855"/>
        <v>0</v>
      </c>
      <c r="BW1464" s="61">
        <f t="shared" si="1855"/>
        <v>0</v>
      </c>
      <c r="BX1464" s="63">
        <f t="shared" si="1855"/>
        <v>-12.769999999999982</v>
      </c>
      <c r="BY1464" s="61" t="s">
        <v>91</v>
      </c>
      <c r="CA1464" s="61">
        <f t="shared" si="1856"/>
        <v>0</v>
      </c>
      <c r="CB1464" s="61">
        <f t="shared" si="1856"/>
        <v>0</v>
      </c>
      <c r="CC1464" s="61">
        <f t="shared" si="1856"/>
        <v>0</v>
      </c>
      <c r="CD1464" s="61">
        <f t="shared" si="1856"/>
        <v>0</v>
      </c>
      <c r="CE1464" s="61">
        <f t="shared" si="1856"/>
        <v>-1.9211674439596782</v>
      </c>
      <c r="CF1464" s="61">
        <f t="shared" si="1856"/>
        <v>-1.9211674439596782</v>
      </c>
      <c r="CG1464" s="61">
        <f t="shared" si="1856"/>
        <v>0</v>
      </c>
      <c r="CH1464" s="61">
        <f t="shared" si="1856"/>
        <v>-1.9211674439596782</v>
      </c>
      <c r="CI1464" s="61">
        <f t="shared" si="1857"/>
        <v>-0.53792688430870994</v>
      </c>
      <c r="CJ1464" s="61"/>
      <c r="CK1464" s="61">
        <f t="shared" si="1858"/>
        <v>0</v>
      </c>
      <c r="CL1464" s="61">
        <f t="shared" si="1858"/>
        <v>0</v>
      </c>
      <c r="CM1464" s="61">
        <f t="shared" si="1858"/>
        <v>0</v>
      </c>
      <c r="CN1464" s="61">
        <f t="shared" si="1858"/>
        <v>0</v>
      </c>
      <c r="CO1464" s="61">
        <f t="shared" si="1858"/>
        <v>-1.9211674439596782</v>
      </c>
      <c r="CP1464" s="61">
        <f t="shared" si="1858"/>
        <v>-1.9211674439596782</v>
      </c>
      <c r="CQ1464" s="61">
        <f t="shared" si="1858"/>
        <v>0</v>
      </c>
      <c r="CR1464" s="61">
        <f t="shared" si="1858"/>
        <v>-1.9211674439596782</v>
      </c>
      <c r="CS1464" s="61">
        <f t="shared" si="1859"/>
        <v>-0.53792688430870994</v>
      </c>
      <c r="CT1464" s="61">
        <f t="shared" si="1860"/>
        <v>-3.5755999999999952</v>
      </c>
      <c r="CV1464" s="61">
        <f t="shared" ref="CV1464:CV1465" si="1869">SUM(AG1464)-SUM(BL1464)</f>
        <v>0</v>
      </c>
      <c r="CW1464" s="61">
        <f t="shared" ref="CW1464:CW1465" si="1870">SUM(AH1464)-SUM(BM1464)</f>
        <v>0</v>
      </c>
      <c r="CX1464" s="61"/>
      <c r="CY1464" s="61">
        <f t="shared" ref="CY1464:CZ1465" si="1871">SUM(AJ1464)-SUM(BO1464)</f>
        <v>0</v>
      </c>
      <c r="CZ1464" s="61">
        <f t="shared" si="1871"/>
        <v>0</v>
      </c>
      <c r="DA1464" s="61">
        <f t="shared" si="1865"/>
        <v>0</v>
      </c>
      <c r="DB1464" s="2" t="s">
        <v>85</v>
      </c>
      <c r="DC1464" s="2" t="s">
        <v>86</v>
      </c>
      <c r="DD1464" s="2" t="s">
        <v>87</v>
      </c>
      <c r="DE1464" s="2" t="s">
        <v>169</v>
      </c>
      <c r="DG1464" s="62"/>
      <c r="EC1464" s="60"/>
      <c r="ED1464" s="60"/>
      <c r="EE1464" s="60"/>
      <c r="EF1464" s="60"/>
    </row>
    <row r="1465" spans="1:136" ht="13.5" customHeight="1">
      <c r="B1465" s="99" t="s">
        <v>2336</v>
      </c>
      <c r="C1465" s="22" t="s">
        <v>890</v>
      </c>
      <c r="D1465" s="22" t="s">
        <v>2333</v>
      </c>
      <c r="E1465" s="2" t="s">
        <v>1005</v>
      </c>
      <c r="F1465" s="2" t="s">
        <v>330</v>
      </c>
      <c r="G1465" s="2" t="s">
        <v>994</v>
      </c>
      <c r="J1465" s="22" t="s">
        <v>2334</v>
      </c>
      <c r="K1465" s="23" t="s">
        <v>892</v>
      </c>
      <c r="L1465" s="1" t="s">
        <v>132</v>
      </c>
      <c r="M1465" s="51" t="str">
        <f t="shared" si="1866"/>
        <v>KD81-5E211-AB</v>
      </c>
      <c r="O1465" s="94">
        <v>0</v>
      </c>
      <c r="P1465" s="94">
        <v>0</v>
      </c>
      <c r="Q1465" s="94">
        <v>0</v>
      </c>
      <c r="R1465" s="94">
        <v>0</v>
      </c>
      <c r="S1465" s="94">
        <v>1</v>
      </c>
      <c r="T1465" s="94">
        <v>1</v>
      </c>
      <c r="U1465" s="94">
        <v>0</v>
      </c>
      <c r="V1465" s="94">
        <v>1</v>
      </c>
      <c r="W1465" s="64">
        <f t="shared" si="1853"/>
        <v>0.28000000000000003</v>
      </c>
      <c r="Y1465" s="8">
        <f>-427.54-14.82</f>
        <v>-442.36</v>
      </c>
      <c r="Z1465" s="8">
        <v>-4.97</v>
      </c>
      <c r="AA1465" s="8">
        <v>-6.59</v>
      </c>
      <c r="AB1465" s="8">
        <v>0</v>
      </c>
      <c r="AC1465" s="8">
        <v>-5.31</v>
      </c>
      <c r="AD1465" s="8">
        <f t="shared" ref="AD1465" si="1872">SUM(Y1465:AC1465)</f>
        <v>-459.23</v>
      </c>
      <c r="AE1465" s="2" t="s">
        <v>91</v>
      </c>
      <c r="AG1465" s="8">
        <v>-136000</v>
      </c>
      <c r="AH1465" s="8">
        <v>0</v>
      </c>
      <c r="AI1465" s="6"/>
      <c r="AJ1465" s="70">
        <v>0</v>
      </c>
      <c r="AK1465" s="70">
        <v>0</v>
      </c>
      <c r="AL1465" s="72"/>
      <c r="AO1465" s="22" t="s">
        <v>2334</v>
      </c>
      <c r="AP1465" s="23" t="s">
        <v>892</v>
      </c>
      <c r="AQ1465" s="1" t="s">
        <v>100</v>
      </c>
      <c r="AR1465" s="51" t="str">
        <f t="shared" ref="AR1465" si="1873">TRIM(AO1465)&amp;"-"&amp;TRIM(AP1465)&amp;"-"&amp;TRIM(AQ1465)</f>
        <v>KD81-5E211-AA</v>
      </c>
      <c r="AS1465" s="3"/>
      <c r="AT1465" s="94">
        <v>0</v>
      </c>
      <c r="AU1465" s="94">
        <v>0</v>
      </c>
      <c r="AV1465" s="94">
        <v>0</v>
      </c>
      <c r="AW1465" s="94">
        <v>0</v>
      </c>
      <c r="AX1465" s="94">
        <v>1</v>
      </c>
      <c r="AY1465" s="94">
        <v>1</v>
      </c>
      <c r="AZ1465" s="94">
        <v>0</v>
      </c>
      <c r="BA1465" s="94">
        <v>1</v>
      </c>
      <c r="BB1465" s="64">
        <f t="shared" si="1854"/>
        <v>0.28000000000000003</v>
      </c>
      <c r="BD1465" s="8">
        <v>-427.54</v>
      </c>
      <c r="BE1465" s="8">
        <v>-4.97</v>
      </c>
      <c r="BF1465" s="8">
        <v>-6.59</v>
      </c>
      <c r="BG1465" s="8">
        <v>0</v>
      </c>
      <c r="BH1465" s="8">
        <v>-5.31</v>
      </c>
      <c r="BI1465" s="8">
        <f t="shared" ref="BI1465" si="1874">SUM(BD1465:BH1465)</f>
        <v>-444.41</v>
      </c>
      <c r="BJ1465" s="22" t="s">
        <v>84</v>
      </c>
      <c r="BL1465" s="70">
        <v>0</v>
      </c>
      <c r="BM1465" s="70">
        <v>0</v>
      </c>
      <c r="BO1465" s="70">
        <v>0</v>
      </c>
      <c r="BP1465" s="70">
        <v>0</v>
      </c>
      <c r="BQ1465" s="72"/>
      <c r="BS1465" s="61">
        <f t="shared" si="1855"/>
        <v>-14.819999999999993</v>
      </c>
      <c r="BT1465" s="61">
        <f t="shared" si="1855"/>
        <v>0</v>
      </c>
      <c r="BU1465" s="61">
        <f t="shared" si="1855"/>
        <v>0</v>
      </c>
      <c r="BV1465" s="61">
        <f t="shared" si="1855"/>
        <v>0</v>
      </c>
      <c r="BW1465" s="61">
        <f t="shared" si="1855"/>
        <v>0</v>
      </c>
      <c r="BX1465" s="63">
        <f t="shared" si="1855"/>
        <v>-14.819999999999993</v>
      </c>
      <c r="BY1465" s="61" t="s">
        <v>91</v>
      </c>
      <c r="CA1465" s="61">
        <f t="shared" si="1856"/>
        <v>0</v>
      </c>
      <c r="CB1465" s="61">
        <f t="shared" si="1856"/>
        <v>0</v>
      </c>
      <c r="CC1465" s="61">
        <f t="shared" si="1856"/>
        <v>0</v>
      </c>
      <c r="CD1465" s="61">
        <f t="shared" si="1856"/>
        <v>0</v>
      </c>
      <c r="CE1465" s="61">
        <f t="shared" si="1856"/>
        <v>-2.2295772528960422</v>
      </c>
      <c r="CF1465" s="61">
        <f t="shared" si="1856"/>
        <v>-2.2295772528960422</v>
      </c>
      <c r="CG1465" s="61">
        <f t="shared" si="1856"/>
        <v>0</v>
      </c>
      <c r="CH1465" s="61">
        <f t="shared" si="1856"/>
        <v>-2.2295772528960422</v>
      </c>
      <c r="CI1465" s="61">
        <f t="shared" si="1857"/>
        <v>-0.62428163081089194</v>
      </c>
      <c r="CJ1465" s="61"/>
      <c r="CK1465" s="61">
        <f t="shared" si="1858"/>
        <v>0</v>
      </c>
      <c r="CL1465" s="61">
        <f t="shared" si="1858"/>
        <v>0</v>
      </c>
      <c r="CM1465" s="61">
        <f t="shared" si="1858"/>
        <v>0</v>
      </c>
      <c r="CN1465" s="61">
        <f t="shared" si="1858"/>
        <v>0</v>
      </c>
      <c r="CO1465" s="61">
        <f t="shared" si="1858"/>
        <v>-2.2295772528960422</v>
      </c>
      <c r="CP1465" s="61">
        <f t="shared" si="1858"/>
        <v>-2.2295772528960422</v>
      </c>
      <c r="CQ1465" s="61">
        <f t="shared" si="1858"/>
        <v>0</v>
      </c>
      <c r="CR1465" s="61">
        <f t="shared" si="1858"/>
        <v>-2.2295772528960422</v>
      </c>
      <c r="CS1465" s="61">
        <f t="shared" si="1859"/>
        <v>-0.62428163081089194</v>
      </c>
      <c r="CT1465" s="63">
        <f t="shared" si="1860"/>
        <v>-4.1495999999999986</v>
      </c>
      <c r="CV1465" s="61">
        <f t="shared" si="1869"/>
        <v>-136000</v>
      </c>
      <c r="CW1465" s="61">
        <f t="shared" si="1870"/>
        <v>0</v>
      </c>
      <c r="CX1465" s="61"/>
      <c r="CY1465" s="61">
        <f t="shared" si="1871"/>
        <v>0</v>
      </c>
      <c r="CZ1465" s="61">
        <f t="shared" si="1871"/>
        <v>0</v>
      </c>
      <c r="DA1465" s="61">
        <f t="shared" si="1865"/>
        <v>0</v>
      </c>
      <c r="DB1465" s="2" t="s">
        <v>134</v>
      </c>
      <c r="DC1465" s="2" t="s">
        <v>85</v>
      </c>
      <c r="DD1465" s="2" t="s">
        <v>87</v>
      </c>
      <c r="DE1465" s="2" t="s">
        <v>169</v>
      </c>
      <c r="DG1465" s="62"/>
      <c r="EC1465" s="60"/>
      <c r="ED1465" s="60"/>
      <c r="EE1465" s="60"/>
      <c r="EF1465" s="60"/>
    </row>
    <row r="1466" spans="1:136" ht="12.75" customHeight="1">
      <c r="B1466" s="115" t="s">
        <v>1411</v>
      </c>
      <c r="C1466" s="22" t="s">
        <v>2337</v>
      </c>
      <c r="D1466" s="22" t="s">
        <v>2333</v>
      </c>
      <c r="E1466" s="2" t="s">
        <v>1005</v>
      </c>
      <c r="F1466" s="2" t="s">
        <v>330</v>
      </c>
      <c r="G1466" s="2" t="s">
        <v>331</v>
      </c>
      <c r="J1466" s="22" t="s">
        <v>2338</v>
      </c>
      <c r="K1466" s="23" t="s">
        <v>1077</v>
      </c>
      <c r="L1466" s="1" t="s">
        <v>140</v>
      </c>
      <c r="M1466" s="51" t="str">
        <f>TRIM(J1466)&amp;"-"&amp;TRIM(K1466)&amp;"-"&amp;TRIM(L1466)</f>
        <v>KD81-5E211-AC</v>
      </c>
      <c r="O1466" s="94">
        <v>0</v>
      </c>
      <c r="P1466" s="94">
        <v>0</v>
      </c>
      <c r="Q1466" s="94">
        <v>0</v>
      </c>
      <c r="R1466" s="94">
        <v>0</v>
      </c>
      <c r="S1466" s="94">
        <v>1</v>
      </c>
      <c r="T1466" s="94">
        <v>1</v>
      </c>
      <c r="U1466" s="94">
        <v>0</v>
      </c>
      <c r="V1466" s="94">
        <v>1</v>
      </c>
      <c r="W1466" s="64">
        <f t="shared" si="1853"/>
        <v>0.28000000000000003</v>
      </c>
      <c r="Y1466" s="8">
        <f>-427.54-14.82+2.05-12.48</f>
        <v>-452.79</v>
      </c>
      <c r="Z1466" s="8">
        <v>-4.97</v>
      </c>
      <c r="AA1466" s="8">
        <v>-6.59</v>
      </c>
      <c r="AB1466" s="8">
        <v>0</v>
      </c>
      <c r="AC1466" s="8">
        <v>-5.31</v>
      </c>
      <c r="AD1466" s="8">
        <f>SUM(Y1466:AC1466)</f>
        <v>-469.66</v>
      </c>
      <c r="AE1466" s="2" t="s">
        <v>91</v>
      </c>
      <c r="AG1466" s="8">
        <v>-136000</v>
      </c>
      <c r="AH1466" s="8">
        <v>0</v>
      </c>
      <c r="AI1466" s="6"/>
      <c r="AJ1466" s="70">
        <v>0</v>
      </c>
      <c r="AK1466" s="70">
        <v>0</v>
      </c>
      <c r="AL1466" s="72"/>
      <c r="AO1466" s="22" t="s">
        <v>2338</v>
      </c>
      <c r="AP1466" s="23" t="s">
        <v>1077</v>
      </c>
      <c r="AQ1466" s="1" t="s">
        <v>141</v>
      </c>
      <c r="AR1466" s="51" t="str">
        <f>TRIM(AO1466)&amp;"-"&amp;TRIM(AP1466)&amp;"-"&amp;TRIM(AQ1466)</f>
        <v>KD81-5E211-AB</v>
      </c>
      <c r="AS1466" s="3"/>
      <c r="AT1466" s="94">
        <v>0</v>
      </c>
      <c r="AU1466" s="94">
        <v>0</v>
      </c>
      <c r="AV1466" s="94">
        <v>0</v>
      </c>
      <c r="AW1466" s="94">
        <v>0</v>
      </c>
      <c r="AX1466" s="94">
        <v>1</v>
      </c>
      <c r="AY1466" s="94">
        <v>1</v>
      </c>
      <c r="AZ1466" s="94">
        <v>0</v>
      </c>
      <c r="BA1466" s="94">
        <v>1</v>
      </c>
      <c r="BB1466" s="64">
        <f t="shared" si="1854"/>
        <v>0.28000000000000003</v>
      </c>
      <c r="BD1466" s="8">
        <f>-427.54-14.82+2.05</f>
        <v>-440.31</v>
      </c>
      <c r="BE1466" s="8">
        <v>-4.97</v>
      </c>
      <c r="BF1466" s="8">
        <v>-6.59</v>
      </c>
      <c r="BG1466" s="8">
        <v>0</v>
      </c>
      <c r="BH1466" s="8">
        <v>-5.31</v>
      </c>
      <c r="BI1466" s="8">
        <f>SUM(BD1466:BH1466)</f>
        <v>-457.18</v>
      </c>
      <c r="BJ1466" s="22" t="s">
        <v>91</v>
      </c>
      <c r="BL1466" s="97">
        <v>-136000</v>
      </c>
      <c r="BM1466" s="114">
        <v>-136000</v>
      </c>
      <c r="BO1466" s="70">
        <v>0</v>
      </c>
      <c r="BP1466" s="70">
        <v>0</v>
      </c>
      <c r="BQ1466" s="72"/>
      <c r="BS1466" s="61">
        <f t="shared" si="1855"/>
        <v>-12.480000000000018</v>
      </c>
      <c r="BT1466" s="61">
        <f t="shared" si="1855"/>
        <v>0</v>
      </c>
      <c r="BU1466" s="61">
        <f t="shared" si="1855"/>
        <v>0</v>
      </c>
      <c r="BV1466" s="61">
        <f t="shared" si="1855"/>
        <v>0</v>
      </c>
      <c r="BW1466" s="61">
        <f t="shared" si="1855"/>
        <v>0</v>
      </c>
      <c r="BX1466" s="63">
        <f t="shared" si="1855"/>
        <v>-12.480000000000018</v>
      </c>
      <c r="BY1466" s="61" t="s">
        <v>91</v>
      </c>
      <c r="CA1466" s="61">
        <f t="shared" si="1856"/>
        <v>0</v>
      </c>
      <c r="CB1466" s="61">
        <f t="shared" si="1856"/>
        <v>0</v>
      </c>
      <c r="CC1466" s="61">
        <f t="shared" si="1856"/>
        <v>0</v>
      </c>
      <c r="CD1466" s="61">
        <f t="shared" si="1856"/>
        <v>0</v>
      </c>
      <c r="CE1466" s="61">
        <f t="shared" si="1856"/>
        <v>-1.8775387392808813</v>
      </c>
      <c r="CF1466" s="61">
        <f t="shared" si="1856"/>
        <v>-1.8775387392808813</v>
      </c>
      <c r="CG1466" s="61">
        <f t="shared" si="1856"/>
        <v>0</v>
      </c>
      <c r="CH1466" s="61">
        <f t="shared" si="1856"/>
        <v>-1.8775387392808813</v>
      </c>
      <c r="CI1466" s="61">
        <f t="shared" si="1857"/>
        <v>-0.52571084699864679</v>
      </c>
      <c r="CJ1466" s="61"/>
      <c r="CK1466" s="61">
        <f t="shared" si="1858"/>
        <v>0</v>
      </c>
      <c r="CL1466" s="61">
        <f t="shared" si="1858"/>
        <v>0</v>
      </c>
      <c r="CM1466" s="61">
        <f t="shared" si="1858"/>
        <v>0</v>
      </c>
      <c r="CN1466" s="61">
        <f t="shared" si="1858"/>
        <v>0</v>
      </c>
      <c r="CO1466" s="61">
        <f t="shared" si="1858"/>
        <v>-1.8775387392808813</v>
      </c>
      <c r="CP1466" s="61">
        <f t="shared" si="1858"/>
        <v>-1.8775387392808813</v>
      </c>
      <c r="CQ1466" s="61">
        <f t="shared" si="1858"/>
        <v>0</v>
      </c>
      <c r="CR1466" s="61">
        <f t="shared" si="1858"/>
        <v>-1.8775387392808813</v>
      </c>
      <c r="CS1466" s="61">
        <f t="shared" si="1859"/>
        <v>-0.52571084699864679</v>
      </c>
      <c r="CT1466" s="63">
        <f t="shared" si="1860"/>
        <v>-3.4944000000000055</v>
      </c>
      <c r="CV1466" s="61">
        <f>SUM(AG1466)-SUM(BL1466)</f>
        <v>0</v>
      </c>
      <c r="CX1466" s="61"/>
      <c r="CY1466" s="61">
        <f>SUM(AJ1466)-SUM(BO1466)</f>
        <v>0</v>
      </c>
      <c r="CZ1466" s="61">
        <f>SUM(AK1466)-SUM(BP1466)</f>
        <v>0</v>
      </c>
      <c r="DA1466" s="61">
        <f>SUM(AL1466)-SUM(BQ1466)</f>
        <v>0</v>
      </c>
      <c r="DB1466" s="2" t="s">
        <v>102</v>
      </c>
      <c r="DC1466" s="2" t="s">
        <v>134</v>
      </c>
      <c r="DD1466" s="2" t="s">
        <v>142</v>
      </c>
      <c r="DE1466" s="2" t="s">
        <v>143</v>
      </c>
      <c r="DG1466" s="62"/>
      <c r="EC1466" s="60"/>
      <c r="ED1466" s="60"/>
      <c r="EE1466" s="60"/>
      <c r="EF1466" s="60"/>
    </row>
    <row r="1467" spans="1:136" ht="12.75" customHeight="1">
      <c r="B1467" s="1" t="s">
        <v>2339</v>
      </c>
      <c r="C1467" s="385" t="s">
        <v>1393</v>
      </c>
      <c r="D1467" s="385" t="s">
        <v>2340</v>
      </c>
      <c r="E1467" s="385" t="s">
        <v>523</v>
      </c>
      <c r="F1467" s="245" t="s">
        <v>1025</v>
      </c>
      <c r="G1467" s="386" t="s">
        <v>994</v>
      </c>
      <c r="J1467" s="66" t="s">
        <v>286</v>
      </c>
      <c r="K1467" s="1" t="s">
        <v>2341</v>
      </c>
      <c r="L1467" s="1" t="s">
        <v>100</v>
      </c>
      <c r="M1467" s="51" t="str">
        <f>TRIM(J1467)&amp;"-"&amp;TRIM(K1467)&amp;"-"&amp;TRIM(L1467)</f>
        <v>JD8G-12B591-AA</v>
      </c>
      <c r="O1467" s="89">
        <v>0</v>
      </c>
      <c r="P1467" s="89">
        <v>0</v>
      </c>
      <c r="Q1467" s="89">
        <v>0</v>
      </c>
      <c r="R1467" s="89">
        <v>0</v>
      </c>
      <c r="S1467" s="89">
        <v>1</v>
      </c>
      <c r="T1467" s="89">
        <v>1</v>
      </c>
      <c r="U1467" s="89">
        <v>0</v>
      </c>
      <c r="V1467" s="89">
        <v>1</v>
      </c>
      <c r="W1467" s="64">
        <f t="shared" si="1853"/>
        <v>0.28000000000000003</v>
      </c>
      <c r="Y1467" s="8">
        <v>-72.959999999999994</v>
      </c>
      <c r="Z1467" s="60">
        <v>0</v>
      </c>
      <c r="AA1467" s="95">
        <v>0</v>
      </c>
      <c r="AB1467" s="97">
        <v>0</v>
      </c>
      <c r="AC1467" s="97">
        <v>0</v>
      </c>
      <c r="AD1467" s="8">
        <f t="shared" ref="AD1467" si="1875">SUM(Y1467:AC1467)</f>
        <v>-72.959999999999994</v>
      </c>
      <c r="AE1467" s="2" t="s">
        <v>91</v>
      </c>
      <c r="AG1467" s="300">
        <v>0</v>
      </c>
      <c r="AH1467" s="387">
        <v>0</v>
      </c>
      <c r="AJ1467" s="387"/>
      <c r="AK1467" s="387"/>
      <c r="AL1467" s="176"/>
      <c r="AM1467" s="388"/>
      <c r="AO1467" s="389" t="s">
        <v>286</v>
      </c>
      <c r="AP1467" s="123" t="s">
        <v>2341</v>
      </c>
      <c r="AQ1467" s="123" t="s">
        <v>100</v>
      </c>
      <c r="AR1467" s="51" t="str">
        <f>TRIM(AO1467)&amp;"-"&amp;TRIM(AP1467)&amp;"-"&amp;TRIM(AQ1467)</f>
        <v>JD8G-12B591-AA</v>
      </c>
      <c r="AT1467" s="89">
        <v>0</v>
      </c>
      <c r="AU1467" s="89">
        <v>0</v>
      </c>
      <c r="AV1467" s="89">
        <v>0</v>
      </c>
      <c r="AW1467" s="89">
        <v>0</v>
      </c>
      <c r="AX1467" s="89">
        <v>1</v>
      </c>
      <c r="AY1467" s="89">
        <v>1</v>
      </c>
      <c r="AZ1467" s="89">
        <v>0</v>
      </c>
      <c r="BA1467" s="89">
        <v>1</v>
      </c>
      <c r="BB1467" s="164">
        <f t="shared" si="1854"/>
        <v>0.28000000000000003</v>
      </c>
      <c r="BD1467" s="60">
        <v>-72.959999999999994</v>
      </c>
      <c r="BE1467" s="60">
        <v>0</v>
      </c>
      <c r="BF1467" s="60">
        <v>0</v>
      </c>
      <c r="BG1467" s="60">
        <v>0</v>
      </c>
      <c r="BH1467" s="60">
        <v>0</v>
      </c>
      <c r="BI1467" s="8">
        <f t="shared" ref="BI1467" si="1876">SUM(BD1467:BH1467)</f>
        <v>-72.959999999999994</v>
      </c>
      <c r="BJ1467" s="2" t="s">
        <v>91</v>
      </c>
      <c r="BL1467" s="95">
        <v>0</v>
      </c>
      <c r="BM1467" s="95">
        <v>0</v>
      </c>
      <c r="BN1467" s="95"/>
      <c r="BO1467" s="95">
        <v>0</v>
      </c>
      <c r="BP1467" s="95">
        <v>0</v>
      </c>
      <c r="BQ1467" s="95"/>
      <c r="BS1467" s="61">
        <f t="shared" si="1855"/>
        <v>0</v>
      </c>
      <c r="BT1467" s="61">
        <f t="shared" si="1855"/>
        <v>0</v>
      </c>
      <c r="BU1467" s="61">
        <f t="shared" si="1855"/>
        <v>0</v>
      </c>
      <c r="BV1467" s="61">
        <f t="shared" si="1855"/>
        <v>0</v>
      </c>
      <c r="BW1467" s="61">
        <f t="shared" si="1855"/>
        <v>0</v>
      </c>
      <c r="BX1467" s="63">
        <f t="shared" si="1855"/>
        <v>0</v>
      </c>
      <c r="BY1467" s="61" t="s">
        <v>91</v>
      </c>
      <c r="CA1467" s="61">
        <f t="shared" si="1856"/>
        <v>0</v>
      </c>
      <c r="CB1467" s="61">
        <f t="shared" si="1856"/>
        <v>0</v>
      </c>
      <c r="CC1467" s="61">
        <f t="shared" si="1856"/>
        <v>0</v>
      </c>
      <c r="CD1467" s="61">
        <f t="shared" si="1856"/>
        <v>0</v>
      </c>
      <c r="CE1467" s="61">
        <f t="shared" si="1856"/>
        <v>0</v>
      </c>
      <c r="CF1467" s="61">
        <f t="shared" si="1856"/>
        <v>0</v>
      </c>
      <c r="CG1467" s="61">
        <f t="shared" si="1856"/>
        <v>0</v>
      </c>
      <c r="CH1467" s="61">
        <f t="shared" si="1856"/>
        <v>0</v>
      </c>
      <c r="CI1467" s="61">
        <f t="shared" si="1857"/>
        <v>0</v>
      </c>
      <c r="CJ1467" s="267"/>
      <c r="CK1467" s="61">
        <f t="shared" si="1858"/>
        <v>0</v>
      </c>
      <c r="CL1467" s="61">
        <f t="shared" si="1858"/>
        <v>0</v>
      </c>
      <c r="CM1467" s="61">
        <f t="shared" si="1858"/>
        <v>0</v>
      </c>
      <c r="CN1467" s="61">
        <f t="shared" si="1858"/>
        <v>0</v>
      </c>
      <c r="CO1467" s="61">
        <f t="shared" si="1858"/>
        <v>0</v>
      </c>
      <c r="CP1467" s="61">
        <f t="shared" si="1858"/>
        <v>0</v>
      </c>
      <c r="CQ1467" s="61">
        <f t="shared" si="1858"/>
        <v>0</v>
      </c>
      <c r="CR1467" s="61">
        <f t="shared" si="1858"/>
        <v>0</v>
      </c>
      <c r="CS1467" s="61">
        <f t="shared" si="1859"/>
        <v>0</v>
      </c>
      <c r="CT1467" s="63">
        <f t="shared" si="1860"/>
        <v>0</v>
      </c>
      <c r="CU1467" s="176"/>
      <c r="CV1467" s="61">
        <f t="shared" ref="CV1467" si="1877">SUM(AG1467)-SUM(BL1467)</f>
        <v>0</v>
      </c>
      <c r="CW1467" s="61">
        <f t="shared" ref="CW1467" si="1878">SUM(AH1467)-SUM(BM1467)</f>
        <v>0</v>
      </c>
      <c r="CX1467" s="267"/>
      <c r="CY1467" s="61">
        <f t="shared" ref="CY1467:DA1468" si="1879">SUM(AJ1467)-SUM(BO1467)</f>
        <v>0</v>
      </c>
      <c r="CZ1467" s="61">
        <f t="shared" si="1879"/>
        <v>0</v>
      </c>
      <c r="DA1467" s="61">
        <f t="shared" si="1879"/>
        <v>0</v>
      </c>
      <c r="DB1467" s="2" t="s">
        <v>118</v>
      </c>
      <c r="DC1467" s="2" t="s">
        <v>86</v>
      </c>
      <c r="DD1467" s="2" t="s">
        <v>87</v>
      </c>
      <c r="DE1467" s="2" t="s">
        <v>106</v>
      </c>
      <c r="DF1467" s="3" t="s">
        <v>86</v>
      </c>
      <c r="DG1467" s="111">
        <v>43118</v>
      </c>
      <c r="EC1467" s="60" t="e">
        <f>VLOOKUP($M1468,[1]Detail!$M:$BO,1,0)</f>
        <v>#N/A</v>
      </c>
      <c r="ED1467" s="60" t="e">
        <f>VLOOKUP($M1468,[1]Detail!$M:$BO,22,0)</f>
        <v>#N/A</v>
      </c>
      <c r="EE1467" s="60" t="e">
        <f>VLOOKUP($M1468,[1]Detail!$M:$BO,42,0)</f>
        <v>#N/A</v>
      </c>
      <c r="EF1467" s="60" t="e">
        <f>VLOOKUP($M1468,[1]Detail!$M:$BO,45,0)</f>
        <v>#N/A</v>
      </c>
    </row>
    <row r="1468" spans="1:136" ht="12.75" customHeight="1">
      <c r="B1468" s="1" t="s">
        <v>2342</v>
      </c>
      <c r="C1468" s="385" t="s">
        <v>1209</v>
      </c>
      <c r="D1468" s="385" t="s">
        <v>2126</v>
      </c>
      <c r="E1468" s="385" t="s">
        <v>523</v>
      </c>
      <c r="F1468" s="245" t="s">
        <v>348</v>
      </c>
      <c r="G1468" s="386" t="s">
        <v>331</v>
      </c>
      <c r="J1468" s="66" t="s">
        <v>2329</v>
      </c>
      <c r="K1468" s="1" t="s">
        <v>2127</v>
      </c>
      <c r="L1468" s="1" t="s">
        <v>111</v>
      </c>
      <c r="M1468" s="51" t="str">
        <f t="shared" ref="M1468" si="1880">TRIM(J1468)&amp;"-"&amp;TRIM(K1468)&amp;"-"&amp;TRIM(L1468)</f>
        <v>KD8G-12A650-BA</v>
      </c>
      <c r="O1468" s="89">
        <v>0</v>
      </c>
      <c r="P1468" s="89">
        <v>0</v>
      </c>
      <c r="Q1468" s="89">
        <v>0</v>
      </c>
      <c r="R1468" s="89">
        <v>0</v>
      </c>
      <c r="S1468" s="89">
        <v>0</v>
      </c>
      <c r="T1468" s="89">
        <v>1</v>
      </c>
      <c r="U1468" s="89">
        <v>0</v>
      </c>
      <c r="V1468" s="89">
        <v>1</v>
      </c>
      <c r="W1468" s="64">
        <f t="shared" si="1853"/>
        <v>0.19</v>
      </c>
      <c r="Y1468" s="8">
        <v>-656.26</v>
      </c>
      <c r="Z1468" s="60">
        <v>-7.2</v>
      </c>
      <c r="AA1468" s="95">
        <v>-7</v>
      </c>
      <c r="AB1468" s="97"/>
      <c r="AC1468" s="97"/>
      <c r="AD1468" s="8">
        <f t="shared" ref="AD1468" si="1881">SUM(Y1468:AC1468)</f>
        <v>-670.46</v>
      </c>
      <c r="AE1468" s="2" t="s">
        <v>91</v>
      </c>
      <c r="AG1468" s="300">
        <v>0</v>
      </c>
      <c r="AH1468" s="387">
        <v>0</v>
      </c>
      <c r="AJ1468" s="387">
        <v>0</v>
      </c>
      <c r="AK1468" s="387">
        <v>0</v>
      </c>
      <c r="AL1468" s="176">
        <v>0</v>
      </c>
      <c r="AM1468" s="388"/>
      <c r="AO1468" s="389" t="s">
        <v>286</v>
      </c>
      <c r="AP1468" s="123" t="s">
        <v>2127</v>
      </c>
      <c r="AQ1468" s="123" t="s">
        <v>306</v>
      </c>
      <c r="AR1468" s="51" t="str">
        <f>TRIM(AO1468)&amp;"-"&amp;TRIM(AP1468)&amp;"-"&amp;TRIM(AQ1468)</f>
        <v>JD8G-12A650-FA</v>
      </c>
      <c r="AT1468" s="89">
        <v>0</v>
      </c>
      <c r="AU1468" s="89">
        <v>0</v>
      </c>
      <c r="AV1468" s="89">
        <v>0</v>
      </c>
      <c r="AW1468" s="89">
        <v>0</v>
      </c>
      <c r="AX1468" s="89">
        <v>0</v>
      </c>
      <c r="AY1468" s="89">
        <v>1</v>
      </c>
      <c r="AZ1468" s="89">
        <v>0</v>
      </c>
      <c r="BA1468" s="89">
        <v>1</v>
      </c>
      <c r="BB1468" s="164">
        <f t="shared" si="1854"/>
        <v>0.19</v>
      </c>
      <c r="BD1468" s="60">
        <v>-656.26</v>
      </c>
      <c r="BE1468" s="60">
        <v>-7.2</v>
      </c>
      <c r="BF1468" s="60">
        <v>-7</v>
      </c>
      <c r="BG1468" s="60"/>
      <c r="BH1468" s="60"/>
      <c r="BI1468" s="8">
        <f>SUM(BD1468:BH1468)</f>
        <v>-670.46</v>
      </c>
      <c r="BJ1468" s="2" t="s">
        <v>91</v>
      </c>
      <c r="BL1468" s="95">
        <v>0</v>
      </c>
      <c r="BM1468" s="95">
        <v>0</v>
      </c>
      <c r="BN1468" s="95"/>
      <c r="BO1468" s="95">
        <v>0</v>
      </c>
      <c r="BP1468" s="95">
        <v>0</v>
      </c>
      <c r="BQ1468" s="95">
        <v>0</v>
      </c>
      <c r="BS1468" s="61">
        <f t="shared" si="1855"/>
        <v>0</v>
      </c>
      <c r="BT1468" s="61">
        <f t="shared" si="1855"/>
        <v>0</v>
      </c>
      <c r="BU1468" s="61">
        <f t="shared" si="1855"/>
        <v>0</v>
      </c>
      <c r="BV1468" s="61">
        <f t="shared" si="1855"/>
        <v>0</v>
      </c>
      <c r="BW1468" s="61">
        <f t="shared" si="1855"/>
        <v>0</v>
      </c>
      <c r="BX1468" s="63">
        <f t="shared" si="1855"/>
        <v>0</v>
      </c>
      <c r="BY1468" s="61" t="s">
        <v>91</v>
      </c>
      <c r="CA1468" s="61">
        <f t="shared" si="1856"/>
        <v>0</v>
      </c>
      <c r="CB1468" s="61">
        <f t="shared" si="1856"/>
        <v>0</v>
      </c>
      <c r="CC1468" s="61">
        <f t="shared" si="1856"/>
        <v>0</v>
      </c>
      <c r="CD1468" s="61">
        <f t="shared" si="1856"/>
        <v>0</v>
      </c>
      <c r="CE1468" s="61">
        <f t="shared" si="1856"/>
        <v>0</v>
      </c>
      <c r="CF1468" s="61">
        <f t="shared" si="1856"/>
        <v>0</v>
      </c>
      <c r="CG1468" s="61">
        <f t="shared" si="1856"/>
        <v>0</v>
      </c>
      <c r="CH1468" s="61">
        <f t="shared" si="1856"/>
        <v>0</v>
      </c>
      <c r="CI1468" s="61">
        <f t="shared" si="1857"/>
        <v>0</v>
      </c>
      <c r="CJ1468" s="267"/>
      <c r="CK1468" s="61">
        <f t="shared" si="1858"/>
        <v>0</v>
      </c>
      <c r="CL1468" s="61">
        <f t="shared" si="1858"/>
        <v>0</v>
      </c>
      <c r="CM1468" s="61">
        <f t="shared" si="1858"/>
        <v>0</v>
      </c>
      <c r="CN1468" s="61">
        <f t="shared" si="1858"/>
        <v>0</v>
      </c>
      <c r="CO1468" s="61">
        <f t="shared" si="1858"/>
        <v>0</v>
      </c>
      <c r="CP1468" s="61">
        <f t="shared" si="1858"/>
        <v>0</v>
      </c>
      <c r="CQ1468" s="61">
        <f t="shared" si="1858"/>
        <v>0</v>
      </c>
      <c r="CR1468" s="61">
        <f t="shared" si="1858"/>
        <v>0</v>
      </c>
      <c r="CS1468" s="61">
        <f t="shared" si="1859"/>
        <v>0</v>
      </c>
      <c r="CT1468" s="63">
        <f t="shared" si="1860"/>
        <v>0</v>
      </c>
      <c r="CU1468" s="176"/>
      <c r="CV1468" s="61">
        <f t="shared" ref="CV1468" si="1882">SUM(AG1468)-SUM(BL1468)</f>
        <v>0</v>
      </c>
      <c r="CW1468" s="61">
        <f t="shared" ref="CW1468" si="1883">SUM(AH1468)-SUM(BM1468)</f>
        <v>0</v>
      </c>
      <c r="CX1468" s="267"/>
      <c r="CY1468" s="61">
        <f t="shared" si="1879"/>
        <v>0</v>
      </c>
      <c r="CZ1468" s="61">
        <f t="shared" si="1879"/>
        <v>0</v>
      </c>
      <c r="DA1468" s="61">
        <f t="shared" si="1879"/>
        <v>0</v>
      </c>
      <c r="DB1468" s="2" t="s">
        <v>86</v>
      </c>
      <c r="DC1468" s="2" t="s">
        <v>86</v>
      </c>
      <c r="DD1468" s="2" t="s">
        <v>87</v>
      </c>
      <c r="DE1468" s="2" t="s">
        <v>106</v>
      </c>
      <c r="DF1468" s="3" t="s">
        <v>86</v>
      </c>
      <c r="DG1468" s="111">
        <v>43118</v>
      </c>
      <c r="EC1468" s="60" t="e">
        <f>VLOOKUP($M1469,[1]Detail!$M:$BO,1,0)</f>
        <v>#N/A</v>
      </c>
      <c r="ED1468" s="60" t="e">
        <f>VLOOKUP($M1469,[1]Detail!$M:$BO,22,0)</f>
        <v>#N/A</v>
      </c>
      <c r="EE1468" s="60" t="e">
        <f>VLOOKUP($M1469,[1]Detail!$M:$BO,42,0)</f>
        <v>#N/A</v>
      </c>
      <c r="EF1468" s="60" t="e">
        <f>VLOOKUP($M1469,[1]Detail!$M:$BO,45,0)</f>
        <v>#N/A</v>
      </c>
    </row>
    <row r="1469" spans="1:136">
      <c r="B1469" s="99"/>
      <c r="C1469" s="22"/>
      <c r="D1469" s="22"/>
      <c r="F1469" s="2"/>
      <c r="G1469" s="386"/>
      <c r="J1469" s="66"/>
    </row>
    <row r="1470" spans="1:136">
      <c r="BH1470" s="2">
        <f>457.18-459.23</f>
        <v>-2.0500000000000114</v>
      </c>
    </row>
  </sheetData>
  <autoFilter ref="A6:XEP1422">
    <filterColumn colId="10">
      <filters>
        <filter val="14529 "/>
      </filters>
    </filterColumn>
  </autoFilter>
  <mergeCells count="6">
    <mergeCell ref="I3:I5"/>
    <mergeCell ref="J3:AM3"/>
    <mergeCell ref="AN3:AN5"/>
    <mergeCell ref="AO3:BQ3"/>
    <mergeCell ref="BR3:BR5"/>
    <mergeCell ref="DH3:DH5"/>
  </mergeCells>
  <phoneticPr fontId="3" type="noConversion"/>
  <conditionalFormatting sqref="Y7:AC9">
    <cfRule type="expression" dxfId="485" priority="484" stopIfTrue="1">
      <formula>(#REF!="D")</formula>
    </cfRule>
    <cfRule type="expression" dxfId="484" priority="485" stopIfTrue="1">
      <formula>AND((#REF!="R"),Y7&lt;&gt;"??",Y7&lt;&gt;"")</formula>
    </cfRule>
    <cfRule type="expression" dxfId="483" priority="486" stopIfTrue="1">
      <formula>AND((#REF!="C"),Y7&lt;&gt;"??",Y7&lt;&gt;"")</formula>
    </cfRule>
  </conditionalFormatting>
  <conditionalFormatting sqref="BD7:BH9 BD235:BH249 Y235:AC249 Y971:AC990 BD499:BH545 BD547:BH547 Y499:AC547 Y549:AC549 BD549:BH549 Y251:AC261 BD251:BH261 BD268:BH279 Y268:AC279 Y942:AC944 BD942:BH944 Y1034:AC1047 BD1034:BH1047 BD360:BH415 Y360:AC415 Y775:AC833 BD775:BH833 BD1050:BH1058 BD266:BH266 Y266:AC266 BD951:BH990 Y951:AC969 Y290:AC358 BD290:BH358 Y1050:AC1058 BD552:BH617 Y552:AC617 Y619:AC700 BD619:BH700 Y707:AC764 BD707:BH764 BD835:BH887 BD889:BH939 Y835:AC887 Y889:AC939">
    <cfRule type="expression" dxfId="482" priority="481" stopIfTrue="1">
      <formula>(#REF!="D")</formula>
    </cfRule>
    <cfRule type="expression" dxfId="481" priority="482" stopIfTrue="1">
      <formula>AND((#REF!="R"),Y7&lt;&gt;"??",Y7&lt;&gt;"")</formula>
    </cfRule>
    <cfRule type="expression" dxfId="480" priority="483" stopIfTrue="1">
      <formula>AND((#REF!="C"),Y7&lt;&gt;"??",Y7&lt;&gt;"")</formula>
    </cfRule>
  </conditionalFormatting>
  <conditionalFormatting sqref="Z10:Z11 Y33:AC33 BD33:BH33 Y113:AC113 BD113:BH113 Y116:AC164 BD116:BH164 Y1061 BL235:BM249 AG235:AH249 BD1099:BH1102 Y1099:AC1102 Y14:AC30 BD14:BH30 AG251:AH261 BL251:BM261 BL268:BM276 AG268:AH276 Y1027:AC1033 BD1027:BH1033 BL266:BM266 AG266:AH266 Y701:AC706 BD224:BH230 BL224:BM230 Y224:AC230 AG224:AH230 BD421:BH443 Y421:AC443 Y449:AC454 BD449:BH454 Y47:AC106 BD47:BH106 Y770:AC773 BD770:BH773">
    <cfRule type="expression" dxfId="479" priority="478" stopIfTrue="1">
      <formula>(#REF!="D")</formula>
    </cfRule>
    <cfRule type="expression" dxfId="478" priority="479" stopIfTrue="1">
      <formula>AND((#REF!="R"),Y10&lt;&gt;"??",Y10&lt;&gt;"")</formula>
    </cfRule>
    <cfRule type="expression" dxfId="477" priority="480" stopIfTrue="1">
      <formula>AND((#REF!="C"),Y10&lt;&gt;"??",Y10&lt;&gt;"")</formula>
    </cfRule>
  </conditionalFormatting>
  <conditionalFormatting sqref="Y10:Y11">
    <cfRule type="expression" dxfId="476" priority="475" stopIfTrue="1">
      <formula>(#REF!="D")</formula>
    </cfRule>
    <cfRule type="expression" dxfId="475" priority="476" stopIfTrue="1">
      <formula>AND((#REF!="R"),Y10&lt;&gt;"??",Y10&lt;&gt;"")</formula>
    </cfRule>
    <cfRule type="expression" dxfId="474" priority="477" stopIfTrue="1">
      <formula>AND((#REF!="C"),Y10&lt;&gt;"??",Y10&lt;&gt;"")</formula>
    </cfRule>
  </conditionalFormatting>
  <conditionalFormatting sqref="AA10:AC11">
    <cfRule type="expression" dxfId="473" priority="472" stopIfTrue="1">
      <formula>(#REF!="D")</formula>
    </cfRule>
    <cfRule type="expression" dxfId="472" priority="473" stopIfTrue="1">
      <formula>AND((#REF!="R"),AA10&lt;&gt;"??",AA10&lt;&gt;"")</formula>
    </cfRule>
    <cfRule type="expression" dxfId="471" priority="474" stopIfTrue="1">
      <formula>AND((#REF!="C"),AA10&lt;&gt;"??",AA10&lt;&gt;"")</formula>
    </cfRule>
  </conditionalFormatting>
  <conditionalFormatting sqref="Y12:AC13">
    <cfRule type="expression" dxfId="470" priority="469" stopIfTrue="1">
      <formula>(#REF!="D")</formula>
    </cfRule>
    <cfRule type="expression" dxfId="469" priority="470" stopIfTrue="1">
      <formula>AND((#REF!="R"),Y12&lt;&gt;"??",Y12&lt;&gt;"")</formula>
    </cfRule>
    <cfRule type="expression" dxfId="468" priority="471" stopIfTrue="1">
      <formula>AND((#REF!="C"),Y12&lt;&gt;"??",Y12&lt;&gt;"")</formula>
    </cfRule>
  </conditionalFormatting>
  <conditionalFormatting sqref="BD12:BH13">
    <cfRule type="expression" dxfId="467" priority="466" stopIfTrue="1">
      <formula>(#REF!="D")</formula>
    </cfRule>
    <cfRule type="expression" dxfId="466" priority="467" stopIfTrue="1">
      <formula>AND((#REF!="R"),BD12&lt;&gt;"??",BD12&lt;&gt;"")</formula>
    </cfRule>
    <cfRule type="expression" dxfId="465" priority="468" stopIfTrue="1">
      <formula>AND((#REF!="C"),BD12&lt;&gt;"??",BD12&lt;&gt;"")</formula>
    </cfRule>
  </conditionalFormatting>
  <conditionalFormatting sqref="BE10:BE11">
    <cfRule type="expression" dxfId="464" priority="463" stopIfTrue="1">
      <formula>(#REF!="D")</formula>
    </cfRule>
    <cfRule type="expression" dxfId="463" priority="464" stopIfTrue="1">
      <formula>AND((#REF!="R"),BE10&lt;&gt;"??",BE10&lt;&gt;"")</formula>
    </cfRule>
    <cfRule type="expression" dxfId="462" priority="465" stopIfTrue="1">
      <formula>AND((#REF!="C"),BE10&lt;&gt;"??",BE10&lt;&gt;"")</formula>
    </cfRule>
  </conditionalFormatting>
  <conditionalFormatting sqref="BD10:BD11">
    <cfRule type="expression" dxfId="461" priority="460" stopIfTrue="1">
      <formula>(#REF!="D")</formula>
    </cfRule>
    <cfRule type="expression" dxfId="460" priority="461" stopIfTrue="1">
      <formula>AND((#REF!="R"),BD10&lt;&gt;"??",BD10&lt;&gt;"")</formula>
    </cfRule>
    <cfRule type="expression" dxfId="459" priority="462" stopIfTrue="1">
      <formula>AND((#REF!="C"),BD10&lt;&gt;"??",BD10&lt;&gt;"")</formula>
    </cfRule>
  </conditionalFormatting>
  <conditionalFormatting sqref="BF10:BH11">
    <cfRule type="expression" dxfId="458" priority="457" stopIfTrue="1">
      <formula>(#REF!="D")</formula>
    </cfRule>
    <cfRule type="expression" dxfId="457" priority="458" stopIfTrue="1">
      <formula>AND((#REF!="R"),BF10&lt;&gt;"??",BF10&lt;&gt;"")</formula>
    </cfRule>
    <cfRule type="expression" dxfId="456" priority="459" stopIfTrue="1">
      <formula>AND((#REF!="C"),BF10&lt;&gt;"??",BF10&lt;&gt;"")</formula>
    </cfRule>
  </conditionalFormatting>
  <conditionalFormatting sqref="Y31:AC32">
    <cfRule type="expression" dxfId="455" priority="454" stopIfTrue="1">
      <formula>(#REF!="D")</formula>
    </cfRule>
    <cfRule type="expression" dxfId="454" priority="455" stopIfTrue="1">
      <formula>AND((#REF!="R"),Y31&lt;&gt;"??",Y31&lt;&gt;"")</formula>
    </cfRule>
    <cfRule type="expression" dxfId="453" priority="456" stopIfTrue="1">
      <formula>AND((#REF!="C"),Y31&lt;&gt;"??",Y31&lt;&gt;"")</formula>
    </cfRule>
  </conditionalFormatting>
  <conditionalFormatting sqref="BD31:BH32">
    <cfRule type="expression" dxfId="452" priority="451" stopIfTrue="1">
      <formula>(#REF!="D")</formula>
    </cfRule>
    <cfRule type="expression" dxfId="451" priority="452" stopIfTrue="1">
      <formula>AND((#REF!="R"),BD31&lt;&gt;"??",BD31&lt;&gt;"")</formula>
    </cfRule>
    <cfRule type="expression" dxfId="450" priority="453" stopIfTrue="1">
      <formula>AND((#REF!="C"),BD31&lt;&gt;"??",BD31&lt;&gt;"")</formula>
    </cfRule>
  </conditionalFormatting>
  <conditionalFormatting sqref="Y34:AC35">
    <cfRule type="expression" dxfId="449" priority="448" stopIfTrue="1">
      <formula>(#REF!="D")</formula>
    </cfRule>
    <cfRule type="expression" dxfId="448" priority="449" stopIfTrue="1">
      <formula>AND((#REF!="R"),Y34&lt;&gt;"??",Y34&lt;&gt;"")</formula>
    </cfRule>
    <cfRule type="expression" dxfId="447" priority="450" stopIfTrue="1">
      <formula>AND((#REF!="C"),Y34&lt;&gt;"??",Y34&lt;&gt;"")</formula>
    </cfRule>
  </conditionalFormatting>
  <conditionalFormatting sqref="BD34:BH35">
    <cfRule type="expression" dxfId="446" priority="445" stopIfTrue="1">
      <formula>(#REF!="D")</formula>
    </cfRule>
    <cfRule type="expression" dxfId="445" priority="446" stopIfTrue="1">
      <formula>AND((#REF!="R"),BD34&lt;&gt;"??",BD34&lt;&gt;"")</formula>
    </cfRule>
    <cfRule type="expression" dxfId="444" priority="447" stopIfTrue="1">
      <formula>AND((#REF!="C"),BD34&lt;&gt;"??",BD34&lt;&gt;"")</formula>
    </cfRule>
  </conditionalFormatting>
  <conditionalFormatting sqref="Y44:Y46">
    <cfRule type="expression" dxfId="443" priority="442" stopIfTrue="1">
      <formula>(#REF!="D")</formula>
    </cfRule>
    <cfRule type="expression" dxfId="442" priority="443" stopIfTrue="1">
      <formula>AND((#REF!="R"),Y44&lt;&gt;"??",Y44&lt;&gt;"")</formula>
    </cfRule>
    <cfRule type="expression" dxfId="441" priority="444" stopIfTrue="1">
      <formula>AND((#REF!="C"),Y44&lt;&gt;"??",Y44&lt;&gt;"")</formula>
    </cfRule>
  </conditionalFormatting>
  <conditionalFormatting sqref="Y36:AC41">
    <cfRule type="expression" dxfId="440" priority="439" stopIfTrue="1">
      <formula>(#REF!="D")</formula>
    </cfRule>
    <cfRule type="expression" dxfId="439" priority="440" stopIfTrue="1">
      <formula>AND((#REF!="R"),Y36&lt;&gt;"??",Y36&lt;&gt;"")</formula>
    </cfRule>
    <cfRule type="expression" dxfId="438" priority="441" stopIfTrue="1">
      <formula>AND((#REF!="C"),Y36&lt;&gt;"??",Y36&lt;&gt;"")</formula>
    </cfRule>
  </conditionalFormatting>
  <conditionalFormatting sqref="AG36:AG41">
    <cfRule type="expression" dxfId="437" priority="436" stopIfTrue="1">
      <formula>(#REF!="D")</formula>
    </cfRule>
    <cfRule type="expression" dxfId="436" priority="437" stopIfTrue="1">
      <formula>AND((#REF!="R"),AG36&lt;&gt;"??",AG36&lt;&gt;"")</formula>
    </cfRule>
    <cfRule type="expression" dxfId="435" priority="438" stopIfTrue="1">
      <formula>AND((#REF!="C"),AG36&lt;&gt;"??",AG36&lt;&gt;"")</formula>
    </cfRule>
  </conditionalFormatting>
  <conditionalFormatting sqref="AG36:AG41">
    <cfRule type="expression" dxfId="434" priority="433" stopIfTrue="1">
      <formula>(#REF!="D")</formula>
    </cfRule>
    <cfRule type="expression" dxfId="433" priority="434" stopIfTrue="1">
      <formula>AND((#REF!="R"),AG36&lt;&gt;"??",AG36&lt;&gt;"")</formula>
    </cfRule>
    <cfRule type="expression" dxfId="432" priority="435" stopIfTrue="1">
      <formula>AND((#REF!="C"),AG36&lt;&gt;"??",AG36&lt;&gt;"")</formula>
    </cfRule>
  </conditionalFormatting>
  <conditionalFormatting sqref="AH36:AH41">
    <cfRule type="expression" dxfId="431" priority="430" stopIfTrue="1">
      <formula>(#REF!="D")</formula>
    </cfRule>
    <cfRule type="expression" dxfId="430" priority="431" stopIfTrue="1">
      <formula>AND((#REF!="R"),AH36&lt;&gt;"??",AH36&lt;&gt;"")</formula>
    </cfRule>
    <cfRule type="expression" dxfId="429" priority="432" stopIfTrue="1">
      <formula>AND((#REF!="C"),AH36&lt;&gt;"??",AH36&lt;&gt;"")</formula>
    </cfRule>
  </conditionalFormatting>
  <conditionalFormatting sqref="AH36:AH41">
    <cfRule type="expression" dxfId="428" priority="427" stopIfTrue="1">
      <formula>(#REF!="D")</formula>
    </cfRule>
    <cfRule type="expression" dxfId="427" priority="428" stopIfTrue="1">
      <formula>AND((#REF!="R"),AH36&lt;&gt;"??",AH36&lt;&gt;"")</formula>
    </cfRule>
    <cfRule type="expression" dxfId="426" priority="429" stopIfTrue="1">
      <formula>AND((#REF!="C"),AH36&lt;&gt;"??",AH36&lt;&gt;"")</formula>
    </cfRule>
  </conditionalFormatting>
  <conditionalFormatting sqref="AJ36:AJ41">
    <cfRule type="expression" dxfId="425" priority="424" stopIfTrue="1">
      <formula>(#REF!="D")</formula>
    </cfRule>
    <cfRule type="expression" dxfId="424" priority="425" stopIfTrue="1">
      <formula>AND((#REF!="R"),AJ36&lt;&gt;"??",AJ36&lt;&gt;"")</formula>
    </cfRule>
    <cfRule type="expression" dxfId="423" priority="426" stopIfTrue="1">
      <formula>AND((#REF!="C"),AJ36&lt;&gt;"??",AJ36&lt;&gt;"")</formula>
    </cfRule>
  </conditionalFormatting>
  <conditionalFormatting sqref="AJ36:AJ41">
    <cfRule type="expression" dxfId="422" priority="421" stopIfTrue="1">
      <formula>(#REF!="D")</formula>
    </cfRule>
    <cfRule type="expression" dxfId="421" priority="422" stopIfTrue="1">
      <formula>AND((#REF!="R"),AJ36&lt;&gt;"??",AJ36&lt;&gt;"")</formula>
    </cfRule>
    <cfRule type="expression" dxfId="420" priority="423" stopIfTrue="1">
      <formula>AND((#REF!="C"),AJ36&lt;&gt;"??",AJ36&lt;&gt;"")</formula>
    </cfRule>
  </conditionalFormatting>
  <conditionalFormatting sqref="AK36:AK41">
    <cfRule type="expression" dxfId="419" priority="418" stopIfTrue="1">
      <formula>(#REF!="D")</formula>
    </cfRule>
    <cfRule type="expression" dxfId="418" priority="419" stopIfTrue="1">
      <formula>AND((#REF!="R"),AK36&lt;&gt;"??",AK36&lt;&gt;"")</formula>
    </cfRule>
    <cfRule type="expression" dxfId="417" priority="420" stopIfTrue="1">
      <formula>AND((#REF!="C"),AK36&lt;&gt;"??",AK36&lt;&gt;"")</formula>
    </cfRule>
  </conditionalFormatting>
  <conditionalFormatting sqref="AK36:AK41">
    <cfRule type="expression" dxfId="416" priority="415" stopIfTrue="1">
      <formula>(#REF!="D")</formula>
    </cfRule>
    <cfRule type="expression" dxfId="415" priority="416" stopIfTrue="1">
      <formula>AND((#REF!="R"),AK36&lt;&gt;"??",AK36&lt;&gt;"")</formula>
    </cfRule>
    <cfRule type="expression" dxfId="414" priority="417" stopIfTrue="1">
      <formula>AND((#REF!="C"),AK36&lt;&gt;"??",AK36&lt;&gt;"")</formula>
    </cfRule>
  </conditionalFormatting>
  <conditionalFormatting sqref="BD36:BH41">
    <cfRule type="expression" dxfId="413" priority="412" stopIfTrue="1">
      <formula>(#REF!="D")</formula>
    </cfRule>
    <cfRule type="expression" dxfId="412" priority="413" stopIfTrue="1">
      <formula>AND((#REF!="R"),BD36&lt;&gt;"??",BD36&lt;&gt;"")</formula>
    </cfRule>
    <cfRule type="expression" dxfId="411" priority="414" stopIfTrue="1">
      <formula>AND((#REF!="C"),BD36&lt;&gt;"??",BD36&lt;&gt;"")</formula>
    </cfRule>
  </conditionalFormatting>
  <conditionalFormatting sqref="BL36:BL41">
    <cfRule type="expression" dxfId="410" priority="409" stopIfTrue="1">
      <formula>(#REF!="D")</formula>
    </cfRule>
    <cfRule type="expression" dxfId="409" priority="410" stopIfTrue="1">
      <formula>AND((#REF!="R"),BL36&lt;&gt;"??",BL36&lt;&gt;"")</formula>
    </cfRule>
    <cfRule type="expression" dxfId="408" priority="411" stopIfTrue="1">
      <formula>AND((#REF!="C"),BL36&lt;&gt;"??",BL36&lt;&gt;"")</formula>
    </cfRule>
  </conditionalFormatting>
  <conditionalFormatting sqref="BL36:BL41">
    <cfRule type="expression" dxfId="407" priority="406" stopIfTrue="1">
      <formula>(#REF!="D")</formula>
    </cfRule>
    <cfRule type="expression" dxfId="406" priority="407" stopIfTrue="1">
      <formula>AND((#REF!="R"),BL36&lt;&gt;"??",BL36&lt;&gt;"")</formula>
    </cfRule>
    <cfRule type="expression" dxfId="405" priority="408" stopIfTrue="1">
      <formula>AND((#REF!="C"),BL36&lt;&gt;"??",BL36&lt;&gt;"")</formula>
    </cfRule>
  </conditionalFormatting>
  <conditionalFormatting sqref="BM36:BM41">
    <cfRule type="expression" dxfId="404" priority="403" stopIfTrue="1">
      <formula>(#REF!="D")</formula>
    </cfRule>
    <cfRule type="expression" dxfId="403" priority="404" stopIfTrue="1">
      <formula>AND((#REF!="R"),BM36&lt;&gt;"??",BM36&lt;&gt;"")</formula>
    </cfRule>
    <cfRule type="expression" dxfId="402" priority="405" stopIfTrue="1">
      <formula>AND((#REF!="C"),BM36&lt;&gt;"??",BM36&lt;&gt;"")</formula>
    </cfRule>
  </conditionalFormatting>
  <conditionalFormatting sqref="BM36:BM41">
    <cfRule type="expression" dxfId="401" priority="400" stopIfTrue="1">
      <formula>(#REF!="D")</formula>
    </cfRule>
    <cfRule type="expression" dxfId="400" priority="401" stopIfTrue="1">
      <formula>AND((#REF!="R"),BM36&lt;&gt;"??",BM36&lt;&gt;"")</formula>
    </cfRule>
    <cfRule type="expression" dxfId="399" priority="402" stopIfTrue="1">
      <formula>AND((#REF!="C"),BM36&lt;&gt;"??",BM36&lt;&gt;"")</formula>
    </cfRule>
  </conditionalFormatting>
  <conditionalFormatting sqref="BO36:BO41">
    <cfRule type="expression" dxfId="398" priority="397" stopIfTrue="1">
      <formula>(#REF!="D")</formula>
    </cfRule>
    <cfRule type="expression" dxfId="397" priority="398" stopIfTrue="1">
      <formula>AND((#REF!="R"),BO36&lt;&gt;"??",BO36&lt;&gt;"")</formula>
    </cfRule>
    <cfRule type="expression" dxfId="396" priority="399" stopIfTrue="1">
      <formula>AND((#REF!="C"),BO36&lt;&gt;"??",BO36&lt;&gt;"")</formula>
    </cfRule>
  </conditionalFormatting>
  <conditionalFormatting sqref="BO36:BO41">
    <cfRule type="expression" dxfId="395" priority="394" stopIfTrue="1">
      <formula>(#REF!="D")</formula>
    </cfRule>
    <cfRule type="expression" dxfId="394" priority="395" stopIfTrue="1">
      <formula>AND((#REF!="R"),BO36&lt;&gt;"??",BO36&lt;&gt;"")</formula>
    </cfRule>
    <cfRule type="expression" dxfId="393" priority="396" stopIfTrue="1">
      <formula>AND((#REF!="C"),BO36&lt;&gt;"??",BO36&lt;&gt;"")</formula>
    </cfRule>
  </conditionalFormatting>
  <conditionalFormatting sqref="BP36:BP41">
    <cfRule type="expression" dxfId="392" priority="391" stopIfTrue="1">
      <formula>(#REF!="D")</formula>
    </cfRule>
    <cfRule type="expression" dxfId="391" priority="392" stopIfTrue="1">
      <formula>AND((#REF!="R"),BP36&lt;&gt;"??",BP36&lt;&gt;"")</formula>
    </cfRule>
    <cfRule type="expression" dxfId="390" priority="393" stopIfTrue="1">
      <formula>AND((#REF!="C"),BP36&lt;&gt;"??",BP36&lt;&gt;"")</formula>
    </cfRule>
  </conditionalFormatting>
  <conditionalFormatting sqref="BP36:BP41">
    <cfRule type="expression" dxfId="389" priority="388" stopIfTrue="1">
      <formula>(#REF!="D")</formula>
    </cfRule>
    <cfRule type="expression" dxfId="388" priority="389" stopIfTrue="1">
      <formula>AND((#REF!="R"),BP36&lt;&gt;"??",BP36&lt;&gt;"")</formula>
    </cfRule>
    <cfRule type="expression" dxfId="387" priority="390" stopIfTrue="1">
      <formula>AND((#REF!="C"),BP36&lt;&gt;"??",BP36&lt;&gt;"")</formula>
    </cfRule>
  </conditionalFormatting>
  <conditionalFormatting sqref="Y42:AC43">
    <cfRule type="expression" dxfId="386" priority="385" stopIfTrue="1">
      <formula>(#REF!="D")</formula>
    </cfRule>
    <cfRule type="expression" dxfId="385" priority="386" stopIfTrue="1">
      <formula>AND((#REF!="R"),Y42&lt;&gt;"??",Y42&lt;&gt;"")</formula>
    </cfRule>
    <cfRule type="expression" dxfId="384" priority="387" stopIfTrue="1">
      <formula>AND((#REF!="C"),Y42&lt;&gt;"??",Y42&lt;&gt;"")</formula>
    </cfRule>
  </conditionalFormatting>
  <conditionalFormatting sqref="AG42:AH43">
    <cfRule type="expression" dxfId="383" priority="382" stopIfTrue="1">
      <formula>(#REF!="D")</formula>
    </cfRule>
    <cfRule type="expression" dxfId="382" priority="383" stopIfTrue="1">
      <formula>AND((#REF!="R"),AG42&lt;&gt;"??",AG42&lt;&gt;"")</formula>
    </cfRule>
    <cfRule type="expression" dxfId="381" priority="384" stopIfTrue="1">
      <formula>AND((#REF!="C"),AG42&lt;&gt;"??",AG42&lt;&gt;"")</formula>
    </cfRule>
  </conditionalFormatting>
  <conditionalFormatting sqref="AG42:AH43">
    <cfRule type="expression" dxfId="380" priority="379" stopIfTrue="1">
      <formula>(#REF!="D")</formula>
    </cfRule>
    <cfRule type="expression" dxfId="379" priority="380" stopIfTrue="1">
      <formula>AND((#REF!="R"),AG42&lt;&gt;"??",AG42&lt;&gt;"")</formula>
    </cfRule>
    <cfRule type="expression" dxfId="378" priority="381" stopIfTrue="1">
      <formula>AND((#REF!="C"),AG42&lt;&gt;"??",AG42&lt;&gt;"")</formula>
    </cfRule>
  </conditionalFormatting>
  <conditionalFormatting sqref="AJ42:AK43">
    <cfRule type="expression" dxfId="377" priority="376" stopIfTrue="1">
      <formula>(#REF!="D")</formula>
    </cfRule>
    <cfRule type="expression" dxfId="376" priority="377" stopIfTrue="1">
      <formula>AND((#REF!="R"),AJ42&lt;&gt;"??",AJ42&lt;&gt;"")</formula>
    </cfRule>
    <cfRule type="expression" dxfId="375" priority="378" stopIfTrue="1">
      <formula>AND((#REF!="C"),AJ42&lt;&gt;"??",AJ42&lt;&gt;"")</formula>
    </cfRule>
  </conditionalFormatting>
  <conditionalFormatting sqref="AJ42:AK43">
    <cfRule type="expression" dxfId="374" priority="373" stopIfTrue="1">
      <formula>(#REF!="D")</formula>
    </cfRule>
    <cfRule type="expression" dxfId="373" priority="374" stopIfTrue="1">
      <formula>AND((#REF!="R"),AJ42&lt;&gt;"??",AJ42&lt;&gt;"")</formula>
    </cfRule>
    <cfRule type="expression" dxfId="372" priority="375" stopIfTrue="1">
      <formula>AND((#REF!="C"),AJ42&lt;&gt;"??",AJ42&lt;&gt;"")</formula>
    </cfRule>
  </conditionalFormatting>
  <conditionalFormatting sqref="BD42:BH43">
    <cfRule type="expression" dxfId="371" priority="370" stopIfTrue="1">
      <formula>(#REF!="D")</formula>
    </cfRule>
    <cfRule type="expression" dxfId="370" priority="371" stopIfTrue="1">
      <formula>AND((#REF!="R"),BD42&lt;&gt;"??",BD42&lt;&gt;"")</formula>
    </cfRule>
    <cfRule type="expression" dxfId="369" priority="372" stopIfTrue="1">
      <formula>AND((#REF!="C"),BD42&lt;&gt;"??",BD42&lt;&gt;"")</formula>
    </cfRule>
  </conditionalFormatting>
  <conditionalFormatting sqref="BL42:BM43">
    <cfRule type="expression" dxfId="368" priority="367" stopIfTrue="1">
      <formula>(#REF!="D")</formula>
    </cfRule>
    <cfRule type="expression" dxfId="367" priority="368" stopIfTrue="1">
      <formula>AND((#REF!="R"),BL42&lt;&gt;"??",BL42&lt;&gt;"")</formula>
    </cfRule>
    <cfRule type="expression" dxfId="366" priority="369" stopIfTrue="1">
      <formula>AND((#REF!="C"),BL42&lt;&gt;"??",BL42&lt;&gt;"")</formula>
    </cfRule>
  </conditionalFormatting>
  <conditionalFormatting sqref="BL42:BM43">
    <cfRule type="expression" dxfId="365" priority="364" stopIfTrue="1">
      <formula>(#REF!="D")</formula>
    </cfRule>
    <cfRule type="expression" dxfId="364" priority="365" stopIfTrue="1">
      <formula>AND((#REF!="R"),BL42&lt;&gt;"??",BL42&lt;&gt;"")</formula>
    </cfRule>
    <cfRule type="expression" dxfId="363" priority="366" stopIfTrue="1">
      <formula>AND((#REF!="C"),BL42&lt;&gt;"??",BL42&lt;&gt;"")</formula>
    </cfRule>
  </conditionalFormatting>
  <conditionalFormatting sqref="BO42:BP43">
    <cfRule type="expression" dxfId="362" priority="361" stopIfTrue="1">
      <formula>(#REF!="D")</formula>
    </cfRule>
    <cfRule type="expression" dxfId="361" priority="362" stopIfTrue="1">
      <formula>AND((#REF!="R"),BO42&lt;&gt;"??",BO42&lt;&gt;"")</formula>
    </cfRule>
    <cfRule type="expression" dxfId="360" priority="363" stopIfTrue="1">
      <formula>AND((#REF!="C"),BO42&lt;&gt;"??",BO42&lt;&gt;"")</formula>
    </cfRule>
  </conditionalFormatting>
  <conditionalFormatting sqref="BO42:BP43">
    <cfRule type="expression" dxfId="359" priority="358" stopIfTrue="1">
      <formula>(#REF!="D")</formula>
    </cfRule>
    <cfRule type="expression" dxfId="358" priority="359" stopIfTrue="1">
      <formula>AND((#REF!="R"),BO42&lt;&gt;"??",BO42&lt;&gt;"")</formula>
    </cfRule>
    <cfRule type="expression" dxfId="357" priority="360" stopIfTrue="1">
      <formula>AND((#REF!="C"),BO42&lt;&gt;"??",BO42&lt;&gt;"")</formula>
    </cfRule>
  </conditionalFormatting>
  <conditionalFormatting sqref="Z44:AB44">
    <cfRule type="expression" dxfId="356" priority="355" stopIfTrue="1">
      <formula>(#REF!="D")</formula>
    </cfRule>
    <cfRule type="expression" dxfId="355" priority="356" stopIfTrue="1">
      <formula>AND((#REF!="R"),Z44&lt;&gt;"??",Z44&lt;&gt;"")</formula>
    </cfRule>
    <cfRule type="expression" dxfId="354" priority="357" stopIfTrue="1">
      <formula>AND((#REF!="C"),Z44&lt;&gt;"??",Z44&lt;&gt;"")</formula>
    </cfRule>
  </conditionalFormatting>
  <conditionalFormatting sqref="AC44">
    <cfRule type="expression" dxfId="353" priority="352" stopIfTrue="1">
      <formula>(#REF!="D")</formula>
    </cfRule>
    <cfRule type="expression" dxfId="352" priority="353" stopIfTrue="1">
      <formula>AND((#REF!="R"),AC44&lt;&gt;"??",AC44&lt;&gt;"")</formula>
    </cfRule>
    <cfRule type="expression" dxfId="351" priority="354" stopIfTrue="1">
      <formula>AND((#REF!="C"),AC44&lt;&gt;"??",AC44&lt;&gt;"")</formula>
    </cfRule>
  </conditionalFormatting>
  <conditionalFormatting sqref="Z45:AB46">
    <cfRule type="expression" dxfId="350" priority="349" stopIfTrue="1">
      <formula>(#REF!="D")</formula>
    </cfRule>
    <cfRule type="expression" dxfId="349" priority="350" stopIfTrue="1">
      <formula>AND((#REF!="R"),Z45&lt;&gt;"??",Z45&lt;&gt;"")</formula>
    </cfRule>
    <cfRule type="expression" dxfId="348" priority="351" stopIfTrue="1">
      <formula>AND((#REF!="C"),Z45&lt;&gt;"??",Z45&lt;&gt;"")</formula>
    </cfRule>
  </conditionalFormatting>
  <conditionalFormatting sqref="AC45:AC46">
    <cfRule type="expression" dxfId="347" priority="346" stopIfTrue="1">
      <formula>(#REF!="D")</formula>
    </cfRule>
    <cfRule type="expression" dxfId="346" priority="347" stopIfTrue="1">
      <formula>AND((#REF!="R"),AC45&lt;&gt;"??",AC45&lt;&gt;"")</formula>
    </cfRule>
    <cfRule type="expression" dxfId="345" priority="348" stopIfTrue="1">
      <formula>AND((#REF!="C"),AC45&lt;&gt;"??",AC45&lt;&gt;"")</formula>
    </cfRule>
  </conditionalFormatting>
  <conditionalFormatting sqref="AJ45:AJ46">
    <cfRule type="expression" dxfId="344" priority="343" stopIfTrue="1">
      <formula>(#REF!="D")</formula>
    </cfRule>
    <cfRule type="expression" dxfId="343" priority="344" stopIfTrue="1">
      <formula>AND((#REF!="R"),AJ45&lt;&gt;"??",AJ45&lt;&gt;"")</formula>
    </cfRule>
    <cfRule type="expression" dxfId="342" priority="345" stopIfTrue="1">
      <formula>AND((#REF!="C"),AJ45&lt;&gt;"??",AJ45&lt;&gt;"")</formula>
    </cfRule>
  </conditionalFormatting>
  <conditionalFormatting sqref="AJ44">
    <cfRule type="expression" dxfId="341" priority="340" stopIfTrue="1">
      <formula>(#REF!="D")</formula>
    </cfRule>
    <cfRule type="expression" dxfId="340" priority="341" stopIfTrue="1">
      <formula>AND((#REF!="R"),AJ44&lt;&gt;"??",AJ44&lt;&gt;"")</formula>
    </cfRule>
    <cfRule type="expression" dxfId="339" priority="342" stopIfTrue="1">
      <formula>AND((#REF!="C"),AJ44&lt;&gt;"??",AJ44&lt;&gt;"")</formula>
    </cfRule>
  </conditionalFormatting>
  <conditionalFormatting sqref="BD44:BD46">
    <cfRule type="expression" dxfId="338" priority="337" stopIfTrue="1">
      <formula>(#REF!="D")</formula>
    </cfRule>
    <cfRule type="expression" dxfId="337" priority="338" stopIfTrue="1">
      <formula>AND((#REF!="R"),BD44&lt;&gt;"??",BD44&lt;&gt;"")</formula>
    </cfRule>
    <cfRule type="expression" dxfId="336" priority="339" stopIfTrue="1">
      <formula>AND((#REF!="C"),BD44&lt;&gt;"??",BD44&lt;&gt;"")</formula>
    </cfRule>
  </conditionalFormatting>
  <conditionalFormatting sqref="BE44:BG44">
    <cfRule type="expression" dxfId="335" priority="334" stopIfTrue="1">
      <formula>(#REF!="D")</formula>
    </cfRule>
    <cfRule type="expression" dxfId="334" priority="335" stopIfTrue="1">
      <formula>AND((#REF!="R"),BE44&lt;&gt;"??",BE44&lt;&gt;"")</formula>
    </cfRule>
    <cfRule type="expression" dxfId="333" priority="336" stopIfTrue="1">
      <formula>AND((#REF!="C"),BE44&lt;&gt;"??",BE44&lt;&gt;"")</formula>
    </cfRule>
  </conditionalFormatting>
  <conditionalFormatting sqref="BH44">
    <cfRule type="expression" dxfId="332" priority="331" stopIfTrue="1">
      <formula>(#REF!="D")</formula>
    </cfRule>
    <cfRule type="expression" dxfId="331" priority="332" stopIfTrue="1">
      <formula>AND((#REF!="R"),BH44&lt;&gt;"??",BH44&lt;&gt;"")</formula>
    </cfRule>
    <cfRule type="expression" dxfId="330" priority="333" stopIfTrue="1">
      <formula>AND((#REF!="C"),BH44&lt;&gt;"??",BH44&lt;&gt;"")</formula>
    </cfRule>
  </conditionalFormatting>
  <conditionalFormatting sqref="BE45:BG46">
    <cfRule type="expression" dxfId="329" priority="328" stopIfTrue="1">
      <formula>(#REF!="D")</formula>
    </cfRule>
    <cfRule type="expression" dxfId="328" priority="329" stopIfTrue="1">
      <formula>AND((#REF!="R"),BE45&lt;&gt;"??",BE45&lt;&gt;"")</formula>
    </cfRule>
    <cfRule type="expression" dxfId="327" priority="330" stopIfTrue="1">
      <formula>AND((#REF!="C"),BE45&lt;&gt;"??",BE45&lt;&gt;"")</formula>
    </cfRule>
  </conditionalFormatting>
  <conditionalFormatting sqref="BH45:BH46">
    <cfRule type="expression" dxfId="326" priority="325" stopIfTrue="1">
      <formula>(#REF!="D")</formula>
    </cfRule>
    <cfRule type="expression" dxfId="325" priority="326" stopIfTrue="1">
      <formula>AND((#REF!="R"),BH45&lt;&gt;"??",BH45&lt;&gt;"")</formula>
    </cfRule>
    <cfRule type="expression" dxfId="324" priority="327" stopIfTrue="1">
      <formula>AND((#REF!="C"),BH45&lt;&gt;"??",BH45&lt;&gt;"")</formula>
    </cfRule>
  </conditionalFormatting>
  <conditionalFormatting sqref="BO45:BO46">
    <cfRule type="expression" dxfId="323" priority="322" stopIfTrue="1">
      <formula>(#REF!="D")</formula>
    </cfRule>
    <cfRule type="expression" dxfId="322" priority="323" stopIfTrue="1">
      <formula>AND((#REF!="R"),BO45&lt;&gt;"??",BO45&lt;&gt;"")</formula>
    </cfRule>
    <cfRule type="expression" dxfId="321" priority="324" stopIfTrue="1">
      <formula>AND((#REF!="C"),BO45&lt;&gt;"??",BO45&lt;&gt;"")</formula>
    </cfRule>
  </conditionalFormatting>
  <conditionalFormatting sqref="BO44">
    <cfRule type="expression" dxfId="320" priority="319" stopIfTrue="1">
      <formula>(#REF!="D")</formula>
    </cfRule>
    <cfRule type="expression" dxfId="319" priority="320" stopIfTrue="1">
      <formula>AND((#REF!="R"),BO44&lt;&gt;"??",BO44&lt;&gt;"")</formula>
    </cfRule>
    <cfRule type="expression" dxfId="318" priority="321" stopIfTrue="1">
      <formula>AND((#REF!="C"),BO44&lt;&gt;"??",BO44&lt;&gt;"")</formula>
    </cfRule>
  </conditionalFormatting>
  <conditionalFormatting sqref="Y107:AC107 BD107:BH107 Y115:AC115 BD115:BH115">
    <cfRule type="expression" dxfId="317" priority="316" stopIfTrue="1">
      <formula>(#REF!="D")</formula>
    </cfRule>
    <cfRule type="expression" dxfId="316" priority="317" stopIfTrue="1">
      <formula>AND((#REF!="R"),Y107&lt;&gt;"??",Y107&lt;&gt;"")</formula>
    </cfRule>
    <cfRule type="expression" dxfId="315" priority="318" stopIfTrue="1">
      <formula>AND((#REF!="C"),Y107&lt;&gt;"??",Y107&lt;&gt;"")</formula>
    </cfRule>
  </conditionalFormatting>
  <conditionalFormatting sqref="Y108:AC112 BD108:BH112">
    <cfRule type="expression" dxfId="314" priority="313" stopIfTrue="1">
      <formula>(#REF!="D")</formula>
    </cfRule>
    <cfRule type="expression" dxfId="313" priority="314" stopIfTrue="1">
      <formula>AND((#REF!="R"),Y108&lt;&gt;"??",Y108&lt;&gt;"")</formula>
    </cfRule>
    <cfRule type="expression" dxfId="312" priority="315" stopIfTrue="1">
      <formula>AND((#REF!="C"),Y108&lt;&gt;"??",Y108&lt;&gt;"")</formula>
    </cfRule>
  </conditionalFormatting>
  <conditionalFormatting sqref="AG108:AH108">
    <cfRule type="expression" dxfId="311" priority="310" stopIfTrue="1">
      <formula>(#REF!="D")</formula>
    </cfRule>
    <cfRule type="expression" dxfId="310" priority="311" stopIfTrue="1">
      <formula>AND((#REF!="R"),AG108&lt;&gt;"??",AG108&lt;&gt;"")</formula>
    </cfRule>
    <cfRule type="expression" dxfId="309" priority="312" stopIfTrue="1">
      <formula>AND((#REF!="C"),AG108&lt;&gt;"??",AG108&lt;&gt;"")</formula>
    </cfRule>
  </conditionalFormatting>
  <conditionalFormatting sqref="BL108:BM108">
    <cfRule type="expression" dxfId="308" priority="307" stopIfTrue="1">
      <formula>(#REF!="D")</formula>
    </cfRule>
    <cfRule type="expression" dxfId="307" priority="308" stopIfTrue="1">
      <formula>AND((#REF!="R"),BL108&lt;&gt;"??",BL108&lt;&gt;"")</formula>
    </cfRule>
    <cfRule type="expression" dxfId="306" priority="309" stopIfTrue="1">
      <formula>AND((#REF!="C"),BL108&lt;&gt;"??",BL108&lt;&gt;"")</formula>
    </cfRule>
  </conditionalFormatting>
  <conditionalFormatting sqref="Y165:AC168 BD165:BH168">
    <cfRule type="expression" dxfId="305" priority="304" stopIfTrue="1">
      <formula>(#REF!="D")</formula>
    </cfRule>
    <cfRule type="expression" dxfId="304" priority="305" stopIfTrue="1">
      <formula>AND((#REF!="R"),Y165&lt;&gt;"??",Y165&lt;&gt;"")</formula>
    </cfRule>
    <cfRule type="expression" dxfId="303" priority="306" stopIfTrue="1">
      <formula>AND((#REF!="C"),Y165&lt;&gt;"??",Y165&lt;&gt;"")</formula>
    </cfRule>
  </conditionalFormatting>
  <conditionalFormatting sqref="Y173:AC173 BD173:BH173">
    <cfRule type="expression" dxfId="302" priority="301" stopIfTrue="1">
      <formula>(#REF!="D")</formula>
    </cfRule>
    <cfRule type="expression" dxfId="301" priority="302" stopIfTrue="1">
      <formula>AND((#REF!="R"),Y173&lt;&gt;"??",Y173&lt;&gt;"")</formula>
    </cfRule>
    <cfRule type="expression" dxfId="300" priority="303" stopIfTrue="1">
      <formula>AND((#REF!="C"),Y173&lt;&gt;"??",Y173&lt;&gt;"")</formula>
    </cfRule>
  </conditionalFormatting>
  <conditionalFormatting sqref="AG55:AH55">
    <cfRule type="expression" dxfId="299" priority="298" stopIfTrue="1">
      <formula>(#REF!="D")</formula>
    </cfRule>
    <cfRule type="expression" dxfId="298" priority="299" stopIfTrue="1">
      <formula>AND((#REF!="R"),AG55&lt;&gt;"??",AG55&lt;&gt;"")</formula>
    </cfRule>
    <cfRule type="expression" dxfId="297" priority="300" stopIfTrue="1">
      <formula>AND((#REF!="C"),AG55&lt;&gt;"??",AG55&lt;&gt;"")</formula>
    </cfRule>
  </conditionalFormatting>
  <conditionalFormatting sqref="AG55:AH55">
    <cfRule type="expression" dxfId="296" priority="295" stopIfTrue="1">
      <formula>(#REF!="D")</formula>
    </cfRule>
    <cfRule type="expression" dxfId="295" priority="296" stopIfTrue="1">
      <formula>AND((#REF!="R"),AG55&lt;&gt;"??",AG55&lt;&gt;"")</formula>
    </cfRule>
    <cfRule type="expression" dxfId="294" priority="297" stopIfTrue="1">
      <formula>AND((#REF!="C"),AG55&lt;&gt;"??",AG55&lt;&gt;"")</formula>
    </cfRule>
  </conditionalFormatting>
  <conditionalFormatting sqref="Y174:AC174 BD174:BH174">
    <cfRule type="expression" dxfId="293" priority="292" stopIfTrue="1">
      <formula>(#REF!="D")</formula>
    </cfRule>
    <cfRule type="expression" dxfId="292" priority="293" stopIfTrue="1">
      <formula>AND((#REF!="R"),Y174&lt;&gt;"??",Y174&lt;&gt;"")</formula>
    </cfRule>
    <cfRule type="expression" dxfId="291" priority="294" stopIfTrue="1">
      <formula>AND((#REF!="C"),Y174&lt;&gt;"??",Y174&lt;&gt;"")</formula>
    </cfRule>
  </conditionalFormatting>
  <conditionalFormatting sqref="Y202:AC204 BD202:BH204">
    <cfRule type="expression" dxfId="290" priority="289" stopIfTrue="1">
      <formula>(#REF!="D")</formula>
    </cfRule>
    <cfRule type="expression" dxfId="289" priority="290" stopIfTrue="1">
      <formula>AND((#REF!="R"),Y202&lt;&gt;"??",Y202&lt;&gt;"")</formula>
    </cfRule>
    <cfRule type="expression" dxfId="288" priority="291" stopIfTrue="1">
      <formula>AND((#REF!="C"),Y202&lt;&gt;"??",Y202&lt;&gt;"")</formula>
    </cfRule>
  </conditionalFormatting>
  <conditionalFormatting sqref="BD205:BH209">
    <cfRule type="expression" dxfId="287" priority="277" stopIfTrue="1">
      <formula>(#REF!="D")</formula>
    </cfRule>
    <cfRule type="expression" dxfId="286" priority="278" stopIfTrue="1">
      <formula>AND((#REF!="R"),BD205&lt;&gt;"??",BD205&lt;&gt;"")</formula>
    </cfRule>
    <cfRule type="expression" dxfId="285" priority="279" stopIfTrue="1">
      <formula>AND((#REF!="C"),BD205&lt;&gt;"??",BD205&lt;&gt;"")</formula>
    </cfRule>
  </conditionalFormatting>
  <conditionalFormatting sqref="BL205:BM209">
    <cfRule type="expression" dxfId="284" priority="274" stopIfTrue="1">
      <formula>(#REF!="D")</formula>
    </cfRule>
    <cfRule type="expression" dxfId="283" priority="275" stopIfTrue="1">
      <formula>AND((#REF!="R"),BL205&lt;&gt;"??",BL205&lt;&gt;"")</formula>
    </cfRule>
    <cfRule type="expression" dxfId="282" priority="276" stopIfTrue="1">
      <formula>AND((#REF!="C"),BL205&lt;&gt;"??",BL205&lt;&gt;"")</formula>
    </cfRule>
  </conditionalFormatting>
  <conditionalFormatting sqref="BL205:BM209">
    <cfRule type="expression" dxfId="281" priority="271" stopIfTrue="1">
      <formula>(#REF!="D")</formula>
    </cfRule>
    <cfRule type="expression" dxfId="280" priority="272" stopIfTrue="1">
      <formula>AND((#REF!="R"),BL205&lt;&gt;"??",BL205&lt;&gt;"")</formula>
    </cfRule>
    <cfRule type="expression" dxfId="279" priority="273" stopIfTrue="1">
      <formula>AND((#REF!="C"),BL205&lt;&gt;"??",BL205&lt;&gt;"")</formula>
    </cfRule>
  </conditionalFormatting>
  <conditionalFormatting sqref="Y205:AC209">
    <cfRule type="expression" dxfId="278" priority="286" stopIfTrue="1">
      <formula>(#REF!="D")</formula>
    </cfRule>
    <cfRule type="expression" dxfId="277" priority="287" stopIfTrue="1">
      <formula>AND((#REF!="R"),Y205&lt;&gt;"??",Y205&lt;&gt;"")</formula>
    </cfRule>
    <cfRule type="expression" dxfId="276" priority="288" stopIfTrue="1">
      <formula>AND((#REF!="C"),Y205&lt;&gt;"??",Y205&lt;&gt;"")</formula>
    </cfRule>
  </conditionalFormatting>
  <conditionalFormatting sqref="AG205:AH209">
    <cfRule type="expression" dxfId="275" priority="283" stopIfTrue="1">
      <formula>(#REF!="D")</formula>
    </cfRule>
    <cfRule type="expression" dxfId="274" priority="284" stopIfTrue="1">
      <formula>AND((#REF!="R"),AG205&lt;&gt;"??",AG205&lt;&gt;"")</formula>
    </cfRule>
    <cfRule type="expression" dxfId="273" priority="285" stopIfTrue="1">
      <formula>AND((#REF!="C"),AG205&lt;&gt;"??",AG205&lt;&gt;"")</formula>
    </cfRule>
  </conditionalFormatting>
  <conditionalFormatting sqref="AG205:AH209">
    <cfRule type="expression" dxfId="272" priority="280" stopIfTrue="1">
      <formula>(#REF!="D")</formula>
    </cfRule>
    <cfRule type="expression" dxfId="271" priority="281" stopIfTrue="1">
      <formula>AND((#REF!="R"),AG205&lt;&gt;"??",AG205&lt;&gt;"")</formula>
    </cfRule>
    <cfRule type="expression" dxfId="270" priority="282" stopIfTrue="1">
      <formula>AND((#REF!="C"),AG205&lt;&gt;"??",AG205&lt;&gt;"")</formula>
    </cfRule>
  </conditionalFormatting>
  <conditionalFormatting sqref="BD210:BH217">
    <cfRule type="expression" dxfId="269" priority="259" stopIfTrue="1">
      <formula>(#REF!="D")</formula>
    </cfRule>
    <cfRule type="expression" dxfId="268" priority="260" stopIfTrue="1">
      <formula>AND((#REF!="R"),BD210&lt;&gt;"??",BD210&lt;&gt;"")</formula>
    </cfRule>
    <cfRule type="expression" dxfId="267" priority="261" stopIfTrue="1">
      <formula>AND((#REF!="C"),BD210&lt;&gt;"??",BD210&lt;&gt;"")</formula>
    </cfRule>
  </conditionalFormatting>
  <conditionalFormatting sqref="BL210:BM217">
    <cfRule type="expression" dxfId="266" priority="256" stopIfTrue="1">
      <formula>(#REF!="D")</formula>
    </cfRule>
    <cfRule type="expression" dxfId="265" priority="257" stopIfTrue="1">
      <formula>AND((#REF!="R"),BL210&lt;&gt;"??",BL210&lt;&gt;"")</formula>
    </cfRule>
    <cfRule type="expression" dxfId="264" priority="258" stopIfTrue="1">
      <formula>AND((#REF!="C"),BL210&lt;&gt;"??",BL210&lt;&gt;"")</formula>
    </cfRule>
  </conditionalFormatting>
  <conditionalFormatting sqref="BL210:BM217">
    <cfRule type="expression" dxfId="263" priority="253" stopIfTrue="1">
      <formula>(#REF!="D")</formula>
    </cfRule>
    <cfRule type="expression" dxfId="262" priority="254" stopIfTrue="1">
      <formula>AND((#REF!="R"),BL210&lt;&gt;"??",BL210&lt;&gt;"")</formula>
    </cfRule>
    <cfRule type="expression" dxfId="261" priority="255" stopIfTrue="1">
      <formula>AND((#REF!="C"),BL210&lt;&gt;"??",BL210&lt;&gt;"")</formula>
    </cfRule>
  </conditionalFormatting>
  <conditionalFormatting sqref="Y210:AC217">
    <cfRule type="expression" dxfId="260" priority="268" stopIfTrue="1">
      <formula>(#REF!="D")</formula>
    </cfRule>
    <cfRule type="expression" dxfId="259" priority="269" stopIfTrue="1">
      <formula>AND((#REF!="R"),Y210&lt;&gt;"??",Y210&lt;&gt;"")</formula>
    </cfRule>
    <cfRule type="expression" dxfId="258" priority="270" stopIfTrue="1">
      <formula>AND((#REF!="C"),Y210&lt;&gt;"??",Y210&lt;&gt;"")</formula>
    </cfRule>
  </conditionalFormatting>
  <conditionalFormatting sqref="AG210:AH217">
    <cfRule type="expression" dxfId="257" priority="265" stopIfTrue="1">
      <formula>(#REF!="D")</formula>
    </cfRule>
    <cfRule type="expression" dxfId="256" priority="266" stopIfTrue="1">
      <formula>AND((#REF!="R"),AG210&lt;&gt;"??",AG210&lt;&gt;"")</formula>
    </cfRule>
    <cfRule type="expression" dxfId="255" priority="267" stopIfTrue="1">
      <formula>AND((#REF!="C"),AG210&lt;&gt;"??",AG210&lt;&gt;"")</formula>
    </cfRule>
  </conditionalFormatting>
  <conditionalFormatting sqref="AG210:AH217">
    <cfRule type="expression" dxfId="254" priority="262" stopIfTrue="1">
      <formula>(#REF!="D")</formula>
    </cfRule>
    <cfRule type="expression" dxfId="253" priority="263" stopIfTrue="1">
      <formula>AND((#REF!="R"),AG210&lt;&gt;"??",AG210&lt;&gt;"")</formula>
    </cfRule>
    <cfRule type="expression" dxfId="252" priority="264" stopIfTrue="1">
      <formula>AND((#REF!="C"),AG210&lt;&gt;"??",AG210&lt;&gt;"")</formula>
    </cfRule>
  </conditionalFormatting>
  <conditionalFormatting sqref="BD218:BH218">
    <cfRule type="expression" dxfId="251" priority="241" stopIfTrue="1">
      <formula>(#REF!="D")</formula>
    </cfRule>
    <cfRule type="expression" dxfId="250" priority="242" stopIfTrue="1">
      <formula>AND((#REF!="R"),BD218&lt;&gt;"??",BD218&lt;&gt;"")</formula>
    </cfRule>
    <cfRule type="expression" dxfId="249" priority="243" stopIfTrue="1">
      <formula>AND((#REF!="C"),BD218&lt;&gt;"??",BD218&lt;&gt;"")</formula>
    </cfRule>
  </conditionalFormatting>
  <conditionalFormatting sqref="BL218:BM218">
    <cfRule type="expression" dxfId="248" priority="238" stopIfTrue="1">
      <formula>(#REF!="D")</formula>
    </cfRule>
    <cfRule type="expression" dxfId="247" priority="239" stopIfTrue="1">
      <formula>AND((#REF!="R"),BL218&lt;&gt;"??",BL218&lt;&gt;"")</formula>
    </cfRule>
    <cfRule type="expression" dxfId="246" priority="240" stopIfTrue="1">
      <formula>AND((#REF!="C"),BL218&lt;&gt;"??",BL218&lt;&gt;"")</formula>
    </cfRule>
  </conditionalFormatting>
  <conditionalFormatting sqref="BL218:BM218">
    <cfRule type="expression" dxfId="245" priority="235" stopIfTrue="1">
      <formula>(#REF!="D")</formula>
    </cfRule>
    <cfRule type="expression" dxfId="244" priority="236" stopIfTrue="1">
      <formula>AND((#REF!="R"),BL218&lt;&gt;"??",BL218&lt;&gt;"")</formula>
    </cfRule>
    <cfRule type="expression" dxfId="243" priority="237" stopIfTrue="1">
      <formula>AND((#REF!="C"),BL218&lt;&gt;"??",BL218&lt;&gt;"")</formula>
    </cfRule>
  </conditionalFormatting>
  <conditionalFormatting sqref="Y218:AC218">
    <cfRule type="expression" dxfId="242" priority="250" stopIfTrue="1">
      <formula>(#REF!="D")</formula>
    </cfRule>
    <cfRule type="expression" dxfId="241" priority="251" stopIfTrue="1">
      <formula>AND((#REF!="R"),Y218&lt;&gt;"??",Y218&lt;&gt;"")</formula>
    </cfRule>
    <cfRule type="expression" dxfId="240" priority="252" stopIfTrue="1">
      <formula>AND((#REF!="C"),Y218&lt;&gt;"??",Y218&lt;&gt;"")</formula>
    </cfRule>
  </conditionalFormatting>
  <conditionalFormatting sqref="AG218:AH218">
    <cfRule type="expression" dxfId="239" priority="247" stopIfTrue="1">
      <formula>(#REF!="D")</formula>
    </cfRule>
    <cfRule type="expression" dxfId="238" priority="248" stopIfTrue="1">
      <formula>AND((#REF!="R"),AG218&lt;&gt;"??",AG218&lt;&gt;"")</formula>
    </cfRule>
    <cfRule type="expression" dxfId="237" priority="249" stopIfTrue="1">
      <formula>AND((#REF!="C"),AG218&lt;&gt;"??",AG218&lt;&gt;"")</formula>
    </cfRule>
  </conditionalFormatting>
  <conditionalFormatting sqref="AG218:AH218">
    <cfRule type="expression" dxfId="236" priority="244" stopIfTrue="1">
      <formula>(#REF!="D")</formula>
    </cfRule>
    <cfRule type="expression" dxfId="235" priority="245" stopIfTrue="1">
      <formula>AND((#REF!="R"),AG218&lt;&gt;"??",AG218&lt;&gt;"")</formula>
    </cfRule>
    <cfRule type="expression" dxfId="234" priority="246" stopIfTrue="1">
      <formula>AND((#REF!="C"),AG218&lt;&gt;"??",AG218&lt;&gt;"")</formula>
    </cfRule>
  </conditionalFormatting>
  <conditionalFormatting sqref="Y169:AC172 BD169:BH172">
    <cfRule type="expression" dxfId="233" priority="232" stopIfTrue="1">
      <formula>(#REF!="D")</formula>
    </cfRule>
    <cfRule type="expression" dxfId="232" priority="233" stopIfTrue="1">
      <formula>AND((#REF!="R"),Y169&lt;&gt;"??",Y169&lt;&gt;"")</formula>
    </cfRule>
    <cfRule type="expression" dxfId="231" priority="234" stopIfTrue="1">
      <formula>AND((#REF!="C"),Y169&lt;&gt;"??",Y169&lt;&gt;"")</formula>
    </cfRule>
  </conditionalFormatting>
  <conditionalFormatting sqref="BD219:BH223">
    <cfRule type="expression" dxfId="230" priority="220" stopIfTrue="1">
      <formula>(#REF!="D")</formula>
    </cfRule>
    <cfRule type="expression" dxfId="229" priority="221" stopIfTrue="1">
      <formula>AND((#REF!="R"),BD219&lt;&gt;"??",BD219&lt;&gt;"")</formula>
    </cfRule>
    <cfRule type="expression" dxfId="228" priority="222" stopIfTrue="1">
      <formula>AND((#REF!="C"),BD219&lt;&gt;"??",BD219&lt;&gt;"")</formula>
    </cfRule>
  </conditionalFormatting>
  <conditionalFormatting sqref="BL219:BM223">
    <cfRule type="expression" dxfId="227" priority="217" stopIfTrue="1">
      <formula>(#REF!="D")</formula>
    </cfRule>
    <cfRule type="expression" dxfId="226" priority="218" stopIfTrue="1">
      <formula>AND((#REF!="R"),BL219&lt;&gt;"??",BL219&lt;&gt;"")</formula>
    </cfRule>
    <cfRule type="expression" dxfId="225" priority="219" stopIfTrue="1">
      <formula>AND((#REF!="C"),BL219&lt;&gt;"??",BL219&lt;&gt;"")</formula>
    </cfRule>
  </conditionalFormatting>
  <conditionalFormatting sqref="BL219:BM223">
    <cfRule type="expression" dxfId="224" priority="214" stopIfTrue="1">
      <formula>(#REF!="D")</formula>
    </cfRule>
    <cfRule type="expression" dxfId="223" priority="215" stopIfTrue="1">
      <formula>AND((#REF!="R"),BL219&lt;&gt;"??",BL219&lt;&gt;"")</formula>
    </cfRule>
    <cfRule type="expression" dxfId="222" priority="216" stopIfTrue="1">
      <formula>AND((#REF!="C"),BL219&lt;&gt;"??",BL219&lt;&gt;"")</formula>
    </cfRule>
  </conditionalFormatting>
  <conditionalFormatting sqref="Y219:AC223">
    <cfRule type="expression" dxfId="221" priority="229" stopIfTrue="1">
      <formula>(#REF!="D")</formula>
    </cfRule>
    <cfRule type="expression" dxfId="220" priority="230" stopIfTrue="1">
      <formula>AND((#REF!="R"),Y219&lt;&gt;"??",Y219&lt;&gt;"")</formula>
    </cfRule>
    <cfRule type="expression" dxfId="219" priority="231" stopIfTrue="1">
      <formula>AND((#REF!="C"),Y219&lt;&gt;"??",Y219&lt;&gt;"")</formula>
    </cfRule>
  </conditionalFormatting>
  <conditionalFormatting sqref="AG219:AH223">
    <cfRule type="expression" dxfId="218" priority="226" stopIfTrue="1">
      <formula>(#REF!="D")</formula>
    </cfRule>
    <cfRule type="expression" dxfId="217" priority="227" stopIfTrue="1">
      <formula>AND((#REF!="R"),AG219&lt;&gt;"??",AG219&lt;&gt;"")</formula>
    </cfRule>
    <cfRule type="expression" dxfId="216" priority="228" stopIfTrue="1">
      <formula>AND((#REF!="C"),AG219&lt;&gt;"??",AG219&lt;&gt;"")</formula>
    </cfRule>
  </conditionalFormatting>
  <conditionalFormatting sqref="AG219:AH223">
    <cfRule type="expression" dxfId="215" priority="223" stopIfTrue="1">
      <formula>(#REF!="D")</formula>
    </cfRule>
    <cfRule type="expression" dxfId="214" priority="224" stopIfTrue="1">
      <formula>AND((#REF!="R"),AG219&lt;&gt;"??",AG219&lt;&gt;"")</formula>
    </cfRule>
    <cfRule type="expression" dxfId="213" priority="225" stopIfTrue="1">
      <formula>AND((#REF!="C"),AG219&lt;&gt;"??",AG219&lt;&gt;"")</formula>
    </cfRule>
  </conditionalFormatting>
  <conditionalFormatting sqref="BD231:BH234">
    <cfRule type="expression" dxfId="212" priority="202" stopIfTrue="1">
      <formula>(#REF!="D")</formula>
    </cfRule>
    <cfRule type="expression" dxfId="211" priority="203" stopIfTrue="1">
      <formula>AND((#REF!="R"),BD231&lt;&gt;"??",BD231&lt;&gt;"")</formula>
    </cfRule>
    <cfRule type="expression" dxfId="210" priority="204" stopIfTrue="1">
      <formula>AND((#REF!="C"),BD231&lt;&gt;"??",BD231&lt;&gt;"")</formula>
    </cfRule>
  </conditionalFormatting>
  <conditionalFormatting sqref="BL231:BM234">
    <cfRule type="expression" dxfId="209" priority="199" stopIfTrue="1">
      <formula>(#REF!="D")</formula>
    </cfRule>
    <cfRule type="expression" dxfId="208" priority="200" stopIfTrue="1">
      <formula>AND((#REF!="R"),BL231&lt;&gt;"??",BL231&lt;&gt;"")</formula>
    </cfRule>
    <cfRule type="expression" dxfId="207" priority="201" stopIfTrue="1">
      <formula>AND((#REF!="C"),BL231&lt;&gt;"??",BL231&lt;&gt;"")</formula>
    </cfRule>
  </conditionalFormatting>
  <conditionalFormatting sqref="BL231:BM234">
    <cfRule type="expression" dxfId="206" priority="196" stopIfTrue="1">
      <formula>(#REF!="D")</formula>
    </cfRule>
    <cfRule type="expression" dxfId="205" priority="197" stopIfTrue="1">
      <formula>AND((#REF!="R"),BL231&lt;&gt;"??",BL231&lt;&gt;"")</formula>
    </cfRule>
    <cfRule type="expression" dxfId="204" priority="198" stopIfTrue="1">
      <formula>AND((#REF!="C"),BL231&lt;&gt;"??",BL231&lt;&gt;"")</formula>
    </cfRule>
  </conditionalFormatting>
  <conditionalFormatting sqref="Y231:AC234">
    <cfRule type="expression" dxfId="203" priority="211" stopIfTrue="1">
      <formula>(#REF!="D")</formula>
    </cfRule>
    <cfRule type="expression" dxfId="202" priority="212" stopIfTrue="1">
      <formula>AND((#REF!="R"),Y231&lt;&gt;"??",Y231&lt;&gt;"")</formula>
    </cfRule>
    <cfRule type="expression" dxfId="201" priority="213" stopIfTrue="1">
      <formula>AND((#REF!="C"),Y231&lt;&gt;"??",Y231&lt;&gt;"")</formula>
    </cfRule>
  </conditionalFormatting>
  <conditionalFormatting sqref="AG231:AH234">
    <cfRule type="expression" dxfId="200" priority="208" stopIfTrue="1">
      <formula>(#REF!="D")</formula>
    </cfRule>
    <cfRule type="expression" dxfId="199" priority="209" stopIfTrue="1">
      <formula>AND((#REF!="R"),AG231&lt;&gt;"??",AG231&lt;&gt;"")</formula>
    </cfRule>
    <cfRule type="expression" dxfId="198" priority="210" stopIfTrue="1">
      <formula>AND((#REF!="C"),AG231&lt;&gt;"??",AG231&lt;&gt;"")</formula>
    </cfRule>
  </conditionalFormatting>
  <conditionalFormatting sqref="AG231:AH234">
    <cfRule type="expression" dxfId="197" priority="205" stopIfTrue="1">
      <formula>(#REF!="D")</formula>
    </cfRule>
    <cfRule type="expression" dxfId="196" priority="206" stopIfTrue="1">
      <formula>AND((#REF!="R"),AG231&lt;&gt;"??",AG231&lt;&gt;"")</formula>
    </cfRule>
    <cfRule type="expression" dxfId="195" priority="207" stopIfTrue="1">
      <formula>AND((#REF!="C"),AG231&lt;&gt;"??",AG231&lt;&gt;"")</formula>
    </cfRule>
  </conditionalFormatting>
  <conditionalFormatting sqref="BD281:BH289 Y281:AC289">
    <cfRule type="expression" dxfId="194" priority="193" stopIfTrue="1">
      <formula>(#REF!="D")</formula>
    </cfRule>
    <cfRule type="expression" dxfId="193" priority="194" stopIfTrue="1">
      <formula>AND((#REF!="R"),Y281&lt;&gt;"??",Y281&lt;&gt;"")</formula>
    </cfRule>
    <cfRule type="expression" dxfId="192" priority="195" stopIfTrue="1">
      <formula>AND((#REF!="C"),Y281&lt;&gt;"??",Y281&lt;&gt;"")</formula>
    </cfRule>
  </conditionalFormatting>
  <conditionalFormatting sqref="Y416:AC420 BD416:BH420">
    <cfRule type="expression" dxfId="191" priority="190" stopIfTrue="1">
      <formula>(#REF!="D")</formula>
    </cfRule>
    <cfRule type="expression" dxfId="190" priority="191" stopIfTrue="1">
      <formula>AND((#REF!="R"),Y416&lt;&gt;"??",Y416&lt;&gt;"")</formula>
    </cfRule>
    <cfRule type="expression" dxfId="189" priority="192" stopIfTrue="1">
      <formula>AND((#REF!="C"),Y416&lt;&gt;"??",Y416&lt;&gt;"")</formula>
    </cfRule>
  </conditionalFormatting>
  <conditionalFormatting sqref="BD445:BH448 Y445:AC448">
    <cfRule type="expression" dxfId="188" priority="187" stopIfTrue="1">
      <formula>(#REF!="D")</formula>
    </cfRule>
    <cfRule type="expression" dxfId="187" priority="188" stopIfTrue="1">
      <formula>AND((#REF!="R"),Y445&lt;&gt;"??",Y445&lt;&gt;"")</formula>
    </cfRule>
    <cfRule type="expression" dxfId="186" priority="189" stopIfTrue="1">
      <formula>AND((#REF!="C"),Y445&lt;&gt;"??",Y445&lt;&gt;"")</formula>
    </cfRule>
  </conditionalFormatting>
  <conditionalFormatting sqref="Y477:AC478 BD477:BH478 BD496:BH498 Y496:AC498">
    <cfRule type="expression" dxfId="185" priority="184" stopIfTrue="1">
      <formula>(#REF!="D")</formula>
    </cfRule>
    <cfRule type="expression" dxfId="184" priority="185" stopIfTrue="1">
      <formula>AND((#REF!="R"),Y477&lt;&gt;"??",Y477&lt;&gt;"")</formula>
    </cfRule>
    <cfRule type="expression" dxfId="183" priority="186" stopIfTrue="1">
      <formula>AND((#REF!="C"),Y477&lt;&gt;"??",Y477&lt;&gt;"")</formula>
    </cfRule>
  </conditionalFormatting>
  <conditionalFormatting sqref="Y455:AC461 BD455:BH461">
    <cfRule type="expression" dxfId="182" priority="181" stopIfTrue="1">
      <formula>(#REF!="D")</formula>
    </cfRule>
    <cfRule type="expression" dxfId="181" priority="182" stopIfTrue="1">
      <formula>AND((#REF!="R"),Y455&lt;&gt;"??",Y455&lt;&gt;"")</formula>
    </cfRule>
    <cfRule type="expression" dxfId="180" priority="183" stopIfTrue="1">
      <formula>AND((#REF!="C"),Y455&lt;&gt;"??",Y455&lt;&gt;"")</formula>
    </cfRule>
  </conditionalFormatting>
  <conditionalFormatting sqref="Y175:AC201 BD175:BH201">
    <cfRule type="expression" dxfId="179" priority="178" stopIfTrue="1">
      <formula>(#REF!="D")</formula>
    </cfRule>
    <cfRule type="expression" dxfId="178" priority="179" stopIfTrue="1">
      <formula>AND((#REF!="R"),Y175&lt;&gt;"??",Y175&lt;&gt;"")</formula>
    </cfRule>
    <cfRule type="expression" dxfId="177" priority="180" stopIfTrue="1">
      <formula>AND((#REF!="C"),Y175&lt;&gt;"??",Y175&lt;&gt;"")</formula>
    </cfRule>
  </conditionalFormatting>
  <conditionalFormatting sqref="Y462:AC464 BD462:BH464">
    <cfRule type="expression" dxfId="176" priority="175" stopIfTrue="1">
      <formula>(#REF!="D")</formula>
    </cfRule>
    <cfRule type="expression" dxfId="175" priority="176" stopIfTrue="1">
      <formula>AND((#REF!="R"),Y462&lt;&gt;"??",Y462&lt;&gt;"")</formula>
    </cfRule>
    <cfRule type="expression" dxfId="174" priority="177" stopIfTrue="1">
      <formula>AND((#REF!="C"),Y462&lt;&gt;"??",Y462&lt;&gt;"")</formula>
    </cfRule>
  </conditionalFormatting>
  <conditionalFormatting sqref="Y487:AC490 BD487:BH490">
    <cfRule type="expression" dxfId="173" priority="166" stopIfTrue="1">
      <formula>(#REF!="D")</formula>
    </cfRule>
    <cfRule type="expression" dxfId="172" priority="167" stopIfTrue="1">
      <formula>AND((#REF!="R"),Y487&lt;&gt;"??",Y487&lt;&gt;"")</formula>
    </cfRule>
    <cfRule type="expression" dxfId="171" priority="168" stopIfTrue="1">
      <formula>AND((#REF!="C"),Y487&lt;&gt;"??",Y487&lt;&gt;"")</formula>
    </cfRule>
  </conditionalFormatting>
  <conditionalFormatting sqref="Y480:AC486 BD480:BH486">
    <cfRule type="expression" dxfId="170" priority="172" stopIfTrue="1">
      <formula>(#REF!="D")</formula>
    </cfRule>
    <cfRule type="expression" dxfId="169" priority="173" stopIfTrue="1">
      <formula>AND((#REF!="R"),Y480&lt;&gt;"??",Y480&lt;&gt;"")</formula>
    </cfRule>
    <cfRule type="expression" dxfId="168" priority="174" stopIfTrue="1">
      <formula>AND((#REF!="C"),Y480&lt;&gt;"??",Y480&lt;&gt;"")</formula>
    </cfRule>
  </conditionalFormatting>
  <conditionalFormatting sqref="Y479:AC479 BD479:BH479">
    <cfRule type="expression" dxfId="167" priority="169" stopIfTrue="1">
      <formula>(#REF!="D")</formula>
    </cfRule>
    <cfRule type="expression" dxfId="166" priority="170" stopIfTrue="1">
      <formula>AND((#REF!="R"),Y479&lt;&gt;"??",Y479&lt;&gt;"")</formula>
    </cfRule>
    <cfRule type="expression" dxfId="165" priority="171" stopIfTrue="1">
      <formula>AND((#REF!="C"),Y479&lt;&gt;"??",Y479&lt;&gt;"")</formula>
    </cfRule>
  </conditionalFormatting>
  <conditionalFormatting sqref="Y492:AC495 BD492:BH495">
    <cfRule type="expression" dxfId="164" priority="163" stopIfTrue="1">
      <formula>(#REF!="D")</formula>
    </cfRule>
    <cfRule type="expression" dxfId="163" priority="164" stopIfTrue="1">
      <formula>AND((#REF!="R"),Y492&lt;&gt;"??",Y492&lt;&gt;"")</formula>
    </cfRule>
    <cfRule type="expression" dxfId="162" priority="165" stopIfTrue="1">
      <formula>AND((#REF!="C"),Y492&lt;&gt;"??",Y492&lt;&gt;"")</formula>
    </cfRule>
  </conditionalFormatting>
  <conditionalFormatting sqref="Y491:AC491 BD491:BH491">
    <cfRule type="expression" dxfId="161" priority="160" stopIfTrue="1">
      <formula>(#REF!="D")</formula>
    </cfRule>
    <cfRule type="expression" dxfId="160" priority="161" stopIfTrue="1">
      <formula>AND((#REF!="R"),Y491&lt;&gt;"??",Y491&lt;&gt;"")</formula>
    </cfRule>
    <cfRule type="expression" dxfId="159" priority="162" stopIfTrue="1">
      <formula>AND((#REF!="C"),Y491&lt;&gt;"??",Y491&lt;&gt;"")</formula>
    </cfRule>
  </conditionalFormatting>
  <conditionalFormatting sqref="Y465:AC465 BD465:BH465">
    <cfRule type="expression" dxfId="158" priority="157" stopIfTrue="1">
      <formula>(#REF!="D")</formula>
    </cfRule>
    <cfRule type="expression" dxfId="157" priority="158" stopIfTrue="1">
      <formula>AND((#REF!="R"),Y465&lt;&gt;"??",Y465&lt;&gt;"")</formula>
    </cfRule>
    <cfRule type="expression" dxfId="156" priority="159" stopIfTrue="1">
      <formula>AND((#REF!="C"),Y465&lt;&gt;"??",Y465&lt;&gt;"")</formula>
    </cfRule>
  </conditionalFormatting>
  <conditionalFormatting sqref="Y466:AC476 BD466:BH476">
    <cfRule type="expression" dxfId="155" priority="154" stopIfTrue="1">
      <formula>(#REF!="D")</formula>
    </cfRule>
    <cfRule type="expression" dxfId="154" priority="155" stopIfTrue="1">
      <formula>AND((#REF!="R"),Y466&lt;&gt;"??",Y466&lt;&gt;"")</formula>
    </cfRule>
    <cfRule type="expression" dxfId="153" priority="156" stopIfTrue="1">
      <formula>AND((#REF!="C"),Y466&lt;&gt;"??",Y466&lt;&gt;"")</formula>
    </cfRule>
  </conditionalFormatting>
  <conditionalFormatting sqref="Y444:AC444">
    <cfRule type="expression" dxfId="152" priority="151" stopIfTrue="1">
      <formula>(#REF!="D")</formula>
    </cfRule>
    <cfRule type="expression" dxfId="151" priority="152" stopIfTrue="1">
      <formula>AND((#REF!="R"),Y444&lt;&gt;"??",Y444&lt;&gt;"")</formula>
    </cfRule>
    <cfRule type="expression" dxfId="150" priority="153" stopIfTrue="1">
      <formula>AND((#REF!="C"),Y444&lt;&gt;"??",Y444&lt;&gt;"")</formula>
    </cfRule>
  </conditionalFormatting>
  <conditionalFormatting sqref="BD444:BH444">
    <cfRule type="expression" dxfId="149" priority="148" stopIfTrue="1">
      <formula>(#REF!="D")</formula>
    </cfRule>
    <cfRule type="expression" dxfId="148" priority="149" stopIfTrue="1">
      <formula>AND((#REF!="R"),BD444&lt;&gt;"??",BD444&lt;&gt;"")</formula>
    </cfRule>
    <cfRule type="expression" dxfId="147" priority="150" stopIfTrue="1">
      <formula>AND((#REF!="C"),BD444&lt;&gt;"??",BD444&lt;&gt;"")</formula>
    </cfRule>
  </conditionalFormatting>
  <conditionalFormatting sqref="BD1020:BG1020 BG1021:BG1026">
    <cfRule type="expression" dxfId="146" priority="139" stopIfTrue="1">
      <formula>(#REF!="D")</formula>
    </cfRule>
    <cfRule type="expression" dxfId="145" priority="140" stopIfTrue="1">
      <formula>AND((#REF!="R"),BD1020&lt;&gt;"??",BD1020&lt;&gt;"")</formula>
    </cfRule>
    <cfRule type="expression" dxfId="144" priority="141" stopIfTrue="1">
      <formula>AND((#REF!="C"),BD1020&lt;&gt;"??",BD1020&lt;&gt;"")</formula>
    </cfRule>
  </conditionalFormatting>
  <conditionalFormatting sqref="Y1019:AC1019 BD1019:BH1019 BH1021 Y1021 AB1021:AC1021">
    <cfRule type="expression" dxfId="143" priority="145" stopIfTrue="1">
      <formula>(#REF!="D")</formula>
    </cfRule>
    <cfRule type="expression" dxfId="142" priority="146" stopIfTrue="1">
      <formula>AND((#REF!="R"),Y1019&lt;&gt;"??",Y1019&lt;&gt;"")</formula>
    </cfRule>
    <cfRule type="expression" dxfId="141" priority="147" stopIfTrue="1">
      <formula>AND((#REF!="C"),Y1019&lt;&gt;"??",Y1019&lt;&gt;"")</formula>
    </cfRule>
  </conditionalFormatting>
  <conditionalFormatting sqref="Y1020:AC1020 BH1020 Z1021">
    <cfRule type="expression" dxfId="140" priority="142" stopIfTrue="1">
      <formula>(#REF!="D")</formula>
    </cfRule>
    <cfRule type="expression" dxfId="139" priority="143" stopIfTrue="1">
      <formula>AND((#REF!="R"),Y1020&lt;&gt;"??",Y1020&lt;&gt;"")</formula>
    </cfRule>
    <cfRule type="expression" dxfId="138" priority="144" stopIfTrue="1">
      <formula>AND((#REF!="C"),Y1020&lt;&gt;"??",Y1020&lt;&gt;"")</formula>
    </cfRule>
  </conditionalFormatting>
  <conditionalFormatting sqref="BH1022:BH1026 Y1022:AC1026">
    <cfRule type="expression" dxfId="137" priority="136" stopIfTrue="1">
      <formula>(#REF!="D")</formula>
    </cfRule>
    <cfRule type="expression" dxfId="136" priority="137" stopIfTrue="1">
      <formula>AND((#REF!="R"),Y1022&lt;&gt;"??",Y1022&lt;&gt;"")</formula>
    </cfRule>
    <cfRule type="expression" dxfId="135" priority="138" stopIfTrue="1">
      <formula>AND((#REF!="C"),Y1022&lt;&gt;"??",Y1022&lt;&gt;"")</formula>
    </cfRule>
  </conditionalFormatting>
  <conditionalFormatting sqref="BD1021:BF1026">
    <cfRule type="expression" dxfId="134" priority="133" stopIfTrue="1">
      <formula>(#REF!="D")</formula>
    </cfRule>
    <cfRule type="expression" dxfId="133" priority="134" stopIfTrue="1">
      <formula>AND((#REF!="R"),BD1021&lt;&gt;"??",BD1021&lt;&gt;"")</formula>
    </cfRule>
    <cfRule type="expression" dxfId="132" priority="135" stopIfTrue="1">
      <formula>AND((#REF!="C"),BD1021&lt;&gt;"??",BD1021&lt;&gt;"")</formula>
    </cfRule>
  </conditionalFormatting>
  <conditionalFormatting sqref="AA1021">
    <cfRule type="expression" dxfId="131" priority="130" stopIfTrue="1">
      <formula>(#REF!="D")</formula>
    </cfRule>
    <cfRule type="expression" dxfId="130" priority="131" stopIfTrue="1">
      <formula>AND((#REF!="R"),AA1021&lt;&gt;"??",AA1021&lt;&gt;"")</formula>
    </cfRule>
    <cfRule type="expression" dxfId="129" priority="132" stopIfTrue="1">
      <formula>AND((#REF!="C"),AA1021&lt;&gt;"??",AA1021&lt;&gt;"")</formula>
    </cfRule>
  </conditionalFormatting>
  <conditionalFormatting sqref="BD546:BH546">
    <cfRule type="expression" dxfId="128" priority="127" stopIfTrue="1">
      <formula>(#REF!="D")</formula>
    </cfRule>
    <cfRule type="expression" dxfId="127" priority="128" stopIfTrue="1">
      <formula>AND((#REF!="R"),BD546&lt;&gt;"??",BD546&lt;&gt;"")</formula>
    </cfRule>
    <cfRule type="expression" dxfId="126" priority="129" stopIfTrue="1">
      <formula>AND((#REF!="C"),BD546&lt;&gt;"??",BD546&lt;&gt;"")</formula>
    </cfRule>
  </conditionalFormatting>
  <conditionalFormatting sqref="BD548:BH548 Y548:AC548">
    <cfRule type="expression" dxfId="125" priority="124" stopIfTrue="1">
      <formula>(#REF!="D")</formula>
    </cfRule>
    <cfRule type="expression" dxfId="124" priority="125" stopIfTrue="1">
      <formula>AND((#REF!="R"),Y548&lt;&gt;"??",Y548&lt;&gt;"")</formula>
    </cfRule>
    <cfRule type="expression" dxfId="123" priority="126" stopIfTrue="1">
      <formula>AND((#REF!="C"),Y548&lt;&gt;"??",Y548&lt;&gt;"")</formula>
    </cfRule>
  </conditionalFormatting>
  <conditionalFormatting sqref="Y550:AC550 BD550:BH550">
    <cfRule type="expression" dxfId="122" priority="121" stopIfTrue="1">
      <formula>(#REF!="D")</formula>
    </cfRule>
    <cfRule type="expression" dxfId="121" priority="122" stopIfTrue="1">
      <formula>AND((#REF!="R"),Y550&lt;&gt;"??",Y550&lt;&gt;"")</formula>
    </cfRule>
    <cfRule type="expression" dxfId="120" priority="123" stopIfTrue="1">
      <formula>AND((#REF!="C"),Y550&lt;&gt;"??",Y550&lt;&gt;"")</formula>
    </cfRule>
  </conditionalFormatting>
  <conditionalFormatting sqref="BD551:BH551 Y551:AC551">
    <cfRule type="expression" dxfId="119" priority="118" stopIfTrue="1">
      <formula>(#REF!="D")</formula>
    </cfRule>
    <cfRule type="expression" dxfId="118" priority="119" stopIfTrue="1">
      <formula>AND((#REF!="R"),Y551&lt;&gt;"??",Y551&lt;&gt;"")</formula>
    </cfRule>
    <cfRule type="expression" dxfId="117" priority="120" stopIfTrue="1">
      <formula>AND((#REF!="C"),Y551&lt;&gt;"??",Y551&lt;&gt;"")</formula>
    </cfRule>
  </conditionalFormatting>
  <conditionalFormatting sqref="BD940:BH940 Y940:AC940">
    <cfRule type="expression" dxfId="116" priority="115" stopIfTrue="1">
      <formula>(#REF!="D")</formula>
    </cfRule>
    <cfRule type="expression" dxfId="115" priority="116" stopIfTrue="1">
      <formula>AND((#REF!="R"),Y940&lt;&gt;"??",Y940&lt;&gt;"")</formula>
    </cfRule>
    <cfRule type="expression" dxfId="114" priority="117" stopIfTrue="1">
      <formula>AND((#REF!="C"),Y940&lt;&gt;"??",Y940&lt;&gt;"")</formula>
    </cfRule>
  </conditionalFormatting>
  <conditionalFormatting sqref="Y941:AC941 BD941:BH941">
    <cfRule type="expression" dxfId="113" priority="112" stopIfTrue="1">
      <formula>(#REF!="D")</formula>
    </cfRule>
    <cfRule type="expression" dxfId="112" priority="113" stopIfTrue="1">
      <formula>AND((#REF!="R"),Y941&lt;&gt;"??",Y941&lt;&gt;"")</formula>
    </cfRule>
    <cfRule type="expression" dxfId="111" priority="114" stopIfTrue="1">
      <formula>AND((#REF!="C"),Y941&lt;&gt;"??",Y941&lt;&gt;"")</formula>
    </cfRule>
  </conditionalFormatting>
  <conditionalFormatting sqref="BG250:BH250 Y250:AC250">
    <cfRule type="expression" dxfId="110" priority="109" stopIfTrue="1">
      <formula>(#REF!="D")</formula>
    </cfRule>
    <cfRule type="expression" dxfId="109" priority="110" stopIfTrue="1">
      <formula>AND((#REF!="R"),Y250&lt;&gt;"??",Y250&lt;&gt;"")</formula>
    </cfRule>
    <cfRule type="expression" dxfId="108" priority="111" stopIfTrue="1">
      <formula>AND((#REF!="C"),Y250&lt;&gt;"??",Y250&lt;&gt;"")</formula>
    </cfRule>
  </conditionalFormatting>
  <conditionalFormatting sqref="BL250:BM250 AG250:AH250">
    <cfRule type="expression" dxfId="107" priority="106" stopIfTrue="1">
      <formula>(#REF!="D")</formula>
    </cfRule>
    <cfRule type="expression" dxfId="106" priority="107" stopIfTrue="1">
      <formula>AND((#REF!="R"),AG250&lt;&gt;"??",AG250&lt;&gt;"")</formula>
    </cfRule>
    <cfRule type="expression" dxfId="105" priority="108" stopIfTrue="1">
      <formula>AND((#REF!="C"),AG250&lt;&gt;"??",AG250&lt;&gt;"")</formula>
    </cfRule>
  </conditionalFormatting>
  <conditionalFormatting sqref="BD250:BF250">
    <cfRule type="expression" dxfId="104" priority="103" stopIfTrue="1">
      <formula>(#REF!="D")</formula>
    </cfRule>
    <cfRule type="expression" dxfId="103" priority="104" stopIfTrue="1">
      <formula>AND((#REF!="R"),BD250&lt;&gt;"??",BD250&lt;&gt;"")</formula>
    </cfRule>
    <cfRule type="expression" dxfId="102" priority="105" stopIfTrue="1">
      <formula>AND((#REF!="C"),BD250&lt;&gt;"??",BD250&lt;&gt;"")</formula>
    </cfRule>
  </conditionalFormatting>
  <conditionalFormatting sqref="Y267:AC267">
    <cfRule type="expression" dxfId="101" priority="100" stopIfTrue="1">
      <formula>(#REF!="D")</formula>
    </cfRule>
    <cfRule type="expression" dxfId="100" priority="101" stopIfTrue="1">
      <formula>AND((#REF!="R"),Y267&lt;&gt;"??",Y267&lt;&gt;"")</formula>
    </cfRule>
    <cfRule type="expression" dxfId="99" priority="102" stopIfTrue="1">
      <formula>AND((#REF!="C"),Y267&lt;&gt;"??",Y267&lt;&gt;"")</formula>
    </cfRule>
  </conditionalFormatting>
  <conditionalFormatting sqref="AG267:AH267 BL267:BM267">
    <cfRule type="expression" dxfId="98" priority="97" stopIfTrue="1">
      <formula>(#REF!="D")</formula>
    </cfRule>
    <cfRule type="expression" dxfId="97" priority="98" stopIfTrue="1">
      <formula>AND((#REF!="R"),AG267&lt;&gt;"??",AG267&lt;&gt;"")</formula>
    </cfRule>
    <cfRule type="expression" dxfId="96" priority="99" stopIfTrue="1">
      <formula>AND((#REF!="C"),AG267&lt;&gt;"??",AG267&lt;&gt;"")</formula>
    </cfRule>
  </conditionalFormatting>
  <conditionalFormatting sqref="BD267:BH267">
    <cfRule type="expression" dxfId="95" priority="94" stopIfTrue="1">
      <formula>(#REF!="D")</formula>
    </cfRule>
    <cfRule type="expression" dxfId="94" priority="95" stopIfTrue="1">
      <formula>AND((#REF!="R"),BD267&lt;&gt;"??",BD267&lt;&gt;"")</formula>
    </cfRule>
    <cfRule type="expression" dxfId="93" priority="96" stopIfTrue="1">
      <formula>AND((#REF!="C"),BD267&lt;&gt;"??",BD267&lt;&gt;"")</formula>
    </cfRule>
  </conditionalFormatting>
  <conditionalFormatting sqref="Y359:AC359">
    <cfRule type="expression" dxfId="92" priority="91" stopIfTrue="1">
      <formula>(#REF!="D")</formula>
    </cfRule>
    <cfRule type="expression" dxfId="91" priority="92" stopIfTrue="1">
      <formula>AND((#REF!="R"),Y359&lt;&gt;"??",Y359&lt;&gt;"")</formula>
    </cfRule>
    <cfRule type="expression" dxfId="90" priority="93" stopIfTrue="1">
      <formula>AND((#REF!="C"),Y359&lt;&gt;"??",Y359&lt;&gt;"")</formula>
    </cfRule>
  </conditionalFormatting>
  <conditionalFormatting sqref="BD359:BH359">
    <cfRule type="expression" dxfId="89" priority="88" stopIfTrue="1">
      <formula>(#REF!="D")</formula>
    </cfRule>
    <cfRule type="expression" dxfId="88" priority="89" stopIfTrue="1">
      <formula>AND((#REF!="R"),BD359&lt;&gt;"??",BD359&lt;&gt;"")</formula>
    </cfRule>
    <cfRule type="expression" dxfId="87" priority="90" stopIfTrue="1">
      <formula>AND((#REF!="C"),BD359&lt;&gt;"??",BD359&lt;&gt;"")</formula>
    </cfRule>
  </conditionalFormatting>
  <conditionalFormatting sqref="Y765:AC766">
    <cfRule type="expression" dxfId="86" priority="85" stopIfTrue="1">
      <formula>(#REF!="D")</formula>
    </cfRule>
    <cfRule type="expression" dxfId="85" priority="86" stopIfTrue="1">
      <formula>AND((#REF!="R"),Y765&lt;&gt;"??",Y765&lt;&gt;"")</formula>
    </cfRule>
    <cfRule type="expression" dxfId="84" priority="87" stopIfTrue="1">
      <formula>AND((#REF!="C"),Y765&lt;&gt;"??",Y765&lt;&gt;"")</formula>
    </cfRule>
  </conditionalFormatting>
  <conditionalFormatting sqref="Z767:AC767">
    <cfRule type="expression" dxfId="83" priority="82" stopIfTrue="1">
      <formula>(#REF!="D")</formula>
    </cfRule>
    <cfRule type="expression" dxfId="82" priority="83" stopIfTrue="1">
      <formula>AND((#REF!="R"),Z767&lt;&gt;"??",Z767&lt;&gt;"")</formula>
    </cfRule>
    <cfRule type="expression" dxfId="81" priority="84" stopIfTrue="1">
      <formula>AND((#REF!="C"),Z767&lt;&gt;"??",Z767&lt;&gt;"")</formula>
    </cfRule>
  </conditionalFormatting>
  <conditionalFormatting sqref="Y767">
    <cfRule type="expression" dxfId="80" priority="79" stopIfTrue="1">
      <formula>(#REF!="D")</formula>
    </cfRule>
    <cfRule type="expression" dxfId="79" priority="80" stopIfTrue="1">
      <formula>AND((#REF!="R"),Y767&lt;&gt;"??",Y767&lt;&gt;"")</formula>
    </cfRule>
    <cfRule type="expression" dxfId="78" priority="81" stopIfTrue="1">
      <formula>AND((#REF!="C"),Y767&lt;&gt;"??",Y767&lt;&gt;"")</formula>
    </cfRule>
  </conditionalFormatting>
  <conditionalFormatting sqref="BD765:BH766">
    <cfRule type="expression" dxfId="77" priority="76" stopIfTrue="1">
      <formula>(#REF!="D")</formula>
    </cfRule>
    <cfRule type="expression" dxfId="76" priority="77" stopIfTrue="1">
      <formula>AND((#REF!="R"),BD765&lt;&gt;"??",BD765&lt;&gt;"")</formula>
    </cfRule>
    <cfRule type="expression" dxfId="75" priority="78" stopIfTrue="1">
      <formula>AND((#REF!="C"),BD765&lt;&gt;"??",BD765&lt;&gt;"")</formula>
    </cfRule>
  </conditionalFormatting>
  <conditionalFormatting sqref="BD767:BH767">
    <cfRule type="expression" dxfId="74" priority="73" stopIfTrue="1">
      <formula>(#REF!="D")</formula>
    </cfRule>
    <cfRule type="expression" dxfId="73" priority="74" stopIfTrue="1">
      <formula>AND((#REF!="R"),BD767&lt;&gt;"??",BD767&lt;&gt;"")</formula>
    </cfRule>
    <cfRule type="expression" dxfId="72" priority="75" stopIfTrue="1">
      <formula>AND((#REF!="C"),BD767&lt;&gt;"??",BD767&lt;&gt;"")</formula>
    </cfRule>
  </conditionalFormatting>
  <conditionalFormatting sqref="Y768:AC769">
    <cfRule type="expression" dxfId="71" priority="70" stopIfTrue="1">
      <formula>(#REF!="D")</formula>
    </cfRule>
    <cfRule type="expression" dxfId="70" priority="71" stopIfTrue="1">
      <formula>AND((#REF!="R"),Y768&lt;&gt;"??",Y768&lt;&gt;"")</formula>
    </cfRule>
    <cfRule type="expression" dxfId="69" priority="72" stopIfTrue="1">
      <formula>AND((#REF!="C"),Y768&lt;&gt;"??",Y768&lt;&gt;"")</formula>
    </cfRule>
  </conditionalFormatting>
  <conditionalFormatting sqref="Y774:AC774">
    <cfRule type="expression" dxfId="68" priority="67" stopIfTrue="1">
      <formula>(#REF!="D")</formula>
    </cfRule>
    <cfRule type="expression" dxfId="67" priority="68" stopIfTrue="1">
      <formula>AND((#REF!="R"),Y774&lt;&gt;"??",Y774&lt;&gt;"")</formula>
    </cfRule>
    <cfRule type="expression" dxfId="66" priority="69" stopIfTrue="1">
      <formula>AND((#REF!="C"),Y774&lt;&gt;"??",Y774&lt;&gt;"")</formula>
    </cfRule>
  </conditionalFormatting>
  <conditionalFormatting sqref="BD768:BH769">
    <cfRule type="expression" dxfId="65" priority="64" stopIfTrue="1">
      <formula>(#REF!="D")</formula>
    </cfRule>
    <cfRule type="expression" dxfId="64" priority="65" stopIfTrue="1">
      <formula>AND((#REF!="R"),BD768&lt;&gt;"??",BD768&lt;&gt;"")</formula>
    </cfRule>
    <cfRule type="expression" dxfId="63" priority="66" stopIfTrue="1">
      <formula>AND((#REF!="C"),BD768&lt;&gt;"??",BD768&lt;&gt;"")</formula>
    </cfRule>
  </conditionalFormatting>
  <conditionalFormatting sqref="BD774:BH774">
    <cfRule type="expression" dxfId="62" priority="61" stopIfTrue="1">
      <formula>(#REF!="D")</formula>
    </cfRule>
    <cfRule type="expression" dxfId="61" priority="62" stopIfTrue="1">
      <formula>AND((#REF!="R"),BD774&lt;&gt;"??",BD774&lt;&gt;"")</formula>
    </cfRule>
    <cfRule type="expression" dxfId="60" priority="63" stopIfTrue="1">
      <formula>AND((#REF!="C"),BD774&lt;&gt;"??",BD774&lt;&gt;"")</formula>
    </cfRule>
  </conditionalFormatting>
  <conditionalFormatting sqref="Y618:AC618">
    <cfRule type="expression" dxfId="59" priority="58" stopIfTrue="1">
      <formula>(#REF!="D")</formula>
    </cfRule>
    <cfRule type="expression" dxfId="58" priority="59" stopIfTrue="1">
      <formula>AND((#REF!="R"),Y618&lt;&gt;"??",Y618&lt;&gt;"")</formula>
    </cfRule>
    <cfRule type="expression" dxfId="57" priority="60" stopIfTrue="1">
      <formula>AND((#REF!="C"),Y618&lt;&gt;"??",Y618&lt;&gt;"")</formula>
    </cfRule>
  </conditionalFormatting>
  <conditionalFormatting sqref="BD618:BH618">
    <cfRule type="expression" dxfId="56" priority="55" stopIfTrue="1">
      <formula>(#REF!="D")</formula>
    </cfRule>
    <cfRule type="expression" dxfId="55" priority="56" stopIfTrue="1">
      <formula>AND((#REF!="R"),BD618&lt;&gt;"??",BD618&lt;&gt;"")</formula>
    </cfRule>
    <cfRule type="expression" dxfId="54" priority="57" stopIfTrue="1">
      <formula>AND((#REF!="C"),BD618&lt;&gt;"??",BD618&lt;&gt;"")</formula>
    </cfRule>
  </conditionalFormatting>
  <conditionalFormatting sqref="Y991:AC991">
    <cfRule type="expression" dxfId="53" priority="52" stopIfTrue="1">
      <formula>(#REF!="D")</formula>
    </cfRule>
    <cfRule type="expression" dxfId="52" priority="53" stopIfTrue="1">
      <formula>AND((#REF!="R"),Y991&lt;&gt;"??",Y991&lt;&gt;"")</formula>
    </cfRule>
    <cfRule type="expression" dxfId="51" priority="54" stopIfTrue="1">
      <formula>AND((#REF!="C"),Y991&lt;&gt;"??",Y991&lt;&gt;"")</formula>
    </cfRule>
  </conditionalFormatting>
  <conditionalFormatting sqref="BD991:BH991">
    <cfRule type="expression" dxfId="50" priority="49" stopIfTrue="1">
      <formula>(#REF!="D")</formula>
    </cfRule>
    <cfRule type="expression" dxfId="49" priority="50" stopIfTrue="1">
      <formula>AND((#REF!="R"),BD991&lt;&gt;"??",BD991&lt;&gt;"")</formula>
    </cfRule>
    <cfRule type="expression" dxfId="48" priority="51" stopIfTrue="1">
      <formula>AND((#REF!="C"),BD991&lt;&gt;"??",BD991&lt;&gt;"")</formula>
    </cfRule>
  </conditionalFormatting>
  <conditionalFormatting sqref="Y1048:AC1049">
    <cfRule type="expression" dxfId="47" priority="46" stopIfTrue="1">
      <formula>(#REF!="D")</formula>
    </cfRule>
    <cfRule type="expression" dxfId="46" priority="47" stopIfTrue="1">
      <formula>AND((#REF!="R"),Y1048&lt;&gt;"??",Y1048&lt;&gt;"")</formula>
    </cfRule>
    <cfRule type="expression" dxfId="45" priority="48" stopIfTrue="1">
      <formula>AND((#REF!="C"),Y1048&lt;&gt;"??",Y1048&lt;&gt;"")</formula>
    </cfRule>
  </conditionalFormatting>
  <conditionalFormatting sqref="BD1048:BH1049">
    <cfRule type="expression" dxfId="44" priority="43" stopIfTrue="1">
      <formula>(#REF!="D")</formula>
    </cfRule>
    <cfRule type="expression" dxfId="43" priority="44" stopIfTrue="1">
      <formula>AND((#REF!="R"),BD1048&lt;&gt;"??",BD1048&lt;&gt;"")</formula>
    </cfRule>
    <cfRule type="expression" dxfId="42" priority="45" stopIfTrue="1">
      <formula>AND((#REF!="C"),BD1048&lt;&gt;"??",BD1048&lt;&gt;"")</formula>
    </cfRule>
  </conditionalFormatting>
  <conditionalFormatting sqref="Y280:AC280">
    <cfRule type="expression" dxfId="41" priority="40" stopIfTrue="1">
      <formula>(#REF!="D")</formula>
    </cfRule>
    <cfRule type="expression" dxfId="40" priority="41" stopIfTrue="1">
      <formula>AND((#REF!="R"),Y280&lt;&gt;"??",Y280&lt;&gt;"")</formula>
    </cfRule>
    <cfRule type="expression" dxfId="39" priority="42" stopIfTrue="1">
      <formula>AND((#REF!="C"),Y280&lt;&gt;"??",Y280&lt;&gt;"")</formula>
    </cfRule>
  </conditionalFormatting>
  <conditionalFormatting sqref="BD280:BH280">
    <cfRule type="expression" dxfId="38" priority="37" stopIfTrue="1">
      <formula>(#REF!="D")</formula>
    </cfRule>
    <cfRule type="expression" dxfId="37" priority="38" stopIfTrue="1">
      <formula>AND((#REF!="R"),BD280&lt;&gt;"??",BD280&lt;&gt;"")</formula>
    </cfRule>
    <cfRule type="expression" dxfId="36" priority="39" stopIfTrue="1">
      <formula>AND((#REF!="C"),BD280&lt;&gt;"??",BD280&lt;&gt;"")</formula>
    </cfRule>
  </conditionalFormatting>
  <conditionalFormatting sqref="AG262:AH265 BL262:BM265">
    <cfRule type="expression" dxfId="35" priority="22" stopIfTrue="1">
      <formula>(#REF!="D")</formula>
    </cfRule>
    <cfRule type="expression" dxfId="34" priority="23" stopIfTrue="1">
      <formula>AND((#REF!="R"),AG262&lt;&gt;"??",AG262&lt;&gt;"")</formula>
    </cfRule>
    <cfRule type="expression" dxfId="33" priority="24" stopIfTrue="1">
      <formula>AND((#REF!="C"),AG262&lt;&gt;"??",AG262&lt;&gt;"")</formula>
    </cfRule>
  </conditionalFormatting>
  <conditionalFormatting sqref="Y992:AC1018 BD992:BH1004">
    <cfRule type="expression" dxfId="32" priority="34" stopIfTrue="1">
      <formula>(#REF!="D")</formula>
    </cfRule>
    <cfRule type="expression" dxfId="31" priority="35" stopIfTrue="1">
      <formula>AND((#REF!="R"),Y992&lt;&gt;"??",Y992&lt;&gt;"")</formula>
    </cfRule>
    <cfRule type="expression" dxfId="30" priority="36" stopIfTrue="1">
      <formula>AND((#REF!="C"),Y992&lt;&gt;"??",Y992&lt;&gt;"")</formula>
    </cfRule>
  </conditionalFormatting>
  <conditionalFormatting sqref="BD1005:BH1015">
    <cfRule type="expression" dxfId="29" priority="31" stopIfTrue="1">
      <formula>(#REF!="D")</formula>
    </cfRule>
    <cfRule type="expression" dxfId="28" priority="32" stopIfTrue="1">
      <formula>AND((#REF!="R"),BD1005&lt;&gt;"??",BD1005&lt;&gt;"")</formula>
    </cfRule>
    <cfRule type="expression" dxfId="27" priority="33" stopIfTrue="1">
      <formula>AND((#REF!="C"),BD1005&lt;&gt;"??",BD1005&lt;&gt;"")</formula>
    </cfRule>
  </conditionalFormatting>
  <conditionalFormatting sqref="BD1016:BH1018">
    <cfRule type="expression" dxfId="26" priority="28" stopIfTrue="1">
      <formula>(#REF!="D")</formula>
    </cfRule>
    <cfRule type="expression" dxfId="25" priority="29" stopIfTrue="1">
      <formula>AND((#REF!="R"),BD1016&lt;&gt;"??",BD1016&lt;&gt;"")</formula>
    </cfRule>
    <cfRule type="expression" dxfId="24" priority="30" stopIfTrue="1">
      <formula>AND((#REF!="C"),BD1016&lt;&gt;"??",BD1016&lt;&gt;"")</formula>
    </cfRule>
  </conditionalFormatting>
  <conditionalFormatting sqref="Y262:AC265">
    <cfRule type="expression" dxfId="23" priority="25" stopIfTrue="1">
      <formula>(#REF!="D")</formula>
    </cfRule>
    <cfRule type="expression" dxfId="22" priority="26" stopIfTrue="1">
      <formula>AND((#REF!="R"),Y262&lt;&gt;"??",Y262&lt;&gt;"")</formula>
    </cfRule>
    <cfRule type="expression" dxfId="21" priority="27" stopIfTrue="1">
      <formula>AND((#REF!="C"),Y262&lt;&gt;"??",Y262&lt;&gt;"")</formula>
    </cfRule>
  </conditionalFormatting>
  <conditionalFormatting sqref="BD262:BH265">
    <cfRule type="expression" dxfId="20" priority="19" stopIfTrue="1">
      <formula>(#REF!="D")</formula>
    </cfRule>
    <cfRule type="expression" dxfId="19" priority="20" stopIfTrue="1">
      <formula>AND((#REF!="R"),BD262&lt;&gt;"??",BD262&lt;&gt;"")</formula>
    </cfRule>
    <cfRule type="expression" dxfId="18" priority="21" stopIfTrue="1">
      <formula>AND((#REF!="C"),BD262&lt;&gt;"??",BD262&lt;&gt;"")</formula>
    </cfRule>
  </conditionalFormatting>
  <conditionalFormatting sqref="Y945:AC950">
    <cfRule type="expression" dxfId="17" priority="16" stopIfTrue="1">
      <formula>(#REF!="D")</formula>
    </cfRule>
    <cfRule type="expression" dxfId="16" priority="17" stopIfTrue="1">
      <formula>AND((#REF!="R"),Y945&lt;&gt;"??",Y945&lt;&gt;"")</formula>
    </cfRule>
    <cfRule type="expression" dxfId="15" priority="18" stopIfTrue="1">
      <formula>AND((#REF!="C"),Y945&lt;&gt;"??",Y945&lt;&gt;"")</formula>
    </cfRule>
  </conditionalFormatting>
  <conditionalFormatting sqref="BD945:BH950">
    <cfRule type="expression" dxfId="14" priority="13" stopIfTrue="1">
      <formula>(#REF!="D")</formula>
    </cfRule>
    <cfRule type="expression" dxfId="13" priority="14" stopIfTrue="1">
      <formula>AND((#REF!="R"),BD945&lt;&gt;"??",BD945&lt;&gt;"")</formula>
    </cfRule>
    <cfRule type="expression" dxfId="12" priority="15" stopIfTrue="1">
      <formula>AND((#REF!="C"),BD945&lt;&gt;"??",BD945&lt;&gt;"")</formula>
    </cfRule>
  </conditionalFormatting>
  <conditionalFormatting sqref="BD701:BH701 BD703:BH706">
    <cfRule type="expression" dxfId="11" priority="10" stopIfTrue="1">
      <formula>(#REF!="D")</formula>
    </cfRule>
    <cfRule type="expression" dxfId="10" priority="11" stopIfTrue="1">
      <formula>AND((#REF!="R"),BD701&lt;&gt;"??",BD701&lt;&gt;"")</formula>
    </cfRule>
    <cfRule type="expression" dxfId="9" priority="12" stopIfTrue="1">
      <formula>AND((#REF!="C"),BD701&lt;&gt;"??",BD701&lt;&gt;"")</formula>
    </cfRule>
  </conditionalFormatting>
  <conditionalFormatting sqref="BD702:BH702">
    <cfRule type="expression" dxfId="8" priority="7" stopIfTrue="1">
      <formula>(#REF!="D")</formula>
    </cfRule>
    <cfRule type="expression" dxfId="7" priority="8" stopIfTrue="1">
      <formula>AND((#REF!="R"),BD702&lt;&gt;"??",BD702&lt;&gt;"")</formula>
    </cfRule>
    <cfRule type="expression" dxfId="6" priority="9" stopIfTrue="1">
      <formula>AND((#REF!="C"),BD702&lt;&gt;"??",BD702&lt;&gt;"")</formula>
    </cfRule>
  </conditionalFormatting>
  <conditionalFormatting sqref="Y834:AC834">
    <cfRule type="expression" dxfId="5" priority="4" stopIfTrue="1">
      <formula>(#REF!="D")</formula>
    </cfRule>
    <cfRule type="expression" dxfId="4" priority="5" stopIfTrue="1">
      <formula>AND((#REF!="R"),Y834&lt;&gt;"??",Y834&lt;&gt;"")</formula>
    </cfRule>
    <cfRule type="expression" dxfId="3" priority="6" stopIfTrue="1">
      <formula>AND((#REF!="C"),Y834&lt;&gt;"??",Y834&lt;&gt;"")</formula>
    </cfRule>
  </conditionalFormatting>
  <conditionalFormatting sqref="BD834:BH834">
    <cfRule type="expression" dxfId="2" priority="1" stopIfTrue="1">
      <formula>(#REF!="D")</formula>
    </cfRule>
    <cfRule type="expression" dxfId="1" priority="2" stopIfTrue="1">
      <formula>AND((#REF!="R"),BD834&lt;&gt;"??",BD834&lt;&gt;"")</formula>
    </cfRule>
    <cfRule type="expression" dxfId="0" priority="3" stopIfTrue="1">
      <formula>AND((#REF!="C"),BD834&lt;&gt;"??",BD834&lt;&gt;"")</formula>
    </cfRule>
  </conditionalFormatting>
  <dataValidations count="1">
    <dataValidation type="list" allowBlank="1" showInputMessage="1" showErrorMessage="1" sqref="S10:S11 P10:Q11 AX10:AX11 AU10:AV11">
      <formula1>quantityunitofmeasure</formula1>
    </dataValidation>
  </dataValidations>
  <pageMargins left="0.7" right="0.7" top="0.75" bottom="0.75" header="0.3" footer="0.3"/>
  <pageSetup scale="1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Change Log</vt:lpstr>
      <vt:lpstr>'Change Log'!Print_Area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2018-04-07T12:27:44Z</dcterms:created>
  <dcterms:modified xsi:type="dcterms:W3CDTF">2018-04-07T12:28:41Z</dcterms:modified>
</cp:coreProperties>
</file>